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2.xml" ContentType="application/vnd.openxmlformats-officedocument.drawing+xml"/>
  <Override PartName="/xl/charts/chart2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24.xml" ContentType="application/vnd.openxmlformats-officedocument.drawingml.chart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charts/chart25.xml" ContentType="application/vnd.openxmlformats-officedocument.drawingml.chart+xml"/>
  <Override PartName="/xl/drawings/drawing5.xml" ContentType="application/vnd.openxmlformats-officedocument.drawing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HenryMetcalfe\iCloudDrive\Work\Projects\TM Electrical Loadings\"/>
    </mc:Choice>
  </mc:AlternateContent>
  <xr:revisionPtr revIDLastSave="0" documentId="13_ncr:1_{71593723-045B-4FDD-92D8-BF5303040B95}" xr6:coauthVersionLast="47" xr6:coauthVersionMax="47" xr10:uidLastSave="{00000000-0000-0000-0000-000000000000}"/>
  <workbookProtection workbookAlgorithmName="SHA-512" workbookHashValue="NzNB5ZUOcMtZ3PZxIKXdkuboX5JoOrVitQlVmUr9BWzXfbigoybNKNxD++8AutCzqSGVomWlD6POO9VgJisAgg==" workbookSaltValue="ESF9HduUzROoPvUgYLyF1A==" workbookSpinCount="100000" lockStructure="1"/>
  <bookViews>
    <workbookView xWindow="-38520" yWindow="-105" windowWidth="38640" windowHeight="21120" tabRatio="742" xr2:uid="{607FA4B9-0C14-4996-A199-50FBD067C1DA}"/>
  </bookViews>
  <sheets>
    <sheet name="AMD" sheetId="33" r:id="rId1"/>
    <sheet name="DD" sheetId="36" r:id="rId2"/>
    <sheet name="Danish Standard DS439" sheetId="35" state="hidden" r:id="rId3"/>
    <sheet name="PV" sheetId="32" r:id="rId4"/>
    <sheet name="Building Performance" sheetId="34" r:id="rId5"/>
  </sheets>
  <definedNames>
    <definedName name="_xlnm._FilterDatabase" localSheetId="0" hidden="1">AMD!$AR$7:$BP$47</definedName>
    <definedName name="_xlnm.Print_Area" localSheetId="0">AMD!$A$1:$BP$56</definedName>
    <definedName name="_xlnm.Print_Area" localSheetId="4">'Building Performance'!$A$1:$AI$86</definedName>
    <definedName name="_xlnm.Print_Area" localSheetId="1">DD!$A$1:$BA$68</definedName>
    <definedName name="_xlnm.Print_Area" localSheetId="3">PV!$A$1:$G$50</definedName>
    <definedName name="PV_ConstantsK">#REF!</definedName>
    <definedName name="PV_Declinations">#REF!</definedName>
    <definedName name="PV_Orientations">#REF!</definedName>
    <definedName name="PV_Regions">#REF!</definedName>
    <definedName name="PV_Systems">#REF!</definedName>
  </definedNames>
  <calcPr calcId="191029"/>
  <pivotCaches>
    <pivotCache cacheId="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P149" i="33" l="1"/>
  <c r="AO42" i="33"/>
  <c r="AN42" i="33"/>
  <c r="AM42" i="33"/>
  <c r="AL42" i="33"/>
  <c r="AK42" i="33"/>
  <c r="AJ42" i="33"/>
  <c r="AI42" i="33"/>
  <c r="AH42" i="33"/>
  <c r="AG42" i="33"/>
  <c r="AF42" i="33"/>
  <c r="AE42" i="33"/>
  <c r="AD42" i="33"/>
  <c r="AC42" i="33"/>
  <c r="AB42" i="33"/>
  <c r="AA42" i="33"/>
  <c r="Z42" i="33"/>
  <c r="Y42" i="33"/>
  <c r="X42" i="33"/>
  <c r="W42" i="33"/>
  <c r="V42" i="33"/>
  <c r="AO34" i="33"/>
  <c r="AN34" i="33"/>
  <c r="AM34" i="33"/>
  <c r="AL34" i="33"/>
  <c r="AK34" i="33"/>
  <c r="AJ34" i="33"/>
  <c r="AI34" i="33"/>
  <c r="AH34" i="33"/>
  <c r="AG34" i="33"/>
  <c r="AF34" i="33"/>
  <c r="AE34" i="33"/>
  <c r="AD34" i="33"/>
  <c r="AC34" i="33"/>
  <c r="AB34" i="33"/>
  <c r="AA34" i="33"/>
  <c r="Z34" i="33"/>
  <c r="Y34" i="33"/>
  <c r="X34" i="33"/>
  <c r="W34" i="33"/>
  <c r="V34" i="33"/>
  <c r="AO26" i="33"/>
  <c r="AN26" i="33"/>
  <c r="AM26" i="33"/>
  <c r="AL26" i="33"/>
  <c r="AK26" i="33"/>
  <c r="AJ26" i="33"/>
  <c r="AI26" i="33"/>
  <c r="AH26" i="33"/>
  <c r="AG26" i="33"/>
  <c r="AF26" i="33"/>
  <c r="AE26" i="33"/>
  <c r="AD26" i="33"/>
  <c r="AC26" i="33"/>
  <c r="AB26" i="33"/>
  <c r="AA26" i="33"/>
  <c r="Z26" i="33"/>
  <c r="Y26" i="33"/>
  <c r="X26" i="33"/>
  <c r="W26" i="33"/>
  <c r="V26" i="33"/>
  <c r="AO18" i="33"/>
  <c r="AN18" i="33"/>
  <c r="AM18" i="33"/>
  <c r="AL18" i="33"/>
  <c r="AK18" i="33"/>
  <c r="AJ18" i="33"/>
  <c r="AI18" i="33"/>
  <c r="AH18" i="33"/>
  <c r="AG18" i="33"/>
  <c r="AF18" i="33"/>
  <c r="AE18" i="33"/>
  <c r="AD18" i="33"/>
  <c r="AC18" i="33"/>
  <c r="AB18" i="33"/>
  <c r="AA18" i="33"/>
  <c r="Z18" i="33"/>
  <c r="Y18" i="33"/>
  <c r="X18" i="33"/>
  <c r="W18" i="33"/>
  <c r="V18" i="33"/>
  <c r="W10" i="33"/>
  <c r="X10" i="33"/>
  <c r="Y10" i="33"/>
  <c r="Z10" i="33"/>
  <c r="AA10" i="33"/>
  <c r="AB10" i="33"/>
  <c r="AC10" i="33"/>
  <c r="AD10" i="33"/>
  <c r="AE10" i="33"/>
  <c r="AF10" i="33"/>
  <c r="AG10" i="33"/>
  <c r="AH10" i="33"/>
  <c r="AI10" i="33"/>
  <c r="AJ10" i="33"/>
  <c r="AK10" i="33"/>
  <c r="AL10" i="33"/>
  <c r="AM10" i="33"/>
  <c r="AN10" i="33"/>
  <c r="AO10" i="33"/>
  <c r="V10" i="33"/>
  <c r="S68" i="33"/>
  <c r="AP141" i="33"/>
  <c r="CM10" i="34"/>
  <c r="CN10" i="34"/>
  <c r="AP4" i="34"/>
  <c r="AM15" i="34"/>
  <c r="AQ6" i="34" l="1"/>
  <c r="AR1" i="33" l="1"/>
  <c r="T1" i="33"/>
  <c r="A1" i="34"/>
  <c r="AQ5" i="34"/>
  <c r="AR12" i="33"/>
  <c r="AR13" i="33"/>
  <c r="AR14" i="33"/>
  <c r="AR15" i="33"/>
  <c r="AR16" i="33"/>
  <c r="AR17" i="33"/>
  <c r="AR18" i="33"/>
  <c r="AR19" i="33"/>
  <c r="S67" i="33"/>
  <c r="N67" i="36"/>
  <c r="N66" i="36"/>
  <c r="B6" i="36"/>
  <c r="G36" i="33" s="1"/>
  <c r="H36" i="33" s="1"/>
  <c r="J36" i="33" s="1"/>
  <c r="L36" i="33" s="1"/>
  <c r="B3" i="36"/>
  <c r="G35" i="33" s="1"/>
  <c r="H35" i="33" s="1"/>
  <c r="J35" i="33" s="1"/>
  <c r="L35" i="33" s="1"/>
  <c r="N63" i="36" l="1"/>
  <c r="N62" i="36"/>
  <c r="N59" i="36"/>
  <c r="N58" i="36"/>
  <c r="N55" i="36"/>
  <c r="N54" i="36"/>
  <c r="N51" i="36"/>
  <c r="N50" i="36"/>
  <c r="N47" i="36"/>
  <c r="N46" i="36"/>
  <c r="N43" i="36"/>
  <c r="N42" i="36"/>
  <c r="N39" i="36"/>
  <c r="N38" i="36"/>
  <c r="N35" i="36"/>
  <c r="N34" i="36"/>
  <c r="A14" i="36"/>
  <c r="N31" i="36"/>
  <c r="N30" i="36"/>
  <c r="N27" i="36"/>
  <c r="N26" i="36"/>
  <c r="AR24" i="33"/>
  <c r="AR25" i="33"/>
  <c r="AR26" i="33"/>
  <c r="AP133" i="33"/>
  <c r="AS2" i="32"/>
  <c r="AS3" i="32"/>
  <c r="AS4" i="32"/>
  <c r="AS5" i="32"/>
  <c r="S6" i="32"/>
  <c r="AS6" i="32"/>
  <c r="S7" i="32"/>
  <c r="AS7" i="32"/>
  <c r="S8" i="32"/>
  <c r="AS8" i="32"/>
  <c r="C11" i="32"/>
  <c r="C13" i="32" s="1"/>
  <c r="C15" i="32" s="1"/>
  <c r="S9" i="32"/>
  <c r="AS9" i="32"/>
  <c r="S10" i="32"/>
  <c r="AS10" i="32"/>
  <c r="S11" i="32"/>
  <c r="AS11" i="32"/>
  <c r="C14" i="32"/>
  <c r="S12" i="32"/>
  <c r="AS12" i="32"/>
  <c r="S13" i="32"/>
  <c r="AS13" i="32"/>
  <c r="S14" i="32"/>
  <c r="AS14" i="32"/>
  <c r="S15" i="32"/>
  <c r="AS15" i="32"/>
  <c r="S16" i="32"/>
  <c r="AS16" i="32"/>
  <c r="S17" i="32"/>
  <c r="AS17" i="32"/>
  <c r="S18" i="32"/>
  <c r="AS18" i="32"/>
  <c r="S19" i="32"/>
  <c r="AS19" i="32"/>
  <c r="S20" i="32"/>
  <c r="AS20" i="32"/>
  <c r="S21" i="32"/>
  <c r="AS21" i="32"/>
  <c r="AS22" i="32"/>
  <c r="AS23" i="32"/>
  <c r="AS24" i="32"/>
  <c r="AS25" i="32"/>
  <c r="AS26" i="32"/>
  <c r="AS27" i="32"/>
  <c r="AS28" i="32"/>
  <c r="AS29" i="32"/>
  <c r="AS30" i="32"/>
  <c r="AS31" i="32"/>
  <c r="AS32" i="32"/>
  <c r="AS33" i="32"/>
  <c r="AS34" i="32"/>
  <c r="X35" i="32"/>
  <c r="AS35" i="32"/>
  <c r="X36" i="32"/>
  <c r="AS36" i="32"/>
  <c r="X37" i="32"/>
  <c r="AS37" i="32"/>
  <c r="X38" i="32"/>
  <c r="AS38" i="32"/>
  <c r="X39" i="32"/>
  <c r="AS39" i="32"/>
  <c r="X40" i="32"/>
  <c r="AS40" i="32"/>
  <c r="X41" i="32"/>
  <c r="AS41" i="32"/>
  <c r="X42" i="32"/>
  <c r="AS42" i="32"/>
  <c r="X43" i="32"/>
  <c r="AS43" i="32"/>
  <c r="X44" i="32"/>
  <c r="AS44" i="32"/>
  <c r="X45" i="32"/>
  <c r="AS45" i="32"/>
  <c r="X46" i="32"/>
  <c r="AS46" i="32"/>
  <c r="AS47" i="32"/>
  <c r="AS48" i="32"/>
  <c r="AS49" i="32"/>
  <c r="AS50" i="32"/>
  <c r="AS51" i="32"/>
  <c r="AS52" i="32"/>
  <c r="AS53" i="32"/>
  <c r="AS54" i="32"/>
  <c r="AS55" i="32"/>
  <c r="AS56" i="32"/>
  <c r="AS57" i="32"/>
  <c r="AS58" i="32"/>
  <c r="AS59" i="32"/>
  <c r="AS60" i="32"/>
  <c r="AS61" i="32"/>
  <c r="AS62" i="32"/>
  <c r="AS63" i="32"/>
  <c r="AS64" i="32"/>
  <c r="W65" i="32"/>
  <c r="AS65" i="32"/>
  <c r="W66" i="32"/>
  <c r="AS66" i="32"/>
  <c r="W67" i="32"/>
  <c r="AS67" i="32"/>
  <c r="W68" i="32"/>
  <c r="AS68" i="32"/>
  <c r="W69" i="32"/>
  <c r="AS69" i="32"/>
  <c r="W70" i="32"/>
  <c r="AS70" i="32"/>
  <c r="W71" i="32"/>
  <c r="AS71" i="32"/>
  <c r="W72" i="32"/>
  <c r="AS72" i="32"/>
  <c r="W73" i="32"/>
  <c r="AS73" i="32"/>
  <c r="AS74" i="32"/>
  <c r="AS75" i="32"/>
  <c r="AS76" i="32"/>
  <c r="AS77" i="32"/>
  <c r="AS78" i="32"/>
  <c r="AS79" i="32"/>
  <c r="X80" i="32"/>
  <c r="AS80" i="32"/>
  <c r="X81" i="32"/>
  <c r="AS81" i="32"/>
  <c r="X82" i="32"/>
  <c r="AS82" i="32"/>
  <c r="X83" i="32"/>
  <c r="AS83" i="32"/>
  <c r="X84" i="32"/>
  <c r="AS84" i="32"/>
  <c r="X85" i="32"/>
  <c r="AS85" i="32"/>
  <c r="X86" i="32"/>
  <c r="AS86" i="32"/>
  <c r="X87" i="32"/>
  <c r="AS87" i="32"/>
  <c r="X88" i="32"/>
  <c r="AS88" i="32"/>
  <c r="X89" i="32"/>
  <c r="AS89" i="32"/>
  <c r="X90" i="32"/>
  <c r="AS90" i="32"/>
  <c r="X91" i="32"/>
  <c r="AS91" i="32"/>
  <c r="X92" i="32"/>
  <c r="AS92" i="32"/>
  <c r="X93" i="32"/>
  <c r="AS93" i="32"/>
  <c r="X94" i="32"/>
  <c r="AS94" i="32"/>
  <c r="X95" i="32"/>
  <c r="AS95" i="32"/>
  <c r="X96" i="32"/>
  <c r="AS96" i="32"/>
  <c r="X97" i="32"/>
  <c r="AS97" i="32"/>
  <c r="X98" i="32"/>
  <c r="AS98" i="32"/>
  <c r="X99" i="32"/>
  <c r="AS99" i="32"/>
  <c r="X100" i="32"/>
  <c r="AS100" i="32"/>
  <c r="X101" i="32"/>
  <c r="AS101" i="32"/>
  <c r="AS102" i="32"/>
  <c r="AS103" i="32"/>
  <c r="AS104" i="32"/>
  <c r="AS105" i="32"/>
  <c r="AS106" i="32"/>
  <c r="AS107" i="32"/>
  <c r="AS108" i="32"/>
  <c r="AS109" i="32"/>
  <c r="AS110" i="32"/>
  <c r="AS111" i="32"/>
  <c r="AS112" i="32"/>
  <c r="AS113" i="32"/>
  <c r="AS114" i="32"/>
  <c r="AS115" i="32"/>
  <c r="AS116" i="32"/>
  <c r="AS117" i="32"/>
  <c r="AS118" i="32"/>
  <c r="AS119" i="32"/>
  <c r="AS120" i="32"/>
  <c r="AS121" i="32"/>
  <c r="AS122" i="32"/>
  <c r="AS123" i="32"/>
  <c r="AS124" i="32"/>
  <c r="AS125" i="32"/>
  <c r="AS126" i="32"/>
  <c r="AS127" i="32"/>
  <c r="AS128" i="32"/>
  <c r="AS129" i="32"/>
  <c r="AS130" i="32"/>
  <c r="AS131" i="32"/>
  <c r="AS132" i="32"/>
  <c r="AS133" i="32"/>
  <c r="AS134" i="32"/>
  <c r="AS135" i="32"/>
  <c r="AS136" i="32"/>
  <c r="AS137" i="32"/>
  <c r="AS138" i="32"/>
  <c r="AS139" i="32"/>
  <c r="AS140" i="32"/>
  <c r="AS141" i="32"/>
  <c r="AS142" i="32"/>
  <c r="AS143" i="32"/>
  <c r="AS144" i="32"/>
  <c r="AS145" i="32"/>
  <c r="AS146" i="32"/>
  <c r="AS147" i="32"/>
  <c r="AS148" i="32"/>
  <c r="AS149" i="32"/>
  <c r="AS150" i="32"/>
  <c r="AS151" i="32"/>
  <c r="AS152" i="32"/>
  <c r="AS153" i="32"/>
  <c r="AS154" i="32"/>
  <c r="AS155" i="32"/>
  <c r="AS156" i="32"/>
  <c r="AS157" i="32"/>
  <c r="AS158" i="32"/>
  <c r="AS159" i="32"/>
  <c r="AS160" i="32"/>
  <c r="AS161" i="32"/>
  <c r="AS162" i="32"/>
  <c r="AS163" i="32"/>
  <c r="AS164" i="32"/>
  <c r="AS165" i="32"/>
  <c r="AS166" i="32"/>
  <c r="AS167" i="32"/>
  <c r="AS168" i="32"/>
  <c r="AS169" i="32"/>
  <c r="AS170" i="32"/>
  <c r="AS171" i="32"/>
  <c r="AS172" i="32"/>
  <c r="AS173" i="32"/>
  <c r="AS174" i="32"/>
  <c r="AS175" i="32"/>
  <c r="AS176" i="32"/>
  <c r="AS177" i="32"/>
  <c r="AS178" i="32"/>
  <c r="AS179" i="32"/>
  <c r="AS180" i="32"/>
  <c r="AS181" i="32"/>
  <c r="AS182" i="32"/>
  <c r="AS183" i="32"/>
  <c r="AS184" i="32"/>
  <c r="AS185" i="32"/>
  <c r="AS186" i="32"/>
  <c r="AS187" i="32"/>
  <c r="AS188" i="32"/>
  <c r="AS189" i="32"/>
  <c r="AS190" i="32"/>
  <c r="AS191" i="32"/>
  <c r="AS192" i="32"/>
  <c r="AS193" i="32"/>
  <c r="AS194" i="32"/>
  <c r="AS195" i="32"/>
  <c r="AS196" i="32"/>
  <c r="AS197" i="32"/>
  <c r="AS198" i="32"/>
  <c r="AS199" i="32"/>
  <c r="AS200" i="32"/>
  <c r="AS201" i="32"/>
  <c r="AS202" i="32"/>
  <c r="AS203" i="32"/>
  <c r="AS204" i="32"/>
  <c r="AS205" i="32"/>
  <c r="AS206" i="32"/>
  <c r="AS207" i="32"/>
  <c r="AS208" i="32"/>
  <c r="AS209" i="32"/>
  <c r="AS210" i="32"/>
  <c r="AS211" i="32"/>
  <c r="AS212" i="32"/>
  <c r="AS213" i="32"/>
  <c r="AS214" i="32"/>
  <c r="AS215" i="32"/>
  <c r="AS216" i="32"/>
  <c r="AS217" i="32"/>
  <c r="AS218" i="32"/>
  <c r="AS219" i="32"/>
  <c r="AS220" i="32"/>
  <c r="AS221" i="32"/>
  <c r="AS222" i="32"/>
  <c r="AS223" i="32"/>
  <c r="AS224" i="32"/>
  <c r="AS225" i="32"/>
  <c r="AS226" i="32"/>
  <c r="AS227" i="32"/>
  <c r="AS228" i="32"/>
  <c r="AS229" i="32"/>
  <c r="AS230" i="32"/>
  <c r="AS231" i="32"/>
  <c r="AS232" i="32"/>
  <c r="AS233" i="32"/>
  <c r="AS234" i="32"/>
  <c r="AS235" i="32"/>
  <c r="AS236" i="32"/>
  <c r="AS237" i="32"/>
  <c r="AS238" i="32"/>
  <c r="AS239" i="32"/>
  <c r="AS240" i="32"/>
  <c r="AS241" i="32"/>
  <c r="AS242" i="32"/>
  <c r="AS243" i="32"/>
  <c r="AS244" i="32"/>
  <c r="AS245" i="32"/>
  <c r="AS246" i="32"/>
  <c r="AS247" i="32"/>
  <c r="AS248" i="32"/>
  <c r="AS249" i="32"/>
  <c r="AS250" i="32"/>
  <c r="AS251" i="32"/>
  <c r="AS252" i="32"/>
  <c r="AS253" i="32"/>
  <c r="AS254" i="32"/>
  <c r="AS255" i="32"/>
  <c r="AS256" i="32"/>
  <c r="AS257" i="32"/>
  <c r="AS258" i="32"/>
  <c r="AS259" i="32"/>
  <c r="AS260" i="32"/>
  <c r="AS261" i="32"/>
  <c r="AS262" i="32"/>
  <c r="AS263" i="32"/>
  <c r="AS264" i="32"/>
  <c r="AS265" i="32"/>
  <c r="AS266" i="32"/>
  <c r="AS267" i="32"/>
  <c r="AS268" i="32"/>
  <c r="AS269" i="32"/>
  <c r="AS270" i="32"/>
  <c r="AS271" i="32"/>
  <c r="AS272" i="32"/>
  <c r="AS273" i="32"/>
  <c r="AS274" i="32"/>
  <c r="AS275" i="32"/>
  <c r="AS276" i="32"/>
  <c r="AS277" i="32"/>
  <c r="AS278" i="32"/>
  <c r="AS279" i="32"/>
  <c r="AS280" i="32"/>
  <c r="AS281" i="32"/>
  <c r="AS282" i="32"/>
  <c r="AS283" i="32"/>
  <c r="AS284" i="32"/>
  <c r="AS285" i="32"/>
  <c r="AS286" i="32"/>
  <c r="AS287" i="32"/>
  <c r="AS288" i="32"/>
  <c r="AS289" i="32"/>
  <c r="AS290" i="32"/>
  <c r="AS291" i="32"/>
  <c r="AS292" i="32"/>
  <c r="AS293" i="32"/>
  <c r="AS294" i="32"/>
  <c r="AS295" i="32"/>
  <c r="AS296" i="32"/>
  <c r="AS297" i="32"/>
  <c r="AS298" i="32"/>
  <c r="AS299" i="32"/>
  <c r="AS300" i="32"/>
  <c r="AS301" i="32"/>
  <c r="AS302" i="32"/>
  <c r="AS303" i="32"/>
  <c r="AS304" i="32"/>
  <c r="AS305" i="32"/>
  <c r="AS306" i="32"/>
  <c r="AS307" i="32"/>
  <c r="AS308" i="32"/>
  <c r="AS309" i="32"/>
  <c r="AS310" i="32"/>
  <c r="AS311" i="32"/>
  <c r="AS312" i="32"/>
  <c r="AS313" i="32"/>
  <c r="AS314" i="32"/>
  <c r="AS315" i="32"/>
  <c r="AS316" i="32"/>
  <c r="AS317" i="32"/>
  <c r="AS318" i="32"/>
  <c r="AS319" i="32"/>
  <c r="AS320" i="32"/>
  <c r="AS321" i="32"/>
  <c r="AS322" i="32"/>
  <c r="AS323" i="32"/>
  <c r="AS324" i="32"/>
  <c r="AS325" i="32"/>
  <c r="AS326" i="32"/>
  <c r="AS327" i="32"/>
  <c r="AS328" i="32"/>
  <c r="AS329" i="32"/>
  <c r="AS330" i="32"/>
  <c r="AS331" i="32"/>
  <c r="AS332" i="32"/>
  <c r="AS333" i="32"/>
  <c r="AS334" i="32"/>
  <c r="AS335" i="32"/>
  <c r="AS336" i="32"/>
  <c r="AS337" i="32"/>
  <c r="AS338" i="32"/>
  <c r="AS339" i="32"/>
  <c r="AS340" i="32"/>
  <c r="AS341" i="32"/>
  <c r="AS342" i="32"/>
  <c r="AS343" i="32"/>
  <c r="AS344" i="32"/>
  <c r="AS345" i="32"/>
  <c r="AS346" i="32"/>
  <c r="AS347" i="32"/>
  <c r="AS348" i="32"/>
  <c r="AS349" i="32"/>
  <c r="AS350" i="32"/>
  <c r="AS351" i="32"/>
  <c r="AS352" i="32"/>
  <c r="AS353" i="32"/>
  <c r="AS354" i="32"/>
  <c r="AS355" i="32"/>
  <c r="AS356" i="32"/>
  <c r="AS357" i="32"/>
  <c r="AS358" i="32"/>
  <c r="AS359" i="32"/>
  <c r="AS360" i="32"/>
  <c r="AS361" i="32"/>
  <c r="AS362" i="32"/>
  <c r="AS363" i="32"/>
  <c r="AS364" i="32"/>
  <c r="AS365" i="32"/>
  <c r="AS366" i="32"/>
  <c r="AS367" i="32"/>
  <c r="AS368" i="32"/>
  <c r="AS369" i="32"/>
  <c r="AS370" i="32"/>
  <c r="AS371" i="32"/>
  <c r="AS372" i="32"/>
  <c r="AS373" i="32"/>
  <c r="AS374" i="32"/>
  <c r="AS375" i="32"/>
  <c r="AS376" i="32"/>
  <c r="AS377" i="32"/>
  <c r="AS378" i="32"/>
  <c r="AS379" i="32"/>
  <c r="AS380" i="32"/>
  <c r="AS381" i="32"/>
  <c r="AS382" i="32"/>
  <c r="AS383" i="32"/>
  <c r="AS384" i="32"/>
  <c r="AS385" i="32"/>
  <c r="AS386" i="32"/>
  <c r="AS387" i="32"/>
  <c r="AS388" i="32"/>
  <c r="AS389" i="32"/>
  <c r="AS390" i="32"/>
  <c r="AS391" i="32"/>
  <c r="AS392" i="32"/>
  <c r="AS393" i="32"/>
  <c r="AS394" i="32"/>
  <c r="AS395" i="32"/>
  <c r="AS396" i="32"/>
  <c r="AS397" i="32"/>
  <c r="AS398" i="32"/>
  <c r="AS399" i="32"/>
  <c r="AS400" i="32"/>
  <c r="AS401" i="32"/>
  <c r="AS402" i="32"/>
  <c r="AS403" i="32"/>
  <c r="AS404" i="32"/>
  <c r="AS405" i="32"/>
  <c r="AS406" i="32"/>
  <c r="AS407" i="32"/>
  <c r="AS408" i="32"/>
  <c r="AS409" i="32"/>
  <c r="AS410" i="32"/>
  <c r="AS411" i="32"/>
  <c r="AS412" i="32"/>
  <c r="AS413" i="32"/>
  <c r="AS414" i="32"/>
  <c r="AS415" i="32"/>
  <c r="AS416" i="32"/>
  <c r="AS417" i="32"/>
  <c r="AS418" i="32"/>
  <c r="AS419" i="32"/>
  <c r="AS420" i="32"/>
  <c r="AS421" i="32"/>
  <c r="AS422" i="32"/>
  <c r="AS423" i="32"/>
  <c r="AS424" i="32"/>
  <c r="AS425" i="32"/>
  <c r="AS426" i="32"/>
  <c r="AS427" i="32"/>
  <c r="AS428" i="32"/>
  <c r="AS429" i="32"/>
  <c r="AS430" i="32"/>
  <c r="AS431" i="32"/>
  <c r="AS432" i="32"/>
  <c r="AS433" i="32"/>
  <c r="AS434" i="32"/>
  <c r="AS435" i="32"/>
  <c r="AS436" i="32"/>
  <c r="AS437" i="32"/>
  <c r="AS438" i="32"/>
  <c r="AS439" i="32"/>
  <c r="AS440" i="32"/>
  <c r="AS441" i="32"/>
  <c r="AS442" i="32"/>
  <c r="AS443" i="32"/>
  <c r="AS444" i="32"/>
  <c r="AS445" i="32"/>
  <c r="AS446" i="32"/>
  <c r="AS447" i="32"/>
  <c r="AS448" i="32"/>
  <c r="AS449" i="32"/>
  <c r="AS450" i="32"/>
  <c r="AS451" i="32"/>
  <c r="AS452" i="32"/>
  <c r="AS453" i="32"/>
  <c r="AS454" i="32"/>
  <c r="AS455" i="32"/>
  <c r="AS456" i="32"/>
  <c r="AS457" i="32"/>
  <c r="AS458" i="32"/>
  <c r="AS459" i="32"/>
  <c r="AS460" i="32"/>
  <c r="AS461" i="32"/>
  <c r="AS462" i="32"/>
  <c r="AS463" i="32"/>
  <c r="AS464" i="32"/>
  <c r="AS465" i="32"/>
  <c r="AS466" i="32"/>
  <c r="AS467" i="32"/>
  <c r="AS468" i="32"/>
  <c r="AS469" i="32"/>
  <c r="AS470" i="32"/>
  <c r="AS471" i="32"/>
  <c r="AS472" i="32"/>
  <c r="AS473" i="32"/>
  <c r="AS474" i="32"/>
  <c r="AS475" i="32"/>
  <c r="AS476" i="32"/>
  <c r="AS477" i="32"/>
  <c r="AS478" i="32"/>
  <c r="AS479" i="32"/>
  <c r="AS480" i="32"/>
  <c r="AS481" i="32"/>
  <c r="AS482" i="32"/>
  <c r="AS483" i="32"/>
  <c r="AS484" i="32"/>
  <c r="AS485" i="32"/>
  <c r="AS486" i="32"/>
  <c r="AS487" i="32"/>
  <c r="AS488" i="32"/>
  <c r="AS489" i="32"/>
  <c r="AS490" i="32"/>
  <c r="AS491" i="32"/>
  <c r="AS492" i="32"/>
  <c r="AS493" i="32"/>
  <c r="AS494" i="32"/>
  <c r="AS495" i="32"/>
  <c r="AS496" i="32"/>
  <c r="AS497" i="32"/>
  <c r="AS498" i="32"/>
  <c r="AS499" i="32"/>
  <c r="AS500" i="32"/>
  <c r="AS501" i="32"/>
  <c r="AS502" i="32"/>
  <c r="AS503" i="32"/>
  <c r="AS504" i="32"/>
  <c r="AS505" i="32"/>
  <c r="AS506" i="32"/>
  <c r="AS507" i="32"/>
  <c r="AS508" i="32"/>
  <c r="AS509" i="32"/>
  <c r="AS510" i="32"/>
  <c r="AS511" i="32"/>
  <c r="AS512" i="32"/>
  <c r="AS513" i="32"/>
  <c r="AS514" i="32"/>
  <c r="AS515" i="32"/>
  <c r="AS516" i="32"/>
  <c r="AS517" i="32"/>
  <c r="AS518" i="32"/>
  <c r="AS519" i="32"/>
  <c r="AS520" i="32"/>
  <c r="AS521" i="32"/>
  <c r="AS522" i="32"/>
  <c r="AS523" i="32"/>
  <c r="AS524" i="32"/>
  <c r="AS525" i="32"/>
  <c r="AS526" i="32"/>
  <c r="AS527" i="32"/>
  <c r="AS528" i="32"/>
  <c r="AS529" i="32"/>
  <c r="AS530" i="32"/>
  <c r="AS531" i="32"/>
  <c r="AS532" i="32"/>
  <c r="AS533" i="32"/>
  <c r="AS534" i="32"/>
  <c r="AS535" i="32"/>
  <c r="AS536" i="32"/>
  <c r="AS537" i="32"/>
  <c r="AS538" i="32"/>
  <c r="AS539" i="32"/>
  <c r="AS540" i="32"/>
  <c r="AS541" i="32"/>
  <c r="AS542" i="32"/>
  <c r="AS543" i="32"/>
  <c r="AS544" i="32"/>
  <c r="AS545" i="32"/>
  <c r="AS546" i="32"/>
  <c r="AS547" i="32"/>
  <c r="AS548" i="32"/>
  <c r="AS549" i="32"/>
  <c r="AS550" i="32"/>
  <c r="AS551" i="32"/>
  <c r="AS552" i="32"/>
  <c r="AS553" i="32"/>
  <c r="AS554" i="32"/>
  <c r="AS555" i="32"/>
  <c r="AS556" i="32"/>
  <c r="AS557" i="32"/>
  <c r="AS558" i="32"/>
  <c r="AS559" i="32"/>
  <c r="AS560" i="32"/>
  <c r="AS561" i="32"/>
  <c r="AS562" i="32"/>
  <c r="AS563" i="32"/>
  <c r="AS564" i="32"/>
  <c r="AS565" i="32"/>
  <c r="AS566" i="32"/>
  <c r="AS567" i="32"/>
  <c r="AS568" i="32"/>
  <c r="AS569" i="32"/>
  <c r="AS570" i="32"/>
  <c r="AS571" i="32"/>
  <c r="AS572" i="32"/>
  <c r="AS573" i="32"/>
  <c r="AS574" i="32"/>
  <c r="AS575" i="32"/>
  <c r="AS576" i="32"/>
  <c r="AS577" i="32"/>
  <c r="AS578" i="32"/>
  <c r="AS579" i="32"/>
  <c r="AS580" i="32"/>
  <c r="AS581" i="32"/>
  <c r="AS582" i="32"/>
  <c r="AS583" i="32"/>
  <c r="AS584" i="32"/>
  <c r="AS585" i="32"/>
  <c r="AS586" i="32"/>
  <c r="AS587" i="32"/>
  <c r="AS588" i="32"/>
  <c r="AS589" i="32"/>
  <c r="AS590" i="32"/>
  <c r="AS591" i="32"/>
  <c r="AS592" i="32"/>
  <c r="AS593" i="32"/>
  <c r="AS594" i="32"/>
  <c r="AS595" i="32"/>
  <c r="AS596" i="32"/>
  <c r="AS597" i="32"/>
  <c r="AS598" i="32"/>
  <c r="AS599" i="32"/>
  <c r="AS600" i="32"/>
  <c r="AS601" i="32"/>
  <c r="AS602" i="32"/>
  <c r="AS603" i="32"/>
  <c r="AS604" i="32"/>
  <c r="AS605" i="32"/>
  <c r="AS606" i="32"/>
  <c r="AS607" i="32"/>
  <c r="AS608" i="32"/>
  <c r="AS609" i="32"/>
  <c r="AS610" i="32"/>
  <c r="AS611" i="32"/>
  <c r="AS612" i="32"/>
  <c r="AS613" i="32"/>
  <c r="AS614" i="32"/>
  <c r="AS615" i="32"/>
  <c r="AS616" i="32"/>
  <c r="AS617" i="32"/>
  <c r="AS618" i="32"/>
  <c r="AS619" i="32"/>
  <c r="AS620" i="32"/>
  <c r="AS621" i="32"/>
  <c r="AS622" i="32"/>
  <c r="AS623" i="32"/>
  <c r="AS624" i="32"/>
  <c r="AS625" i="32"/>
  <c r="AS626" i="32"/>
  <c r="AS627" i="32"/>
  <c r="AS628" i="32"/>
  <c r="AS629" i="32"/>
  <c r="AS630" i="32"/>
  <c r="AS631" i="32"/>
  <c r="AS632" i="32"/>
  <c r="AS633" i="32"/>
  <c r="AS634" i="32"/>
  <c r="AS635" i="32"/>
  <c r="AS636" i="32"/>
  <c r="AS637" i="32"/>
  <c r="AS638" i="32"/>
  <c r="AS639" i="32"/>
  <c r="AS640" i="32"/>
  <c r="AS641" i="32"/>
  <c r="AS642" i="32"/>
  <c r="AS643" i="32"/>
  <c r="AS644" i="32"/>
  <c r="AS645" i="32"/>
  <c r="AS646" i="32"/>
  <c r="AS647" i="32"/>
  <c r="AS648" i="32"/>
  <c r="AS649" i="32"/>
  <c r="AS650" i="32"/>
  <c r="AS651" i="32"/>
  <c r="AS652" i="32"/>
  <c r="AS653" i="32"/>
  <c r="AS654" i="32"/>
  <c r="AS655" i="32"/>
  <c r="AS656" i="32"/>
  <c r="AS657" i="32"/>
  <c r="AS658" i="32"/>
  <c r="AS659" i="32"/>
  <c r="AS660" i="32"/>
  <c r="AS661" i="32"/>
  <c r="AS662" i="32"/>
  <c r="AS663" i="32"/>
  <c r="AS664" i="32"/>
  <c r="AS665" i="32"/>
  <c r="AS666" i="32"/>
  <c r="AS667" i="32"/>
  <c r="AS668" i="32"/>
  <c r="AS669" i="32"/>
  <c r="AS670" i="32"/>
  <c r="AS671" i="32"/>
  <c r="AS672" i="32"/>
  <c r="AS673" i="32"/>
  <c r="AS674" i="32"/>
  <c r="AS675" i="32"/>
  <c r="AS676" i="32"/>
  <c r="AS677" i="32"/>
  <c r="AS678" i="32"/>
  <c r="AS679" i="32"/>
  <c r="AS680" i="32"/>
  <c r="AS681" i="32"/>
  <c r="AS682" i="32"/>
  <c r="AS683" i="32"/>
  <c r="AS684" i="32"/>
  <c r="AS685" i="32"/>
  <c r="AS686" i="32"/>
  <c r="AS687" i="32"/>
  <c r="AS688" i="32"/>
  <c r="AS689" i="32"/>
  <c r="AS690" i="32"/>
  <c r="AS691" i="32"/>
  <c r="AS692" i="32"/>
  <c r="AS693" i="32"/>
  <c r="AS694" i="32"/>
  <c r="AS695" i="32"/>
  <c r="AS696" i="32"/>
  <c r="AS697" i="32"/>
  <c r="AS698" i="32"/>
  <c r="AS699" i="32"/>
  <c r="AS700" i="32"/>
  <c r="AS701" i="32"/>
  <c r="AS702" i="32"/>
  <c r="AS703" i="32"/>
  <c r="AS704" i="32"/>
  <c r="AS705" i="32"/>
  <c r="AS706" i="32"/>
  <c r="AS707" i="32"/>
  <c r="AS708" i="32"/>
  <c r="AS709" i="32"/>
  <c r="AS710" i="32"/>
  <c r="AS711" i="32"/>
  <c r="AS712" i="32"/>
  <c r="AS713" i="32"/>
  <c r="AS714" i="32"/>
  <c r="AS715" i="32"/>
  <c r="AS716" i="32"/>
  <c r="AS717" i="32"/>
  <c r="AS718" i="32"/>
  <c r="AS719" i="32"/>
  <c r="AS720" i="32"/>
  <c r="AS721" i="32"/>
  <c r="AS722" i="32"/>
  <c r="AS723" i="32"/>
  <c r="AS724" i="32"/>
  <c r="AS725" i="32"/>
  <c r="AS726" i="32"/>
  <c r="AS727" i="32"/>
  <c r="AS728" i="32"/>
  <c r="AS729" i="32"/>
  <c r="AS730" i="32"/>
  <c r="AS731" i="32"/>
  <c r="AS732" i="32"/>
  <c r="AS733" i="32"/>
  <c r="AS734" i="32"/>
  <c r="AS735" i="32"/>
  <c r="AS736" i="32"/>
  <c r="AS737" i="32"/>
  <c r="AS738" i="32"/>
  <c r="AS739" i="32"/>
  <c r="AS740" i="32"/>
  <c r="AS741" i="32"/>
  <c r="AS742" i="32"/>
  <c r="AS743" i="32"/>
  <c r="AS744" i="32"/>
  <c r="AS745" i="32"/>
  <c r="AS746" i="32"/>
  <c r="AS747" i="32"/>
  <c r="AS748" i="32"/>
  <c r="AS749" i="32"/>
  <c r="AS750" i="32"/>
  <c r="AS751" i="32"/>
  <c r="AS752" i="32"/>
  <c r="AS753" i="32"/>
  <c r="AS754" i="32"/>
  <c r="AS755" i="32"/>
  <c r="AS756" i="32"/>
  <c r="AS757" i="32"/>
  <c r="AS758" i="32"/>
  <c r="AS759" i="32"/>
  <c r="AS760" i="32"/>
  <c r="AS761" i="32"/>
  <c r="AS762" i="32"/>
  <c r="AS763" i="32"/>
  <c r="AS764" i="32"/>
  <c r="AS765" i="32"/>
  <c r="AS766" i="32"/>
  <c r="AS767" i="32"/>
  <c r="AS768" i="32"/>
  <c r="AS769" i="32"/>
  <c r="AS770" i="32"/>
  <c r="AS771" i="32"/>
  <c r="AS772" i="32"/>
  <c r="AS773" i="32"/>
  <c r="AS774" i="32"/>
  <c r="AS775" i="32"/>
  <c r="AS776" i="32"/>
  <c r="AS777" i="32"/>
  <c r="AS778" i="32"/>
  <c r="AS779" i="32"/>
  <c r="AS780" i="32"/>
  <c r="AS781" i="32"/>
  <c r="AS782" i="32"/>
  <c r="AS783" i="32"/>
  <c r="AS784" i="32"/>
  <c r="AS785" i="32"/>
  <c r="AS786" i="32"/>
  <c r="AS787" i="32"/>
  <c r="AS788" i="32"/>
  <c r="AS789" i="32"/>
  <c r="AS790" i="32"/>
  <c r="AS791" i="32"/>
  <c r="AS792" i="32"/>
  <c r="AS793" i="32"/>
  <c r="AS794" i="32"/>
  <c r="AS795" i="32"/>
  <c r="AS796" i="32"/>
  <c r="AS797" i="32"/>
  <c r="AS798" i="32"/>
  <c r="AS799" i="32"/>
  <c r="AS800" i="32"/>
  <c r="AS801" i="32"/>
  <c r="AS802" i="32"/>
  <c r="AS803" i="32"/>
  <c r="AS804" i="32"/>
  <c r="AS805" i="32"/>
  <c r="AS806" i="32"/>
  <c r="AS807" i="32"/>
  <c r="AS808" i="32"/>
  <c r="AS809" i="32"/>
  <c r="AS810" i="32"/>
  <c r="AS811" i="32"/>
  <c r="AS812" i="32"/>
  <c r="AS813" i="32"/>
  <c r="AS814" i="32"/>
  <c r="AS815" i="32"/>
  <c r="AS816" i="32"/>
  <c r="AS817" i="32"/>
  <c r="AS818" i="32"/>
  <c r="AS819" i="32"/>
  <c r="AS820" i="32"/>
  <c r="AS821" i="32"/>
  <c r="AS822" i="32"/>
  <c r="AS823" i="32"/>
  <c r="AS824" i="32"/>
  <c r="AS825" i="32"/>
  <c r="AS826" i="32"/>
  <c r="AS827" i="32"/>
  <c r="AS828" i="32"/>
  <c r="AS829" i="32"/>
  <c r="AS830" i="32"/>
  <c r="AS831" i="32"/>
  <c r="AS832" i="32"/>
  <c r="AS833" i="32"/>
  <c r="AS834" i="32"/>
  <c r="AS835" i="32"/>
  <c r="AS836" i="32"/>
  <c r="AS837" i="32"/>
  <c r="AS838" i="32"/>
  <c r="AS839" i="32"/>
  <c r="AS840" i="32"/>
  <c r="AS841" i="32"/>
  <c r="AS842" i="32"/>
  <c r="AS843" i="32"/>
  <c r="AS844" i="32"/>
  <c r="AS845" i="32"/>
  <c r="AS846" i="32"/>
  <c r="AS847" i="32"/>
  <c r="AS848" i="32"/>
  <c r="AS849" i="32"/>
  <c r="AS850" i="32"/>
  <c r="AS851" i="32"/>
  <c r="AS852" i="32"/>
  <c r="AS853" i="32"/>
  <c r="AS854" i="32"/>
  <c r="AS855" i="32"/>
  <c r="AS856" i="32"/>
  <c r="AS857" i="32"/>
  <c r="AS858" i="32"/>
  <c r="AS859" i="32"/>
  <c r="AS860" i="32"/>
  <c r="AS861" i="32"/>
  <c r="AS862" i="32"/>
  <c r="AS863" i="32"/>
  <c r="AS864" i="32"/>
  <c r="AS865" i="32"/>
  <c r="AS866" i="32"/>
  <c r="AS867" i="32"/>
  <c r="AS868" i="32"/>
  <c r="AS869" i="32"/>
  <c r="AS870" i="32"/>
  <c r="AS871" i="32"/>
  <c r="AS872" i="32"/>
  <c r="AS873" i="32"/>
  <c r="AS874" i="32"/>
  <c r="AS875" i="32"/>
  <c r="AS876" i="32"/>
  <c r="AS877" i="32"/>
  <c r="AS878" i="32"/>
  <c r="AS879" i="32"/>
  <c r="AS880" i="32"/>
  <c r="AS881" i="32"/>
  <c r="AS882" i="32"/>
  <c r="AS883" i="32"/>
  <c r="AS884" i="32"/>
  <c r="AS885" i="32"/>
  <c r="AS886" i="32"/>
  <c r="AS887" i="32"/>
  <c r="AS888" i="32"/>
  <c r="AS889" i="32"/>
  <c r="AS890" i="32"/>
  <c r="AS891" i="32"/>
  <c r="AS892" i="32"/>
  <c r="AS893" i="32"/>
  <c r="AS894" i="32"/>
  <c r="AS895" i="32"/>
  <c r="AS896" i="32"/>
  <c r="AS897" i="32"/>
  <c r="AS898" i="32"/>
  <c r="AS899" i="32"/>
  <c r="AS900" i="32"/>
  <c r="AS901" i="32"/>
  <c r="AS902" i="32"/>
  <c r="AS903" i="32"/>
  <c r="AS904" i="32"/>
  <c r="AS905" i="32"/>
  <c r="AS906" i="32"/>
  <c r="AS907" i="32"/>
  <c r="AS908" i="32"/>
  <c r="AS909" i="32"/>
  <c r="AS910" i="32"/>
  <c r="AS911" i="32"/>
  <c r="AS912" i="32"/>
  <c r="AS913" i="32"/>
  <c r="AS914" i="32"/>
  <c r="AS915" i="32"/>
  <c r="AS916" i="32"/>
  <c r="AS917" i="32"/>
  <c r="AS918" i="32"/>
  <c r="AS919" i="32"/>
  <c r="AS920" i="32"/>
  <c r="AS921" i="32"/>
  <c r="AS922" i="32"/>
  <c r="AS923" i="32"/>
  <c r="AS924" i="32"/>
  <c r="AS925" i="32"/>
  <c r="AS926" i="32"/>
  <c r="AS927" i="32"/>
  <c r="AS928" i="32"/>
  <c r="AS929" i="32"/>
  <c r="AS930" i="32"/>
  <c r="AS931" i="32"/>
  <c r="AS932" i="32"/>
  <c r="AS933" i="32"/>
  <c r="AS934" i="32"/>
  <c r="AS935" i="32"/>
  <c r="AS936" i="32"/>
  <c r="AS937" i="32"/>
  <c r="AS938" i="32"/>
  <c r="AS939" i="32"/>
  <c r="AS940" i="32"/>
  <c r="AS941" i="32"/>
  <c r="AS942" i="32"/>
  <c r="AS943" i="32"/>
  <c r="AS944" i="32"/>
  <c r="AS945" i="32"/>
  <c r="AS946" i="32"/>
  <c r="AS947" i="32"/>
  <c r="AS948" i="32"/>
  <c r="AS949" i="32"/>
  <c r="AS950" i="32"/>
  <c r="AS951" i="32"/>
  <c r="AS952" i="32"/>
  <c r="AS953" i="32"/>
  <c r="AS954" i="32"/>
  <c r="AS955" i="32"/>
  <c r="AS956" i="32"/>
  <c r="AS957" i="32"/>
  <c r="AS958" i="32"/>
  <c r="AS959" i="32"/>
  <c r="AS960" i="32"/>
  <c r="AS961" i="32"/>
  <c r="AS962" i="32"/>
  <c r="AS963" i="32"/>
  <c r="AS964" i="32"/>
  <c r="AS965" i="32"/>
  <c r="AS966" i="32"/>
  <c r="AS967" i="32"/>
  <c r="AS968" i="32"/>
  <c r="AS969" i="32"/>
  <c r="AS970" i="32"/>
  <c r="AS971" i="32"/>
  <c r="AS972" i="32"/>
  <c r="AS973" i="32"/>
  <c r="AS974" i="32"/>
  <c r="AS975" i="32"/>
  <c r="AS976" i="32"/>
  <c r="AS977" i="32"/>
  <c r="AS978" i="32"/>
  <c r="AS979" i="32"/>
  <c r="AS980" i="32"/>
  <c r="AS981" i="32"/>
  <c r="AS982" i="32"/>
  <c r="AS983" i="32"/>
  <c r="AS984" i="32"/>
  <c r="AS985" i="32"/>
  <c r="AS986" i="32"/>
  <c r="AS987" i="32"/>
  <c r="AS988" i="32"/>
  <c r="AS989" i="32"/>
  <c r="AS990" i="32"/>
  <c r="AS991" i="32"/>
  <c r="AS992" i="32"/>
  <c r="AS993" i="32"/>
  <c r="AS994" i="32"/>
  <c r="AS995" i="32"/>
  <c r="AS996" i="32"/>
  <c r="AS997" i="32"/>
  <c r="AS998" i="32"/>
  <c r="AS999" i="32"/>
  <c r="AS1000" i="32"/>
  <c r="AS1001" i="32"/>
  <c r="AS1002" i="32"/>
  <c r="AS1003" i="32"/>
  <c r="AS1004" i="32"/>
  <c r="AS1005" i="32"/>
  <c r="AS1006" i="32"/>
  <c r="AS1007" i="32"/>
  <c r="AS1008" i="32"/>
  <c r="AS1009" i="32"/>
  <c r="AS1010" i="32"/>
  <c r="AS1011" i="32"/>
  <c r="AS1012" i="32"/>
  <c r="AS1013" i="32"/>
  <c r="AS1014" i="32"/>
  <c r="AS1015" i="32"/>
  <c r="AS1016" i="32"/>
  <c r="AS1017" i="32"/>
  <c r="AS1018" i="32"/>
  <c r="AS1019" i="32"/>
  <c r="AS1020" i="32"/>
  <c r="AS1021" i="32"/>
  <c r="AS1022" i="32"/>
  <c r="AS1023" i="32"/>
  <c r="AS1024" i="32"/>
  <c r="AS1025" i="32"/>
  <c r="AS1026" i="32"/>
  <c r="AS1027" i="32"/>
  <c r="AS1028" i="32"/>
  <c r="AS1029" i="32"/>
  <c r="AS1030" i="32"/>
  <c r="AS1031" i="32"/>
  <c r="AS1032" i="32"/>
  <c r="AS1033" i="32"/>
  <c r="AS1034" i="32"/>
  <c r="AS1035" i="32"/>
  <c r="AS1036" i="32"/>
  <c r="AS1037" i="32"/>
  <c r="AS1038" i="32"/>
  <c r="AS1039" i="32"/>
  <c r="AS1040" i="32"/>
  <c r="AS1041" i="32"/>
  <c r="AS1042" i="32"/>
  <c r="AS1043" i="32"/>
  <c r="AS1044" i="32"/>
  <c r="AS1045" i="32"/>
  <c r="AS1046" i="32"/>
  <c r="AS1047" i="32"/>
  <c r="AS1048" i="32"/>
  <c r="AS1049" i="32"/>
  <c r="AS1050" i="32"/>
  <c r="AS1051" i="32"/>
  <c r="AS1052" i="32"/>
  <c r="AS1053" i="32"/>
  <c r="AS1054" i="32"/>
  <c r="AS1055" i="32"/>
  <c r="AS1056" i="32"/>
  <c r="AS1057" i="32"/>
  <c r="AS1058" i="32"/>
  <c r="AS1059" i="32"/>
  <c r="AS1060" i="32"/>
  <c r="AS1061" i="32"/>
  <c r="AS1062" i="32"/>
  <c r="AS1063" i="32"/>
  <c r="AS1064" i="32"/>
  <c r="AS1065" i="32"/>
  <c r="AS1066" i="32"/>
  <c r="AS1067" i="32"/>
  <c r="AS1068" i="32"/>
  <c r="AS1069" i="32"/>
  <c r="AS1070" i="32"/>
  <c r="AS1071" i="32"/>
  <c r="AS1072" i="32"/>
  <c r="AS1073" i="32"/>
  <c r="AS1074" i="32"/>
  <c r="AS1075" i="32"/>
  <c r="AS1076" i="32"/>
  <c r="AS1077" i="32"/>
  <c r="AS1078" i="32"/>
  <c r="AS1079" i="32"/>
  <c r="AS1080" i="32"/>
  <c r="AS1081" i="32"/>
  <c r="AS1082" i="32"/>
  <c r="AS1083" i="32"/>
  <c r="AS1084" i="32"/>
  <c r="AS1085" i="32"/>
  <c r="AS1086" i="32"/>
  <c r="AS1087" i="32"/>
  <c r="AS1088" i="32"/>
  <c r="AS1089" i="32"/>
  <c r="AS1090" i="32"/>
  <c r="AS1091" i="32"/>
  <c r="AS1092" i="32"/>
  <c r="AS1093" i="32"/>
  <c r="AS1094" i="32"/>
  <c r="AS1095" i="32"/>
  <c r="AS1096" i="32"/>
  <c r="AS1097" i="32"/>
  <c r="AS1098" i="32"/>
  <c r="AS1099" i="32"/>
  <c r="AS1100" i="32"/>
  <c r="AS1101" i="32"/>
  <c r="AS1102" i="32"/>
  <c r="AS1103" i="32"/>
  <c r="AS1104" i="32"/>
  <c r="AS1105" i="32"/>
  <c r="AS1106" i="32"/>
  <c r="AS1107" i="32"/>
  <c r="AS1108" i="32"/>
  <c r="AS1109" i="32"/>
  <c r="AS1110" i="32"/>
  <c r="AS1111" i="32"/>
  <c r="AS1112" i="32"/>
  <c r="AS1113" i="32"/>
  <c r="AS1114" i="32"/>
  <c r="AS1115" i="32"/>
  <c r="AS1116" i="32"/>
  <c r="AS1117" i="32"/>
  <c r="AS1118" i="32"/>
  <c r="AS1119" i="32"/>
  <c r="AS1120" i="32"/>
  <c r="AS1121" i="32"/>
  <c r="AS1122" i="32"/>
  <c r="AS1123" i="32"/>
  <c r="AS1124" i="32"/>
  <c r="AS1125" i="32"/>
  <c r="AS1126" i="32"/>
  <c r="AS1127" i="32"/>
  <c r="AS1128" i="32"/>
  <c r="AS1129" i="32"/>
  <c r="AS1130" i="32"/>
  <c r="AS1131" i="32"/>
  <c r="AS1132" i="32"/>
  <c r="AS1133" i="32"/>
  <c r="AS1134" i="32"/>
  <c r="AS1135" i="32"/>
  <c r="AS1136" i="32"/>
  <c r="AS1137" i="32"/>
  <c r="AS1138" i="32"/>
  <c r="AS1139" i="32"/>
  <c r="AS1140" i="32"/>
  <c r="AS1141" i="32"/>
  <c r="AS1142" i="32"/>
  <c r="AS1143" i="32"/>
  <c r="AS1144" i="32"/>
  <c r="AS1145" i="32"/>
  <c r="AS1146" i="32"/>
  <c r="AS1147" i="32"/>
  <c r="AS1148" i="32"/>
  <c r="AS1149" i="32"/>
  <c r="AS1150" i="32"/>
  <c r="AS1151" i="32"/>
  <c r="AS1152" i="32"/>
  <c r="AS1153" i="32"/>
  <c r="AS1154" i="32"/>
  <c r="AS1155" i="32"/>
  <c r="AS1156" i="32"/>
  <c r="AS1157" i="32"/>
  <c r="AS1158" i="32"/>
  <c r="AS1159" i="32"/>
  <c r="AS1160" i="32"/>
  <c r="AS1161" i="32"/>
  <c r="AS1162" i="32"/>
  <c r="AS1163" i="32"/>
  <c r="AS1164" i="32"/>
  <c r="AS1165" i="32"/>
  <c r="AS1166" i="32"/>
  <c r="AS1167" i="32"/>
  <c r="AS1168" i="32"/>
  <c r="AS1169" i="32"/>
  <c r="AS1170" i="32"/>
  <c r="AS1171" i="32"/>
  <c r="AS1172" i="32"/>
  <c r="AS1173" i="32"/>
  <c r="AS1174" i="32"/>
  <c r="AS1175" i="32"/>
  <c r="AS1176" i="32"/>
  <c r="AS1177" i="32"/>
  <c r="AS1178" i="32"/>
  <c r="AS1179" i="32"/>
  <c r="AS1180" i="32"/>
  <c r="AS1181" i="32"/>
  <c r="AS1182" i="32"/>
  <c r="AS1183" i="32"/>
  <c r="AS1184" i="32"/>
  <c r="AS1185" i="32"/>
  <c r="AS1186" i="32"/>
  <c r="AS1187" i="32"/>
  <c r="AS1188" i="32"/>
  <c r="AS1189" i="32"/>
  <c r="AS1190" i="32"/>
  <c r="AS1191" i="32"/>
  <c r="AS1192" i="32"/>
  <c r="AS1193" i="32"/>
  <c r="AS1194" i="32"/>
  <c r="AS1195" i="32"/>
  <c r="AS1196" i="32"/>
  <c r="AS1197" i="32"/>
  <c r="AS1198" i="32"/>
  <c r="AS1199" i="32"/>
  <c r="AS1200" i="32"/>
  <c r="AS1201" i="32"/>
  <c r="AS1202" i="32"/>
  <c r="AS1203" i="32"/>
  <c r="AS1204" i="32"/>
  <c r="AS1205" i="32"/>
  <c r="AS1206" i="32"/>
  <c r="AS1207" i="32"/>
  <c r="AS1208" i="32"/>
  <c r="AS1209" i="32"/>
  <c r="AS1210" i="32"/>
  <c r="AS1211" i="32"/>
  <c r="AS1212" i="32"/>
  <c r="AS1213" i="32"/>
  <c r="AS1214" i="32"/>
  <c r="AS1215" i="32"/>
  <c r="AS1216" i="32"/>
  <c r="AS1217" i="32"/>
  <c r="AS1218" i="32"/>
  <c r="AS1219" i="32"/>
  <c r="AS1220" i="32"/>
  <c r="AS1221" i="32"/>
  <c r="AS1222" i="32"/>
  <c r="AS1223" i="32"/>
  <c r="AS1224" i="32"/>
  <c r="AS1225" i="32"/>
  <c r="AS1226" i="32"/>
  <c r="AS1227" i="32"/>
  <c r="AS1228" i="32"/>
  <c r="AS1229" i="32"/>
  <c r="AS1230" i="32"/>
  <c r="AS1231" i="32"/>
  <c r="AS1232" i="32"/>
  <c r="AS1233" i="32"/>
  <c r="AS1234" i="32"/>
  <c r="AS1235" i="32"/>
  <c r="AS1236" i="32"/>
  <c r="AS1237" i="32"/>
  <c r="AS1238" i="32"/>
  <c r="AS1239" i="32"/>
  <c r="AS1240" i="32"/>
  <c r="AS1241" i="32"/>
  <c r="AS1242" i="32"/>
  <c r="AS1243" i="32"/>
  <c r="AS1244" i="32"/>
  <c r="AS1245" i="32"/>
  <c r="AS1246" i="32"/>
  <c r="AS1247" i="32"/>
  <c r="AS1248" i="32"/>
  <c r="AS1249" i="32"/>
  <c r="AS1250" i="32"/>
  <c r="AS1251" i="32"/>
  <c r="AS1252" i="32"/>
  <c r="AS1253" i="32"/>
  <c r="AS1254" i="32"/>
  <c r="AS1255" i="32"/>
  <c r="AS1256" i="32"/>
  <c r="AS1257" i="32"/>
  <c r="AS1258" i="32"/>
  <c r="AS1259" i="32"/>
  <c r="AS1260" i="32"/>
  <c r="AS1261" i="32"/>
  <c r="AS1262" i="32"/>
  <c r="AS1263" i="32"/>
  <c r="AS1264" i="32"/>
  <c r="AS1265" i="32"/>
  <c r="AS1266" i="32"/>
  <c r="AS1267" i="32"/>
  <c r="AS1268" i="32"/>
  <c r="AS1269" i="32"/>
  <c r="AS1270" i="32"/>
  <c r="AS1271" i="32"/>
  <c r="AS1272" i="32"/>
  <c r="AS1273" i="32"/>
  <c r="AS1274" i="32"/>
  <c r="AS1275" i="32"/>
  <c r="AS1276" i="32"/>
  <c r="AS1277" i="32"/>
  <c r="AS1278" i="32"/>
  <c r="AS1279" i="32"/>
  <c r="AS1280" i="32"/>
  <c r="AS1281" i="32"/>
  <c r="AS1282" i="32"/>
  <c r="AS1283" i="32"/>
  <c r="AS1284" i="32"/>
  <c r="AS1285" i="32"/>
  <c r="AS1286" i="32"/>
  <c r="AS1287" i="32"/>
  <c r="AS1288" i="32"/>
  <c r="AS1289" i="32"/>
  <c r="AS1290" i="32"/>
  <c r="AS1291" i="32"/>
  <c r="AS1292" i="32"/>
  <c r="AS1293" i="32"/>
  <c r="AS1294" i="32"/>
  <c r="AS1295" i="32"/>
  <c r="AS1296" i="32"/>
  <c r="AS1297" i="32"/>
  <c r="AS1298" i="32"/>
  <c r="AS1299" i="32"/>
  <c r="AS1300" i="32"/>
  <c r="AS1301" i="32"/>
  <c r="AS1302" i="32"/>
  <c r="AS1303" i="32"/>
  <c r="AS1304" i="32"/>
  <c r="AS1305" i="32"/>
  <c r="AS1306" i="32"/>
  <c r="AS1307" i="32"/>
  <c r="AS1308" i="32"/>
  <c r="AS1309" i="32"/>
  <c r="AS1310" i="32"/>
  <c r="AS1311" i="32"/>
  <c r="AS1312" i="32"/>
  <c r="AS1313" i="32"/>
  <c r="AS1314" i="32"/>
  <c r="AS1315" i="32"/>
  <c r="AS1316" i="32"/>
  <c r="AS1317" i="32"/>
  <c r="AS1318" i="32"/>
  <c r="AS1319" i="32"/>
  <c r="AS1320" i="32"/>
  <c r="AS1321" i="32"/>
  <c r="AS1322" i="32"/>
  <c r="AS1323" i="32"/>
  <c r="AS1324" i="32"/>
  <c r="AS1325" i="32"/>
  <c r="AS1326" i="32"/>
  <c r="AS1327" i="32"/>
  <c r="AS1328" i="32"/>
  <c r="AS1329" i="32"/>
  <c r="AS1330" i="32"/>
  <c r="AS1331" i="32"/>
  <c r="AS1332" i="32"/>
  <c r="AS1333" i="32"/>
  <c r="AS1334" i="32"/>
  <c r="AS1335" i="32"/>
  <c r="AS1336" i="32"/>
  <c r="AS1337" i="32"/>
  <c r="AS1338" i="32"/>
  <c r="AS1339" i="32"/>
  <c r="AS1340" i="32"/>
  <c r="AS1341" i="32"/>
  <c r="AS1342" i="32"/>
  <c r="AS1343" i="32"/>
  <c r="AS1344" i="32"/>
  <c r="AS1345" i="32"/>
  <c r="AS1346" i="32"/>
  <c r="AS1347" i="32"/>
  <c r="AS1348" i="32"/>
  <c r="AS1349" i="32"/>
  <c r="AS1350" i="32"/>
  <c r="AS1351" i="32"/>
  <c r="AS1352" i="32"/>
  <c r="AS1353" i="32"/>
  <c r="AS1354" i="32"/>
  <c r="AS1355" i="32"/>
  <c r="AS1356" i="32"/>
  <c r="AS1357" i="32"/>
  <c r="AS1358" i="32"/>
  <c r="AS1359" i="32"/>
  <c r="AS1360" i="32"/>
  <c r="AS1361" i="32"/>
  <c r="AS1362" i="32"/>
  <c r="AS1363" i="32"/>
  <c r="AS1364" i="32"/>
  <c r="AS1365" i="32"/>
  <c r="AS1366" i="32"/>
  <c r="AS1367" i="32"/>
  <c r="AS1368" i="32"/>
  <c r="AS1369" i="32"/>
  <c r="AS1370" i="32"/>
  <c r="AS1371" i="32"/>
  <c r="AS1372" i="32"/>
  <c r="AS1373" i="32"/>
  <c r="AS1374" i="32"/>
  <c r="AS1375" i="32"/>
  <c r="AS1376" i="32"/>
  <c r="AS1377" i="32"/>
  <c r="AS1378" i="32"/>
  <c r="AS1379" i="32"/>
  <c r="AS1380" i="32"/>
  <c r="AS1381" i="32"/>
  <c r="AS1382" i="32"/>
  <c r="AS1383" i="32"/>
  <c r="AS1384" i="32"/>
  <c r="AS1385" i="32"/>
  <c r="AS1386" i="32"/>
  <c r="AS1387" i="32"/>
  <c r="AS1388" i="32"/>
  <c r="AS1389" i="32"/>
  <c r="AS1390" i="32"/>
  <c r="AS1391" i="32"/>
  <c r="AS1392" i="32"/>
  <c r="AS1393" i="32"/>
  <c r="AS1394" i="32"/>
  <c r="AS1395" i="32"/>
  <c r="AS1396" i="32"/>
  <c r="AS1397" i="32"/>
  <c r="AS1398" i="32"/>
  <c r="AS1399" i="32"/>
  <c r="AS1400" i="32"/>
  <c r="AS1401" i="32"/>
  <c r="AS1402" i="32"/>
  <c r="AS1403" i="32"/>
  <c r="AS1404" i="32"/>
  <c r="AS1405" i="32"/>
  <c r="AS1406" i="32"/>
  <c r="AS1407" i="32"/>
  <c r="AS1408" i="32"/>
  <c r="AS1409" i="32"/>
  <c r="AS1410" i="32"/>
  <c r="AS1411" i="32"/>
  <c r="AS1412" i="32"/>
  <c r="AS1413" i="32"/>
  <c r="AS1414" i="32"/>
  <c r="AS1415" i="32"/>
  <c r="AS1416" i="32"/>
  <c r="AS1417" i="32"/>
  <c r="AS1418" i="32"/>
  <c r="AS1419" i="32"/>
  <c r="AS1420" i="32"/>
  <c r="AS1421" i="32"/>
  <c r="AS1422" i="32"/>
  <c r="AS1423" i="32"/>
  <c r="AS1424" i="32"/>
  <c r="AS1425" i="32"/>
  <c r="AS1426" i="32"/>
  <c r="AS1427" i="32"/>
  <c r="AS1428" i="32"/>
  <c r="AS1429" i="32"/>
  <c r="AS1430" i="32"/>
  <c r="AS1431" i="32"/>
  <c r="AS1432" i="32"/>
  <c r="AS1433" i="32"/>
  <c r="AS1434" i="32"/>
  <c r="AS1435" i="32"/>
  <c r="AS1436" i="32"/>
  <c r="AS1437" i="32"/>
  <c r="AS1438" i="32"/>
  <c r="AS1439" i="32"/>
  <c r="AS1440" i="32"/>
  <c r="AS1441" i="32"/>
  <c r="AS1442" i="32"/>
  <c r="AS1443" i="32"/>
  <c r="AS1444" i="32"/>
  <c r="AS1445" i="32"/>
  <c r="AS1446" i="32"/>
  <c r="AS1447" i="32"/>
  <c r="AS1448" i="32"/>
  <c r="AS1449" i="32"/>
  <c r="AS1450" i="32"/>
  <c r="AS1451" i="32"/>
  <c r="AS1452" i="32"/>
  <c r="AS1453" i="32"/>
  <c r="AS1454" i="32"/>
  <c r="AS1455" i="32"/>
  <c r="AS1456" i="32"/>
  <c r="AS1457" i="32"/>
  <c r="AS1458" i="32"/>
  <c r="AS1459" i="32"/>
  <c r="AS1460" i="32"/>
  <c r="AS1461" i="32"/>
  <c r="AS1462" i="32"/>
  <c r="AS1463" i="32"/>
  <c r="AS1464" i="32"/>
  <c r="AS1465" i="32"/>
  <c r="AS1466" i="32"/>
  <c r="AS1467" i="32"/>
  <c r="AS1468" i="32"/>
  <c r="AS1469" i="32"/>
  <c r="AS1470" i="32"/>
  <c r="AS1471" i="32"/>
  <c r="AS1472" i="32"/>
  <c r="AS1473" i="32"/>
  <c r="AS1474" i="32"/>
  <c r="AS1475" i="32"/>
  <c r="AS1476" i="32"/>
  <c r="AS1477" i="32"/>
  <c r="AS1478" i="32"/>
  <c r="AS1479" i="32"/>
  <c r="AS1480" i="32"/>
  <c r="AS1481" i="32"/>
  <c r="AS1482" i="32"/>
  <c r="AS1483" i="32"/>
  <c r="AS1484" i="32"/>
  <c r="AS1485" i="32"/>
  <c r="AS1486" i="32"/>
  <c r="AS1487" i="32"/>
  <c r="AS1488" i="32"/>
  <c r="AS1489" i="32"/>
  <c r="AS1490" i="32"/>
  <c r="AS1491" i="32"/>
  <c r="AS1492" i="32"/>
  <c r="AS1493" i="32"/>
  <c r="AS1494" i="32"/>
  <c r="AS1495" i="32"/>
  <c r="AS1496" i="32"/>
  <c r="AS1497" i="32"/>
  <c r="AS1498" i="32"/>
  <c r="AS1499" i="32"/>
  <c r="AS1500" i="32"/>
  <c r="AS1501" i="32"/>
  <c r="AS1502" i="32"/>
  <c r="AS1503" i="32"/>
  <c r="AS1504" i="32"/>
  <c r="AS1505" i="32"/>
  <c r="AS1506" i="32"/>
  <c r="AS1507" i="32"/>
  <c r="AS1508" i="32"/>
  <c r="AS1509" i="32"/>
  <c r="AS1510" i="32"/>
  <c r="AS1511" i="32"/>
  <c r="AS1512" i="32"/>
  <c r="AS1513" i="32"/>
  <c r="AS1514" i="32"/>
  <c r="AS1515" i="32"/>
  <c r="AS1516" i="32"/>
  <c r="AS1517" i="32"/>
  <c r="AS1518" i="32"/>
  <c r="AS1519" i="32"/>
  <c r="AS1520" i="32"/>
  <c r="AS1521" i="32"/>
  <c r="AS1522" i="32"/>
  <c r="AS1523" i="32"/>
  <c r="AS1524" i="32"/>
  <c r="AS1525" i="32"/>
  <c r="AS1526" i="32"/>
  <c r="AS1527" i="32"/>
  <c r="AS1528" i="32"/>
  <c r="AS1529" i="32"/>
  <c r="AS1530" i="32"/>
  <c r="AS1531" i="32"/>
  <c r="AS1532" i="32"/>
  <c r="AS1533" i="32"/>
  <c r="AS1534" i="32"/>
  <c r="AS1535" i="32"/>
  <c r="AS1536" i="32"/>
  <c r="AS1537" i="32"/>
  <c r="AS1538" i="32"/>
  <c r="AS1539" i="32"/>
  <c r="AS1540" i="32"/>
  <c r="AS1541" i="32"/>
  <c r="AS1542" i="32"/>
  <c r="AS1543" i="32"/>
  <c r="AS1544" i="32"/>
  <c r="AS1545" i="32"/>
  <c r="AS1546" i="32"/>
  <c r="AS1547" i="32"/>
  <c r="AS1548" i="32"/>
  <c r="AS1549" i="32"/>
  <c r="AS1550" i="32"/>
  <c r="AS1551" i="32"/>
  <c r="AS1552" i="32"/>
  <c r="AS1553" i="32"/>
  <c r="AS1554" i="32"/>
  <c r="AS1555" i="32"/>
  <c r="AS1556" i="32"/>
  <c r="AS1557" i="32"/>
  <c r="AS1558" i="32"/>
  <c r="AS1559" i="32"/>
  <c r="AS1560" i="32"/>
  <c r="AS1561" i="32"/>
  <c r="AS1562" i="32"/>
  <c r="AS1563" i="32"/>
  <c r="AS1564" i="32"/>
  <c r="AS1565" i="32"/>
  <c r="AS1566" i="32"/>
  <c r="AS1567" i="32"/>
  <c r="AS1568" i="32"/>
  <c r="AS1569" i="32"/>
  <c r="AS1570" i="32"/>
  <c r="AS1571" i="32"/>
  <c r="AS1572" i="32"/>
  <c r="AS1573" i="32"/>
  <c r="AS1574" i="32"/>
  <c r="AS1575" i="32"/>
  <c r="AS1576" i="32"/>
  <c r="AS1577" i="32"/>
  <c r="AS1578" i="32"/>
  <c r="AS1579" i="32"/>
  <c r="AS1580" i="32"/>
  <c r="AS1581" i="32"/>
  <c r="AS1582" i="32"/>
  <c r="AS1583" i="32"/>
  <c r="AS1584" i="32"/>
  <c r="AS1585" i="32"/>
  <c r="AS1586" i="32"/>
  <c r="AS1587" i="32"/>
  <c r="AS1588" i="32"/>
  <c r="AS1589" i="32"/>
  <c r="AS1590" i="32"/>
  <c r="AS1591" i="32"/>
  <c r="AS1592" i="32"/>
  <c r="AS1593" i="32"/>
  <c r="AS1594" i="32"/>
  <c r="AS1595" i="32"/>
  <c r="AS1596" i="32"/>
  <c r="AS1597" i="32"/>
  <c r="AS1598" i="32"/>
  <c r="AS1599" i="32"/>
  <c r="AS1600" i="32"/>
  <c r="AS1601" i="32"/>
  <c r="AS1602" i="32"/>
  <c r="AS1603" i="32"/>
  <c r="AS1604" i="32"/>
  <c r="AS1605" i="32"/>
  <c r="AS1606" i="32"/>
  <c r="AS1607" i="32"/>
  <c r="AS1608" i="32"/>
  <c r="AS1609" i="32"/>
  <c r="AS1610" i="32"/>
  <c r="AS1611" i="32"/>
  <c r="AS1612" i="32"/>
  <c r="AS1613" i="32"/>
  <c r="AS1614" i="32"/>
  <c r="AS1615" i="32"/>
  <c r="AS1616" i="32"/>
  <c r="AS1617" i="32"/>
  <c r="AS1618" i="32"/>
  <c r="AS1619" i="32"/>
  <c r="AS1620" i="32"/>
  <c r="AS1621" i="32"/>
  <c r="AS1622" i="32"/>
  <c r="AS1623" i="32"/>
  <c r="AS1624" i="32"/>
  <c r="AS1625" i="32"/>
  <c r="AS1626" i="32"/>
  <c r="AS1627" i="32"/>
  <c r="AS1628" i="32"/>
  <c r="AS1629" i="32"/>
  <c r="AS1630" i="32"/>
  <c r="AS1631" i="32"/>
  <c r="AS1632" i="32"/>
  <c r="AS1633" i="32"/>
  <c r="AS1634" i="32"/>
  <c r="AS1635" i="32"/>
  <c r="AS1636" i="32"/>
  <c r="AS1637" i="32"/>
  <c r="AS1638" i="32"/>
  <c r="AS1639" i="32"/>
  <c r="AS1640" i="32"/>
  <c r="AS1641" i="32"/>
  <c r="AS1642" i="32"/>
  <c r="AS1643" i="32"/>
  <c r="AS1644" i="32"/>
  <c r="AS1645" i="32"/>
  <c r="AS1646" i="32"/>
  <c r="AS1647" i="32"/>
  <c r="AS1648" i="32"/>
  <c r="AS1649" i="32"/>
  <c r="AS1650" i="32"/>
  <c r="AS1651" i="32"/>
  <c r="AS1652" i="32"/>
  <c r="AS1653" i="32"/>
  <c r="AS1654" i="32"/>
  <c r="AS1655" i="32"/>
  <c r="AS1656" i="32"/>
  <c r="AS1657" i="32"/>
  <c r="AS1658" i="32"/>
  <c r="AS1659" i="32"/>
  <c r="AS1660" i="32"/>
  <c r="AS1661" i="32"/>
  <c r="AS1662" i="32"/>
  <c r="AS1663" i="32"/>
  <c r="AS1664" i="32"/>
  <c r="AS1665" i="32"/>
  <c r="AS1666" i="32"/>
  <c r="AS1667" i="32"/>
  <c r="AS1668" i="32"/>
  <c r="AS1669" i="32"/>
  <c r="AS1670" i="32"/>
  <c r="AS1671" i="32"/>
  <c r="AS1672" i="32"/>
  <c r="AS1673" i="32"/>
  <c r="AS1674" i="32"/>
  <c r="AS1675" i="32"/>
  <c r="AS1676" i="32"/>
  <c r="AS1677" i="32"/>
  <c r="AS1678" i="32"/>
  <c r="AS1679" i="32"/>
  <c r="AS1680" i="32"/>
  <c r="AS1681" i="32"/>
  <c r="AS1682" i="32"/>
  <c r="AS1683" i="32"/>
  <c r="AS1684" i="32"/>
  <c r="AS1685" i="32"/>
  <c r="AS1686" i="32"/>
  <c r="AS1687" i="32"/>
  <c r="AS1688" i="32"/>
  <c r="AS1689" i="32"/>
  <c r="AS1690" i="32"/>
  <c r="AS1691" i="32"/>
  <c r="AS1692" i="32"/>
  <c r="AS1693" i="32"/>
  <c r="AS1694" i="32"/>
  <c r="AS1695" i="32"/>
  <c r="AS1696" i="32"/>
  <c r="AS1697" i="32"/>
  <c r="AS1698" i="32"/>
  <c r="AS1699" i="32"/>
  <c r="AS1700" i="32"/>
  <c r="AS1701" i="32"/>
  <c r="AS1702" i="32"/>
  <c r="AS1703" i="32"/>
  <c r="AS1704" i="32"/>
  <c r="AS1705" i="32"/>
  <c r="AS1706" i="32"/>
  <c r="AS1707" i="32"/>
  <c r="AS1708" i="32"/>
  <c r="AS1709" i="32"/>
  <c r="AS1710" i="32"/>
  <c r="AS1711" i="32"/>
  <c r="AS1712" i="32"/>
  <c r="AS1713" i="32"/>
  <c r="AS1714" i="32"/>
  <c r="AS1715" i="32"/>
  <c r="AS1716" i="32"/>
  <c r="AS1717" i="32"/>
  <c r="AS1718" i="32"/>
  <c r="AS1719" i="32"/>
  <c r="AS1720" i="32"/>
  <c r="AS1721" i="32"/>
  <c r="AS1722" i="32"/>
  <c r="AS1723" i="32"/>
  <c r="AS1724" i="32"/>
  <c r="AS1725" i="32"/>
  <c r="AS1726" i="32"/>
  <c r="AS1727" i="32"/>
  <c r="AS1728" i="32"/>
  <c r="AS1729" i="32"/>
  <c r="AS1730" i="32"/>
  <c r="AS1731" i="32"/>
  <c r="AS1732" i="32"/>
  <c r="AS1733" i="32"/>
  <c r="AS1734" i="32"/>
  <c r="AS1735" i="32"/>
  <c r="AS1736" i="32"/>
  <c r="AS1737" i="32"/>
  <c r="AS1738" i="32"/>
  <c r="AS1739" i="32"/>
  <c r="AS1740" i="32"/>
  <c r="AS1741" i="32"/>
  <c r="AS1742" i="32"/>
  <c r="AS1743" i="32"/>
  <c r="AS1744" i="32"/>
  <c r="AS1745" i="32"/>
  <c r="AS1746" i="32"/>
  <c r="AS1747" i="32"/>
  <c r="AS1748" i="32"/>
  <c r="AS1749" i="32"/>
  <c r="AS1750" i="32"/>
  <c r="AS1751" i="32"/>
  <c r="AS1752" i="32"/>
  <c r="AS1753" i="32"/>
  <c r="AS1754" i="32"/>
  <c r="AS1755" i="32"/>
  <c r="AS1756" i="32"/>
  <c r="AS1757" i="32"/>
  <c r="AS1758" i="32"/>
  <c r="AS1759" i="32"/>
  <c r="AS1760" i="32"/>
  <c r="AS1761" i="32"/>
  <c r="AS1762" i="32"/>
  <c r="AS1763" i="32"/>
  <c r="AS1764" i="32"/>
  <c r="AS1765" i="32"/>
  <c r="AS1766" i="32"/>
  <c r="AS1767" i="32"/>
  <c r="AS1768" i="32"/>
  <c r="AS1769" i="32"/>
  <c r="AS1770" i="32"/>
  <c r="AS1771" i="32"/>
  <c r="AS1772" i="32"/>
  <c r="AS1773" i="32"/>
  <c r="AS1774" i="32"/>
  <c r="AS1775" i="32"/>
  <c r="AS1776" i="32"/>
  <c r="AS1777" i="32"/>
  <c r="AS1778" i="32"/>
  <c r="AS1779" i="32"/>
  <c r="AS1780" i="32"/>
  <c r="AS1781" i="32"/>
  <c r="AS1782" i="32"/>
  <c r="AS1783" i="32"/>
  <c r="AS1784" i="32"/>
  <c r="AS1785" i="32"/>
  <c r="AS1786" i="32"/>
  <c r="AS1787" i="32"/>
  <c r="AS1788" i="32"/>
  <c r="AS1789" i="32"/>
  <c r="AS1790" i="32"/>
  <c r="AS1791" i="32"/>
  <c r="AS1792" i="32"/>
  <c r="AS1793" i="32"/>
  <c r="AS1794" i="32"/>
  <c r="AS1795" i="32"/>
  <c r="AS1796" i="32"/>
  <c r="AS1797" i="32"/>
  <c r="AS1798" i="32"/>
  <c r="AS1799" i="32"/>
  <c r="AS1800" i="32"/>
  <c r="AS1801" i="32"/>
  <c r="AS1802" i="32"/>
  <c r="AS1803" i="32"/>
  <c r="AS1804" i="32"/>
  <c r="AS1805" i="32"/>
  <c r="AS1806" i="32"/>
  <c r="AS1807" i="32"/>
  <c r="AS1808" i="32"/>
  <c r="AS1809" i="32"/>
  <c r="AS1810" i="32"/>
  <c r="AS1811" i="32"/>
  <c r="AS1812" i="32"/>
  <c r="AS1813" i="32"/>
  <c r="AS1814" i="32"/>
  <c r="AS1815" i="32"/>
  <c r="AS1816" i="32"/>
  <c r="AS1817" i="32"/>
  <c r="AS1818" i="32"/>
  <c r="AS1819" i="32"/>
  <c r="AS1820" i="32"/>
  <c r="AS1821" i="32"/>
  <c r="AS1822" i="32"/>
  <c r="AS1823" i="32"/>
  <c r="AS1824" i="32"/>
  <c r="AS1825" i="32"/>
  <c r="AS1826" i="32"/>
  <c r="AS1827" i="32"/>
  <c r="AS1828" i="32"/>
  <c r="AS1829" i="32"/>
  <c r="AS1830" i="32"/>
  <c r="AS1831" i="32"/>
  <c r="AS1832" i="32"/>
  <c r="AS1833" i="32"/>
  <c r="AS1834" i="32"/>
  <c r="AS1835" i="32"/>
  <c r="AS1836" i="32"/>
  <c r="AS1837" i="32"/>
  <c r="AS1838" i="32"/>
  <c r="AS1839" i="32"/>
  <c r="AS1840" i="32"/>
  <c r="AS1841" i="32"/>
  <c r="AS1842" i="32"/>
  <c r="AS1843" i="32"/>
  <c r="AS1844" i="32"/>
  <c r="AS1845" i="32"/>
  <c r="AS1846" i="32"/>
  <c r="AS1847" i="32"/>
  <c r="AS1848" i="32"/>
  <c r="AS1849" i="32"/>
  <c r="AS1850" i="32"/>
  <c r="AS1851" i="32"/>
  <c r="AS1852" i="32"/>
  <c r="AS1853" i="32"/>
  <c r="AS1854" i="32"/>
  <c r="AS1855" i="32"/>
  <c r="AS1856" i="32"/>
  <c r="AS1857" i="32"/>
  <c r="AS1858" i="32"/>
  <c r="AS1859" i="32"/>
  <c r="AS1860" i="32"/>
  <c r="AS1861" i="32"/>
  <c r="AS1862" i="32"/>
  <c r="AS1863" i="32"/>
  <c r="AS1864" i="32"/>
  <c r="AS1865" i="32"/>
  <c r="AS1866" i="32"/>
  <c r="AS1867" i="32"/>
  <c r="AS1868" i="32"/>
  <c r="AS1869" i="32"/>
  <c r="AS1870" i="32"/>
  <c r="AS1871" i="32"/>
  <c r="AS1872" i="32"/>
  <c r="AS1873" i="32"/>
  <c r="AS1874" i="32"/>
  <c r="AS1875" i="32"/>
  <c r="AS1876" i="32"/>
  <c r="AS1877" i="32"/>
  <c r="AS1878" i="32"/>
  <c r="AS1879" i="32"/>
  <c r="AS1880" i="32"/>
  <c r="AS1881" i="32"/>
  <c r="AS1882" i="32"/>
  <c r="AS1883" i="32"/>
  <c r="AS1884" i="32"/>
  <c r="AS1885" i="32"/>
  <c r="AS1886" i="32"/>
  <c r="AS1887" i="32"/>
  <c r="AS1888" i="32"/>
  <c r="AS1889" i="32"/>
  <c r="AS1890" i="32"/>
  <c r="AS1891" i="32"/>
  <c r="AS1892" i="32"/>
  <c r="AS1893" i="32"/>
  <c r="AS1894" i="32"/>
  <c r="AS1895" i="32"/>
  <c r="AS1896" i="32"/>
  <c r="AS1897" i="32"/>
  <c r="AS1898" i="32"/>
  <c r="AS1899" i="32"/>
  <c r="AS1900" i="32"/>
  <c r="AS1901" i="32"/>
  <c r="AS1902" i="32"/>
  <c r="AS1903" i="32"/>
  <c r="AS1904" i="32"/>
  <c r="AS1905" i="32"/>
  <c r="AS1906" i="32"/>
  <c r="AS1907" i="32"/>
  <c r="AS1908" i="32"/>
  <c r="AS1909" i="32"/>
  <c r="AS1910" i="32"/>
  <c r="AS1911" i="32"/>
  <c r="AS1912" i="32"/>
  <c r="AS1913" i="32"/>
  <c r="AS1914" i="32"/>
  <c r="AS1915" i="32"/>
  <c r="AS1916" i="32"/>
  <c r="AS1917" i="32"/>
  <c r="AS1918" i="32"/>
  <c r="AS1919" i="32"/>
  <c r="AS1920" i="32"/>
  <c r="AS1921" i="32"/>
  <c r="AS1922" i="32"/>
  <c r="AS1923" i="32"/>
  <c r="AS1924" i="32"/>
  <c r="AS1925" i="32"/>
  <c r="AS1926" i="32"/>
  <c r="AS1927" i="32"/>
  <c r="AS1928" i="32"/>
  <c r="AS1929" i="32"/>
  <c r="AS1930" i="32"/>
  <c r="AS1931" i="32"/>
  <c r="AS1932" i="32"/>
  <c r="AS1933" i="32"/>
  <c r="AS1934" i="32"/>
  <c r="AS1935" i="32"/>
  <c r="AS1936" i="32"/>
  <c r="AS1937" i="32"/>
  <c r="AS1938" i="32"/>
  <c r="AS1939" i="32"/>
  <c r="AS1940" i="32"/>
  <c r="AS1941" i="32"/>
  <c r="AS1942" i="32"/>
  <c r="AS1943" i="32"/>
  <c r="AS1944" i="32"/>
  <c r="AS1945" i="32"/>
  <c r="AS1946" i="32"/>
  <c r="AS1947" i="32"/>
  <c r="AS1948" i="32"/>
  <c r="AS1949" i="32"/>
  <c r="AS1950" i="32"/>
  <c r="AS1951" i="32"/>
  <c r="AS1952" i="32"/>
  <c r="AS1953" i="32"/>
  <c r="AS1954" i="32"/>
  <c r="AS1955" i="32"/>
  <c r="AS1956" i="32"/>
  <c r="AS1957" i="32"/>
  <c r="AS1958" i="32"/>
  <c r="AS1959" i="32"/>
  <c r="AS1960" i="32"/>
  <c r="AS1961" i="32"/>
  <c r="AS1962" i="32"/>
  <c r="AS1963" i="32"/>
  <c r="AS1964" i="32"/>
  <c r="AS1965" i="32"/>
  <c r="AS1966" i="32"/>
  <c r="AS1967" i="32"/>
  <c r="AS1968" i="32"/>
  <c r="AS1969" i="32"/>
  <c r="AS1970" i="32"/>
  <c r="AS1971" i="32"/>
  <c r="AS1972" i="32"/>
  <c r="AS1973" i="32"/>
  <c r="AS1974" i="32"/>
  <c r="AS1975" i="32"/>
  <c r="AS1976" i="32"/>
  <c r="AS1977" i="32"/>
  <c r="AS1978" i="32"/>
  <c r="AS1979" i="32"/>
  <c r="AS1980" i="32"/>
  <c r="AS1981" i="32"/>
  <c r="AS1982" i="32"/>
  <c r="AS1983" i="32"/>
  <c r="AS1984" i="32"/>
  <c r="AS1985" i="32"/>
  <c r="AS1986" i="32"/>
  <c r="AS1987" i="32"/>
  <c r="AS1988" i="32"/>
  <c r="AS1989" i="32"/>
  <c r="AS1990" i="32"/>
  <c r="AS1991" i="32"/>
  <c r="AS1992" i="32"/>
  <c r="AS1993" i="32"/>
  <c r="AS1994" i="32"/>
  <c r="AS1995" i="32"/>
  <c r="AS1996" i="32"/>
  <c r="AS1997" i="32"/>
  <c r="AS1998" i="32"/>
  <c r="AS1999" i="32"/>
  <c r="AS2000" i="32"/>
  <c r="AS2001" i="32"/>
  <c r="AS2002" i="32"/>
  <c r="AS2003" i="32"/>
  <c r="AS2004" i="32"/>
  <c r="AS2005" i="32"/>
  <c r="AS2006" i="32"/>
  <c r="AS2007" i="32"/>
  <c r="AS2008" i="32"/>
  <c r="AS2009" i="32"/>
  <c r="AS2010" i="32"/>
  <c r="AS2011" i="32"/>
  <c r="AS2012" i="32"/>
  <c r="AS2013" i="32"/>
  <c r="AS2014" i="32"/>
  <c r="AS2015" i="32"/>
  <c r="AS2016" i="32"/>
  <c r="AS2017" i="32"/>
  <c r="AS2018" i="32"/>
  <c r="AS2019" i="32"/>
  <c r="AS2020" i="32"/>
  <c r="AS2021" i="32"/>
  <c r="AS2022" i="32"/>
  <c r="AS2023" i="32"/>
  <c r="AS2024" i="32"/>
  <c r="AS2025" i="32"/>
  <c r="AS2026" i="32"/>
  <c r="AS2027" i="32"/>
  <c r="AS2028" i="32"/>
  <c r="AS2029" i="32"/>
  <c r="AS2030" i="32"/>
  <c r="AS2031" i="32"/>
  <c r="AS2032" i="32"/>
  <c r="AS2033" i="32"/>
  <c r="AS2034" i="32"/>
  <c r="AS2035" i="32"/>
  <c r="AS2036" i="32"/>
  <c r="AS2037" i="32"/>
  <c r="AS2038" i="32"/>
  <c r="AS2039" i="32"/>
  <c r="AS2040" i="32"/>
  <c r="AS2041" i="32"/>
  <c r="AS2042" i="32"/>
  <c r="AS2043" i="32"/>
  <c r="AS2044" i="32"/>
  <c r="AS2045" i="32"/>
  <c r="AS2046" i="32"/>
  <c r="AS2047" i="32"/>
  <c r="AS2048" i="32"/>
  <c r="AS2049" i="32"/>
  <c r="AS2050" i="32"/>
  <c r="AS2051" i="32"/>
  <c r="AS2052" i="32"/>
  <c r="AS2053" i="32"/>
  <c r="AS2054" i="32"/>
  <c r="AS2055" i="32"/>
  <c r="AS2056" i="32"/>
  <c r="AS2057" i="32"/>
  <c r="AS2058" i="32"/>
  <c r="AS2059" i="32"/>
  <c r="AS2060" i="32"/>
  <c r="AS2061" i="32"/>
  <c r="AS2062" i="32"/>
  <c r="AS2063" i="32"/>
  <c r="AS2064" i="32"/>
  <c r="AS2065" i="32"/>
  <c r="AS2066" i="32"/>
  <c r="AS2067" i="32"/>
  <c r="AS2068" i="32"/>
  <c r="AS2069" i="32"/>
  <c r="AS2070" i="32"/>
  <c r="AS2071" i="32"/>
  <c r="AS2072" i="32"/>
  <c r="AS2073" i="32"/>
  <c r="AS2074" i="32"/>
  <c r="AS2075" i="32"/>
  <c r="AS2076" i="32"/>
  <c r="AS2077" i="32"/>
  <c r="AS2078" i="32"/>
  <c r="AS2079" i="32"/>
  <c r="AS2080" i="32"/>
  <c r="AS2081" i="32"/>
  <c r="AS2082" i="32"/>
  <c r="AS2083" i="32"/>
  <c r="AS2084" i="32"/>
  <c r="AS2085" i="32"/>
  <c r="AS2086" i="32"/>
  <c r="AS2087" i="32"/>
  <c r="AS2088" i="32"/>
  <c r="AS2089" i="32"/>
  <c r="AS2090" i="32"/>
  <c r="AS2091" i="32"/>
  <c r="AS2092" i="32"/>
  <c r="AS2093" i="32"/>
  <c r="AS2094" i="32"/>
  <c r="AS2095" i="32"/>
  <c r="AS2096" i="32"/>
  <c r="AS2097" i="32"/>
  <c r="AS2098" i="32"/>
  <c r="AS2099" i="32"/>
  <c r="AS2100" i="32"/>
  <c r="AS2101" i="32"/>
  <c r="AS2102" i="32"/>
  <c r="AS2103" i="32"/>
  <c r="AS2104" i="32"/>
  <c r="AS2105" i="32"/>
  <c r="AS2106" i="32"/>
  <c r="AS2107" i="32"/>
  <c r="AS2108" i="32"/>
  <c r="AS2109" i="32"/>
  <c r="AS2110" i="32"/>
  <c r="AS2111" i="32"/>
  <c r="AS2112" i="32"/>
  <c r="AS2113" i="32"/>
  <c r="AS2114" i="32"/>
  <c r="AS2115" i="32"/>
  <c r="AS2116" i="32"/>
  <c r="AS2117" i="32"/>
  <c r="AS2118" i="32"/>
  <c r="AS2119" i="32"/>
  <c r="AS2120" i="32"/>
  <c r="AS2121" i="32"/>
  <c r="AS2122" i="32"/>
  <c r="AS2123" i="32"/>
  <c r="AS2124" i="32"/>
  <c r="AS2125" i="32"/>
  <c r="AS2126" i="32"/>
  <c r="AS2127" i="32"/>
  <c r="AS2128" i="32"/>
  <c r="AS2129" i="32"/>
  <c r="AS2130" i="32"/>
  <c r="AS2131" i="32"/>
  <c r="AS2132" i="32"/>
  <c r="AS2133" i="32"/>
  <c r="AS2134" i="32"/>
  <c r="AS2135" i="32"/>
  <c r="AS2136" i="32"/>
  <c r="AS2137" i="32"/>
  <c r="AS2138" i="32"/>
  <c r="AS2139" i="32"/>
  <c r="AS2140" i="32"/>
  <c r="AS2141" i="32"/>
  <c r="AS2142" i="32"/>
  <c r="AS2143" i="32"/>
  <c r="AS2144" i="32"/>
  <c r="AS2145" i="32"/>
  <c r="AS2146" i="32"/>
  <c r="AS2147" i="32"/>
  <c r="AS2148" i="32"/>
  <c r="AS2149" i="32"/>
  <c r="AS2150" i="32"/>
  <c r="AS2151" i="32"/>
  <c r="AS2152" i="32"/>
  <c r="AS2153" i="32"/>
  <c r="AS2154" i="32"/>
  <c r="AS2155" i="32"/>
  <c r="AS2156" i="32"/>
  <c r="AS2157" i="32"/>
  <c r="AS2158" i="32"/>
  <c r="AS2159" i="32"/>
  <c r="AS2160" i="32"/>
  <c r="AS2161" i="32"/>
  <c r="AS2162" i="32"/>
  <c r="AS2163" i="32"/>
  <c r="AS2164" i="32"/>
  <c r="AS2165" i="32"/>
  <c r="AS2166" i="32"/>
  <c r="AS2167" i="32"/>
  <c r="AS2168" i="32"/>
  <c r="AS2169" i="32"/>
  <c r="AS2170" i="32"/>
  <c r="AS2171" i="32"/>
  <c r="AS2172" i="32"/>
  <c r="AS2173" i="32"/>
  <c r="AS2174" i="32"/>
  <c r="AS2175" i="32"/>
  <c r="AS2176" i="32"/>
  <c r="AS2177" i="32"/>
  <c r="AS2178" i="32"/>
  <c r="AS2179" i="32"/>
  <c r="AS2180" i="32"/>
  <c r="AS2181" i="32"/>
  <c r="AS2182" i="32"/>
  <c r="AS2183" i="32"/>
  <c r="AS2184" i="32"/>
  <c r="AS2185" i="32"/>
  <c r="AS2186" i="32"/>
  <c r="AS2187" i="32"/>
  <c r="AS2188" i="32"/>
  <c r="AS2189" i="32"/>
  <c r="AS2190" i="32"/>
  <c r="AS2191" i="32"/>
  <c r="AS2192" i="32"/>
  <c r="AS2193" i="32"/>
  <c r="AS2194" i="32"/>
  <c r="AS2195" i="32"/>
  <c r="AS2196" i="32"/>
  <c r="AS2197" i="32"/>
  <c r="AS2198" i="32"/>
  <c r="AS2199" i="32"/>
  <c r="AS2200" i="32"/>
  <c r="AS2201" i="32"/>
  <c r="AS2202" i="32"/>
  <c r="AS2203" i="32"/>
  <c r="AS2204" i="32"/>
  <c r="AS2205" i="32"/>
  <c r="AS2206" i="32"/>
  <c r="AS2207" i="32"/>
  <c r="AS2208" i="32"/>
  <c r="AS2209" i="32"/>
  <c r="AS2210" i="32"/>
  <c r="AS2211" i="32"/>
  <c r="AS2212" i="32"/>
  <c r="AS2213" i="32"/>
  <c r="AS2214" i="32"/>
  <c r="AS2215" i="32"/>
  <c r="AS2216" i="32"/>
  <c r="AS2217" i="32"/>
  <c r="AS2218" i="32"/>
  <c r="AS2219" i="32"/>
  <c r="AS2220" i="32"/>
  <c r="AS2221" i="32"/>
  <c r="AS2222" i="32"/>
  <c r="AS2223" i="32"/>
  <c r="AS2224" i="32"/>
  <c r="AS2225" i="32"/>
  <c r="AS2226" i="32"/>
  <c r="AS2227" i="32"/>
  <c r="AS2228" i="32"/>
  <c r="AS2229" i="32"/>
  <c r="AS2230" i="32"/>
  <c r="AS2231" i="32"/>
  <c r="AS2232" i="32"/>
  <c r="AS2233" i="32"/>
  <c r="AS2234" i="32"/>
  <c r="AS2235" i="32"/>
  <c r="AS2236" i="32"/>
  <c r="AS2237" i="32"/>
  <c r="AS2238" i="32"/>
  <c r="AS2239" i="32"/>
  <c r="AS2240" i="32"/>
  <c r="AS2241" i="32"/>
  <c r="AS2242" i="32"/>
  <c r="AS2243" i="32"/>
  <c r="AS2244" i="32"/>
  <c r="AS2245" i="32"/>
  <c r="AS2246" i="32"/>
  <c r="AS2247" i="32"/>
  <c r="AS2248" i="32"/>
  <c r="AS2249" i="32"/>
  <c r="AS2250" i="32"/>
  <c r="AS2251" i="32"/>
  <c r="AS2252" i="32"/>
  <c r="AS2253" i="32"/>
  <c r="AS2254" i="32"/>
  <c r="AS2255" i="32"/>
  <c r="AS2256" i="32"/>
  <c r="AS2257" i="32"/>
  <c r="AS2258" i="32"/>
  <c r="AS2259" i="32"/>
  <c r="AS2260" i="32"/>
  <c r="AS2261" i="32"/>
  <c r="AS2262" i="32"/>
  <c r="AS2263" i="32"/>
  <c r="AS2264" i="32"/>
  <c r="AS2265" i="32"/>
  <c r="AS2266" i="32"/>
  <c r="AS2267" i="32"/>
  <c r="AS2268" i="32"/>
  <c r="AS2269" i="32"/>
  <c r="AS2270" i="32"/>
  <c r="AS2271" i="32"/>
  <c r="AS2272" i="32"/>
  <c r="AS2273" i="32"/>
  <c r="AS2274" i="32"/>
  <c r="AS2275" i="32"/>
  <c r="AS2276" i="32"/>
  <c r="AS2277" i="32"/>
  <c r="AS2278" i="32"/>
  <c r="AS2279" i="32"/>
  <c r="AS2280" i="32"/>
  <c r="AS2281" i="32"/>
  <c r="AS2282" i="32"/>
  <c r="AS2283" i="32"/>
  <c r="AS2284" i="32"/>
  <c r="AS2285" i="32"/>
  <c r="AS2286" i="32"/>
  <c r="AS2287" i="32"/>
  <c r="AS2288" i="32"/>
  <c r="AS2289" i="32"/>
  <c r="AS2290" i="32"/>
  <c r="AS2291" i="32"/>
  <c r="AS2292" i="32"/>
  <c r="AS2293" i="32"/>
  <c r="AS2294" i="32"/>
  <c r="AS2295" i="32"/>
  <c r="AS2296" i="32"/>
  <c r="AS2297" i="32"/>
  <c r="AS2298" i="32"/>
  <c r="AS2299" i="32"/>
  <c r="AS2300" i="32"/>
  <c r="AS2301" i="32"/>
  <c r="AS2302" i="32"/>
  <c r="AS2303" i="32"/>
  <c r="AS2304" i="32"/>
  <c r="AS2305" i="32"/>
  <c r="AS2306" i="32"/>
  <c r="AS2307" i="32"/>
  <c r="AS2308" i="32"/>
  <c r="AS2309" i="32"/>
  <c r="AS2310" i="32"/>
  <c r="AS2311" i="32"/>
  <c r="AS2312" i="32"/>
  <c r="AS2313" i="32"/>
  <c r="AS2314" i="32"/>
  <c r="AS2315" i="32"/>
  <c r="AS2316" i="32"/>
  <c r="AS2317" i="32"/>
  <c r="AS2318" i="32"/>
  <c r="AS2319" i="32"/>
  <c r="AS2320" i="32"/>
  <c r="AS2321" i="32"/>
  <c r="AS2322" i="32"/>
  <c r="AS2323" i="32"/>
  <c r="AS2324" i="32"/>
  <c r="AS2325" i="32"/>
  <c r="AS2326" i="32"/>
  <c r="AS2327" i="32"/>
  <c r="AS2328" i="32"/>
  <c r="AS2329" i="32"/>
  <c r="AS2330" i="32"/>
  <c r="AS2331" i="32"/>
  <c r="AS2332" i="32"/>
  <c r="AS2333" i="32"/>
  <c r="AS2334" i="32"/>
  <c r="AS2335" i="32"/>
  <c r="AS2336" i="32"/>
  <c r="AS2337" i="32"/>
  <c r="AS2338" i="32"/>
  <c r="AS2339" i="32"/>
  <c r="AS2340" i="32"/>
  <c r="AS2341" i="32"/>
  <c r="AS2342" i="32"/>
  <c r="AS2343" i="32"/>
  <c r="AS2344" i="32"/>
  <c r="AS2345" i="32"/>
  <c r="AS2346" i="32"/>
  <c r="AS2347" i="32"/>
  <c r="AS2348" i="32"/>
  <c r="AS2349" i="32"/>
  <c r="AS2350" i="32"/>
  <c r="AS2351" i="32"/>
  <c r="AS2352" i="32"/>
  <c r="AS2353" i="32"/>
  <c r="AS2354" i="32"/>
  <c r="AS2355" i="32"/>
  <c r="AS2356" i="32"/>
  <c r="AS2357" i="32"/>
  <c r="AS2358" i="32"/>
  <c r="AS2359" i="32"/>
  <c r="AS2360" i="32"/>
  <c r="AS2361" i="32"/>
  <c r="AS2362" i="32"/>
  <c r="AS2363" i="32"/>
  <c r="AS2364" i="32"/>
  <c r="AS2365" i="32"/>
  <c r="AS2366" i="32"/>
  <c r="AS2367" i="32"/>
  <c r="AS2368" i="32"/>
  <c r="AS2369" i="32"/>
  <c r="AS2370" i="32"/>
  <c r="AS2371" i="32"/>
  <c r="AS2372" i="32"/>
  <c r="AS2373" i="32"/>
  <c r="AS2374" i="32"/>
  <c r="AS2375" i="32"/>
  <c r="AS2376" i="32"/>
  <c r="AS2377" i="32"/>
  <c r="AS2378" i="32"/>
  <c r="AS2379" i="32"/>
  <c r="AS2380" i="32"/>
  <c r="AS2381" i="32"/>
  <c r="AS2382" i="32"/>
  <c r="AS2383" i="32"/>
  <c r="AS2384" i="32"/>
  <c r="AS2385" i="32"/>
  <c r="AS2386" i="32"/>
  <c r="AS2387" i="32"/>
  <c r="AS2388" i="32"/>
  <c r="AS2389" i="32"/>
  <c r="AS2390" i="32"/>
  <c r="AS2391" i="32"/>
  <c r="AS2392" i="32"/>
  <c r="AS2393" i="32"/>
  <c r="AS2394" i="32"/>
  <c r="AS2395" i="32"/>
  <c r="AS2396" i="32"/>
  <c r="AS2397" i="32"/>
  <c r="AS2398" i="32"/>
  <c r="AS2399" i="32"/>
  <c r="AS2400" i="32"/>
  <c r="AS2401" i="32"/>
  <c r="AS2402" i="32"/>
  <c r="AS2403" i="32"/>
  <c r="AS2404" i="32"/>
  <c r="AS2405" i="32"/>
  <c r="AS2406" i="32"/>
  <c r="AS2407" i="32"/>
  <c r="AS2408" i="32"/>
  <c r="AS2409" i="32"/>
  <c r="AS2410" i="32"/>
  <c r="AS2411" i="32"/>
  <c r="AS2412" i="32"/>
  <c r="AS2413" i="32"/>
  <c r="AS2414" i="32"/>
  <c r="AS2415" i="32"/>
  <c r="AS2416" i="32"/>
  <c r="AS2417" i="32"/>
  <c r="AS2418" i="32"/>
  <c r="AS2419" i="32"/>
  <c r="AS2420" i="32"/>
  <c r="AS2421" i="32"/>
  <c r="AS2422" i="32"/>
  <c r="AS2423" i="32"/>
  <c r="AS2424" i="32"/>
  <c r="AS2425" i="32"/>
  <c r="AS2426" i="32"/>
  <c r="AS2427" i="32"/>
  <c r="AS2428" i="32"/>
  <c r="AS2429" i="32"/>
  <c r="AS2430" i="32"/>
  <c r="AS2431" i="32"/>
  <c r="AS2432" i="32"/>
  <c r="AS2433" i="32"/>
  <c r="AS2434" i="32"/>
  <c r="AS2435" i="32"/>
  <c r="AS2436" i="32"/>
  <c r="AS2437" i="32"/>
  <c r="AS2438" i="32"/>
  <c r="AS2439" i="32"/>
  <c r="AS2440" i="32"/>
  <c r="AS2441" i="32"/>
  <c r="AS2442" i="32"/>
  <c r="AS2443" i="32"/>
  <c r="AS2444" i="32"/>
  <c r="AS2445" i="32"/>
  <c r="AS2446" i="32"/>
  <c r="AS2447" i="32"/>
  <c r="AS2448" i="32"/>
  <c r="AS2449" i="32"/>
  <c r="AS2450" i="32"/>
  <c r="AS2451" i="32"/>
  <c r="AS2452" i="32"/>
  <c r="AS2453" i="32"/>
  <c r="AS2454" i="32"/>
  <c r="AS2455" i="32"/>
  <c r="AS2456" i="32"/>
  <c r="AS2457" i="32"/>
  <c r="AS2458" i="32"/>
  <c r="AS2459" i="32"/>
  <c r="AS2460" i="32"/>
  <c r="AS2461" i="32"/>
  <c r="AS2462" i="32"/>
  <c r="AS2463" i="32"/>
  <c r="AS2464" i="32"/>
  <c r="AS2465" i="32"/>
  <c r="AS2466" i="32"/>
  <c r="AS2467" i="32"/>
  <c r="AS2468" i="32"/>
  <c r="AS2469" i="32"/>
  <c r="AS2470" i="32"/>
  <c r="AS2471" i="32"/>
  <c r="AS2472" i="32"/>
  <c r="AS2473" i="32"/>
  <c r="AS2474" i="32"/>
  <c r="AS2475" i="32"/>
  <c r="AS2476" i="32"/>
  <c r="AS2477" i="32"/>
  <c r="AS2478" i="32"/>
  <c r="AS2479" i="32"/>
  <c r="AS2480" i="32"/>
  <c r="AS2481" i="32"/>
  <c r="AS2482" i="32"/>
  <c r="AS2483" i="32"/>
  <c r="AS2484" i="32"/>
  <c r="AS2485" i="32"/>
  <c r="AS2486" i="32"/>
  <c r="AS2487" i="32"/>
  <c r="AS2488" i="32"/>
  <c r="AS2489" i="32"/>
  <c r="AS2490" i="32"/>
  <c r="AS2491" i="32"/>
  <c r="AS2492" i="32"/>
  <c r="AS2493" i="32"/>
  <c r="AS2494" i="32"/>
  <c r="AS2495" i="32"/>
  <c r="AS2496" i="32"/>
  <c r="AS2497" i="32"/>
  <c r="AS2498" i="32"/>
  <c r="AS2499" i="32"/>
  <c r="AS2500" i="32"/>
  <c r="AS2501" i="32"/>
  <c r="AS2502" i="32"/>
  <c r="AS2503" i="32"/>
  <c r="AS2504" i="32"/>
  <c r="AS2505" i="32"/>
  <c r="AS2506" i="32"/>
  <c r="AS2507" i="32"/>
  <c r="AS2508" i="32"/>
  <c r="AS2509" i="32"/>
  <c r="AS2510" i="32"/>
  <c r="AS2511" i="32"/>
  <c r="AS2512" i="32"/>
  <c r="AS2513" i="32"/>
  <c r="AS2514" i="32"/>
  <c r="AS2515" i="32"/>
  <c r="AS2516" i="32"/>
  <c r="AS2517" i="32"/>
  <c r="AS2518" i="32"/>
  <c r="AS2519" i="32"/>
  <c r="AS2520" i="32"/>
  <c r="AS2521" i="32"/>
  <c r="AS2522" i="32"/>
  <c r="AS2523" i="32"/>
  <c r="AS2524" i="32"/>
  <c r="AS2525" i="32"/>
  <c r="AS2526" i="32"/>
  <c r="AS2527" i="32"/>
  <c r="AS2528" i="32"/>
  <c r="AS2529" i="32"/>
  <c r="AS2530" i="32"/>
  <c r="AS2531" i="32"/>
  <c r="AS2532" i="32"/>
  <c r="AS2533" i="32"/>
  <c r="AS2534" i="32"/>
  <c r="AS2535" i="32"/>
  <c r="AS2536" i="32"/>
  <c r="AS2537" i="32"/>
  <c r="AS2538" i="32"/>
  <c r="AS2539" i="32"/>
  <c r="AS2540" i="32"/>
  <c r="AS2541" i="32"/>
  <c r="AS2542" i="32"/>
  <c r="AS2543" i="32"/>
  <c r="AS2544" i="32"/>
  <c r="AS2545" i="32"/>
  <c r="AS2546" i="32"/>
  <c r="AS2547" i="32"/>
  <c r="AS2548" i="32"/>
  <c r="AS2549" i="32"/>
  <c r="AS2550" i="32"/>
  <c r="AS2551" i="32"/>
  <c r="AS2552" i="32"/>
  <c r="AS2553" i="32"/>
  <c r="AS2554" i="32"/>
  <c r="AS2555" i="32"/>
  <c r="AS2556" i="32"/>
  <c r="AS2557" i="32"/>
  <c r="AS2558" i="32"/>
  <c r="AS2559" i="32"/>
  <c r="AS2560" i="32"/>
  <c r="AS2561" i="32"/>
  <c r="AS2562" i="32"/>
  <c r="AS2563" i="32"/>
  <c r="AS2564" i="32"/>
  <c r="AS2565" i="32"/>
  <c r="AS2566" i="32"/>
  <c r="AS2567" i="32"/>
  <c r="AS2568" i="32"/>
  <c r="AS2569" i="32"/>
  <c r="AS2570" i="32"/>
  <c r="AS2571" i="32"/>
  <c r="AS2572" i="32"/>
  <c r="AS2573" i="32"/>
  <c r="AS2574" i="32"/>
  <c r="AS2575" i="32"/>
  <c r="AS2576" i="32"/>
  <c r="AS2577" i="32"/>
  <c r="AS2578" i="32"/>
  <c r="AS2579" i="32"/>
  <c r="AS2580" i="32"/>
  <c r="AS2581" i="32"/>
  <c r="AS2582" i="32"/>
  <c r="AS2583" i="32"/>
  <c r="AS2584" i="32"/>
  <c r="AS2585" i="32"/>
  <c r="AS2586" i="32"/>
  <c r="AS2587" i="32"/>
  <c r="AS2588" i="32"/>
  <c r="AS2589" i="32"/>
  <c r="AS2590" i="32"/>
  <c r="AS2591" i="32"/>
  <c r="AS2592" i="32"/>
  <c r="AS2593" i="32"/>
  <c r="AS2594" i="32"/>
  <c r="AS2595" i="32"/>
  <c r="AS2596" i="32"/>
  <c r="AS2597" i="32"/>
  <c r="AS2598" i="32"/>
  <c r="AS2599" i="32"/>
  <c r="AS2600" i="32"/>
  <c r="AS2601" i="32"/>
  <c r="AS2602" i="32"/>
  <c r="AS2603" i="32"/>
  <c r="AS2604" i="32"/>
  <c r="AS2605" i="32"/>
  <c r="AS2606" i="32"/>
  <c r="AS2607" i="32"/>
  <c r="AS2608" i="32"/>
  <c r="AS2609" i="32"/>
  <c r="AS2610" i="32"/>
  <c r="AS2611" i="32"/>
  <c r="AS2612" i="32"/>
  <c r="AS2613" i="32"/>
  <c r="AS2614" i="32"/>
  <c r="AS2615" i="32"/>
  <c r="AS2616" i="32"/>
  <c r="AS2617" i="32"/>
  <c r="AS2618" i="32"/>
  <c r="AS2619" i="32"/>
  <c r="AS2620" i="32"/>
  <c r="AS2621" i="32"/>
  <c r="AS2622" i="32"/>
  <c r="AS2623" i="32"/>
  <c r="AS2624" i="32"/>
  <c r="AS2625" i="32"/>
  <c r="AS2626" i="32"/>
  <c r="AS2627" i="32"/>
  <c r="AS2628" i="32"/>
  <c r="AS2629" i="32"/>
  <c r="AS2630" i="32"/>
  <c r="AS2631" i="32"/>
  <c r="AS2632" i="32"/>
  <c r="AS2633" i="32"/>
  <c r="AS2634" i="32"/>
  <c r="AS2635" i="32"/>
  <c r="AS2636" i="32"/>
  <c r="AS2637" i="32"/>
  <c r="AS2638" i="32"/>
  <c r="AS2639" i="32"/>
  <c r="AS2640" i="32"/>
  <c r="AS2641" i="32"/>
  <c r="AS2642" i="32"/>
  <c r="AS2643" i="32"/>
  <c r="AS2644" i="32"/>
  <c r="AS2645" i="32"/>
  <c r="AS2646" i="32"/>
  <c r="AS2647" i="32"/>
  <c r="AS2648" i="32"/>
  <c r="AS2649" i="32"/>
  <c r="AS2650" i="32"/>
  <c r="AS2651" i="32"/>
  <c r="AS2652" i="32"/>
  <c r="AS2653" i="32"/>
  <c r="AS2654" i="32"/>
  <c r="AS2655" i="32"/>
  <c r="AS2656" i="32"/>
  <c r="AS2657" i="32"/>
  <c r="AS2658" i="32"/>
  <c r="AS2659" i="32"/>
  <c r="AS2660" i="32"/>
  <c r="AS2661" i="32"/>
  <c r="AS2662" i="32"/>
  <c r="AS2663" i="32"/>
  <c r="AS2664" i="32"/>
  <c r="AS2665" i="32"/>
  <c r="AS2666" i="32"/>
  <c r="AS2667" i="32"/>
  <c r="AS2668" i="32"/>
  <c r="AS2669" i="32"/>
  <c r="AS2670" i="32"/>
  <c r="AS2671" i="32"/>
  <c r="AS2672" i="32"/>
  <c r="AS2673" i="32"/>
  <c r="AS2674" i="32"/>
  <c r="AS2675" i="32"/>
  <c r="AS2676" i="32"/>
  <c r="AS2677" i="32"/>
  <c r="AS2678" i="32"/>
  <c r="AS2679" i="32"/>
  <c r="AS2680" i="32"/>
  <c r="AS2681" i="32"/>
  <c r="AS2682" i="32"/>
  <c r="AS2683" i="32"/>
  <c r="AS2684" i="32"/>
  <c r="AS2685" i="32"/>
  <c r="AS2686" i="32"/>
  <c r="AS2687" i="32"/>
  <c r="AS2688" i="32"/>
  <c r="AS2689" i="32"/>
  <c r="AS2690" i="32"/>
  <c r="AS2691" i="32"/>
  <c r="AS2692" i="32"/>
  <c r="AS2693" i="32"/>
  <c r="AS2694" i="32"/>
  <c r="AS2695" i="32"/>
  <c r="AS2696" i="32"/>
  <c r="AS2697" i="32"/>
  <c r="AS2698" i="32"/>
  <c r="AS2699" i="32"/>
  <c r="AS2700" i="32"/>
  <c r="AS2701" i="32"/>
  <c r="AS2702" i="32"/>
  <c r="AS2703" i="32"/>
  <c r="AS2704" i="32"/>
  <c r="AS2705" i="32"/>
  <c r="AS2706" i="32"/>
  <c r="AS2707" i="32"/>
  <c r="AS2708" i="32"/>
  <c r="AS2709" i="32"/>
  <c r="AS2710" i="32"/>
  <c r="AS2711" i="32"/>
  <c r="AS2712" i="32"/>
  <c r="AS2713" i="32"/>
  <c r="AS2714" i="32"/>
  <c r="AS2715" i="32"/>
  <c r="AS2716" i="32"/>
  <c r="AS2717" i="32"/>
  <c r="AS2718" i="32"/>
  <c r="AS2719" i="32"/>
  <c r="AS2720" i="32"/>
  <c r="AS2721" i="32"/>
  <c r="AS2722" i="32"/>
  <c r="AS2723" i="32"/>
  <c r="AS2724" i="32"/>
  <c r="AS2725" i="32"/>
  <c r="AS2726" i="32"/>
  <c r="AS2727" i="32"/>
  <c r="AS2728" i="32"/>
  <c r="AS2729" i="32"/>
  <c r="AS2730" i="32"/>
  <c r="AS2731" i="32"/>
  <c r="AS2732" i="32"/>
  <c r="AS2733" i="32"/>
  <c r="AS2734" i="32"/>
  <c r="AS2735" i="32"/>
  <c r="AS2736" i="32"/>
  <c r="AS2737" i="32"/>
  <c r="AS2738" i="32"/>
  <c r="AS2739" i="32"/>
  <c r="AS2740" i="32"/>
  <c r="AS2741" i="32"/>
  <c r="AS2742" i="32"/>
  <c r="AS2743" i="32"/>
  <c r="AS2744" i="32"/>
  <c r="AS2745" i="32"/>
  <c r="AS2746" i="32"/>
  <c r="AS2747" i="32"/>
  <c r="AS2748" i="32"/>
  <c r="AS2749" i="32"/>
  <c r="AS2750" i="32"/>
  <c r="AS2751" i="32"/>
  <c r="AS2752" i="32"/>
  <c r="AS2753" i="32"/>
  <c r="AS2754" i="32"/>
  <c r="AS2755" i="32"/>
  <c r="AS2756" i="32"/>
  <c r="AS2757" i="32"/>
  <c r="AS2758" i="32"/>
  <c r="AS2759" i="32"/>
  <c r="AS2760" i="32"/>
  <c r="AS2761" i="32"/>
  <c r="AS2762" i="32"/>
  <c r="AS2763" i="32"/>
  <c r="AS2764" i="32"/>
  <c r="AS2765" i="32"/>
  <c r="AS2766" i="32"/>
  <c r="AS2767" i="32"/>
  <c r="AS2768" i="32"/>
  <c r="AS2769" i="32"/>
  <c r="AS2770" i="32"/>
  <c r="AS2771" i="32"/>
  <c r="AS2772" i="32"/>
  <c r="AS2773" i="32"/>
  <c r="AS2774" i="32"/>
  <c r="AS2775" i="32"/>
  <c r="AS2776" i="32"/>
  <c r="AS2777" i="32"/>
  <c r="AS2778" i="32"/>
  <c r="AS2779" i="32"/>
  <c r="AS2780" i="32"/>
  <c r="AS2781" i="32"/>
  <c r="AS2782" i="32"/>
  <c r="AS2783" i="32"/>
  <c r="AS2784" i="32"/>
  <c r="AS2785" i="32"/>
  <c r="AS2786" i="32"/>
  <c r="AS2787" i="32"/>
  <c r="AS2788" i="32"/>
  <c r="AS2789" i="32"/>
  <c r="AS2790" i="32"/>
  <c r="AS2791" i="32"/>
  <c r="AS2792" i="32"/>
  <c r="AS2793" i="32"/>
  <c r="AS2794" i="32"/>
  <c r="AS2795" i="32"/>
  <c r="AS2796" i="32"/>
  <c r="AS2797" i="32"/>
  <c r="AS2798" i="32"/>
  <c r="AS2799" i="32"/>
  <c r="AS2800" i="32"/>
  <c r="AS2801" i="32"/>
  <c r="AS2802" i="32"/>
  <c r="AS2803" i="32"/>
  <c r="AS2804" i="32"/>
  <c r="AS2805" i="32"/>
  <c r="AS2806" i="32"/>
  <c r="AS2807" i="32"/>
  <c r="AS2808" i="32"/>
  <c r="AS2809" i="32"/>
  <c r="AS2810" i="32"/>
  <c r="AS2811" i="32"/>
  <c r="AS2812" i="32"/>
  <c r="AS2813" i="32"/>
  <c r="AS2814" i="32"/>
  <c r="AS2815" i="32"/>
  <c r="AS2816" i="32"/>
  <c r="AS2817" i="32"/>
  <c r="AS2818" i="32"/>
  <c r="AS2819" i="32"/>
  <c r="AS2820" i="32"/>
  <c r="AS2821" i="32"/>
  <c r="AS2822" i="32"/>
  <c r="AS2823" i="32"/>
  <c r="AS2824" i="32"/>
  <c r="AS2825" i="32"/>
  <c r="AS2826" i="32"/>
  <c r="AS2827" i="32"/>
  <c r="AS2828" i="32"/>
  <c r="AS2829" i="32"/>
  <c r="AS2830" i="32"/>
  <c r="AS2831" i="32"/>
  <c r="AS2832" i="32"/>
  <c r="AS2833" i="32"/>
  <c r="AS2834" i="32"/>
  <c r="AS2835" i="32"/>
  <c r="AS2836" i="32"/>
  <c r="AS2837" i="32"/>
  <c r="AS2838" i="32"/>
  <c r="AS2839" i="32"/>
  <c r="AS2840" i="32"/>
  <c r="AS2841" i="32"/>
  <c r="AS2842" i="32"/>
  <c r="AS2843" i="32"/>
  <c r="AS2844" i="32"/>
  <c r="AS2845" i="32"/>
  <c r="AS2846" i="32"/>
  <c r="AS2847" i="32"/>
  <c r="AS2848" i="32"/>
  <c r="AS2849" i="32"/>
  <c r="AS2850" i="32"/>
  <c r="AS2851" i="32"/>
  <c r="AS2852" i="32"/>
  <c r="AS2853" i="32"/>
  <c r="AS2854" i="32"/>
  <c r="AS2855" i="32"/>
  <c r="AS2856" i="32"/>
  <c r="AS2857" i="32"/>
  <c r="AS2858" i="32"/>
  <c r="AS2859" i="32"/>
  <c r="AS2860" i="32"/>
  <c r="AS2861" i="32"/>
  <c r="AS2862" i="32"/>
  <c r="AS2863" i="32"/>
  <c r="AS2864" i="32"/>
  <c r="AS2865" i="32"/>
  <c r="AS2866" i="32"/>
  <c r="AS2867" i="32"/>
  <c r="AS2868" i="32"/>
  <c r="AS2869" i="32"/>
  <c r="AS2870" i="32"/>
  <c r="AS2871" i="32"/>
  <c r="AS2872" i="32"/>
  <c r="AS2873" i="32"/>
  <c r="AS2874" i="32"/>
  <c r="AS2875" i="32"/>
  <c r="AS2876" i="32"/>
  <c r="AS2877" i="32"/>
  <c r="AS2878" i="32"/>
  <c r="AS2879" i="32"/>
  <c r="AS2880" i="32"/>
  <c r="AS2881" i="32"/>
  <c r="AS2882" i="32"/>
  <c r="AS2883" i="32"/>
  <c r="AS2884" i="32"/>
  <c r="AS2885" i="32"/>
  <c r="AS2886" i="32"/>
  <c r="AS2887" i="32"/>
  <c r="AS2888" i="32"/>
  <c r="AS2889" i="32"/>
  <c r="AS2890" i="32"/>
  <c r="AS2891" i="32"/>
  <c r="AS2892" i="32"/>
  <c r="AS2893" i="32"/>
  <c r="AS2894" i="32"/>
  <c r="AS2895" i="32"/>
  <c r="AS2896" i="32"/>
  <c r="AS2897" i="32"/>
  <c r="AS2898" i="32"/>
  <c r="AS2899" i="32"/>
  <c r="AS2900" i="32"/>
  <c r="AS2901" i="32"/>
  <c r="AS2902" i="32"/>
  <c r="AS2903" i="32"/>
  <c r="AS2904" i="32"/>
  <c r="AS2905" i="32"/>
  <c r="AS2906" i="32"/>
  <c r="AS2907" i="32"/>
  <c r="AS2908" i="32"/>
  <c r="AS2909" i="32"/>
  <c r="AS2910" i="32"/>
  <c r="AS2911" i="32"/>
  <c r="AS2912" i="32"/>
  <c r="AS2913" i="32"/>
  <c r="AS2914" i="32"/>
  <c r="AS2915" i="32"/>
  <c r="AS2916" i="32"/>
  <c r="AS2917" i="32"/>
  <c r="AS2918" i="32"/>
  <c r="AS2919" i="32"/>
  <c r="AS2920" i="32"/>
  <c r="AS2921" i="32"/>
  <c r="AS2922" i="32"/>
  <c r="AS2923" i="32"/>
  <c r="AS2924" i="32"/>
  <c r="AS2925" i="32"/>
  <c r="AS2926" i="32"/>
  <c r="AS2927" i="32"/>
  <c r="AS2928" i="32"/>
  <c r="AS2929" i="32"/>
  <c r="AS2930" i="32"/>
  <c r="AS2931" i="32"/>
  <c r="AS2932" i="32"/>
  <c r="AS2933" i="32"/>
  <c r="AS2934" i="32"/>
  <c r="AS2935" i="32"/>
  <c r="AS2936" i="32"/>
  <c r="AS2937" i="32"/>
  <c r="AS2938" i="32"/>
  <c r="AS2939" i="32"/>
  <c r="AS2940" i="32"/>
  <c r="AS2941" i="32"/>
  <c r="AS2942" i="32"/>
  <c r="AS2943" i="32"/>
  <c r="AS2944" i="32"/>
  <c r="AS2945" i="32"/>
  <c r="AS2946" i="32"/>
  <c r="AS2947" i="32"/>
  <c r="AS2948" i="32"/>
  <c r="AS2949" i="32"/>
  <c r="AS2950" i="32"/>
  <c r="AS2951" i="32"/>
  <c r="AS2952" i="32"/>
  <c r="AS2953" i="32"/>
  <c r="AS2954" i="32"/>
  <c r="AS2955" i="32"/>
  <c r="AS2956" i="32"/>
  <c r="AS2957" i="32"/>
  <c r="AS2958" i="32"/>
  <c r="AS2959" i="32"/>
  <c r="AS2960" i="32"/>
  <c r="AS2961" i="32"/>
  <c r="AS2962" i="32"/>
  <c r="AS2963" i="32"/>
  <c r="AS2964" i="32"/>
  <c r="AS2965" i="32"/>
  <c r="AS2966" i="32"/>
  <c r="AS2967" i="32"/>
  <c r="AS2968" i="32"/>
  <c r="AS2969" i="32"/>
  <c r="AS2970" i="32"/>
  <c r="AS2971" i="32"/>
  <c r="AS2972" i="32"/>
  <c r="AS2973" i="32"/>
  <c r="AS2974" i="32"/>
  <c r="AS2975" i="32"/>
  <c r="AS2976" i="32"/>
  <c r="AS2977" i="32"/>
  <c r="AS2978" i="32"/>
  <c r="AS2979" i="32"/>
  <c r="AS2980" i="32"/>
  <c r="AS2981" i="32"/>
  <c r="AS2982" i="32"/>
  <c r="AS2983" i="32"/>
  <c r="AS2984" i="32"/>
  <c r="AS2985" i="32"/>
  <c r="AS2986" i="32"/>
  <c r="AS2987" i="32"/>
  <c r="AS2988" i="32"/>
  <c r="AS2989" i="32"/>
  <c r="AS2990" i="32"/>
  <c r="AS2991" i="32"/>
  <c r="AS2992" i="32"/>
  <c r="AS2993" i="32"/>
  <c r="AS2994" i="32"/>
  <c r="AS2995" i="32"/>
  <c r="AS2996" i="32"/>
  <c r="AS2997" i="32"/>
  <c r="AS2998" i="32"/>
  <c r="AS2999" i="32"/>
  <c r="AS3000" i="32"/>
  <c r="AS3001" i="32"/>
  <c r="AS3002" i="32"/>
  <c r="AS3003" i="32"/>
  <c r="AS3004" i="32"/>
  <c r="AS3005" i="32"/>
  <c r="AS3006" i="32"/>
  <c r="AS3007" i="32"/>
  <c r="AS3008" i="32"/>
  <c r="AS3009" i="32"/>
  <c r="AS3010" i="32"/>
  <c r="AS3011" i="32"/>
  <c r="AS3012" i="32"/>
  <c r="AS3013" i="32"/>
  <c r="AS3014" i="32"/>
  <c r="AS3015" i="32"/>
  <c r="AS3016" i="32"/>
  <c r="AS3017" i="32"/>
  <c r="AS3018" i="32"/>
  <c r="AS3019" i="32"/>
  <c r="AS3020" i="32"/>
  <c r="AS3021" i="32"/>
  <c r="AS3022" i="32"/>
  <c r="AS3023" i="32"/>
  <c r="AS3024" i="32"/>
  <c r="AS3025" i="32"/>
  <c r="AS3026" i="32"/>
  <c r="AS3027" i="32"/>
  <c r="AS3028" i="32"/>
  <c r="AS3029" i="32"/>
  <c r="AS3030" i="32"/>
  <c r="AS3031" i="32"/>
  <c r="AS3032" i="32"/>
  <c r="AS3033" i="32"/>
  <c r="AS3034" i="32"/>
  <c r="AS3035" i="32"/>
  <c r="AS3036" i="32"/>
  <c r="AS3037" i="32"/>
  <c r="AS3038" i="32"/>
  <c r="AS3039" i="32"/>
  <c r="AS3040" i="32"/>
  <c r="AS3041" i="32"/>
  <c r="AS3042" i="32"/>
  <c r="AS3043" i="32"/>
  <c r="AS3044" i="32"/>
  <c r="AS3045" i="32"/>
  <c r="AS3046" i="32"/>
  <c r="AS3047" i="32"/>
  <c r="AS3048" i="32"/>
  <c r="AS3049" i="32"/>
  <c r="AS3050" i="32"/>
  <c r="AS3051" i="32"/>
  <c r="AS3052" i="32"/>
  <c r="AS3053" i="32"/>
  <c r="AS3054" i="32"/>
  <c r="AS3055" i="32"/>
  <c r="AS3056" i="32"/>
  <c r="AS3057" i="32"/>
  <c r="AS3058" i="32"/>
  <c r="AS3059" i="32"/>
  <c r="AS3060" i="32"/>
  <c r="AS3061" i="32"/>
  <c r="AS3062" i="32"/>
  <c r="AS3063" i="32"/>
  <c r="AS3064" i="32"/>
  <c r="AS3065" i="32"/>
  <c r="AS3066" i="32"/>
  <c r="AS3067" i="32"/>
  <c r="AS3068" i="32"/>
  <c r="AS3069" i="32"/>
  <c r="AS3070" i="32"/>
  <c r="AS3071" i="32"/>
  <c r="AS3072" i="32"/>
  <c r="AS3073" i="32"/>
  <c r="AS3074" i="32"/>
  <c r="AS3075" i="32"/>
  <c r="AS3076" i="32"/>
  <c r="AS3077" i="32"/>
  <c r="AS3078" i="32"/>
  <c r="AS3079" i="32"/>
  <c r="AS3080" i="32"/>
  <c r="AS3081" i="32"/>
  <c r="AS3082" i="32"/>
  <c r="AS3083" i="32"/>
  <c r="AS3084" i="32"/>
  <c r="AS3085" i="32"/>
  <c r="AS3086" i="32"/>
  <c r="AS3087" i="32"/>
  <c r="AS3088" i="32"/>
  <c r="AS3089" i="32"/>
  <c r="AS3090" i="32"/>
  <c r="AS3091" i="32"/>
  <c r="AS3092" i="32"/>
  <c r="AS3093" i="32"/>
  <c r="AS3094" i="32"/>
  <c r="AS3095" i="32"/>
  <c r="AS3096" i="32"/>
  <c r="AS3097" i="32"/>
  <c r="AS3098" i="32"/>
  <c r="AS3099" i="32"/>
  <c r="AS3100" i="32"/>
  <c r="AS3101" i="32"/>
  <c r="AS3102" i="32"/>
  <c r="AS3103" i="32"/>
  <c r="AS3104" i="32"/>
  <c r="AS3105" i="32"/>
  <c r="AS3106" i="32"/>
  <c r="AS3107" i="32"/>
  <c r="AS3108" i="32"/>
  <c r="AS3109" i="32"/>
  <c r="AS3110" i="32"/>
  <c r="AS3111" i="32"/>
  <c r="AS3112" i="32"/>
  <c r="AS3113" i="32"/>
  <c r="AS3114" i="32"/>
  <c r="AS3115" i="32"/>
  <c r="AS3116" i="32"/>
  <c r="AS3117" i="32"/>
  <c r="AS3118" i="32"/>
  <c r="AS3119" i="32"/>
  <c r="AS3120" i="32"/>
  <c r="AS3121" i="32"/>
  <c r="AS3122" i="32"/>
  <c r="AS3123" i="32"/>
  <c r="AS3124" i="32"/>
  <c r="AS3125" i="32"/>
  <c r="AS3126" i="32"/>
  <c r="AS3127" i="32"/>
  <c r="AS3128" i="32"/>
  <c r="AS3129" i="32"/>
  <c r="AS3130" i="32"/>
  <c r="AS3131" i="32"/>
  <c r="AS3132" i="32"/>
  <c r="AS3133" i="32"/>
  <c r="AS3134" i="32"/>
  <c r="AS3135" i="32"/>
  <c r="AS3136" i="32"/>
  <c r="AS3137" i="32"/>
  <c r="AS3138" i="32"/>
  <c r="AS3139" i="32"/>
  <c r="AS3140" i="32"/>
  <c r="AS3141" i="32"/>
  <c r="AS3142" i="32"/>
  <c r="AS3143" i="32"/>
  <c r="AS3144" i="32"/>
  <c r="AS3145" i="32"/>
  <c r="AS3146" i="32"/>
  <c r="AS3147" i="32"/>
  <c r="AS3148" i="32"/>
  <c r="AS3149" i="32"/>
  <c r="AS3150" i="32"/>
  <c r="AS3151" i="32"/>
  <c r="AS3152" i="32"/>
  <c r="AS3153" i="32"/>
  <c r="AS3154" i="32"/>
  <c r="AS3155" i="32"/>
  <c r="AS3156" i="32"/>
  <c r="AS3157" i="32"/>
  <c r="AS3158" i="32"/>
  <c r="AS3159" i="32"/>
  <c r="AS3160" i="32"/>
  <c r="AS3161" i="32"/>
  <c r="AS3162" i="32"/>
  <c r="AS3163" i="32"/>
  <c r="AS3164" i="32"/>
  <c r="AS3165" i="32"/>
  <c r="AS3166" i="32"/>
  <c r="AS3167" i="32"/>
  <c r="AS3168" i="32"/>
  <c r="AS3169" i="32"/>
  <c r="AS3170" i="32"/>
  <c r="AS3171" i="32"/>
  <c r="AS3172" i="32"/>
  <c r="AS3173" i="32"/>
  <c r="AS3174" i="32"/>
  <c r="AS3175" i="32"/>
  <c r="AS3176" i="32"/>
  <c r="AS3177" i="32"/>
  <c r="AS3178" i="32"/>
  <c r="AS3179" i="32"/>
  <c r="AS3180" i="32"/>
  <c r="AS3181" i="32"/>
  <c r="AS3182" i="32"/>
  <c r="AS3183" i="32"/>
  <c r="AS3184" i="32"/>
  <c r="AS3185" i="32"/>
  <c r="AS3186" i="32"/>
  <c r="AS3187" i="32"/>
  <c r="AS3188" i="32"/>
  <c r="AS3189" i="32"/>
  <c r="AS3190" i="32"/>
  <c r="AS3191" i="32"/>
  <c r="AS3192" i="32"/>
  <c r="AS3193" i="32"/>
  <c r="AS3194" i="32"/>
  <c r="AS3195" i="32"/>
  <c r="AS3196" i="32"/>
  <c r="AS3197" i="32"/>
  <c r="AS3198" i="32"/>
  <c r="AS3199" i="32"/>
  <c r="AS3200" i="32"/>
  <c r="AS3201" i="32"/>
  <c r="AS3202" i="32"/>
  <c r="AS3203" i="32"/>
  <c r="AS3204" i="32"/>
  <c r="AS3205" i="32"/>
  <c r="AS3206" i="32"/>
  <c r="AS3207" i="32"/>
  <c r="AS3208" i="32"/>
  <c r="AS3209" i="32"/>
  <c r="AS3210" i="32"/>
  <c r="AS3211" i="32"/>
  <c r="AS3212" i="32"/>
  <c r="AS3213" i="32"/>
  <c r="AS3214" i="32"/>
  <c r="AS3215" i="32"/>
  <c r="AS3216" i="32"/>
  <c r="AS3217" i="32"/>
  <c r="AS3218" i="32"/>
  <c r="AS3219" i="32"/>
  <c r="AS3220" i="32"/>
  <c r="AS3221" i="32"/>
  <c r="AS3222" i="32"/>
  <c r="AS3223" i="32"/>
  <c r="AS3224" i="32"/>
  <c r="AS3225" i="32"/>
  <c r="AS3226" i="32"/>
  <c r="AS3227" i="32"/>
  <c r="AS3228" i="32"/>
  <c r="AS3229" i="32"/>
  <c r="AS3230" i="32"/>
  <c r="AS3231" i="32"/>
  <c r="AS3232" i="32"/>
  <c r="AS3233" i="32"/>
  <c r="AS3234" i="32"/>
  <c r="AS3235" i="32"/>
  <c r="AS3236" i="32"/>
  <c r="AS3237" i="32"/>
  <c r="AS3238" i="32"/>
  <c r="AS3239" i="32"/>
  <c r="AS3240" i="32"/>
  <c r="AS3241" i="32"/>
  <c r="AS3242" i="32"/>
  <c r="AS3243" i="32"/>
  <c r="AS3244" i="32"/>
  <c r="AS3245" i="32"/>
  <c r="AS3246" i="32"/>
  <c r="AS3247" i="32"/>
  <c r="AS3248" i="32"/>
  <c r="AS3249" i="32"/>
  <c r="AS3250" i="32"/>
  <c r="AS3251" i="32"/>
  <c r="AS3252" i="32"/>
  <c r="AS3253" i="32"/>
  <c r="AS3254" i="32"/>
  <c r="AS3255" i="32"/>
  <c r="AS3256" i="32"/>
  <c r="AS3257" i="32"/>
  <c r="AS3258" i="32"/>
  <c r="AS3259" i="32"/>
  <c r="AS3260" i="32"/>
  <c r="AS3261" i="32"/>
  <c r="AS3262" i="32"/>
  <c r="AS3263" i="32"/>
  <c r="AS3264" i="32"/>
  <c r="AS3265" i="32"/>
  <c r="AS3266" i="32"/>
  <c r="AS3267" i="32"/>
  <c r="AS3268" i="32"/>
  <c r="AS3269" i="32"/>
  <c r="AS3270" i="32"/>
  <c r="AS3271" i="32"/>
  <c r="AS3272" i="32"/>
  <c r="AS3273" i="32"/>
  <c r="AS3274" i="32"/>
  <c r="AS3275" i="32"/>
  <c r="AS3276" i="32"/>
  <c r="AS3277" i="32"/>
  <c r="AS3278" i="32"/>
  <c r="AS3279" i="32"/>
  <c r="AS3280" i="32"/>
  <c r="AS3281" i="32"/>
  <c r="AS3282" i="32"/>
  <c r="AS3283" i="32"/>
  <c r="AS3284" i="32"/>
  <c r="AS3285" i="32"/>
  <c r="AS3286" i="32"/>
  <c r="AS3287" i="32"/>
  <c r="AS3288" i="32"/>
  <c r="AS3289" i="32"/>
  <c r="AS3290" i="32"/>
  <c r="AS3291" i="32"/>
  <c r="AS3292" i="32"/>
  <c r="AS3293" i="32"/>
  <c r="AS3294" i="32"/>
  <c r="AS3295" i="32"/>
  <c r="AS3296" i="32"/>
  <c r="AS3297" i="32"/>
  <c r="AS3298" i="32"/>
  <c r="AS3299" i="32"/>
  <c r="AS3300" i="32"/>
  <c r="AS3301" i="32"/>
  <c r="AS3302" i="32"/>
  <c r="AS3303" i="32"/>
  <c r="AS3304" i="32"/>
  <c r="AS3305" i="32"/>
  <c r="AS3306" i="32"/>
  <c r="AS3307" i="32"/>
  <c r="AS3308" i="32"/>
  <c r="AS3309" i="32"/>
  <c r="AS3310" i="32"/>
  <c r="AS3311" i="32"/>
  <c r="AS3312" i="32"/>
  <c r="AS3313" i="32"/>
  <c r="AS3314" i="32"/>
  <c r="AS3315" i="32"/>
  <c r="AS3316" i="32"/>
  <c r="AS3317" i="32"/>
  <c r="AS3318" i="32"/>
  <c r="AS3319" i="32"/>
  <c r="AS3320" i="32"/>
  <c r="AS3321" i="32"/>
  <c r="AS3322" i="32"/>
  <c r="AS3323" i="32"/>
  <c r="AS3324" i="32"/>
  <c r="AS3325" i="32"/>
  <c r="AS3326" i="32"/>
  <c r="AS3327" i="32"/>
  <c r="AS3328" i="32"/>
  <c r="AS3329" i="32"/>
  <c r="AS3330" i="32"/>
  <c r="AS3331" i="32"/>
  <c r="AS3332" i="32"/>
  <c r="AS3333" i="32"/>
  <c r="AS3334" i="32"/>
  <c r="AS3335" i="32"/>
  <c r="AS3336" i="32"/>
  <c r="AS3337" i="32"/>
  <c r="AS3338" i="32"/>
  <c r="AS3339" i="32"/>
  <c r="AS3340" i="32"/>
  <c r="AS3341" i="32"/>
  <c r="AS3342" i="32"/>
  <c r="AS3343" i="32"/>
  <c r="AS3344" i="32"/>
  <c r="AS3345" i="32"/>
  <c r="AS3346" i="32"/>
  <c r="AS3347" i="32"/>
  <c r="AS3348" i="32"/>
  <c r="AS3349" i="32"/>
  <c r="AS3350" i="32"/>
  <c r="AS3351" i="32"/>
  <c r="AS3352" i="32"/>
  <c r="AS3353" i="32"/>
  <c r="AS3354" i="32"/>
  <c r="AS3355" i="32"/>
  <c r="AS3356" i="32"/>
  <c r="AS3357" i="32"/>
  <c r="AS3358" i="32"/>
  <c r="AS3359" i="32"/>
  <c r="AS3360" i="32"/>
  <c r="AS3361" i="32"/>
  <c r="AS3362" i="32"/>
  <c r="AS3363" i="32"/>
  <c r="AS3364" i="32"/>
  <c r="AS3365" i="32"/>
  <c r="AS3366" i="32"/>
  <c r="AS3367" i="32"/>
  <c r="AS3368" i="32"/>
  <c r="AS3369" i="32"/>
  <c r="AS3370" i="32"/>
  <c r="AS3371" i="32"/>
  <c r="AS3372" i="32"/>
  <c r="AS3373" i="32"/>
  <c r="AS3374" i="32"/>
  <c r="AS3375" i="32"/>
  <c r="AS3376" i="32"/>
  <c r="AS3377" i="32"/>
  <c r="AS3378" i="32"/>
  <c r="AS3379" i="32"/>
  <c r="AS3380" i="32"/>
  <c r="AS3381" i="32"/>
  <c r="AS3382" i="32"/>
  <c r="AS3383" i="32"/>
  <c r="AS3384" i="32"/>
  <c r="AS3385" i="32"/>
  <c r="AS3386" i="32"/>
  <c r="AS3387" i="32"/>
  <c r="AS3388" i="32"/>
  <c r="AS3389" i="32"/>
  <c r="AS3390" i="32"/>
  <c r="AS3391" i="32"/>
  <c r="AS3392" i="32"/>
  <c r="AS3393" i="32"/>
  <c r="AS3394" i="32"/>
  <c r="AS3395" i="32"/>
  <c r="AS3396" i="32"/>
  <c r="AS3397" i="32"/>
  <c r="AS3398" i="32"/>
  <c r="AS3399" i="32"/>
  <c r="AS3400" i="32"/>
  <c r="AS3401" i="32"/>
  <c r="AS3402" i="32"/>
  <c r="AS3403" i="32"/>
  <c r="AS3404" i="32"/>
  <c r="AS3405" i="32"/>
  <c r="AS3406" i="32"/>
  <c r="AS3407" i="32"/>
  <c r="AS3408" i="32"/>
  <c r="AS3409" i="32"/>
  <c r="AS3410" i="32"/>
  <c r="AS3411" i="32"/>
  <c r="AS3412" i="32"/>
  <c r="AS3413" i="32"/>
  <c r="AS3414" i="32"/>
  <c r="AS3415" i="32"/>
  <c r="AS3416" i="32"/>
  <c r="AS3417" i="32"/>
  <c r="AS3418" i="32"/>
  <c r="AS3419" i="32"/>
  <c r="AS3420" i="32"/>
  <c r="AS3421" i="32"/>
  <c r="AS3422" i="32"/>
  <c r="AS3423" i="32"/>
  <c r="AS3424" i="32"/>
  <c r="AS3425" i="32"/>
  <c r="AS3426" i="32"/>
  <c r="AS3427" i="32"/>
  <c r="AS3428" i="32"/>
  <c r="AS3429" i="32"/>
  <c r="AS3430" i="32"/>
  <c r="AS3431" i="32"/>
  <c r="AS3432" i="32"/>
  <c r="AS3433" i="32"/>
  <c r="AS3434" i="32"/>
  <c r="AS3435" i="32"/>
  <c r="AS3436" i="32"/>
  <c r="AS3437" i="32"/>
  <c r="AS3438" i="32"/>
  <c r="AS3439" i="32"/>
  <c r="AS3440" i="32"/>
  <c r="AS3441" i="32"/>
  <c r="AS3442" i="32"/>
  <c r="AS3443" i="32"/>
  <c r="AS3444" i="32"/>
  <c r="AS3445" i="32"/>
  <c r="AS3446" i="32"/>
  <c r="AS3447" i="32"/>
  <c r="AS3448" i="32"/>
  <c r="AS3449" i="32"/>
  <c r="AS3450" i="32"/>
  <c r="AS3451" i="32"/>
  <c r="AS3452" i="32"/>
  <c r="AS3453" i="32"/>
  <c r="AS3454" i="32"/>
  <c r="AS3455" i="32"/>
  <c r="AS3456" i="32"/>
  <c r="AS3457" i="32"/>
  <c r="AS3458" i="32"/>
  <c r="AS3459" i="32"/>
  <c r="AS3460" i="32"/>
  <c r="AS3461" i="32"/>
  <c r="AS3462" i="32"/>
  <c r="AS3463" i="32"/>
  <c r="AS3464" i="32"/>
  <c r="AS3465" i="32"/>
  <c r="AS3466" i="32"/>
  <c r="AS3467" i="32"/>
  <c r="AS3468" i="32"/>
  <c r="AS3469" i="32"/>
  <c r="AS3470" i="32"/>
  <c r="AS3471" i="32"/>
  <c r="AS3472" i="32"/>
  <c r="AS3473" i="32"/>
  <c r="AS3474" i="32"/>
  <c r="AS3475" i="32"/>
  <c r="AS3476" i="32"/>
  <c r="AS3477" i="32"/>
  <c r="AS3478" i="32"/>
  <c r="AS3479" i="32"/>
  <c r="AS3480" i="32"/>
  <c r="AS3481" i="32"/>
  <c r="AS3482" i="32"/>
  <c r="AS3483" i="32"/>
  <c r="AS3484" i="32"/>
  <c r="AS3485" i="32"/>
  <c r="AS3486" i="32"/>
  <c r="AS3487" i="32"/>
  <c r="AS3488" i="32"/>
  <c r="AS3489" i="32"/>
  <c r="AS3490" i="32"/>
  <c r="AS3491" i="32"/>
  <c r="AS3492" i="32"/>
  <c r="AS3493" i="32"/>
  <c r="AS3494" i="32"/>
  <c r="AS3495" i="32"/>
  <c r="AS3496" i="32"/>
  <c r="AS3497" i="32"/>
  <c r="AS3498" i="32"/>
  <c r="AS3499" i="32"/>
  <c r="AS3500" i="32"/>
  <c r="AS3501" i="32"/>
  <c r="AS3502" i="32"/>
  <c r="AS3503" i="32"/>
  <c r="AS3504" i="32"/>
  <c r="AS3505" i="32"/>
  <c r="AS3506" i="32"/>
  <c r="AS3507" i="32"/>
  <c r="AS3508" i="32"/>
  <c r="AS3509" i="32"/>
  <c r="AS3510" i="32"/>
  <c r="AS3511" i="32"/>
  <c r="AS3512" i="32"/>
  <c r="AS3513" i="32"/>
  <c r="AS3514" i="32"/>
  <c r="AS3515" i="32"/>
  <c r="AS3516" i="32"/>
  <c r="AS3517" i="32"/>
  <c r="AS3518" i="32"/>
  <c r="AS3519" i="32"/>
  <c r="AS3520" i="32"/>
  <c r="AS3521" i="32"/>
  <c r="AS3522" i="32"/>
  <c r="AS3523" i="32"/>
  <c r="AS3524" i="32"/>
  <c r="AS3525" i="32"/>
  <c r="AS3526" i="32"/>
  <c r="AS3527" i="32"/>
  <c r="AS3528" i="32"/>
  <c r="AS3529" i="32"/>
  <c r="AS3530" i="32"/>
  <c r="AS3531" i="32"/>
  <c r="AS3532" i="32"/>
  <c r="AS3533" i="32"/>
  <c r="AS3534" i="32"/>
  <c r="AS3535" i="32"/>
  <c r="AS3536" i="32"/>
  <c r="AS3537" i="32"/>
  <c r="AS3538" i="32"/>
  <c r="AS3539" i="32"/>
  <c r="AS3540" i="32"/>
  <c r="AS3541" i="32"/>
  <c r="AS3542" i="32"/>
  <c r="AS3543" i="32"/>
  <c r="AS3544" i="32"/>
  <c r="AS3545" i="32"/>
  <c r="AS3546" i="32"/>
  <c r="AS3547" i="32"/>
  <c r="AS3548" i="32"/>
  <c r="AS3549" i="32"/>
  <c r="AS3550" i="32"/>
  <c r="AS3551" i="32"/>
  <c r="AS3552" i="32"/>
  <c r="AS3553" i="32"/>
  <c r="AS3554" i="32"/>
  <c r="AS3555" i="32"/>
  <c r="AS3556" i="32"/>
  <c r="AS3557" i="32"/>
  <c r="AS3558" i="32"/>
  <c r="AS3559" i="32"/>
  <c r="AS3560" i="32"/>
  <c r="AS3561" i="32"/>
  <c r="AS3562" i="32"/>
  <c r="AS3563" i="32"/>
  <c r="AS3564" i="32"/>
  <c r="AS3565" i="32"/>
  <c r="AS3566" i="32"/>
  <c r="AS3567" i="32"/>
  <c r="AS3568" i="32"/>
  <c r="AS3569" i="32"/>
  <c r="AS3570" i="32"/>
  <c r="AS3571" i="32"/>
  <c r="AS3572" i="32"/>
  <c r="AS3573" i="32"/>
  <c r="AS3574" i="32"/>
  <c r="AS3575" i="32"/>
  <c r="AS3576" i="32"/>
  <c r="AS3577" i="32"/>
  <c r="AS3578" i="32"/>
  <c r="AS3579" i="32"/>
  <c r="AS3580" i="32"/>
  <c r="AS3581" i="32"/>
  <c r="AS3582" i="32"/>
  <c r="AS3583" i="32"/>
  <c r="AS3584" i="32"/>
  <c r="AS3585" i="32"/>
  <c r="AS3586" i="32"/>
  <c r="AS3587" i="32"/>
  <c r="AS3588" i="32"/>
  <c r="AS3589" i="32"/>
  <c r="AS3590" i="32"/>
  <c r="AS3591" i="32"/>
  <c r="AS3592" i="32"/>
  <c r="AS3593" i="32"/>
  <c r="AS3594" i="32"/>
  <c r="AS3595" i="32"/>
  <c r="AS3596" i="32"/>
  <c r="AS3597" i="32"/>
  <c r="AS3598" i="32"/>
  <c r="AS3599" i="32"/>
  <c r="AS3600" i="32"/>
  <c r="AS3601" i="32"/>
  <c r="AS3602" i="32"/>
  <c r="AS3603" i="32"/>
  <c r="AS3604" i="32"/>
  <c r="AS3605" i="32"/>
  <c r="AS3606" i="32"/>
  <c r="AS3607" i="32"/>
  <c r="AS3608" i="32"/>
  <c r="AS3609" i="32"/>
  <c r="AS3610" i="32"/>
  <c r="AS3611" i="32"/>
  <c r="AS3612" i="32"/>
  <c r="AS3613" i="32"/>
  <c r="AS3614" i="32"/>
  <c r="AS3615" i="32"/>
  <c r="AS3616" i="32"/>
  <c r="AS3617" i="32"/>
  <c r="AS3618" i="32"/>
  <c r="AS3619" i="32"/>
  <c r="AS3620" i="32"/>
  <c r="AS3621" i="32"/>
  <c r="AS3622" i="32"/>
  <c r="AS3623" i="32"/>
  <c r="AS3624" i="32"/>
  <c r="AS3625" i="32"/>
  <c r="AS3626" i="32"/>
  <c r="AS3627" i="32"/>
  <c r="AS3628" i="32"/>
  <c r="AS3629" i="32"/>
  <c r="AS3630" i="32"/>
  <c r="AS3631" i="32"/>
  <c r="AS3632" i="32"/>
  <c r="AS3633" i="32"/>
  <c r="AS3634" i="32"/>
  <c r="AS3635" i="32"/>
  <c r="AS3636" i="32"/>
  <c r="AS3637" i="32"/>
  <c r="AS3638" i="32"/>
  <c r="AS3639" i="32"/>
  <c r="AS3640" i="32"/>
  <c r="AS3641" i="32"/>
  <c r="AS3642" i="32"/>
  <c r="AS3643" i="32"/>
  <c r="AS3644" i="32"/>
  <c r="AS3645" i="32"/>
  <c r="AS3646" i="32"/>
  <c r="AS3647" i="32"/>
  <c r="AS3648" i="32"/>
  <c r="AS3649" i="32"/>
  <c r="AS3650" i="32"/>
  <c r="AS3651" i="32"/>
  <c r="AS3652" i="32"/>
  <c r="AS3653" i="32"/>
  <c r="AS3654" i="32"/>
  <c r="AS3655" i="32"/>
  <c r="AS3656" i="32"/>
  <c r="AS3657" i="32"/>
  <c r="AS3658" i="32"/>
  <c r="AS3659" i="32"/>
  <c r="AS3660" i="32"/>
  <c r="AS3661" i="32"/>
  <c r="AS3662" i="32"/>
  <c r="AS3663" i="32"/>
  <c r="AS3664" i="32"/>
  <c r="AS3665" i="32"/>
  <c r="AS3666" i="32"/>
  <c r="AS3667" i="32"/>
  <c r="AS3668" i="32"/>
  <c r="AS3669" i="32"/>
  <c r="AS3670" i="32"/>
  <c r="AS3671" i="32"/>
  <c r="AS3672" i="32"/>
  <c r="AS3673" i="32"/>
  <c r="AS3674" i="32"/>
  <c r="AS3675" i="32"/>
  <c r="AS3676" i="32"/>
  <c r="AS3677" i="32"/>
  <c r="AS3678" i="32"/>
  <c r="AS3679" i="32"/>
  <c r="AS3680" i="32"/>
  <c r="AS3681" i="32"/>
  <c r="AS3682" i="32"/>
  <c r="AS3683" i="32"/>
  <c r="AS3684" i="32"/>
  <c r="AS3685" i="32"/>
  <c r="AS3686" i="32"/>
  <c r="AS3687" i="32"/>
  <c r="AS3688" i="32"/>
  <c r="AS3689" i="32"/>
  <c r="AS3690" i="32"/>
  <c r="AS3691" i="32"/>
  <c r="AS3692" i="32"/>
  <c r="AS3693" i="32"/>
  <c r="AS3694" i="32"/>
  <c r="AS3695" i="32"/>
  <c r="AS3696" i="32"/>
  <c r="AS3697" i="32"/>
  <c r="AS3698" i="32"/>
  <c r="AS3699" i="32"/>
  <c r="AS3700" i="32"/>
  <c r="AS3701" i="32"/>
  <c r="AS3702" i="32"/>
  <c r="AS3703" i="32"/>
  <c r="AS3704" i="32"/>
  <c r="AS3705" i="32"/>
  <c r="AS3706" i="32"/>
  <c r="AS3707" i="32"/>
  <c r="AS3708" i="32"/>
  <c r="AS3709" i="32"/>
  <c r="AS3710" i="32"/>
  <c r="AS3711" i="32"/>
  <c r="AS3712" i="32"/>
  <c r="AS3713" i="32"/>
  <c r="AS3714" i="32"/>
  <c r="AS3715" i="32"/>
  <c r="AS3716" i="32"/>
  <c r="AS3717" i="32"/>
  <c r="AS3718" i="32"/>
  <c r="AS3719" i="32"/>
  <c r="AS3720" i="32"/>
  <c r="AS3721" i="32"/>
  <c r="AS3722" i="32"/>
  <c r="AS3723" i="32"/>
  <c r="AS3724" i="32"/>
  <c r="AS3725" i="32"/>
  <c r="AS3726" i="32"/>
  <c r="AS3727" i="32"/>
  <c r="AS3728" i="32"/>
  <c r="AS3729" i="32"/>
  <c r="AS3730" i="32"/>
  <c r="AS3731" i="32"/>
  <c r="AS3732" i="32"/>
  <c r="AS3733" i="32"/>
  <c r="AS3734" i="32"/>
  <c r="AS3735" i="32"/>
  <c r="AS3736" i="32"/>
  <c r="AS3737" i="32"/>
  <c r="AS3738" i="32"/>
  <c r="AS3739" i="32"/>
  <c r="AS3740" i="32"/>
  <c r="AS3741" i="32"/>
  <c r="AS3742" i="32"/>
  <c r="AS3743" i="32"/>
  <c r="AS3744" i="32"/>
  <c r="AS3745" i="32"/>
  <c r="AS3746" i="32"/>
  <c r="AS3747" i="32"/>
  <c r="AS3748" i="32"/>
  <c r="AS3749" i="32"/>
  <c r="AS3750" i="32"/>
  <c r="AS3751" i="32"/>
  <c r="AS3752" i="32"/>
  <c r="AS3753" i="32"/>
  <c r="AS3754" i="32"/>
  <c r="AS3755" i="32"/>
  <c r="AS3756" i="32"/>
  <c r="AS3757" i="32"/>
  <c r="AS3758" i="32"/>
  <c r="AS3759" i="32"/>
  <c r="AS3760" i="32"/>
  <c r="AS3761" i="32"/>
  <c r="AS3762" i="32"/>
  <c r="AS3763" i="32"/>
  <c r="AS3764" i="32"/>
  <c r="AS3765" i="32"/>
  <c r="AS3766" i="32"/>
  <c r="AS3767" i="32"/>
  <c r="AS3768" i="32"/>
  <c r="AS3769" i="32"/>
  <c r="AS3770" i="32"/>
  <c r="AS3771" i="32"/>
  <c r="AS3772" i="32"/>
  <c r="AS3773" i="32"/>
  <c r="AS3774" i="32"/>
  <c r="AS3775" i="32"/>
  <c r="AS3776" i="32"/>
  <c r="AS3777" i="32"/>
  <c r="AS3778" i="32"/>
  <c r="AS3779" i="32"/>
  <c r="AS3780" i="32"/>
  <c r="AS3781" i="32"/>
  <c r="AS3782" i="32"/>
  <c r="AS3783" i="32"/>
  <c r="AS3784" i="32"/>
  <c r="AS3785" i="32"/>
  <c r="AS3786" i="32"/>
  <c r="AS3787" i="32"/>
  <c r="AS3788" i="32"/>
  <c r="AS3789" i="32"/>
  <c r="AS3790" i="32"/>
  <c r="AS3791" i="32"/>
  <c r="AS3792" i="32"/>
  <c r="AS3793" i="32"/>
  <c r="AS3794" i="32"/>
  <c r="AS3795" i="32"/>
  <c r="AS3796" i="32"/>
  <c r="AS3797" i="32"/>
  <c r="AS3798" i="32"/>
  <c r="AS3799" i="32"/>
  <c r="AS3800" i="32"/>
  <c r="AS3801" i="32"/>
  <c r="AS3802" i="32"/>
  <c r="AS3803" i="32"/>
  <c r="AS3804" i="32"/>
  <c r="AS3805" i="32"/>
  <c r="AS3806" i="32"/>
  <c r="AS3807" i="32"/>
  <c r="AS3808" i="32"/>
  <c r="AS3809" i="32"/>
  <c r="AS3810" i="32"/>
  <c r="AS3811" i="32"/>
  <c r="AS3812" i="32"/>
  <c r="AS3813" i="32"/>
  <c r="AS3814" i="32"/>
  <c r="AS3815" i="32"/>
  <c r="AS3816" i="32"/>
  <c r="AS3817" i="32"/>
  <c r="AS3818" i="32"/>
  <c r="AS3819" i="32"/>
  <c r="AS3820" i="32"/>
  <c r="AS3821" i="32"/>
  <c r="AS3822" i="32"/>
  <c r="AS3823" i="32"/>
  <c r="AS3824" i="32"/>
  <c r="AS3825" i="32"/>
  <c r="AS3826" i="32"/>
  <c r="AS3827" i="32"/>
  <c r="AS3828" i="32"/>
  <c r="AS3829" i="32"/>
  <c r="AS3830" i="32"/>
  <c r="AS3831" i="32"/>
  <c r="AS3832" i="32"/>
  <c r="AS3833" i="32"/>
  <c r="AS3834" i="32"/>
  <c r="AS3835" i="32"/>
  <c r="AS3836" i="32"/>
  <c r="AS3837" i="32"/>
  <c r="AS3838" i="32"/>
  <c r="AS3839" i="32"/>
  <c r="AS3840" i="32"/>
  <c r="AS3841" i="32"/>
  <c r="AS3842" i="32"/>
  <c r="AS3843" i="32"/>
  <c r="AS3844" i="32"/>
  <c r="AS3845" i="32"/>
  <c r="AS3846" i="32"/>
  <c r="AS3847" i="32"/>
  <c r="AS3848" i="32"/>
  <c r="AS3849" i="32"/>
  <c r="AS3850" i="32"/>
  <c r="AS3851" i="32"/>
  <c r="AS3852" i="32"/>
  <c r="AS3853" i="32"/>
  <c r="AS3854" i="32"/>
  <c r="AS3855" i="32"/>
  <c r="AS3856" i="32"/>
  <c r="AS3857" i="32"/>
  <c r="AS3858" i="32"/>
  <c r="AS3859" i="32"/>
  <c r="AS3860" i="32"/>
  <c r="AS3861" i="32"/>
  <c r="AS3862" i="32"/>
  <c r="AS3863" i="32"/>
  <c r="AS3864" i="32"/>
  <c r="AS3865" i="32"/>
  <c r="AS3866" i="32"/>
  <c r="AS3867" i="32"/>
  <c r="AS3868" i="32"/>
  <c r="AS3869" i="32"/>
  <c r="AS3870" i="32"/>
  <c r="AS3871" i="32"/>
  <c r="AS3872" i="32"/>
  <c r="AS3873" i="32"/>
  <c r="AS3874" i="32"/>
  <c r="AS3875" i="32"/>
  <c r="AS3876" i="32"/>
  <c r="AS3877" i="32"/>
  <c r="AS3878" i="32"/>
  <c r="AS3879" i="32"/>
  <c r="AS3880" i="32"/>
  <c r="AS3881" i="32"/>
  <c r="AS3882" i="32"/>
  <c r="AS3883" i="32"/>
  <c r="AS3884" i="32"/>
  <c r="AS3885" i="32"/>
  <c r="AS3886" i="32"/>
  <c r="AS3887" i="32"/>
  <c r="AS3888" i="32"/>
  <c r="AS3889" i="32"/>
  <c r="AS3890" i="32"/>
  <c r="AS3891" i="32"/>
  <c r="AS3892" i="32"/>
  <c r="AS3893" i="32"/>
  <c r="AS3894" i="32"/>
  <c r="AS3895" i="32"/>
  <c r="AS3896" i="32"/>
  <c r="AS3897" i="32"/>
  <c r="AS3898" i="32"/>
  <c r="AS3899" i="32"/>
  <c r="AS3900" i="32"/>
  <c r="AS3901" i="32"/>
  <c r="AS3902" i="32"/>
  <c r="AS3903" i="32"/>
  <c r="AS3904" i="32"/>
  <c r="AS3905" i="32"/>
  <c r="AS3906" i="32"/>
  <c r="AS3907" i="32"/>
  <c r="AS3908" i="32"/>
  <c r="AS3909" i="32"/>
  <c r="AS3910" i="32"/>
  <c r="AS3911" i="32"/>
  <c r="AS3912" i="32"/>
  <c r="AS3913" i="32"/>
  <c r="AS3914" i="32"/>
  <c r="AS3915" i="32"/>
  <c r="AS3916" i="32"/>
  <c r="AS3917" i="32"/>
  <c r="AS3918" i="32"/>
  <c r="AS3919" i="32"/>
  <c r="AS3920" i="32"/>
  <c r="AS3921" i="32"/>
  <c r="AS3922" i="32"/>
  <c r="AS3923" i="32"/>
  <c r="AS3924" i="32"/>
  <c r="AS3925" i="32"/>
  <c r="AS3926" i="32"/>
  <c r="AS3927" i="32"/>
  <c r="AS3928" i="32"/>
  <c r="AS3929" i="32"/>
  <c r="AS3930" i="32"/>
  <c r="AS3931" i="32"/>
  <c r="AS3932" i="32"/>
  <c r="AS3933" i="32"/>
  <c r="AS3934" i="32"/>
  <c r="AS3935" i="32"/>
  <c r="AS3936" i="32"/>
  <c r="AS3937" i="32"/>
  <c r="AS3938" i="32"/>
  <c r="AS3939" i="32"/>
  <c r="AS3940" i="32"/>
  <c r="AS3941" i="32"/>
  <c r="AS3942" i="32"/>
  <c r="AS3943" i="32"/>
  <c r="AS3944" i="32"/>
  <c r="AS3945" i="32"/>
  <c r="AS3946" i="32"/>
  <c r="AS3947" i="32"/>
  <c r="AS3948" i="32"/>
  <c r="AS3949" i="32"/>
  <c r="AS3950" i="32"/>
  <c r="AS3951" i="32"/>
  <c r="AS3952" i="32"/>
  <c r="AS3953" i="32"/>
  <c r="AS3954" i="32"/>
  <c r="AS3955" i="32"/>
  <c r="AS3956" i="32"/>
  <c r="AS3957" i="32"/>
  <c r="AS3958" i="32"/>
  <c r="AS3959" i="32"/>
  <c r="AS3960" i="32"/>
  <c r="AS3961" i="32"/>
  <c r="AS3962" i="32"/>
  <c r="AS3963" i="32"/>
  <c r="AS3964" i="32"/>
  <c r="AS3965" i="32"/>
  <c r="AS3966" i="32"/>
  <c r="AS3967" i="32"/>
  <c r="AS3968" i="32"/>
  <c r="AS3969" i="32"/>
  <c r="AS3970" i="32"/>
  <c r="AS3971" i="32"/>
  <c r="AS3972" i="32"/>
  <c r="AS3973" i="32"/>
  <c r="AS3974" i="32"/>
  <c r="AS3975" i="32"/>
  <c r="AS3976" i="32"/>
  <c r="AS3977" i="32"/>
  <c r="AS3978" i="32"/>
  <c r="AS3979" i="32"/>
  <c r="AS3980" i="32"/>
  <c r="AS3981" i="32"/>
  <c r="AS3982" i="32"/>
  <c r="AS3983" i="32"/>
  <c r="AS3984" i="32"/>
  <c r="AS3985" i="32"/>
  <c r="AS3986" i="32"/>
  <c r="AS3987" i="32"/>
  <c r="AS3988" i="32"/>
  <c r="AS3989" i="32"/>
  <c r="AS3990" i="32"/>
  <c r="AS3991" i="32"/>
  <c r="AS3992" i="32"/>
  <c r="AS3993" i="32"/>
  <c r="AS3994" i="32"/>
  <c r="AS3995" i="32"/>
  <c r="AS3996" i="32"/>
  <c r="AS3997" i="32"/>
  <c r="AS3998" i="32"/>
  <c r="AS3999" i="32"/>
  <c r="AS4000" i="32"/>
  <c r="AS4001" i="32"/>
  <c r="AS4002" i="32"/>
  <c r="AS4003" i="32"/>
  <c r="AS4004" i="32"/>
  <c r="AS4005" i="32"/>
  <c r="AS4006" i="32"/>
  <c r="AS4007" i="32"/>
  <c r="AS4008" i="32"/>
  <c r="AS4009" i="32"/>
  <c r="AS4010" i="32"/>
  <c r="AS4011" i="32"/>
  <c r="AS4012" i="32"/>
  <c r="AS4013" i="32"/>
  <c r="AS4014" i="32"/>
  <c r="AS4015" i="32"/>
  <c r="AS4016" i="32"/>
  <c r="AS4017" i="32"/>
  <c r="AS4018" i="32"/>
  <c r="AS4019" i="32"/>
  <c r="AS4020" i="32"/>
  <c r="AS4021" i="32"/>
  <c r="AS4022" i="32"/>
  <c r="AS4023" i="32"/>
  <c r="AS4024" i="32"/>
  <c r="AS4025" i="32"/>
  <c r="AS4026" i="32"/>
  <c r="AS4027" i="32"/>
  <c r="AS4028" i="32"/>
  <c r="AS4029" i="32"/>
  <c r="AS4030" i="32"/>
  <c r="AS4031" i="32"/>
  <c r="AS4032" i="32"/>
  <c r="AS4033" i="32"/>
  <c r="AS4034" i="32"/>
  <c r="AS4035" i="32"/>
  <c r="AS4036" i="32"/>
  <c r="AS4037" i="32"/>
  <c r="AS4038" i="32"/>
  <c r="AS4039" i="32"/>
  <c r="AS4040" i="32"/>
  <c r="AS4041" i="32"/>
  <c r="AS4042" i="32"/>
  <c r="AS4043" i="32"/>
  <c r="AS4044" i="32"/>
  <c r="AS4045" i="32"/>
  <c r="AS4046" i="32"/>
  <c r="AS4047" i="32"/>
  <c r="AS4048" i="32"/>
  <c r="AS4049" i="32"/>
  <c r="AS4050" i="32"/>
  <c r="AS4051" i="32"/>
  <c r="AS4052" i="32"/>
  <c r="AS4053" i="32"/>
  <c r="AS4054" i="32"/>
  <c r="AS4055" i="32"/>
  <c r="AS4056" i="32"/>
  <c r="AS4057" i="32"/>
  <c r="AS4058" i="32"/>
  <c r="AS4059" i="32"/>
  <c r="AS4060" i="32"/>
  <c r="AS4061" i="32"/>
  <c r="AS4062" i="32"/>
  <c r="AS4063" i="32"/>
  <c r="AS4064" i="32"/>
  <c r="AS4065" i="32"/>
  <c r="AS4066" i="32"/>
  <c r="AS4067" i="32"/>
  <c r="AS4068" i="32"/>
  <c r="AS4069" i="32"/>
  <c r="AS4070" i="32"/>
  <c r="AS4071" i="32"/>
  <c r="AS4072" i="32"/>
  <c r="AS4073" i="32"/>
  <c r="AS4074" i="32"/>
  <c r="AS4075" i="32"/>
  <c r="AS4076" i="32"/>
  <c r="AS4077" i="32"/>
  <c r="AS4078" i="32"/>
  <c r="AS4079" i="32"/>
  <c r="AS4080" i="32"/>
  <c r="AS4081" i="32"/>
  <c r="AS4082" i="32"/>
  <c r="AS4083" i="32"/>
  <c r="AS4084" i="32"/>
  <c r="AS4085" i="32"/>
  <c r="AS4086" i="32"/>
  <c r="AS4087" i="32"/>
  <c r="AS4088" i="32"/>
  <c r="AS4089" i="32"/>
  <c r="AS4090" i="32"/>
  <c r="AS4091" i="32"/>
  <c r="AS4092" i="32"/>
  <c r="AS4093" i="32"/>
  <c r="AS4094" i="32"/>
  <c r="AS4095" i="32"/>
  <c r="AS4096" i="32"/>
  <c r="AS4097" i="32"/>
  <c r="AS4098" i="32"/>
  <c r="AS4099" i="32"/>
  <c r="AS4100" i="32"/>
  <c r="AS4101" i="32"/>
  <c r="AS4102" i="32"/>
  <c r="AS4103" i="32"/>
  <c r="AS4104" i="32"/>
  <c r="AS4105" i="32"/>
  <c r="AS4106" i="32"/>
  <c r="AS4107" i="32"/>
  <c r="AS4108" i="32"/>
  <c r="AS4109" i="32"/>
  <c r="AS4110" i="32"/>
  <c r="AS4111" i="32"/>
  <c r="AS4112" i="32"/>
  <c r="AS4113" i="32"/>
  <c r="AS4114" i="32"/>
  <c r="AS4115" i="32"/>
  <c r="AS4116" i="32"/>
  <c r="AS4117" i="32"/>
  <c r="AS4118" i="32"/>
  <c r="AS4119" i="32"/>
  <c r="AS4120" i="32"/>
  <c r="AS4121" i="32"/>
  <c r="AS4122" i="32"/>
  <c r="AS4123" i="32"/>
  <c r="AS4124" i="32"/>
  <c r="AS4125" i="32"/>
  <c r="AS4126" i="32"/>
  <c r="AS4127" i="32"/>
  <c r="AS4128" i="32"/>
  <c r="AS4129" i="32"/>
  <c r="AS4130" i="32"/>
  <c r="AS4131" i="32"/>
  <c r="AS4132" i="32"/>
  <c r="AS4133" i="32"/>
  <c r="AS4134" i="32"/>
  <c r="AS4135" i="32"/>
  <c r="AS4136" i="32"/>
  <c r="AS4137" i="32"/>
  <c r="AS4138" i="32"/>
  <c r="AS4139" i="32"/>
  <c r="AS4140" i="32"/>
  <c r="AS4141" i="32"/>
  <c r="AS4142" i="32"/>
  <c r="AS4143" i="32"/>
  <c r="AS4144" i="32"/>
  <c r="AS4145" i="32"/>
  <c r="AS4146" i="32"/>
  <c r="AS4147" i="32"/>
  <c r="AS4148" i="32"/>
  <c r="AS4149" i="32"/>
  <c r="AS4150" i="32"/>
  <c r="AS4151" i="32"/>
  <c r="AS4152" i="32"/>
  <c r="AS4153" i="32"/>
  <c r="AS4154" i="32"/>
  <c r="AS4155" i="32"/>
  <c r="AS4156" i="32"/>
  <c r="AS4157" i="32"/>
  <c r="AS4158" i="32"/>
  <c r="AS4159" i="32"/>
  <c r="AS4160" i="32"/>
  <c r="AS4161" i="32"/>
  <c r="AS4162" i="32"/>
  <c r="AS4163" i="32"/>
  <c r="AS4164" i="32"/>
  <c r="AS4165" i="32"/>
  <c r="AS4166" i="32"/>
  <c r="AS4167" i="32"/>
  <c r="AS4168" i="32"/>
  <c r="AS4169" i="32"/>
  <c r="AS4170" i="32"/>
  <c r="AS4171" i="32"/>
  <c r="AS4172" i="32"/>
  <c r="AS4173" i="32"/>
  <c r="AS4174" i="32"/>
  <c r="AS4175" i="32"/>
  <c r="AS4176" i="32"/>
  <c r="AS4177" i="32"/>
  <c r="AS4178" i="32"/>
  <c r="AS4179" i="32"/>
  <c r="AS4180" i="32"/>
  <c r="AS4181" i="32"/>
  <c r="AS4182" i="32"/>
  <c r="AS4183" i="32"/>
  <c r="AS4184" i="32"/>
  <c r="AS4185" i="32"/>
  <c r="AS4186" i="32"/>
  <c r="AS4187" i="32"/>
  <c r="AS4188" i="32"/>
  <c r="AS4189" i="32"/>
  <c r="AS4190" i="32"/>
  <c r="AS4191" i="32"/>
  <c r="AS4192" i="32"/>
  <c r="AS4193" i="32"/>
  <c r="AS4194" i="32"/>
  <c r="AS4195" i="32"/>
  <c r="AS4196" i="32"/>
  <c r="AS4197" i="32"/>
  <c r="AS4198" i="32"/>
  <c r="AS4199" i="32"/>
  <c r="AS4200" i="32"/>
  <c r="AS4201" i="32"/>
  <c r="AS4202" i="32"/>
  <c r="AS4203" i="32"/>
  <c r="AS4204" i="32"/>
  <c r="AS4205" i="32"/>
  <c r="AS4206" i="32"/>
  <c r="AS4207" i="32"/>
  <c r="AS4208" i="32"/>
  <c r="AS4209" i="32"/>
  <c r="AS4210" i="32"/>
  <c r="AS4211" i="32"/>
  <c r="AS4212" i="32"/>
  <c r="AS4213" i="32"/>
  <c r="AS4214" i="32"/>
  <c r="AS4215" i="32"/>
  <c r="AS4216" i="32"/>
  <c r="AS4217" i="32"/>
  <c r="AS4218" i="32"/>
  <c r="AS4219" i="32"/>
  <c r="AS4220" i="32"/>
  <c r="AS4221" i="32"/>
  <c r="AS4222" i="32"/>
  <c r="AS4223" i="32"/>
  <c r="AS4224" i="32"/>
  <c r="AS4225" i="32"/>
  <c r="AS4226" i="32"/>
  <c r="AS4227" i="32"/>
  <c r="AS4228" i="32"/>
  <c r="AS4229" i="32"/>
  <c r="AS4230" i="32"/>
  <c r="AS4231" i="32"/>
  <c r="AS4232" i="32"/>
  <c r="AS4233" i="32"/>
  <c r="AS4234" i="32"/>
  <c r="AS4235" i="32"/>
  <c r="AS4236" i="32"/>
  <c r="AS4237" i="32"/>
  <c r="AS4238" i="32"/>
  <c r="AS4239" i="32"/>
  <c r="AS4240" i="32"/>
  <c r="AS4241" i="32"/>
  <c r="AS4242" i="32"/>
  <c r="AS4243" i="32"/>
  <c r="AS4244" i="32"/>
  <c r="AS4245" i="32"/>
  <c r="AS4246" i="32"/>
  <c r="AS4247" i="32"/>
  <c r="AS4248" i="32"/>
  <c r="AS4249" i="32"/>
  <c r="AS4250" i="32"/>
  <c r="AS4251" i="32"/>
  <c r="AS4252" i="32"/>
  <c r="AS4253" i="32"/>
  <c r="AS4254" i="32"/>
  <c r="AS4255" i="32"/>
  <c r="AS4256" i="32"/>
  <c r="AS4257" i="32"/>
  <c r="AS4258" i="32"/>
  <c r="AS4259" i="32"/>
  <c r="AS4260" i="32"/>
  <c r="AS4261" i="32"/>
  <c r="AS4262" i="32"/>
  <c r="AS4263" i="32"/>
  <c r="AS4264" i="32"/>
  <c r="AS4265" i="32"/>
  <c r="AS4266" i="32"/>
  <c r="AS4267" i="32"/>
  <c r="AS4268" i="32"/>
  <c r="AS4269" i="32"/>
  <c r="AS4270" i="32"/>
  <c r="AS4271" i="32"/>
  <c r="AS4272" i="32"/>
  <c r="AS4273" i="32"/>
  <c r="AS4274" i="32"/>
  <c r="AS4275" i="32"/>
  <c r="AS4276" i="32"/>
  <c r="AS4277" i="32"/>
  <c r="AS4278" i="32"/>
  <c r="AS4279" i="32"/>
  <c r="AS4280" i="32"/>
  <c r="AS4281" i="32"/>
  <c r="AS4282" i="32"/>
  <c r="AS4283" i="32"/>
  <c r="AS4284" i="32"/>
  <c r="AS4285" i="32"/>
  <c r="AS4286" i="32"/>
  <c r="AS4287" i="32"/>
  <c r="AS4288" i="32"/>
  <c r="AS4289" i="32"/>
  <c r="AS4290" i="32"/>
  <c r="AS4291" i="32"/>
  <c r="AS4292" i="32"/>
  <c r="AS4293" i="32"/>
  <c r="AS4294" i="32"/>
  <c r="AS4295" i="32"/>
  <c r="AS4296" i="32"/>
  <c r="AS4297" i="32"/>
  <c r="AS4298" i="32"/>
  <c r="AS4299" i="32"/>
  <c r="AS4300" i="32"/>
  <c r="AS4301" i="32"/>
  <c r="AS4302" i="32"/>
  <c r="AS4303" i="32"/>
  <c r="AS4304" i="32"/>
  <c r="AS4305" i="32"/>
  <c r="AS4306" i="32"/>
  <c r="AS4307" i="32"/>
  <c r="AS4308" i="32"/>
  <c r="AS4309" i="32"/>
  <c r="AS4310" i="32"/>
  <c r="AS4311" i="32"/>
  <c r="AS4312" i="32"/>
  <c r="AS4313" i="32"/>
  <c r="AS4314" i="32"/>
  <c r="AS4315" i="32"/>
  <c r="AS4316" i="32"/>
  <c r="AS4317" i="32"/>
  <c r="AS4318" i="32"/>
  <c r="AS4319" i="32"/>
  <c r="AS4320" i="32"/>
  <c r="AS4321" i="32"/>
  <c r="AS4322" i="32"/>
  <c r="AS4323" i="32"/>
  <c r="AS4324" i="32"/>
  <c r="AS4325" i="32"/>
  <c r="AS4326" i="32"/>
  <c r="AS4327" i="32"/>
  <c r="AS4328" i="32"/>
  <c r="AS4329" i="32"/>
  <c r="AS4330" i="32"/>
  <c r="AS4331" i="32"/>
  <c r="AS4332" i="32"/>
  <c r="AS4333" i="32"/>
  <c r="AS4334" i="32"/>
  <c r="AS4335" i="32"/>
  <c r="AS4336" i="32"/>
  <c r="AS4337" i="32"/>
  <c r="AS4338" i="32"/>
  <c r="AS4339" i="32"/>
  <c r="AS4340" i="32"/>
  <c r="AS4341" i="32"/>
  <c r="AS4342" i="32"/>
  <c r="AS4343" i="32"/>
  <c r="AS4344" i="32"/>
  <c r="AS4345" i="32"/>
  <c r="AS4346" i="32"/>
  <c r="AS4347" i="32"/>
  <c r="AS4348" i="32"/>
  <c r="AS4349" i="32"/>
  <c r="AS4350" i="32"/>
  <c r="AS4351" i="32"/>
  <c r="AS4352" i="32"/>
  <c r="AS4353" i="32"/>
  <c r="AS4354" i="32"/>
  <c r="AS4355" i="32"/>
  <c r="AS4356" i="32"/>
  <c r="AS4357" i="32"/>
  <c r="AS4358" i="32"/>
  <c r="AS4359" i="32"/>
  <c r="AS4360" i="32"/>
  <c r="AS4361" i="32"/>
  <c r="AS4362" i="32"/>
  <c r="AS4363" i="32"/>
  <c r="AS4364" i="32"/>
  <c r="AS4365" i="32"/>
  <c r="AS4366" i="32"/>
  <c r="AS4367" i="32"/>
  <c r="AS4368" i="32"/>
  <c r="AS4369" i="32"/>
  <c r="AS4370" i="32"/>
  <c r="AS4371" i="32"/>
  <c r="AS4372" i="32"/>
  <c r="AS4373" i="32"/>
  <c r="AS4374" i="32"/>
  <c r="AS4375" i="32"/>
  <c r="AS4376" i="32"/>
  <c r="AS4377" i="32"/>
  <c r="AS4378" i="32"/>
  <c r="AS4379" i="32"/>
  <c r="AS4380" i="32"/>
  <c r="AS4381" i="32"/>
  <c r="AS4382" i="32"/>
  <c r="AS4383" i="32"/>
  <c r="AS4384" i="32"/>
  <c r="AS4385" i="32"/>
  <c r="AS4386" i="32"/>
  <c r="AS4387" i="32"/>
  <c r="AS4388" i="32"/>
  <c r="AS4389" i="32"/>
  <c r="AS4390" i="32"/>
  <c r="AS4391" i="32"/>
  <c r="AS4392" i="32"/>
  <c r="AS4393" i="32"/>
  <c r="AS4394" i="32"/>
  <c r="AS4395" i="32"/>
  <c r="AS4396" i="32"/>
  <c r="AS4397" i="32"/>
  <c r="AS4398" i="32"/>
  <c r="AS4399" i="32"/>
  <c r="AS4400" i="32"/>
  <c r="AS4401" i="32"/>
  <c r="AS4402" i="32"/>
  <c r="AS4403" i="32"/>
  <c r="AS4404" i="32"/>
  <c r="AS4405" i="32"/>
  <c r="AS4406" i="32"/>
  <c r="AS4407" i="32"/>
  <c r="AS4408" i="32"/>
  <c r="AS4409" i="32"/>
  <c r="AS4410" i="32"/>
  <c r="AS4411" i="32"/>
  <c r="AS4412" i="32"/>
  <c r="AS4413" i="32"/>
  <c r="AS4414" i="32"/>
  <c r="AS4415" i="32"/>
  <c r="AS4416" i="32"/>
  <c r="AS4417" i="32"/>
  <c r="AS4418" i="32"/>
  <c r="AS4419" i="32"/>
  <c r="AS4420" i="32"/>
  <c r="AS4421" i="32"/>
  <c r="AS4422" i="32"/>
  <c r="AS4423" i="32"/>
  <c r="AS4424" i="32"/>
  <c r="AS4425" i="32"/>
  <c r="AS4426" i="32"/>
  <c r="AS4427" i="32"/>
  <c r="AS4428" i="32"/>
  <c r="AS4429" i="32"/>
  <c r="AS4430" i="32"/>
  <c r="AS4431" i="32"/>
  <c r="AS4432" i="32"/>
  <c r="AS4433" i="32"/>
  <c r="AS4434" i="32"/>
  <c r="AS4435" i="32"/>
  <c r="AS4436" i="32"/>
  <c r="AS4437" i="32"/>
  <c r="AS4438" i="32"/>
  <c r="AS4439" i="32"/>
  <c r="AS4440" i="32"/>
  <c r="AS4441" i="32"/>
  <c r="AS4442" i="32"/>
  <c r="AS4443" i="32"/>
  <c r="AS4444" i="32"/>
  <c r="AS4445" i="32"/>
  <c r="AS4446" i="32"/>
  <c r="AS4447" i="32"/>
  <c r="AS4448" i="32"/>
  <c r="AS4449" i="32"/>
  <c r="AS4450" i="32"/>
  <c r="AS4451" i="32"/>
  <c r="AS4452" i="32"/>
  <c r="AS4453" i="32"/>
  <c r="AS4454" i="32"/>
  <c r="AS4455" i="32"/>
  <c r="AS4456" i="32"/>
  <c r="AS4457" i="32"/>
  <c r="AS4458" i="32"/>
  <c r="AS4459" i="32"/>
  <c r="AS4460" i="32"/>
  <c r="AS4461" i="32"/>
  <c r="AS4462" i="32"/>
  <c r="AS4463" i="32"/>
  <c r="AS4464" i="32"/>
  <c r="AS4465" i="32"/>
  <c r="AS4466" i="32"/>
  <c r="AS4467" i="32"/>
  <c r="AS4468" i="32"/>
  <c r="AS4469" i="32"/>
  <c r="AS4470" i="32"/>
  <c r="AS4471" i="32"/>
  <c r="AS4472" i="32"/>
  <c r="AS4473" i="32"/>
  <c r="AS4474" i="32"/>
  <c r="AS4475" i="32"/>
  <c r="AS4476" i="32"/>
  <c r="AS4477" i="32"/>
  <c r="AS4478" i="32"/>
  <c r="AS4479" i="32"/>
  <c r="AS4480" i="32"/>
  <c r="AS4481" i="32"/>
  <c r="AS4482" i="32"/>
  <c r="AS4483" i="32"/>
  <c r="AS4484" i="32"/>
  <c r="AS4485" i="32"/>
  <c r="AS4486" i="32"/>
  <c r="AS4487" i="32"/>
  <c r="AS4488" i="32"/>
  <c r="AS4489" i="32"/>
  <c r="AS4490" i="32"/>
  <c r="AS4491" i="32"/>
  <c r="AS4492" i="32"/>
  <c r="AS4493" i="32"/>
  <c r="AS4494" i="32"/>
  <c r="AS4495" i="32"/>
  <c r="AS4496" i="32"/>
  <c r="AS4497" i="32"/>
  <c r="AS4498" i="32"/>
  <c r="AS4499" i="32"/>
  <c r="AS4500" i="32"/>
  <c r="AS4501" i="32"/>
  <c r="AS4502" i="32"/>
  <c r="AS4503" i="32"/>
  <c r="AS4504" i="32"/>
  <c r="AS4505" i="32"/>
  <c r="AS4506" i="32"/>
  <c r="AS4507" i="32"/>
  <c r="AS4508" i="32"/>
  <c r="AS4509" i="32"/>
  <c r="AS4510" i="32"/>
  <c r="AS4511" i="32"/>
  <c r="AS4512" i="32"/>
  <c r="AS4513" i="32"/>
  <c r="AS4514" i="32"/>
  <c r="AS4515" i="32"/>
  <c r="AS4516" i="32"/>
  <c r="AS4517" i="32"/>
  <c r="AS4518" i="32"/>
  <c r="AS4519" i="32"/>
  <c r="AS4520" i="32"/>
  <c r="AS4521" i="32"/>
  <c r="AS4522" i="32"/>
  <c r="AS4523" i="32"/>
  <c r="AS4524" i="32"/>
  <c r="AS4525" i="32"/>
  <c r="AS4526" i="32"/>
  <c r="AS4527" i="32"/>
  <c r="AS4528" i="32"/>
  <c r="AS4529" i="32"/>
  <c r="AS4530" i="32"/>
  <c r="AS4531" i="32"/>
  <c r="AS4532" i="32"/>
  <c r="AS4533" i="32"/>
  <c r="AS4534" i="32"/>
  <c r="AS4535" i="32"/>
  <c r="AS4536" i="32"/>
  <c r="AS4537" i="32"/>
  <c r="AS4538" i="32"/>
  <c r="AS4539" i="32"/>
  <c r="AS4540" i="32"/>
  <c r="AS4541" i="32"/>
  <c r="AS4542" i="32"/>
  <c r="AS4543" i="32"/>
  <c r="AS4544" i="32"/>
  <c r="AS4545" i="32"/>
  <c r="AS4546" i="32"/>
  <c r="AS4547" i="32"/>
  <c r="AS4548" i="32"/>
  <c r="AS4549" i="32"/>
  <c r="AS4550" i="32"/>
  <c r="AS4551" i="32"/>
  <c r="AS4552" i="32"/>
  <c r="AS4553" i="32"/>
  <c r="AS4554" i="32"/>
  <c r="AS4555" i="32"/>
  <c r="AS4556" i="32"/>
  <c r="AS4557" i="32"/>
  <c r="AS4558" i="32"/>
  <c r="AS4559" i="32"/>
  <c r="AS4560" i="32"/>
  <c r="AS4561" i="32"/>
  <c r="AS4562" i="32"/>
  <c r="AS4563" i="32"/>
  <c r="AS4564" i="32"/>
  <c r="AS4565" i="32"/>
  <c r="AS4566" i="32"/>
  <c r="AS4567" i="32"/>
  <c r="AS4568" i="32"/>
  <c r="AS4569" i="32"/>
  <c r="AS4570" i="32"/>
  <c r="AS4571" i="32"/>
  <c r="AS4572" i="32"/>
  <c r="AS4573" i="32"/>
  <c r="AS4574" i="32"/>
  <c r="AS4575" i="32"/>
  <c r="AS4576" i="32"/>
  <c r="AS4577" i="32"/>
  <c r="AS4578" i="32"/>
  <c r="AS4579" i="32"/>
  <c r="AS4580" i="32"/>
  <c r="AS4581" i="32"/>
  <c r="AS4582" i="32"/>
  <c r="AS4583" i="32"/>
  <c r="AS4584" i="32"/>
  <c r="AS4585" i="32"/>
  <c r="AS4586" i="32"/>
  <c r="AS4587" i="32"/>
  <c r="AS4588" i="32"/>
  <c r="AS4589" i="32"/>
  <c r="AS4590" i="32"/>
  <c r="AS4591" i="32"/>
  <c r="AS4592" i="32"/>
  <c r="AS4593" i="32"/>
  <c r="AS4594" i="32"/>
  <c r="AS4595" i="32"/>
  <c r="AS4596" i="32"/>
  <c r="AS4597" i="32"/>
  <c r="AS4598" i="32"/>
  <c r="AS4599" i="32"/>
  <c r="AS4600" i="32"/>
  <c r="AS4601" i="32"/>
  <c r="AS4602" i="32"/>
  <c r="AS4603" i="32"/>
  <c r="AS4604" i="32"/>
  <c r="AS4605" i="32"/>
  <c r="AS4606" i="32"/>
  <c r="AS4607" i="32"/>
  <c r="AS4608" i="32"/>
  <c r="AS4609" i="32"/>
  <c r="AS4610" i="32"/>
  <c r="AS4611" i="32"/>
  <c r="AS4612" i="32"/>
  <c r="AS4613" i="32"/>
  <c r="AS4614" i="32"/>
  <c r="AS4615" i="32"/>
  <c r="AS4616" i="32"/>
  <c r="AS4617" i="32"/>
  <c r="AS4618" i="32"/>
  <c r="AS4619" i="32"/>
  <c r="AS4620" i="32"/>
  <c r="AS4621" i="32"/>
  <c r="AS4622" i="32"/>
  <c r="AS4623" i="32"/>
  <c r="AS4624" i="32"/>
  <c r="AS4625" i="32"/>
  <c r="AS4626" i="32"/>
  <c r="AS4627" i="32"/>
  <c r="AS4628" i="32"/>
  <c r="AS4629" i="32"/>
  <c r="AS4630" i="32"/>
  <c r="AS4631" i="32"/>
  <c r="AS4632" i="32"/>
  <c r="AS4633" i="32"/>
  <c r="AS4634" i="32"/>
  <c r="AS4635" i="32"/>
  <c r="AS4636" i="32"/>
  <c r="AS4637" i="32"/>
  <c r="AS4638" i="32"/>
  <c r="AS4639" i="32"/>
  <c r="AS4640" i="32"/>
  <c r="AS4641" i="32"/>
  <c r="AS4642" i="32"/>
  <c r="AS4643" i="32"/>
  <c r="AS4644" i="32"/>
  <c r="AS4645" i="32"/>
  <c r="AS4646" i="32"/>
  <c r="AS4647" i="32"/>
  <c r="AS4648" i="32"/>
  <c r="AS4649" i="32"/>
  <c r="AS4650" i="32"/>
  <c r="AS4651" i="32"/>
  <c r="AS4652" i="32"/>
  <c r="AS4653" i="32"/>
  <c r="AS4654" i="32"/>
  <c r="AS4655" i="32"/>
  <c r="AS4656" i="32"/>
  <c r="AS4657" i="32"/>
  <c r="AS4658" i="32"/>
  <c r="AS4659" i="32"/>
  <c r="AS4660" i="32"/>
  <c r="AS4661" i="32"/>
  <c r="AS4662" i="32"/>
  <c r="AS4663" i="32"/>
  <c r="AS4664" i="32"/>
  <c r="AS4665" i="32"/>
  <c r="AS4666" i="32"/>
  <c r="AS4667" i="32"/>
  <c r="AS4668" i="32"/>
  <c r="AS4669" i="32"/>
  <c r="AS4670" i="32"/>
  <c r="AS4671" i="32"/>
  <c r="AS4672" i="32"/>
  <c r="AS4673" i="32"/>
  <c r="AS4674" i="32"/>
  <c r="AS4675" i="32"/>
  <c r="AS4676" i="32"/>
  <c r="AS4677" i="32"/>
  <c r="AS4678" i="32"/>
  <c r="AS4679" i="32"/>
  <c r="AS4680" i="32"/>
  <c r="AS4681" i="32"/>
  <c r="AS4682" i="32"/>
  <c r="AS4683" i="32"/>
  <c r="AS4684" i="32"/>
  <c r="AS4685" i="32"/>
  <c r="AS4686" i="32"/>
  <c r="AS4687" i="32"/>
  <c r="AS4688" i="32"/>
  <c r="AS4689" i="32"/>
  <c r="AS4690" i="32"/>
  <c r="AS4691" i="32"/>
  <c r="AS4692" i="32"/>
  <c r="AS4693" i="32"/>
  <c r="AS4694" i="32"/>
  <c r="AS4695" i="32"/>
  <c r="AS4696" i="32"/>
  <c r="AS4697" i="32"/>
  <c r="AS4698" i="32"/>
  <c r="AS4699" i="32"/>
  <c r="AS4700" i="32"/>
  <c r="AS4701" i="32"/>
  <c r="AS4702" i="32"/>
  <c r="AS4703" i="32"/>
  <c r="AS4704" i="32"/>
  <c r="AS4705" i="32"/>
  <c r="AS4706" i="32"/>
  <c r="AS4707" i="32"/>
  <c r="AS4708" i="32"/>
  <c r="AS4709" i="32"/>
  <c r="AS4710" i="32"/>
  <c r="AS4711" i="32"/>
  <c r="AS4712" i="32"/>
  <c r="AS4713" i="32"/>
  <c r="AS4714" i="32"/>
  <c r="AS4715" i="32"/>
  <c r="AS4716" i="32"/>
  <c r="AS4717" i="32"/>
  <c r="AS4718" i="32"/>
  <c r="AS4719" i="32"/>
  <c r="AS4720" i="32"/>
  <c r="AS4721" i="32"/>
  <c r="AS4722" i="32"/>
  <c r="AS4723" i="32"/>
  <c r="AS4724" i="32"/>
  <c r="AS4725" i="32"/>
  <c r="AS4726" i="32"/>
  <c r="AS4727" i="32"/>
  <c r="AS4728" i="32"/>
  <c r="AS4729" i="32"/>
  <c r="AS4730" i="32"/>
  <c r="AS4731" i="32"/>
  <c r="AS4732" i="32"/>
  <c r="AS4733" i="32"/>
  <c r="AS4734" i="32"/>
  <c r="AS4735" i="32"/>
  <c r="AS4736" i="32"/>
  <c r="AS4737" i="32"/>
  <c r="AS4738" i="32"/>
  <c r="AS4739" i="32"/>
  <c r="AS4740" i="32"/>
  <c r="AS4741" i="32"/>
  <c r="AS4742" i="32"/>
  <c r="AS4743" i="32"/>
  <c r="AS4744" i="32"/>
  <c r="AS4745" i="32"/>
  <c r="AS4746" i="32"/>
  <c r="AS4747" i="32"/>
  <c r="AS4748" i="32"/>
  <c r="AS4749" i="32"/>
  <c r="AS4750" i="32"/>
  <c r="AS4751" i="32"/>
  <c r="AS4752" i="32"/>
  <c r="AS4753" i="32"/>
  <c r="AS4754" i="32"/>
  <c r="AS4755" i="32"/>
  <c r="AS4756" i="32"/>
  <c r="AS4757" i="32"/>
  <c r="AS4758" i="32"/>
  <c r="AS4759" i="32"/>
  <c r="AS4760" i="32"/>
  <c r="AS4761" i="32"/>
  <c r="AS4762" i="32"/>
  <c r="AS4763" i="32"/>
  <c r="AS4764" i="32"/>
  <c r="AS4765" i="32"/>
  <c r="AS4766" i="32"/>
  <c r="AS4767" i="32"/>
  <c r="AS4768" i="32"/>
  <c r="AS4769" i="32"/>
  <c r="AS4770" i="32"/>
  <c r="AS4771" i="32"/>
  <c r="AS4772" i="32"/>
  <c r="AS4773" i="32"/>
  <c r="AS4774" i="32"/>
  <c r="AS4775" i="32"/>
  <c r="AS4776" i="32"/>
  <c r="AS4777" i="32"/>
  <c r="AS4778" i="32"/>
  <c r="AS4779" i="32"/>
  <c r="AS4780" i="32"/>
  <c r="AS4781" i="32"/>
  <c r="AS4782" i="32"/>
  <c r="AS4783" i="32"/>
  <c r="AS4784" i="32"/>
  <c r="AS4785" i="32"/>
  <c r="AS4786" i="32"/>
  <c r="AS4787" i="32"/>
  <c r="AS4788" i="32"/>
  <c r="AS4789" i="32"/>
  <c r="AS4790" i="32"/>
  <c r="AS4791" i="32"/>
  <c r="AS4792" i="32"/>
  <c r="AS4793" i="32"/>
  <c r="AS4794" i="32"/>
  <c r="AS4795" i="32"/>
  <c r="AS4796" i="32"/>
  <c r="AS4797" i="32"/>
  <c r="AS4798" i="32"/>
  <c r="AS4799" i="32"/>
  <c r="AS4800" i="32"/>
  <c r="AS4801" i="32"/>
  <c r="AS4802" i="32"/>
  <c r="AS4803" i="32"/>
  <c r="AS4804" i="32"/>
  <c r="AS4805" i="32"/>
  <c r="AS4806" i="32"/>
  <c r="AS4807" i="32"/>
  <c r="AS4808" i="32"/>
  <c r="AS4809" i="32"/>
  <c r="AS4810" i="32"/>
  <c r="AS4811" i="32"/>
  <c r="AS4812" i="32"/>
  <c r="AS4813" i="32"/>
  <c r="AS4814" i="32"/>
  <c r="AS4815" i="32"/>
  <c r="AS4816" i="32"/>
  <c r="AS4817" i="32"/>
  <c r="AS4818" i="32"/>
  <c r="AS4819" i="32"/>
  <c r="AS4820" i="32"/>
  <c r="AS4821" i="32"/>
  <c r="AS4822" i="32"/>
  <c r="AS4823" i="32"/>
  <c r="AS4824" i="32"/>
  <c r="AS4825" i="32"/>
  <c r="AS4826" i="32"/>
  <c r="AS4827" i="32"/>
  <c r="AS4828" i="32"/>
  <c r="AS4829" i="32"/>
  <c r="AS4830" i="32"/>
  <c r="AS4831" i="32"/>
  <c r="AS4832" i="32"/>
  <c r="AS4833" i="32"/>
  <c r="AS4834" i="32"/>
  <c r="AS4835" i="32"/>
  <c r="AS4836" i="32"/>
  <c r="AS4837" i="32"/>
  <c r="AS4838" i="32"/>
  <c r="AS4839" i="32"/>
  <c r="AS4840" i="32"/>
  <c r="AS4841" i="32"/>
  <c r="AS4842" i="32"/>
  <c r="AS4843" i="32"/>
  <c r="AS4844" i="32"/>
  <c r="AS4845" i="32"/>
  <c r="AS4846" i="32"/>
  <c r="AS4847" i="32"/>
  <c r="AS4848" i="32"/>
  <c r="AS4849" i="32"/>
  <c r="AS4850" i="32"/>
  <c r="AS4851" i="32"/>
  <c r="AS4852" i="32"/>
  <c r="AS4853" i="32"/>
  <c r="AS4854" i="32"/>
  <c r="AS4855" i="32"/>
  <c r="AS4856" i="32"/>
  <c r="AS4857" i="32"/>
  <c r="AS4858" i="32"/>
  <c r="AS4859" i="32"/>
  <c r="AS4860" i="32"/>
  <c r="AS4861" i="32"/>
  <c r="AS4862" i="32"/>
  <c r="AS4863" i="32"/>
  <c r="AS4864" i="32"/>
  <c r="AS4865" i="32"/>
  <c r="AS4866" i="32"/>
  <c r="AS4867" i="32"/>
  <c r="AS4868" i="32"/>
  <c r="AS4869" i="32"/>
  <c r="AS4870" i="32"/>
  <c r="AS4871" i="32"/>
  <c r="AS4872" i="32"/>
  <c r="AS4873" i="32"/>
  <c r="AS4874" i="32"/>
  <c r="AS4875" i="32"/>
  <c r="AS4876" i="32"/>
  <c r="AS4877" i="32"/>
  <c r="AS4878" i="32"/>
  <c r="AS4879" i="32"/>
  <c r="AS4880" i="32"/>
  <c r="AS4881" i="32"/>
  <c r="AS4882" i="32"/>
  <c r="AS4883" i="32"/>
  <c r="AS4884" i="32"/>
  <c r="AS4885" i="32"/>
  <c r="AS4886" i="32"/>
  <c r="AS4887" i="32"/>
  <c r="AS4888" i="32"/>
  <c r="AS4889" i="32"/>
  <c r="AS4890" i="32"/>
  <c r="AS4891" i="32"/>
  <c r="AS4892" i="32"/>
  <c r="AS4893" i="32"/>
  <c r="AS4894" i="32"/>
  <c r="AS4895" i="32"/>
  <c r="AS4896" i="32"/>
  <c r="AS4897" i="32"/>
  <c r="AS4898" i="32"/>
  <c r="AS4899" i="32"/>
  <c r="AS4900" i="32"/>
  <c r="AS4901" i="32"/>
  <c r="AS4902" i="32"/>
  <c r="AS4903" i="32"/>
  <c r="AS4904" i="32"/>
  <c r="AS4905" i="32"/>
  <c r="AS4906" i="32"/>
  <c r="AS4907" i="32"/>
  <c r="AS4908" i="32"/>
  <c r="AS4909" i="32"/>
  <c r="AS4910" i="32"/>
  <c r="AS4911" i="32"/>
  <c r="AS4912" i="32"/>
  <c r="AS4913" i="32"/>
  <c r="AS4914" i="32"/>
  <c r="AS4915" i="32"/>
  <c r="AS4916" i="32"/>
  <c r="AS4917" i="32"/>
  <c r="AS4918" i="32"/>
  <c r="AS4919" i="32"/>
  <c r="AS4920" i="32"/>
  <c r="AS4921" i="32"/>
  <c r="AS4922" i="32"/>
  <c r="AS4923" i="32"/>
  <c r="AS4924" i="32"/>
  <c r="AS4925" i="32"/>
  <c r="AS4926" i="32"/>
  <c r="AS4927" i="32"/>
  <c r="AS4928" i="32"/>
  <c r="AS4929" i="32"/>
  <c r="AS4930" i="32"/>
  <c r="AS4931" i="32"/>
  <c r="AS4932" i="32"/>
  <c r="AS4933" i="32"/>
  <c r="AS4934" i="32"/>
  <c r="AS4935" i="32"/>
  <c r="AS4936" i="32"/>
  <c r="AS4937" i="32"/>
  <c r="AS4938" i="32"/>
  <c r="AS4939" i="32"/>
  <c r="AS4940" i="32"/>
  <c r="AS4941" i="32"/>
  <c r="AS4942" i="32"/>
  <c r="AS4943" i="32"/>
  <c r="AS4944" i="32"/>
  <c r="AS4945" i="32"/>
  <c r="AS4946" i="32"/>
  <c r="AS4947" i="32"/>
  <c r="AS4948" i="32"/>
  <c r="AS4949" i="32"/>
  <c r="AS4950" i="32"/>
  <c r="AS4951" i="32"/>
  <c r="AS4952" i="32"/>
  <c r="AS4953" i="32"/>
  <c r="AS4954" i="32"/>
  <c r="AS4955" i="32"/>
  <c r="AS4956" i="32"/>
  <c r="AS4957" i="32"/>
  <c r="AS4958" i="32"/>
  <c r="AS4959" i="32"/>
  <c r="AS4960" i="32"/>
  <c r="AS4961" i="32"/>
  <c r="AS4962" i="32"/>
  <c r="AS4963" i="32"/>
  <c r="AS4964" i="32"/>
  <c r="AS4965" i="32"/>
  <c r="AS4966" i="32"/>
  <c r="AS4967" i="32"/>
  <c r="AS4968" i="32"/>
  <c r="AS4969" i="32"/>
  <c r="AS4970" i="32"/>
  <c r="AS4971" i="32"/>
  <c r="AS4972" i="32"/>
  <c r="AS4973" i="32"/>
  <c r="AS4974" i="32"/>
  <c r="AS4975" i="32"/>
  <c r="AS4976" i="32"/>
  <c r="AS4977" i="32"/>
  <c r="AS4978" i="32"/>
  <c r="AS4979" i="32"/>
  <c r="AS4980" i="32"/>
  <c r="AS4981" i="32"/>
  <c r="AS4982" i="32"/>
  <c r="AS4983" i="32"/>
  <c r="AS4984" i="32"/>
  <c r="AS4985" i="32"/>
  <c r="AS4986" i="32"/>
  <c r="AS4987" i="32"/>
  <c r="AS4988" i="32"/>
  <c r="AS4989" i="32"/>
  <c r="AS4990" i="32"/>
  <c r="AS4991" i="32"/>
  <c r="AS4992" i="32"/>
  <c r="AS4993" i="32"/>
  <c r="AS4994" i="32"/>
  <c r="AS4995" i="32"/>
  <c r="AS4996" i="32"/>
  <c r="AS4997" i="32"/>
  <c r="AS4998" i="32"/>
  <c r="AS4999" i="32"/>
  <c r="AS5000" i="32"/>
  <c r="AS5001" i="32"/>
  <c r="AS5002" i="32"/>
  <c r="AS5003" i="32"/>
  <c r="AS5004" i="32"/>
  <c r="AS5005" i="32"/>
  <c r="AS5006" i="32"/>
  <c r="AS5007" i="32"/>
  <c r="AS5008" i="32"/>
  <c r="AS5009" i="32"/>
  <c r="AS5010" i="32"/>
  <c r="AS5011" i="32"/>
  <c r="AS5012" i="32"/>
  <c r="AS5013" i="32"/>
  <c r="AS5014" i="32"/>
  <c r="AS5015" i="32"/>
  <c r="AS5016" i="32"/>
  <c r="AS5017" i="32"/>
  <c r="AS5018" i="32"/>
  <c r="AS5019" i="32"/>
  <c r="AS5020" i="32"/>
  <c r="AS5021" i="32"/>
  <c r="AS5022" i="32"/>
  <c r="AS5023" i="32"/>
  <c r="AS5024" i="32"/>
  <c r="AS5025" i="32"/>
  <c r="AS5026" i="32"/>
  <c r="AS5027" i="32"/>
  <c r="AS5028" i="32"/>
  <c r="AS5029" i="32"/>
  <c r="AS5030" i="32"/>
  <c r="AS5031" i="32"/>
  <c r="AS5032" i="32"/>
  <c r="AS5033" i="32"/>
  <c r="AS5034" i="32"/>
  <c r="AS5035" i="32"/>
  <c r="AS5036" i="32"/>
  <c r="AS5037" i="32"/>
  <c r="AS5038" i="32"/>
  <c r="AS5039" i="32"/>
  <c r="AS5040" i="32"/>
  <c r="AS5041" i="32"/>
  <c r="AS5042" i="32"/>
  <c r="AS5043" i="32"/>
  <c r="AS5044" i="32"/>
  <c r="AS5045" i="32"/>
  <c r="AS5046" i="32"/>
  <c r="AS5047" i="32"/>
  <c r="AS5048" i="32"/>
  <c r="AS5049" i="32"/>
  <c r="AS5050" i="32"/>
  <c r="AS5051" i="32"/>
  <c r="AS5052" i="32"/>
  <c r="AS5053" i="32"/>
  <c r="AS5054" i="32"/>
  <c r="AS5055" i="32"/>
  <c r="AS5056" i="32"/>
  <c r="AS5057" i="32"/>
  <c r="AS5058" i="32"/>
  <c r="AS5059" i="32"/>
  <c r="AS5060" i="32"/>
  <c r="AS5061" i="32"/>
  <c r="AS5062" i="32"/>
  <c r="AS5063" i="32"/>
  <c r="AS5064" i="32"/>
  <c r="AS5065" i="32"/>
  <c r="AS5066" i="32"/>
  <c r="AS5067" i="32"/>
  <c r="AS5068" i="32"/>
  <c r="AS5069" i="32"/>
  <c r="AS5070" i="32"/>
  <c r="AS5071" i="32"/>
  <c r="AS5072" i="32"/>
  <c r="AS5073" i="32"/>
  <c r="AS5074" i="32"/>
  <c r="AS5075" i="32"/>
  <c r="AS5076" i="32"/>
  <c r="AS5077" i="32"/>
  <c r="AS5078" i="32"/>
  <c r="AS5079" i="32"/>
  <c r="AS5080" i="32"/>
  <c r="AS5081" i="32"/>
  <c r="AS5082" i="32"/>
  <c r="AS5083" i="32"/>
  <c r="AS5084" i="32"/>
  <c r="AS5085" i="32"/>
  <c r="AS5086" i="32"/>
  <c r="AS5087" i="32"/>
  <c r="AS5088" i="32"/>
  <c r="AS5089" i="32"/>
  <c r="AS5090" i="32"/>
  <c r="AS5091" i="32"/>
  <c r="AS5092" i="32"/>
  <c r="AS5093" i="32"/>
  <c r="AS5094" i="32"/>
  <c r="AS5095" i="32"/>
  <c r="AS5096" i="32"/>
  <c r="AS5097" i="32"/>
  <c r="AS5098" i="32"/>
  <c r="AS5099" i="32"/>
  <c r="AS5100" i="32"/>
  <c r="AS5101" i="32"/>
  <c r="AS5102" i="32"/>
  <c r="AS5103" i="32"/>
  <c r="AS5104" i="32"/>
  <c r="AS5105" i="32"/>
  <c r="AS5106" i="32"/>
  <c r="AS5107" i="32"/>
  <c r="AS5108" i="32"/>
  <c r="AS5109" i="32"/>
  <c r="AS5110" i="32"/>
  <c r="AS5111" i="32"/>
  <c r="AS5112" i="32"/>
  <c r="AS5113" i="32"/>
  <c r="AS5114" i="32"/>
  <c r="AS5115" i="32"/>
  <c r="AS5116" i="32"/>
  <c r="AS5117" i="32"/>
  <c r="AS5118" i="32"/>
  <c r="AS5119" i="32"/>
  <c r="AS5120" i="32"/>
  <c r="AS5121" i="32"/>
  <c r="AS5122" i="32"/>
  <c r="AS5123" i="32"/>
  <c r="AS5124" i="32"/>
  <c r="AS5125" i="32"/>
  <c r="AS5126" i="32"/>
  <c r="AS5127" i="32"/>
  <c r="AS5128" i="32"/>
  <c r="AS5129" i="32"/>
  <c r="AS5130" i="32"/>
  <c r="AS5131" i="32"/>
  <c r="AS5132" i="32"/>
  <c r="AS5133" i="32"/>
  <c r="AS5134" i="32"/>
  <c r="AS5135" i="32"/>
  <c r="AS5136" i="32"/>
  <c r="AS5137" i="32"/>
  <c r="AS5138" i="32"/>
  <c r="AS5139" i="32"/>
  <c r="AS5140" i="32"/>
  <c r="AS5141" i="32"/>
  <c r="AS5142" i="32"/>
  <c r="AS5143" i="32"/>
  <c r="AS5144" i="32"/>
  <c r="AS5145" i="32"/>
  <c r="AS5146" i="32"/>
  <c r="AS5147" i="32"/>
  <c r="AS5148" i="32"/>
  <c r="AS5149" i="32"/>
  <c r="AS5150" i="32"/>
  <c r="AS5151" i="32"/>
  <c r="AS5152" i="32"/>
  <c r="AS5153" i="32"/>
  <c r="AS5154" i="32"/>
  <c r="AS5155" i="32"/>
  <c r="AS5156" i="32"/>
  <c r="AS5157" i="32"/>
  <c r="AS5158" i="32"/>
  <c r="AS5159" i="32"/>
  <c r="AS5160" i="32"/>
  <c r="AS5161" i="32"/>
  <c r="AS5162" i="32"/>
  <c r="AS5163" i="32"/>
  <c r="AS5164" i="32"/>
  <c r="AS5165" i="32"/>
  <c r="AS5166" i="32"/>
  <c r="AS5167" i="32"/>
  <c r="AS5168" i="32"/>
  <c r="AS5169" i="32"/>
  <c r="AS5170" i="32"/>
  <c r="AS5171" i="32"/>
  <c r="AS5172" i="32"/>
  <c r="AS5173" i="32"/>
  <c r="AS5174" i="32"/>
  <c r="AS5175" i="32"/>
  <c r="AS5176" i="32"/>
  <c r="AS5177" i="32"/>
  <c r="AS5178" i="32"/>
  <c r="AS5179" i="32"/>
  <c r="AS5180" i="32"/>
  <c r="AS5181" i="32"/>
  <c r="AS5182" i="32"/>
  <c r="AS5183" i="32"/>
  <c r="AS5184" i="32"/>
  <c r="AS5185" i="32"/>
  <c r="AS5186" i="32"/>
  <c r="AS5187" i="32"/>
  <c r="AS5188" i="32"/>
  <c r="AS5189" i="32"/>
  <c r="AS5190" i="32"/>
  <c r="AS5191" i="32"/>
  <c r="AS5192" i="32"/>
  <c r="AS5193" i="32"/>
  <c r="AS5194" i="32"/>
  <c r="AS5195" i="32"/>
  <c r="AS5196" i="32"/>
  <c r="AS5197" i="32"/>
  <c r="AS5198" i="32"/>
  <c r="AS5199" i="32"/>
  <c r="AS5200" i="32"/>
  <c r="AS5201" i="32"/>
  <c r="AS5202" i="32"/>
  <c r="AS5203" i="32"/>
  <c r="AS5204" i="32"/>
  <c r="AS5205" i="32"/>
  <c r="AS5206" i="32"/>
  <c r="AS5207" i="32"/>
  <c r="AS5208" i="32"/>
  <c r="AS5209" i="32"/>
  <c r="AS5210" i="32"/>
  <c r="AS5211" i="32"/>
  <c r="AS5212" i="32"/>
  <c r="AS5213" i="32"/>
  <c r="AS5214" i="32"/>
  <c r="AS5215" i="32"/>
  <c r="AS5216" i="32"/>
  <c r="AS5217" i="32"/>
  <c r="AS5218" i="32"/>
  <c r="AS5219" i="32"/>
  <c r="AS5220" i="32"/>
  <c r="AS5221" i="32"/>
  <c r="AS5222" i="32"/>
  <c r="AS5223" i="32"/>
  <c r="AS5224" i="32"/>
  <c r="AS5225" i="32"/>
  <c r="AS5226" i="32"/>
  <c r="AS5227" i="32"/>
  <c r="AS5228" i="32"/>
  <c r="AS5229" i="32"/>
  <c r="AS5230" i="32"/>
  <c r="AS5231" i="32"/>
  <c r="AS5232" i="32"/>
  <c r="AS5233" i="32"/>
  <c r="AS5234" i="32"/>
  <c r="AS5235" i="32"/>
  <c r="AS5236" i="32"/>
  <c r="AS5237" i="32"/>
  <c r="AS5238" i="32"/>
  <c r="AS5239" i="32"/>
  <c r="AS5240" i="32"/>
  <c r="AS5241" i="32"/>
  <c r="AS5242" i="32"/>
  <c r="AS5243" i="32"/>
  <c r="AS5244" i="32"/>
  <c r="AS5245" i="32"/>
  <c r="AS5246" i="32"/>
  <c r="AS5247" i="32"/>
  <c r="AS5248" i="32"/>
  <c r="AS5249" i="32"/>
  <c r="AS5250" i="32"/>
  <c r="AS5251" i="32"/>
  <c r="AS5252" i="32"/>
  <c r="AS5253" i="32"/>
  <c r="AS5254" i="32"/>
  <c r="AS5255" i="32"/>
  <c r="AS5256" i="32"/>
  <c r="AS5257" i="32"/>
  <c r="AS5258" i="32"/>
  <c r="AS5259" i="32"/>
  <c r="AS5260" i="32"/>
  <c r="AS5261" i="32"/>
  <c r="AS5262" i="32"/>
  <c r="AS5263" i="32"/>
  <c r="AS5264" i="32"/>
  <c r="AS5265" i="32"/>
  <c r="AS5266" i="32"/>
  <c r="AS5267" i="32"/>
  <c r="AS5268" i="32"/>
  <c r="AS5269" i="32"/>
  <c r="AS5270" i="32"/>
  <c r="AS5271" i="32"/>
  <c r="AS5272" i="32"/>
  <c r="AS5273" i="32"/>
  <c r="AS5274" i="32"/>
  <c r="AS5275" i="32"/>
  <c r="AS5276" i="32"/>
  <c r="AS5277" i="32"/>
  <c r="AS5278" i="32"/>
  <c r="AS5279" i="32"/>
  <c r="AS5280" i="32"/>
  <c r="AS5281" i="32"/>
  <c r="AS5282" i="32"/>
  <c r="AS5283" i="32"/>
  <c r="AS5284" i="32"/>
  <c r="AS5285" i="32"/>
  <c r="AS5286" i="32"/>
  <c r="AS5287" i="32"/>
  <c r="AS5288" i="32"/>
  <c r="AS5289" i="32"/>
  <c r="AS5290" i="32"/>
  <c r="AS5291" i="32"/>
  <c r="AS5292" i="32"/>
  <c r="AS5293" i="32"/>
  <c r="AS5294" i="32"/>
  <c r="AS5295" i="32"/>
  <c r="AS5296" i="32"/>
  <c r="AS5297" i="32"/>
  <c r="AS5298" i="32"/>
  <c r="AS5299" i="32"/>
  <c r="AS5300" i="32"/>
  <c r="AS5301" i="32"/>
  <c r="AS5302" i="32"/>
  <c r="AS5303" i="32"/>
  <c r="AS5304" i="32"/>
  <c r="AS5305" i="32"/>
  <c r="AS5306" i="32"/>
  <c r="AS5307" i="32"/>
  <c r="AS5308" i="32"/>
  <c r="AS5309" i="32"/>
  <c r="AS5310" i="32"/>
  <c r="AS5311" i="32"/>
  <c r="AS5312" i="32"/>
  <c r="AS5313" i="32"/>
  <c r="AS5314" i="32"/>
  <c r="AS5315" i="32"/>
  <c r="AS5316" i="32"/>
  <c r="AS5317" i="32"/>
  <c r="AS5318" i="32"/>
  <c r="AS5319" i="32"/>
  <c r="AS5320" i="32"/>
  <c r="AS5321" i="32"/>
  <c r="AS5322" i="32"/>
  <c r="AS5323" i="32"/>
  <c r="AS5324" i="32"/>
  <c r="AS5325" i="32"/>
  <c r="AS5326" i="32"/>
  <c r="AS5327" i="32"/>
  <c r="AS5328" i="32"/>
  <c r="AS5329" i="32"/>
  <c r="AS5330" i="32"/>
  <c r="AS5331" i="32"/>
  <c r="AS5332" i="32"/>
  <c r="AS5333" i="32"/>
  <c r="AS5334" i="32"/>
  <c r="AS5335" i="32"/>
  <c r="AS5336" i="32"/>
  <c r="AS5337" i="32"/>
  <c r="AS5338" i="32"/>
  <c r="AS5339" i="32"/>
  <c r="AS5340" i="32"/>
  <c r="AS5341" i="32"/>
  <c r="AS5342" i="32"/>
  <c r="AS5343" i="32"/>
  <c r="AS5344" i="32"/>
  <c r="AS5345" i="32"/>
  <c r="AS5346" i="32"/>
  <c r="AS5347" i="32"/>
  <c r="AS5348" i="32"/>
  <c r="AS5349" i="32"/>
  <c r="AS5350" i="32"/>
  <c r="AS5351" i="32"/>
  <c r="AS5352" i="32"/>
  <c r="AS5353" i="32"/>
  <c r="AS5354" i="32"/>
  <c r="AS5355" i="32"/>
  <c r="AS5356" i="32"/>
  <c r="AS5357" i="32"/>
  <c r="AS5358" i="32"/>
  <c r="AS5359" i="32"/>
  <c r="AS5360" i="32"/>
  <c r="AS5361" i="32"/>
  <c r="AS5362" i="32"/>
  <c r="AS5363" i="32"/>
  <c r="AS5364" i="32"/>
  <c r="AS5365" i="32"/>
  <c r="AS5366" i="32"/>
  <c r="AS5367" i="32"/>
  <c r="AS5368" i="32"/>
  <c r="AS5369" i="32"/>
  <c r="AS5370" i="32"/>
  <c r="AS5371" i="32"/>
  <c r="AS5372" i="32"/>
  <c r="AS5373" i="32"/>
  <c r="AS5374" i="32"/>
  <c r="AS5375" i="32"/>
  <c r="AS5376" i="32"/>
  <c r="AS5377" i="32"/>
  <c r="AS5378" i="32"/>
  <c r="AS5379" i="32"/>
  <c r="AS5380" i="32"/>
  <c r="AS5381" i="32"/>
  <c r="AS5382" i="32"/>
  <c r="AS5383" i="32"/>
  <c r="AS5384" i="32"/>
  <c r="AS5385" i="32"/>
  <c r="AS5386" i="32"/>
  <c r="AS5387" i="32"/>
  <c r="AS5388" i="32"/>
  <c r="AS5389" i="32"/>
  <c r="AS5390" i="32"/>
  <c r="AS5391" i="32"/>
  <c r="AS5392" i="32"/>
  <c r="AS5393" i="32"/>
  <c r="AS5394" i="32"/>
  <c r="AS5395" i="32"/>
  <c r="AS5396" i="32"/>
  <c r="AS5397" i="32"/>
  <c r="AS5398" i="32"/>
  <c r="AS5399" i="32"/>
  <c r="AS5400" i="32"/>
  <c r="AS5401" i="32"/>
  <c r="AS5402" i="32"/>
  <c r="AS5403" i="32"/>
  <c r="AS5404" i="32"/>
  <c r="AS5405" i="32"/>
  <c r="AS5406" i="32"/>
  <c r="AS5407" i="32"/>
  <c r="AS5408" i="32"/>
  <c r="AS5409" i="32"/>
  <c r="AS5410" i="32"/>
  <c r="AS5411" i="32"/>
  <c r="AS5412" i="32"/>
  <c r="AS5413" i="32"/>
  <c r="AS5414" i="32"/>
  <c r="AS5415" i="32"/>
  <c r="AS5416" i="32"/>
  <c r="AS5417" i="32"/>
  <c r="AS5418" i="32"/>
  <c r="AS5419" i="32"/>
  <c r="AS5420" i="32"/>
  <c r="AS5421" i="32"/>
  <c r="AS5422" i="32"/>
  <c r="AS5423" i="32"/>
  <c r="AS5424" i="32"/>
  <c r="AS5425" i="32"/>
  <c r="AS5426" i="32"/>
  <c r="AS5427" i="32"/>
  <c r="AS5428" i="32"/>
  <c r="AS5429" i="32"/>
  <c r="AS5430" i="32"/>
  <c r="AS5431" i="32"/>
  <c r="AS5432" i="32"/>
  <c r="AS5433" i="32"/>
  <c r="AS5434" i="32"/>
  <c r="AS5435" i="32"/>
  <c r="AS5436" i="32"/>
  <c r="AS5437" i="32"/>
  <c r="AS5438" i="32"/>
  <c r="AS5439" i="32"/>
  <c r="AS5440" i="32"/>
  <c r="AS5441" i="32"/>
  <c r="AS5442" i="32"/>
  <c r="AS5443" i="32"/>
  <c r="AS5444" i="32"/>
  <c r="AS5445" i="32"/>
  <c r="AS5446" i="32"/>
  <c r="AS5447" i="32"/>
  <c r="AS5448" i="32"/>
  <c r="AS5449" i="32"/>
  <c r="AS5450" i="32"/>
  <c r="AS5451" i="32"/>
  <c r="AS5452" i="32"/>
  <c r="AS5453" i="32"/>
  <c r="AS5454" i="32"/>
  <c r="AS5455" i="32"/>
  <c r="AS5456" i="32"/>
  <c r="AS5457" i="32"/>
  <c r="AS5458" i="32"/>
  <c r="AS5459" i="32"/>
  <c r="AS5460" i="32"/>
  <c r="AS5461" i="32"/>
  <c r="AS5462" i="32"/>
  <c r="AS5463" i="32"/>
  <c r="AS5464" i="32"/>
  <c r="AS5465" i="32"/>
  <c r="AS5466" i="32"/>
  <c r="AS5467" i="32"/>
  <c r="AS5468" i="32"/>
  <c r="AS5469" i="32"/>
  <c r="AS5470" i="32"/>
  <c r="AS5471" i="32"/>
  <c r="AS5472" i="32"/>
  <c r="AS5473" i="32"/>
  <c r="AS5474" i="32"/>
  <c r="AS5475" i="32"/>
  <c r="AS5476" i="32"/>
  <c r="AS5477" i="32"/>
  <c r="AS5478" i="32"/>
  <c r="AS5479" i="32"/>
  <c r="AS5480" i="32"/>
  <c r="AS5481" i="32"/>
  <c r="AS5482" i="32"/>
  <c r="AS5483" i="32"/>
  <c r="AS5484" i="32"/>
  <c r="AS5485" i="32"/>
  <c r="AS5486" i="32"/>
  <c r="AS5487" i="32"/>
  <c r="AS5488" i="32"/>
  <c r="AS5489" i="32"/>
  <c r="AS5490" i="32"/>
  <c r="AS5491" i="32"/>
  <c r="AS5492" i="32"/>
  <c r="AS5493" i="32"/>
  <c r="AS5494" i="32"/>
  <c r="AS5495" i="32"/>
  <c r="AS5496" i="32"/>
  <c r="AS5497" i="32"/>
  <c r="AS5498" i="32"/>
  <c r="AS5499" i="32"/>
  <c r="AS5500" i="32"/>
  <c r="AS5501" i="32"/>
  <c r="AS5502" i="32"/>
  <c r="AS5503" i="32"/>
  <c r="AS5504" i="32"/>
  <c r="AS5505" i="32"/>
  <c r="AS5506" i="32"/>
  <c r="AS5507" i="32"/>
  <c r="AS5508" i="32"/>
  <c r="AS5509" i="32"/>
  <c r="AS5510" i="32"/>
  <c r="AS5511" i="32"/>
  <c r="AS5512" i="32"/>
  <c r="AS5513" i="32"/>
  <c r="AS5514" i="32"/>
  <c r="AS5515" i="32"/>
  <c r="AS5516" i="32"/>
  <c r="AS5517" i="32"/>
  <c r="AS5518" i="32"/>
  <c r="AS5519" i="32"/>
  <c r="AS5520" i="32"/>
  <c r="AS5521" i="32"/>
  <c r="AS5522" i="32"/>
  <c r="AS5523" i="32"/>
  <c r="AS5524" i="32"/>
  <c r="AS5525" i="32"/>
  <c r="AS5526" i="32"/>
  <c r="AS5527" i="32"/>
  <c r="AS5528" i="32"/>
  <c r="AS5529" i="32"/>
  <c r="AS5530" i="32"/>
  <c r="AS5531" i="32"/>
  <c r="AS5532" i="32"/>
  <c r="AS5533" i="32"/>
  <c r="AS5534" i="32"/>
  <c r="AS5535" i="32"/>
  <c r="AS5536" i="32"/>
  <c r="AS5537" i="32"/>
  <c r="AS5538" i="32"/>
  <c r="AS5539" i="32"/>
  <c r="AS5540" i="32"/>
  <c r="AS5541" i="32"/>
  <c r="AS5542" i="32"/>
  <c r="AS5543" i="32"/>
  <c r="AS5544" i="32"/>
  <c r="AS5545" i="32"/>
  <c r="AS5546" i="32"/>
  <c r="AS5547" i="32"/>
  <c r="AS5548" i="32"/>
  <c r="AS5549" i="32"/>
  <c r="AS5550" i="32"/>
  <c r="AS5551" i="32"/>
  <c r="AS5552" i="32"/>
  <c r="AS5553" i="32"/>
  <c r="AS5554" i="32"/>
  <c r="AS5555" i="32"/>
  <c r="AS5556" i="32"/>
  <c r="AS5557" i="32"/>
  <c r="AS5558" i="32"/>
  <c r="AS5559" i="32"/>
  <c r="AS5560" i="32"/>
  <c r="AS5561" i="32"/>
  <c r="AS5562" i="32"/>
  <c r="AS5563" i="32"/>
  <c r="AS5564" i="32"/>
  <c r="AS5565" i="32"/>
  <c r="AS5566" i="32"/>
  <c r="AS5567" i="32"/>
  <c r="AS5568" i="32"/>
  <c r="AS5569" i="32"/>
  <c r="AS5570" i="32"/>
  <c r="AS5571" i="32"/>
  <c r="AS5572" i="32"/>
  <c r="AS5573" i="32"/>
  <c r="AS5574" i="32"/>
  <c r="AS5575" i="32"/>
  <c r="AS5576" i="32"/>
  <c r="AS5577" i="32"/>
  <c r="AS5578" i="32"/>
  <c r="AS5579" i="32"/>
  <c r="AS5580" i="32"/>
  <c r="AS5581" i="32"/>
  <c r="AS5582" i="32"/>
  <c r="AS5583" i="32"/>
  <c r="AS5584" i="32"/>
  <c r="AS5585" i="32"/>
  <c r="AS5586" i="32"/>
  <c r="AS5587" i="32"/>
  <c r="AS5588" i="32"/>
  <c r="AS5589" i="32"/>
  <c r="AS5590" i="32"/>
  <c r="AS5591" i="32"/>
  <c r="AS5592" i="32"/>
  <c r="AS5593" i="32"/>
  <c r="AS5594" i="32"/>
  <c r="AS5595" i="32"/>
  <c r="AS5596" i="32"/>
  <c r="AS5597" i="32"/>
  <c r="AS5598" i="32"/>
  <c r="AS5599" i="32"/>
  <c r="AS5600" i="32"/>
  <c r="AS5601" i="32"/>
  <c r="AS5602" i="32"/>
  <c r="AS5603" i="32"/>
  <c r="AS5604" i="32"/>
  <c r="AS5605" i="32"/>
  <c r="AS5606" i="32"/>
  <c r="AS5607" i="32"/>
  <c r="AS5608" i="32"/>
  <c r="AS5609" i="32"/>
  <c r="AS5610" i="32"/>
  <c r="AS5611" i="32"/>
  <c r="AS5612" i="32"/>
  <c r="AS5613" i="32"/>
  <c r="AS5614" i="32"/>
  <c r="AS5615" i="32"/>
  <c r="AS5616" i="32"/>
  <c r="AS5617" i="32"/>
  <c r="AS5618" i="32"/>
  <c r="AS5619" i="32"/>
  <c r="AS5620" i="32"/>
  <c r="AS5621" i="32"/>
  <c r="AS5622" i="32"/>
  <c r="AS5623" i="32"/>
  <c r="AS5624" i="32"/>
  <c r="AS5625" i="32"/>
  <c r="AS5626" i="32"/>
  <c r="AS5627" i="32"/>
  <c r="AS5628" i="32"/>
  <c r="AS5629" i="32"/>
  <c r="AS5630" i="32"/>
  <c r="AS5631" i="32"/>
  <c r="AS5632" i="32"/>
  <c r="AS5633" i="32"/>
  <c r="AS5634" i="32"/>
  <c r="AS5635" i="32"/>
  <c r="AS5636" i="32"/>
  <c r="AS5637" i="32"/>
  <c r="AS5638" i="32"/>
  <c r="AS5639" i="32"/>
  <c r="AS5640" i="32"/>
  <c r="AS5641" i="32"/>
  <c r="AS5642" i="32"/>
  <c r="AS5643" i="32"/>
  <c r="AS5644" i="32"/>
  <c r="AS5645" i="32"/>
  <c r="AS5646" i="32"/>
  <c r="AS5647" i="32"/>
  <c r="AS5648" i="32"/>
  <c r="AS5649" i="32"/>
  <c r="AS5650" i="32"/>
  <c r="AS5651" i="32"/>
  <c r="AS5652" i="32"/>
  <c r="AS5653" i="32"/>
  <c r="AS5654" i="32"/>
  <c r="AS5655" i="32"/>
  <c r="AS5656" i="32"/>
  <c r="AS5657" i="32"/>
  <c r="AS5658" i="32"/>
  <c r="AS5659" i="32"/>
  <c r="AS5660" i="32"/>
  <c r="AS5661" i="32"/>
  <c r="AS5662" i="32"/>
  <c r="AS5663" i="32"/>
  <c r="AS5664" i="32"/>
  <c r="AS5665" i="32"/>
  <c r="AS5666" i="32"/>
  <c r="AS5667" i="32"/>
  <c r="AS5668" i="32"/>
  <c r="AS5669" i="32"/>
  <c r="AS5670" i="32"/>
  <c r="AS5671" i="32"/>
  <c r="AS5672" i="32"/>
  <c r="AS5673" i="32"/>
  <c r="AS5674" i="32"/>
  <c r="AS5675" i="32"/>
  <c r="AS5676" i="32"/>
  <c r="AS5677" i="32"/>
  <c r="AS5678" i="32"/>
  <c r="AS5679" i="32"/>
  <c r="AS5680" i="32"/>
  <c r="AS5681" i="32"/>
  <c r="AS5682" i="32"/>
  <c r="AS5683" i="32"/>
  <c r="AS5684" i="32"/>
  <c r="AS5685" i="32"/>
  <c r="AS5686" i="32"/>
  <c r="AS5687" i="32"/>
  <c r="AS5688" i="32"/>
  <c r="AS5689" i="32"/>
  <c r="AS5690" i="32"/>
  <c r="AS5691" i="32"/>
  <c r="AS5692" i="32"/>
  <c r="AS5693" i="32"/>
  <c r="AS5694" i="32"/>
  <c r="AS5695" i="32"/>
  <c r="AS5696" i="32"/>
  <c r="AS5697" i="32"/>
  <c r="AS5698" i="32"/>
  <c r="AS5699" i="32"/>
  <c r="AS5700" i="32"/>
  <c r="AS5701" i="32"/>
  <c r="AS5702" i="32"/>
  <c r="AS5703" i="32"/>
  <c r="AS5704" i="32"/>
  <c r="AS5705" i="32"/>
  <c r="AS5706" i="32"/>
  <c r="AS5707" i="32"/>
  <c r="AS5708" i="32"/>
  <c r="AS5709" i="32"/>
  <c r="AS5710" i="32"/>
  <c r="AS5711" i="32"/>
  <c r="AS5712" i="32"/>
  <c r="AS5713" i="32"/>
  <c r="AS5714" i="32"/>
  <c r="AS5715" i="32"/>
  <c r="AS5716" i="32"/>
  <c r="AS5717" i="32"/>
  <c r="AS5718" i="32"/>
  <c r="AS5719" i="32"/>
  <c r="AS5720" i="32"/>
  <c r="AS5721" i="32"/>
  <c r="AS5722" i="32"/>
  <c r="AS5723" i="32"/>
  <c r="AS5724" i="32"/>
  <c r="AS5725" i="32"/>
  <c r="AS5726" i="32"/>
  <c r="AS5727" i="32"/>
  <c r="AS5728" i="32"/>
  <c r="AS5729" i="32"/>
  <c r="AS5730" i="32"/>
  <c r="AS5731" i="32"/>
  <c r="AS5732" i="32"/>
  <c r="AS5733" i="32"/>
  <c r="AS5734" i="32"/>
  <c r="AS5735" i="32"/>
  <c r="AS5736" i="32"/>
  <c r="AS5737" i="32"/>
  <c r="AS5738" i="32"/>
  <c r="AS5739" i="32"/>
  <c r="AS5740" i="32"/>
  <c r="AS5741" i="32"/>
  <c r="AS5742" i="32"/>
  <c r="AS5743" i="32"/>
  <c r="AS5744" i="32"/>
  <c r="AS5745" i="32"/>
  <c r="AS5746" i="32"/>
  <c r="AS5747" i="32"/>
  <c r="AS5748" i="32"/>
  <c r="AS5749" i="32"/>
  <c r="AS5750" i="32"/>
  <c r="AS5751" i="32"/>
  <c r="AS5752" i="32"/>
  <c r="AS5753" i="32"/>
  <c r="AS5754" i="32"/>
  <c r="AS5755" i="32"/>
  <c r="AS5756" i="32"/>
  <c r="AS5757" i="32"/>
  <c r="AS5758" i="32"/>
  <c r="AS5759" i="32"/>
  <c r="AS5760" i="32"/>
  <c r="AS5761" i="32"/>
  <c r="AS5762" i="32"/>
  <c r="AS5763" i="32"/>
  <c r="AS5764" i="32"/>
  <c r="AS5765" i="32"/>
  <c r="AS5766" i="32"/>
  <c r="AS5767" i="32"/>
  <c r="AS5768" i="32"/>
  <c r="AS5769" i="32"/>
  <c r="AS5770" i="32"/>
  <c r="AS5771" i="32"/>
  <c r="AS5772" i="32"/>
  <c r="AS5773" i="32"/>
  <c r="AS5774" i="32"/>
  <c r="AS5775" i="32"/>
  <c r="AS5776" i="32"/>
  <c r="AS5777" i="32"/>
  <c r="AS5778" i="32"/>
  <c r="AS5779" i="32"/>
  <c r="AS5780" i="32"/>
  <c r="AS5781" i="32"/>
  <c r="AS5782" i="32"/>
  <c r="AS5783" i="32"/>
  <c r="AS5784" i="32"/>
  <c r="AS5785" i="32"/>
  <c r="AS5786" i="32"/>
  <c r="AS5787" i="32"/>
  <c r="AS5788" i="32"/>
  <c r="AS5789" i="32"/>
  <c r="AS5790" i="32"/>
  <c r="AS5791" i="32"/>
  <c r="AS5792" i="32"/>
  <c r="AS5793" i="32"/>
  <c r="AS5794" i="32"/>
  <c r="AS5795" i="32"/>
  <c r="AS5796" i="32"/>
  <c r="AS5797" i="32"/>
  <c r="AS5798" i="32"/>
  <c r="AS5799" i="32"/>
  <c r="AS5800" i="32"/>
  <c r="AS5801" i="32"/>
  <c r="AS5802" i="32"/>
  <c r="AS5803" i="32"/>
  <c r="AS5804" i="32"/>
  <c r="AS5805" i="32"/>
  <c r="AS5806" i="32"/>
  <c r="AS5807" i="32"/>
  <c r="AS5808" i="32"/>
  <c r="AS5809" i="32"/>
  <c r="AS5810" i="32"/>
  <c r="AS5811" i="32"/>
  <c r="AS5812" i="32"/>
  <c r="AS5813" i="32"/>
  <c r="AS5814" i="32"/>
  <c r="AS5815" i="32"/>
  <c r="AS5816" i="32"/>
  <c r="AS5817" i="32"/>
  <c r="AS5818" i="32"/>
  <c r="AS5819" i="32"/>
  <c r="AS5820" i="32"/>
  <c r="AS5821" i="32"/>
  <c r="AS5822" i="32"/>
  <c r="AS5823" i="32"/>
  <c r="AS5824" i="32"/>
  <c r="AS5825" i="32"/>
  <c r="AS5826" i="32"/>
  <c r="AS5827" i="32"/>
  <c r="AS5828" i="32"/>
  <c r="AS5829" i="32"/>
  <c r="AS5830" i="32"/>
  <c r="AS5831" i="32"/>
  <c r="AS5832" i="32"/>
  <c r="AS5833" i="32"/>
  <c r="AS5834" i="32"/>
  <c r="AS5835" i="32"/>
  <c r="AS5836" i="32"/>
  <c r="AS5837" i="32"/>
  <c r="AS5838" i="32"/>
  <c r="AS5839" i="32"/>
  <c r="AS5840" i="32"/>
  <c r="AS5841" i="32"/>
  <c r="AS5842" i="32"/>
  <c r="AS5843" i="32"/>
  <c r="AS5844" i="32"/>
  <c r="AS5845" i="32"/>
  <c r="AS5846" i="32"/>
  <c r="AS5847" i="32"/>
  <c r="AS5848" i="32"/>
  <c r="AS5849" i="32"/>
  <c r="AS5850" i="32"/>
  <c r="AS5851" i="32"/>
  <c r="AS5852" i="32"/>
  <c r="AS5853" i="32"/>
  <c r="AS5854" i="32"/>
  <c r="AS5855" i="32"/>
  <c r="AS5856" i="32"/>
  <c r="AS5857" i="32"/>
  <c r="AS5858" i="32"/>
  <c r="AS5859" i="32"/>
  <c r="AS5860" i="32"/>
  <c r="AS5861" i="32"/>
  <c r="AS5862" i="32"/>
  <c r="AS5863" i="32"/>
  <c r="AS5864" i="32"/>
  <c r="AS5865" i="32"/>
  <c r="AS5866" i="32"/>
  <c r="AS5867" i="32"/>
  <c r="AS5868" i="32"/>
  <c r="AS5869" i="32"/>
  <c r="AS5870" i="32"/>
  <c r="AS5871" i="32"/>
  <c r="AS5872" i="32"/>
  <c r="AS5873" i="32"/>
  <c r="AS5874" i="32"/>
  <c r="AS5875" i="32"/>
  <c r="AS5876" i="32"/>
  <c r="AS5877" i="32"/>
  <c r="AS5878" i="32"/>
  <c r="AS5879" i="32"/>
  <c r="AS5880" i="32"/>
  <c r="AS5881" i="32"/>
  <c r="AS5882" i="32"/>
  <c r="AS5883" i="32"/>
  <c r="AS5884" i="32"/>
  <c r="AS5885" i="32"/>
  <c r="AS5886" i="32"/>
  <c r="AS5887" i="32"/>
  <c r="AS5888" i="32"/>
  <c r="AS5889" i="32"/>
  <c r="AS5890" i="32"/>
  <c r="AS5891" i="32"/>
  <c r="AS5892" i="32"/>
  <c r="AS5893" i="32"/>
  <c r="AS5894" i="32"/>
  <c r="AS5895" i="32"/>
  <c r="AS5896" i="32"/>
  <c r="AS5897" i="32"/>
  <c r="AS5898" i="32"/>
  <c r="AS5899" i="32"/>
  <c r="AS5900" i="32"/>
  <c r="AS5901" i="32"/>
  <c r="AS5902" i="32"/>
  <c r="AS5903" i="32"/>
  <c r="AS5904" i="32"/>
  <c r="AS5905" i="32"/>
  <c r="AS5906" i="32"/>
  <c r="AS5907" i="32"/>
  <c r="AS5908" i="32"/>
  <c r="AS5909" i="32"/>
  <c r="AS5910" i="32"/>
  <c r="AS5911" i="32"/>
  <c r="AS5912" i="32"/>
  <c r="AS5913" i="32"/>
  <c r="AS5914" i="32"/>
  <c r="AS5915" i="32"/>
  <c r="AS5916" i="32"/>
  <c r="AS5917" i="32"/>
  <c r="AS5918" i="32"/>
  <c r="AS5919" i="32"/>
  <c r="AS5920" i="32"/>
  <c r="AS5921" i="32"/>
  <c r="AS5922" i="32"/>
  <c r="AS5923" i="32"/>
  <c r="AS5924" i="32"/>
  <c r="AS5925" i="32"/>
  <c r="AS5926" i="32"/>
  <c r="AS5927" i="32"/>
  <c r="AS5928" i="32"/>
  <c r="AS5929" i="32"/>
  <c r="AS5930" i="32"/>
  <c r="AS5931" i="32"/>
  <c r="AS5932" i="32"/>
  <c r="AS5933" i="32"/>
  <c r="AS5934" i="32"/>
  <c r="AS5935" i="32"/>
  <c r="AS5936" i="32"/>
  <c r="AS5937" i="32"/>
  <c r="AS5938" i="32"/>
  <c r="AS5939" i="32"/>
  <c r="AS5940" i="32"/>
  <c r="AS5941" i="32"/>
  <c r="AS5942" i="32"/>
  <c r="AS5943" i="32"/>
  <c r="AS5944" i="32"/>
  <c r="AS5945" i="32"/>
  <c r="AS5946" i="32"/>
  <c r="AS5947" i="32"/>
  <c r="AS5948" i="32"/>
  <c r="AS5949" i="32"/>
  <c r="AS5950" i="32"/>
  <c r="AS5951" i="32"/>
  <c r="AS5952" i="32"/>
  <c r="AS5953" i="32"/>
  <c r="AS5954" i="32"/>
  <c r="AS5955" i="32"/>
  <c r="AS5956" i="32"/>
  <c r="AS5957" i="32"/>
  <c r="AS5958" i="32"/>
  <c r="AS5959" i="32"/>
  <c r="AS5960" i="32"/>
  <c r="AS5961" i="32"/>
  <c r="AS5962" i="32"/>
  <c r="AS5963" i="32"/>
  <c r="AS5964" i="32"/>
  <c r="AS5965" i="32"/>
  <c r="AS5966" i="32"/>
  <c r="AS5967" i="32"/>
  <c r="AS5968" i="32"/>
  <c r="AS5969" i="32"/>
  <c r="AS5970" i="32"/>
  <c r="AS5971" i="32"/>
  <c r="AS5972" i="32"/>
  <c r="AS5973" i="32"/>
  <c r="AS5974" i="32"/>
  <c r="AS5975" i="32"/>
  <c r="AS5976" i="32"/>
  <c r="AS5977" i="32"/>
  <c r="AS5978" i="32"/>
  <c r="AS5979" i="32"/>
  <c r="AS5980" i="32"/>
  <c r="AS5981" i="32"/>
  <c r="AS5982" i="32"/>
  <c r="AS5983" i="32"/>
  <c r="AS5984" i="32"/>
  <c r="AS5985" i="32"/>
  <c r="AS5986" i="32"/>
  <c r="AS5987" i="32"/>
  <c r="AS5988" i="32"/>
  <c r="AS5989" i="32"/>
  <c r="AS5990" i="32"/>
  <c r="AS5991" i="32"/>
  <c r="AS5992" i="32"/>
  <c r="AS5993" i="32"/>
  <c r="AS5994" i="32"/>
  <c r="AS5995" i="32"/>
  <c r="AS5996" i="32"/>
  <c r="AS5997" i="32"/>
  <c r="AS5998" i="32"/>
  <c r="AS5999" i="32"/>
  <c r="AS6000" i="32"/>
  <c r="AS6001" i="32"/>
  <c r="AS6002" i="32"/>
  <c r="AS6003" i="32"/>
  <c r="AS6004" i="32"/>
  <c r="AS6005" i="32"/>
  <c r="AS6006" i="32"/>
  <c r="AS6007" i="32"/>
  <c r="AS6008" i="32"/>
  <c r="AS6009" i="32"/>
  <c r="AS6010" i="32"/>
  <c r="AS6011" i="32"/>
  <c r="AS6012" i="32"/>
  <c r="AS6013" i="32"/>
  <c r="AS6014" i="32"/>
  <c r="AS6015" i="32"/>
  <c r="AS6016" i="32"/>
  <c r="AS6017" i="32"/>
  <c r="AS6018" i="32"/>
  <c r="AS6019" i="32"/>
  <c r="AS6020" i="32"/>
  <c r="AS6021" i="32"/>
  <c r="AS6022" i="32"/>
  <c r="AS6023" i="32"/>
  <c r="AS6024" i="32"/>
  <c r="AS6025" i="32"/>
  <c r="AS6026" i="32"/>
  <c r="AS6027" i="32"/>
  <c r="AS6028" i="32"/>
  <c r="AS6029" i="32"/>
  <c r="AS6030" i="32"/>
  <c r="AS6031" i="32"/>
  <c r="AS6032" i="32"/>
  <c r="AS6033" i="32"/>
  <c r="AS6034" i="32"/>
  <c r="AS6035" i="32"/>
  <c r="AS6036" i="32"/>
  <c r="AS6037" i="32"/>
  <c r="AS6038" i="32"/>
  <c r="AS6039" i="32"/>
  <c r="AS6040" i="32"/>
  <c r="AS6041" i="32"/>
  <c r="AS6042" i="32"/>
  <c r="AS6043" i="32"/>
  <c r="AS6044" i="32"/>
  <c r="AS6045" i="32"/>
  <c r="AS6046" i="32"/>
  <c r="AS6047" i="32"/>
  <c r="AS6048" i="32"/>
  <c r="AS6049" i="32"/>
  <c r="AS6050" i="32"/>
  <c r="AS6051" i="32"/>
  <c r="AS6052" i="32"/>
  <c r="AS6053" i="32"/>
  <c r="AS6054" i="32"/>
  <c r="AS6055" i="32"/>
  <c r="AS6056" i="32"/>
  <c r="AS6057" i="32"/>
  <c r="AS6058" i="32"/>
  <c r="AS6059" i="32"/>
  <c r="AS6060" i="32"/>
  <c r="AS6061" i="32"/>
  <c r="AS6062" i="32"/>
  <c r="AS6063" i="32"/>
  <c r="AS6064" i="32"/>
  <c r="AS6065" i="32"/>
  <c r="AS6066" i="32"/>
  <c r="AS6067" i="32"/>
  <c r="AS6068" i="32"/>
  <c r="AS6069" i="32"/>
  <c r="AS6070" i="32"/>
  <c r="AS6071" i="32"/>
  <c r="AS6072" i="32"/>
  <c r="AS6073" i="32"/>
  <c r="AS6074" i="32"/>
  <c r="AS6075" i="32"/>
  <c r="AS6076" i="32"/>
  <c r="AS6077" i="32"/>
  <c r="AS6078" i="32"/>
  <c r="AS6079" i="32"/>
  <c r="AS6080" i="32"/>
  <c r="AS6081" i="32"/>
  <c r="AS6082" i="32"/>
  <c r="AS6083" i="32"/>
  <c r="AS6084" i="32"/>
  <c r="AS6085" i="32"/>
  <c r="AS6086" i="32"/>
  <c r="AS6087" i="32"/>
  <c r="AS6088" i="32"/>
  <c r="AS6089" i="32"/>
  <c r="AS6090" i="32"/>
  <c r="AS6091" i="32"/>
  <c r="AS6092" i="32"/>
  <c r="AS6093" i="32"/>
  <c r="AS6094" i="32"/>
  <c r="AS6095" i="32"/>
  <c r="AS6096" i="32"/>
  <c r="AS6097" i="32"/>
  <c r="AS6098" i="32"/>
  <c r="AS6099" i="32"/>
  <c r="AS6100" i="32"/>
  <c r="AS6101" i="32"/>
  <c r="AS6102" i="32"/>
  <c r="AS6103" i="32"/>
  <c r="AS6104" i="32"/>
  <c r="AS6105" i="32"/>
  <c r="AS6106" i="32"/>
  <c r="AS6107" i="32"/>
  <c r="AS6108" i="32"/>
  <c r="AS6109" i="32"/>
  <c r="AS6110" i="32"/>
  <c r="AS6111" i="32"/>
  <c r="AS6112" i="32"/>
  <c r="AS6113" i="32"/>
  <c r="AS6114" i="32"/>
  <c r="AS6115" i="32"/>
  <c r="AS6116" i="32"/>
  <c r="AS6117" i="32"/>
  <c r="AS6118" i="32"/>
  <c r="AS6119" i="32"/>
  <c r="AS6120" i="32"/>
  <c r="AS6121" i="32"/>
  <c r="AS6122" i="32"/>
  <c r="AS6123" i="32"/>
  <c r="AS6124" i="32"/>
  <c r="AS6125" i="32"/>
  <c r="AS6126" i="32"/>
  <c r="AS6127" i="32"/>
  <c r="AS6128" i="32"/>
  <c r="AS6129" i="32"/>
  <c r="AS6130" i="32"/>
  <c r="AS6131" i="32"/>
  <c r="AS6132" i="32"/>
  <c r="AS6133" i="32"/>
  <c r="AS6134" i="32"/>
  <c r="AS6135" i="32"/>
  <c r="AS6136" i="32"/>
  <c r="AS6137" i="32"/>
  <c r="AS6138" i="32"/>
  <c r="AS6139" i="32"/>
  <c r="AS6140" i="32"/>
  <c r="AS6141" i="32"/>
  <c r="AS6142" i="32"/>
  <c r="AS6143" i="32"/>
  <c r="AS6144" i="32"/>
  <c r="AS6145" i="32"/>
  <c r="AS6146" i="32"/>
  <c r="AS6147" i="32"/>
  <c r="AS6148" i="32"/>
  <c r="AS6149" i="32"/>
  <c r="AS6150" i="32"/>
  <c r="AS6151" i="32"/>
  <c r="AS6152" i="32"/>
  <c r="AS6153" i="32"/>
  <c r="AS6154" i="32"/>
  <c r="AS6155" i="32"/>
  <c r="AS6156" i="32"/>
  <c r="AS6157" i="32"/>
  <c r="AS6158" i="32"/>
  <c r="AS6159" i="32"/>
  <c r="AS6160" i="32"/>
  <c r="AS6161" i="32"/>
  <c r="AS6162" i="32"/>
  <c r="AS6163" i="32"/>
  <c r="AS6164" i="32"/>
  <c r="AS6165" i="32"/>
  <c r="AS6166" i="32"/>
  <c r="AS6167" i="32"/>
  <c r="AS6168" i="32"/>
  <c r="AS6169" i="32"/>
  <c r="AS6170" i="32"/>
  <c r="AS6171" i="32"/>
  <c r="AS6172" i="32"/>
  <c r="AS6173" i="32"/>
  <c r="AS6174" i="32"/>
  <c r="AS6175" i="32"/>
  <c r="AS6176" i="32"/>
  <c r="AS6177" i="32"/>
  <c r="AS6178" i="32"/>
  <c r="AS6179" i="32"/>
  <c r="AS6180" i="32"/>
  <c r="AS6181" i="32"/>
  <c r="AS6182" i="32"/>
  <c r="AS6183" i="32"/>
  <c r="AS6184" i="32"/>
  <c r="AS6185" i="32"/>
  <c r="AS6186" i="32"/>
  <c r="AS6187" i="32"/>
  <c r="AS6188" i="32"/>
  <c r="AS6189" i="32"/>
  <c r="AS6190" i="32"/>
  <c r="AS6191" i="32"/>
  <c r="AS6192" i="32"/>
  <c r="AS6193" i="32"/>
  <c r="AS6194" i="32"/>
  <c r="AS6195" i="32"/>
  <c r="AS6196" i="32"/>
  <c r="AS6197" i="32"/>
  <c r="AS6198" i="32"/>
  <c r="AS6199" i="32"/>
  <c r="AS6200" i="32"/>
  <c r="AS6201" i="32"/>
  <c r="AS6202" i="32"/>
  <c r="AS6203" i="32"/>
  <c r="AS6204" i="32"/>
  <c r="AS6205" i="32"/>
  <c r="AS6206" i="32"/>
  <c r="AS6207" i="32"/>
  <c r="AS6208" i="32"/>
  <c r="AS6209" i="32"/>
  <c r="AS6210" i="32"/>
  <c r="AS6211" i="32"/>
  <c r="AS6212" i="32"/>
  <c r="AS6213" i="32"/>
  <c r="AS6214" i="32"/>
  <c r="AS6215" i="32"/>
  <c r="AS6216" i="32"/>
  <c r="AS6217" i="32"/>
  <c r="AS6218" i="32"/>
  <c r="AS6219" i="32"/>
  <c r="AS6220" i="32"/>
  <c r="AS6221" i="32"/>
  <c r="AS6222" i="32"/>
  <c r="AS6223" i="32"/>
  <c r="AS6224" i="32"/>
  <c r="AS6225" i="32"/>
  <c r="AS6226" i="32"/>
  <c r="AS6227" i="32"/>
  <c r="AS6228" i="32"/>
  <c r="AS6229" i="32"/>
  <c r="AS6230" i="32"/>
  <c r="AS6231" i="32"/>
  <c r="AS6232" i="32"/>
  <c r="AS6233" i="32"/>
  <c r="AS6234" i="32"/>
  <c r="AS6235" i="32"/>
  <c r="AS6236" i="32"/>
  <c r="AS6237" i="32"/>
  <c r="AS6238" i="32"/>
  <c r="AS6239" i="32"/>
  <c r="AS6240" i="32"/>
  <c r="AS6241" i="32"/>
  <c r="AS6242" i="32"/>
  <c r="AS6243" i="32"/>
  <c r="AS6244" i="32"/>
  <c r="AS6245" i="32"/>
  <c r="AS6246" i="32"/>
  <c r="AS6247" i="32"/>
  <c r="AS6248" i="32"/>
  <c r="AS6249" i="32"/>
  <c r="AS6250" i="32"/>
  <c r="AS6251" i="32"/>
  <c r="AS6252" i="32"/>
  <c r="AS6253" i="32"/>
  <c r="AS6254" i="32"/>
  <c r="AS6255" i="32"/>
  <c r="AS6256" i="32"/>
  <c r="AS6257" i="32"/>
  <c r="AS6258" i="32"/>
  <c r="AS6259" i="32"/>
  <c r="AS6260" i="32"/>
  <c r="AS6261" i="32"/>
  <c r="AS6262" i="32"/>
  <c r="AS6263" i="32"/>
  <c r="AS6264" i="32"/>
  <c r="AS6265" i="32"/>
  <c r="AS6266" i="32"/>
  <c r="AS6267" i="32"/>
  <c r="AS6268" i="32"/>
  <c r="AS6269" i="32"/>
  <c r="AS6270" i="32"/>
  <c r="AS6271" i="32"/>
  <c r="AS6272" i="32"/>
  <c r="AS6273" i="32"/>
  <c r="AS6274" i="32"/>
  <c r="AS6275" i="32"/>
  <c r="AS6276" i="32"/>
  <c r="AS6277" i="32"/>
  <c r="AS6278" i="32"/>
  <c r="AS6279" i="32"/>
  <c r="AS6280" i="32"/>
  <c r="AS6281" i="32"/>
  <c r="AS6282" i="32"/>
  <c r="AS6283" i="32"/>
  <c r="AS6284" i="32"/>
  <c r="AS6285" i="32"/>
  <c r="AS6286" i="32"/>
  <c r="AS6287" i="32"/>
  <c r="AS6288" i="32"/>
  <c r="AS6289" i="32"/>
  <c r="AS6290" i="32"/>
  <c r="AS6291" i="32"/>
  <c r="AS6292" i="32"/>
  <c r="AS6293" i="32"/>
  <c r="AS6294" i="32"/>
  <c r="AS6295" i="32"/>
  <c r="AS6296" i="32"/>
  <c r="AS6297" i="32"/>
  <c r="AS6298" i="32"/>
  <c r="AS6299" i="32"/>
  <c r="AS6300" i="32"/>
  <c r="AS6301" i="32"/>
  <c r="AS6302" i="32"/>
  <c r="AS6303" i="32"/>
  <c r="AS6304" i="32"/>
  <c r="AS6305" i="32"/>
  <c r="AS6306" i="32"/>
  <c r="AS6307" i="32"/>
  <c r="AS6308" i="32"/>
  <c r="AS6309" i="32"/>
  <c r="AS6310" i="32"/>
  <c r="AS6311" i="32"/>
  <c r="AS6312" i="32"/>
  <c r="AS6313" i="32"/>
  <c r="AS6314" i="32"/>
  <c r="AS6315" i="32"/>
  <c r="AS6316" i="32"/>
  <c r="AS6317" i="32"/>
  <c r="AS6318" i="32"/>
  <c r="AS6319" i="32"/>
  <c r="AS6320" i="32"/>
  <c r="AS6321" i="32"/>
  <c r="AS6322" i="32"/>
  <c r="AS6323" i="32"/>
  <c r="AS6324" i="32"/>
  <c r="AS6325" i="32"/>
  <c r="AS6326" i="32"/>
  <c r="AS6327" i="32"/>
  <c r="AS6328" i="32"/>
  <c r="AS6329" i="32"/>
  <c r="AS6330" i="32"/>
  <c r="AS6331" i="32"/>
  <c r="AS6332" i="32"/>
  <c r="AS6333" i="32"/>
  <c r="AS6334" i="32"/>
  <c r="AS6335" i="32"/>
  <c r="AS6336" i="32"/>
  <c r="AS6337" i="32"/>
  <c r="AS6338" i="32"/>
  <c r="AS6339" i="32"/>
  <c r="AS6340" i="32"/>
  <c r="AS6341" i="32"/>
  <c r="AS6342" i="32"/>
  <c r="AS6343" i="32"/>
  <c r="AS6344" i="32"/>
  <c r="AS6345" i="32"/>
  <c r="AS6346" i="32"/>
  <c r="AS6347" i="32"/>
  <c r="AS6348" i="32"/>
  <c r="AS6349" i="32"/>
  <c r="AS6350" i="32"/>
  <c r="AS6351" i="32"/>
  <c r="AS6352" i="32"/>
  <c r="AS6353" i="32"/>
  <c r="AS6354" i="32"/>
  <c r="AS6355" i="32"/>
  <c r="AS6356" i="32"/>
  <c r="AS6357" i="32"/>
  <c r="AS6358" i="32"/>
  <c r="AS6359" i="32"/>
  <c r="AS6360" i="32"/>
  <c r="AS6361" i="32"/>
  <c r="AS6362" i="32"/>
  <c r="AS6363" i="32"/>
  <c r="AS6364" i="32"/>
  <c r="AS6365" i="32"/>
  <c r="AS6366" i="32"/>
  <c r="AS6367" i="32"/>
  <c r="AS6368" i="32"/>
  <c r="AS6369" i="32"/>
  <c r="AS6370" i="32"/>
  <c r="AS6371" i="32"/>
  <c r="AS6372" i="32"/>
  <c r="AS6373" i="32"/>
  <c r="AS6374" i="32"/>
  <c r="AS6375" i="32"/>
  <c r="AS6376" i="32"/>
  <c r="AS6377" i="32"/>
  <c r="AS6378" i="32"/>
  <c r="AS6379" i="32"/>
  <c r="AS6380" i="32"/>
  <c r="AS6381" i="32"/>
  <c r="AS6382" i="32"/>
  <c r="AS6383" i="32"/>
  <c r="AS6384" i="32"/>
  <c r="AS6385" i="32"/>
  <c r="AS6386" i="32"/>
  <c r="AS6387" i="32"/>
  <c r="AS6388" i="32"/>
  <c r="AS6389" i="32"/>
  <c r="AS6390" i="32"/>
  <c r="AS6391" i="32"/>
  <c r="AS6392" i="32"/>
  <c r="AS6393" i="32"/>
  <c r="AS6394" i="32"/>
  <c r="AS6395" i="32"/>
  <c r="AS6396" i="32"/>
  <c r="AS6397" i="32"/>
  <c r="AS6398" i="32"/>
  <c r="AS6399" i="32"/>
  <c r="AS6400" i="32"/>
  <c r="AS6401" i="32"/>
  <c r="AS6402" i="32"/>
  <c r="AS6403" i="32"/>
  <c r="AS6404" i="32"/>
  <c r="AS6405" i="32"/>
  <c r="AS6406" i="32"/>
  <c r="AS6407" i="32"/>
  <c r="AS6408" i="32"/>
  <c r="AS6409" i="32"/>
  <c r="AS6410" i="32"/>
  <c r="AS6411" i="32"/>
  <c r="AS6412" i="32"/>
  <c r="AS6413" i="32"/>
  <c r="AS6414" i="32"/>
  <c r="AS6415" i="32"/>
  <c r="AS6416" i="32"/>
  <c r="AS6417" i="32"/>
  <c r="AS6418" i="32"/>
  <c r="AS6419" i="32"/>
  <c r="AS6420" i="32"/>
  <c r="AS6421" i="32"/>
  <c r="AS6422" i="32"/>
  <c r="AS6423" i="32"/>
  <c r="AS6424" i="32"/>
  <c r="AS6425" i="32"/>
  <c r="AS6426" i="32"/>
  <c r="AS6427" i="32"/>
  <c r="AS6428" i="32"/>
  <c r="AS6429" i="32"/>
  <c r="AS6430" i="32"/>
  <c r="AS6431" i="32"/>
  <c r="AS6432" i="32"/>
  <c r="AS6433" i="32"/>
  <c r="AS6434" i="32"/>
  <c r="AS6435" i="32"/>
  <c r="AS6436" i="32"/>
  <c r="AS6437" i="32"/>
  <c r="AS6438" i="32"/>
  <c r="AS6439" i="32"/>
  <c r="AS6440" i="32"/>
  <c r="AS6441" i="32"/>
  <c r="AS6442" i="32"/>
  <c r="AS6443" i="32"/>
  <c r="AS6444" i="32"/>
  <c r="AS6445" i="32"/>
  <c r="AS6446" i="32"/>
  <c r="AS6447" i="32"/>
  <c r="AS6448" i="32"/>
  <c r="AS6449" i="32"/>
  <c r="AS6450" i="32"/>
  <c r="AS6451" i="32"/>
  <c r="AS6452" i="32"/>
  <c r="AS6453" i="32"/>
  <c r="AS6454" i="32"/>
  <c r="AS6455" i="32"/>
  <c r="AS6456" i="32"/>
  <c r="AS6457" i="32"/>
  <c r="AS6458" i="32"/>
  <c r="AS6459" i="32"/>
  <c r="AS6460" i="32"/>
  <c r="AS6461" i="32"/>
  <c r="AS6462" i="32"/>
  <c r="AS6463" i="32"/>
  <c r="AS6464" i="32"/>
  <c r="AS6465" i="32"/>
  <c r="AS6466" i="32"/>
  <c r="AS6467" i="32"/>
  <c r="AS6468" i="32"/>
  <c r="AS6469" i="32"/>
  <c r="AS6470" i="32"/>
  <c r="AS6471" i="32"/>
  <c r="AS6472" i="32"/>
  <c r="AS6473" i="32"/>
  <c r="AS6474" i="32"/>
  <c r="AS6475" i="32"/>
  <c r="AS6476" i="32"/>
  <c r="AS6477" i="32"/>
  <c r="AS6478" i="32"/>
  <c r="AS6479" i="32"/>
  <c r="AS6480" i="32"/>
  <c r="AS6481" i="32"/>
  <c r="AS6482" i="32"/>
  <c r="AS6483" i="32"/>
  <c r="AS6484" i="32"/>
  <c r="AS6485" i="32"/>
  <c r="AS6486" i="32"/>
  <c r="AS6487" i="32"/>
  <c r="AS6488" i="32"/>
  <c r="AS6489" i="32"/>
  <c r="AS6490" i="32"/>
  <c r="AS6491" i="32"/>
  <c r="AS6492" i="32"/>
  <c r="AS6493" i="32"/>
  <c r="AS6494" i="32"/>
  <c r="AS6495" i="32"/>
  <c r="AS6496" i="32"/>
  <c r="AS6497" i="32"/>
  <c r="AS6498" i="32"/>
  <c r="AS6499" i="32"/>
  <c r="AS6500" i="32"/>
  <c r="AS6501" i="32"/>
  <c r="AS6502" i="32"/>
  <c r="AS6503" i="32"/>
  <c r="AS6504" i="32"/>
  <c r="AS6505" i="32"/>
  <c r="AS6506" i="32"/>
  <c r="AS6507" i="32"/>
  <c r="AS6508" i="32"/>
  <c r="AS6509" i="32"/>
  <c r="AS6510" i="32"/>
  <c r="AS6511" i="32"/>
  <c r="AS6512" i="32"/>
  <c r="AS6513" i="32"/>
  <c r="AS6514" i="32"/>
  <c r="AS6515" i="32"/>
  <c r="AS6516" i="32"/>
  <c r="AS6517" i="32"/>
  <c r="AS6518" i="32"/>
  <c r="AS6519" i="32"/>
  <c r="AS6520" i="32"/>
  <c r="AS6521" i="32"/>
  <c r="AS6522" i="32"/>
  <c r="AS6523" i="32"/>
  <c r="AS6524" i="32"/>
  <c r="AS6525" i="32"/>
  <c r="AS6526" i="32"/>
  <c r="AS6527" i="32"/>
  <c r="AS6528" i="32"/>
  <c r="AS6529" i="32"/>
  <c r="AS6530" i="32"/>
  <c r="AS6531" i="32"/>
  <c r="AS6532" i="32"/>
  <c r="AS6533" i="32"/>
  <c r="AS6534" i="32"/>
  <c r="AS6535" i="32"/>
  <c r="AS6536" i="32"/>
  <c r="AS6537" i="32"/>
  <c r="AS6538" i="32"/>
  <c r="AS6539" i="32"/>
  <c r="AS6540" i="32"/>
  <c r="AS6541" i="32"/>
  <c r="AS6542" i="32"/>
  <c r="AS6543" i="32"/>
  <c r="AS6544" i="32"/>
  <c r="AS6545" i="32"/>
  <c r="AS6546" i="32"/>
  <c r="AS6547" i="32"/>
  <c r="AS6548" i="32"/>
  <c r="AS6549" i="32"/>
  <c r="AS6550" i="32"/>
  <c r="AS6551" i="32"/>
  <c r="AS6552" i="32"/>
  <c r="AS6553" i="32"/>
  <c r="AS6554" i="32"/>
  <c r="AS6555" i="32"/>
  <c r="AS6556" i="32"/>
  <c r="AS6557" i="32"/>
  <c r="AS6558" i="32"/>
  <c r="AS6559" i="32"/>
  <c r="AS6560" i="32"/>
  <c r="AS6561" i="32"/>
  <c r="AS6562" i="32"/>
  <c r="AS6563" i="32"/>
  <c r="AS6564" i="32"/>
  <c r="AS6565" i="32"/>
  <c r="AS6566" i="32"/>
  <c r="AS6567" i="32"/>
  <c r="AS6568" i="32"/>
  <c r="AS6569" i="32"/>
  <c r="AS6570" i="32"/>
  <c r="AS6571" i="32"/>
  <c r="AS6572" i="32"/>
  <c r="AS6573" i="32"/>
  <c r="AS6574" i="32"/>
  <c r="AS6575" i="32"/>
  <c r="AS6576" i="32"/>
  <c r="AS6577" i="32"/>
  <c r="AS6578" i="32"/>
  <c r="AS6579" i="32"/>
  <c r="AS6580" i="32"/>
  <c r="AS6581" i="32"/>
  <c r="AS6582" i="32"/>
  <c r="AS6583" i="32"/>
  <c r="AS6584" i="32"/>
  <c r="AS6585" i="32"/>
  <c r="AS6586" i="32"/>
  <c r="AS6587" i="32"/>
  <c r="AS6588" i="32"/>
  <c r="AS6589" i="32"/>
  <c r="AS6590" i="32"/>
  <c r="AS6591" i="32"/>
  <c r="AS6592" i="32"/>
  <c r="AS6593" i="32"/>
  <c r="AS6594" i="32"/>
  <c r="AS6595" i="32"/>
  <c r="AS6596" i="32"/>
  <c r="AS6597" i="32"/>
  <c r="AS6598" i="32"/>
  <c r="AS6599" i="32"/>
  <c r="AS6600" i="32"/>
  <c r="AS6601" i="32"/>
  <c r="AS6602" i="32"/>
  <c r="AS6603" i="32"/>
  <c r="AS6604" i="32"/>
  <c r="AS6605" i="32"/>
  <c r="AS6606" i="32"/>
  <c r="AS6607" i="32"/>
  <c r="AS6608" i="32"/>
  <c r="AS6609" i="32"/>
  <c r="AS6610" i="32"/>
  <c r="AS6611" i="32"/>
  <c r="AS6612" i="32"/>
  <c r="AS6613" i="32"/>
  <c r="AS6614" i="32"/>
  <c r="AS6615" i="32"/>
  <c r="AS6616" i="32"/>
  <c r="AS6617" i="32"/>
  <c r="AS6618" i="32"/>
  <c r="AS6619" i="32"/>
  <c r="AS6620" i="32"/>
  <c r="AS6621" i="32"/>
  <c r="AS6622" i="32"/>
  <c r="AS6623" i="32"/>
  <c r="AS6624" i="32"/>
  <c r="AS6625" i="32"/>
  <c r="AS6626" i="32"/>
  <c r="AS6627" i="32"/>
  <c r="AS6628" i="32"/>
  <c r="AS6629" i="32"/>
  <c r="AS6630" i="32"/>
  <c r="AS6631" i="32"/>
  <c r="AS6632" i="32"/>
  <c r="AS6633" i="32"/>
  <c r="AS6634" i="32"/>
  <c r="AS6635" i="32"/>
  <c r="AS6636" i="32"/>
  <c r="AS6637" i="32"/>
  <c r="AS6638" i="32"/>
  <c r="AS6639" i="32"/>
  <c r="AS6640" i="32"/>
  <c r="AS6641" i="32"/>
  <c r="AS6642" i="32"/>
  <c r="AS6643" i="32"/>
  <c r="AS6644" i="32"/>
  <c r="AS6645" i="32"/>
  <c r="AS6646" i="32"/>
  <c r="AS6647" i="32"/>
  <c r="AS6648" i="32"/>
  <c r="AS6649" i="32"/>
  <c r="AS6650" i="32"/>
  <c r="AS6651" i="32"/>
  <c r="AS6652" i="32"/>
  <c r="AS6653" i="32"/>
  <c r="AS6654" i="32"/>
  <c r="AS6655" i="32"/>
  <c r="AS6656" i="32"/>
  <c r="AS6657" i="32"/>
  <c r="AS6658" i="32"/>
  <c r="AS6659" i="32"/>
  <c r="AS6660" i="32"/>
  <c r="AS6661" i="32"/>
  <c r="AS6662" i="32"/>
  <c r="AS6663" i="32"/>
  <c r="AS6664" i="32"/>
  <c r="AS6665" i="32"/>
  <c r="AS6666" i="32"/>
  <c r="AS6667" i="32"/>
  <c r="AS6668" i="32"/>
  <c r="AS6669" i="32"/>
  <c r="AS6670" i="32"/>
  <c r="AS6671" i="32"/>
  <c r="AS6672" i="32"/>
  <c r="AS6673" i="32"/>
  <c r="AS6674" i="32"/>
  <c r="AS6675" i="32"/>
  <c r="AS6676" i="32"/>
  <c r="AS6677" i="32"/>
  <c r="AS6678" i="32"/>
  <c r="AS6679" i="32"/>
  <c r="AS6680" i="32"/>
  <c r="AS6681" i="32"/>
  <c r="AS6682" i="32"/>
  <c r="AS6683" i="32"/>
  <c r="AS6684" i="32"/>
  <c r="AS6685" i="32"/>
  <c r="AS6686" i="32"/>
  <c r="AS6687" i="32"/>
  <c r="AS6688" i="32"/>
  <c r="AS6689" i="32"/>
  <c r="AS6690" i="32"/>
  <c r="AS6691" i="32"/>
  <c r="AS6692" i="32"/>
  <c r="AS6693" i="32"/>
  <c r="AS6694" i="32"/>
  <c r="AS6695" i="32"/>
  <c r="AS6696" i="32"/>
  <c r="AS6697" i="32"/>
  <c r="AS6698" i="32"/>
  <c r="AS6699" i="32"/>
  <c r="AS6700" i="32"/>
  <c r="AS6701" i="32"/>
  <c r="AS6702" i="32"/>
  <c r="AS6703" i="32"/>
  <c r="AS6704" i="32"/>
  <c r="AS6705" i="32"/>
  <c r="AS6706" i="32"/>
  <c r="AS6707" i="32"/>
  <c r="AS6708" i="32"/>
  <c r="AS6709" i="32"/>
  <c r="AS6710" i="32"/>
  <c r="AS6711" i="32"/>
  <c r="AS6712" i="32"/>
  <c r="AS6713" i="32"/>
  <c r="AS6714" i="32"/>
  <c r="AS6715" i="32"/>
  <c r="AS6716" i="32"/>
  <c r="AS6717" i="32"/>
  <c r="AS6718" i="32"/>
  <c r="AS6719" i="32"/>
  <c r="AS6720" i="32"/>
  <c r="AS6721" i="32"/>
  <c r="AS6722" i="32"/>
  <c r="AS6723" i="32"/>
  <c r="AS6724" i="32"/>
  <c r="AS6725" i="32"/>
  <c r="AS6726" i="32"/>
  <c r="AS6727" i="32"/>
  <c r="AS6728" i="32"/>
  <c r="AS6729" i="32"/>
  <c r="AS6730" i="32"/>
  <c r="AS6731" i="32"/>
  <c r="AS6732" i="32"/>
  <c r="AS6733" i="32"/>
  <c r="AS6734" i="32"/>
  <c r="AS6735" i="32"/>
  <c r="AS6736" i="32"/>
  <c r="AS6737" i="32"/>
  <c r="AS6738" i="32"/>
  <c r="AS6739" i="32"/>
  <c r="AS6740" i="32"/>
  <c r="AS6741" i="32"/>
  <c r="AS6742" i="32"/>
  <c r="AS6743" i="32"/>
  <c r="AS6744" i="32"/>
  <c r="AS6745" i="32"/>
  <c r="AS6746" i="32"/>
  <c r="AS6747" i="32"/>
  <c r="AS6748" i="32"/>
  <c r="AS6749" i="32"/>
  <c r="AS6750" i="32"/>
  <c r="AS6751" i="32"/>
  <c r="AS6752" i="32"/>
  <c r="AS6753" i="32"/>
  <c r="AS6754" i="32"/>
  <c r="AS6755" i="32"/>
  <c r="AS6756" i="32"/>
  <c r="AS6757" i="32"/>
  <c r="AS6758" i="32"/>
  <c r="AS6759" i="32"/>
  <c r="AS6760" i="32"/>
  <c r="AS6761" i="32"/>
  <c r="AS6762" i="32"/>
  <c r="AS6763" i="32"/>
  <c r="AS6764" i="32"/>
  <c r="AS6765" i="32"/>
  <c r="AS6766" i="32"/>
  <c r="AS6767" i="32"/>
  <c r="AS6768" i="32"/>
  <c r="AS6769" i="32"/>
  <c r="AS6770" i="32"/>
  <c r="AS6771" i="32"/>
  <c r="AS6772" i="32"/>
  <c r="AS6773" i="32"/>
  <c r="AS6774" i="32"/>
  <c r="AS6775" i="32"/>
  <c r="AS6776" i="32"/>
  <c r="AS6777" i="32"/>
  <c r="AS6778" i="32"/>
  <c r="AS6779" i="32"/>
  <c r="AS6780" i="32"/>
  <c r="AS6781" i="32"/>
  <c r="AS6782" i="32"/>
  <c r="AS6783" i="32"/>
  <c r="AS6784" i="32"/>
  <c r="AS6785" i="32"/>
  <c r="AS6786" i="32"/>
  <c r="AS6787" i="32"/>
  <c r="AS6788" i="32"/>
  <c r="AS6789" i="32"/>
  <c r="AS6790" i="32"/>
  <c r="AS6791" i="32"/>
  <c r="AS6792" i="32"/>
  <c r="AS6793" i="32"/>
  <c r="AS6794" i="32"/>
  <c r="AS6795" i="32"/>
  <c r="AS6796" i="32"/>
  <c r="AS6797" i="32"/>
  <c r="AS6798" i="32"/>
  <c r="AS6799" i="32"/>
  <c r="AS6800" i="32"/>
  <c r="AS6801" i="32"/>
  <c r="AS6802" i="32"/>
  <c r="AS6803" i="32"/>
  <c r="AS6804" i="32"/>
  <c r="AS6805" i="32"/>
  <c r="AS6806" i="32"/>
  <c r="AS6807" i="32"/>
  <c r="AS6808" i="32"/>
  <c r="AS6809" i="32"/>
  <c r="AS6810" i="32"/>
  <c r="AS6811" i="32"/>
  <c r="AS6812" i="32"/>
  <c r="AS6813" i="32"/>
  <c r="AS6814" i="32"/>
  <c r="AS6815" i="32"/>
  <c r="AS6816" i="32"/>
  <c r="AS6817" i="32"/>
  <c r="AS6818" i="32"/>
  <c r="AS6819" i="32"/>
  <c r="AS6820" i="32"/>
  <c r="AS6821" i="32"/>
  <c r="AS6822" i="32"/>
  <c r="AS6823" i="32"/>
  <c r="AS6824" i="32"/>
  <c r="AS6825" i="32"/>
  <c r="AS6826" i="32"/>
  <c r="AS6827" i="32"/>
  <c r="AS6828" i="32"/>
  <c r="AS6829" i="32"/>
  <c r="AS6830" i="32"/>
  <c r="AS6831" i="32"/>
  <c r="AS6832" i="32"/>
  <c r="AS6833" i="32"/>
  <c r="AS6834" i="32"/>
  <c r="AS6835" i="32"/>
  <c r="AS6836" i="32"/>
  <c r="AS6837" i="32"/>
  <c r="AS6838" i="32"/>
  <c r="AS6839" i="32"/>
  <c r="AS6840" i="32"/>
  <c r="AS6841" i="32"/>
  <c r="AS6842" i="32"/>
  <c r="AS6843" i="32"/>
  <c r="AS6844" i="32"/>
  <c r="AS6845" i="32"/>
  <c r="AS6846" i="32"/>
  <c r="AS6847" i="32"/>
  <c r="AS6848" i="32"/>
  <c r="AS6849" i="32"/>
  <c r="AS6850" i="32"/>
  <c r="AS6851" i="32"/>
  <c r="AS6852" i="32"/>
  <c r="AS6853" i="32"/>
  <c r="AS6854" i="32"/>
  <c r="AS6855" i="32"/>
  <c r="AS6856" i="32"/>
  <c r="AS6857" i="32"/>
  <c r="AS6858" i="32"/>
  <c r="AS6859" i="32"/>
  <c r="AS6860" i="32"/>
  <c r="AS6861" i="32"/>
  <c r="AS6862" i="32"/>
  <c r="AS6863" i="32"/>
  <c r="AS6864" i="32"/>
  <c r="AS6865" i="32"/>
  <c r="AS6866" i="32"/>
  <c r="AS6867" i="32"/>
  <c r="AS6868" i="32"/>
  <c r="AS6869" i="32"/>
  <c r="AS6870" i="32"/>
  <c r="AS6871" i="32"/>
  <c r="AS6872" i="32"/>
  <c r="AS6873" i="32"/>
  <c r="AS6874" i="32"/>
  <c r="AS6875" i="32"/>
  <c r="AS6876" i="32"/>
  <c r="AS6877" i="32"/>
  <c r="AS6878" i="32"/>
  <c r="AS6879" i="32"/>
  <c r="AS6880" i="32"/>
  <c r="AS6881" i="32"/>
  <c r="AS6882" i="32"/>
  <c r="AS6883" i="32"/>
  <c r="AS6884" i="32"/>
  <c r="AS6885" i="32"/>
  <c r="AS6886" i="32"/>
  <c r="AS6887" i="32"/>
  <c r="AS6888" i="32"/>
  <c r="AS6889" i="32"/>
  <c r="AS6890" i="32"/>
  <c r="AS6891" i="32"/>
  <c r="AS6892" i="32"/>
  <c r="AS6893" i="32"/>
  <c r="AS6894" i="32"/>
  <c r="AS6895" i="32"/>
  <c r="AS6896" i="32"/>
  <c r="AS6897" i="32"/>
  <c r="AS6898" i="32"/>
  <c r="AS6899" i="32"/>
  <c r="AS6900" i="32"/>
  <c r="AS6901" i="32"/>
  <c r="AS6902" i="32"/>
  <c r="AS6903" i="32"/>
  <c r="AS6904" i="32"/>
  <c r="AS6905" i="32"/>
  <c r="AS6906" i="32"/>
  <c r="AS6907" i="32"/>
  <c r="AS6908" i="32"/>
  <c r="AS6909" i="32"/>
  <c r="AS6910" i="32"/>
  <c r="AS6911" i="32"/>
  <c r="AS6912" i="32"/>
  <c r="AS6913" i="32"/>
  <c r="AS6914" i="32"/>
  <c r="AS6915" i="32"/>
  <c r="AS6916" i="32"/>
  <c r="AS6917" i="32"/>
  <c r="AS6918" i="32"/>
  <c r="AS6919" i="32"/>
  <c r="AS6920" i="32"/>
  <c r="AS6921" i="32"/>
  <c r="AS6922" i="32"/>
  <c r="AS6923" i="32"/>
  <c r="AS6924" i="32"/>
  <c r="AS6925" i="32"/>
  <c r="AS6926" i="32"/>
  <c r="AS6927" i="32"/>
  <c r="AS6928" i="32"/>
  <c r="AS6929" i="32"/>
  <c r="AS6930" i="32"/>
  <c r="AS6931" i="32"/>
  <c r="AS6932" i="32"/>
  <c r="AS6933" i="32"/>
  <c r="AS6934" i="32"/>
  <c r="AS6935" i="32"/>
  <c r="AS6936" i="32"/>
  <c r="AS6937" i="32"/>
  <c r="AS6938" i="32"/>
  <c r="AS6939" i="32"/>
  <c r="AS6940" i="32"/>
  <c r="AS6941" i="32"/>
  <c r="AS6942" i="32"/>
  <c r="AS6943" i="32"/>
  <c r="AS6944" i="32"/>
  <c r="AS6945" i="32"/>
  <c r="AS6946" i="32"/>
  <c r="AS6947" i="32"/>
  <c r="AS6948" i="32"/>
  <c r="AS6949" i="32"/>
  <c r="AS6950" i="32"/>
  <c r="AS6951" i="32"/>
  <c r="AS6952" i="32"/>
  <c r="AS6953" i="32"/>
  <c r="AS6954" i="32"/>
  <c r="AS6955" i="32"/>
  <c r="AS6956" i="32"/>
  <c r="AS6957" i="32"/>
  <c r="AS6958" i="32"/>
  <c r="AS6959" i="32"/>
  <c r="AS6960" i="32"/>
  <c r="AS6961" i="32"/>
  <c r="AS6962" i="32"/>
  <c r="AS6963" i="32"/>
  <c r="AS6964" i="32"/>
  <c r="AS6965" i="32"/>
  <c r="AS6966" i="32"/>
  <c r="AS6967" i="32"/>
  <c r="AS6968" i="32"/>
  <c r="AS6969" i="32"/>
  <c r="AS6970" i="32"/>
  <c r="AS6971" i="32"/>
  <c r="AS6972" i="32"/>
  <c r="AS6973" i="32"/>
  <c r="AS6974" i="32"/>
  <c r="AS6975" i="32"/>
  <c r="AS6976" i="32"/>
  <c r="AS6977" i="32"/>
  <c r="AS6978" i="32"/>
  <c r="AS6979" i="32"/>
  <c r="AS6980" i="32"/>
  <c r="AS6981" i="32"/>
  <c r="AS6982" i="32"/>
  <c r="AS6983" i="32"/>
  <c r="AS6984" i="32"/>
  <c r="AS6985" i="32"/>
  <c r="AS6986" i="32"/>
  <c r="AS6987" i="32"/>
  <c r="AS6988" i="32"/>
  <c r="AS6989" i="32"/>
  <c r="AS6990" i="32"/>
  <c r="AS6991" i="32"/>
  <c r="AS6992" i="32"/>
  <c r="AS6993" i="32"/>
  <c r="AS6994" i="32"/>
  <c r="AS6995" i="32"/>
  <c r="AS6996" i="32"/>
  <c r="AS6997" i="32"/>
  <c r="AS6998" i="32"/>
  <c r="AS6999" i="32"/>
  <c r="AS7000" i="32"/>
  <c r="AS7001" i="32"/>
  <c r="AS7002" i="32"/>
  <c r="AS7003" i="32"/>
  <c r="AS7004" i="32"/>
  <c r="AS7005" i="32"/>
  <c r="AS7006" i="32"/>
  <c r="AS7007" i="32"/>
  <c r="AS7008" i="32"/>
  <c r="AS7009" i="32"/>
  <c r="AS7010" i="32"/>
  <c r="AS7011" i="32"/>
  <c r="AS7012" i="32"/>
  <c r="AS7013" i="32"/>
  <c r="AS7014" i="32"/>
  <c r="AS7015" i="32"/>
  <c r="AS7016" i="32"/>
  <c r="AS7017" i="32"/>
  <c r="AS7018" i="32"/>
  <c r="AS7019" i="32"/>
  <c r="AS7020" i="32"/>
  <c r="AS7021" i="32"/>
  <c r="AS7022" i="32"/>
  <c r="AS7023" i="32"/>
  <c r="AS7024" i="32"/>
  <c r="AS7025" i="32"/>
  <c r="AS7026" i="32"/>
  <c r="AS7027" i="32"/>
  <c r="AS7028" i="32"/>
  <c r="AS7029" i="32"/>
  <c r="AS7030" i="32"/>
  <c r="AS7031" i="32"/>
  <c r="AS7032" i="32"/>
  <c r="AS7033" i="32"/>
  <c r="AS7034" i="32"/>
  <c r="AS7035" i="32"/>
  <c r="AS7036" i="32"/>
  <c r="AS7037" i="32"/>
  <c r="AS7038" i="32"/>
  <c r="AS7039" i="32"/>
  <c r="AS7040" i="32"/>
  <c r="AS7041" i="32"/>
  <c r="AS7042" i="32"/>
  <c r="AS7043" i="32"/>
  <c r="AS7044" i="32"/>
  <c r="AS7045" i="32"/>
  <c r="AS7046" i="32"/>
  <c r="AS7047" i="32"/>
  <c r="AS7048" i="32"/>
  <c r="AS7049" i="32"/>
  <c r="AS7050" i="32"/>
  <c r="AS7051" i="32"/>
  <c r="AS7052" i="32"/>
  <c r="AS7053" i="32"/>
  <c r="AS7054" i="32"/>
  <c r="AS7055" i="32"/>
  <c r="AS7056" i="32"/>
  <c r="AS7057" i="32"/>
  <c r="AS7058" i="32"/>
  <c r="AS7059" i="32"/>
  <c r="AS7060" i="32"/>
  <c r="AS7061" i="32"/>
  <c r="AS7062" i="32"/>
  <c r="AS7063" i="32"/>
  <c r="AS7064" i="32"/>
  <c r="AS7065" i="32"/>
  <c r="AS7066" i="32"/>
  <c r="AS7067" i="32"/>
  <c r="AS7068" i="32"/>
  <c r="AS7069" i="32"/>
  <c r="AS7070" i="32"/>
  <c r="AS7071" i="32"/>
  <c r="AS7072" i="32"/>
  <c r="AS7073" i="32"/>
  <c r="AS7074" i="32"/>
  <c r="AS7075" i="32"/>
  <c r="AS7076" i="32"/>
  <c r="AS7077" i="32"/>
  <c r="AS7078" i="32"/>
  <c r="AS7079" i="32"/>
  <c r="AS7080" i="32"/>
  <c r="AS7081" i="32"/>
  <c r="AS7082" i="32"/>
  <c r="AS7083" i="32"/>
  <c r="AS7084" i="32"/>
  <c r="AS7085" i="32"/>
  <c r="AS7086" i="32"/>
  <c r="AS7087" i="32"/>
  <c r="AS7088" i="32"/>
  <c r="AS7089" i="32"/>
  <c r="AS7090" i="32"/>
  <c r="AS7091" i="32"/>
  <c r="AS7092" i="32"/>
  <c r="AS7093" i="32"/>
  <c r="AS7094" i="32"/>
  <c r="AS7095" i="32"/>
  <c r="AS7096" i="32"/>
  <c r="AS7097" i="32"/>
  <c r="AS7098" i="32"/>
  <c r="AS7099" i="32"/>
  <c r="AS7100" i="32"/>
  <c r="AS7101" i="32"/>
  <c r="AS7102" i="32"/>
  <c r="AS7103" i="32"/>
  <c r="AS7104" i="32"/>
  <c r="AS7105" i="32"/>
  <c r="AS7106" i="32"/>
  <c r="AS7107" i="32"/>
  <c r="AS7108" i="32"/>
  <c r="AS7109" i="32"/>
  <c r="AS7110" i="32"/>
  <c r="AS7111" i="32"/>
  <c r="AS7112" i="32"/>
  <c r="AS7113" i="32"/>
  <c r="AS7114" i="32"/>
  <c r="AS7115" i="32"/>
  <c r="AS7116" i="32"/>
  <c r="AS7117" i="32"/>
  <c r="AS7118" i="32"/>
  <c r="AS7119" i="32"/>
  <c r="AS7120" i="32"/>
  <c r="AS7121" i="32"/>
  <c r="AS7122" i="32"/>
  <c r="AS7123" i="32"/>
  <c r="AS7124" i="32"/>
  <c r="AS7125" i="32"/>
  <c r="AS7126" i="32"/>
  <c r="AS7127" i="32"/>
  <c r="AS7128" i="32"/>
  <c r="AS7129" i="32"/>
  <c r="AS7130" i="32"/>
  <c r="AS7131" i="32"/>
  <c r="AS7132" i="32"/>
  <c r="AS7133" i="32"/>
  <c r="AS7134" i="32"/>
  <c r="AS7135" i="32"/>
  <c r="AS7136" i="32"/>
  <c r="AS7137" i="32"/>
  <c r="AS7138" i="32"/>
  <c r="AS7139" i="32"/>
  <c r="AS7140" i="32"/>
  <c r="AS7141" i="32"/>
  <c r="AS7142" i="32"/>
  <c r="AS7143" i="32"/>
  <c r="AS7144" i="32"/>
  <c r="AS7145" i="32"/>
  <c r="AS7146" i="32"/>
  <c r="AS7147" i="32"/>
  <c r="AS7148" i="32"/>
  <c r="AS7149" i="32"/>
  <c r="AS7150" i="32"/>
  <c r="AS7151" i="32"/>
  <c r="AS7152" i="32"/>
  <c r="AS7153" i="32"/>
  <c r="AS7154" i="32"/>
  <c r="AS7155" i="32"/>
  <c r="AS7156" i="32"/>
  <c r="AS7157" i="32"/>
  <c r="AS7158" i="32"/>
  <c r="AS7159" i="32"/>
  <c r="AS7160" i="32"/>
  <c r="AS7161" i="32"/>
  <c r="AS7162" i="32"/>
  <c r="AS7163" i="32"/>
  <c r="AS7164" i="32"/>
  <c r="AS7165" i="32"/>
  <c r="AS7166" i="32"/>
  <c r="AS7167" i="32"/>
  <c r="AS7168" i="32"/>
  <c r="AS7169" i="32"/>
  <c r="AS7170" i="32"/>
  <c r="AS7171" i="32"/>
  <c r="AS7172" i="32"/>
  <c r="AS7173" i="32"/>
  <c r="AS7174" i="32"/>
  <c r="AS7175" i="32"/>
  <c r="AS7176" i="32"/>
  <c r="AS7177" i="32"/>
  <c r="AS7178" i="32"/>
  <c r="AS7179" i="32"/>
  <c r="AS7180" i="32"/>
  <c r="AS7181" i="32"/>
  <c r="AS7182" i="32"/>
  <c r="AS7183" i="32"/>
  <c r="AS7184" i="32"/>
  <c r="AS7185" i="32"/>
  <c r="AS7186" i="32"/>
  <c r="AS7187" i="32"/>
  <c r="AS7188" i="32"/>
  <c r="AS7189" i="32"/>
  <c r="AS7190" i="32"/>
  <c r="AS7191" i="32"/>
  <c r="AS7192" i="32"/>
  <c r="AS7193" i="32"/>
  <c r="AS7194" i="32"/>
  <c r="AS7195" i="32"/>
  <c r="AS7196" i="32"/>
  <c r="AS7197" i="32"/>
  <c r="AS7198" i="32"/>
  <c r="AS7199" i="32"/>
  <c r="AS7200" i="32"/>
  <c r="AS7201" i="32"/>
  <c r="AS7202" i="32"/>
  <c r="AS7203" i="32"/>
  <c r="AS7204" i="32"/>
  <c r="AS7205" i="32"/>
  <c r="AS7206" i="32"/>
  <c r="AS7207" i="32"/>
  <c r="AS7208" i="32"/>
  <c r="AS7209" i="32"/>
  <c r="AS7210" i="32"/>
  <c r="AS7211" i="32"/>
  <c r="AS7212" i="32"/>
  <c r="AS7213" i="32"/>
  <c r="AS7214" i="32"/>
  <c r="AS7215" i="32"/>
  <c r="AS7216" i="32"/>
  <c r="AS7217" i="32"/>
  <c r="AS7218" i="32"/>
  <c r="AS7219" i="32"/>
  <c r="AS7220" i="32"/>
  <c r="AS7221" i="32"/>
  <c r="AS7222" i="32"/>
  <c r="AS7223" i="32"/>
  <c r="AS7224" i="32"/>
  <c r="AS7225" i="32"/>
  <c r="AS7226" i="32"/>
  <c r="AS7227" i="32"/>
  <c r="AS7228" i="32"/>
  <c r="AS7229" i="32"/>
  <c r="AS7230" i="32"/>
  <c r="AS7231" i="32"/>
  <c r="AS7232" i="32"/>
  <c r="AS7233" i="32"/>
  <c r="AS7234" i="32"/>
  <c r="AS7235" i="32"/>
  <c r="AS7236" i="32"/>
  <c r="AS7237" i="32"/>
  <c r="AS7238" i="32"/>
  <c r="AS7239" i="32"/>
  <c r="AS7240" i="32"/>
  <c r="AS7241" i="32"/>
  <c r="AS7242" i="32"/>
  <c r="AS7243" i="32"/>
  <c r="AS7244" i="32"/>
  <c r="AS7245" i="32"/>
  <c r="AS7246" i="32"/>
  <c r="AS7247" i="32"/>
  <c r="AS7248" i="32"/>
  <c r="AS7249" i="32"/>
  <c r="AS7250" i="32"/>
  <c r="AS7251" i="32"/>
  <c r="AS7252" i="32"/>
  <c r="AS7253" i="32"/>
  <c r="AS7254" i="32"/>
  <c r="AS7255" i="32"/>
  <c r="AS7256" i="32"/>
  <c r="AS7257" i="32"/>
  <c r="AS7258" i="32"/>
  <c r="AS7259" i="32"/>
  <c r="AS7260" i="32"/>
  <c r="AS7261" i="32"/>
  <c r="AS7262" i="32"/>
  <c r="AS7263" i="32"/>
  <c r="AS7264" i="32"/>
  <c r="AS7265" i="32"/>
  <c r="AS7266" i="32"/>
  <c r="AS7267" i="32"/>
  <c r="AS7268" i="32"/>
  <c r="AS7269" i="32"/>
  <c r="AS7270" i="32"/>
  <c r="AS7271" i="32"/>
  <c r="AS7272" i="32"/>
  <c r="AS7273" i="32"/>
  <c r="AS7274" i="32"/>
  <c r="AS7275" i="32"/>
  <c r="AS7276" i="32"/>
  <c r="AS7277" i="32"/>
  <c r="AS7278" i="32"/>
  <c r="AS7279" i="32"/>
  <c r="AS7280" i="32"/>
  <c r="AS7281" i="32"/>
  <c r="AS7282" i="32"/>
  <c r="AS7283" i="32"/>
  <c r="AS7284" i="32"/>
  <c r="AS7285" i="32"/>
  <c r="AS7286" i="32"/>
  <c r="AS7287" i="32"/>
  <c r="AS7288" i="32"/>
  <c r="AS7289" i="32"/>
  <c r="AS7290" i="32"/>
  <c r="AS7291" i="32"/>
  <c r="AS7292" i="32"/>
  <c r="AS7293" i="32"/>
  <c r="AS7294" i="32"/>
  <c r="AS7295" i="32"/>
  <c r="AS7296" i="32"/>
  <c r="AS7297" i="32"/>
  <c r="AS7298" i="32"/>
  <c r="AS7299" i="32"/>
  <c r="AS7300" i="32"/>
  <c r="AS7301" i="32"/>
  <c r="AS7302" i="32"/>
  <c r="AS7303" i="32"/>
  <c r="AS7304" i="32"/>
  <c r="AS7305" i="32"/>
  <c r="AS7306" i="32"/>
  <c r="AS7307" i="32"/>
  <c r="AS7308" i="32"/>
  <c r="AS7309" i="32"/>
  <c r="AS7310" i="32"/>
  <c r="AS7311" i="32"/>
  <c r="AS7312" i="32"/>
  <c r="AS7313" i="32"/>
  <c r="AS7314" i="32"/>
  <c r="AS7315" i="32"/>
  <c r="AS7316" i="32"/>
  <c r="AS7317" i="32"/>
  <c r="AS7318" i="32"/>
  <c r="AS7319" i="32"/>
  <c r="AS7320" i="32"/>
  <c r="AS7321" i="32"/>
  <c r="AS7322" i="32"/>
  <c r="AS7323" i="32"/>
  <c r="AS7324" i="32"/>
  <c r="AS7325" i="32"/>
  <c r="AS7326" i="32"/>
  <c r="AS7327" i="32"/>
  <c r="AS7328" i="32"/>
  <c r="AS7329" i="32"/>
  <c r="AS7330" i="32"/>
  <c r="AS7331" i="32"/>
  <c r="AS7332" i="32"/>
  <c r="AS7333" i="32"/>
  <c r="AS7334" i="32"/>
  <c r="AS7335" i="32"/>
  <c r="AS7336" i="32"/>
  <c r="AS7337" i="32"/>
  <c r="AS7338" i="32"/>
  <c r="AS7339" i="32"/>
  <c r="AS7340" i="32"/>
  <c r="AS7341" i="32"/>
  <c r="AS7342" i="32"/>
  <c r="AS7343" i="32"/>
  <c r="AS7344" i="32"/>
  <c r="AS7345" i="32"/>
  <c r="AS7346" i="32"/>
  <c r="AS7347" i="32"/>
  <c r="AS7348" i="32"/>
  <c r="AS7349" i="32"/>
  <c r="AS7350" i="32"/>
  <c r="AS7351" i="32"/>
  <c r="AS7352" i="32"/>
  <c r="AS7353" i="32"/>
  <c r="AS7354" i="32"/>
  <c r="AS7355" i="32"/>
  <c r="AS7356" i="32"/>
  <c r="AS7357" i="32"/>
  <c r="AS7358" i="32"/>
  <c r="AS7359" i="32"/>
  <c r="AS7360" i="32"/>
  <c r="AS7361" i="32"/>
  <c r="AS7362" i="32"/>
  <c r="AS7363" i="32"/>
  <c r="AS7364" i="32"/>
  <c r="AS7365" i="32"/>
  <c r="AS7366" i="32"/>
  <c r="AS7367" i="32"/>
  <c r="AS7368" i="32"/>
  <c r="AS7369" i="32"/>
  <c r="AS7370" i="32"/>
  <c r="AS7371" i="32"/>
  <c r="AS7372" i="32"/>
  <c r="AS7373" i="32"/>
  <c r="AS7374" i="32"/>
  <c r="AS7375" i="32"/>
  <c r="AS7376" i="32"/>
  <c r="AS7377" i="32"/>
  <c r="AS7378" i="32"/>
  <c r="AS7379" i="32"/>
  <c r="AS7380" i="32"/>
  <c r="AS7381" i="32"/>
  <c r="AS7382" i="32"/>
  <c r="AS7383" i="32"/>
  <c r="AS7384" i="32"/>
  <c r="AS7385" i="32"/>
  <c r="AS7386" i="32"/>
  <c r="AS7387" i="32"/>
  <c r="AS7388" i="32"/>
  <c r="AS7389" i="32"/>
  <c r="AS7390" i="32"/>
  <c r="AS7391" i="32"/>
  <c r="AS7392" i="32"/>
  <c r="AS7393" i="32"/>
  <c r="AS7394" i="32"/>
  <c r="AS7395" i="32"/>
  <c r="AS7396" i="32"/>
  <c r="AS7397" i="32"/>
  <c r="AS7398" i="32"/>
  <c r="AS7399" i="32"/>
  <c r="AS7400" i="32"/>
  <c r="AS7401" i="32"/>
  <c r="AS7402" i="32"/>
  <c r="AS7403" i="32"/>
  <c r="AS7404" i="32"/>
  <c r="AS7405" i="32"/>
  <c r="AS7406" i="32"/>
  <c r="AS7407" i="32"/>
  <c r="AS7408" i="32"/>
  <c r="AS7409" i="32"/>
  <c r="AS7410" i="32"/>
  <c r="AS7411" i="32"/>
  <c r="AS7412" i="32"/>
  <c r="AS7413" i="32"/>
  <c r="AS7414" i="32"/>
  <c r="AS7415" i="32"/>
  <c r="AS7416" i="32"/>
  <c r="AS7417" i="32"/>
  <c r="AS7418" i="32"/>
  <c r="AS7419" i="32"/>
  <c r="AS7420" i="32"/>
  <c r="AS7421" i="32"/>
  <c r="AS7422" i="32"/>
  <c r="AS7423" i="32"/>
  <c r="AS7424" i="32"/>
  <c r="AS7425" i="32"/>
  <c r="AS7426" i="32"/>
  <c r="AS7427" i="32"/>
  <c r="AS7428" i="32"/>
  <c r="AS7429" i="32"/>
  <c r="AS7430" i="32"/>
  <c r="AS7431" i="32"/>
  <c r="AS7432" i="32"/>
  <c r="AS7433" i="32"/>
  <c r="AS7434" i="32"/>
  <c r="AS7435" i="32"/>
  <c r="AS7436" i="32"/>
  <c r="AS7437" i="32"/>
  <c r="AS7438" i="32"/>
  <c r="AS7439" i="32"/>
  <c r="AS7440" i="32"/>
  <c r="AS7441" i="32"/>
  <c r="AS7442" i="32"/>
  <c r="AS7443" i="32"/>
  <c r="AS7444" i="32"/>
  <c r="AS7445" i="32"/>
  <c r="AS7446" i="32"/>
  <c r="AS7447" i="32"/>
  <c r="AS7448" i="32"/>
  <c r="AS7449" i="32"/>
  <c r="AS7450" i="32"/>
  <c r="AS7451" i="32"/>
  <c r="AS7452" i="32"/>
  <c r="AS7453" i="32"/>
  <c r="AS7454" i="32"/>
  <c r="AS7455" i="32"/>
  <c r="AS7456" i="32"/>
  <c r="AS7457" i="32"/>
  <c r="AS7458" i="32"/>
  <c r="AS7459" i="32"/>
  <c r="AS7460" i="32"/>
  <c r="AS7461" i="32"/>
  <c r="AS7462" i="32"/>
  <c r="AS7463" i="32"/>
  <c r="AS7464" i="32"/>
  <c r="AS7465" i="32"/>
  <c r="AS7466" i="32"/>
  <c r="AS7467" i="32"/>
  <c r="AS7468" i="32"/>
  <c r="AS7469" i="32"/>
  <c r="AS7470" i="32"/>
  <c r="AS7471" i="32"/>
  <c r="AS7472" i="32"/>
  <c r="AS7473" i="32"/>
  <c r="AS7474" i="32"/>
  <c r="AS7475" i="32"/>
  <c r="AS7476" i="32"/>
  <c r="AS7477" i="32"/>
  <c r="AS7478" i="32"/>
  <c r="AS7479" i="32"/>
  <c r="AS7480" i="32"/>
  <c r="AS7481" i="32"/>
  <c r="AS7482" i="32"/>
  <c r="AS7483" i="32"/>
  <c r="AS7484" i="32"/>
  <c r="AS7485" i="32"/>
  <c r="AS7486" i="32"/>
  <c r="AS7487" i="32"/>
  <c r="AS7488" i="32"/>
  <c r="AS7489" i="32"/>
  <c r="AS7490" i="32"/>
  <c r="AS7491" i="32"/>
  <c r="AS7492" i="32"/>
  <c r="AS7493" i="32"/>
  <c r="AS7494" i="32"/>
  <c r="AS7495" i="32"/>
  <c r="AS7496" i="32"/>
  <c r="AS7497" i="32"/>
  <c r="AS7498" i="32"/>
  <c r="AS7499" i="32"/>
  <c r="AS7500" i="32"/>
  <c r="AS7501" i="32"/>
  <c r="AS7502" i="32"/>
  <c r="AS7503" i="32"/>
  <c r="AS7504" i="32"/>
  <c r="AS7505" i="32"/>
  <c r="AS7506" i="32"/>
  <c r="AS7507" i="32"/>
  <c r="AS7508" i="32"/>
  <c r="AS7509" i="32"/>
  <c r="AS7510" i="32"/>
  <c r="AS7511" i="32"/>
  <c r="AS7512" i="32"/>
  <c r="AS7513" i="32"/>
  <c r="AS7514" i="32"/>
  <c r="AS7515" i="32"/>
  <c r="AS7516" i="32"/>
  <c r="AS7517" i="32"/>
  <c r="AS7518" i="32"/>
  <c r="AS7519" i="32"/>
  <c r="AS7520" i="32"/>
  <c r="AS7521" i="32"/>
  <c r="AS7522" i="32"/>
  <c r="AS7523" i="32"/>
  <c r="AS7524" i="32"/>
  <c r="AS7525" i="32"/>
  <c r="AS7526" i="32"/>
  <c r="AS7527" i="32"/>
  <c r="AS7528" i="32"/>
  <c r="AS7529" i="32"/>
  <c r="AS7530" i="32"/>
  <c r="AS7531" i="32"/>
  <c r="AS7532" i="32"/>
  <c r="AS7533" i="32"/>
  <c r="AS7534" i="32"/>
  <c r="AS7535" i="32"/>
  <c r="AS7536" i="32"/>
  <c r="AS7537" i="32"/>
  <c r="AS7538" i="32"/>
  <c r="AS7539" i="32"/>
  <c r="AS7540" i="32"/>
  <c r="AS7541" i="32"/>
  <c r="AS7542" i="32"/>
  <c r="AS7543" i="32"/>
  <c r="AS7544" i="32"/>
  <c r="AS7545" i="32"/>
  <c r="AS7546" i="32"/>
  <c r="AS7547" i="32"/>
  <c r="AS7548" i="32"/>
  <c r="AS7549" i="32"/>
  <c r="AS7550" i="32"/>
  <c r="AS7551" i="32"/>
  <c r="AS7552" i="32"/>
  <c r="AS7553" i="32"/>
  <c r="AS7554" i="32"/>
  <c r="AS7555" i="32"/>
  <c r="AS7556" i="32"/>
  <c r="AS7557" i="32"/>
  <c r="AS7558" i="32"/>
  <c r="AS7559" i="32"/>
  <c r="AS7560" i="32"/>
  <c r="AS7561" i="32"/>
  <c r="AS7562" i="32"/>
  <c r="AS7563" i="32"/>
  <c r="AS7564" i="32"/>
  <c r="AS7565" i="32"/>
  <c r="AS7566" i="32"/>
  <c r="AS7567" i="32"/>
  <c r="AS7568" i="32"/>
  <c r="AS7569" i="32"/>
  <c r="AS7570" i="32"/>
  <c r="AS7571" i="32"/>
  <c r="AS7572" i="32"/>
  <c r="AS7573" i="32"/>
  <c r="AS7574" i="32"/>
  <c r="AS7575" i="32"/>
  <c r="AS7576" i="32"/>
  <c r="AS7577" i="32"/>
  <c r="AS7578" i="32"/>
  <c r="AS7579" i="32"/>
  <c r="AS7580" i="32"/>
  <c r="AS7581" i="32"/>
  <c r="AS7582" i="32"/>
  <c r="AS7583" i="32"/>
  <c r="AS7584" i="32"/>
  <c r="AS7585" i="32"/>
  <c r="AS7586" i="32"/>
  <c r="AS7587" i="32"/>
  <c r="AS7588" i="32"/>
  <c r="AS7589" i="32"/>
  <c r="AS7590" i="32"/>
  <c r="AS7591" i="32"/>
  <c r="AS7592" i="32"/>
  <c r="AS7593" i="32"/>
  <c r="AS7594" i="32"/>
  <c r="AS7595" i="32"/>
  <c r="AS7596" i="32"/>
  <c r="AS7597" i="32"/>
  <c r="AS7598" i="32"/>
  <c r="AS7599" i="32"/>
  <c r="AS7600" i="32"/>
  <c r="AS7601" i="32"/>
  <c r="AS7602" i="32"/>
  <c r="AS7603" i="32"/>
  <c r="AS7604" i="32"/>
  <c r="AS7605" i="32"/>
  <c r="AS7606" i="32"/>
  <c r="AS7607" i="32"/>
  <c r="AS7608" i="32"/>
  <c r="AS7609" i="32"/>
  <c r="AS7610" i="32"/>
  <c r="AS7611" i="32"/>
  <c r="AS7612" i="32"/>
  <c r="AS7613" i="32"/>
  <c r="AS7614" i="32"/>
  <c r="AS7615" i="32"/>
  <c r="AS7616" i="32"/>
  <c r="AS7617" i="32"/>
  <c r="AS7618" i="32"/>
  <c r="AS7619" i="32"/>
  <c r="AS7620" i="32"/>
  <c r="AS7621" i="32"/>
  <c r="AS7622" i="32"/>
  <c r="AS7623" i="32"/>
  <c r="AS7624" i="32"/>
  <c r="AS7625" i="32"/>
  <c r="AS7626" i="32"/>
  <c r="AS7627" i="32"/>
  <c r="AS7628" i="32"/>
  <c r="AS7629" i="32"/>
  <c r="AS7630" i="32"/>
  <c r="AS7631" i="32"/>
  <c r="AS7632" i="32"/>
  <c r="AS7633" i="32"/>
  <c r="AS7634" i="32"/>
  <c r="AS7635" i="32"/>
  <c r="AS7636" i="32"/>
  <c r="AS7637" i="32"/>
  <c r="AS7638" i="32"/>
  <c r="AS7639" i="32"/>
  <c r="AS7640" i="32"/>
  <c r="AS7641" i="32"/>
  <c r="AS7642" i="32"/>
  <c r="AS7643" i="32"/>
  <c r="AS7644" i="32"/>
  <c r="AS7645" i="32"/>
  <c r="AS7646" i="32"/>
  <c r="AS7647" i="32"/>
  <c r="AS7648" i="32"/>
  <c r="AS7649" i="32"/>
  <c r="AS7650" i="32"/>
  <c r="AS7651" i="32"/>
  <c r="AS7652" i="32"/>
  <c r="AS7653" i="32"/>
  <c r="AS7654" i="32"/>
  <c r="AS7655" i="32"/>
  <c r="AS7656" i="32"/>
  <c r="AS7657" i="32"/>
  <c r="AS7658" i="32"/>
  <c r="AS7659" i="32"/>
  <c r="AS7660" i="32"/>
  <c r="AS7661" i="32"/>
  <c r="AS7662" i="32"/>
  <c r="AS7663" i="32"/>
  <c r="AS7664" i="32"/>
  <c r="AS7665" i="32"/>
  <c r="AS7666" i="32"/>
  <c r="AS7667" i="32"/>
  <c r="AS7668" i="32"/>
  <c r="AS7669" i="32"/>
  <c r="AS7670" i="32"/>
  <c r="AS7671" i="32"/>
  <c r="AS7672" i="32"/>
  <c r="AS7673" i="32"/>
  <c r="AS7674" i="32"/>
  <c r="AS7675" i="32"/>
  <c r="AS7676" i="32"/>
  <c r="AS7677" i="32"/>
  <c r="AS7678" i="32"/>
  <c r="AS7679" i="32"/>
  <c r="AS7680" i="32"/>
  <c r="AS7681" i="32"/>
  <c r="AS7682" i="32"/>
  <c r="AS7683" i="32"/>
  <c r="AS7684" i="32"/>
  <c r="AS7685" i="32"/>
  <c r="AS7686" i="32"/>
  <c r="AS7687" i="32"/>
  <c r="AS7688" i="32"/>
  <c r="AS7689" i="32"/>
  <c r="AS7690" i="32"/>
  <c r="AS7691" i="32"/>
  <c r="AS7692" i="32"/>
  <c r="AS7693" i="32"/>
  <c r="AS7694" i="32"/>
  <c r="AS7695" i="32"/>
  <c r="AS7696" i="32"/>
  <c r="AS7697" i="32"/>
  <c r="AS7698" i="32"/>
  <c r="AS7699" i="32"/>
  <c r="AS7700" i="32"/>
  <c r="AS7701" i="32"/>
  <c r="AS7702" i="32"/>
  <c r="AS7703" i="32"/>
  <c r="AS7704" i="32"/>
  <c r="AS7705" i="32"/>
  <c r="AS7706" i="32"/>
  <c r="AS7707" i="32"/>
  <c r="AS7708" i="32"/>
  <c r="AS7709" i="32"/>
  <c r="AS7710" i="32"/>
  <c r="AS7711" i="32"/>
  <c r="AS7712" i="32"/>
  <c r="AS7713" i="32"/>
  <c r="AS7714" i="32"/>
  <c r="AS7715" i="32"/>
  <c r="AS7716" i="32"/>
  <c r="AS7717" i="32"/>
  <c r="AS7718" i="32"/>
  <c r="AS7719" i="32"/>
  <c r="AS7720" i="32"/>
  <c r="AS7721" i="32"/>
  <c r="AS7722" i="32"/>
  <c r="AS7723" i="32"/>
  <c r="AS7724" i="32"/>
  <c r="AS7725" i="32"/>
  <c r="AS7726" i="32"/>
  <c r="AS7727" i="32"/>
  <c r="AS7728" i="32"/>
  <c r="AS7729" i="32"/>
  <c r="AS7730" i="32"/>
  <c r="AS7731" i="32"/>
  <c r="AS7732" i="32"/>
  <c r="AS7733" i="32"/>
  <c r="AS7734" i="32"/>
  <c r="AS7735" i="32"/>
  <c r="AS7736" i="32"/>
  <c r="AS7737" i="32"/>
  <c r="AS7738" i="32"/>
  <c r="AS7739" i="32"/>
  <c r="AS7740" i="32"/>
  <c r="AS7741" i="32"/>
  <c r="AS7742" i="32"/>
  <c r="AS7743" i="32"/>
  <c r="AS7744" i="32"/>
  <c r="AS7745" i="32"/>
  <c r="AS7746" i="32"/>
  <c r="AS7747" i="32"/>
  <c r="AS7748" i="32"/>
  <c r="AS7749" i="32"/>
  <c r="AS7750" i="32"/>
  <c r="AS7751" i="32"/>
  <c r="AS7752" i="32"/>
  <c r="AS7753" i="32"/>
  <c r="AS7754" i="32"/>
  <c r="AS7755" i="32"/>
  <c r="AS7756" i="32"/>
  <c r="AS7757" i="32"/>
  <c r="AS7758" i="32"/>
  <c r="AS7759" i="32"/>
  <c r="AS7760" i="32"/>
  <c r="AS7761" i="32"/>
  <c r="AS7762" i="32"/>
  <c r="AS7763" i="32"/>
  <c r="AS7764" i="32"/>
  <c r="AS7765" i="32"/>
  <c r="AS7766" i="32"/>
  <c r="AS7767" i="32"/>
  <c r="AS7768" i="32"/>
  <c r="AS7769" i="32"/>
  <c r="AS7770" i="32"/>
  <c r="AS7771" i="32"/>
  <c r="AS7772" i="32"/>
  <c r="AS7773" i="32"/>
  <c r="AS7774" i="32"/>
  <c r="AS7775" i="32"/>
  <c r="AS7776" i="32"/>
  <c r="AS7777" i="32"/>
  <c r="AS7778" i="32"/>
  <c r="AS7779" i="32"/>
  <c r="AS7780" i="32"/>
  <c r="AS7781" i="32"/>
  <c r="AS7782" i="32"/>
  <c r="AS7783" i="32"/>
  <c r="AS7784" i="32"/>
  <c r="AS7785" i="32"/>
  <c r="AS7786" i="32"/>
  <c r="AS7787" i="32"/>
  <c r="AS7788" i="32"/>
  <c r="AS7789" i="32"/>
  <c r="AS7790" i="32"/>
  <c r="AS7791" i="32"/>
  <c r="AS7792" i="32"/>
  <c r="AS7793" i="32"/>
  <c r="AS7794" i="32"/>
  <c r="AS7795" i="32"/>
  <c r="AS7796" i="32"/>
  <c r="AS7797" i="32"/>
  <c r="AS7798" i="32"/>
  <c r="AS7799" i="32"/>
  <c r="AS7800" i="32"/>
  <c r="AS7801" i="32"/>
  <c r="AS7802" i="32"/>
  <c r="AS7803" i="32"/>
  <c r="AS7804" i="32"/>
  <c r="AS7805" i="32"/>
  <c r="AS7806" i="32"/>
  <c r="AS7807" i="32"/>
  <c r="AS7808" i="32"/>
  <c r="AS7809" i="32"/>
  <c r="AS7810" i="32"/>
  <c r="AS7811" i="32"/>
  <c r="AS7812" i="32"/>
  <c r="AS7813" i="32"/>
  <c r="AS7814" i="32"/>
  <c r="AS7815" i="32"/>
  <c r="AS7816" i="32"/>
  <c r="AS7817" i="32"/>
  <c r="AS7818" i="32"/>
  <c r="AS7819" i="32"/>
  <c r="AS7820" i="32"/>
  <c r="AS7821" i="32"/>
  <c r="AS7822" i="32"/>
  <c r="AS7823" i="32"/>
  <c r="AS7824" i="32"/>
  <c r="AS7825" i="32"/>
  <c r="AS7826" i="32"/>
  <c r="AS7827" i="32"/>
  <c r="AS7828" i="32"/>
  <c r="AS7829" i="32"/>
  <c r="AS7830" i="32"/>
  <c r="AS7831" i="32"/>
  <c r="AS7832" i="32"/>
  <c r="AS7833" i="32"/>
  <c r="AS7834" i="32"/>
  <c r="AS7835" i="32"/>
  <c r="AS7836" i="32"/>
  <c r="AS7837" i="32"/>
  <c r="AS7838" i="32"/>
  <c r="AS7839" i="32"/>
  <c r="AS7840" i="32"/>
  <c r="AS7841" i="32"/>
  <c r="AS7842" i="32"/>
  <c r="AS7843" i="32"/>
  <c r="AS7844" i="32"/>
  <c r="AS7845" i="32"/>
  <c r="AS7846" i="32"/>
  <c r="AS7847" i="32"/>
  <c r="AS7848" i="32"/>
  <c r="AS7849" i="32"/>
  <c r="AS7850" i="32"/>
  <c r="AS7851" i="32"/>
  <c r="AS7852" i="32"/>
  <c r="AS7853" i="32"/>
  <c r="AS7854" i="32"/>
  <c r="AS7855" i="32"/>
  <c r="AS7856" i="32"/>
  <c r="AS7857" i="32"/>
  <c r="AS7858" i="32"/>
  <c r="AS7859" i="32"/>
  <c r="AS7860" i="32"/>
  <c r="AS7861" i="32"/>
  <c r="AS7862" i="32"/>
  <c r="AS7863" i="32"/>
  <c r="AS7864" i="32"/>
  <c r="AS7865" i="32"/>
  <c r="AS7866" i="32"/>
  <c r="AS7867" i="32"/>
  <c r="AS7868" i="32"/>
  <c r="AS7869" i="32"/>
  <c r="AS7870" i="32"/>
  <c r="AS7871" i="32"/>
  <c r="AS7872" i="32"/>
  <c r="AS7873" i="32"/>
  <c r="AS7874" i="32"/>
  <c r="AS7875" i="32"/>
  <c r="AS7876" i="32"/>
  <c r="AS7877" i="32"/>
  <c r="AS7878" i="32"/>
  <c r="AS7879" i="32"/>
  <c r="AS7880" i="32"/>
  <c r="AS7881" i="32"/>
  <c r="AS7882" i="32"/>
  <c r="AS7883" i="32"/>
  <c r="AS7884" i="32"/>
  <c r="AS7885" i="32"/>
  <c r="AS7886" i="32"/>
  <c r="AS7887" i="32"/>
  <c r="AS7888" i="32"/>
  <c r="AS7889" i="32"/>
  <c r="AS7890" i="32"/>
  <c r="AS7891" i="32"/>
  <c r="AS7892" i="32"/>
  <c r="AS7893" i="32"/>
  <c r="AS7894" i="32"/>
  <c r="AS7895" i="32"/>
  <c r="AS7896" i="32"/>
  <c r="AS7897" i="32"/>
  <c r="AS7898" i="32"/>
  <c r="AS7899" i="32"/>
  <c r="AS7900" i="32"/>
  <c r="AS7901" i="32"/>
  <c r="AS7902" i="32"/>
  <c r="AS7903" i="32"/>
  <c r="AS7904" i="32"/>
  <c r="AS7905" i="32"/>
  <c r="AS7906" i="32"/>
  <c r="AS7907" i="32"/>
  <c r="AS7908" i="32"/>
  <c r="AS7909" i="32"/>
  <c r="AS7910" i="32"/>
  <c r="AS7911" i="32"/>
  <c r="AS7912" i="32"/>
  <c r="AS7913" i="32"/>
  <c r="AS7914" i="32"/>
  <c r="AS7915" i="32"/>
  <c r="AS7916" i="32"/>
  <c r="AS7917" i="32"/>
  <c r="AS7918" i="32"/>
  <c r="AS7919" i="32"/>
  <c r="AS7920" i="32"/>
  <c r="AS7921" i="32"/>
  <c r="AS7922" i="32"/>
  <c r="AS7923" i="32"/>
  <c r="AS7924" i="32"/>
  <c r="AS7925" i="32"/>
  <c r="AS7926" i="32"/>
  <c r="AS7927" i="32"/>
  <c r="AS7928" i="32"/>
  <c r="AS7929" i="32"/>
  <c r="AS7930" i="32"/>
  <c r="AS7931" i="32"/>
  <c r="AS7932" i="32"/>
  <c r="AS7933" i="32"/>
  <c r="AS7934" i="32"/>
  <c r="AS7935" i="32"/>
  <c r="AS7936" i="32"/>
  <c r="AS7937" i="32"/>
  <c r="AS7938" i="32"/>
  <c r="AS7939" i="32"/>
  <c r="AS7940" i="32"/>
  <c r="AS7941" i="32"/>
  <c r="AS7942" i="32"/>
  <c r="AS7943" i="32"/>
  <c r="AS7944" i="32"/>
  <c r="AS7945" i="32"/>
  <c r="AS7946" i="32"/>
  <c r="AS7947" i="32"/>
  <c r="AS7948" i="32"/>
  <c r="AS7949" i="32"/>
  <c r="AS7950" i="32"/>
  <c r="AS7951" i="32"/>
  <c r="AS7952" i="32"/>
  <c r="AS7953" i="32"/>
  <c r="AS7954" i="32"/>
  <c r="AS7955" i="32"/>
  <c r="AS7956" i="32"/>
  <c r="AS7957" i="32"/>
  <c r="AS7958" i="32"/>
  <c r="AS7959" i="32"/>
  <c r="AS7960" i="32"/>
  <c r="AS7961" i="32"/>
  <c r="AS7962" i="32"/>
  <c r="AS7963" i="32"/>
  <c r="AS7964" i="32"/>
  <c r="AS7965" i="32"/>
  <c r="AS7966" i="32"/>
  <c r="AS7967" i="32"/>
  <c r="AS7968" i="32"/>
  <c r="AS7969" i="32"/>
  <c r="AS7970" i="32"/>
  <c r="AS7971" i="32"/>
  <c r="AS7972" i="32"/>
  <c r="AS7973" i="32"/>
  <c r="AS7974" i="32"/>
  <c r="AS7975" i="32"/>
  <c r="AS7976" i="32"/>
  <c r="AS7977" i="32"/>
  <c r="AS7978" i="32"/>
  <c r="AS7979" i="32"/>
  <c r="AS7980" i="32"/>
  <c r="AS7981" i="32"/>
  <c r="AS7982" i="32"/>
  <c r="AS7983" i="32"/>
  <c r="AS7984" i="32"/>
  <c r="AS7985" i="32"/>
  <c r="AS7986" i="32"/>
  <c r="AS7987" i="32"/>
  <c r="AS7988" i="32"/>
  <c r="AS7989" i="32"/>
  <c r="AS7990" i="32"/>
  <c r="AS7991" i="32"/>
  <c r="AS7992" i="32"/>
  <c r="AS7993" i="32"/>
  <c r="AS7994" i="32"/>
  <c r="AS7995" i="32"/>
  <c r="AS7996" i="32"/>
  <c r="AS7997" i="32"/>
  <c r="AS7998" i="32"/>
  <c r="AS7999" i="32"/>
  <c r="AS8000" i="32"/>
  <c r="AS8001" i="32"/>
  <c r="AS8002" i="32"/>
  <c r="AS8003" i="32"/>
  <c r="AS8004" i="32"/>
  <c r="AS8005" i="32"/>
  <c r="AS8006" i="32"/>
  <c r="AS8007" i="32"/>
  <c r="AS8008" i="32"/>
  <c r="AS8009" i="32"/>
  <c r="AS8010" i="32"/>
  <c r="AS8011" i="32"/>
  <c r="AS8012" i="32"/>
  <c r="AS8013" i="32"/>
  <c r="AS8014" i="32"/>
  <c r="AS8015" i="32"/>
  <c r="AS8016" i="32"/>
  <c r="AS8017" i="32"/>
  <c r="AS8018" i="32"/>
  <c r="AS8019" i="32"/>
  <c r="AS8020" i="32"/>
  <c r="AS8021" i="32"/>
  <c r="AS8022" i="32"/>
  <c r="AS8023" i="32"/>
  <c r="AS8024" i="32"/>
  <c r="AS8025" i="32"/>
  <c r="AS8026" i="32"/>
  <c r="AS8027" i="32"/>
  <c r="AS8028" i="32"/>
  <c r="AS8029" i="32"/>
  <c r="AS8030" i="32"/>
  <c r="AS8031" i="32"/>
  <c r="AS8032" i="32"/>
  <c r="AS8033" i="32"/>
  <c r="AS8034" i="32"/>
  <c r="AS8035" i="32"/>
  <c r="AS8036" i="32"/>
  <c r="AS8037" i="32"/>
  <c r="AS8038" i="32"/>
  <c r="AS8039" i="32"/>
  <c r="AS8040" i="32"/>
  <c r="AS8041" i="32"/>
  <c r="AS8042" i="32"/>
  <c r="AS8043" i="32"/>
  <c r="AS8044" i="32"/>
  <c r="AS8045" i="32"/>
  <c r="AS8046" i="32"/>
  <c r="AS8047" i="32"/>
  <c r="AS8048" i="32"/>
  <c r="AS8049" i="32"/>
  <c r="AS8050" i="32"/>
  <c r="AS8051" i="32"/>
  <c r="AS8052" i="32"/>
  <c r="AS8053" i="32"/>
  <c r="AS8054" i="32"/>
  <c r="AS8055" i="32"/>
  <c r="AS8056" i="32"/>
  <c r="AS8057" i="32"/>
  <c r="AS8058" i="32"/>
  <c r="AS8059" i="32"/>
  <c r="AS8060" i="32"/>
  <c r="AS8061" i="32"/>
  <c r="AS8062" i="32"/>
  <c r="AS8063" i="32"/>
  <c r="AS8064" i="32"/>
  <c r="AS8065" i="32"/>
  <c r="AS8066" i="32"/>
  <c r="AS8067" i="32"/>
  <c r="AS8068" i="32"/>
  <c r="AS8069" i="32"/>
  <c r="AS8070" i="32"/>
  <c r="AS8071" i="32"/>
  <c r="AS8072" i="32"/>
  <c r="AS8073" i="32"/>
  <c r="AS8074" i="32"/>
  <c r="AS8075" i="32"/>
  <c r="AS8076" i="32"/>
  <c r="AS8077" i="32"/>
  <c r="AS8078" i="32"/>
  <c r="AS8079" i="32"/>
  <c r="AS8080" i="32"/>
  <c r="AS8081" i="32"/>
  <c r="AS8082" i="32"/>
  <c r="AS8083" i="32"/>
  <c r="AS8084" i="32"/>
  <c r="AS8085" i="32"/>
  <c r="AS8086" i="32"/>
  <c r="AS8087" i="32"/>
  <c r="AS8088" i="32"/>
  <c r="AS8089" i="32"/>
  <c r="AS8090" i="32"/>
  <c r="AS8091" i="32"/>
  <c r="AS8092" i="32"/>
  <c r="AS8093" i="32"/>
  <c r="AS8094" i="32"/>
  <c r="AS8095" i="32"/>
  <c r="AS8096" i="32"/>
  <c r="AS8097" i="32"/>
  <c r="AS8098" i="32"/>
  <c r="AS8099" i="32"/>
  <c r="AS8100" i="32"/>
  <c r="AS8101" i="32"/>
  <c r="AS8102" i="32"/>
  <c r="AS8103" i="32"/>
  <c r="AS8104" i="32"/>
  <c r="AS8105" i="32"/>
  <c r="AS8106" i="32"/>
  <c r="AS8107" i="32"/>
  <c r="AS8108" i="32"/>
  <c r="AS8109" i="32"/>
  <c r="AS8110" i="32"/>
  <c r="AS8111" i="32"/>
  <c r="AS8112" i="32"/>
  <c r="AS8113" i="32"/>
  <c r="AS8114" i="32"/>
  <c r="AS8115" i="32"/>
  <c r="AS8116" i="32"/>
  <c r="AS8117" i="32"/>
  <c r="AS8118" i="32"/>
  <c r="AS8119" i="32"/>
  <c r="AS8120" i="32"/>
  <c r="AS8121" i="32"/>
  <c r="AS8122" i="32"/>
  <c r="AS8123" i="32"/>
  <c r="AS8124" i="32"/>
  <c r="AS8125" i="32"/>
  <c r="AS8126" i="32"/>
  <c r="AS8127" i="32"/>
  <c r="AS8128" i="32"/>
  <c r="AS8129" i="32"/>
  <c r="AS8130" i="32"/>
  <c r="AS8131" i="32"/>
  <c r="AS8132" i="32"/>
  <c r="AS8133" i="32"/>
  <c r="AS8134" i="32"/>
  <c r="AS8135" i="32"/>
  <c r="AS8136" i="32"/>
  <c r="AS8137" i="32"/>
  <c r="AS8138" i="32"/>
  <c r="AS8139" i="32"/>
  <c r="AS8140" i="32"/>
  <c r="AS8141" i="32"/>
  <c r="AS8142" i="32"/>
  <c r="AS8143" i="32"/>
  <c r="AS8144" i="32"/>
  <c r="AS8145" i="32"/>
  <c r="AS8146" i="32"/>
  <c r="AS8147" i="32"/>
  <c r="AS8148" i="32"/>
  <c r="AS8149" i="32"/>
  <c r="AS8150" i="32"/>
  <c r="AS8151" i="32"/>
  <c r="AS8152" i="32"/>
  <c r="AS8153" i="32"/>
  <c r="AS8154" i="32"/>
  <c r="AS8155" i="32"/>
  <c r="AS8156" i="32"/>
  <c r="AS8157" i="32"/>
  <c r="AS8158" i="32"/>
  <c r="AS8159" i="32"/>
  <c r="AS8160" i="32"/>
  <c r="AS8161" i="32"/>
  <c r="AS8162" i="32"/>
  <c r="AS8163" i="32"/>
  <c r="AS8164" i="32"/>
  <c r="AS8165" i="32"/>
  <c r="AS8166" i="32"/>
  <c r="AS8167" i="32"/>
  <c r="AS8168" i="32"/>
  <c r="AS8169" i="32"/>
  <c r="AS8170" i="32"/>
  <c r="AS8171" i="32"/>
  <c r="AS8172" i="32"/>
  <c r="AS8173" i="32"/>
  <c r="AS8174" i="32"/>
  <c r="AS8175" i="32"/>
  <c r="AS8176" i="32"/>
  <c r="AS8177" i="32"/>
  <c r="AS8178" i="32"/>
  <c r="AS8179" i="32"/>
  <c r="AS8180" i="32"/>
  <c r="AS8181" i="32"/>
  <c r="AS8182" i="32"/>
  <c r="AS8183" i="32"/>
  <c r="AS8184" i="32"/>
  <c r="AS8185" i="32"/>
  <c r="AS8186" i="32"/>
  <c r="AS8187" i="32"/>
  <c r="AS8188" i="32"/>
  <c r="AS8189" i="32"/>
  <c r="AS8190" i="32"/>
  <c r="AS8191" i="32"/>
  <c r="AS8192" i="32"/>
  <c r="AS8193" i="32"/>
  <c r="AS8194" i="32"/>
  <c r="AS8195" i="32"/>
  <c r="AS8196" i="32"/>
  <c r="AS8197" i="32"/>
  <c r="AS8198" i="32"/>
  <c r="AS8199" i="32"/>
  <c r="AS8200" i="32"/>
  <c r="AS8201" i="32"/>
  <c r="AS8202" i="32"/>
  <c r="AS8203" i="32"/>
  <c r="AS8204" i="32"/>
  <c r="AS8205" i="32"/>
  <c r="AS8206" i="32"/>
  <c r="AS8207" i="32"/>
  <c r="AS8208" i="32"/>
  <c r="AS8209" i="32"/>
  <c r="AS8210" i="32"/>
  <c r="AS8211" i="32"/>
  <c r="AS8212" i="32"/>
  <c r="AS8213" i="32"/>
  <c r="AS8214" i="32"/>
  <c r="AS8215" i="32"/>
  <c r="AS8216" i="32"/>
  <c r="AS8217" i="32"/>
  <c r="AS8218" i="32"/>
  <c r="AS8219" i="32"/>
  <c r="AS8220" i="32"/>
  <c r="AS8221" i="32"/>
  <c r="AS8222" i="32"/>
  <c r="AS8223" i="32"/>
  <c r="AS8224" i="32"/>
  <c r="AS8225" i="32"/>
  <c r="AS8226" i="32"/>
  <c r="AS8227" i="32"/>
  <c r="AS8228" i="32"/>
  <c r="AS8229" i="32"/>
  <c r="AS8230" i="32"/>
  <c r="AS8231" i="32"/>
  <c r="AS8232" i="32"/>
  <c r="AS8233" i="32"/>
  <c r="AS8234" i="32"/>
  <c r="AS8235" i="32"/>
  <c r="AS8236" i="32"/>
  <c r="AS8237" i="32"/>
  <c r="AS8238" i="32"/>
  <c r="AS8239" i="32"/>
  <c r="AS8240" i="32"/>
  <c r="AS8241" i="32"/>
  <c r="AS8242" i="32"/>
  <c r="AS8243" i="32"/>
  <c r="AS8244" i="32"/>
  <c r="AS8245" i="32"/>
  <c r="AS8246" i="32"/>
  <c r="AS8247" i="32"/>
  <c r="AS8248" i="32"/>
  <c r="AS8249" i="32"/>
  <c r="AS8250" i="32"/>
  <c r="AS8251" i="32"/>
  <c r="AS8252" i="32"/>
  <c r="AS8253" i="32"/>
  <c r="AS8254" i="32"/>
  <c r="AS8255" i="32"/>
  <c r="AS8256" i="32"/>
  <c r="AS8257" i="32"/>
  <c r="AS8258" i="32"/>
  <c r="AS8259" i="32"/>
  <c r="AS8260" i="32"/>
  <c r="AS8261" i="32"/>
  <c r="AS8262" i="32"/>
  <c r="AS8263" i="32"/>
  <c r="AS8264" i="32"/>
  <c r="AS8265" i="32"/>
  <c r="AS8266" i="32"/>
  <c r="AS8267" i="32"/>
  <c r="AS8268" i="32"/>
  <c r="AS8269" i="32"/>
  <c r="AS8270" i="32"/>
  <c r="AS8271" i="32"/>
  <c r="AS8272" i="32"/>
  <c r="AS8273" i="32"/>
  <c r="AS8274" i="32"/>
  <c r="AS8275" i="32"/>
  <c r="AS8276" i="32"/>
  <c r="AS8277" i="32"/>
  <c r="AS8278" i="32"/>
  <c r="AS8279" i="32"/>
  <c r="AS8280" i="32"/>
  <c r="AS8281" i="32"/>
  <c r="AS8282" i="32"/>
  <c r="AS8283" i="32"/>
  <c r="AS8284" i="32"/>
  <c r="AS8285" i="32"/>
  <c r="AS8286" i="32"/>
  <c r="AS8287" i="32"/>
  <c r="AS8288" i="32"/>
  <c r="AS8289" i="32"/>
  <c r="AS8290" i="32"/>
  <c r="AS8291" i="32"/>
  <c r="AS8292" i="32"/>
  <c r="AS8293" i="32"/>
  <c r="AS8294" i="32"/>
  <c r="AS8295" i="32"/>
  <c r="AS8296" i="32"/>
  <c r="AS8297" i="32"/>
  <c r="AS8298" i="32"/>
  <c r="AS8299" i="32"/>
  <c r="AS8300" i="32"/>
  <c r="AS8301" i="32"/>
  <c r="AS8302" i="32"/>
  <c r="AS8303" i="32"/>
  <c r="AS8304" i="32"/>
  <c r="AS8305" i="32"/>
  <c r="AS8306" i="32"/>
  <c r="AS8307" i="32"/>
  <c r="AS8308" i="32"/>
  <c r="AS8309" i="32"/>
  <c r="AS8310" i="32"/>
  <c r="AS8311" i="32"/>
  <c r="AS8312" i="32"/>
  <c r="AS8313" i="32"/>
  <c r="AS8314" i="32"/>
  <c r="AS8315" i="32"/>
  <c r="AS8316" i="32"/>
  <c r="AS8317" i="32"/>
  <c r="AS8318" i="32"/>
  <c r="AS8319" i="32"/>
  <c r="AS8320" i="32"/>
  <c r="AS8321" i="32"/>
  <c r="AS8322" i="32"/>
  <c r="AS8323" i="32"/>
  <c r="AS8324" i="32"/>
  <c r="AS8325" i="32"/>
  <c r="AS8326" i="32"/>
  <c r="AS8327" i="32"/>
  <c r="AS8328" i="32"/>
  <c r="AS8329" i="32"/>
  <c r="AS8330" i="32"/>
  <c r="AS8331" i="32"/>
  <c r="AS8332" i="32"/>
  <c r="AS8333" i="32"/>
  <c r="AS8334" i="32"/>
  <c r="AS8335" i="32"/>
  <c r="AS8336" i="32"/>
  <c r="AS8337" i="32"/>
  <c r="AS8338" i="32"/>
  <c r="AS8339" i="32"/>
  <c r="AS8340" i="32"/>
  <c r="AS8341" i="32"/>
  <c r="AS8342" i="32"/>
  <c r="AS8343" i="32"/>
  <c r="AS8344" i="32"/>
  <c r="AS8345" i="32"/>
  <c r="AS8346" i="32"/>
  <c r="AS8347" i="32"/>
  <c r="AS8348" i="32"/>
  <c r="AS8349" i="32"/>
  <c r="AS8350" i="32"/>
  <c r="AS8351" i="32"/>
  <c r="AS8352" i="32"/>
  <c r="AS8353" i="32"/>
  <c r="AS8354" i="32"/>
  <c r="AS8355" i="32"/>
  <c r="AS8356" i="32"/>
  <c r="AS8357" i="32"/>
  <c r="AS8358" i="32"/>
  <c r="AS8359" i="32"/>
  <c r="AS8360" i="32"/>
  <c r="AS8361" i="32"/>
  <c r="AS8362" i="32"/>
  <c r="AS8363" i="32"/>
  <c r="AS8364" i="32"/>
  <c r="AS8365" i="32"/>
  <c r="AS8366" i="32"/>
  <c r="AS8367" i="32"/>
  <c r="AS8368" i="32"/>
  <c r="AS8369" i="32"/>
  <c r="AS8370" i="32"/>
  <c r="AS8371" i="32"/>
  <c r="AS8372" i="32"/>
  <c r="AS8373" i="32"/>
  <c r="AS8374" i="32"/>
  <c r="AS8375" i="32"/>
  <c r="AS8376" i="32"/>
  <c r="AS8377" i="32"/>
  <c r="AS8378" i="32"/>
  <c r="AS8379" i="32"/>
  <c r="AS8380" i="32"/>
  <c r="AS8381" i="32"/>
  <c r="AS8382" i="32"/>
  <c r="AS8383" i="32"/>
  <c r="AS8384" i="32"/>
  <c r="AS8385" i="32"/>
  <c r="AS8386" i="32"/>
  <c r="AS8387" i="32"/>
  <c r="AS8388" i="32"/>
  <c r="AS8389" i="32"/>
  <c r="AS8390" i="32"/>
  <c r="AS8391" i="32"/>
  <c r="AS8392" i="32"/>
  <c r="AS8393" i="32"/>
  <c r="AS8394" i="32"/>
  <c r="AS8395" i="32"/>
  <c r="AS8396" i="32"/>
  <c r="AS8397" i="32"/>
  <c r="AS8398" i="32"/>
  <c r="AS8399" i="32"/>
  <c r="AS8400" i="32"/>
  <c r="AS8401" i="32"/>
  <c r="AS8402" i="32"/>
  <c r="AS8403" i="32"/>
  <c r="AS8404" i="32"/>
  <c r="AS8405" i="32"/>
  <c r="AS8406" i="32"/>
  <c r="AS8407" i="32"/>
  <c r="AS8408" i="32"/>
  <c r="AS8409" i="32"/>
  <c r="AS8410" i="32"/>
  <c r="AS8411" i="32"/>
  <c r="AS8412" i="32"/>
  <c r="AS8413" i="32"/>
  <c r="AS8414" i="32"/>
  <c r="AS8415" i="32"/>
  <c r="AS8416" i="32"/>
  <c r="AS8417" i="32"/>
  <c r="AS8418" i="32"/>
  <c r="AS8419" i="32"/>
  <c r="AS8420" i="32"/>
  <c r="AS8421" i="32"/>
  <c r="AS8422" i="32"/>
  <c r="AS8423" i="32"/>
  <c r="AS8424" i="32"/>
  <c r="AS8425" i="32"/>
  <c r="AS8426" i="32"/>
  <c r="AS8427" i="32"/>
  <c r="AS8428" i="32"/>
  <c r="AS8429" i="32"/>
  <c r="AS8430" i="32"/>
  <c r="AS8431" i="32"/>
  <c r="AS8432" i="32"/>
  <c r="AS8433" i="32"/>
  <c r="AS8434" i="32"/>
  <c r="AS8435" i="32"/>
  <c r="AS8436" i="32"/>
  <c r="AS8437" i="32"/>
  <c r="AS8438" i="32"/>
  <c r="AS8439" i="32"/>
  <c r="AS8440" i="32"/>
  <c r="AS8441" i="32"/>
  <c r="AS8442" i="32"/>
  <c r="AS8443" i="32"/>
  <c r="AS8444" i="32"/>
  <c r="AS8445" i="32"/>
  <c r="AS8446" i="32"/>
  <c r="AS8447" i="32"/>
  <c r="AS8448" i="32"/>
  <c r="AS8449" i="32"/>
  <c r="AS8450" i="32"/>
  <c r="AS8451" i="32"/>
  <c r="AS8452" i="32"/>
  <c r="AS8453" i="32"/>
  <c r="AS8454" i="32"/>
  <c r="AS8455" i="32"/>
  <c r="AS8456" i="32"/>
  <c r="AS8457" i="32"/>
  <c r="AS8458" i="32"/>
  <c r="AS8459" i="32"/>
  <c r="AS8460" i="32"/>
  <c r="AS8461" i="32"/>
  <c r="AS8462" i="32"/>
  <c r="AS8463" i="32"/>
  <c r="AS8464" i="32"/>
  <c r="AS8465" i="32"/>
  <c r="AS8466" i="32"/>
  <c r="AS8467" i="32"/>
  <c r="AS8468" i="32"/>
  <c r="AS8469" i="32"/>
  <c r="AS8470" i="32"/>
  <c r="AS8471" i="32"/>
  <c r="AS8472" i="32"/>
  <c r="AS8473" i="32"/>
  <c r="AS8474" i="32"/>
  <c r="AS8475" i="32"/>
  <c r="AS8476" i="32"/>
  <c r="AS8477" i="32"/>
  <c r="AS8478" i="32"/>
  <c r="AS8479" i="32"/>
  <c r="AS8480" i="32"/>
  <c r="AS8481" i="32"/>
  <c r="AS8482" i="32"/>
  <c r="AS8483" i="32"/>
  <c r="AS8484" i="32"/>
  <c r="AS8485" i="32"/>
  <c r="AS8486" i="32"/>
  <c r="AS8487" i="32"/>
  <c r="AS8488" i="32"/>
  <c r="AS8489" i="32"/>
  <c r="AS8490" i="32"/>
  <c r="AS8491" i="32"/>
  <c r="AS8492" i="32"/>
  <c r="AS8493" i="32"/>
  <c r="AS8494" i="32"/>
  <c r="AS8495" i="32"/>
  <c r="AS8496" i="32"/>
  <c r="AS8497" i="32"/>
  <c r="AS8498" i="32"/>
  <c r="AS8499" i="32"/>
  <c r="AS8500" i="32"/>
  <c r="AS8501" i="32"/>
  <c r="AS8502" i="32"/>
  <c r="AS8503" i="32"/>
  <c r="AS8504" i="32"/>
  <c r="AS8505" i="32"/>
  <c r="AS8506" i="32"/>
  <c r="AS8507" i="32"/>
  <c r="AS8508" i="32"/>
  <c r="AS8509" i="32"/>
  <c r="AS8510" i="32"/>
  <c r="AS8511" i="32"/>
  <c r="AS8512" i="32"/>
  <c r="AS8513" i="32"/>
  <c r="AS8514" i="32"/>
  <c r="AS8515" i="32"/>
  <c r="AS8516" i="32"/>
  <c r="AS8517" i="32"/>
  <c r="AS8518" i="32"/>
  <c r="AS8519" i="32"/>
  <c r="AS8520" i="32"/>
  <c r="AS8521" i="32"/>
  <c r="AS8522" i="32"/>
  <c r="AS8523" i="32"/>
  <c r="AS8524" i="32"/>
  <c r="AS8525" i="32"/>
  <c r="AS8526" i="32"/>
  <c r="AS8527" i="32"/>
  <c r="AS8528" i="32"/>
  <c r="AS8529" i="32"/>
  <c r="AS8530" i="32"/>
  <c r="AS8531" i="32"/>
  <c r="AS8532" i="32"/>
  <c r="AS8533" i="32"/>
  <c r="AS8534" i="32"/>
  <c r="AS8535" i="32"/>
  <c r="AS8536" i="32"/>
  <c r="AS8537" i="32"/>
  <c r="AS8538" i="32"/>
  <c r="AS8539" i="32"/>
  <c r="AS8540" i="32"/>
  <c r="AS8541" i="32"/>
  <c r="AS8542" i="32"/>
  <c r="AS8543" i="32"/>
  <c r="AS8544" i="32"/>
  <c r="AS8545" i="32"/>
  <c r="AS8546" i="32"/>
  <c r="AS8547" i="32"/>
  <c r="AS8548" i="32"/>
  <c r="AS8549" i="32"/>
  <c r="AS8550" i="32"/>
  <c r="AS8551" i="32"/>
  <c r="AS8552" i="32"/>
  <c r="AS8553" i="32"/>
  <c r="AS8554" i="32"/>
  <c r="AS8555" i="32"/>
  <c r="AS8556" i="32"/>
  <c r="AS8557" i="32"/>
  <c r="AS8558" i="32"/>
  <c r="AS8559" i="32"/>
  <c r="AS8560" i="32"/>
  <c r="AS8561" i="32"/>
  <c r="AS8562" i="32"/>
  <c r="AS8563" i="32"/>
  <c r="AS8564" i="32"/>
  <c r="AS8565" i="32"/>
  <c r="AS8566" i="32"/>
  <c r="AS8567" i="32"/>
  <c r="AS8568" i="32"/>
  <c r="AS8569" i="32"/>
  <c r="AS8570" i="32"/>
  <c r="AS8571" i="32"/>
  <c r="AS8572" i="32"/>
  <c r="AS8573" i="32"/>
  <c r="AS8574" i="32"/>
  <c r="AS8575" i="32"/>
  <c r="AS8576" i="32"/>
  <c r="AS8577" i="32"/>
  <c r="AS8578" i="32"/>
  <c r="AS8579" i="32"/>
  <c r="AS8580" i="32"/>
  <c r="AS8581" i="32"/>
  <c r="AS8582" i="32"/>
  <c r="AS8583" i="32"/>
  <c r="AS8584" i="32"/>
  <c r="AS8585" i="32"/>
  <c r="AS8586" i="32"/>
  <c r="AS8587" i="32"/>
  <c r="AS8588" i="32"/>
  <c r="AS8589" i="32"/>
  <c r="AS8590" i="32"/>
  <c r="AS8591" i="32"/>
  <c r="AS8592" i="32"/>
  <c r="AS8593" i="32"/>
  <c r="AS8594" i="32"/>
  <c r="AS8595" i="32"/>
  <c r="AS8596" i="32"/>
  <c r="AS8597" i="32"/>
  <c r="AS8598" i="32"/>
  <c r="AS8599" i="32"/>
  <c r="AS8600" i="32"/>
  <c r="AS8601" i="32"/>
  <c r="AS8602" i="32"/>
  <c r="AS8603" i="32"/>
  <c r="AS8604" i="32"/>
  <c r="AS8605" i="32"/>
  <c r="AS8606" i="32"/>
  <c r="AS8607" i="32"/>
  <c r="AS8608" i="32"/>
  <c r="AS8609" i="32"/>
  <c r="AS8610" i="32"/>
  <c r="AS8611" i="32"/>
  <c r="AS8612" i="32"/>
  <c r="AS8613" i="32"/>
  <c r="AS8614" i="32"/>
  <c r="AS8615" i="32"/>
  <c r="AS8616" i="32"/>
  <c r="AS8617" i="32"/>
  <c r="AS8618" i="32"/>
  <c r="AS8619" i="32"/>
  <c r="AS8620" i="32"/>
  <c r="AS8621" i="32"/>
  <c r="AS8622" i="32"/>
  <c r="AS8623" i="32"/>
  <c r="AS8624" i="32"/>
  <c r="AS8625" i="32"/>
  <c r="AS8626" i="32"/>
  <c r="AS8627" i="32"/>
  <c r="AS8628" i="32"/>
  <c r="AS8629" i="32"/>
  <c r="AS8630" i="32"/>
  <c r="AS8631" i="32"/>
  <c r="AS8632" i="32"/>
  <c r="AS8633" i="32"/>
  <c r="AS8634" i="32"/>
  <c r="AS8635" i="32"/>
  <c r="AS8636" i="32"/>
  <c r="AS8637" i="32"/>
  <c r="AS8638" i="32"/>
  <c r="AS8639" i="32"/>
  <c r="AS8640" i="32"/>
  <c r="AS8641" i="32"/>
  <c r="AS8642" i="32"/>
  <c r="AS8643" i="32"/>
  <c r="AS8644" i="32"/>
  <c r="AS8645" i="32"/>
  <c r="AS8646" i="32"/>
  <c r="AS8647" i="32"/>
  <c r="AS8648" i="32"/>
  <c r="AS8649" i="32"/>
  <c r="AS8650" i="32"/>
  <c r="AS8651" i="32"/>
  <c r="AS8652" i="32"/>
  <c r="AS8653" i="32"/>
  <c r="AS8654" i="32"/>
  <c r="AS8655" i="32"/>
  <c r="AS8656" i="32"/>
  <c r="AS8657" i="32"/>
  <c r="AS8658" i="32"/>
  <c r="AS8659" i="32"/>
  <c r="AS8660" i="32"/>
  <c r="AS8661" i="32"/>
  <c r="AS8662" i="32"/>
  <c r="AS8663" i="32"/>
  <c r="AS8664" i="32"/>
  <c r="AS8665" i="32"/>
  <c r="AS8666" i="32"/>
  <c r="AS8667" i="32"/>
  <c r="AS8668" i="32"/>
  <c r="AS8669" i="32"/>
  <c r="AS8670" i="32"/>
  <c r="AS8671" i="32"/>
  <c r="AS8672" i="32"/>
  <c r="AS8673" i="32"/>
  <c r="AS8674" i="32"/>
  <c r="AS8675" i="32"/>
  <c r="AS8676" i="32"/>
  <c r="AS8677" i="32"/>
  <c r="AS8678" i="32"/>
  <c r="AS8679" i="32"/>
  <c r="AS8680" i="32"/>
  <c r="AS8681" i="32"/>
  <c r="AS8682" i="32"/>
  <c r="AS8683" i="32"/>
  <c r="AS8684" i="32"/>
  <c r="AS8685" i="32"/>
  <c r="AS8686" i="32"/>
  <c r="AS8687" i="32"/>
  <c r="AS8688" i="32"/>
  <c r="AS8689" i="32"/>
  <c r="AS8690" i="32"/>
  <c r="AS8691" i="32"/>
  <c r="AS8692" i="32"/>
  <c r="AS8693" i="32"/>
  <c r="AS8694" i="32"/>
  <c r="AS8695" i="32"/>
  <c r="AS8696" i="32"/>
  <c r="AS8697" i="32"/>
  <c r="AS8698" i="32"/>
  <c r="AS8699" i="32"/>
  <c r="AS8700" i="32"/>
  <c r="AS8701" i="32"/>
  <c r="AS8702" i="32"/>
  <c r="AS8703" i="32"/>
  <c r="AS8704" i="32"/>
  <c r="AS8705" i="32"/>
  <c r="AS8706" i="32"/>
  <c r="AS8707" i="32"/>
  <c r="AS8708" i="32"/>
  <c r="AS8709" i="32"/>
  <c r="AS8710" i="32"/>
  <c r="AS8711" i="32"/>
  <c r="AS8712" i="32"/>
  <c r="AS8713" i="32"/>
  <c r="AS8714" i="32"/>
  <c r="AS8715" i="32"/>
  <c r="AS8716" i="32"/>
  <c r="AS8717" i="32"/>
  <c r="AS8718" i="32"/>
  <c r="AS8719" i="32"/>
  <c r="AS8720" i="32"/>
  <c r="AS8721" i="32"/>
  <c r="AS8722" i="32"/>
  <c r="AS8723" i="32"/>
  <c r="AS8724" i="32"/>
  <c r="AS8725" i="32"/>
  <c r="AS8726" i="32"/>
  <c r="AS8727" i="32"/>
  <c r="AS8728" i="32"/>
  <c r="AS8729" i="32"/>
  <c r="AS8730" i="32"/>
  <c r="AS8731" i="32"/>
  <c r="AS8732" i="32"/>
  <c r="AS8733" i="32"/>
  <c r="AS8734" i="32"/>
  <c r="AS8735" i="32"/>
  <c r="AS8736" i="32"/>
  <c r="AS8737" i="32"/>
  <c r="AS8738" i="32"/>
  <c r="AS8739" i="32"/>
  <c r="AS8740" i="32"/>
  <c r="AS8741" i="32"/>
  <c r="AS8742" i="32"/>
  <c r="AS8743" i="32"/>
  <c r="AS8744" i="32"/>
  <c r="AS8745" i="32"/>
  <c r="AS8746" i="32"/>
  <c r="AS8747" i="32"/>
  <c r="AS8748" i="32"/>
  <c r="AS8749" i="32"/>
  <c r="AS8750" i="32"/>
  <c r="AS8751" i="32"/>
  <c r="AS8752" i="32"/>
  <c r="AS8753" i="32"/>
  <c r="AS8754" i="32"/>
  <c r="AS8755" i="32"/>
  <c r="AS8756" i="32"/>
  <c r="AS8757" i="32"/>
  <c r="AS8758" i="32"/>
  <c r="AS8759" i="32"/>
  <c r="AS8760" i="32"/>
  <c r="AS8761" i="32"/>
  <c r="AS8762" i="32"/>
  <c r="AS8763" i="32"/>
  <c r="AS8764" i="32"/>
  <c r="AS8765" i="32"/>
  <c r="AS8766" i="32"/>
  <c r="AS8767" i="32"/>
  <c r="AS8768" i="32"/>
  <c r="AS8769" i="32"/>
  <c r="AS8770" i="32"/>
  <c r="AS8771" i="32"/>
  <c r="AS8772" i="32"/>
  <c r="AS8773" i="32"/>
  <c r="AS8774" i="32"/>
  <c r="AS8775" i="32"/>
  <c r="AS8776" i="32"/>
  <c r="AS8777" i="32"/>
  <c r="AS8778" i="32"/>
  <c r="AS8779" i="32"/>
  <c r="AS8780" i="32"/>
  <c r="AS8781" i="32"/>
  <c r="AS8782" i="32"/>
  <c r="AS8783" i="32"/>
  <c r="AS8784" i="32"/>
  <c r="AS8785" i="32"/>
  <c r="AS8786" i="32"/>
  <c r="AS8787" i="32"/>
  <c r="AS8788" i="32"/>
  <c r="AS8789" i="32"/>
  <c r="AS8790" i="32"/>
  <c r="AS8791" i="32"/>
  <c r="AS8792" i="32"/>
  <c r="AS8793" i="32"/>
  <c r="AS8794" i="32"/>
  <c r="AS8795" i="32"/>
  <c r="AS8796" i="32"/>
  <c r="AS8797" i="32"/>
  <c r="AS8798" i="32"/>
  <c r="AS8799" i="32"/>
  <c r="AS8800" i="32"/>
  <c r="AS8801" i="32"/>
  <c r="AS8802" i="32"/>
  <c r="AS8803" i="32"/>
  <c r="AS8804" i="32"/>
  <c r="AS8805" i="32"/>
  <c r="AS8806" i="32"/>
  <c r="AS8807" i="32"/>
  <c r="AS8808" i="32"/>
  <c r="AS8809" i="32"/>
  <c r="AS8810" i="32"/>
  <c r="AS8811" i="32"/>
  <c r="AS8812" i="32"/>
  <c r="AS8813" i="32"/>
  <c r="AS8814" i="32"/>
  <c r="AS8815" i="32"/>
  <c r="AS8816" i="32"/>
  <c r="AS8817" i="32"/>
  <c r="AS8818" i="32"/>
  <c r="AS8819" i="32"/>
  <c r="AS8820" i="32"/>
  <c r="AS8821" i="32"/>
  <c r="AS8822" i="32"/>
  <c r="AS8823" i="32"/>
  <c r="AS8824" i="32"/>
  <c r="AS8825" i="32"/>
  <c r="AS8826" i="32"/>
  <c r="AS8827" i="32"/>
  <c r="AS8828" i="32"/>
  <c r="AS8829" i="32"/>
  <c r="AS8830" i="32"/>
  <c r="AS8831" i="32"/>
  <c r="AS8832" i="32"/>
  <c r="AS8833" i="32"/>
  <c r="AS8834" i="32"/>
  <c r="AS8835" i="32"/>
  <c r="AS8836" i="32"/>
  <c r="AS8837" i="32"/>
  <c r="AS8838" i="32"/>
  <c r="AS8839" i="32"/>
  <c r="AS8840" i="32"/>
  <c r="AS8841" i="32"/>
  <c r="AS8842" i="32"/>
  <c r="AS8843" i="32"/>
  <c r="AS8844" i="32"/>
  <c r="AS8845" i="32"/>
  <c r="AS8846" i="32"/>
  <c r="AS8847" i="32"/>
  <c r="AS8848" i="32"/>
  <c r="AS8849" i="32"/>
  <c r="AS8850" i="32"/>
  <c r="AS8851" i="32"/>
  <c r="AS8852" i="32"/>
  <c r="AS8853" i="32"/>
  <c r="AS8854" i="32"/>
  <c r="AS8855" i="32"/>
  <c r="AS8856" i="32"/>
  <c r="AS8857" i="32"/>
  <c r="AS8858" i="32"/>
  <c r="AS8859" i="32"/>
  <c r="AS8860" i="32"/>
  <c r="AS8861" i="32"/>
  <c r="AS8862" i="32"/>
  <c r="AS8863" i="32"/>
  <c r="AS8864" i="32"/>
  <c r="AS8865" i="32"/>
  <c r="AS8866" i="32"/>
  <c r="AS8867" i="32"/>
  <c r="AS8868" i="32"/>
  <c r="AS8869" i="32"/>
  <c r="AS8870" i="32"/>
  <c r="AS8871" i="32"/>
  <c r="AS8872" i="32"/>
  <c r="AS8873" i="32"/>
  <c r="AS8874" i="32"/>
  <c r="AS8875" i="32"/>
  <c r="AS8876" i="32"/>
  <c r="AS8877" i="32"/>
  <c r="AS8878" i="32"/>
  <c r="AS8879" i="32"/>
  <c r="AS8880" i="32"/>
  <c r="AS8881" i="32"/>
  <c r="AS8882" i="32"/>
  <c r="AS8883" i="32"/>
  <c r="AS8884" i="32"/>
  <c r="AS8885" i="32"/>
  <c r="AS8886" i="32"/>
  <c r="AS8887" i="32"/>
  <c r="AS8888" i="32"/>
  <c r="AS8889" i="32"/>
  <c r="AS8890" i="32"/>
  <c r="AS8891" i="32"/>
  <c r="AS8892" i="32"/>
  <c r="AS8893" i="32"/>
  <c r="AS8894" i="32"/>
  <c r="AS8895" i="32"/>
  <c r="AS8896" i="32"/>
  <c r="AS8897" i="32"/>
  <c r="AS8898" i="32"/>
  <c r="AS8899" i="32"/>
  <c r="AS8900" i="32"/>
  <c r="AS8901" i="32"/>
  <c r="AS8902" i="32"/>
  <c r="AS8903" i="32"/>
  <c r="AS8904" i="32"/>
  <c r="AS8905" i="32"/>
  <c r="AS8906" i="32"/>
  <c r="AS8907" i="32"/>
  <c r="AS8908" i="32"/>
  <c r="AS8909" i="32"/>
  <c r="AS8910" i="32"/>
  <c r="AS8911" i="32"/>
  <c r="AS8912" i="32"/>
  <c r="AS8913" i="32"/>
  <c r="AS8914" i="32"/>
  <c r="AS8915" i="32"/>
  <c r="AS8916" i="32"/>
  <c r="AS8917" i="32"/>
  <c r="AS8918" i="32"/>
  <c r="AS8919" i="32"/>
  <c r="AS8920" i="32"/>
  <c r="AS8921" i="32"/>
  <c r="AS8922" i="32"/>
  <c r="AS8923" i="32"/>
  <c r="AS8924" i="32"/>
  <c r="AS8925" i="32"/>
  <c r="AS8926" i="32"/>
  <c r="AS8927" i="32"/>
  <c r="AS8928" i="32"/>
  <c r="AS8929" i="32"/>
  <c r="AS8930" i="32"/>
  <c r="AS8931" i="32"/>
  <c r="AS8932" i="32"/>
  <c r="AS8933" i="32"/>
  <c r="AS8934" i="32"/>
  <c r="AS8935" i="32"/>
  <c r="AS8936" i="32"/>
  <c r="AS8937" i="32"/>
  <c r="AS8938" i="32"/>
  <c r="AS8939" i="32"/>
  <c r="AS8940" i="32"/>
  <c r="AS8941" i="32"/>
  <c r="AS8942" i="32"/>
  <c r="AS8943" i="32"/>
  <c r="AS8944" i="32"/>
  <c r="AS8945" i="32"/>
  <c r="AS8946" i="32"/>
  <c r="AS8947" i="32"/>
  <c r="AS8948" i="32"/>
  <c r="AS8949" i="32"/>
  <c r="AS8950" i="32"/>
  <c r="AS8951" i="32"/>
  <c r="AS8952" i="32"/>
  <c r="AS8953" i="32"/>
  <c r="AS8954" i="32"/>
  <c r="AS8955" i="32"/>
  <c r="AS8956" i="32"/>
  <c r="AS8957" i="32"/>
  <c r="AS8958" i="32"/>
  <c r="AS8959" i="32"/>
  <c r="AS8960" i="32"/>
  <c r="AS8961" i="32"/>
  <c r="AS8962" i="32"/>
  <c r="AS8963" i="32"/>
  <c r="AS8964" i="32"/>
  <c r="AS8965" i="32"/>
  <c r="AS8966" i="32"/>
  <c r="AS8967" i="32"/>
  <c r="AS8968" i="32"/>
  <c r="AS8969" i="32"/>
  <c r="AS8970" i="32"/>
  <c r="AS8971" i="32"/>
  <c r="AS8972" i="32"/>
  <c r="AS8973" i="32"/>
  <c r="AS8974" i="32"/>
  <c r="AS8975" i="32"/>
  <c r="AS8976" i="32"/>
  <c r="AS8977" i="32"/>
  <c r="AS8978" i="32"/>
  <c r="AS8979" i="32"/>
  <c r="AS8980" i="32"/>
  <c r="AS8981" i="32"/>
  <c r="AS8982" i="32"/>
  <c r="AS8983" i="32"/>
  <c r="AS8984" i="32"/>
  <c r="AS8985" i="32"/>
  <c r="AS8986" i="32"/>
  <c r="AS8987" i="32"/>
  <c r="AS8988" i="32"/>
  <c r="AS8989" i="32"/>
  <c r="AS8990" i="32"/>
  <c r="AS8991" i="32"/>
  <c r="AS8992" i="32"/>
  <c r="AS8993" i="32"/>
  <c r="AS8994" i="32"/>
  <c r="AS8995" i="32"/>
  <c r="AS8996" i="32"/>
  <c r="AS8997" i="32"/>
  <c r="AS8998" i="32"/>
  <c r="AS8999" i="32"/>
  <c r="AS9000" i="32"/>
  <c r="AS9001" i="32"/>
  <c r="AS9002" i="32"/>
  <c r="AS9003" i="32"/>
  <c r="AS9004" i="32"/>
  <c r="AS9005" i="32"/>
  <c r="AS9006" i="32"/>
  <c r="AS9007" i="32"/>
  <c r="AS9008" i="32"/>
  <c r="AS9009" i="32"/>
  <c r="AS9010" i="32"/>
  <c r="AS9011" i="32"/>
  <c r="AS9012" i="32"/>
  <c r="AS9013" i="32"/>
  <c r="AS9014" i="32"/>
  <c r="AS9015" i="32"/>
  <c r="AS9016" i="32"/>
  <c r="AS9017" i="32"/>
  <c r="AS9018" i="32"/>
  <c r="AS9019" i="32"/>
  <c r="AS9020" i="32"/>
  <c r="AS9021" i="32"/>
  <c r="AS9022" i="32"/>
  <c r="AS9023" i="32"/>
  <c r="AS9024" i="32"/>
  <c r="AS9025" i="32"/>
  <c r="AS9026" i="32"/>
  <c r="AS9027" i="32"/>
  <c r="AS9028" i="32"/>
  <c r="AS9029" i="32"/>
  <c r="AS9030" i="32"/>
  <c r="AS9031" i="32"/>
  <c r="AS9032" i="32"/>
  <c r="AS9033" i="32"/>
  <c r="AS9034" i="32"/>
  <c r="AS9035" i="32"/>
  <c r="AS9036" i="32"/>
  <c r="AS9037" i="32"/>
  <c r="AS9038" i="32"/>
  <c r="AS9039" i="32"/>
  <c r="AS9040" i="32"/>
  <c r="AS9041" i="32"/>
  <c r="AS9042" i="32"/>
  <c r="AS9043" i="32"/>
  <c r="AS9044" i="32"/>
  <c r="AS9045" i="32"/>
  <c r="AS9046" i="32"/>
  <c r="AS9047" i="32"/>
  <c r="AS9048" i="32"/>
  <c r="AS9049" i="32"/>
  <c r="AS9050" i="32"/>
  <c r="AS9051" i="32"/>
  <c r="AS9052" i="32"/>
  <c r="AS9053" i="32"/>
  <c r="AS9054" i="32"/>
  <c r="AS9055" i="32"/>
  <c r="AS9056" i="32"/>
  <c r="AS9057" i="32"/>
  <c r="AS9058" i="32"/>
  <c r="AS9059" i="32"/>
  <c r="AS9060" i="32"/>
  <c r="AS9061" i="32"/>
  <c r="AS9062" i="32"/>
  <c r="AS9063" i="32"/>
  <c r="AS9064" i="32"/>
  <c r="AS9065" i="32"/>
  <c r="AS9066" i="32"/>
  <c r="AS9067" i="32"/>
  <c r="AS9068" i="32"/>
  <c r="AS9069" i="32"/>
  <c r="AS9070" i="32"/>
  <c r="AS9071" i="32"/>
  <c r="AS9072" i="32"/>
  <c r="AS9073" i="32"/>
  <c r="AS9074" i="32"/>
  <c r="AS9075" i="32"/>
  <c r="AS9076" i="32"/>
  <c r="AS9077" i="32"/>
  <c r="AS9078" i="32"/>
  <c r="AS9079" i="32"/>
  <c r="AS9080" i="32"/>
  <c r="AS9081" i="32"/>
  <c r="AS9082" i="32"/>
  <c r="AS9083" i="32"/>
  <c r="AS9084" i="32"/>
  <c r="AS9085" i="32"/>
  <c r="AS9086" i="32"/>
  <c r="AS9087" i="32"/>
  <c r="AS9088" i="32"/>
  <c r="AS9089" i="32"/>
  <c r="AS9090" i="32"/>
  <c r="AS9091" i="32"/>
  <c r="AS9092" i="32"/>
  <c r="AS9093" i="32"/>
  <c r="AS9094" i="32"/>
  <c r="AS9095" i="32"/>
  <c r="AS9096" i="32"/>
  <c r="AS9097" i="32"/>
  <c r="AS9098" i="32"/>
  <c r="AS9099" i="32"/>
  <c r="AS9100" i="32"/>
  <c r="AS9101" i="32"/>
  <c r="AS9102" i="32"/>
  <c r="AS9103" i="32"/>
  <c r="AS9104" i="32"/>
  <c r="AS9105" i="32"/>
  <c r="AS9106" i="32"/>
  <c r="AS9107" i="32"/>
  <c r="AS9108" i="32"/>
  <c r="AS9109" i="32"/>
  <c r="AS9110" i="32"/>
  <c r="AS9111" i="32"/>
  <c r="AS9112" i="32"/>
  <c r="AS9113" i="32"/>
  <c r="AS9114" i="32"/>
  <c r="AS9115" i="32"/>
  <c r="AS9116" i="32"/>
  <c r="AS9117" i="32"/>
  <c r="AS9118" i="32"/>
  <c r="AS9119" i="32"/>
  <c r="AS9120" i="32"/>
  <c r="AS9121" i="32"/>
  <c r="AS9122" i="32"/>
  <c r="AS9123" i="32"/>
  <c r="AS9124" i="32"/>
  <c r="AS9125" i="32"/>
  <c r="AS9126" i="32"/>
  <c r="AS9127" i="32"/>
  <c r="AS9128" i="32"/>
  <c r="AS9129" i="32"/>
  <c r="AS9130" i="32"/>
  <c r="AS9131" i="32"/>
  <c r="AS9132" i="32"/>
  <c r="AS9133" i="32"/>
  <c r="AS9134" i="32"/>
  <c r="AS9135" i="32"/>
  <c r="AS9136" i="32"/>
  <c r="AS9137" i="32"/>
  <c r="AS9138" i="32"/>
  <c r="AS9139" i="32"/>
  <c r="AS9140" i="32"/>
  <c r="AS9141" i="32"/>
  <c r="AS9142" i="32"/>
  <c r="AS9143" i="32"/>
  <c r="AS9144" i="32"/>
  <c r="AS9145" i="32"/>
  <c r="AS9146" i="32"/>
  <c r="AS9147" i="32"/>
  <c r="AS9148" i="32"/>
  <c r="AS9149" i="32"/>
  <c r="AS9150" i="32"/>
  <c r="AS9151" i="32"/>
  <c r="AS9152" i="32"/>
  <c r="AS9153" i="32"/>
  <c r="AS9154" i="32"/>
  <c r="AS9155" i="32"/>
  <c r="AS9156" i="32"/>
  <c r="AS9157" i="32"/>
  <c r="AS9158" i="32"/>
  <c r="AS9159" i="32"/>
  <c r="AS9160" i="32"/>
  <c r="AS9161" i="32"/>
  <c r="AS9162" i="32"/>
  <c r="AS9163" i="32"/>
  <c r="AS9164" i="32"/>
  <c r="AS9165" i="32"/>
  <c r="AS9166" i="32"/>
  <c r="AS9167" i="32"/>
  <c r="AS9168" i="32"/>
  <c r="AS9169" i="32"/>
  <c r="AS9170" i="32"/>
  <c r="AS9171" i="32"/>
  <c r="AS9172" i="32"/>
  <c r="AS9173" i="32"/>
  <c r="AS9174" i="32"/>
  <c r="AS9175" i="32"/>
  <c r="AS9176" i="32"/>
  <c r="AS9177" i="32"/>
  <c r="AS9178" i="32"/>
  <c r="AS9179" i="32"/>
  <c r="AS9180" i="32"/>
  <c r="AS9181" i="32"/>
  <c r="AS9182" i="32"/>
  <c r="AS9183" i="32"/>
  <c r="AS9184" i="32"/>
  <c r="AS9185" i="32"/>
  <c r="AS9186" i="32"/>
  <c r="AS9187" i="32"/>
  <c r="AS9188" i="32"/>
  <c r="AS9189" i="32"/>
  <c r="AS9190" i="32"/>
  <c r="AS9191" i="32"/>
  <c r="AS9192" i="32"/>
  <c r="AS9193" i="32"/>
  <c r="AS9194" i="32"/>
  <c r="AS9195" i="32"/>
  <c r="AS9196" i="32"/>
  <c r="AS9197" i="32"/>
  <c r="AS9198" i="32"/>
  <c r="AS9199" i="32"/>
  <c r="AS9200" i="32"/>
  <c r="AS9201" i="32"/>
  <c r="AS9202" i="32"/>
  <c r="AS9203" i="32"/>
  <c r="AS9204" i="32"/>
  <c r="AS9205" i="32"/>
  <c r="AS9206" i="32"/>
  <c r="AS9207" i="32"/>
  <c r="AS9208" i="32"/>
  <c r="AS9209" i="32"/>
  <c r="AS9210" i="32"/>
  <c r="AS9211" i="32"/>
  <c r="AS9212" i="32"/>
  <c r="AS9213" i="32"/>
  <c r="AS9214" i="32"/>
  <c r="AS9215" i="32"/>
  <c r="AS9216" i="32"/>
  <c r="AS9217" i="32"/>
  <c r="AS9218" i="32"/>
  <c r="AS9219" i="32"/>
  <c r="AS9220" i="32"/>
  <c r="AS9221" i="32"/>
  <c r="AS9222" i="32"/>
  <c r="AS9223" i="32"/>
  <c r="AS9224" i="32"/>
  <c r="AS9225" i="32"/>
  <c r="AS9226" i="32"/>
  <c r="AS9227" i="32"/>
  <c r="AS9228" i="32"/>
  <c r="AS9229" i="32"/>
  <c r="AS9230" i="32"/>
  <c r="AS9231" i="32"/>
  <c r="AS9232" i="32"/>
  <c r="AS9233" i="32"/>
  <c r="AS9234" i="32"/>
  <c r="AS9235" i="32"/>
  <c r="AS9236" i="32"/>
  <c r="AS9237" i="32"/>
  <c r="AS9238" i="32"/>
  <c r="AS9239" i="32"/>
  <c r="AS9240" i="32"/>
  <c r="AS9241" i="32"/>
  <c r="AS9242" i="32"/>
  <c r="AS9243" i="32"/>
  <c r="AS9244" i="32"/>
  <c r="AS9245" i="32"/>
  <c r="AS9246" i="32"/>
  <c r="AS9247" i="32"/>
  <c r="AS9248" i="32"/>
  <c r="AS9249" i="32"/>
  <c r="AS9250" i="32"/>
  <c r="AS9251" i="32"/>
  <c r="AS9252" i="32"/>
  <c r="AS9253" i="32"/>
  <c r="AS9254" i="32"/>
  <c r="AS9255" i="32"/>
  <c r="AS9256" i="32"/>
  <c r="AS9257" i="32"/>
  <c r="AS9258" i="32"/>
  <c r="AS9259" i="32"/>
  <c r="AS9260" i="32"/>
  <c r="AS9261" i="32"/>
  <c r="AS9262" i="32"/>
  <c r="AS9263" i="32"/>
  <c r="AS9264" i="32"/>
  <c r="AS9265" i="32"/>
  <c r="AS9266" i="32"/>
  <c r="AS9267" i="32"/>
  <c r="AS9268" i="32"/>
  <c r="AS9269" i="32"/>
  <c r="AS9270" i="32"/>
  <c r="AS9271" i="32"/>
  <c r="AS9272" i="32"/>
  <c r="AS9273" i="32"/>
  <c r="AS9274" i="32"/>
  <c r="AS9275" i="32"/>
  <c r="AS9276" i="32"/>
  <c r="AS9277" i="32"/>
  <c r="AS9278" i="32"/>
  <c r="AS9279" i="32"/>
  <c r="AS9280" i="32"/>
  <c r="AS9281" i="32"/>
  <c r="AS9282" i="32"/>
  <c r="AS9283" i="32"/>
  <c r="AS9284" i="32"/>
  <c r="AS9285" i="32"/>
  <c r="AS9286" i="32"/>
  <c r="AS9287" i="32"/>
  <c r="AS9288" i="32"/>
  <c r="AS9289" i="32"/>
  <c r="AS9290" i="32"/>
  <c r="AS9291" i="32"/>
  <c r="AS9292" i="32"/>
  <c r="AS9293" i="32"/>
  <c r="AS9294" i="32"/>
  <c r="AS9295" i="32"/>
  <c r="AS9296" i="32"/>
  <c r="AS9297" i="32"/>
  <c r="AS9298" i="32"/>
  <c r="AS9299" i="32"/>
  <c r="AS9300" i="32"/>
  <c r="AS9301" i="32"/>
  <c r="AS9302" i="32"/>
  <c r="AS9303" i="32"/>
  <c r="AS9304" i="32"/>
  <c r="AS9305" i="32"/>
  <c r="AS9306" i="32"/>
  <c r="AS9307" i="32"/>
  <c r="AS9308" i="32"/>
  <c r="AS9309" i="32"/>
  <c r="AS9310" i="32"/>
  <c r="AS9311" i="32"/>
  <c r="AS9312" i="32"/>
  <c r="AS9313" i="32"/>
  <c r="AS9314" i="32"/>
  <c r="AS9315" i="32"/>
  <c r="AS9316" i="32"/>
  <c r="AS9317" i="32"/>
  <c r="AS9318" i="32"/>
  <c r="AS9319" i="32"/>
  <c r="AS9320" i="32"/>
  <c r="AS9321" i="32"/>
  <c r="AS9322" i="32"/>
  <c r="AS9323" i="32"/>
  <c r="AS9324" i="32"/>
  <c r="AS9325" i="32"/>
  <c r="AS9326" i="32"/>
  <c r="AS9327" i="32"/>
  <c r="AS9328" i="32"/>
  <c r="AS9329" i="32"/>
  <c r="AS9330" i="32"/>
  <c r="AS9331" i="32"/>
  <c r="AS9332" i="32"/>
  <c r="AS9333" i="32"/>
  <c r="AS9334" i="32"/>
  <c r="AS9335" i="32"/>
  <c r="AS9336" i="32"/>
  <c r="AS9337" i="32"/>
  <c r="AS9338" i="32"/>
  <c r="AS9339" i="32"/>
  <c r="AS9340" i="32"/>
  <c r="AS9341" i="32"/>
  <c r="AS9342" i="32"/>
  <c r="AS9343" i="32"/>
  <c r="AS9344" i="32"/>
  <c r="AS9345" i="32"/>
  <c r="AS9346" i="32"/>
  <c r="AS9347" i="32"/>
  <c r="AS9348" i="32"/>
  <c r="AS9349" i="32"/>
  <c r="AS9350" i="32"/>
  <c r="AS9351" i="32"/>
  <c r="AS9352" i="32"/>
  <c r="AS9353" i="32"/>
  <c r="AS9354" i="32"/>
  <c r="AS9355" i="32"/>
  <c r="AS9356" i="32"/>
  <c r="AS9357" i="32"/>
  <c r="AS9358" i="32"/>
  <c r="AS9359" i="32"/>
  <c r="AS9360" i="32"/>
  <c r="AS9361" i="32"/>
  <c r="AS9362" i="32"/>
  <c r="AS9363" i="32"/>
  <c r="AS9364" i="32"/>
  <c r="AS9365" i="32"/>
  <c r="AS9366" i="32"/>
  <c r="AS9367" i="32"/>
  <c r="AS9368" i="32"/>
  <c r="AS9369" i="32"/>
  <c r="AS9370" i="32"/>
  <c r="AS9371" i="32"/>
  <c r="AS9372" i="32"/>
  <c r="AS9373" i="32"/>
  <c r="AS9374" i="32"/>
  <c r="AS9375" i="32"/>
  <c r="AS9376" i="32"/>
  <c r="AS9377" i="32"/>
  <c r="AS9378" i="32"/>
  <c r="AS9379" i="32"/>
  <c r="AS9380" i="32"/>
  <c r="AS9381" i="32"/>
  <c r="AS9382" i="32"/>
  <c r="AS9383" i="32"/>
  <c r="AS9384" i="32"/>
  <c r="AS9385" i="32"/>
  <c r="AS9386" i="32"/>
  <c r="AS9387" i="32"/>
  <c r="AS9388" i="32"/>
  <c r="AS9389" i="32"/>
  <c r="AS9390" i="32"/>
  <c r="AS9391" i="32"/>
  <c r="AS9392" i="32"/>
  <c r="AS9393" i="32"/>
  <c r="AS9394" i="32"/>
  <c r="AS9395" i="32"/>
  <c r="AS9396" i="32"/>
  <c r="AS9397" i="32"/>
  <c r="AS9398" i="32"/>
  <c r="AS9399" i="32"/>
  <c r="AS9400" i="32"/>
  <c r="AS9401" i="32"/>
  <c r="AS9402" i="32"/>
  <c r="AS9403" i="32"/>
  <c r="AS9404" i="32"/>
  <c r="AS9405" i="32"/>
  <c r="AS9406" i="32"/>
  <c r="AS9407" i="32"/>
  <c r="AS9408" i="32"/>
  <c r="AS9409" i="32"/>
  <c r="AS9410" i="32"/>
  <c r="AS9411" i="32"/>
  <c r="AS9412" i="32"/>
  <c r="AS9413" i="32"/>
  <c r="AS9414" i="32"/>
  <c r="AS9415" i="32"/>
  <c r="AS9416" i="32"/>
  <c r="AS9417" i="32"/>
  <c r="AS9418" i="32"/>
  <c r="AS9419" i="32"/>
  <c r="AS9420" i="32"/>
  <c r="AS9421" i="32"/>
  <c r="AS9422" i="32"/>
  <c r="AS9423" i="32"/>
  <c r="AS9424" i="32"/>
  <c r="AS9425" i="32"/>
  <c r="AS9426" i="32"/>
  <c r="AS9427" i="32"/>
  <c r="AS9428" i="32"/>
  <c r="AS9429" i="32"/>
  <c r="AS9430" i="32"/>
  <c r="AS9431" i="32"/>
  <c r="AS9432" i="32"/>
  <c r="AS9433" i="32"/>
  <c r="AS9434" i="32"/>
  <c r="AS9435" i="32"/>
  <c r="AS9436" i="32"/>
  <c r="AS9437" i="32"/>
  <c r="AS9438" i="32"/>
  <c r="AS9439" i="32"/>
  <c r="AS9440" i="32"/>
  <c r="AS9441" i="32"/>
  <c r="AS9442" i="32"/>
  <c r="AS9443" i="32"/>
  <c r="AS9444" i="32"/>
  <c r="AS9445" i="32"/>
  <c r="AS9446" i="32"/>
  <c r="AS9447" i="32"/>
  <c r="AS9448" i="32"/>
  <c r="AS9449" i="32"/>
  <c r="AS9450" i="32"/>
  <c r="AS9451" i="32"/>
  <c r="AS9452" i="32"/>
  <c r="AS9453" i="32"/>
  <c r="AS9454" i="32"/>
  <c r="AS9455" i="32"/>
  <c r="AS9456" i="32"/>
  <c r="AS9457" i="32"/>
  <c r="AS9458" i="32"/>
  <c r="AS9459" i="32"/>
  <c r="AS9460" i="32"/>
  <c r="AS9461" i="32"/>
  <c r="AS9462" i="32"/>
  <c r="AS9463" i="32"/>
  <c r="AS9464" i="32"/>
  <c r="AS9465" i="32"/>
  <c r="AS9466" i="32"/>
  <c r="AS9467" i="32"/>
  <c r="AS9468" i="32"/>
  <c r="AS9469" i="32"/>
  <c r="AS9470" i="32"/>
  <c r="AS9471" i="32"/>
  <c r="AS9472" i="32"/>
  <c r="AS9473" i="32"/>
  <c r="AS9474" i="32"/>
  <c r="AS9475" i="32"/>
  <c r="AS9476" i="32"/>
  <c r="AS9477" i="32"/>
  <c r="AS9478" i="32"/>
  <c r="AS9479" i="32"/>
  <c r="AS9480" i="32"/>
  <c r="AS9481" i="32"/>
  <c r="AS9482" i="32"/>
  <c r="AS9483" i="32"/>
  <c r="AS9484" i="32"/>
  <c r="AS9485" i="32"/>
  <c r="AS9486" i="32"/>
  <c r="AS9487" i="32"/>
  <c r="AS9488" i="32"/>
  <c r="AS9489" i="32"/>
  <c r="AS9490" i="32"/>
  <c r="AS9491" i="32"/>
  <c r="AS9492" i="32"/>
  <c r="AS9493" i="32"/>
  <c r="AS9494" i="32"/>
  <c r="AS9495" i="32"/>
  <c r="AS9496" i="32"/>
  <c r="AS9497" i="32"/>
  <c r="AS9498" i="32"/>
  <c r="AS9499" i="32"/>
  <c r="AS9500" i="32"/>
  <c r="AS9501" i="32"/>
  <c r="AS9502" i="32"/>
  <c r="AS9503" i="32"/>
  <c r="AS9504" i="32"/>
  <c r="AS9505" i="32"/>
  <c r="AS9506" i="32"/>
  <c r="AS9507" i="32"/>
  <c r="AS9508" i="32"/>
  <c r="AS9509" i="32"/>
  <c r="AS9510" i="32"/>
  <c r="AS9511" i="32"/>
  <c r="AS9512" i="32"/>
  <c r="AS9513" i="32"/>
  <c r="AS9514" i="32"/>
  <c r="AS9515" i="32"/>
  <c r="AS9516" i="32"/>
  <c r="AS9517" i="32"/>
  <c r="AS9518" i="32"/>
  <c r="AS9519" i="32"/>
  <c r="AS9520" i="32"/>
  <c r="AS9521" i="32"/>
  <c r="AS9522" i="32"/>
  <c r="AS9523" i="32"/>
  <c r="AS9524" i="32"/>
  <c r="AS9525" i="32"/>
  <c r="AS9526" i="32"/>
  <c r="AS9527" i="32"/>
  <c r="AS9528" i="32"/>
  <c r="AS9529" i="32"/>
  <c r="AS9530" i="32"/>
  <c r="AS9531" i="32"/>
  <c r="AS9532" i="32"/>
  <c r="AS9533" i="32"/>
  <c r="AS9534" i="32"/>
  <c r="AS9535" i="32"/>
  <c r="AS9536" i="32"/>
  <c r="AS9537" i="32"/>
  <c r="AS9538" i="32"/>
  <c r="AS9539" i="32"/>
  <c r="AS9540" i="32"/>
  <c r="AS9541" i="32"/>
  <c r="AS9542" i="32"/>
  <c r="AS9543" i="32"/>
  <c r="AS9544" i="32"/>
  <c r="AS9545" i="32"/>
  <c r="AS9546" i="32"/>
  <c r="AS9547" i="32"/>
  <c r="AS9548" i="32"/>
  <c r="AS9549" i="32"/>
  <c r="AS9550" i="32"/>
  <c r="AS9551" i="32"/>
  <c r="AS9552" i="32"/>
  <c r="AS9553" i="32"/>
  <c r="AS9554" i="32"/>
  <c r="AS9555" i="32"/>
  <c r="AS9556" i="32"/>
  <c r="AS9557" i="32"/>
  <c r="AS9558" i="32"/>
  <c r="AS9559" i="32"/>
  <c r="AS9560" i="32"/>
  <c r="AS9561" i="32"/>
  <c r="AS9562" i="32"/>
  <c r="AS9563" i="32"/>
  <c r="AS9564" i="32"/>
  <c r="AS9565" i="32"/>
  <c r="AS9566" i="32"/>
  <c r="AS9567" i="32"/>
  <c r="AS9568" i="32"/>
  <c r="AS9569" i="32"/>
  <c r="AS9570" i="32"/>
  <c r="AS9571" i="32"/>
  <c r="AS9572" i="32"/>
  <c r="AS9573" i="32"/>
  <c r="AS9574" i="32"/>
  <c r="AS9575" i="32"/>
  <c r="AS9576" i="32"/>
  <c r="AS9577" i="32"/>
  <c r="AS9578" i="32"/>
  <c r="AS9579" i="32"/>
  <c r="AS9580" i="32"/>
  <c r="AS9581" i="32"/>
  <c r="AS9582" i="32"/>
  <c r="AS9583" i="32"/>
  <c r="AS9584" i="32"/>
  <c r="AS9585" i="32"/>
  <c r="AS9586" i="32"/>
  <c r="AS9587" i="32"/>
  <c r="AS9588" i="32"/>
  <c r="AS9589" i="32"/>
  <c r="AS9590" i="32"/>
  <c r="AS9591" i="32"/>
  <c r="AS9592" i="32"/>
  <c r="AS9593" i="32"/>
  <c r="AS9594" i="32"/>
  <c r="AS9595" i="32"/>
  <c r="AS9596" i="32"/>
  <c r="AS9597" i="32"/>
  <c r="AS9598" i="32"/>
  <c r="AS9599" i="32"/>
  <c r="AS9600" i="32"/>
  <c r="AS9601" i="32"/>
  <c r="AS9602" i="32"/>
  <c r="AS9603" i="32"/>
  <c r="AS9604" i="32"/>
  <c r="AS9605" i="32"/>
  <c r="AS9606" i="32"/>
  <c r="AS9607" i="32"/>
  <c r="AS9608" i="32"/>
  <c r="AS9609" i="32"/>
  <c r="AS9610" i="32"/>
  <c r="AS9611" i="32"/>
  <c r="AS9612" i="32"/>
  <c r="AS9613" i="32"/>
  <c r="AS9614" i="32"/>
  <c r="AS9615" i="32"/>
  <c r="AS9616" i="32"/>
  <c r="AS9617" i="32"/>
  <c r="AS9618" i="32"/>
  <c r="AS9619" i="32"/>
  <c r="AS9620" i="32"/>
  <c r="AS9621" i="32"/>
  <c r="AS9622" i="32"/>
  <c r="AS9623" i="32"/>
  <c r="AS9624" i="32"/>
  <c r="AS9625" i="32"/>
  <c r="AS9626" i="32"/>
  <c r="AS9627" i="32"/>
  <c r="AS9628" i="32"/>
  <c r="AS9629" i="32"/>
  <c r="AS9630" i="32"/>
  <c r="AS9631" i="32"/>
  <c r="AS9632" i="32"/>
  <c r="AS9633" i="32"/>
  <c r="AS9634" i="32"/>
  <c r="AS9635" i="32"/>
  <c r="AS9636" i="32"/>
  <c r="AS9637" i="32"/>
  <c r="AS9638" i="32"/>
  <c r="AS9639" i="32"/>
  <c r="AS9640" i="32"/>
  <c r="AS9641" i="32"/>
  <c r="AS9642" i="32"/>
  <c r="AS9643" i="32"/>
  <c r="AS9644" i="32"/>
  <c r="AS9645" i="32"/>
  <c r="AS9646" i="32"/>
  <c r="AS9647" i="32"/>
  <c r="AS9648" i="32"/>
  <c r="AS9649" i="32"/>
  <c r="AS9650" i="32"/>
  <c r="AS9651" i="32"/>
  <c r="AS9652" i="32"/>
  <c r="AS9653" i="32"/>
  <c r="AS9654" i="32"/>
  <c r="AS9655" i="32"/>
  <c r="AS9656" i="32"/>
  <c r="AS9657" i="32"/>
  <c r="AS9658" i="32"/>
  <c r="AS9659" i="32"/>
  <c r="AS9660" i="32"/>
  <c r="AS9661" i="32"/>
  <c r="AS9662" i="32"/>
  <c r="AS9663" i="32"/>
  <c r="AS9664" i="32"/>
  <c r="AS9665" i="32"/>
  <c r="AS9666" i="32"/>
  <c r="AS9667" i="32"/>
  <c r="AS9668" i="32"/>
  <c r="AS9669" i="32"/>
  <c r="AS9670" i="32"/>
  <c r="AS9671" i="32"/>
  <c r="AS9672" i="32"/>
  <c r="AS9673" i="32"/>
  <c r="AS9674" i="32"/>
  <c r="AS9675" i="32"/>
  <c r="AS9676" i="32"/>
  <c r="AS9677" i="32"/>
  <c r="AS9678" i="32"/>
  <c r="AS9679" i="32"/>
  <c r="AS9680" i="32"/>
  <c r="AS9681" i="32"/>
  <c r="AS9682" i="32"/>
  <c r="AS9683" i="32"/>
  <c r="AS9684" i="32"/>
  <c r="AS9685" i="32"/>
  <c r="AS9686" i="32"/>
  <c r="AS9687" i="32"/>
  <c r="AS9688" i="32"/>
  <c r="AS9689" i="32"/>
  <c r="AS9690" i="32"/>
  <c r="AS9691" i="32"/>
  <c r="AS9692" i="32"/>
  <c r="AS9693" i="32"/>
  <c r="AS9694" i="32"/>
  <c r="AS9695" i="32"/>
  <c r="AS9696" i="32"/>
  <c r="AS9697" i="32"/>
  <c r="AS9698" i="32"/>
  <c r="AS9699" i="32"/>
  <c r="AS9700" i="32"/>
  <c r="AS9701" i="32"/>
  <c r="AS9702" i="32"/>
  <c r="AS9703" i="32"/>
  <c r="AS9704" i="32"/>
  <c r="AS9705" i="32"/>
  <c r="AS9706" i="32"/>
  <c r="AS9707" i="32"/>
  <c r="AS9708" i="32"/>
  <c r="AS9709" i="32"/>
  <c r="AS9710" i="32"/>
  <c r="AS9711" i="32"/>
  <c r="AS9712" i="32"/>
  <c r="AS9713" i="32"/>
  <c r="AS9714" i="32"/>
  <c r="AS9715" i="32"/>
  <c r="AS9716" i="32"/>
  <c r="AS9717" i="32"/>
  <c r="AS9718" i="32"/>
  <c r="AS9719" i="32"/>
  <c r="AS9720" i="32"/>
  <c r="AS9721" i="32"/>
  <c r="AS9722" i="32"/>
  <c r="AS9723" i="32"/>
  <c r="AS9724" i="32"/>
  <c r="AS9725" i="32"/>
  <c r="AS9726" i="32"/>
  <c r="AS9727" i="32"/>
  <c r="AS9728" i="32"/>
  <c r="AS9729" i="32"/>
  <c r="AS9730" i="32"/>
  <c r="AS9731" i="32"/>
  <c r="AS9732" i="32"/>
  <c r="AS9733" i="32"/>
  <c r="AS9734" i="32"/>
  <c r="AS9735" i="32"/>
  <c r="AS9736" i="32"/>
  <c r="AS9737" i="32"/>
  <c r="AS9738" i="32"/>
  <c r="AS9739" i="32"/>
  <c r="AS9740" i="32"/>
  <c r="AS9741" i="32"/>
  <c r="AS9742" i="32"/>
  <c r="AS9743" i="32"/>
  <c r="AS9744" i="32"/>
  <c r="AS9745" i="32"/>
  <c r="AS9746" i="32"/>
  <c r="AS9747" i="32"/>
  <c r="AS9748" i="32"/>
  <c r="AS9749" i="32"/>
  <c r="AS9750" i="32"/>
  <c r="AS9751" i="32"/>
  <c r="AS9752" i="32"/>
  <c r="AS9753" i="32"/>
  <c r="AS9754" i="32"/>
  <c r="AS9755" i="32"/>
  <c r="AS9756" i="32"/>
  <c r="AS9757" i="32"/>
  <c r="AS9758" i="32"/>
  <c r="AS9759" i="32"/>
  <c r="AS9760" i="32"/>
  <c r="AS9761" i="32"/>
  <c r="AS9762" i="32"/>
  <c r="AS9763" i="32"/>
  <c r="AS9764" i="32"/>
  <c r="AS9765" i="32"/>
  <c r="AS9766" i="32"/>
  <c r="AS9767" i="32"/>
  <c r="AS9768" i="32"/>
  <c r="AS9769" i="32"/>
  <c r="AS9770" i="32"/>
  <c r="AS9771" i="32"/>
  <c r="AS9772" i="32"/>
  <c r="AS9773" i="32"/>
  <c r="AS9774" i="32"/>
  <c r="AS9775" i="32"/>
  <c r="AS9776" i="32"/>
  <c r="AS9777" i="32"/>
  <c r="AS9778" i="32"/>
  <c r="AS9779" i="32"/>
  <c r="AS9780" i="32"/>
  <c r="AS9781" i="32"/>
  <c r="AS9782" i="32"/>
  <c r="AS9783" i="32"/>
  <c r="AS9784" i="32"/>
  <c r="AS9785" i="32"/>
  <c r="AS9786" i="32"/>
  <c r="AS9787" i="32"/>
  <c r="AS9788" i="32"/>
  <c r="AS9789" i="32"/>
  <c r="AS9790" i="32"/>
  <c r="AS9791" i="32"/>
  <c r="AS9792" i="32"/>
  <c r="AS9793" i="32"/>
  <c r="AS9794" i="32"/>
  <c r="AS9795" i="32"/>
  <c r="AS9796" i="32"/>
  <c r="AS9797" i="32"/>
  <c r="AS9798" i="32"/>
  <c r="AS9799" i="32"/>
  <c r="AS9800" i="32"/>
  <c r="AS9801" i="32"/>
  <c r="AS9802" i="32"/>
  <c r="AS9803" i="32"/>
  <c r="AS9804" i="32"/>
  <c r="AS9805" i="32"/>
  <c r="AS9806" i="32"/>
  <c r="AS9807" i="32"/>
  <c r="AS9808" i="32"/>
  <c r="AS9809" i="32"/>
  <c r="AS9810" i="32"/>
  <c r="AS9811" i="32"/>
  <c r="AS9812" i="32"/>
  <c r="AS9813" i="32"/>
  <c r="AS9814" i="32"/>
  <c r="AS9815" i="32"/>
  <c r="AS9816" i="32"/>
  <c r="AS9817" i="32"/>
  <c r="AS9818" i="32"/>
  <c r="AS9819" i="32"/>
  <c r="AS9820" i="32"/>
  <c r="AS9821" i="32"/>
  <c r="AS9822" i="32"/>
  <c r="AS9823" i="32"/>
  <c r="AS9824" i="32"/>
  <c r="AS9825" i="32"/>
  <c r="AS9826" i="32"/>
  <c r="AS9827" i="32"/>
  <c r="AS9828" i="32"/>
  <c r="AS9829" i="32"/>
  <c r="AS9830" i="32"/>
  <c r="AS9831" i="32"/>
  <c r="AS9832" i="32"/>
  <c r="AS9833" i="32"/>
  <c r="AS9834" i="32"/>
  <c r="AS9835" i="32"/>
  <c r="AS9836" i="32"/>
  <c r="AS9837" i="32"/>
  <c r="AS9838" i="32"/>
  <c r="AS9839" i="32"/>
  <c r="AS9840" i="32"/>
  <c r="AS9841" i="32"/>
  <c r="AS9842" i="32"/>
  <c r="AS9843" i="32"/>
  <c r="AS9844" i="32"/>
  <c r="AS9845" i="32"/>
  <c r="AS9846" i="32"/>
  <c r="AS9847" i="32"/>
  <c r="AS9848" i="32"/>
  <c r="AS9849" i="32"/>
  <c r="AS9850" i="32"/>
  <c r="AS9851" i="32"/>
  <c r="AS9852" i="32"/>
  <c r="AS9853" i="32"/>
  <c r="AS9854" i="32"/>
  <c r="AS9855" i="32"/>
  <c r="AS9856" i="32"/>
  <c r="AS9857" i="32"/>
  <c r="AS9858" i="32"/>
  <c r="AS9859" i="32"/>
  <c r="AS9860" i="32"/>
  <c r="AS9861" i="32"/>
  <c r="AS9862" i="32"/>
  <c r="AS9863" i="32"/>
  <c r="AS9864" i="32"/>
  <c r="AS9865" i="32"/>
  <c r="AS9866" i="32"/>
  <c r="AS9867" i="32"/>
  <c r="AS9868" i="32"/>
  <c r="AS9869" i="32"/>
  <c r="AS9870" i="32"/>
  <c r="AS9871" i="32"/>
  <c r="AS9872" i="32"/>
  <c r="AS9873" i="32"/>
  <c r="AS9874" i="32"/>
  <c r="AS9875" i="32"/>
  <c r="AS9876" i="32"/>
  <c r="AS9877" i="32"/>
  <c r="AS9878" i="32"/>
  <c r="AS9879" i="32"/>
  <c r="AS9880" i="32"/>
  <c r="AS9881" i="32"/>
  <c r="AS9882" i="32"/>
  <c r="AS9883" i="32"/>
  <c r="AS9884" i="32"/>
  <c r="AS9885" i="32"/>
  <c r="AS9886" i="32"/>
  <c r="AS9887" i="32"/>
  <c r="AS9888" i="32"/>
  <c r="AS9889" i="32"/>
  <c r="AS9890" i="32"/>
  <c r="AS9891" i="32"/>
  <c r="AS9892" i="32"/>
  <c r="AS9893" i="32"/>
  <c r="AS9894" i="32"/>
  <c r="AS9895" i="32"/>
  <c r="AS9896" i="32"/>
  <c r="AS9897" i="32"/>
  <c r="AS9898" i="32"/>
  <c r="AS9899" i="32"/>
  <c r="AS9900" i="32"/>
  <c r="AS9901" i="32"/>
  <c r="AS9902" i="32"/>
  <c r="AS9903" i="32"/>
  <c r="AS9904" i="32"/>
  <c r="AS9905" i="32"/>
  <c r="AS9906" i="32"/>
  <c r="AS9907" i="32"/>
  <c r="AS9908" i="32"/>
  <c r="AS9909" i="32"/>
  <c r="AS9910" i="32"/>
  <c r="AS9911" i="32"/>
  <c r="AS9912" i="32"/>
  <c r="AS9913" i="32"/>
  <c r="AS9914" i="32"/>
  <c r="AS9915" i="32"/>
  <c r="AS9916" i="32"/>
  <c r="AS9917" i="32"/>
  <c r="AS9918" i="32"/>
  <c r="AS9919" i="32"/>
  <c r="AS9920" i="32"/>
  <c r="AS9921" i="32"/>
  <c r="AS9922" i="32"/>
  <c r="AS9923" i="32"/>
  <c r="AS9924" i="32"/>
  <c r="AS9925" i="32"/>
  <c r="AS9926" i="32"/>
  <c r="AS9927" i="32"/>
  <c r="AS9928" i="32"/>
  <c r="AS9929" i="32"/>
  <c r="AS9930" i="32"/>
  <c r="AS9931" i="32"/>
  <c r="AS9932" i="32"/>
  <c r="AS9933" i="32"/>
  <c r="AS9934" i="32"/>
  <c r="AS9935" i="32"/>
  <c r="AS9936" i="32"/>
  <c r="AS9937" i="32"/>
  <c r="AS9938" i="32"/>
  <c r="AS9939" i="32"/>
  <c r="AS9940" i="32"/>
  <c r="AS9941" i="32"/>
  <c r="AS9942" i="32"/>
  <c r="AS9943" i="32"/>
  <c r="AS9944" i="32"/>
  <c r="AS9945" i="32"/>
  <c r="AS9946" i="32"/>
  <c r="AS9947" i="32"/>
  <c r="AS9948" i="32"/>
  <c r="AS9949" i="32"/>
  <c r="AS9950" i="32"/>
  <c r="AS9951" i="32"/>
  <c r="AS9952" i="32"/>
  <c r="AS9953" i="32"/>
  <c r="AS9954" i="32"/>
  <c r="AS9955" i="32"/>
  <c r="AS9956" i="32"/>
  <c r="AS9957" i="32"/>
  <c r="AS9958" i="32"/>
  <c r="AS9959" i="32"/>
  <c r="AS9960" i="32"/>
  <c r="AS9961" i="32"/>
  <c r="AS9962" i="32"/>
  <c r="AS9963" i="32"/>
  <c r="AS9964" i="32"/>
  <c r="AS9965" i="32"/>
  <c r="AS9966" i="32"/>
  <c r="AS9967" i="32"/>
  <c r="AS9968" i="32"/>
  <c r="AS9969" i="32"/>
  <c r="AS9970" i="32"/>
  <c r="AS9971" i="32"/>
  <c r="AS9972" i="32"/>
  <c r="AS9973" i="32"/>
  <c r="AS9974" i="32"/>
  <c r="AS9975" i="32"/>
  <c r="AS9976" i="32"/>
  <c r="AS9977" i="32"/>
  <c r="AS9978" i="32"/>
  <c r="AS9979" i="32"/>
  <c r="AS9980" i="32"/>
  <c r="AS9981" i="32"/>
  <c r="AS9982" i="32"/>
  <c r="AS9983" i="32"/>
  <c r="AS9984" i="32"/>
  <c r="AS9985" i="32"/>
  <c r="AS9986" i="32"/>
  <c r="AS9987" i="32"/>
  <c r="AS9988" i="32"/>
  <c r="AS9989" i="32"/>
  <c r="AS9990" i="32"/>
  <c r="AS9991" i="32"/>
  <c r="AS9992" i="32"/>
  <c r="AS9993" i="32"/>
  <c r="AS9994" i="32"/>
  <c r="AS9995" i="32"/>
  <c r="AS9996" i="32"/>
  <c r="AS9997" i="32"/>
  <c r="AS9998" i="32"/>
  <c r="AS9999" i="32"/>
  <c r="AS10000" i="32"/>
  <c r="AS10001" i="32"/>
  <c r="AS10002" i="32"/>
  <c r="AS10003" i="32"/>
  <c r="AS10004" i="32"/>
  <c r="AS10005" i="32"/>
  <c r="AS10006" i="32"/>
  <c r="AS10007" i="32"/>
  <c r="AS10008" i="32"/>
  <c r="AS10009" i="32"/>
  <c r="AS10010" i="32"/>
  <c r="AS10011" i="32"/>
  <c r="AS10012" i="32"/>
  <c r="AS10013" i="32"/>
  <c r="AS10014" i="32"/>
  <c r="AS10015" i="32"/>
  <c r="AS10016" i="32"/>
  <c r="AS10017" i="32"/>
  <c r="AS10018" i="32"/>
  <c r="AS10019" i="32"/>
  <c r="AS10020" i="32"/>
  <c r="AS10021" i="32"/>
  <c r="AS10022" i="32"/>
  <c r="AS10023" i="32"/>
  <c r="AS10024" i="32"/>
  <c r="AS10025" i="32"/>
  <c r="AS10026" i="32"/>
  <c r="AS10027" i="32"/>
  <c r="AS10028" i="32"/>
  <c r="AS10029" i="32"/>
  <c r="AS10030" i="32"/>
  <c r="AS10031" i="32"/>
  <c r="AS10032" i="32"/>
  <c r="AS10033" i="32"/>
  <c r="AS10034" i="32"/>
  <c r="AS10035" i="32"/>
  <c r="AS10036" i="32"/>
  <c r="AS10037" i="32"/>
  <c r="AS10038" i="32"/>
  <c r="AS10039" i="32"/>
  <c r="AS10040" i="32"/>
  <c r="AS10041" i="32"/>
  <c r="AS10042" i="32"/>
  <c r="AS10043" i="32"/>
  <c r="AS10044" i="32"/>
  <c r="AS10045" i="32"/>
  <c r="AS10046" i="32"/>
  <c r="AS10047" i="32"/>
  <c r="AS10048" i="32"/>
  <c r="AS10049" i="32"/>
  <c r="AS10050" i="32"/>
  <c r="AS10051" i="32"/>
  <c r="AS10052" i="32"/>
  <c r="AS10053" i="32"/>
  <c r="AS10054" i="32"/>
  <c r="AS10055" i="32"/>
  <c r="AS10056" i="32"/>
  <c r="AS10057" i="32"/>
  <c r="AS10058" i="32"/>
  <c r="AS10059" i="32"/>
  <c r="AS10060" i="32"/>
  <c r="AS10061" i="32"/>
  <c r="AS10062" i="32"/>
  <c r="AS10063" i="32"/>
  <c r="AS10064" i="32"/>
  <c r="AS10065" i="32"/>
  <c r="AS10066" i="32"/>
  <c r="AS10067" i="32"/>
  <c r="AS10068" i="32"/>
  <c r="AS10069" i="32"/>
  <c r="AS10070" i="32"/>
  <c r="AS10071" i="32"/>
  <c r="AS10072" i="32"/>
  <c r="AS10073" i="32"/>
  <c r="AS10074" i="32"/>
  <c r="AS10075" i="32"/>
  <c r="AS10076" i="32"/>
  <c r="AS10077" i="32"/>
  <c r="AS10078" i="32"/>
  <c r="AS10079" i="32"/>
  <c r="AS10080" i="32"/>
  <c r="AS10081" i="32"/>
  <c r="AS10082" i="32"/>
  <c r="AS10083" i="32"/>
  <c r="AS10084" i="32"/>
  <c r="AS10085" i="32"/>
  <c r="AS10086" i="32"/>
  <c r="AS10087" i="32"/>
  <c r="AS10088" i="32"/>
  <c r="AS10089" i="32"/>
  <c r="AS10090" i="32"/>
  <c r="AS10091" i="32"/>
  <c r="AS10092" i="32"/>
  <c r="AS10093" i="32"/>
  <c r="AS10094" i="32"/>
  <c r="AS10095" i="32"/>
  <c r="AS10096" i="32"/>
  <c r="AS10097" i="32"/>
  <c r="AS10098" i="32"/>
  <c r="AS10099" i="32"/>
  <c r="AS10100" i="32"/>
  <c r="AS10101" i="32"/>
  <c r="AS10102" i="32"/>
  <c r="AS10103" i="32"/>
  <c r="AS10104" i="32"/>
  <c r="AS10105" i="32"/>
  <c r="AS10106" i="32"/>
  <c r="AS10107" i="32"/>
  <c r="AS10108" i="32"/>
  <c r="AS10109" i="32"/>
  <c r="AS10110" i="32"/>
  <c r="AS10111" i="32"/>
  <c r="AS10112" i="32"/>
  <c r="AS10113" i="32"/>
  <c r="AS10114" i="32"/>
  <c r="AS10115" i="32"/>
  <c r="AS10116" i="32"/>
  <c r="AS10117" i="32"/>
  <c r="AS10118" i="32"/>
  <c r="AS10119" i="32"/>
  <c r="AS10120" i="32"/>
  <c r="AS10121" i="32"/>
  <c r="AS10122" i="32"/>
  <c r="AS10123" i="32"/>
  <c r="AS10124" i="32"/>
  <c r="AS10125" i="32"/>
  <c r="AS10126" i="32"/>
  <c r="AS10127" i="32"/>
  <c r="AS10128" i="32"/>
  <c r="AS10129" i="32"/>
  <c r="AS10130" i="32"/>
  <c r="AS10131" i="32"/>
  <c r="AS10132" i="32"/>
  <c r="AS10133" i="32"/>
  <c r="AS10134" i="32"/>
  <c r="AS10135" i="32"/>
  <c r="AS10136" i="32"/>
  <c r="AS10137" i="32"/>
  <c r="AS10138" i="32"/>
  <c r="AS10139" i="32"/>
  <c r="AS10140" i="32"/>
  <c r="AS10141" i="32"/>
  <c r="AS10142" i="32"/>
  <c r="AS10143" i="32"/>
  <c r="AS10144" i="32"/>
  <c r="AS10145" i="32"/>
  <c r="AS10146" i="32"/>
  <c r="AS10147" i="32"/>
  <c r="AS10148" i="32"/>
  <c r="AS10149" i="32"/>
  <c r="AS10150" i="32"/>
  <c r="AS10151" i="32"/>
  <c r="AS10152" i="32"/>
  <c r="AS10153" i="32"/>
  <c r="AS10154" i="32"/>
  <c r="AS10155" i="32"/>
  <c r="AS10156" i="32"/>
  <c r="AS10157" i="32"/>
  <c r="AS10158" i="32"/>
  <c r="AS10159" i="32"/>
  <c r="AS10160" i="32"/>
  <c r="AS10161" i="32"/>
  <c r="AS10162" i="32"/>
  <c r="AS10163" i="32"/>
  <c r="AS10164" i="32"/>
  <c r="AS10165" i="32"/>
  <c r="AS10166" i="32"/>
  <c r="AS10167" i="32"/>
  <c r="AS10168" i="32"/>
  <c r="AS10169" i="32"/>
  <c r="AS10170" i="32"/>
  <c r="AS10171" i="32"/>
  <c r="AS10172" i="32"/>
  <c r="AS10173" i="32"/>
  <c r="AS10174" i="32"/>
  <c r="AS10175" i="32"/>
  <c r="AS10176" i="32"/>
  <c r="AS10177" i="32"/>
  <c r="AS10178" i="32"/>
  <c r="AS10179" i="32"/>
  <c r="AS10180" i="32"/>
  <c r="AS10181" i="32"/>
  <c r="AS10182" i="32"/>
  <c r="AS10183" i="32"/>
  <c r="AS10184" i="32"/>
  <c r="AS10185" i="32"/>
  <c r="AS10186" i="32"/>
  <c r="AS10187" i="32"/>
  <c r="AS10188" i="32"/>
  <c r="AS10189" i="32"/>
  <c r="AS10190" i="32"/>
  <c r="AS10191" i="32"/>
  <c r="AS10192" i="32"/>
  <c r="AS10193" i="32"/>
  <c r="AS10194" i="32"/>
  <c r="AS10195" i="32"/>
  <c r="AS10196" i="32"/>
  <c r="AS10197" i="32"/>
  <c r="AS10198" i="32"/>
  <c r="AS10199" i="32"/>
  <c r="AS10200" i="32"/>
  <c r="AS10201" i="32"/>
  <c r="AS10202" i="32"/>
  <c r="AS10203" i="32"/>
  <c r="AS10204" i="32"/>
  <c r="AS10205" i="32"/>
  <c r="AS10206" i="32"/>
  <c r="AS10207" i="32"/>
  <c r="AS10208" i="32"/>
  <c r="AS10209" i="32"/>
  <c r="AS10210" i="32"/>
  <c r="AS10211" i="32"/>
  <c r="AS10212" i="32"/>
  <c r="AS10213" i="32"/>
  <c r="AS10214" i="32"/>
  <c r="AS10215" i="32"/>
  <c r="AS10216" i="32"/>
  <c r="AS10217" i="32"/>
  <c r="AS10218" i="32"/>
  <c r="AS10219" i="32"/>
  <c r="AS10220" i="32"/>
  <c r="AS10221" i="32"/>
  <c r="AS10222" i="32"/>
  <c r="AS10223" i="32"/>
  <c r="AS10224" i="32"/>
  <c r="AS10225" i="32"/>
  <c r="AS10226" i="32"/>
  <c r="AS10227" i="32"/>
  <c r="AS10228" i="32"/>
  <c r="AS10229" i="32"/>
  <c r="AS10230" i="32"/>
  <c r="AS10231" i="32"/>
  <c r="AS10232" i="32"/>
  <c r="AS10233" i="32"/>
  <c r="AS10234" i="32"/>
  <c r="AS10235" i="32"/>
  <c r="AS10236" i="32"/>
  <c r="AS10237" i="32"/>
  <c r="AS10238" i="32"/>
  <c r="AS10239" i="32"/>
  <c r="AS10240" i="32"/>
  <c r="AS10241" i="32"/>
  <c r="AS10242" i="32"/>
  <c r="AS10243" i="32"/>
  <c r="AS10244" i="32"/>
  <c r="AS10245" i="32"/>
  <c r="AS10246" i="32"/>
  <c r="AS10247" i="32"/>
  <c r="AS10248" i="32"/>
  <c r="AS10249" i="32"/>
  <c r="AS10250" i="32"/>
  <c r="AS10251" i="32"/>
  <c r="AS10252" i="32"/>
  <c r="AS10253" i="32"/>
  <c r="AS10254" i="32"/>
  <c r="AS10255" i="32"/>
  <c r="AS10256" i="32"/>
  <c r="AS10257" i="32"/>
  <c r="AS10258" i="32"/>
  <c r="AS10259" i="32"/>
  <c r="AS10260" i="32"/>
  <c r="AS10261" i="32"/>
  <c r="AS10262" i="32"/>
  <c r="AS10263" i="32"/>
  <c r="AS10264" i="32"/>
  <c r="AS10265" i="32"/>
  <c r="AS10266" i="32"/>
  <c r="AS10267" i="32"/>
  <c r="AS10268" i="32"/>
  <c r="AS10269" i="32"/>
  <c r="AS10270" i="32"/>
  <c r="AS10271" i="32"/>
  <c r="AS10272" i="32"/>
  <c r="AS10273" i="32"/>
  <c r="AS10274" i="32"/>
  <c r="AS10275" i="32"/>
  <c r="AS10276" i="32"/>
  <c r="AS10277" i="32"/>
  <c r="AS10278" i="32"/>
  <c r="AS10279" i="32"/>
  <c r="AS10280" i="32"/>
  <c r="AS10281" i="32"/>
  <c r="AS10282" i="32"/>
  <c r="AS10283" i="32"/>
  <c r="AS10284" i="32"/>
  <c r="AS10285" i="32"/>
  <c r="AS10286" i="32"/>
  <c r="AS10287" i="32"/>
  <c r="AS10288" i="32"/>
  <c r="AS10289" i="32"/>
  <c r="AS10290" i="32"/>
  <c r="AS10291" i="32"/>
  <c r="AS10292" i="32"/>
  <c r="AS10293" i="32"/>
  <c r="AS10294" i="32"/>
  <c r="AS10295" i="32"/>
  <c r="AS10296" i="32"/>
  <c r="AS10297" i="32"/>
  <c r="AS10298" i="32"/>
  <c r="AS10299" i="32"/>
  <c r="AS10300" i="32"/>
  <c r="AS10301" i="32"/>
  <c r="AS10302" i="32"/>
  <c r="AS10303" i="32"/>
  <c r="AS10304" i="32"/>
  <c r="AS10305" i="32"/>
  <c r="AS10306" i="32"/>
  <c r="AS10307" i="32"/>
  <c r="AS10308" i="32"/>
  <c r="AS10309" i="32"/>
  <c r="AS10310" i="32"/>
  <c r="AS10311" i="32"/>
  <c r="AS10312" i="32"/>
  <c r="AS10313" i="32"/>
  <c r="AS10314" i="32"/>
  <c r="AS10315" i="32"/>
  <c r="AS10316" i="32"/>
  <c r="AS10317" i="32"/>
  <c r="AS10318" i="32"/>
  <c r="AS10319" i="32"/>
  <c r="AS10320" i="32"/>
  <c r="AS10321" i="32"/>
  <c r="AS10322" i="32"/>
  <c r="AS10323" i="32"/>
  <c r="AS10324" i="32"/>
  <c r="AS10325" i="32"/>
  <c r="AS10326" i="32"/>
  <c r="AS10327" i="32"/>
  <c r="AS10328" i="32"/>
  <c r="AS10329" i="32"/>
  <c r="AS10330" i="32"/>
  <c r="AS10331" i="32"/>
  <c r="AS10332" i="32"/>
  <c r="AS10333" i="32"/>
  <c r="AS10334" i="32"/>
  <c r="AS10335" i="32"/>
  <c r="AS10336" i="32"/>
  <c r="AS10337" i="32"/>
  <c r="AS10338" i="32"/>
  <c r="AS10339" i="32"/>
  <c r="AS10340" i="32"/>
  <c r="AS10341" i="32"/>
  <c r="AS10342" i="32"/>
  <c r="AS10343" i="32"/>
  <c r="AS10344" i="32"/>
  <c r="AS10345" i="32"/>
  <c r="AS10346" i="32"/>
  <c r="AS10347" i="32"/>
  <c r="AS10348" i="32"/>
  <c r="AS10349" i="32"/>
  <c r="AS10350" i="32"/>
  <c r="AS10351" i="32"/>
  <c r="AS10352" i="32"/>
  <c r="AS10353" i="32"/>
  <c r="AS10354" i="32"/>
  <c r="AS10355" i="32"/>
  <c r="AS10356" i="32"/>
  <c r="AS10357" i="32"/>
  <c r="AS10358" i="32"/>
  <c r="AS10359" i="32"/>
  <c r="AS10360" i="32"/>
  <c r="AS10361" i="32"/>
  <c r="AS10362" i="32"/>
  <c r="AS10363" i="32"/>
  <c r="AS10364" i="32"/>
  <c r="AS10365" i="32"/>
  <c r="AS10366" i="32"/>
  <c r="AS10367" i="32"/>
  <c r="AS10368" i="32"/>
  <c r="AS10369" i="32"/>
  <c r="AS10370" i="32"/>
  <c r="AS10371" i="32"/>
  <c r="AS10372" i="32"/>
  <c r="AS10373" i="32"/>
  <c r="AS10374" i="32"/>
  <c r="AS10375" i="32"/>
  <c r="AS10376" i="32"/>
  <c r="AS10377" i="32"/>
  <c r="AS10378" i="32"/>
  <c r="AS10379" i="32"/>
  <c r="AS10380" i="32"/>
  <c r="AS10381" i="32"/>
  <c r="AS10382" i="32"/>
  <c r="AS10383" i="32"/>
  <c r="AS10384" i="32"/>
  <c r="AS10385" i="32"/>
  <c r="AS10386" i="32"/>
  <c r="AS10387" i="32"/>
  <c r="AS10388" i="32"/>
  <c r="AS10389" i="32"/>
  <c r="AS10390" i="32"/>
  <c r="AS10391" i="32"/>
  <c r="AS10392" i="32"/>
  <c r="AS10393" i="32"/>
  <c r="AS10394" i="32"/>
  <c r="AS10395" i="32"/>
  <c r="AS10396" i="32"/>
  <c r="AS10397" i="32"/>
  <c r="AS10398" i="32"/>
  <c r="AS10399" i="32"/>
  <c r="AS10400" i="32"/>
  <c r="AS10401" i="32"/>
  <c r="AS10402" i="32"/>
  <c r="AS10403" i="32"/>
  <c r="AS10404" i="32"/>
  <c r="AS10405" i="32"/>
  <c r="AS10406" i="32"/>
  <c r="AS10407" i="32"/>
  <c r="AS10408" i="32"/>
  <c r="AS10409" i="32"/>
  <c r="AS10410" i="32"/>
  <c r="AS10411" i="32"/>
  <c r="AS10412" i="32"/>
  <c r="AS10413" i="32"/>
  <c r="AS10414" i="32"/>
  <c r="AS10415" i="32"/>
  <c r="AS10416" i="32"/>
  <c r="AS10417" i="32"/>
  <c r="AS10418" i="32"/>
  <c r="AS10419" i="32"/>
  <c r="AS10420" i="32"/>
  <c r="AS10421" i="32"/>
  <c r="AS10422" i="32"/>
  <c r="AS10423" i="32"/>
  <c r="AS10424" i="32"/>
  <c r="AS10425" i="32"/>
  <c r="AS10426" i="32"/>
  <c r="AS10427" i="32"/>
  <c r="AS10428" i="32"/>
  <c r="AS10429" i="32"/>
  <c r="AS10430" i="32"/>
  <c r="AS10431" i="32"/>
  <c r="AS10432" i="32"/>
  <c r="AS10433" i="32"/>
  <c r="AS10434" i="32"/>
  <c r="AS10435" i="32"/>
  <c r="AS10436" i="32"/>
  <c r="AS10437" i="32"/>
  <c r="AS10438" i="32"/>
  <c r="AS10439" i="32"/>
  <c r="AS10440" i="32"/>
  <c r="AS10441" i="32"/>
  <c r="AS10442" i="32"/>
  <c r="AS10443" i="32"/>
  <c r="AS10444" i="32"/>
  <c r="AS10445" i="32"/>
  <c r="AS10446" i="32"/>
  <c r="AS10447" i="32"/>
  <c r="AS10448" i="32"/>
  <c r="AS10449" i="32"/>
  <c r="AS10450" i="32"/>
  <c r="AS10451" i="32"/>
  <c r="AS10452" i="32"/>
  <c r="AS10453" i="32"/>
  <c r="AS10454" i="32"/>
  <c r="AS10455" i="32"/>
  <c r="AS10456" i="32"/>
  <c r="AS10457" i="32"/>
  <c r="AS10458" i="32"/>
  <c r="AS10459" i="32"/>
  <c r="AS10460" i="32"/>
  <c r="AS10461" i="32"/>
  <c r="AS10462" i="32"/>
  <c r="AS10463" i="32"/>
  <c r="AS10464" i="32"/>
  <c r="AS10465" i="32"/>
  <c r="AS10466" i="32"/>
  <c r="AS10467" i="32"/>
  <c r="AS10468" i="32"/>
  <c r="AS10469" i="32"/>
  <c r="AS10470" i="32"/>
  <c r="AS10471" i="32"/>
  <c r="AS10472" i="32"/>
  <c r="AS10473" i="32"/>
  <c r="AS10474" i="32"/>
  <c r="AS10475" i="32"/>
  <c r="AS10476" i="32"/>
  <c r="AS10477" i="32"/>
  <c r="AS10478" i="32"/>
  <c r="AS10479" i="32"/>
  <c r="AS10480" i="32"/>
  <c r="AS10481" i="32"/>
  <c r="AS10482" i="32"/>
  <c r="AS10483" i="32"/>
  <c r="AS10484" i="32"/>
  <c r="AS10485" i="32"/>
  <c r="AS10486" i="32"/>
  <c r="AS10487" i="32"/>
  <c r="AS10488" i="32"/>
  <c r="AS10489" i="32"/>
  <c r="AS10490" i="32"/>
  <c r="AS10491" i="32"/>
  <c r="AS10492" i="32"/>
  <c r="AS10493" i="32"/>
  <c r="AS10494" i="32"/>
  <c r="AS10495" i="32"/>
  <c r="AS10496" i="32"/>
  <c r="AS10497" i="32"/>
  <c r="AS10498" i="32"/>
  <c r="AS10499" i="32"/>
  <c r="AS10500" i="32"/>
  <c r="AS10501" i="32"/>
  <c r="AS10502" i="32"/>
  <c r="AS10503" i="32"/>
  <c r="AS10504" i="32"/>
  <c r="AS10505" i="32"/>
  <c r="AS10506" i="32"/>
  <c r="AS10507" i="32"/>
  <c r="AS10508" i="32"/>
  <c r="AS10509" i="32"/>
  <c r="AS10510" i="32"/>
  <c r="AS10511" i="32"/>
  <c r="AS10512" i="32"/>
  <c r="AS10513" i="32"/>
  <c r="AS10514" i="32"/>
  <c r="AS10515" i="32"/>
  <c r="AS10516" i="32"/>
  <c r="AS10517" i="32"/>
  <c r="AS10518" i="32"/>
  <c r="AS10519" i="32"/>
  <c r="AS10520" i="32"/>
  <c r="AS10521" i="32"/>
  <c r="AS10522" i="32"/>
  <c r="AS10523" i="32"/>
  <c r="AS10524" i="32"/>
  <c r="AS10525" i="32"/>
  <c r="AS10526" i="32"/>
  <c r="AS10527" i="32"/>
  <c r="AS10528" i="32"/>
  <c r="AS10529" i="32"/>
  <c r="AS10530" i="32"/>
  <c r="AS10531" i="32"/>
  <c r="AS10532" i="32"/>
  <c r="AS10533" i="32"/>
  <c r="AS10534" i="32"/>
  <c r="AS10535" i="32"/>
  <c r="AS10536" i="32"/>
  <c r="AS10537" i="32"/>
  <c r="AS10538" i="32"/>
  <c r="AS10539" i="32"/>
  <c r="AS10540" i="32"/>
  <c r="AS10541" i="32"/>
  <c r="AS10542" i="32"/>
  <c r="AS10543" i="32"/>
  <c r="AS10544" i="32"/>
  <c r="AS10545" i="32"/>
  <c r="AS10546" i="32"/>
  <c r="AS10547" i="32"/>
  <c r="AS10548" i="32"/>
  <c r="AS10549" i="32"/>
  <c r="AS10550" i="32"/>
  <c r="AS10551" i="32"/>
  <c r="AS10552" i="32"/>
  <c r="AS10553" i="32"/>
  <c r="AS10554" i="32"/>
  <c r="AS10555" i="32"/>
  <c r="AS10556" i="32"/>
  <c r="AS10557" i="32"/>
  <c r="AS10558" i="32"/>
  <c r="AS10559" i="32"/>
  <c r="AS10560" i="32"/>
  <c r="AS10561" i="32"/>
  <c r="AS10562" i="32"/>
  <c r="AS10563" i="32"/>
  <c r="AS10564" i="32"/>
  <c r="AS10565" i="32"/>
  <c r="AS10566" i="32"/>
  <c r="AS10567" i="32"/>
  <c r="AS10568" i="32"/>
  <c r="AS10569" i="32"/>
  <c r="AS10570" i="32"/>
  <c r="AS10571" i="32"/>
  <c r="AS10572" i="32"/>
  <c r="AS10573" i="32"/>
  <c r="AS10574" i="32"/>
  <c r="AS10575" i="32"/>
  <c r="AS10576" i="32"/>
  <c r="AS10577" i="32"/>
  <c r="AS10578" i="32"/>
  <c r="AS10579" i="32"/>
  <c r="AS10580" i="32"/>
  <c r="AS10581" i="32"/>
  <c r="AS10582" i="32"/>
  <c r="AS10583" i="32"/>
  <c r="AS10584" i="32"/>
  <c r="AS10585" i="32"/>
  <c r="AS10586" i="32"/>
  <c r="AS10587" i="32"/>
  <c r="AS10588" i="32"/>
  <c r="AS10589" i="32"/>
  <c r="AS10590" i="32"/>
  <c r="AS10591" i="32"/>
  <c r="AS10592" i="32"/>
  <c r="AS10593" i="32"/>
  <c r="AS10594" i="32"/>
  <c r="AS10595" i="32"/>
  <c r="AS10596" i="32"/>
  <c r="AS10597" i="32"/>
  <c r="AS10598" i="32"/>
  <c r="AS10599" i="32"/>
  <c r="AS10600" i="32"/>
  <c r="AS10601" i="32"/>
  <c r="AS10602" i="32"/>
  <c r="AS10603" i="32"/>
  <c r="AS10604" i="32"/>
  <c r="AS10605" i="32"/>
  <c r="AS10606" i="32"/>
  <c r="AS10607" i="32"/>
  <c r="AS10608" i="32"/>
  <c r="AS10609" i="32"/>
  <c r="AS10610" i="32"/>
  <c r="AS10611" i="32"/>
  <c r="AS10612" i="32"/>
  <c r="AS10613" i="32"/>
  <c r="AS10614" i="32"/>
  <c r="AS10615" i="32"/>
  <c r="AS10616" i="32"/>
  <c r="AS10617" i="32"/>
  <c r="AS10618" i="32"/>
  <c r="AS10619" i="32"/>
  <c r="AS10620" i="32"/>
  <c r="AS10621" i="32"/>
  <c r="AS10622" i="32"/>
  <c r="AS10623" i="32"/>
  <c r="AS10624" i="32"/>
  <c r="AS10625" i="32"/>
  <c r="AS10626" i="32"/>
  <c r="AS10627" i="32"/>
  <c r="AS10628" i="32"/>
  <c r="AS10629" i="32"/>
  <c r="AS10630" i="32"/>
  <c r="AS10631" i="32"/>
  <c r="AS10632" i="32"/>
  <c r="AS10633" i="32"/>
  <c r="AS10634" i="32"/>
  <c r="AS10635" i="32"/>
  <c r="AS10636" i="32"/>
  <c r="AS10637" i="32"/>
  <c r="AS10638" i="32"/>
  <c r="AS10639" i="32"/>
  <c r="AS10640" i="32"/>
  <c r="AS10641" i="32"/>
  <c r="AS10642" i="32"/>
  <c r="AS10643" i="32"/>
  <c r="AS10644" i="32"/>
  <c r="AS10645" i="32"/>
  <c r="AS10646" i="32"/>
  <c r="AS10647" i="32"/>
  <c r="AS10648" i="32"/>
  <c r="AS10649" i="32"/>
  <c r="AS10650" i="32"/>
  <c r="AS10651" i="32"/>
  <c r="AS10652" i="32"/>
  <c r="AS10653" i="32"/>
  <c r="AS10654" i="32"/>
  <c r="AS10655" i="32"/>
  <c r="AS10656" i="32"/>
  <c r="AS10657" i="32"/>
  <c r="AS10658" i="32"/>
  <c r="AS10659" i="32"/>
  <c r="AS10660" i="32"/>
  <c r="AS10661" i="32"/>
  <c r="AS10662" i="32"/>
  <c r="AS10663" i="32"/>
  <c r="AS10664" i="32"/>
  <c r="AS10665" i="32"/>
  <c r="AS10666" i="32"/>
  <c r="AS10667" i="32"/>
  <c r="AS10668" i="32"/>
  <c r="AS10669" i="32"/>
  <c r="AS10670" i="32"/>
  <c r="AS10671" i="32"/>
  <c r="AS10672" i="32"/>
  <c r="AS10673" i="32"/>
  <c r="AS10674" i="32"/>
  <c r="AS10675" i="32"/>
  <c r="AS10676" i="32"/>
  <c r="AS10677" i="32"/>
  <c r="AS10678" i="32"/>
  <c r="AS10679" i="32"/>
  <c r="AS10680" i="32"/>
  <c r="AS10681" i="32"/>
  <c r="AS10682" i="32"/>
  <c r="AS10683" i="32"/>
  <c r="AS10684" i="32"/>
  <c r="AS10685" i="32"/>
  <c r="AS10686" i="32"/>
  <c r="AS10687" i="32"/>
  <c r="AS10688" i="32"/>
  <c r="AS10689" i="32"/>
  <c r="AS10690" i="32"/>
  <c r="AS10691" i="32"/>
  <c r="AS10692" i="32"/>
  <c r="AS10693" i="32"/>
  <c r="AS10694" i="32"/>
  <c r="AS10695" i="32"/>
  <c r="AS10696" i="32"/>
  <c r="AS10697" i="32"/>
  <c r="AS10698" i="32"/>
  <c r="AS10699" i="32"/>
  <c r="AS10700" i="32"/>
  <c r="AS10701" i="32"/>
  <c r="AS10702" i="32"/>
  <c r="AS10703" i="32"/>
  <c r="AS10704" i="32"/>
  <c r="AS10705" i="32"/>
  <c r="AS10706" i="32"/>
  <c r="AS10707" i="32"/>
  <c r="AS10708" i="32"/>
  <c r="AS10709" i="32"/>
  <c r="AS10710" i="32"/>
  <c r="AS10711" i="32"/>
  <c r="AS10712" i="32"/>
  <c r="AS10713" i="32"/>
  <c r="AS10714" i="32"/>
  <c r="AS10715" i="32"/>
  <c r="AS10716" i="32"/>
  <c r="AS10717" i="32"/>
  <c r="AS10718" i="32"/>
  <c r="AS10719" i="32"/>
  <c r="AS10720" i="32"/>
  <c r="AS10721" i="32"/>
  <c r="AS10722" i="32"/>
  <c r="AS10723" i="32"/>
  <c r="AS10724" i="32"/>
  <c r="AS10725" i="32"/>
  <c r="AS10726" i="32"/>
  <c r="AS10727" i="32"/>
  <c r="AS10728" i="32"/>
  <c r="AS10729" i="32"/>
  <c r="AS10730" i="32"/>
  <c r="AS10731" i="32"/>
  <c r="AS10732" i="32"/>
  <c r="AS10733" i="32"/>
  <c r="AS10734" i="32"/>
  <c r="AS10735" i="32"/>
  <c r="AS10736" i="32"/>
  <c r="AS10737" i="32"/>
  <c r="AS10738" i="32"/>
  <c r="AS10739" i="32"/>
  <c r="AS10740" i="32"/>
  <c r="AS10741" i="32"/>
  <c r="AS10742" i="32"/>
  <c r="AS10743" i="32"/>
  <c r="AS10744" i="32"/>
  <c r="AS10745" i="32"/>
  <c r="AS10746" i="32"/>
  <c r="AS10747" i="32"/>
  <c r="AS10748" i="32"/>
  <c r="AS10749" i="32"/>
  <c r="AS10750" i="32"/>
  <c r="AS10751" i="32"/>
  <c r="AS10752" i="32"/>
  <c r="AS10753" i="32"/>
  <c r="AS10754" i="32"/>
  <c r="AS10755" i="32"/>
  <c r="AS10756" i="32"/>
  <c r="AS10757" i="32"/>
  <c r="AS10758" i="32"/>
  <c r="AS10759" i="32"/>
  <c r="AS10760" i="32"/>
  <c r="AS10761" i="32"/>
  <c r="AS10762" i="32"/>
  <c r="AS10763" i="32"/>
  <c r="AS10764" i="32"/>
  <c r="AS10765" i="32"/>
  <c r="AS10766" i="32"/>
  <c r="AS10767" i="32"/>
  <c r="AS10768" i="32"/>
  <c r="AS10769" i="32"/>
  <c r="AS10770" i="32"/>
  <c r="AS10771" i="32"/>
  <c r="AS10772" i="32"/>
  <c r="AS10773" i="32"/>
  <c r="AS10774" i="32"/>
  <c r="AS10775" i="32"/>
  <c r="AS10776" i="32"/>
  <c r="AS10777" i="32"/>
  <c r="AS10778" i="32"/>
  <c r="AS10779" i="32"/>
  <c r="AS10780" i="32"/>
  <c r="AS10781" i="32"/>
  <c r="AS10782" i="32"/>
  <c r="AS10783" i="32"/>
  <c r="AS10784" i="32"/>
  <c r="AS10785" i="32"/>
  <c r="AS10786" i="32"/>
  <c r="AS10787" i="32"/>
  <c r="AS10788" i="32"/>
  <c r="AS10789" i="32"/>
  <c r="AS10790" i="32"/>
  <c r="AS10791" i="32"/>
  <c r="AS10792" i="32"/>
  <c r="AS10793" i="32"/>
  <c r="AS10794" i="32"/>
  <c r="AS10795" i="32"/>
  <c r="AS10796" i="32"/>
  <c r="AS10797" i="32"/>
  <c r="AS10798" i="32"/>
  <c r="AS10799" i="32"/>
  <c r="AS10800" i="32"/>
  <c r="AS10801" i="32"/>
  <c r="AS10802" i="32"/>
  <c r="AS10803" i="32"/>
  <c r="AS10804" i="32"/>
  <c r="AS10805" i="32"/>
  <c r="AS10806" i="32"/>
  <c r="AS10807" i="32"/>
  <c r="AS10808" i="32"/>
  <c r="AS10809" i="32"/>
  <c r="AS10810" i="32"/>
  <c r="AS10811" i="32"/>
  <c r="AS10812" i="32"/>
  <c r="AS10813" i="32"/>
  <c r="AS10814" i="32"/>
  <c r="AS10815" i="32"/>
  <c r="AS10816" i="32"/>
  <c r="AS10817" i="32"/>
  <c r="AS10818" i="32"/>
  <c r="AS10819" i="32"/>
  <c r="AS10820" i="32"/>
  <c r="AS10821" i="32"/>
  <c r="AS10822" i="32"/>
  <c r="AS10823" i="32"/>
  <c r="AS10824" i="32"/>
  <c r="AS10825" i="32"/>
  <c r="AS10826" i="32"/>
  <c r="AS10827" i="32"/>
  <c r="AS10828" i="32"/>
  <c r="AS10829" i="32"/>
  <c r="AS10830" i="32"/>
  <c r="AS10831" i="32"/>
  <c r="AS10832" i="32"/>
  <c r="AS10833" i="32"/>
  <c r="AS10834" i="32"/>
  <c r="AS10835" i="32"/>
  <c r="AS10836" i="32"/>
  <c r="AS10837" i="32"/>
  <c r="AS10838" i="32"/>
  <c r="AS10839" i="32"/>
  <c r="AS10840" i="32"/>
  <c r="AS10841" i="32"/>
  <c r="AS10842" i="32"/>
  <c r="AS10843" i="32"/>
  <c r="AS10844" i="32"/>
  <c r="AS10845" i="32"/>
  <c r="AS10846" i="32"/>
  <c r="AS10847" i="32"/>
  <c r="AS10848" i="32"/>
  <c r="AS10849" i="32"/>
  <c r="AS10850" i="32"/>
  <c r="AS10851" i="32"/>
  <c r="AS10852" i="32"/>
  <c r="AS10853" i="32"/>
  <c r="AS10854" i="32"/>
  <c r="AS10855" i="32"/>
  <c r="AS10856" i="32"/>
  <c r="AS10857" i="32"/>
  <c r="AS10858" i="32"/>
  <c r="AS10859" i="32"/>
  <c r="AS10860" i="32"/>
  <c r="AS10861" i="32"/>
  <c r="AS10862" i="32"/>
  <c r="AS10863" i="32"/>
  <c r="AS10864" i="32"/>
  <c r="AS10865" i="32"/>
  <c r="AS10866" i="32"/>
  <c r="AS10867" i="32"/>
  <c r="AS10868" i="32"/>
  <c r="AS10869" i="32"/>
  <c r="AS10870" i="32"/>
  <c r="AS10871" i="32"/>
  <c r="AS10872" i="32"/>
  <c r="AS10873" i="32"/>
  <c r="AS10874" i="32"/>
  <c r="AS10875" i="32"/>
  <c r="AS10876" i="32"/>
  <c r="AS10877" i="32"/>
  <c r="AS10878" i="32"/>
  <c r="AS10879" i="32"/>
  <c r="AS10880" i="32"/>
  <c r="AS10881" i="32"/>
  <c r="AS10882" i="32"/>
  <c r="AS10883" i="32"/>
  <c r="AS10884" i="32"/>
  <c r="AS10885" i="32"/>
  <c r="AS10886" i="32"/>
  <c r="AS10887" i="32"/>
  <c r="AS10888" i="32"/>
  <c r="AS10889" i="32"/>
  <c r="AS10890" i="32"/>
  <c r="AS10891" i="32"/>
  <c r="AS10892" i="32"/>
  <c r="AS10893" i="32"/>
  <c r="AS10894" i="32"/>
  <c r="AS10895" i="32"/>
  <c r="AS10896" i="32"/>
  <c r="AS10897" i="32"/>
  <c r="AS10898" i="32"/>
  <c r="AS10899" i="32"/>
  <c r="AS10900" i="32"/>
  <c r="AS10901" i="32"/>
  <c r="AS10902" i="32"/>
  <c r="AS10903" i="32"/>
  <c r="AS10904" i="32"/>
  <c r="AS10905" i="32"/>
  <c r="AS10906" i="32"/>
  <c r="AS10907" i="32"/>
  <c r="AS10908" i="32"/>
  <c r="AS10909" i="32"/>
  <c r="AS10910" i="32"/>
  <c r="AS10911" i="32"/>
  <c r="AS10912" i="32"/>
  <c r="AS10913" i="32"/>
  <c r="AS10914" i="32"/>
  <c r="AS10915" i="32"/>
  <c r="AS10916" i="32"/>
  <c r="AS10917" i="32"/>
  <c r="AS10918" i="32"/>
  <c r="AS10919" i="32"/>
  <c r="AS10920" i="32"/>
  <c r="AS10921" i="32"/>
  <c r="AS10922" i="32"/>
  <c r="AS10923" i="32"/>
  <c r="AS10924" i="32"/>
  <c r="AS10925" i="32"/>
  <c r="AS10926" i="32"/>
  <c r="AS10927" i="32"/>
  <c r="AS10928" i="32"/>
  <c r="AS10929" i="32"/>
  <c r="AS10930" i="32"/>
  <c r="AS10931" i="32"/>
  <c r="AS10932" i="32"/>
  <c r="AS10933" i="32"/>
  <c r="AS10934" i="32"/>
  <c r="AS10935" i="32"/>
  <c r="AS10936" i="32"/>
  <c r="AS10937" i="32"/>
  <c r="AS10938" i="32"/>
  <c r="AS10939" i="32"/>
  <c r="AS10940" i="32"/>
  <c r="AS10941" i="32"/>
  <c r="AS10942" i="32"/>
  <c r="AS10943" i="32"/>
  <c r="AS10944" i="32"/>
  <c r="AS10945" i="32"/>
  <c r="AS10946" i="32"/>
  <c r="AS10947" i="32"/>
  <c r="AS10948" i="32"/>
  <c r="AS10949" i="32"/>
  <c r="AS10950" i="32"/>
  <c r="AS10951" i="32"/>
  <c r="AS10952" i="32"/>
  <c r="AS10953" i="32"/>
  <c r="AS10954" i="32"/>
  <c r="AS10955" i="32"/>
  <c r="AS10956" i="32"/>
  <c r="AS10957" i="32"/>
  <c r="AS10958" i="32"/>
  <c r="AS10959" i="32"/>
  <c r="AS10960" i="32"/>
  <c r="AS10961" i="32"/>
  <c r="AS10962" i="32"/>
  <c r="AS10963" i="32"/>
  <c r="AS10964" i="32"/>
  <c r="AS10965" i="32"/>
  <c r="AS10966" i="32"/>
  <c r="AS10967" i="32"/>
  <c r="AS10968" i="32"/>
  <c r="AS10969" i="32"/>
  <c r="AS10970" i="32"/>
  <c r="AS10971" i="32"/>
  <c r="AS10972" i="32"/>
  <c r="AS10973" i="32"/>
  <c r="AS10974" i="32"/>
  <c r="AS10975" i="32"/>
  <c r="AS10976" i="32"/>
  <c r="AS10977" i="32"/>
  <c r="AS10978" i="32"/>
  <c r="AS10979" i="32"/>
  <c r="AS10980" i="32"/>
  <c r="AS10981" i="32"/>
  <c r="AS10982" i="32"/>
  <c r="AS10983" i="32"/>
  <c r="AS10984" i="32"/>
  <c r="AS10985" i="32"/>
  <c r="AS10986" i="32"/>
  <c r="AS10987" i="32"/>
  <c r="AS10988" i="32"/>
  <c r="AS10989" i="32"/>
  <c r="AS10990" i="32"/>
  <c r="AS10991" i="32"/>
  <c r="AS10992" i="32"/>
  <c r="AS10993" i="32"/>
  <c r="AS10994" i="32"/>
  <c r="AS10995" i="32"/>
  <c r="AS10996" i="32"/>
  <c r="AS10997" i="32"/>
  <c r="AS10998" i="32"/>
  <c r="AS10999" i="32"/>
  <c r="AS11000" i="32"/>
  <c r="AS11001" i="32"/>
  <c r="AS11002" i="32"/>
  <c r="AS11003" i="32"/>
  <c r="AS11004" i="32"/>
  <c r="AS11005" i="32"/>
  <c r="AS11006" i="32"/>
  <c r="AS11007" i="32"/>
  <c r="AS11008" i="32"/>
  <c r="AS11009" i="32"/>
  <c r="AS11010" i="32"/>
  <c r="AS11011" i="32"/>
  <c r="AS11012" i="32"/>
  <c r="AS11013" i="32"/>
  <c r="AS11014" i="32"/>
  <c r="AS11015" i="32"/>
  <c r="AS11016" i="32"/>
  <c r="AS11017" i="32"/>
  <c r="AS11018" i="32"/>
  <c r="AS11019" i="32"/>
  <c r="AS11020" i="32"/>
  <c r="AS11021" i="32"/>
  <c r="AS11022" i="32"/>
  <c r="AS11023" i="32"/>
  <c r="AS11024" i="32"/>
  <c r="AS11025" i="32"/>
  <c r="AS11026" i="32"/>
  <c r="AS11027" i="32"/>
  <c r="AS11028" i="32"/>
  <c r="AS11029" i="32"/>
  <c r="AS11030" i="32"/>
  <c r="AS11031" i="32"/>
  <c r="AS11032" i="32"/>
  <c r="AS11033" i="32"/>
  <c r="AS11034" i="32"/>
  <c r="AS11035" i="32"/>
  <c r="AS11036" i="32"/>
  <c r="AS11037" i="32"/>
  <c r="AS11038" i="32"/>
  <c r="AS11039" i="32"/>
  <c r="AS11040" i="32"/>
  <c r="AS11041" i="32"/>
  <c r="AS11042" i="32"/>
  <c r="AS11043" i="32"/>
  <c r="AS11044" i="32"/>
  <c r="AS11045" i="32"/>
  <c r="AS11046" i="32"/>
  <c r="AS11047" i="32"/>
  <c r="AS11048" i="32"/>
  <c r="AS11049" i="32"/>
  <c r="AS11050" i="32"/>
  <c r="AS11051" i="32"/>
  <c r="AS11052" i="32"/>
  <c r="AS11053" i="32"/>
  <c r="AS11054" i="32"/>
  <c r="AS11055" i="32"/>
  <c r="AS11056" i="32"/>
  <c r="AS11057" i="32"/>
  <c r="AS11058" i="32"/>
  <c r="AS11059" i="32"/>
  <c r="AS11060" i="32"/>
  <c r="AS11061" i="32"/>
  <c r="AS11062" i="32"/>
  <c r="AS11063" i="32"/>
  <c r="AS11064" i="32"/>
  <c r="AS11065" i="32"/>
  <c r="AS11066" i="32"/>
  <c r="AS11067" i="32"/>
  <c r="AS11068" i="32"/>
  <c r="AS11069" i="32"/>
  <c r="AS11070" i="32"/>
  <c r="AS11071" i="32"/>
  <c r="AS11072" i="32"/>
  <c r="AS11073" i="32"/>
  <c r="AS11074" i="32"/>
  <c r="AS11075" i="32"/>
  <c r="AS11076" i="32"/>
  <c r="AS11077" i="32"/>
  <c r="AS11078" i="32"/>
  <c r="AS11079" i="32"/>
  <c r="AS11080" i="32"/>
  <c r="AS11081" i="32"/>
  <c r="AS11082" i="32"/>
  <c r="AS11083" i="32"/>
  <c r="AS11084" i="32"/>
  <c r="AS11085" i="32"/>
  <c r="AS11086" i="32"/>
  <c r="AS11087" i="32"/>
  <c r="AS11088" i="32"/>
  <c r="AS11089" i="32"/>
  <c r="AS11090" i="32"/>
  <c r="AS11091" i="32"/>
  <c r="AS11092" i="32"/>
  <c r="AS11093" i="32"/>
  <c r="AS11094" i="32"/>
  <c r="AS11095" i="32"/>
  <c r="AS11096" i="32"/>
  <c r="AS11097" i="32"/>
  <c r="AS11098" i="32"/>
  <c r="AS11099" i="32"/>
  <c r="AS11100" i="32"/>
  <c r="AS11101" i="32"/>
  <c r="AS11102" i="32"/>
  <c r="AS11103" i="32"/>
  <c r="AS11104" i="32"/>
  <c r="AS11105" i="32"/>
  <c r="AS11106" i="32"/>
  <c r="AS11107" i="32"/>
  <c r="AS11108" i="32"/>
  <c r="AS11109" i="32"/>
  <c r="AS11110" i="32"/>
  <c r="AS11111" i="32"/>
  <c r="AS11112" i="32"/>
  <c r="AS11113" i="32"/>
  <c r="AS11114" i="32"/>
  <c r="AS11115" i="32"/>
  <c r="AS11116" i="32"/>
  <c r="AS11117" i="32"/>
  <c r="AS11118" i="32"/>
  <c r="AS11119" i="32"/>
  <c r="AS11120" i="32"/>
  <c r="AS11121" i="32"/>
  <c r="AS11122" i="32"/>
  <c r="AS11123" i="32"/>
  <c r="AS11124" i="32"/>
  <c r="AS11125" i="32"/>
  <c r="AS11126" i="32"/>
  <c r="AS11127" i="32"/>
  <c r="AS11128" i="32"/>
  <c r="AS11129" i="32"/>
  <c r="AS11130" i="32"/>
  <c r="AS11131" i="32"/>
  <c r="AS11132" i="32"/>
  <c r="AS11133" i="32"/>
  <c r="AS11134" i="32"/>
  <c r="AS11135" i="32"/>
  <c r="AS11136" i="32"/>
  <c r="AS11137" i="32"/>
  <c r="AS11138" i="32"/>
  <c r="AS11139" i="32"/>
  <c r="AS11140" i="32"/>
  <c r="AS11141" i="32"/>
  <c r="AS11142" i="32"/>
  <c r="AS11143" i="32"/>
  <c r="AS11144" i="32"/>
  <c r="AS11145" i="32"/>
  <c r="AS11146" i="32"/>
  <c r="AS11147" i="32"/>
  <c r="AS11148" i="32"/>
  <c r="AS11149" i="32"/>
  <c r="AS11150" i="32"/>
  <c r="AS11151" i="32"/>
  <c r="AS11152" i="32"/>
  <c r="AS11153" i="32"/>
  <c r="AS11154" i="32"/>
  <c r="AS11155" i="32"/>
  <c r="AS11156" i="32"/>
  <c r="AS11157" i="32"/>
  <c r="AS11158" i="32"/>
  <c r="AS11159" i="32"/>
  <c r="AS11160" i="32"/>
  <c r="AS11161" i="32"/>
  <c r="AS11162" i="32"/>
  <c r="AS11163" i="32"/>
  <c r="AS11164" i="32"/>
  <c r="AS11165" i="32"/>
  <c r="AS11166" i="32"/>
  <c r="AS11167" i="32"/>
  <c r="AS11168" i="32"/>
  <c r="AS11169" i="32"/>
  <c r="AS11170" i="32"/>
  <c r="AS11171" i="32"/>
  <c r="AS11172" i="32"/>
  <c r="AS11173" i="32"/>
  <c r="AS11174" i="32"/>
  <c r="AS11175" i="32"/>
  <c r="AS11176" i="32"/>
  <c r="AS11177" i="32"/>
  <c r="AS11178" i="32"/>
  <c r="AS11179" i="32"/>
  <c r="AS11180" i="32"/>
  <c r="AS11181" i="32"/>
  <c r="AS11182" i="32"/>
  <c r="AS11183" i="32"/>
  <c r="AS11184" i="32"/>
  <c r="AS11185" i="32"/>
  <c r="AS11186" i="32"/>
  <c r="AS11187" i="32"/>
  <c r="AS11188" i="32"/>
  <c r="AS11189" i="32"/>
  <c r="AS11190" i="32"/>
  <c r="AS11191" i="32"/>
  <c r="AS11192" i="32"/>
  <c r="AS11193" i="32"/>
  <c r="AS11194" i="32"/>
  <c r="AS11195" i="32"/>
  <c r="AS11196" i="32"/>
  <c r="AS11197" i="32"/>
  <c r="AS11198" i="32"/>
  <c r="AS11199" i="32"/>
  <c r="AS11200" i="32"/>
  <c r="AS11201" i="32"/>
  <c r="AS11202" i="32"/>
  <c r="AS11203" i="32"/>
  <c r="AS11204" i="32"/>
  <c r="AS11205" i="32"/>
  <c r="AS11206" i="32"/>
  <c r="AS11207" i="32"/>
  <c r="AS11208" i="32"/>
  <c r="AS11209" i="32"/>
  <c r="AS11210" i="32"/>
  <c r="AS11211" i="32"/>
  <c r="AS11212" i="32"/>
  <c r="AS11213" i="32"/>
  <c r="AS11214" i="32"/>
  <c r="AS11215" i="32"/>
  <c r="AS11216" i="32"/>
  <c r="AS11217" i="32"/>
  <c r="AS11218" i="32"/>
  <c r="AS11219" i="32"/>
  <c r="AS11220" i="32"/>
  <c r="AS11221" i="32"/>
  <c r="AS11222" i="32"/>
  <c r="AS11223" i="32"/>
  <c r="AS11224" i="32"/>
  <c r="AS11225" i="32"/>
  <c r="AS11226" i="32"/>
  <c r="AS11227" i="32"/>
  <c r="AS11228" i="32"/>
  <c r="AS11229" i="32"/>
  <c r="AS11230" i="32"/>
  <c r="AS11231" i="32"/>
  <c r="AS11232" i="32"/>
  <c r="AS11233" i="32"/>
  <c r="AS11234" i="32"/>
  <c r="AS11235" i="32"/>
  <c r="AS11236" i="32"/>
  <c r="AS11237" i="32"/>
  <c r="AS11238" i="32"/>
  <c r="AS11239" i="32"/>
  <c r="AS11240" i="32"/>
  <c r="AS11241" i="32"/>
  <c r="AS11242" i="32"/>
  <c r="AS11243" i="32"/>
  <c r="AS11244" i="32"/>
  <c r="AS11245" i="32"/>
  <c r="AS11246" i="32"/>
  <c r="AS11247" i="32"/>
  <c r="AS11248" i="32"/>
  <c r="AS11249" i="32"/>
  <c r="AS11250" i="32"/>
  <c r="AS11251" i="32"/>
  <c r="AS11252" i="32"/>
  <c r="AS11253" i="32"/>
  <c r="AS11254" i="32"/>
  <c r="AS11255" i="32"/>
  <c r="AS11256" i="32"/>
  <c r="AS11257" i="32"/>
  <c r="AS11258" i="32"/>
  <c r="AS11259" i="32"/>
  <c r="AS11260" i="32"/>
  <c r="AS11261" i="32"/>
  <c r="AS11262" i="32"/>
  <c r="AS11263" i="32"/>
  <c r="AS11264" i="32"/>
  <c r="AS11265" i="32"/>
  <c r="AS11266" i="32"/>
  <c r="AS11267" i="32"/>
  <c r="AS11268" i="32"/>
  <c r="AS11269" i="32"/>
  <c r="AS11270" i="32"/>
  <c r="AS11271" i="32"/>
  <c r="AS11272" i="32"/>
  <c r="AS11273" i="32"/>
  <c r="AS11274" i="32"/>
  <c r="AS11275" i="32"/>
  <c r="AS11276" i="32"/>
  <c r="AS11277" i="32"/>
  <c r="AS11278" i="32"/>
  <c r="AS11279" i="32"/>
  <c r="AS11280" i="32"/>
  <c r="AS11281" i="32"/>
  <c r="AS11282" i="32"/>
  <c r="AS11283" i="32"/>
  <c r="AS11284" i="32"/>
  <c r="AS11285" i="32"/>
  <c r="AS11286" i="32"/>
  <c r="AS11287" i="32"/>
  <c r="AS11288" i="32"/>
  <c r="AS11289" i="32"/>
  <c r="AS11290" i="32"/>
  <c r="AS11291" i="32"/>
  <c r="AS11292" i="32"/>
  <c r="AS11293" i="32"/>
  <c r="AS11294" i="32"/>
  <c r="AS11295" i="32"/>
  <c r="AS11296" i="32"/>
  <c r="AS11297" i="32"/>
  <c r="AS11298" i="32"/>
  <c r="AS11299" i="32"/>
  <c r="AS11300" i="32"/>
  <c r="AS11301" i="32"/>
  <c r="AS11302" i="32"/>
  <c r="AS11303" i="32"/>
  <c r="AS11304" i="32"/>
  <c r="AS11305" i="32"/>
  <c r="AS11306" i="32"/>
  <c r="AS11307" i="32"/>
  <c r="AS11308" i="32"/>
  <c r="AS11309" i="32"/>
  <c r="AS11310" i="32"/>
  <c r="AS11311" i="32"/>
  <c r="AS11312" i="32"/>
  <c r="AS11313" i="32"/>
  <c r="AS11314" i="32"/>
  <c r="AS11315" i="32"/>
  <c r="AS11316" i="32"/>
  <c r="AS11317" i="32"/>
  <c r="AS11318" i="32"/>
  <c r="AS11319" i="32"/>
  <c r="AS11320" i="32"/>
  <c r="AS11321" i="32"/>
  <c r="AS11322" i="32"/>
  <c r="AS11323" i="32"/>
  <c r="AS11324" i="32"/>
  <c r="AS11325" i="32"/>
  <c r="AS11326" i="32"/>
  <c r="AS11327" i="32"/>
  <c r="AS11328" i="32"/>
  <c r="AS11329" i="32"/>
  <c r="AS11330" i="32"/>
  <c r="AS11331" i="32"/>
  <c r="AS11332" i="32"/>
  <c r="AS11333" i="32"/>
  <c r="AS11334" i="32"/>
  <c r="AS11335" i="32"/>
  <c r="AS11336" i="32"/>
  <c r="AS11337" i="32"/>
  <c r="AS11338" i="32"/>
  <c r="AS11339" i="32"/>
  <c r="AS11340" i="32"/>
  <c r="AS11341" i="32"/>
  <c r="AS11342" i="32"/>
  <c r="AS11343" i="32"/>
  <c r="AS11344" i="32"/>
  <c r="AS11345" i="32"/>
  <c r="AS11346" i="32"/>
  <c r="AS11347" i="32"/>
  <c r="AS11348" i="32"/>
  <c r="AS11349" i="32"/>
  <c r="AS11350" i="32"/>
  <c r="AS11351" i="32"/>
  <c r="AS11352" i="32"/>
  <c r="AS11353" i="32"/>
  <c r="AS11354" i="32"/>
  <c r="AS11355" i="32"/>
  <c r="AS11356" i="32"/>
  <c r="AS11357" i="32"/>
  <c r="AS11358" i="32"/>
  <c r="AS11359" i="32"/>
  <c r="AS11360" i="32"/>
  <c r="AS11361" i="32"/>
  <c r="AS11362" i="32"/>
  <c r="AS11363" i="32"/>
  <c r="AS11364" i="32"/>
  <c r="AS11365" i="32"/>
  <c r="AS11366" i="32"/>
  <c r="AS11367" i="32"/>
  <c r="AS11368" i="32"/>
  <c r="AS11369" i="32"/>
  <c r="AS11370" i="32"/>
  <c r="AS11371" i="32"/>
  <c r="AS11372" i="32"/>
  <c r="AS11373" i="32"/>
  <c r="AS11374" i="32"/>
  <c r="AS11375" i="32"/>
  <c r="AS11376" i="32"/>
  <c r="AS11377" i="32"/>
  <c r="AS11378" i="32"/>
  <c r="AS11379" i="32"/>
  <c r="AS11380" i="32"/>
  <c r="AS11381" i="32"/>
  <c r="AS11382" i="32"/>
  <c r="AS11383" i="32"/>
  <c r="AS11384" i="32"/>
  <c r="AS11385" i="32"/>
  <c r="AS11386" i="32"/>
  <c r="AS11387" i="32"/>
  <c r="AS11388" i="32"/>
  <c r="AS11389" i="32"/>
  <c r="AS11390" i="32"/>
  <c r="AS11391" i="32"/>
  <c r="AS11392" i="32"/>
  <c r="AS11393" i="32"/>
  <c r="AS11394" i="32"/>
  <c r="AS11395" i="32"/>
  <c r="AS11396" i="32"/>
  <c r="AS11397" i="32"/>
  <c r="AS11398" i="32"/>
  <c r="AS11399" i="32"/>
  <c r="AS11400" i="32"/>
  <c r="AS11401" i="32"/>
  <c r="AS11402" i="32"/>
  <c r="AS11403" i="32"/>
  <c r="AS11404" i="32"/>
  <c r="AS11405" i="32"/>
  <c r="AS11406" i="32"/>
  <c r="AS11407" i="32"/>
  <c r="AS11408" i="32"/>
  <c r="AS11409" i="32"/>
  <c r="AS11410" i="32"/>
  <c r="AS11411" i="32"/>
  <c r="AS11412" i="32"/>
  <c r="AS11413" i="32"/>
  <c r="AS11414" i="32"/>
  <c r="AS11415" i="32"/>
  <c r="AS11416" i="32"/>
  <c r="AS11417" i="32"/>
  <c r="AS11418" i="32"/>
  <c r="AS11419" i="32"/>
  <c r="AS11420" i="32"/>
  <c r="AS11421" i="32"/>
  <c r="AS11422" i="32"/>
  <c r="AS11423" i="32"/>
  <c r="AS11424" i="32"/>
  <c r="AS11425" i="32"/>
  <c r="AS11426" i="32"/>
  <c r="AS11427" i="32"/>
  <c r="AS11428" i="32"/>
  <c r="AS11429" i="32"/>
  <c r="AS11430" i="32"/>
  <c r="AS11431" i="32"/>
  <c r="AS11432" i="32"/>
  <c r="AS11433" i="32"/>
  <c r="AS11434" i="32"/>
  <c r="AS11435" i="32"/>
  <c r="AS11436" i="32"/>
  <c r="AS11437" i="32"/>
  <c r="AS11438" i="32"/>
  <c r="AS11439" i="32"/>
  <c r="AS11440" i="32"/>
  <c r="AS11441" i="32"/>
  <c r="AS11442" i="32"/>
  <c r="AS11443" i="32"/>
  <c r="AS11444" i="32"/>
  <c r="AS11445" i="32"/>
  <c r="AS11446" i="32"/>
  <c r="AS11447" i="32"/>
  <c r="AS11448" i="32"/>
  <c r="AS11449" i="32"/>
  <c r="AS11450" i="32"/>
  <c r="AS11451" i="32"/>
  <c r="AS11452" i="32"/>
  <c r="AS11453" i="32"/>
  <c r="AS11454" i="32"/>
  <c r="AS11455" i="32"/>
  <c r="AS11456" i="32"/>
  <c r="AS11457" i="32"/>
  <c r="AS11458" i="32"/>
  <c r="AS11459" i="32"/>
  <c r="AS11460" i="32"/>
  <c r="AS11461" i="32"/>
  <c r="AS11462" i="32"/>
  <c r="AS11463" i="32"/>
  <c r="AS11464" i="32"/>
  <c r="AS11465" i="32"/>
  <c r="AS11466" i="32"/>
  <c r="AS11467" i="32"/>
  <c r="AS11468" i="32"/>
  <c r="AS11469" i="32"/>
  <c r="AS11470" i="32"/>
  <c r="AS11471" i="32"/>
  <c r="AS11472" i="32"/>
  <c r="AS11473" i="32"/>
  <c r="AS11474" i="32"/>
  <c r="AS11475" i="32"/>
  <c r="AS11476" i="32"/>
  <c r="AS11477" i="32"/>
  <c r="AS11478" i="32"/>
  <c r="AS11479" i="32"/>
  <c r="AS11480" i="32"/>
  <c r="AS11481" i="32"/>
  <c r="AS11482" i="32"/>
  <c r="AS11483" i="32"/>
  <c r="AS11484" i="32"/>
  <c r="AS11485" i="32"/>
  <c r="AS11486" i="32"/>
  <c r="AS11487" i="32"/>
  <c r="AS11488" i="32"/>
  <c r="AS11489" i="32"/>
  <c r="AS11490" i="32"/>
  <c r="AS11491" i="32"/>
  <c r="AS11492" i="32"/>
  <c r="AS11493" i="32"/>
  <c r="AS11494" i="32"/>
  <c r="AS11495" i="32"/>
  <c r="AS11496" i="32"/>
  <c r="AS11497" i="32"/>
  <c r="AS11498" i="32"/>
  <c r="AS11499" i="32"/>
  <c r="AS11500" i="32"/>
  <c r="AS11501" i="32"/>
  <c r="AS11502" i="32"/>
  <c r="AS11503" i="32"/>
  <c r="AS11504" i="32"/>
  <c r="AS11505" i="32"/>
  <c r="AS11506" i="32"/>
  <c r="AS11507" i="32"/>
  <c r="AS11508" i="32"/>
  <c r="AS11509" i="32"/>
  <c r="AS11510" i="32"/>
  <c r="AS11511" i="32"/>
  <c r="AS11512" i="32"/>
  <c r="AS11513" i="32"/>
  <c r="AS11514" i="32"/>
  <c r="AS11515" i="32"/>
  <c r="AS11516" i="32"/>
  <c r="AS11517" i="32"/>
  <c r="AS11518" i="32"/>
  <c r="AS11519" i="32"/>
  <c r="AS11520" i="32"/>
  <c r="AS11521" i="32"/>
  <c r="AS11522" i="32"/>
  <c r="AS11523" i="32"/>
  <c r="AS11524" i="32"/>
  <c r="AS11525" i="32"/>
  <c r="AS11526" i="32"/>
  <c r="AS11527" i="32"/>
  <c r="AS11528" i="32"/>
  <c r="AS11529" i="32"/>
  <c r="AS11530" i="32"/>
  <c r="AS11531" i="32"/>
  <c r="AS11532" i="32"/>
  <c r="AS11533" i="32"/>
  <c r="AS11534" i="32"/>
  <c r="AS11535" i="32"/>
  <c r="AS11536" i="32"/>
  <c r="AS11537" i="32"/>
  <c r="AS11538" i="32"/>
  <c r="AS11539" i="32"/>
  <c r="AS11540" i="32"/>
  <c r="AS11541" i="32"/>
  <c r="AS11542" i="32"/>
  <c r="AS11543" i="32"/>
  <c r="AS11544" i="32"/>
  <c r="AS11545" i="32"/>
  <c r="AS11546" i="32"/>
  <c r="AS11547" i="32"/>
  <c r="AS11548" i="32"/>
  <c r="AS11549" i="32"/>
  <c r="AS11550" i="32"/>
  <c r="AS11551" i="32"/>
  <c r="AS11552" i="32"/>
  <c r="AS11553" i="32"/>
  <c r="AS11554" i="32"/>
  <c r="AS11555" i="32"/>
  <c r="AS11556" i="32"/>
  <c r="AS11557" i="32"/>
  <c r="AS11558" i="32"/>
  <c r="AS11559" i="32"/>
  <c r="AS11560" i="32"/>
  <c r="AS11561" i="32"/>
  <c r="AS11562" i="32"/>
  <c r="AS11563" i="32"/>
  <c r="AS11564" i="32"/>
  <c r="AS11565" i="32"/>
  <c r="AS11566" i="32"/>
  <c r="AS11567" i="32"/>
  <c r="AS11568" i="32"/>
  <c r="AS11569" i="32"/>
  <c r="AS11570" i="32"/>
  <c r="AS11571" i="32"/>
  <c r="AS11572" i="32"/>
  <c r="AS11573" i="32"/>
  <c r="AS11574" i="32"/>
  <c r="AS11575" i="32"/>
  <c r="AS11576" i="32"/>
  <c r="AS11577" i="32"/>
  <c r="AS11578" i="32"/>
  <c r="AS11579" i="32"/>
  <c r="AS11580" i="32"/>
  <c r="AS11581" i="32"/>
  <c r="AS11582" i="32"/>
  <c r="AS11583" i="32"/>
  <c r="AS11584" i="32"/>
  <c r="AS11585" i="32"/>
  <c r="AS11586" i="32"/>
  <c r="AS11587" i="32"/>
  <c r="AS11588" i="32"/>
  <c r="AS11589" i="32"/>
  <c r="AS11590" i="32"/>
  <c r="AS11591" i="32"/>
  <c r="AS11592" i="32"/>
  <c r="AS11593" i="32"/>
  <c r="AS11594" i="32"/>
  <c r="AS11595" i="32"/>
  <c r="AS11596" i="32"/>
  <c r="AS11597" i="32"/>
  <c r="AS11598" i="32"/>
  <c r="AS11599" i="32"/>
  <c r="AS11600" i="32"/>
  <c r="AS11601" i="32"/>
  <c r="AS11602" i="32"/>
  <c r="AS11603" i="32"/>
  <c r="AS11604" i="32"/>
  <c r="AS11605" i="32"/>
  <c r="AS11606" i="32"/>
  <c r="AS11607" i="32"/>
  <c r="AS11608" i="32"/>
  <c r="AS11609" i="32"/>
  <c r="AS11610" i="32"/>
  <c r="AS11611" i="32"/>
  <c r="AS11612" i="32"/>
  <c r="AS11613" i="32"/>
  <c r="AS11614" i="32"/>
  <c r="AS11615" i="32"/>
  <c r="AS11616" i="32"/>
  <c r="AS11617" i="32"/>
  <c r="AS11618" i="32"/>
  <c r="AS11619" i="32"/>
  <c r="AS11620" i="32"/>
  <c r="AS11621" i="32"/>
  <c r="AS11622" i="32"/>
  <c r="AS11623" i="32"/>
  <c r="AS11624" i="32"/>
  <c r="AS11625" i="32"/>
  <c r="AS11626" i="32"/>
  <c r="AS11627" i="32"/>
  <c r="AS11628" i="32"/>
  <c r="AS11629" i="32"/>
  <c r="AS11630" i="32"/>
  <c r="AS11631" i="32"/>
  <c r="AS11632" i="32"/>
  <c r="AS11633" i="32"/>
  <c r="AS11634" i="32"/>
  <c r="AS11635" i="32"/>
  <c r="AS11636" i="32"/>
  <c r="AS11637" i="32"/>
  <c r="AS11638" i="32"/>
  <c r="AS11639" i="32"/>
  <c r="AS11640" i="32"/>
  <c r="AS11641" i="32"/>
  <c r="AS11642" i="32"/>
  <c r="AS11643" i="32"/>
  <c r="AS11644" i="32"/>
  <c r="AS11645" i="32"/>
  <c r="AS11646" i="32"/>
  <c r="AS11647" i="32"/>
  <c r="AS11648" i="32"/>
  <c r="AS11649" i="32"/>
  <c r="AS11650" i="32"/>
  <c r="AS11651" i="32"/>
  <c r="AS11652" i="32"/>
  <c r="AS11653" i="32"/>
  <c r="AS11654" i="32"/>
  <c r="AS11655" i="32"/>
  <c r="AS11656" i="32"/>
  <c r="AS11657" i="32"/>
  <c r="AS11658" i="32"/>
  <c r="AS11659" i="32"/>
  <c r="AS11660" i="32"/>
  <c r="AS11661" i="32"/>
  <c r="AS11662" i="32"/>
  <c r="AS11663" i="32"/>
  <c r="AS11664" i="32"/>
  <c r="AS11665" i="32"/>
  <c r="AS11666" i="32"/>
  <c r="AS11667" i="32"/>
  <c r="AS11668" i="32"/>
  <c r="AS11669" i="32"/>
  <c r="AS11670" i="32"/>
  <c r="AS11671" i="32"/>
  <c r="AS11672" i="32"/>
  <c r="AS11673" i="32"/>
  <c r="AS11674" i="32"/>
  <c r="AS11675" i="32"/>
  <c r="AS11676" i="32"/>
  <c r="AS11677" i="32"/>
  <c r="AS11678" i="32"/>
  <c r="AS11679" i="32"/>
  <c r="AS11680" i="32"/>
  <c r="AS11681" i="32"/>
  <c r="AS11682" i="32"/>
  <c r="AS11683" i="32"/>
  <c r="AS11684" i="32"/>
  <c r="AS11685" i="32"/>
  <c r="AS11686" i="32"/>
  <c r="AS11687" i="32"/>
  <c r="AS11688" i="32"/>
  <c r="AS11689" i="32"/>
  <c r="AS11690" i="32"/>
  <c r="AS11691" i="32"/>
  <c r="AS11692" i="32"/>
  <c r="AS11693" i="32"/>
  <c r="AS11694" i="32"/>
  <c r="AS11695" i="32"/>
  <c r="AS11696" i="32"/>
  <c r="AS11697" i="32"/>
  <c r="AS11698" i="32"/>
  <c r="AS11699" i="32"/>
  <c r="AS11700" i="32"/>
  <c r="AS11701" i="32"/>
  <c r="AS11702" i="32"/>
  <c r="AS11703" i="32"/>
  <c r="AS11704" i="32"/>
  <c r="AS11705" i="32"/>
  <c r="AS11706" i="32"/>
  <c r="AS11707" i="32"/>
  <c r="AS11708" i="32"/>
  <c r="AS11709" i="32"/>
  <c r="AS11710" i="32"/>
  <c r="AS11711" i="32"/>
  <c r="AS11712" i="32"/>
  <c r="AS11713" i="32"/>
  <c r="AS11714" i="32"/>
  <c r="AS11715" i="32"/>
  <c r="AS11716" i="32"/>
  <c r="AS11717" i="32"/>
  <c r="AS11718" i="32"/>
  <c r="AS11719" i="32"/>
  <c r="AS11720" i="32"/>
  <c r="AS11721" i="32"/>
  <c r="AS11722" i="32"/>
  <c r="AS11723" i="32"/>
  <c r="AS11724" i="32"/>
  <c r="AS11725" i="32"/>
  <c r="AS11726" i="32"/>
  <c r="AS11727" i="32"/>
  <c r="AS11728" i="32"/>
  <c r="AS11729" i="32"/>
  <c r="AS11730" i="32"/>
  <c r="AS11731" i="32"/>
  <c r="AS11732" i="32"/>
  <c r="AS11733" i="32"/>
  <c r="AS11734" i="32"/>
  <c r="AS11735" i="32"/>
  <c r="AS11736" i="32"/>
  <c r="AS11737" i="32"/>
  <c r="AS11738" i="32"/>
  <c r="AS11739" i="32"/>
  <c r="AS11740" i="32"/>
  <c r="AS11741" i="32"/>
  <c r="AS11742" i="32"/>
  <c r="AS11743" i="32"/>
  <c r="AS11744" i="32"/>
  <c r="AS11745" i="32"/>
  <c r="AS11746" i="32"/>
  <c r="AS11747" i="32"/>
  <c r="AS11748" i="32"/>
  <c r="AS11749" i="32"/>
  <c r="AS11750" i="32"/>
  <c r="AS11751" i="32"/>
  <c r="AS11752" i="32"/>
  <c r="AS11753" i="32"/>
  <c r="AS11754" i="32"/>
  <c r="AS11755" i="32"/>
  <c r="AS11756" i="32"/>
  <c r="AS11757" i="32"/>
  <c r="AS11758" i="32"/>
  <c r="AS11759" i="32"/>
  <c r="AS11760" i="32"/>
  <c r="AS11761" i="32"/>
  <c r="AS11762" i="32"/>
  <c r="AS11763" i="32"/>
  <c r="AS11764" i="32"/>
  <c r="AS11765" i="32"/>
  <c r="AS11766" i="32"/>
  <c r="AS11767" i="32"/>
  <c r="AS11768" i="32"/>
  <c r="AS11769" i="32"/>
  <c r="AS11770" i="32"/>
  <c r="AS11771" i="32"/>
  <c r="AS11772" i="32"/>
  <c r="AS11773" i="32"/>
  <c r="AS11774" i="32"/>
  <c r="AS11775" i="32"/>
  <c r="AS11776" i="32"/>
  <c r="AS11777" i="32"/>
  <c r="AS11778" i="32"/>
  <c r="AS11779" i="32"/>
  <c r="AS11780" i="32"/>
  <c r="AS11781" i="32"/>
  <c r="AS11782" i="32"/>
  <c r="AS11783" i="32"/>
  <c r="AS11784" i="32"/>
  <c r="AS11785" i="32"/>
  <c r="AS11786" i="32"/>
  <c r="AS11787" i="32"/>
  <c r="AS11788" i="32"/>
  <c r="AS11789" i="32"/>
  <c r="AS11790" i="32"/>
  <c r="AS11791" i="32"/>
  <c r="AS11792" i="32"/>
  <c r="AS11793" i="32"/>
  <c r="AS11794" i="32"/>
  <c r="AS11795" i="32"/>
  <c r="AS11796" i="32"/>
  <c r="AS11797" i="32"/>
  <c r="AS11798" i="32"/>
  <c r="AS11799" i="32"/>
  <c r="AS11800" i="32"/>
  <c r="AS11801" i="32"/>
  <c r="AS11802" i="32"/>
  <c r="AS11803" i="32"/>
  <c r="AS11804" i="32"/>
  <c r="AS11805" i="32"/>
  <c r="AS11806" i="32"/>
  <c r="AS11807" i="32"/>
  <c r="AS11808" i="32"/>
  <c r="AS11809" i="32"/>
  <c r="AS11810" i="32"/>
  <c r="AS11811" i="32"/>
  <c r="AS11812" i="32"/>
  <c r="AS11813" i="32"/>
  <c r="AS11814" i="32"/>
  <c r="AS11815" i="32"/>
  <c r="AS11816" i="32"/>
  <c r="AS11817" i="32"/>
  <c r="AS11818" i="32"/>
  <c r="AS11819" i="32"/>
  <c r="AS11820" i="32"/>
  <c r="AS11821" i="32"/>
  <c r="AS11822" i="32"/>
  <c r="AS11823" i="32"/>
  <c r="AS11824" i="32"/>
  <c r="AS11825" i="32"/>
  <c r="AS11826" i="32"/>
  <c r="AS11827" i="32"/>
  <c r="AS11828" i="32"/>
  <c r="AS11829" i="32"/>
  <c r="AS11830" i="32"/>
  <c r="AS11831" i="32"/>
  <c r="AS11832" i="32"/>
  <c r="AS11833" i="32"/>
  <c r="AS11834" i="32"/>
  <c r="AS11835" i="32"/>
  <c r="AS11836" i="32"/>
  <c r="AS11837" i="32"/>
  <c r="AS11838" i="32"/>
  <c r="AS11839" i="32"/>
  <c r="AS11840" i="32"/>
  <c r="AS11841" i="32"/>
  <c r="AS11842" i="32"/>
  <c r="AS11843" i="32"/>
  <c r="AS11844" i="32"/>
  <c r="AS11845" i="32"/>
  <c r="AS11846" i="32"/>
  <c r="AS11847" i="32"/>
  <c r="AS11848" i="32"/>
  <c r="AS11849" i="32"/>
  <c r="AS11850" i="32"/>
  <c r="AS11851" i="32"/>
  <c r="AS11852" i="32"/>
  <c r="AS11853" i="32"/>
  <c r="AS11854" i="32"/>
  <c r="AS11855" i="32"/>
  <c r="AS11856" i="32"/>
  <c r="AS11857" i="32"/>
  <c r="AS11858" i="32"/>
  <c r="AS11859" i="32"/>
  <c r="AS11860" i="32"/>
  <c r="AS11861" i="32"/>
  <c r="AS11862" i="32"/>
  <c r="AS11863" i="32"/>
  <c r="AS11864" i="32"/>
  <c r="AS11865" i="32"/>
  <c r="AS11866" i="32"/>
  <c r="AS11867" i="32"/>
  <c r="AS11868" i="32"/>
  <c r="AS11869" i="32"/>
  <c r="AS11870" i="32"/>
  <c r="AS11871" i="32"/>
  <c r="AS11872" i="32"/>
  <c r="AS11873" i="32"/>
  <c r="AS11874" i="32"/>
  <c r="AS11875" i="32"/>
  <c r="AS11876" i="32"/>
  <c r="AS11877" i="32"/>
  <c r="AS11878" i="32"/>
  <c r="AS11879" i="32"/>
  <c r="AS11880" i="32"/>
  <c r="AS11881" i="32"/>
  <c r="AS11882" i="32"/>
  <c r="AS11883" i="32"/>
  <c r="AS11884" i="32"/>
  <c r="AS11885" i="32"/>
  <c r="AS11886" i="32"/>
  <c r="AS11887" i="32"/>
  <c r="AS11888" i="32"/>
  <c r="AS11889" i="32"/>
  <c r="AS11890" i="32"/>
  <c r="AS11891" i="32"/>
  <c r="AS11892" i="32"/>
  <c r="AS11893" i="32"/>
  <c r="AS11894" i="32"/>
  <c r="AS11895" i="32"/>
  <c r="AS11896" i="32"/>
  <c r="AS11897" i="32"/>
  <c r="AS11898" i="32"/>
  <c r="AS11899" i="32"/>
  <c r="AS11900" i="32"/>
  <c r="AS11901" i="32"/>
  <c r="AS11902" i="32"/>
  <c r="AS11903" i="32"/>
  <c r="AS11904" i="32"/>
  <c r="AS11905" i="32"/>
  <c r="AS11906" i="32"/>
  <c r="AS11907" i="32"/>
  <c r="AS11908" i="32"/>
  <c r="AS11909" i="32"/>
  <c r="AS11910" i="32"/>
  <c r="AS11911" i="32"/>
  <c r="AS11912" i="32"/>
  <c r="AS11913" i="32"/>
  <c r="AS11914" i="32"/>
  <c r="AS11915" i="32"/>
  <c r="AS11916" i="32"/>
  <c r="AS11917" i="32"/>
  <c r="AS11918" i="32"/>
  <c r="AS11919" i="32"/>
  <c r="AS11920" i="32"/>
  <c r="AS11921" i="32"/>
  <c r="AS11922" i="32"/>
  <c r="AS11923" i="32"/>
  <c r="AS11924" i="32"/>
  <c r="AS11925" i="32"/>
  <c r="AS11926" i="32"/>
  <c r="AS11927" i="32"/>
  <c r="AS11928" i="32"/>
  <c r="AS11929" i="32"/>
  <c r="AS11930" i="32"/>
  <c r="AS11931" i="32"/>
  <c r="AS11932" i="32"/>
  <c r="AS11933" i="32"/>
  <c r="AS11934" i="32"/>
  <c r="AS11935" i="32"/>
  <c r="AS11936" i="32"/>
  <c r="AS11937" i="32"/>
  <c r="AS11938" i="32"/>
  <c r="AS11939" i="32"/>
  <c r="AS11940" i="32"/>
  <c r="AS11941" i="32"/>
  <c r="AS11942" i="32"/>
  <c r="AS11943" i="32"/>
  <c r="AS11944" i="32"/>
  <c r="AS11945" i="32"/>
  <c r="AS11946" i="32"/>
  <c r="AS11947" i="32"/>
  <c r="AS11948" i="32"/>
  <c r="AS11949" i="32"/>
  <c r="AS11950" i="32"/>
  <c r="AS11951" i="32"/>
  <c r="AS11952" i="32"/>
  <c r="AS11953" i="32"/>
  <c r="AS11954" i="32"/>
  <c r="AS11955" i="32"/>
  <c r="AS11956" i="32"/>
  <c r="AS11957" i="32"/>
  <c r="AS11958" i="32"/>
  <c r="AS11959" i="32"/>
  <c r="AS11960" i="32"/>
  <c r="AS11961" i="32"/>
  <c r="AS11962" i="32"/>
  <c r="AS11963" i="32"/>
  <c r="AS11964" i="32"/>
  <c r="AS11965" i="32"/>
  <c r="AS11966" i="32"/>
  <c r="AS11967" i="32"/>
  <c r="AS11968" i="32"/>
  <c r="AS11969" i="32"/>
  <c r="AS11970" i="32"/>
  <c r="AS11971" i="32"/>
  <c r="AS11972" i="32"/>
  <c r="AS11973" i="32"/>
  <c r="AS11974" i="32"/>
  <c r="AS11975" i="32"/>
  <c r="AS11976" i="32"/>
  <c r="AS11977" i="32"/>
  <c r="AS11978" i="32"/>
  <c r="AS11979" i="32"/>
  <c r="AS11980" i="32"/>
  <c r="AS11981" i="32"/>
  <c r="AS11982" i="32"/>
  <c r="AS11983" i="32"/>
  <c r="AS11984" i="32"/>
  <c r="AS11985" i="32"/>
  <c r="AS11986" i="32"/>
  <c r="AS11987" i="32"/>
  <c r="AS11988" i="32"/>
  <c r="AS11989" i="32"/>
  <c r="AS11990" i="32"/>
  <c r="AS11991" i="32"/>
  <c r="AS11992" i="32"/>
  <c r="AS11993" i="32"/>
  <c r="AS11994" i="32"/>
  <c r="AS11995" i="32"/>
  <c r="AS11996" i="32"/>
  <c r="AS11997" i="32"/>
  <c r="AS11998" i="32"/>
  <c r="AS11999" i="32"/>
  <c r="AS12000" i="32"/>
  <c r="AS12001" i="32"/>
  <c r="AS12002" i="32"/>
  <c r="AS12003" i="32"/>
  <c r="AS12004" i="32"/>
  <c r="AS12005" i="32"/>
  <c r="AS12006" i="32"/>
  <c r="AS12007" i="32"/>
  <c r="AS12008" i="32"/>
  <c r="AS12009" i="32"/>
  <c r="AS12010" i="32"/>
  <c r="AS12011" i="32"/>
  <c r="AS12012" i="32"/>
  <c r="AS12013" i="32"/>
  <c r="AS12014" i="32"/>
  <c r="AS12015" i="32"/>
  <c r="AS12016" i="32"/>
  <c r="AS12017" i="32"/>
  <c r="AS12018" i="32"/>
  <c r="AS12019" i="32"/>
  <c r="AS12020" i="32"/>
  <c r="AS12021" i="32"/>
  <c r="AS12022" i="32"/>
  <c r="AS12023" i="32"/>
  <c r="AS12024" i="32"/>
  <c r="AS12025" i="32"/>
  <c r="AS12026" i="32"/>
  <c r="AS12027" i="32"/>
  <c r="AS12028" i="32"/>
  <c r="AS12029" i="32"/>
  <c r="AS12030" i="32"/>
  <c r="AS12031" i="32"/>
  <c r="AS12032" i="32"/>
  <c r="AS12033" i="32"/>
  <c r="AS12034" i="32"/>
  <c r="AS12035" i="32"/>
  <c r="AS12036" i="32"/>
  <c r="AS12037" i="32"/>
  <c r="AS12038" i="32"/>
  <c r="AS12039" i="32"/>
  <c r="AS12040" i="32"/>
  <c r="AS12041" i="32"/>
  <c r="AS12042" i="32"/>
  <c r="AS12043" i="32"/>
  <c r="AS12044" i="32"/>
  <c r="AS12045" i="32"/>
  <c r="AS12046" i="32"/>
  <c r="AS12047" i="32"/>
  <c r="AS12048" i="32"/>
  <c r="AS12049" i="32"/>
  <c r="AS12050" i="32"/>
  <c r="AS12051" i="32"/>
  <c r="AS12052" i="32"/>
  <c r="AS12053" i="32"/>
  <c r="AS12054" i="32"/>
  <c r="AS12055" i="32"/>
  <c r="AS12056" i="32"/>
  <c r="AS12057" i="32"/>
  <c r="AS12058" i="32"/>
  <c r="AS12059" i="32"/>
  <c r="AS12060" i="32"/>
  <c r="AS12061" i="32"/>
  <c r="AS12062" i="32"/>
  <c r="AS12063" i="32"/>
  <c r="AS12064" i="32"/>
  <c r="AS12065" i="32"/>
  <c r="AS12066" i="32"/>
  <c r="AS12067" i="32"/>
  <c r="AS12068" i="32"/>
  <c r="AS12069" i="32"/>
  <c r="AS12070" i="32"/>
  <c r="AS12071" i="32"/>
  <c r="AS12072" i="32"/>
  <c r="AS12073" i="32"/>
  <c r="AS12074" i="32"/>
  <c r="AS12075" i="32"/>
  <c r="AS12076" i="32"/>
  <c r="AS12077" i="32"/>
  <c r="AS12078" i="32"/>
  <c r="AS12079" i="32"/>
  <c r="AS12080" i="32"/>
  <c r="AS12081" i="32"/>
  <c r="AS12082" i="32"/>
  <c r="AS12083" i="32"/>
  <c r="AS12084" i="32"/>
  <c r="AS12085" i="32"/>
  <c r="AS12086" i="32"/>
  <c r="AS12087" i="32"/>
  <c r="AS12088" i="32"/>
  <c r="AS12089" i="32"/>
  <c r="AS12090" i="32"/>
  <c r="AS12091" i="32"/>
  <c r="AS12092" i="32"/>
  <c r="AS12093" i="32"/>
  <c r="AS12094" i="32"/>
  <c r="AS12095" i="32"/>
  <c r="AS12096" i="32"/>
  <c r="AS12097" i="32"/>
  <c r="AS12098" i="32"/>
  <c r="AS12099" i="32"/>
  <c r="AS12100" i="32"/>
  <c r="AS12101" i="32"/>
  <c r="AS12102" i="32"/>
  <c r="AS12103" i="32"/>
  <c r="AS12104" i="32"/>
  <c r="AS12105" i="32"/>
  <c r="AS12106" i="32"/>
  <c r="AS12107" i="32"/>
  <c r="AS12108" i="32"/>
  <c r="AS12109" i="32"/>
  <c r="AS12110" i="32"/>
  <c r="AS12111" i="32"/>
  <c r="AS12112" i="32"/>
  <c r="AS12113" i="32"/>
  <c r="AS12114" i="32"/>
  <c r="AS12115" i="32"/>
  <c r="AS12116" i="32"/>
  <c r="AS12117" i="32"/>
  <c r="AS12118" i="32"/>
  <c r="AS12119" i="32"/>
  <c r="AS12120" i="32"/>
  <c r="AS12121" i="32"/>
  <c r="AS12122" i="32"/>
  <c r="AS12123" i="32"/>
  <c r="AS12124" i="32"/>
  <c r="AS12125" i="32"/>
  <c r="AS12126" i="32"/>
  <c r="AS12127" i="32"/>
  <c r="AS12128" i="32"/>
  <c r="AS12129" i="32"/>
  <c r="AS12130" i="32"/>
  <c r="AS12131" i="32"/>
  <c r="AS12132" i="32"/>
  <c r="AS12133" i="32"/>
  <c r="AS12134" i="32"/>
  <c r="AS12135" i="32"/>
  <c r="AS12136" i="32"/>
  <c r="AS12137" i="32"/>
  <c r="AS12138" i="32"/>
  <c r="AS12139" i="32"/>
  <c r="AS12140" i="32"/>
  <c r="AS12141" i="32"/>
  <c r="AS12142" i="32"/>
  <c r="AS12143" i="32"/>
  <c r="AS12144" i="32"/>
  <c r="AS12145" i="32"/>
  <c r="AS12146" i="32"/>
  <c r="AS12147" i="32"/>
  <c r="AS12148" i="32"/>
  <c r="AS12149" i="32"/>
  <c r="AS12150" i="32"/>
  <c r="AS12151" i="32"/>
  <c r="AS12152" i="32"/>
  <c r="AS12153" i="32"/>
  <c r="AS12154" i="32"/>
  <c r="AS12155" i="32"/>
  <c r="AS12156" i="32"/>
  <c r="AS12157" i="32"/>
  <c r="AS12158" i="32"/>
  <c r="AS12159" i="32"/>
  <c r="AS12160" i="32"/>
  <c r="AS12161" i="32"/>
  <c r="AS12162" i="32"/>
  <c r="AS12163" i="32"/>
  <c r="AS12164" i="32"/>
  <c r="AS12165" i="32"/>
  <c r="AS12166" i="32"/>
  <c r="AS12167" i="32"/>
  <c r="AS12168" i="32"/>
  <c r="AS12169" i="32"/>
  <c r="AS12170" i="32"/>
  <c r="AS12171" i="32"/>
  <c r="AS12172" i="32"/>
  <c r="AS12173" i="32"/>
  <c r="AS12174" i="32"/>
  <c r="AS12175" i="32"/>
  <c r="AS12176" i="32"/>
  <c r="AS12177" i="32"/>
  <c r="AS12178" i="32"/>
  <c r="AS12179" i="32"/>
  <c r="AS12180" i="32"/>
  <c r="AS12181" i="32"/>
  <c r="AS12182" i="32"/>
  <c r="AS12183" i="32"/>
  <c r="AS12184" i="32"/>
  <c r="AS12185" i="32"/>
  <c r="AS12186" i="32"/>
  <c r="AS12187" i="32"/>
  <c r="AS12188" i="32"/>
  <c r="AS12189" i="32"/>
  <c r="AS12190" i="32"/>
  <c r="AS12191" i="32"/>
  <c r="AS12192" i="32"/>
  <c r="AS12193" i="32"/>
  <c r="AS12194" i="32"/>
  <c r="AS12195" i="32"/>
  <c r="AS12196" i="32"/>
  <c r="AS12197" i="32"/>
  <c r="AS12198" i="32"/>
  <c r="AS12199" i="32"/>
  <c r="AS12200" i="32"/>
  <c r="AS12201" i="32"/>
  <c r="AS12202" i="32"/>
  <c r="AS12203" i="32"/>
  <c r="AS12204" i="32"/>
  <c r="AS12205" i="32"/>
  <c r="AS12206" i="32"/>
  <c r="AS12207" i="32"/>
  <c r="AS12208" i="32"/>
  <c r="AS12209" i="32"/>
  <c r="AS12210" i="32"/>
  <c r="AS12211" i="32"/>
  <c r="AS12212" i="32"/>
  <c r="AS12213" i="32"/>
  <c r="AS12214" i="32"/>
  <c r="AS12215" i="32"/>
  <c r="AS12216" i="32"/>
  <c r="AS12217" i="32"/>
  <c r="AS12218" i="32"/>
  <c r="AS12219" i="32"/>
  <c r="AS12220" i="32"/>
  <c r="AS12221" i="32"/>
  <c r="AS12222" i="32"/>
  <c r="AS12223" i="32"/>
  <c r="AS12224" i="32"/>
  <c r="AS12225" i="32"/>
  <c r="AS12226" i="32"/>
  <c r="AS12227" i="32"/>
  <c r="AS12228" i="32"/>
  <c r="AS12229" i="32"/>
  <c r="AS12230" i="32"/>
  <c r="AS12231" i="32"/>
  <c r="AS12232" i="32"/>
  <c r="AS12233" i="32"/>
  <c r="AS12234" i="32"/>
  <c r="AS12235" i="32"/>
  <c r="AS12236" i="32"/>
  <c r="AS12237" i="32"/>
  <c r="AS12238" i="32"/>
  <c r="AS12239" i="32"/>
  <c r="AS12240" i="32"/>
  <c r="AS12241" i="32"/>
  <c r="AS12242" i="32"/>
  <c r="AS12243" i="32"/>
  <c r="AS12244" i="32"/>
  <c r="AS12245" i="32"/>
  <c r="AS12246" i="32"/>
  <c r="AS12247" i="32"/>
  <c r="AS12248" i="32"/>
  <c r="AS12249" i="32"/>
  <c r="AS12250" i="32"/>
  <c r="AS12251" i="32"/>
  <c r="AS12252" i="32"/>
  <c r="AS12253" i="32"/>
  <c r="AS12254" i="32"/>
  <c r="AS12255" i="32"/>
  <c r="AS12256" i="32"/>
  <c r="AS12257" i="32"/>
  <c r="AS12258" i="32"/>
  <c r="AS12259" i="32"/>
  <c r="AS12260" i="32"/>
  <c r="AS12261" i="32"/>
  <c r="AS12262" i="32"/>
  <c r="AS12263" i="32"/>
  <c r="AS12264" i="32"/>
  <c r="AS12265" i="32"/>
  <c r="AS12266" i="32"/>
  <c r="AS12267" i="32"/>
  <c r="AS12268" i="32"/>
  <c r="AS12269" i="32"/>
  <c r="AS12270" i="32"/>
  <c r="AS12271" i="32"/>
  <c r="AS12272" i="32"/>
  <c r="AS12273" i="32"/>
  <c r="AS12274" i="32"/>
  <c r="AS12275" i="32"/>
  <c r="AS12276" i="32"/>
  <c r="AS12277" i="32"/>
  <c r="AS12278" i="32"/>
  <c r="AS12279" i="32"/>
  <c r="AS12280" i="32"/>
  <c r="AS12281" i="32"/>
  <c r="AS12282" i="32"/>
  <c r="AS12283" i="32"/>
  <c r="AS12284" i="32"/>
  <c r="AS12285" i="32"/>
  <c r="AS12286" i="32"/>
  <c r="AS12287" i="32"/>
  <c r="AS12288" i="32"/>
  <c r="AS12289" i="32"/>
  <c r="AS12290" i="32"/>
  <c r="AS12291" i="32"/>
  <c r="AS12292" i="32"/>
  <c r="AS12293" i="32"/>
  <c r="AS12294" i="32"/>
  <c r="AS12295" i="32"/>
  <c r="AS12296" i="32"/>
  <c r="AS12297" i="32"/>
  <c r="AS12298" i="32"/>
  <c r="AS12299" i="32"/>
  <c r="AS12300" i="32"/>
  <c r="AS12301" i="32"/>
  <c r="AS12302" i="32"/>
  <c r="AS12303" i="32"/>
  <c r="AS12304" i="32"/>
  <c r="AS12305" i="32"/>
  <c r="AS12306" i="32"/>
  <c r="AS12307" i="32"/>
  <c r="AS12308" i="32"/>
  <c r="AS12309" i="32"/>
  <c r="AS12310" i="32"/>
  <c r="AS12311" i="32"/>
  <c r="AS12312" i="32"/>
  <c r="AS12313" i="32"/>
  <c r="AS12314" i="32"/>
  <c r="AS12315" i="32"/>
  <c r="AS12316" i="32"/>
  <c r="AS12317" i="32"/>
  <c r="AS12318" i="32"/>
  <c r="AS12319" i="32"/>
  <c r="AS12320" i="32"/>
  <c r="AS12321" i="32"/>
  <c r="AS12322" i="32"/>
  <c r="AS12323" i="32"/>
  <c r="AS12324" i="32"/>
  <c r="AS12325" i="32"/>
  <c r="AS12326" i="32"/>
  <c r="AS12327" i="32"/>
  <c r="AS12328" i="32"/>
  <c r="AS12329" i="32"/>
  <c r="AS12330" i="32"/>
  <c r="AS12331" i="32"/>
  <c r="AS12332" i="32"/>
  <c r="AS12333" i="32"/>
  <c r="AS12334" i="32"/>
  <c r="AS12335" i="32"/>
  <c r="AS12336" i="32"/>
  <c r="AS12337" i="32"/>
  <c r="AS12338" i="32"/>
  <c r="AS12339" i="32"/>
  <c r="AS12340" i="32"/>
  <c r="AS12341" i="32"/>
  <c r="AS12342" i="32"/>
  <c r="AS12343" i="32"/>
  <c r="AS12344" i="32"/>
  <c r="AS12345" i="32"/>
  <c r="AS12346" i="32"/>
  <c r="AS12347" i="32"/>
  <c r="AS12348" i="32"/>
  <c r="AS12349" i="32"/>
  <c r="AS12350" i="32"/>
  <c r="AS12351" i="32"/>
  <c r="AS12352" i="32"/>
  <c r="AS12353" i="32"/>
  <c r="AS12354" i="32"/>
  <c r="AS12355" i="32"/>
  <c r="AS12356" i="32"/>
  <c r="AS12357" i="32"/>
  <c r="AS12358" i="32"/>
  <c r="AS12359" i="32"/>
  <c r="AS12360" i="32"/>
  <c r="AS12361" i="32"/>
  <c r="AS12362" i="32"/>
  <c r="AS12363" i="32"/>
  <c r="AS12364" i="32"/>
  <c r="AS12365" i="32"/>
  <c r="AS12366" i="32"/>
  <c r="AS12367" i="32"/>
  <c r="AS12368" i="32"/>
  <c r="AS12369" i="32"/>
  <c r="AS12370" i="32"/>
  <c r="AS12371" i="32"/>
  <c r="AS12372" i="32"/>
  <c r="AS12373" i="32"/>
  <c r="AS12374" i="32"/>
  <c r="AS12375" i="32"/>
  <c r="AS12376" i="32"/>
  <c r="AS12377" i="32"/>
  <c r="AS12378" i="32"/>
  <c r="AS12379" i="32"/>
  <c r="AS12380" i="32"/>
  <c r="AS12381" i="32"/>
  <c r="AS12382" i="32"/>
  <c r="AS12383" i="32"/>
  <c r="AS12384" i="32"/>
  <c r="AS12385" i="32"/>
  <c r="AS12386" i="32"/>
  <c r="AS12387" i="32"/>
  <c r="AS12388" i="32"/>
  <c r="AS12389" i="32"/>
  <c r="AS12390" i="32"/>
  <c r="AS12391" i="32"/>
  <c r="AS12392" i="32"/>
  <c r="AS12393" i="32"/>
  <c r="AS12394" i="32"/>
  <c r="AS12395" i="32"/>
  <c r="AS12396" i="32"/>
  <c r="AS12397" i="32"/>
  <c r="AS12398" i="32"/>
  <c r="AS12399" i="32"/>
  <c r="AS12400" i="32"/>
  <c r="AS12401" i="32"/>
  <c r="AS12402" i="32"/>
  <c r="AS12403" i="32"/>
  <c r="AS12404" i="32"/>
  <c r="AS12405" i="32"/>
  <c r="AS12406" i="32"/>
  <c r="AS12407" i="32"/>
  <c r="AS12408" i="32"/>
  <c r="AS12409" i="32"/>
  <c r="AS12410" i="32"/>
  <c r="AS12411" i="32"/>
  <c r="AS12412" i="32"/>
  <c r="AS12413" i="32"/>
  <c r="AS12414" i="32"/>
  <c r="AS12415" i="32"/>
  <c r="AS12416" i="32"/>
  <c r="AS12417" i="32"/>
  <c r="AS12418" i="32"/>
  <c r="AS12419" i="32"/>
  <c r="AS12420" i="32"/>
  <c r="AS12421" i="32"/>
  <c r="AS12422" i="32"/>
  <c r="AS12423" i="32"/>
  <c r="AS12424" i="32"/>
  <c r="AS12425" i="32"/>
  <c r="AS12426" i="32"/>
  <c r="AS12427" i="32"/>
  <c r="AS12428" i="32"/>
  <c r="AS12429" i="32"/>
  <c r="AS12430" i="32"/>
  <c r="AS12431" i="32"/>
  <c r="AS12432" i="32"/>
  <c r="AS12433" i="32"/>
  <c r="AS12434" i="32"/>
  <c r="AS12435" i="32"/>
  <c r="AS12436" i="32"/>
  <c r="AS12437" i="32"/>
  <c r="AS12438" i="32"/>
  <c r="AS12439" i="32"/>
  <c r="AS12440" i="32"/>
  <c r="AS12441" i="32"/>
  <c r="AS12442" i="32"/>
  <c r="AS12443" i="32"/>
  <c r="AS12444" i="32"/>
  <c r="AS12445" i="32"/>
  <c r="AS12446" i="32"/>
  <c r="AS12447" i="32"/>
  <c r="AS12448" i="32"/>
  <c r="AS12449" i="32"/>
  <c r="AS12450" i="32"/>
  <c r="AS12451" i="32"/>
  <c r="AS12452" i="32"/>
  <c r="AS12453" i="32"/>
  <c r="AS12454" i="32"/>
  <c r="AS12455" i="32"/>
  <c r="AS12456" i="32"/>
  <c r="AS12457" i="32"/>
  <c r="AS12458" i="32"/>
  <c r="AS12459" i="32"/>
  <c r="AS12460" i="32"/>
  <c r="AS12461" i="32"/>
  <c r="AS12462" i="32"/>
  <c r="AS12463" i="32"/>
  <c r="AS12464" i="32"/>
  <c r="AS12465" i="32"/>
  <c r="AS12466" i="32"/>
  <c r="AS12467" i="32"/>
  <c r="AS12468" i="32"/>
  <c r="AS12469" i="32"/>
  <c r="AS12470" i="32"/>
  <c r="AS12471" i="32"/>
  <c r="AS12472" i="32"/>
  <c r="AS12473" i="32"/>
  <c r="AS12474" i="32"/>
  <c r="AS12475" i="32"/>
  <c r="AS12476" i="32"/>
  <c r="AS12477" i="32"/>
  <c r="AS12478" i="32"/>
  <c r="AS12479" i="32"/>
  <c r="AS12480" i="32"/>
  <c r="AS12481" i="32"/>
  <c r="AS12482" i="32"/>
  <c r="AS12483" i="32"/>
  <c r="AS12484" i="32"/>
  <c r="AS12485" i="32"/>
  <c r="AS12486" i="32"/>
  <c r="AS12487" i="32"/>
  <c r="AS12488" i="32"/>
  <c r="AS12489" i="32"/>
  <c r="AS12490" i="32"/>
  <c r="AS12491" i="32"/>
  <c r="AS12492" i="32"/>
  <c r="AS12493" i="32"/>
  <c r="AS12494" i="32"/>
  <c r="AS12495" i="32"/>
  <c r="AS12496" i="32"/>
  <c r="AS12497" i="32"/>
  <c r="AS12498" i="32"/>
  <c r="AS12499" i="32"/>
  <c r="AS12500" i="32"/>
  <c r="AS12501" i="32"/>
  <c r="AS12502" i="32"/>
  <c r="AS12503" i="32"/>
  <c r="AS12504" i="32"/>
  <c r="AS12505" i="32"/>
  <c r="AS12506" i="32"/>
  <c r="AS12507" i="32"/>
  <c r="AS12508" i="32"/>
  <c r="AS12509" i="32"/>
  <c r="AS12510" i="32"/>
  <c r="AS12511" i="32"/>
  <c r="AS12512" i="32"/>
  <c r="AS12513" i="32"/>
  <c r="AS12514" i="32"/>
  <c r="AS12515" i="32"/>
  <c r="AS12516" i="32"/>
  <c r="AS12517" i="32"/>
  <c r="AS12518" i="32"/>
  <c r="AS12519" i="32"/>
  <c r="AS12520" i="32"/>
  <c r="AS12521" i="32"/>
  <c r="AS12522" i="32"/>
  <c r="AS12523" i="32"/>
  <c r="AS12524" i="32"/>
  <c r="AS12525" i="32"/>
  <c r="AS12526" i="32"/>
  <c r="AS12527" i="32"/>
  <c r="AS12528" i="32"/>
  <c r="AS12529" i="32"/>
  <c r="AS12530" i="32"/>
  <c r="AS12531" i="32"/>
  <c r="AS12532" i="32"/>
  <c r="AS12533" i="32"/>
  <c r="AS12534" i="32"/>
  <c r="AS12535" i="32"/>
  <c r="AS12536" i="32"/>
  <c r="AS12537" i="32"/>
  <c r="AS12538" i="32"/>
  <c r="AS12539" i="32"/>
  <c r="AS12540" i="32"/>
  <c r="AS12541" i="32"/>
  <c r="AS12542" i="32"/>
  <c r="AS12543" i="32"/>
  <c r="AS12544" i="32"/>
  <c r="AS12545" i="32"/>
  <c r="AS12546" i="32"/>
  <c r="AS12547" i="32"/>
  <c r="AS12548" i="32"/>
  <c r="AS12549" i="32"/>
  <c r="AS12550" i="32"/>
  <c r="AS12551" i="32"/>
  <c r="AS12552" i="32"/>
  <c r="AS12553" i="32"/>
  <c r="AS12554" i="32"/>
  <c r="AS12555" i="32"/>
  <c r="AS12556" i="32"/>
  <c r="AS12557" i="32"/>
  <c r="AS12558" i="32"/>
  <c r="AS12559" i="32"/>
  <c r="AS12560" i="32"/>
  <c r="AS12561" i="32"/>
  <c r="AS12562" i="32"/>
  <c r="AS12563" i="32"/>
  <c r="AS12564" i="32"/>
  <c r="AS12565" i="32"/>
  <c r="AS12566" i="32"/>
  <c r="AS12567" i="32"/>
  <c r="AS12568" i="32"/>
  <c r="AS12569" i="32"/>
  <c r="AS12570" i="32"/>
  <c r="AS12571" i="32"/>
  <c r="AS12572" i="32"/>
  <c r="AS12573" i="32"/>
  <c r="AS12574" i="32"/>
  <c r="AS12575" i="32"/>
  <c r="AS12576" i="32"/>
  <c r="AS12577" i="32"/>
  <c r="AS12578" i="32"/>
  <c r="AS12579" i="32"/>
  <c r="AS12580" i="32"/>
  <c r="AS12581" i="32"/>
  <c r="AS12582" i="32"/>
  <c r="AS12583" i="32"/>
  <c r="AS12584" i="32"/>
  <c r="AS12585" i="32"/>
  <c r="AS12586" i="32"/>
  <c r="AS12587" i="32"/>
  <c r="AS12588" i="32"/>
  <c r="AS12589" i="32"/>
  <c r="AS12590" i="32"/>
  <c r="AS12591" i="32"/>
  <c r="AS12592" i="32"/>
  <c r="AS12593" i="32"/>
  <c r="AS12594" i="32"/>
  <c r="AS12595" i="32"/>
  <c r="AS12596" i="32"/>
  <c r="AS12597" i="32"/>
  <c r="AS12598" i="32"/>
  <c r="AS12599" i="32"/>
  <c r="AS12600" i="32"/>
  <c r="AS12601" i="32"/>
  <c r="AS12602" i="32"/>
  <c r="AS12603" i="32"/>
  <c r="AS12604" i="32"/>
  <c r="AS12605" i="32"/>
  <c r="AS12606" i="32"/>
  <c r="AS12607" i="32"/>
  <c r="AS12608" i="32"/>
  <c r="AS12609" i="32"/>
  <c r="AS12610" i="32"/>
  <c r="AS12611" i="32"/>
  <c r="AS12612" i="32"/>
  <c r="AS12613" i="32"/>
  <c r="AS12614" i="32"/>
  <c r="AS12615" i="32"/>
  <c r="AS12616" i="32"/>
  <c r="AS12617" i="32"/>
  <c r="AS12618" i="32"/>
  <c r="AS12619" i="32"/>
  <c r="AS12620" i="32"/>
  <c r="AS12621" i="32"/>
  <c r="AS12622" i="32"/>
  <c r="AS12623" i="32"/>
  <c r="AS12624" i="32"/>
  <c r="AS12625" i="32"/>
  <c r="AS12626" i="32"/>
  <c r="AS12627" i="32"/>
  <c r="AS12628" i="32"/>
  <c r="AS12629" i="32"/>
  <c r="AS12630" i="32"/>
  <c r="AS12631" i="32"/>
  <c r="AS12632" i="32"/>
  <c r="AS12633" i="32"/>
  <c r="AS12634" i="32"/>
  <c r="AS12635" i="32"/>
  <c r="AS12636" i="32"/>
  <c r="AS12637" i="32"/>
  <c r="AS12638" i="32"/>
  <c r="AS12639" i="32"/>
  <c r="AS12640" i="32"/>
  <c r="AS12641" i="32"/>
  <c r="AS12642" i="32"/>
  <c r="AS12643" i="32"/>
  <c r="AS12644" i="32"/>
  <c r="AS12645" i="32"/>
  <c r="AS12646" i="32"/>
  <c r="AS12647" i="32"/>
  <c r="AS12648" i="32"/>
  <c r="AS12649" i="32"/>
  <c r="AS12650" i="32"/>
  <c r="AS12651" i="32"/>
  <c r="AS12652" i="32"/>
  <c r="AS12653" i="32"/>
  <c r="AS12654" i="32"/>
  <c r="AS12655" i="32"/>
  <c r="AS12656" i="32"/>
  <c r="AS12657" i="32"/>
  <c r="AS12658" i="32"/>
  <c r="AS12659" i="32"/>
  <c r="AS12660" i="32"/>
  <c r="AS12661" i="32"/>
  <c r="AS12662" i="32"/>
  <c r="AS12663" i="32"/>
  <c r="AS12664" i="32"/>
  <c r="AS12665" i="32"/>
  <c r="AS12666" i="32"/>
  <c r="AS12667" i="32"/>
  <c r="AS12668" i="32"/>
  <c r="AS12669" i="32"/>
  <c r="AS12670" i="32"/>
  <c r="AS12671" i="32"/>
  <c r="AS12672" i="32"/>
  <c r="AS12673" i="32"/>
  <c r="AS12674" i="32"/>
  <c r="AS12675" i="32"/>
  <c r="AS12676" i="32"/>
  <c r="AS12677" i="32"/>
  <c r="AS12678" i="32"/>
  <c r="AS12679" i="32"/>
  <c r="AS12680" i="32"/>
  <c r="AS12681" i="32"/>
  <c r="AS12682" i="32"/>
  <c r="AS12683" i="32"/>
  <c r="AS12684" i="32"/>
  <c r="AS12685" i="32"/>
  <c r="AS12686" i="32"/>
  <c r="AS12687" i="32"/>
  <c r="AS12688" i="32"/>
  <c r="AS12689" i="32"/>
  <c r="AS12690" i="32"/>
  <c r="AS12691" i="32"/>
  <c r="AS12692" i="32"/>
  <c r="AS12693" i="32"/>
  <c r="AS12694" i="32"/>
  <c r="AS12695" i="32"/>
  <c r="AS12696" i="32"/>
  <c r="AS12697" i="32"/>
  <c r="AS12698" i="32"/>
  <c r="AS12699" i="32"/>
  <c r="AS12700" i="32"/>
  <c r="AS12701" i="32"/>
  <c r="AS12702" i="32"/>
  <c r="AS12703" i="32"/>
  <c r="AS12704" i="32"/>
  <c r="AS12705" i="32"/>
  <c r="AS12706" i="32"/>
  <c r="AS12707" i="32"/>
  <c r="AS12708" i="32"/>
  <c r="AS12709" i="32"/>
  <c r="AS12710" i="32"/>
  <c r="AS12711" i="32"/>
  <c r="AS12712" i="32"/>
  <c r="AS12713" i="32"/>
  <c r="AS12714" i="32"/>
  <c r="AS12715" i="32"/>
  <c r="AS12716" i="32"/>
  <c r="AS12717" i="32"/>
  <c r="AS12718" i="32"/>
  <c r="AS12719" i="32"/>
  <c r="AS12720" i="32"/>
  <c r="AS12721" i="32"/>
  <c r="AS12722" i="32"/>
  <c r="AS12723" i="32"/>
  <c r="AS12724" i="32"/>
  <c r="AS12725" i="32"/>
  <c r="AS12726" i="32"/>
  <c r="AS12727" i="32"/>
  <c r="AS12728" i="32"/>
  <c r="AS12729" i="32"/>
  <c r="AS12730" i="32"/>
  <c r="AS12731" i="32"/>
  <c r="AS12732" i="32"/>
  <c r="AS12733" i="32"/>
  <c r="AS12734" i="32"/>
  <c r="AS12735" i="32"/>
  <c r="AS12736" i="32"/>
  <c r="AS12737" i="32"/>
  <c r="AS12738" i="32"/>
  <c r="AS12739" i="32"/>
  <c r="AS12740" i="32"/>
  <c r="AS12741" i="32"/>
  <c r="AS12742" i="32"/>
  <c r="AS12743" i="32"/>
  <c r="AS12744" i="32"/>
  <c r="AS12745" i="32"/>
  <c r="AS12746" i="32"/>
  <c r="AS12747" i="32"/>
  <c r="AS12748" i="32"/>
  <c r="AS12749" i="32"/>
  <c r="AS12750" i="32"/>
  <c r="AS12751" i="32"/>
  <c r="AS12752" i="32"/>
  <c r="AS12753" i="32"/>
  <c r="AS12754" i="32"/>
  <c r="AS12755" i="32"/>
  <c r="AS12756" i="32"/>
  <c r="AS12757" i="32"/>
  <c r="AS12758" i="32"/>
  <c r="AS12759" i="32"/>
  <c r="AS12760" i="32"/>
  <c r="AS12761" i="32"/>
  <c r="AS12762" i="32"/>
  <c r="AS12763" i="32"/>
  <c r="AS12764" i="32"/>
  <c r="AS12765" i="32"/>
  <c r="AS12766" i="32"/>
  <c r="AS12767" i="32"/>
  <c r="AS12768" i="32"/>
  <c r="AS12769" i="32"/>
  <c r="AS12770" i="32"/>
  <c r="AS12771" i="32"/>
  <c r="AS12772" i="32"/>
  <c r="AS12773" i="32"/>
  <c r="AS12774" i="32"/>
  <c r="AS12775" i="32"/>
  <c r="AS12776" i="32"/>
  <c r="AS12777" i="32"/>
  <c r="AS12778" i="32"/>
  <c r="AS12779" i="32"/>
  <c r="AS12780" i="32"/>
  <c r="AS12781" i="32"/>
  <c r="AS12782" i="32"/>
  <c r="AS12783" i="32"/>
  <c r="AS12784" i="32"/>
  <c r="AS12785" i="32"/>
  <c r="AS12786" i="32"/>
  <c r="AS12787" i="32"/>
  <c r="AS12788" i="32"/>
  <c r="AS12789" i="32"/>
  <c r="AS12790" i="32"/>
  <c r="AS12791" i="32"/>
  <c r="AS12792" i="32"/>
  <c r="AS12793" i="32"/>
  <c r="AS12794" i="32"/>
  <c r="AS12795" i="32"/>
  <c r="AS12796" i="32"/>
  <c r="AS12797" i="32"/>
  <c r="AS12798" i="32"/>
  <c r="AS12799" i="32"/>
  <c r="AS12800" i="32"/>
  <c r="AS12801" i="32"/>
  <c r="AS12802" i="32"/>
  <c r="AS12803" i="32"/>
  <c r="AS12804" i="32"/>
  <c r="AS12805" i="32"/>
  <c r="AS12806" i="32"/>
  <c r="AS12807" i="32"/>
  <c r="AS12808" i="32"/>
  <c r="AS12809" i="32"/>
  <c r="AS12810" i="32"/>
  <c r="AS12811" i="32"/>
  <c r="AS12812" i="32"/>
  <c r="AS12813" i="32"/>
  <c r="AS12814" i="32"/>
  <c r="AS12815" i="32"/>
  <c r="AS12816" i="32"/>
  <c r="AS12817" i="32"/>
  <c r="AS12818" i="32"/>
  <c r="AS12819" i="32"/>
  <c r="AS12820" i="32"/>
  <c r="AS12821" i="32"/>
  <c r="AS12822" i="32"/>
  <c r="AS12823" i="32"/>
  <c r="AS12824" i="32"/>
  <c r="AS12825" i="32"/>
  <c r="AS12826" i="32"/>
  <c r="AS12827" i="32"/>
  <c r="AS12828" i="32"/>
  <c r="AS12829" i="32"/>
  <c r="AS12830" i="32"/>
  <c r="AS12831" i="32"/>
  <c r="AS12832" i="32"/>
  <c r="AS12833" i="32"/>
  <c r="AS12834" i="32"/>
  <c r="AS12835" i="32"/>
  <c r="AS12836" i="32"/>
  <c r="AS12837" i="32"/>
  <c r="AS12838" i="32"/>
  <c r="AS12839" i="32"/>
  <c r="AS12840" i="32"/>
  <c r="AS12841" i="32"/>
  <c r="AS12842" i="32"/>
  <c r="AS12843" i="32"/>
  <c r="AS12844" i="32"/>
  <c r="AS12845" i="32"/>
  <c r="AS12846" i="32"/>
  <c r="AS12847" i="32"/>
  <c r="AS12848" i="32"/>
  <c r="AS12849" i="32"/>
  <c r="AS12850" i="32"/>
  <c r="AS12851" i="32"/>
  <c r="AS12852" i="32"/>
  <c r="AS12853" i="32"/>
  <c r="AS12854" i="32"/>
  <c r="AS12855" i="32"/>
  <c r="AS12856" i="32"/>
  <c r="AS12857" i="32"/>
  <c r="AS12858" i="32"/>
  <c r="AS12859" i="32"/>
  <c r="AS12860" i="32"/>
  <c r="AS12861" i="32"/>
  <c r="AS12862" i="32"/>
  <c r="AS12863" i="32"/>
  <c r="AS12864" i="32"/>
  <c r="AS12865" i="32"/>
  <c r="AS12866" i="32"/>
  <c r="AS12867" i="32"/>
  <c r="AS12868" i="32"/>
  <c r="AS12869" i="32"/>
  <c r="AS12870" i="32"/>
  <c r="AS12871" i="32"/>
  <c r="AS12872" i="32"/>
  <c r="AS12873" i="32"/>
  <c r="AS12874" i="32"/>
  <c r="AS12875" i="32"/>
  <c r="AS12876" i="32"/>
  <c r="AS12877" i="32"/>
  <c r="AS12878" i="32"/>
  <c r="AS12879" i="32"/>
  <c r="AS12880" i="32"/>
  <c r="AS12881" i="32"/>
  <c r="AS12882" i="32"/>
  <c r="AS12883" i="32"/>
  <c r="AS12884" i="32"/>
  <c r="AS12885" i="32"/>
  <c r="AS12886" i="32"/>
  <c r="AS12887" i="32"/>
  <c r="AS12888" i="32"/>
  <c r="AS12889" i="32"/>
  <c r="AS12890" i="32"/>
  <c r="AS12891" i="32"/>
  <c r="AS12892" i="32"/>
  <c r="AS12893" i="32"/>
  <c r="AS12894" i="32"/>
  <c r="AS12895" i="32"/>
  <c r="AS12896" i="32"/>
  <c r="AS12897" i="32"/>
  <c r="AS12898" i="32"/>
  <c r="AS12899" i="32"/>
  <c r="AS12900" i="32"/>
  <c r="AS12901" i="32"/>
  <c r="AS12902" i="32"/>
  <c r="AS12903" i="32"/>
  <c r="AS12904" i="32"/>
  <c r="AS12905" i="32"/>
  <c r="AS12906" i="32"/>
  <c r="AS12907" i="32"/>
  <c r="AS12908" i="32"/>
  <c r="AS12909" i="32"/>
  <c r="AS12910" i="32"/>
  <c r="AS12911" i="32"/>
  <c r="AS12912" i="32"/>
  <c r="AS12913" i="32"/>
  <c r="AS12914" i="32"/>
  <c r="AS12915" i="32"/>
  <c r="AS12916" i="32"/>
  <c r="AS12917" i="32"/>
  <c r="AS12918" i="32"/>
  <c r="AS12919" i="32"/>
  <c r="AS12920" i="32"/>
  <c r="AS12921" i="32"/>
  <c r="AS12922" i="32"/>
  <c r="AS12923" i="32"/>
  <c r="AS12924" i="32"/>
  <c r="AS12925" i="32"/>
  <c r="AS12926" i="32"/>
  <c r="AS12927" i="32"/>
  <c r="AS12928" i="32"/>
  <c r="AS12929" i="32"/>
  <c r="AS12930" i="32"/>
  <c r="AS12931" i="32"/>
  <c r="AS12932" i="32"/>
  <c r="AS12933" i="32"/>
  <c r="AS12934" i="32"/>
  <c r="AS12935" i="32"/>
  <c r="AS12936" i="32"/>
  <c r="AS12937" i="32"/>
  <c r="AS12938" i="32"/>
  <c r="AS12939" i="32"/>
  <c r="AS12940" i="32"/>
  <c r="AS12941" i="32"/>
  <c r="AS12942" i="32"/>
  <c r="AS12943" i="32"/>
  <c r="AS12944" i="32"/>
  <c r="AS12945" i="32"/>
  <c r="AS12946" i="32"/>
  <c r="AS12947" i="32"/>
  <c r="AS12948" i="32"/>
  <c r="AS12949" i="32"/>
  <c r="AS12950" i="32"/>
  <c r="AS12951" i="32"/>
  <c r="AS12952" i="32"/>
  <c r="AS12953" i="32"/>
  <c r="AS12954" i="32"/>
  <c r="AS12955" i="32"/>
  <c r="AS12956" i="32"/>
  <c r="AS12957" i="32"/>
  <c r="AS12958" i="32"/>
  <c r="AS12959" i="32"/>
  <c r="AS12960" i="32"/>
  <c r="AS12961" i="32"/>
  <c r="AS12962" i="32"/>
  <c r="AS12963" i="32"/>
  <c r="AS12964" i="32"/>
  <c r="AS12965" i="32"/>
  <c r="AS12966" i="32"/>
  <c r="AS12967" i="32"/>
  <c r="AS12968" i="32"/>
  <c r="AS12969" i="32"/>
  <c r="AS12970" i="32"/>
  <c r="AS12971" i="32"/>
  <c r="AS12972" i="32"/>
  <c r="AS12973" i="32"/>
  <c r="AS12974" i="32"/>
  <c r="AS12975" i="32"/>
  <c r="AS12976" i="32"/>
  <c r="AS12977" i="32"/>
  <c r="AS12978" i="32"/>
  <c r="AS12979" i="32"/>
  <c r="AS12980" i="32"/>
  <c r="AS12981" i="32"/>
  <c r="AS12982" i="32"/>
  <c r="AS12983" i="32"/>
  <c r="AS12984" i="32"/>
  <c r="AS12985" i="32"/>
  <c r="AS12986" i="32"/>
  <c r="AS12987" i="32"/>
  <c r="AS12988" i="32"/>
  <c r="AS12989" i="32"/>
  <c r="AS12990" i="32"/>
  <c r="AS12991" i="32"/>
  <c r="AS12992" i="32"/>
  <c r="AS12993" i="32"/>
  <c r="AS12994" i="32"/>
  <c r="AS12995" i="32"/>
  <c r="AS12996" i="32"/>
  <c r="AS12997" i="32"/>
  <c r="AS12998" i="32"/>
  <c r="AS12999" i="32"/>
  <c r="AS13000" i="32"/>
  <c r="AS13001" i="32"/>
  <c r="AS13002" i="32"/>
  <c r="AS13003" i="32"/>
  <c r="AS13004" i="32"/>
  <c r="AS13005" i="32"/>
  <c r="AS13006" i="32"/>
  <c r="AS13007" i="32"/>
  <c r="AS13008" i="32"/>
  <c r="AS13009" i="32"/>
  <c r="AS13010" i="32"/>
  <c r="AS13011" i="32"/>
  <c r="AS13012" i="32"/>
  <c r="AS13013" i="32"/>
  <c r="AS13014" i="32"/>
  <c r="AS13015" i="32"/>
  <c r="AS13016" i="32"/>
  <c r="AS13017" i="32"/>
  <c r="AS13018" i="32"/>
  <c r="AS13019" i="32"/>
  <c r="AS13020" i="32"/>
  <c r="AS13021" i="32"/>
  <c r="AS13022" i="32"/>
  <c r="AS13023" i="32"/>
  <c r="AS13024" i="32"/>
  <c r="AS13025" i="32"/>
  <c r="AS13026" i="32"/>
  <c r="AS13027" i="32"/>
  <c r="AS13028" i="32"/>
  <c r="AS13029" i="32"/>
  <c r="AS13030" i="32"/>
  <c r="AS13031" i="32"/>
  <c r="AS13032" i="32"/>
  <c r="AS13033" i="32"/>
  <c r="AS13034" i="32"/>
  <c r="AS13035" i="32"/>
  <c r="AS13036" i="32"/>
  <c r="AS13037" i="32"/>
  <c r="AS13038" i="32"/>
  <c r="AS13039" i="32"/>
  <c r="AS13040" i="32"/>
  <c r="AS13041" i="32"/>
  <c r="AS13042" i="32"/>
  <c r="AS13043" i="32"/>
  <c r="AS13044" i="32"/>
  <c r="AS13045" i="32"/>
  <c r="AS13046" i="32"/>
  <c r="AS13047" i="32"/>
  <c r="AS13048" i="32"/>
  <c r="AS13049" i="32"/>
  <c r="AS13050" i="32"/>
  <c r="AS13051" i="32"/>
  <c r="AS13052" i="32"/>
  <c r="AS13053" i="32"/>
  <c r="AS13054" i="32"/>
  <c r="AS13055" i="32"/>
  <c r="AS13056" i="32"/>
  <c r="AS13057" i="32"/>
  <c r="AS13058" i="32"/>
  <c r="AS13059" i="32"/>
  <c r="AS13060" i="32"/>
  <c r="AS13061" i="32"/>
  <c r="AS13062" i="32"/>
  <c r="AS13063" i="32"/>
  <c r="AS13064" i="32"/>
  <c r="AS13065" i="32"/>
  <c r="AS13066" i="32"/>
  <c r="AS13067" i="32"/>
  <c r="AS13068" i="32"/>
  <c r="AS13069" i="32"/>
  <c r="AS13070" i="32"/>
  <c r="AS13071" i="32"/>
  <c r="AS13072" i="32"/>
  <c r="AS13073" i="32"/>
  <c r="AS13074" i="32"/>
  <c r="AS13075" i="32"/>
  <c r="AS13076" i="32"/>
  <c r="AS13077" i="32"/>
  <c r="AS13078" i="32"/>
  <c r="AS13079" i="32"/>
  <c r="AS13080" i="32"/>
  <c r="AS13081" i="32"/>
  <c r="AS13082" i="32"/>
  <c r="AS13083" i="32"/>
  <c r="AS13084" i="32"/>
  <c r="AS13085" i="32"/>
  <c r="AS13086" i="32"/>
  <c r="AS13087" i="32"/>
  <c r="AS13088" i="32"/>
  <c r="AS13089" i="32"/>
  <c r="AS13090" i="32"/>
  <c r="AS13091" i="32"/>
  <c r="AS13092" i="32"/>
  <c r="AS13093" i="32"/>
  <c r="AS13094" i="32"/>
  <c r="AS13095" i="32"/>
  <c r="AS13096" i="32"/>
  <c r="AS13097" i="32"/>
  <c r="AS13098" i="32"/>
  <c r="AS13099" i="32"/>
  <c r="AS13100" i="32"/>
  <c r="AS13101" i="32"/>
  <c r="AS13102" i="32"/>
  <c r="AS13103" i="32"/>
  <c r="AS13104" i="32"/>
  <c r="AS13105" i="32"/>
  <c r="AS13106" i="32"/>
  <c r="AS13107" i="32"/>
  <c r="AS13108" i="32"/>
  <c r="AS13109" i="32"/>
  <c r="AS13110" i="32"/>
  <c r="AS13111" i="32"/>
  <c r="AS13112" i="32"/>
  <c r="AS13113" i="32"/>
  <c r="AS13114" i="32"/>
  <c r="AS13115" i="32"/>
  <c r="AS13116" i="32"/>
  <c r="AS13117" i="32"/>
  <c r="AS13118" i="32"/>
  <c r="AS13119" i="32"/>
  <c r="AS13120" i="32"/>
  <c r="AS13121" i="32"/>
  <c r="AS13122" i="32"/>
  <c r="AS13123" i="32"/>
  <c r="AS13124" i="32"/>
  <c r="AS13125" i="32"/>
  <c r="AS13126" i="32"/>
  <c r="AS13127" i="32"/>
  <c r="AS13128" i="32"/>
  <c r="AS13129" i="32"/>
  <c r="AS13130" i="32"/>
  <c r="AS13131" i="32"/>
  <c r="AS13132" i="32"/>
  <c r="AS13133" i="32"/>
  <c r="AS13134" i="32"/>
  <c r="AS13135" i="32"/>
  <c r="AS13136" i="32"/>
  <c r="AS13137" i="32"/>
  <c r="AS13138" i="32"/>
  <c r="AS13139" i="32"/>
  <c r="AS13140" i="32"/>
  <c r="AS13141" i="32"/>
  <c r="AS13142" i="32"/>
  <c r="AS13143" i="32"/>
  <c r="AS13144" i="32"/>
  <c r="AS13145" i="32"/>
  <c r="AS13146" i="32"/>
  <c r="AS13147" i="32"/>
  <c r="AS13148" i="32"/>
  <c r="AS13149" i="32"/>
  <c r="AS13150" i="32"/>
  <c r="AS13151" i="32"/>
  <c r="AS13152" i="32"/>
  <c r="AS13153" i="32"/>
  <c r="AS13154" i="32"/>
  <c r="AS13155" i="32"/>
  <c r="AS13156" i="32"/>
  <c r="AS13157" i="32"/>
  <c r="AS13158" i="32"/>
  <c r="AS13159" i="32"/>
  <c r="AS13160" i="32"/>
  <c r="AS13161" i="32"/>
  <c r="AS13162" i="32"/>
  <c r="AS13163" i="32"/>
  <c r="AS13164" i="32"/>
  <c r="AS13165" i="32"/>
  <c r="AS13166" i="32"/>
  <c r="AS13167" i="32"/>
  <c r="AS13168" i="32"/>
  <c r="AS13169" i="32"/>
  <c r="AS13170" i="32"/>
  <c r="AS13171" i="32"/>
  <c r="AS13172" i="32"/>
  <c r="AS13173" i="32"/>
  <c r="AS13174" i="32"/>
  <c r="AS13175" i="32"/>
  <c r="AS13176" i="32"/>
  <c r="AS13177" i="32"/>
  <c r="AS13178" i="32"/>
  <c r="AS13179" i="32"/>
  <c r="AS13180" i="32"/>
  <c r="AS13181" i="32"/>
  <c r="AS13182" i="32"/>
  <c r="AS13183" i="32"/>
  <c r="AS13184" i="32"/>
  <c r="AS13185" i="32"/>
  <c r="AS13186" i="32"/>
  <c r="AS13187" i="32"/>
  <c r="AS13188" i="32"/>
  <c r="AS13189" i="32"/>
  <c r="AS13190" i="32"/>
  <c r="AS13191" i="32"/>
  <c r="AS13192" i="32"/>
  <c r="AS13193" i="32"/>
  <c r="AS13194" i="32"/>
  <c r="AS13195" i="32"/>
  <c r="AS13196" i="32"/>
  <c r="AS13197" i="32"/>
  <c r="AS13198" i="32"/>
  <c r="AS13199" i="32"/>
  <c r="AS13200" i="32"/>
  <c r="AS13201" i="32"/>
  <c r="AS13202" i="32"/>
  <c r="AS13203" i="32"/>
  <c r="AS13204" i="32"/>
  <c r="AS13205" i="32"/>
  <c r="AS13206" i="32"/>
  <c r="AS13207" i="32"/>
  <c r="AS13208" i="32"/>
  <c r="AS13209" i="32"/>
  <c r="AS13210" i="32"/>
  <c r="AS13211" i="32"/>
  <c r="AS13212" i="32"/>
  <c r="AS13213" i="32"/>
  <c r="AS13214" i="32"/>
  <c r="AS13215" i="32"/>
  <c r="AS13216" i="32"/>
  <c r="AS13217" i="32"/>
  <c r="AS13218" i="32"/>
  <c r="AS13219" i="32"/>
  <c r="AS13220" i="32"/>
  <c r="AS13221" i="32"/>
  <c r="AS13222" i="32"/>
  <c r="AS13223" i="32"/>
  <c r="AS13224" i="32"/>
  <c r="AS13225" i="32"/>
  <c r="AS13226" i="32"/>
  <c r="AS13227" i="32"/>
  <c r="AS13228" i="32"/>
  <c r="AS13229" i="32"/>
  <c r="AS13230" i="32"/>
  <c r="AS13231" i="32"/>
  <c r="AS13232" i="32"/>
  <c r="AS13233" i="32"/>
  <c r="AS13234" i="32"/>
  <c r="AS13235" i="32"/>
  <c r="AS13236" i="32"/>
  <c r="AS13237" i="32"/>
  <c r="AS13238" i="32"/>
  <c r="AS13239" i="32"/>
  <c r="AS13240" i="32"/>
  <c r="AS13241" i="32"/>
  <c r="AS13242" i="32"/>
  <c r="AS13243" i="32"/>
  <c r="AS13244" i="32"/>
  <c r="AS13245" i="32"/>
  <c r="AS13246" i="32"/>
  <c r="AS13247" i="32"/>
  <c r="AS13248" i="32"/>
  <c r="AS13249" i="32"/>
  <c r="AS13250" i="32"/>
  <c r="AS13251" i="32"/>
  <c r="AS13252" i="32"/>
  <c r="AS13253" i="32"/>
  <c r="AS13254" i="32"/>
  <c r="AS13255" i="32"/>
  <c r="AS13256" i="32"/>
  <c r="AS13257" i="32"/>
  <c r="AS13258" i="32"/>
  <c r="AS13259" i="32"/>
  <c r="AS13260" i="32"/>
  <c r="AS13261" i="32"/>
  <c r="AS13262" i="32"/>
  <c r="AS13263" i="32"/>
  <c r="AS13264" i="32"/>
  <c r="AS13265" i="32"/>
  <c r="AS13266" i="32"/>
  <c r="AS13267" i="32"/>
  <c r="AS13268" i="32"/>
  <c r="AS13269" i="32"/>
  <c r="AS13270" i="32"/>
  <c r="AS13271" i="32"/>
  <c r="AS13272" i="32"/>
  <c r="AS13273" i="32"/>
  <c r="AS13274" i="32"/>
  <c r="AS13275" i="32"/>
  <c r="AS13276" i="32"/>
  <c r="AS13277" i="32"/>
  <c r="AS13278" i="32"/>
  <c r="AS13279" i="32"/>
  <c r="AS13280" i="32"/>
  <c r="AS13281" i="32"/>
  <c r="AS13282" i="32"/>
  <c r="AS13283" i="32"/>
  <c r="AS13284" i="32"/>
  <c r="AS13285" i="32"/>
  <c r="AS13286" i="32"/>
  <c r="AS13287" i="32"/>
  <c r="AS13288" i="32"/>
  <c r="AS13289" i="32"/>
  <c r="AS13290" i="32"/>
  <c r="AS13291" i="32"/>
  <c r="AS13292" i="32"/>
  <c r="AS13293" i="32"/>
  <c r="AS13294" i="32"/>
  <c r="AS13295" i="32"/>
  <c r="AS13296" i="32"/>
  <c r="AS13297" i="32"/>
  <c r="AS13298" i="32"/>
  <c r="AS13299" i="32"/>
  <c r="AS13300" i="32"/>
  <c r="AS13301" i="32"/>
  <c r="AS13302" i="32"/>
  <c r="AS13303" i="32"/>
  <c r="AS13304" i="32"/>
  <c r="AS13305" i="32"/>
  <c r="AS13306" i="32"/>
  <c r="AS13307" i="32"/>
  <c r="AS13308" i="32"/>
  <c r="AS13309" i="32"/>
  <c r="AS13310" i="32"/>
  <c r="AS13311" i="32"/>
  <c r="AS13312" i="32"/>
  <c r="AS13313" i="32"/>
  <c r="AS13314" i="32"/>
  <c r="AS13315" i="32"/>
  <c r="AS13316" i="32"/>
  <c r="AS13317" i="32"/>
  <c r="AS13318" i="32"/>
  <c r="AS13319" i="32"/>
  <c r="AS13320" i="32"/>
  <c r="AS13321" i="32"/>
  <c r="AS13322" i="32"/>
  <c r="AS13323" i="32"/>
  <c r="AS13324" i="32"/>
  <c r="AS13325" i="32"/>
  <c r="AS13326" i="32"/>
  <c r="AS13327" i="32"/>
  <c r="AS13328" i="32"/>
  <c r="AS13329" i="32"/>
  <c r="AS13330" i="32"/>
  <c r="AS13331" i="32"/>
  <c r="AS13332" i="32"/>
  <c r="AS13333" i="32"/>
  <c r="AS13334" i="32"/>
  <c r="AS13335" i="32"/>
  <c r="AS13336" i="32"/>
  <c r="AS13337" i="32"/>
  <c r="AS13338" i="32"/>
  <c r="AS13339" i="32"/>
  <c r="AS13340" i="32"/>
  <c r="AS13341" i="32"/>
  <c r="AS13342" i="32"/>
  <c r="AS13343" i="32"/>
  <c r="AS13344" i="32"/>
  <c r="AS13345" i="32"/>
  <c r="AS13346" i="32"/>
  <c r="AS13347" i="32"/>
  <c r="AS13348" i="32"/>
  <c r="AS13349" i="32"/>
  <c r="AS13350" i="32"/>
  <c r="AS13351" i="32"/>
  <c r="AS13352" i="32"/>
  <c r="AS13353" i="32"/>
  <c r="AS13354" i="32"/>
  <c r="AS13355" i="32"/>
  <c r="AS13356" i="32"/>
  <c r="AS13357" i="32"/>
  <c r="AS13358" i="32"/>
  <c r="AS13359" i="32"/>
  <c r="AS13360" i="32"/>
  <c r="AS13361" i="32"/>
  <c r="AS13362" i="32"/>
  <c r="AS13363" i="32"/>
  <c r="AS13364" i="32"/>
  <c r="AS13365" i="32"/>
  <c r="AS13366" i="32"/>
  <c r="AS13367" i="32"/>
  <c r="AS13368" i="32"/>
  <c r="AS13369" i="32"/>
  <c r="AS13370" i="32"/>
  <c r="AS13371" i="32"/>
  <c r="AS13372" i="32"/>
  <c r="AS13373" i="32"/>
  <c r="AS13374" i="32"/>
  <c r="AS13375" i="32"/>
  <c r="AS13376" i="32"/>
  <c r="AS13377" i="32"/>
  <c r="AS13378" i="32"/>
  <c r="AS13379" i="32"/>
  <c r="AS13380" i="32"/>
  <c r="AS13381" i="32"/>
  <c r="AS13382" i="32"/>
  <c r="AS13383" i="32"/>
  <c r="AS13384" i="32"/>
  <c r="AS13385" i="32"/>
  <c r="AS13386" i="32"/>
  <c r="AS13387" i="32"/>
  <c r="AS13388" i="32"/>
  <c r="AS13389" i="32"/>
  <c r="AS13390" i="32"/>
  <c r="AS13391" i="32"/>
  <c r="AS13392" i="32"/>
  <c r="AS13393" i="32"/>
  <c r="AS13394" i="32"/>
  <c r="AS13395" i="32"/>
  <c r="AS13396" i="32"/>
  <c r="AS13397" i="32"/>
  <c r="AS13398" i="32"/>
  <c r="AS13399" i="32"/>
  <c r="AS13400" i="32"/>
  <c r="AS13401" i="32"/>
  <c r="AS13402" i="32"/>
  <c r="AS13403" i="32"/>
  <c r="AS13404" i="32"/>
  <c r="AS13405" i="32"/>
  <c r="AS13406" i="32"/>
  <c r="AS13407" i="32"/>
  <c r="AS13408" i="32"/>
  <c r="AS13409" i="32"/>
  <c r="AS13410" i="32"/>
  <c r="AS13411" i="32"/>
  <c r="AS13412" i="32"/>
  <c r="AS13413" i="32"/>
  <c r="AS13414" i="32"/>
  <c r="AS13415" i="32"/>
  <c r="AS13416" i="32"/>
  <c r="AS13417" i="32"/>
  <c r="AS13418" i="32"/>
  <c r="AS13419" i="32"/>
  <c r="AS13420" i="32"/>
  <c r="AS13421" i="32"/>
  <c r="AS13422" i="32"/>
  <c r="AS13423" i="32"/>
  <c r="AS13424" i="32"/>
  <c r="AS13425" i="32"/>
  <c r="AS13426" i="32"/>
  <c r="AS13427" i="32"/>
  <c r="AS13428" i="32"/>
  <c r="AS13429" i="32"/>
  <c r="AS13430" i="32"/>
  <c r="AS13431" i="32"/>
  <c r="AS13432" i="32"/>
  <c r="AS13433" i="32"/>
  <c r="AS13434" i="32"/>
  <c r="AS13435" i="32"/>
  <c r="AS13436" i="32"/>
  <c r="AS13437" i="32"/>
  <c r="AS13438" i="32"/>
  <c r="AS13439" i="32"/>
  <c r="AS13440" i="32"/>
  <c r="AS13441" i="32"/>
  <c r="AS13442" i="32"/>
  <c r="AS13443" i="32"/>
  <c r="AS13444" i="32"/>
  <c r="AS13445" i="32"/>
  <c r="AS13446" i="32"/>
  <c r="AS13447" i="32"/>
  <c r="AS13448" i="32"/>
  <c r="AS13449" i="32"/>
  <c r="AS13450" i="32"/>
  <c r="AS13451" i="32"/>
  <c r="AS13452" i="32"/>
  <c r="AS13453" i="32"/>
  <c r="AS13454" i="32"/>
  <c r="AS13455" i="32"/>
  <c r="AS13456" i="32"/>
  <c r="AS13457" i="32"/>
  <c r="AS13458" i="32"/>
  <c r="AS13459" i="32"/>
  <c r="AS13460" i="32"/>
  <c r="AS13461" i="32"/>
  <c r="AS13462" i="32"/>
  <c r="AS13463" i="32"/>
  <c r="AS13464" i="32"/>
  <c r="AS13465" i="32"/>
  <c r="AS13466" i="32"/>
  <c r="AS13467" i="32"/>
  <c r="AS13468" i="32"/>
  <c r="AS13469" i="32"/>
  <c r="AS13470" i="32"/>
  <c r="AS13471" i="32"/>
  <c r="AS13472" i="32"/>
  <c r="AS13473" i="32"/>
  <c r="AS13474" i="32"/>
  <c r="AS13475" i="32"/>
  <c r="AS13476" i="32"/>
  <c r="AS13477" i="32"/>
  <c r="AS13478" i="32"/>
  <c r="AS13479" i="32"/>
  <c r="AS13480" i="32"/>
  <c r="AS13481" i="32"/>
  <c r="AS13482" i="32"/>
  <c r="AS13483" i="32"/>
  <c r="AS13484" i="32"/>
  <c r="AS13485" i="32"/>
  <c r="AS13486" i="32"/>
  <c r="AS13487" i="32"/>
  <c r="AS13488" i="32"/>
  <c r="AS13489" i="32"/>
  <c r="AS13490" i="32"/>
  <c r="AS13491" i="32"/>
  <c r="AS13492" i="32"/>
  <c r="AS13493" i="32"/>
  <c r="AS13494" i="32"/>
  <c r="AS13495" i="32"/>
  <c r="AS13496" i="32"/>
  <c r="AS13497" i="32"/>
  <c r="AS13498" i="32"/>
  <c r="AS13499" i="32"/>
  <c r="AS13500" i="32"/>
  <c r="AS13501" i="32"/>
  <c r="AS13502" i="32"/>
  <c r="AS13503" i="32"/>
  <c r="AS13504" i="32"/>
  <c r="AS13505" i="32"/>
  <c r="AS13506" i="32"/>
  <c r="AS13507" i="32"/>
  <c r="AS13508" i="32"/>
  <c r="AS13509" i="32"/>
  <c r="AS13510" i="32"/>
  <c r="AS13511" i="32"/>
  <c r="AS13512" i="32"/>
  <c r="AS13513" i="32"/>
  <c r="AS13514" i="32"/>
  <c r="AS13515" i="32"/>
  <c r="AS13516" i="32"/>
  <c r="AS13517" i="32"/>
  <c r="AS13518" i="32"/>
  <c r="AS13519" i="32"/>
  <c r="AS13520" i="32"/>
  <c r="AS13521" i="32"/>
  <c r="AS13522" i="32"/>
  <c r="AS13523" i="32"/>
  <c r="AS13524" i="32"/>
  <c r="AS13525" i="32"/>
  <c r="AS13526" i="32"/>
  <c r="AS13527" i="32"/>
  <c r="AS13528" i="32"/>
  <c r="AS13529" i="32"/>
  <c r="AS13530" i="32"/>
  <c r="AS13531" i="32"/>
  <c r="AS13532" i="32"/>
  <c r="AS13533" i="32"/>
  <c r="AS13534" i="32"/>
  <c r="AS13535" i="32"/>
  <c r="AS13536" i="32"/>
  <c r="AS13537" i="32"/>
  <c r="AS13538" i="32"/>
  <c r="AS13539" i="32"/>
  <c r="AS13540" i="32"/>
  <c r="AS13541" i="32"/>
  <c r="AS13542" i="32"/>
  <c r="AS13543" i="32"/>
  <c r="AS13544" i="32"/>
  <c r="AS13545" i="32"/>
  <c r="AS13546" i="32"/>
  <c r="AS13547" i="32"/>
  <c r="AS13548" i="32"/>
  <c r="AS13549" i="32"/>
  <c r="AS13550" i="32"/>
  <c r="AS13551" i="32"/>
  <c r="AS13552" i="32"/>
  <c r="AS13553" i="32"/>
  <c r="AS13554" i="32"/>
  <c r="AS13555" i="32"/>
  <c r="AS13556" i="32"/>
  <c r="AS13557" i="32"/>
  <c r="AS13558" i="32"/>
  <c r="AS13559" i="32"/>
  <c r="AS13560" i="32"/>
  <c r="AS13561" i="32"/>
  <c r="AS13562" i="32"/>
  <c r="AS13563" i="32"/>
  <c r="AS13564" i="32"/>
  <c r="AS13565" i="32"/>
  <c r="AS13566" i="32"/>
  <c r="AS13567" i="32"/>
  <c r="AS13568" i="32"/>
  <c r="AS13569" i="32"/>
  <c r="AS13570" i="32"/>
  <c r="AS13571" i="32"/>
  <c r="AS13572" i="32"/>
  <c r="AS13573" i="32"/>
  <c r="AS13574" i="32"/>
  <c r="AS13575" i="32"/>
  <c r="AS13576" i="32"/>
  <c r="AS13577" i="32"/>
  <c r="AS13578" i="32"/>
  <c r="AS13579" i="32"/>
  <c r="AS13580" i="32"/>
  <c r="AS13581" i="32"/>
  <c r="AS13582" i="32"/>
  <c r="AS13583" i="32"/>
  <c r="AS13584" i="32"/>
  <c r="AS13585" i="32"/>
  <c r="AS13586" i="32"/>
  <c r="AS13587" i="32"/>
  <c r="AS13588" i="32"/>
  <c r="AS13589" i="32"/>
  <c r="AS13590" i="32"/>
  <c r="AS13591" i="32"/>
  <c r="AS13592" i="32"/>
  <c r="AS13593" i="32"/>
  <c r="AS13594" i="32"/>
  <c r="AS13595" i="32"/>
  <c r="AS13596" i="32"/>
  <c r="AS13597" i="32"/>
  <c r="AS13598" i="32"/>
  <c r="AS13599" i="32"/>
  <c r="AS13600" i="32"/>
  <c r="AS13601" i="32"/>
  <c r="AS13602" i="32"/>
  <c r="AS13603" i="32"/>
  <c r="AS13604" i="32"/>
  <c r="AS13605" i="32"/>
  <c r="AS13606" i="32"/>
  <c r="AS13607" i="32"/>
  <c r="AS13608" i="32"/>
  <c r="AS13609" i="32"/>
  <c r="AS13610" i="32"/>
  <c r="AS13611" i="32"/>
  <c r="AS13612" i="32"/>
  <c r="AS13613" i="32"/>
  <c r="AS13614" i="32"/>
  <c r="AS13615" i="32"/>
  <c r="AS13616" i="32"/>
  <c r="AS13617" i="32"/>
  <c r="AS13618" i="32"/>
  <c r="AS13619" i="32"/>
  <c r="AS13620" i="32"/>
  <c r="AS13621" i="32"/>
  <c r="AS13622" i="32"/>
  <c r="AS13623" i="32"/>
  <c r="AS13624" i="32"/>
  <c r="AS13625" i="32"/>
  <c r="AS13626" i="32"/>
  <c r="AS13627" i="32"/>
  <c r="AS13628" i="32"/>
  <c r="AS13629" i="32"/>
  <c r="AS13630" i="32"/>
  <c r="AS13631" i="32"/>
  <c r="AS13632" i="32"/>
  <c r="AS13633" i="32"/>
  <c r="AS13634" i="32"/>
  <c r="AS13635" i="32"/>
  <c r="AS13636" i="32"/>
  <c r="AS13637" i="32"/>
  <c r="AS13638" i="32"/>
  <c r="AS13639" i="32"/>
  <c r="AS13640" i="32"/>
  <c r="AS13641" i="32"/>
  <c r="AS13642" i="32"/>
  <c r="AS13643" i="32"/>
  <c r="AS13644" i="32"/>
  <c r="AS13645" i="32"/>
  <c r="AS13646" i="32"/>
  <c r="AS13647" i="32"/>
  <c r="AS13648" i="32"/>
  <c r="AS13649" i="32"/>
  <c r="AS13650" i="32"/>
  <c r="AS13651" i="32"/>
  <c r="AS13652" i="32"/>
  <c r="AS13653" i="32"/>
  <c r="AS13654" i="32"/>
  <c r="AS13655" i="32"/>
  <c r="AS13656" i="32"/>
  <c r="AS13657" i="32"/>
  <c r="AS13658" i="32"/>
  <c r="AS13659" i="32"/>
  <c r="AS13660" i="32"/>
  <c r="AS13661" i="32"/>
  <c r="AS13662" i="32"/>
  <c r="AS13663" i="32"/>
  <c r="AS13664" i="32"/>
  <c r="AS13665" i="32"/>
  <c r="AS13666" i="32"/>
  <c r="AS13667" i="32"/>
  <c r="AS13668" i="32"/>
  <c r="AS13669" i="32"/>
  <c r="AS13670" i="32"/>
  <c r="AS13671" i="32"/>
  <c r="AS13672" i="32"/>
  <c r="AS13673" i="32"/>
  <c r="AS13674" i="32"/>
  <c r="AS13675" i="32"/>
  <c r="AS13676" i="32"/>
  <c r="AS13677" i="32"/>
  <c r="AS13678" i="32"/>
  <c r="AS13679" i="32"/>
  <c r="AS13680" i="32"/>
  <c r="AS13681" i="32"/>
  <c r="AS13682" i="32"/>
  <c r="AS13683" i="32"/>
  <c r="AS13684" i="32"/>
  <c r="AS13685" i="32"/>
  <c r="AS13686" i="32"/>
  <c r="AS13687" i="32"/>
  <c r="AS13688" i="32"/>
  <c r="AS13689" i="32"/>
  <c r="AS13690" i="32"/>
  <c r="AS13691" i="32"/>
  <c r="AS13692" i="32"/>
  <c r="AS13693" i="32"/>
  <c r="AS13694" i="32"/>
  <c r="AS13695" i="32"/>
  <c r="AS13696" i="32"/>
  <c r="AS13697" i="32"/>
  <c r="AS13698" i="32"/>
  <c r="AS13699" i="32"/>
  <c r="AS13700" i="32"/>
  <c r="AS13701" i="32"/>
  <c r="AS13702" i="32"/>
  <c r="AS13703" i="32"/>
  <c r="AS13704" i="32"/>
  <c r="AS13705" i="32"/>
  <c r="AS13706" i="32"/>
  <c r="AS13707" i="32"/>
  <c r="AS13708" i="32"/>
  <c r="AS13709" i="32"/>
  <c r="AS13710" i="32"/>
  <c r="AS13711" i="32"/>
  <c r="AS13712" i="32"/>
  <c r="AS13713" i="32"/>
  <c r="AS13714" i="32"/>
  <c r="AS13715" i="32"/>
  <c r="AS13716" i="32"/>
  <c r="AS13717" i="32"/>
  <c r="AS13718" i="32"/>
  <c r="AS13719" i="32"/>
  <c r="AS13720" i="32"/>
  <c r="AS13721" i="32"/>
  <c r="AS13722" i="32"/>
  <c r="AS13723" i="32"/>
  <c r="AS13724" i="32"/>
  <c r="AS13725" i="32"/>
  <c r="AS13726" i="32"/>
  <c r="AS13727" i="32"/>
  <c r="AS13728" i="32"/>
  <c r="AS13729" i="32"/>
  <c r="AS13730" i="32"/>
  <c r="AS13731" i="32"/>
  <c r="AS13732" i="32"/>
  <c r="AS13733" i="32"/>
  <c r="AS13734" i="32"/>
  <c r="AS13735" i="32"/>
  <c r="AS13736" i="32"/>
  <c r="AS13737" i="32"/>
  <c r="AS13738" i="32"/>
  <c r="AS13739" i="32"/>
  <c r="AS13740" i="32"/>
  <c r="AS13741" i="32"/>
  <c r="AS13742" i="32"/>
  <c r="AS13743" i="32"/>
  <c r="AS13744" i="32"/>
  <c r="AS13745" i="32"/>
  <c r="AS13746" i="32"/>
  <c r="AS13747" i="32"/>
  <c r="AS13748" i="32"/>
  <c r="AS13749" i="32"/>
  <c r="AS13750" i="32"/>
  <c r="AS13751" i="32"/>
  <c r="AS13752" i="32"/>
  <c r="AS13753" i="32"/>
  <c r="AS13754" i="32"/>
  <c r="AS13755" i="32"/>
  <c r="AS13756" i="32"/>
  <c r="AS13757" i="32"/>
  <c r="AS13758" i="32"/>
  <c r="AS13759" i="32"/>
  <c r="AS13760" i="32"/>
  <c r="AS13761" i="32"/>
  <c r="AS13762" i="32"/>
  <c r="AS13763" i="32"/>
  <c r="AS13764" i="32"/>
  <c r="AS13765" i="32"/>
  <c r="AS13766" i="32"/>
  <c r="AS13767" i="32"/>
  <c r="AS13768" i="32"/>
  <c r="AS13769" i="32"/>
  <c r="AS13770" i="32"/>
  <c r="AS13771" i="32"/>
  <c r="AS13772" i="32"/>
  <c r="AS13773" i="32"/>
  <c r="AS13774" i="32"/>
  <c r="AS13775" i="32"/>
  <c r="AS13776" i="32"/>
  <c r="AS13777" i="32"/>
  <c r="AS13778" i="32"/>
  <c r="AS13779" i="32"/>
  <c r="AS13780" i="32"/>
  <c r="AS13781" i="32"/>
  <c r="AS13782" i="32"/>
  <c r="AS13783" i="32"/>
  <c r="AS13784" i="32"/>
  <c r="AS13785" i="32"/>
  <c r="AS13786" i="32"/>
  <c r="AS13787" i="32"/>
  <c r="AS13788" i="32"/>
  <c r="AS13789" i="32"/>
  <c r="AS13790" i="32"/>
  <c r="AS13791" i="32"/>
  <c r="AS13792" i="32"/>
  <c r="AS13793" i="32"/>
  <c r="AS13794" i="32"/>
  <c r="AS13795" i="32"/>
  <c r="AS13796" i="32"/>
  <c r="AS13797" i="32"/>
  <c r="AS13798" i="32"/>
  <c r="AS13799" i="32"/>
  <c r="AS13800" i="32"/>
  <c r="AS13801" i="32"/>
  <c r="AS13802" i="32"/>
  <c r="AS13803" i="32"/>
  <c r="AS13804" i="32"/>
  <c r="AS13805" i="32"/>
  <c r="AS13806" i="32"/>
  <c r="AS13807" i="32"/>
  <c r="AS13808" i="32"/>
  <c r="AS13809" i="32"/>
  <c r="AS13810" i="32"/>
  <c r="AS13811" i="32"/>
  <c r="AS13812" i="32"/>
  <c r="AS13813" i="32"/>
  <c r="AS13814" i="32"/>
  <c r="AS13815" i="32"/>
  <c r="AS13816" i="32"/>
  <c r="AS13817" i="32"/>
  <c r="AS13818" i="32"/>
  <c r="AS13819" i="32"/>
  <c r="AS13820" i="32"/>
  <c r="AS13821" i="32"/>
  <c r="AS13822" i="32"/>
  <c r="AS13823" i="32"/>
  <c r="AS13824" i="32"/>
  <c r="AS13825" i="32"/>
  <c r="AS13826" i="32"/>
  <c r="AS13827" i="32"/>
  <c r="AS13828" i="32"/>
  <c r="AS13829" i="32"/>
  <c r="AS13830" i="32"/>
  <c r="AS13831" i="32"/>
  <c r="AS13832" i="32"/>
  <c r="AS13833" i="32"/>
  <c r="AS13834" i="32"/>
  <c r="AS13835" i="32"/>
  <c r="AS13836" i="32"/>
  <c r="AS13837" i="32"/>
  <c r="AS13838" i="32"/>
  <c r="AS13839" i="32"/>
  <c r="AS13840" i="32"/>
  <c r="AS13841" i="32"/>
  <c r="AS13842" i="32"/>
  <c r="AS13843" i="32"/>
  <c r="AS13844" i="32"/>
  <c r="AS13845" i="32"/>
  <c r="AS13846" i="32"/>
  <c r="AS13847" i="32"/>
  <c r="AS13848" i="32"/>
  <c r="AS13849" i="32"/>
  <c r="AS13850" i="32"/>
  <c r="AS13851" i="32"/>
  <c r="AS13852" i="32"/>
  <c r="AS13853" i="32"/>
  <c r="AS13854" i="32"/>
  <c r="AS13855" i="32"/>
  <c r="AS13856" i="32"/>
  <c r="AS13857" i="32"/>
  <c r="AS13858" i="32"/>
  <c r="AS13859" i="32"/>
  <c r="AS13860" i="32"/>
  <c r="AS13861" i="32"/>
  <c r="AS13862" i="32"/>
  <c r="AS13863" i="32"/>
  <c r="AS13864" i="32"/>
  <c r="AS13865" i="32"/>
  <c r="AS13866" i="32"/>
  <c r="AS13867" i="32"/>
  <c r="AS13868" i="32"/>
  <c r="AS13869" i="32"/>
  <c r="AS13870" i="32"/>
  <c r="AS13871" i="32"/>
  <c r="AS13872" i="32"/>
  <c r="AS13873" i="32"/>
  <c r="AS13874" i="32"/>
  <c r="AS13875" i="32"/>
  <c r="AS13876" i="32"/>
  <c r="AS13877" i="32"/>
  <c r="AS13878" i="32"/>
  <c r="AS13879" i="32"/>
  <c r="AS13880" i="32"/>
  <c r="AS13881" i="32"/>
  <c r="AS13882" i="32"/>
  <c r="AS13883" i="32"/>
  <c r="AS13884" i="32"/>
  <c r="AS13885" i="32"/>
  <c r="AS13886" i="32"/>
  <c r="AS13887" i="32"/>
  <c r="AS13888" i="32"/>
  <c r="AS13889" i="32"/>
  <c r="AS13890" i="32"/>
  <c r="AS13891" i="32"/>
  <c r="AS13892" i="32"/>
  <c r="AS13893" i="32"/>
  <c r="AS13894" i="32"/>
  <c r="AS13895" i="32"/>
  <c r="AS13896" i="32"/>
  <c r="AS13897" i="32"/>
  <c r="AS13898" i="32"/>
  <c r="AS13899" i="32"/>
  <c r="AS13900" i="32"/>
  <c r="AS13901" i="32"/>
  <c r="AS13902" i="32"/>
  <c r="AS13903" i="32"/>
  <c r="AS13904" i="32"/>
  <c r="AS13905" i="32"/>
  <c r="AS13906" i="32"/>
  <c r="AS13907" i="32"/>
  <c r="AS13908" i="32"/>
  <c r="AS13909" i="32"/>
  <c r="AS13910" i="32"/>
  <c r="AS13911" i="32"/>
  <c r="AS13912" i="32"/>
  <c r="AS13913" i="32"/>
  <c r="AS13914" i="32"/>
  <c r="AS13915" i="32"/>
  <c r="AS13916" i="32"/>
  <c r="AS13917" i="32"/>
  <c r="AS13918" i="32"/>
  <c r="AS13919" i="32"/>
  <c r="AS13920" i="32"/>
  <c r="AS13921" i="32"/>
  <c r="AS13922" i="32"/>
  <c r="AS13923" i="32"/>
  <c r="AS13924" i="32"/>
  <c r="AS13925" i="32"/>
  <c r="AS13926" i="32"/>
  <c r="AS13927" i="32"/>
  <c r="AS13928" i="32"/>
  <c r="AS13929" i="32"/>
  <c r="AS13930" i="32"/>
  <c r="AS13931" i="32"/>
  <c r="AS13932" i="32"/>
  <c r="AS13933" i="32"/>
  <c r="AS13934" i="32"/>
  <c r="AS13935" i="32"/>
  <c r="AS13936" i="32"/>
  <c r="AS13937" i="32"/>
  <c r="AS13938" i="32"/>
  <c r="AS13939" i="32"/>
  <c r="AS13940" i="32"/>
  <c r="AS13941" i="32"/>
  <c r="AS13942" i="32"/>
  <c r="AS13943" i="32"/>
  <c r="AS13944" i="32"/>
  <c r="AS13945" i="32"/>
  <c r="AS13946" i="32"/>
  <c r="AS13947" i="32"/>
  <c r="AS13948" i="32"/>
  <c r="AS13949" i="32"/>
  <c r="AS13950" i="32"/>
  <c r="AS13951" i="32"/>
  <c r="AS13952" i="32"/>
  <c r="AS13953" i="32"/>
  <c r="AS13954" i="32"/>
  <c r="AS13955" i="32"/>
  <c r="AS13956" i="32"/>
  <c r="AS13957" i="32"/>
  <c r="AS13958" i="32"/>
  <c r="AS13959" i="32"/>
  <c r="AS13960" i="32"/>
  <c r="AS13961" i="32"/>
  <c r="AS13962" i="32"/>
  <c r="AS13963" i="32"/>
  <c r="AS13964" i="32"/>
  <c r="AS13965" i="32"/>
  <c r="AS13966" i="32"/>
  <c r="AS13967" i="32"/>
  <c r="AS13968" i="32"/>
  <c r="AS13969" i="32"/>
  <c r="AS13970" i="32"/>
  <c r="AS13971" i="32"/>
  <c r="AS13972" i="32"/>
  <c r="AS13973" i="32"/>
  <c r="AS13974" i="32"/>
  <c r="AS13975" i="32"/>
  <c r="AS13976" i="32"/>
  <c r="AS13977" i="32"/>
  <c r="AS13978" i="32"/>
  <c r="AS13979" i="32"/>
  <c r="AS13980" i="32"/>
  <c r="AS13981" i="32"/>
  <c r="AS13982" i="32"/>
  <c r="AS13983" i="32"/>
  <c r="AS13984" i="32"/>
  <c r="AS13985" i="32"/>
  <c r="AS13986" i="32"/>
  <c r="AS13987" i="32"/>
  <c r="AS13988" i="32"/>
  <c r="AS13989" i="32"/>
  <c r="AS13990" i="32"/>
  <c r="AS13991" i="32"/>
  <c r="AS13992" i="32"/>
  <c r="AS13993" i="32"/>
  <c r="AS13994" i="32"/>
  <c r="AS13995" i="32"/>
  <c r="AS13996" i="32"/>
  <c r="AS13997" i="32"/>
  <c r="AS13998" i="32"/>
  <c r="AS13999" i="32"/>
  <c r="AS14000" i="32"/>
  <c r="AS14001" i="32"/>
  <c r="AS14002" i="32"/>
  <c r="AS14003" i="32"/>
  <c r="AS14004" i="32"/>
  <c r="AS14005" i="32"/>
  <c r="AS14006" i="32"/>
  <c r="AS14007" i="32"/>
  <c r="AS14008" i="32"/>
  <c r="AS14009" i="32"/>
  <c r="AS14010" i="32"/>
  <c r="AS14011" i="32"/>
  <c r="AS14012" i="32"/>
  <c r="AS14013" i="32"/>
  <c r="AS14014" i="32"/>
  <c r="AS14015" i="32"/>
  <c r="AS14016" i="32"/>
  <c r="AS14017" i="32"/>
  <c r="AS14018" i="32"/>
  <c r="AS14019" i="32"/>
  <c r="AS14020" i="32"/>
  <c r="AS14021" i="32"/>
  <c r="AS14022" i="32"/>
  <c r="AS14023" i="32"/>
  <c r="AS14024" i="32"/>
  <c r="AS14025" i="32"/>
  <c r="AS14026" i="32"/>
  <c r="AS14027" i="32"/>
  <c r="AS14028" i="32"/>
  <c r="AS14029" i="32"/>
  <c r="AS14030" i="32"/>
  <c r="AS14031" i="32"/>
  <c r="AS14032" i="32"/>
  <c r="AS14033" i="32"/>
  <c r="AS14034" i="32"/>
  <c r="AS14035" i="32"/>
  <c r="AS14036" i="32"/>
  <c r="AS14037" i="32"/>
  <c r="AS14038" i="32"/>
  <c r="AS14039" i="32"/>
  <c r="AS14040" i="32"/>
  <c r="AS14041" i="32"/>
  <c r="AS14042" i="32"/>
  <c r="AS14043" i="32"/>
  <c r="AS14044" i="32"/>
  <c r="AS14045" i="32"/>
  <c r="AS14046" i="32"/>
  <c r="AS14047" i="32"/>
  <c r="AS14048" i="32"/>
  <c r="AS14049" i="32"/>
  <c r="AS14050" i="32"/>
  <c r="AS14051" i="32"/>
  <c r="AS14052" i="32"/>
  <c r="AS14053" i="32"/>
  <c r="AS14054" i="32"/>
  <c r="AS14055" i="32"/>
  <c r="AS14056" i="32"/>
  <c r="AS14057" i="32"/>
  <c r="AS14058" i="32"/>
  <c r="AS14059" i="32"/>
  <c r="AS14060" i="32"/>
  <c r="AS14061" i="32"/>
  <c r="AS14062" i="32"/>
  <c r="AS14063" i="32"/>
  <c r="AS14064" i="32"/>
  <c r="AS14065" i="32"/>
  <c r="AS14066" i="32"/>
  <c r="AS14067" i="32"/>
  <c r="AS14068" i="32"/>
  <c r="AS14069" i="32"/>
  <c r="AS14070" i="32"/>
  <c r="AS14071" i="32"/>
  <c r="AS14072" i="32"/>
  <c r="AS14073" i="32"/>
  <c r="AS14074" i="32"/>
  <c r="AS14075" i="32"/>
  <c r="AS14076" i="32"/>
  <c r="AS14077" i="32"/>
  <c r="AS14078" i="32"/>
  <c r="AS14079" i="32"/>
  <c r="AS14080" i="32"/>
  <c r="AS14081" i="32"/>
  <c r="AS14082" i="32"/>
  <c r="AS14083" i="32"/>
  <c r="AS14084" i="32"/>
  <c r="AS14085" i="32"/>
  <c r="AS14086" i="32"/>
  <c r="AS14087" i="32"/>
  <c r="AS14088" i="32"/>
  <c r="AS14089" i="32"/>
  <c r="AS14090" i="32"/>
  <c r="AS14091" i="32"/>
  <c r="AS14092" i="32"/>
  <c r="AS14093" i="32"/>
  <c r="AS14094" i="32"/>
  <c r="AS14095" i="32"/>
  <c r="AS14096" i="32"/>
  <c r="AS14097" i="32"/>
  <c r="AS14098" i="32"/>
  <c r="AS14099" i="32"/>
  <c r="AS14100" i="32"/>
  <c r="AS14101" i="32"/>
  <c r="AS14102" i="32"/>
  <c r="AS14103" i="32"/>
  <c r="AS14104" i="32"/>
  <c r="AS14105" i="32"/>
  <c r="AS14106" i="32"/>
  <c r="AS14107" i="32"/>
  <c r="AS14108" i="32"/>
  <c r="AS14109" i="32"/>
  <c r="AS14110" i="32"/>
  <c r="AS14111" i="32"/>
  <c r="AS14112" i="32"/>
  <c r="AS14113" i="32"/>
  <c r="AS14114" i="32"/>
  <c r="AS14115" i="32"/>
  <c r="AS14116" i="32"/>
  <c r="AS14117" i="32"/>
  <c r="AS14118" i="32"/>
  <c r="AS14119" i="32"/>
  <c r="AS14120" i="32"/>
  <c r="AS14121" i="32"/>
  <c r="AS14122" i="32"/>
  <c r="AS14123" i="32"/>
  <c r="AS14124" i="32"/>
  <c r="AS14125" i="32"/>
  <c r="AS14126" i="32"/>
  <c r="AS14127" i="32"/>
  <c r="AS14128" i="32"/>
  <c r="AS14129" i="32"/>
  <c r="AS14130" i="32"/>
  <c r="AS14131" i="32"/>
  <c r="AS14132" i="32"/>
  <c r="AS14133" i="32"/>
  <c r="AS14134" i="32"/>
  <c r="AS14135" i="32"/>
  <c r="AS14136" i="32"/>
  <c r="AS14137" i="32"/>
  <c r="AS14138" i="32"/>
  <c r="AS14139" i="32"/>
  <c r="AS14140" i="32"/>
  <c r="AS14141" i="32"/>
  <c r="AS14142" i="32"/>
  <c r="AS14143" i="32"/>
  <c r="AS14144" i="32"/>
  <c r="AS14145" i="32"/>
  <c r="AS14146" i="32"/>
  <c r="AS14147" i="32"/>
  <c r="AS14148" i="32"/>
  <c r="AS14149" i="32"/>
  <c r="AS14150" i="32"/>
  <c r="AS14151" i="32"/>
  <c r="AS14152" i="32"/>
  <c r="AS14153" i="32"/>
  <c r="AS14154" i="32"/>
  <c r="AS14155" i="32"/>
  <c r="AS14156" i="32"/>
  <c r="AS14157" i="32"/>
  <c r="AS14158" i="32"/>
  <c r="AS14159" i="32"/>
  <c r="AS14160" i="32"/>
  <c r="AS14161" i="32"/>
  <c r="AS14162" i="32"/>
  <c r="AS14163" i="32"/>
  <c r="AS14164" i="32"/>
  <c r="AS14165" i="32"/>
  <c r="AS14166" i="32"/>
  <c r="AS14167" i="32"/>
  <c r="AS14168" i="32"/>
  <c r="AS14169" i="32"/>
  <c r="AS14170" i="32"/>
  <c r="AS14171" i="32"/>
  <c r="AS14172" i="32"/>
  <c r="AS14173" i="32"/>
  <c r="AS14174" i="32"/>
  <c r="AS14175" i="32"/>
  <c r="AS14176" i="32"/>
  <c r="AS14177" i="32"/>
  <c r="AS14178" i="32"/>
  <c r="AS14179" i="32"/>
  <c r="AS14180" i="32"/>
  <c r="AS14181" i="32"/>
  <c r="AS14182" i="32"/>
  <c r="AS14183" i="32"/>
  <c r="AS14184" i="32"/>
  <c r="AS14185" i="32"/>
  <c r="AS14186" i="32"/>
  <c r="AS14187" i="32"/>
  <c r="AS14188" i="32"/>
  <c r="AS14189" i="32"/>
  <c r="AS14190" i="32"/>
  <c r="AS14191" i="32"/>
  <c r="AS14192" i="32"/>
  <c r="AS14193" i="32"/>
  <c r="AS14194" i="32"/>
  <c r="AS14195" i="32"/>
  <c r="AS14196" i="32"/>
  <c r="AS14197" i="32"/>
  <c r="AS14198" i="32"/>
  <c r="AS14199" i="32"/>
  <c r="AS14200" i="32"/>
  <c r="AS14201" i="32"/>
  <c r="AS14202" i="32"/>
  <c r="AS14203" i="32"/>
  <c r="AS14204" i="32"/>
  <c r="AS14205" i="32"/>
  <c r="AS14206" i="32"/>
  <c r="AS14207" i="32"/>
  <c r="AS14208" i="32"/>
  <c r="AS14209" i="32"/>
  <c r="AS14210" i="32"/>
  <c r="AS14211" i="32"/>
  <c r="AS14212" i="32"/>
  <c r="AS14213" i="32"/>
  <c r="AS14214" i="32"/>
  <c r="AS14215" i="32"/>
  <c r="AS14216" i="32"/>
  <c r="AS14217" i="32"/>
  <c r="AS14218" i="32"/>
  <c r="AS14219" i="32"/>
  <c r="AS14220" i="32"/>
  <c r="AS14221" i="32"/>
  <c r="AS14222" i="32"/>
  <c r="AS14223" i="32"/>
  <c r="AS14224" i="32"/>
  <c r="AS14225" i="32"/>
  <c r="AS14226" i="32"/>
  <c r="AS14227" i="32"/>
  <c r="AS14228" i="32"/>
  <c r="AS14229" i="32"/>
  <c r="AS14230" i="32"/>
  <c r="AS14231" i="32"/>
  <c r="AS14232" i="32"/>
  <c r="AS14233" i="32"/>
  <c r="AS14234" i="32"/>
  <c r="AS14235" i="32"/>
  <c r="AS14236" i="32"/>
  <c r="AS14237" i="32"/>
  <c r="AS14238" i="32"/>
  <c r="AS14239" i="32"/>
  <c r="AS14240" i="32"/>
  <c r="AS14241" i="32"/>
  <c r="AS14242" i="32"/>
  <c r="AS14243" i="32"/>
  <c r="AS14244" i="32"/>
  <c r="AS14245" i="32"/>
  <c r="AS14246" i="32"/>
  <c r="AS14247" i="32"/>
  <c r="AS14248" i="32"/>
  <c r="AS14249" i="32"/>
  <c r="AS14250" i="32"/>
  <c r="AS14251" i="32"/>
  <c r="AS14252" i="32"/>
  <c r="AS14253" i="32"/>
  <c r="AS14254" i="32"/>
  <c r="AS14255" i="32"/>
  <c r="AS14256" i="32"/>
  <c r="AS14257" i="32"/>
  <c r="AS14258" i="32"/>
  <c r="AS14259" i="32"/>
  <c r="AS14260" i="32"/>
  <c r="AS14261" i="32"/>
  <c r="AS14262" i="32"/>
  <c r="AS14263" i="32"/>
  <c r="AS14264" i="32"/>
  <c r="AS14265" i="32"/>
  <c r="AS14266" i="32"/>
  <c r="AS14267" i="32"/>
  <c r="AS14268" i="32"/>
  <c r="AS14269" i="32"/>
  <c r="AS14270" i="32"/>
  <c r="AS14271" i="32"/>
  <c r="AS14272" i="32"/>
  <c r="AS14273" i="32"/>
  <c r="AS14274" i="32"/>
  <c r="AS14275" i="32"/>
  <c r="AS14276" i="32"/>
  <c r="AS14277" i="32"/>
  <c r="AS14278" i="32"/>
  <c r="AS14279" i="32"/>
  <c r="AS14280" i="32"/>
  <c r="AS14281" i="32"/>
  <c r="AS14282" i="32"/>
  <c r="AS14283" i="32"/>
  <c r="AS14284" i="32"/>
  <c r="AS14285" i="32"/>
  <c r="AS14286" i="32"/>
  <c r="AS14287" i="32"/>
  <c r="AS14288" i="32"/>
  <c r="AS14289" i="32"/>
  <c r="AS14290" i="32"/>
  <c r="AS14291" i="32"/>
  <c r="AS14292" i="32"/>
  <c r="AS14293" i="32"/>
  <c r="AS14294" i="32"/>
  <c r="AS14295" i="32"/>
  <c r="AS14296" i="32"/>
  <c r="AS14297" i="32"/>
  <c r="AS14298" i="32"/>
  <c r="AS14299" i="32"/>
  <c r="AS14300" i="32"/>
  <c r="AS14301" i="32"/>
  <c r="AS14302" i="32"/>
  <c r="AS14303" i="32"/>
  <c r="AS14304" i="32"/>
  <c r="AS14305" i="32"/>
  <c r="AS14306" i="32"/>
  <c r="AS14307" i="32"/>
  <c r="AS14308" i="32"/>
  <c r="AS14309" i="32"/>
  <c r="AS14310" i="32"/>
  <c r="AS14311" i="32"/>
  <c r="AS14312" i="32"/>
  <c r="AS14313" i="32"/>
  <c r="AS14314" i="32"/>
  <c r="AS14315" i="32"/>
  <c r="AS14316" i="32"/>
  <c r="AS14317" i="32"/>
  <c r="AS14318" i="32"/>
  <c r="AS14319" i="32"/>
  <c r="AS14320" i="32"/>
  <c r="AS14321" i="32"/>
  <c r="AS14322" i="32"/>
  <c r="AS14323" i="32"/>
  <c r="AS14324" i="32"/>
  <c r="AS14325" i="32"/>
  <c r="AS14326" i="32"/>
  <c r="AS14327" i="32"/>
  <c r="AS14328" i="32"/>
  <c r="AS14329" i="32"/>
  <c r="AS14330" i="32"/>
  <c r="AS14331" i="32"/>
  <c r="AS14332" i="32"/>
  <c r="AS14333" i="32"/>
  <c r="AS14334" i="32"/>
  <c r="AS14335" i="32"/>
  <c r="AS14336" i="32"/>
  <c r="AS14337" i="32"/>
  <c r="AS14338" i="32"/>
  <c r="AS14339" i="32"/>
  <c r="AS14340" i="32"/>
  <c r="AS14341" i="32"/>
  <c r="AS14342" i="32"/>
  <c r="AS14343" i="32"/>
  <c r="AS14344" i="32"/>
  <c r="AS14345" i="32"/>
  <c r="AS14346" i="32"/>
  <c r="AS14347" i="32"/>
  <c r="AS14348" i="32"/>
  <c r="AS14349" i="32"/>
  <c r="AS14350" i="32"/>
  <c r="AS14351" i="32"/>
  <c r="AS14352" i="32"/>
  <c r="AS14353" i="32"/>
  <c r="AS14354" i="32"/>
  <c r="AS14355" i="32"/>
  <c r="AS14356" i="32"/>
  <c r="AS14357" i="32"/>
  <c r="AS14358" i="32"/>
  <c r="AS14359" i="32"/>
  <c r="AS14360" i="32"/>
  <c r="AS14361" i="32"/>
  <c r="AS14362" i="32"/>
  <c r="AS14363" i="32"/>
  <c r="AS14364" i="32"/>
  <c r="AS14365" i="32"/>
  <c r="AS14366" i="32"/>
  <c r="AS14367" i="32"/>
  <c r="AS14368" i="32"/>
  <c r="AS14369" i="32"/>
  <c r="AS14370" i="32"/>
  <c r="AS14371" i="32"/>
  <c r="AS14372" i="32"/>
  <c r="AS14373" i="32"/>
  <c r="AS14374" i="32"/>
  <c r="AS14375" i="32"/>
  <c r="AS14376" i="32"/>
  <c r="AS14377" i="32"/>
  <c r="AS14378" i="32"/>
  <c r="AS14379" i="32"/>
  <c r="AS14380" i="32"/>
  <c r="AS14381" i="32"/>
  <c r="AS14382" i="32"/>
  <c r="AS14383" i="32"/>
  <c r="AS14384" i="32"/>
  <c r="AS14385" i="32"/>
  <c r="AS14386" i="32"/>
  <c r="AS14387" i="32"/>
  <c r="AS14388" i="32"/>
  <c r="AS14389" i="32"/>
  <c r="AS14390" i="32"/>
  <c r="AS14391" i="32"/>
  <c r="AS14392" i="32"/>
  <c r="AS14393" i="32"/>
  <c r="AS14394" i="32"/>
  <c r="AS14395" i="32"/>
  <c r="AS14396" i="32"/>
  <c r="AS14397" i="32"/>
  <c r="AS14398" i="32"/>
  <c r="AS14399" i="32"/>
  <c r="AS14400" i="32"/>
  <c r="AS14401" i="32"/>
  <c r="AS14402" i="32"/>
  <c r="AS14403" i="32"/>
  <c r="AS14404" i="32"/>
  <c r="AS14405" i="32"/>
  <c r="AS14406" i="32"/>
  <c r="AS14407" i="32"/>
  <c r="AS14408" i="32"/>
  <c r="AS14409" i="32"/>
  <c r="AS14410" i="32"/>
  <c r="AS14411" i="32"/>
  <c r="AS14412" i="32"/>
  <c r="AS14413" i="32"/>
  <c r="AS14414" i="32"/>
  <c r="AS14415" i="32"/>
  <c r="AS14416" i="32"/>
  <c r="AS14417" i="32"/>
  <c r="AS14418" i="32"/>
  <c r="AS14419" i="32"/>
  <c r="AS14420" i="32"/>
  <c r="AS14421" i="32"/>
  <c r="AS14422" i="32"/>
  <c r="AS14423" i="32"/>
  <c r="AS14424" i="32"/>
  <c r="AS14425" i="32"/>
  <c r="AS14426" i="32"/>
  <c r="AS14427" i="32"/>
  <c r="AS14428" i="32"/>
  <c r="AS14429" i="32"/>
  <c r="AS14430" i="32"/>
  <c r="AS14431" i="32"/>
  <c r="AS14432" i="32"/>
  <c r="AS14433" i="32"/>
  <c r="AS14434" i="32"/>
  <c r="AS14435" i="32"/>
  <c r="AS14436" i="32"/>
  <c r="AS14437" i="32"/>
  <c r="AS14438" i="32"/>
  <c r="AS14439" i="32"/>
  <c r="AS14440" i="32"/>
  <c r="AS14441" i="32"/>
  <c r="AS14442" i="32"/>
  <c r="AS14443" i="32"/>
  <c r="AS14444" i="32"/>
  <c r="AS14445" i="32"/>
  <c r="AS14446" i="32"/>
  <c r="AS14447" i="32"/>
  <c r="AS14448" i="32"/>
  <c r="AS14449" i="32"/>
  <c r="AS14450" i="32"/>
  <c r="AS14451" i="32"/>
  <c r="AS14452" i="32"/>
  <c r="AS14453" i="32"/>
  <c r="AS14454" i="32"/>
  <c r="AS14455" i="32"/>
  <c r="AS14456" i="32"/>
  <c r="AS14457" i="32"/>
  <c r="AS14458" i="32"/>
  <c r="AS14459" i="32"/>
  <c r="AS14460" i="32"/>
  <c r="AS14461" i="32"/>
  <c r="AS14462" i="32"/>
  <c r="AS14463" i="32"/>
  <c r="AS14464" i="32"/>
  <c r="AS14465" i="32"/>
  <c r="AS14466" i="32"/>
  <c r="AS14467" i="32"/>
  <c r="AS14468" i="32"/>
  <c r="AS14469" i="32"/>
  <c r="AS14470" i="32"/>
  <c r="AS14471" i="32"/>
  <c r="AS14472" i="32"/>
  <c r="AS14473" i="32"/>
  <c r="AS14474" i="32"/>
  <c r="AS14475" i="32"/>
  <c r="AS14476" i="32"/>
  <c r="AS14477" i="32"/>
  <c r="AS14478" i="32"/>
  <c r="AS14479" i="32"/>
  <c r="AS14480" i="32"/>
  <c r="AS14481" i="32"/>
  <c r="AS14482" i="32"/>
  <c r="AS14483" i="32"/>
  <c r="AS14484" i="32"/>
  <c r="AS14485" i="32"/>
  <c r="AS14486" i="32"/>
  <c r="AS14487" i="32"/>
  <c r="AS14488" i="32"/>
  <c r="AS14489" i="32"/>
  <c r="AS14490" i="32"/>
  <c r="AS14491" i="32"/>
  <c r="AS14492" i="32"/>
  <c r="AS14493" i="32"/>
  <c r="AS14494" i="32"/>
  <c r="AS14495" i="32"/>
  <c r="AS14496" i="32"/>
  <c r="AS14497" i="32"/>
  <c r="AS14498" i="32"/>
  <c r="AS14499" i="32"/>
  <c r="AS14500" i="32"/>
  <c r="AS14501" i="32"/>
  <c r="AS14502" i="32"/>
  <c r="AS14503" i="32"/>
  <c r="AS14504" i="32"/>
  <c r="AS14505" i="32"/>
  <c r="AS14506" i="32"/>
  <c r="AS14507" i="32"/>
  <c r="AS14508" i="32"/>
  <c r="AS14509" i="32"/>
  <c r="AS14510" i="32"/>
  <c r="AS14511" i="32"/>
  <c r="AS14512" i="32"/>
  <c r="AS14513" i="32"/>
  <c r="AS14514" i="32"/>
  <c r="AS14515" i="32"/>
  <c r="AS14516" i="32"/>
  <c r="AS14517" i="32"/>
  <c r="AS14518" i="32"/>
  <c r="AS14519" i="32"/>
  <c r="AS14520" i="32"/>
  <c r="AS14521" i="32"/>
  <c r="AS14522" i="32"/>
  <c r="AS14523" i="32"/>
  <c r="AS14524" i="32"/>
  <c r="AS14525" i="32"/>
  <c r="AS14526" i="32"/>
  <c r="AS14527" i="32"/>
  <c r="AS14528" i="32"/>
  <c r="AS14529" i="32"/>
  <c r="AS14530" i="32"/>
  <c r="AS14531" i="32"/>
  <c r="AS14532" i="32"/>
  <c r="AS14533" i="32"/>
  <c r="AS14534" i="32"/>
  <c r="AS14535" i="32"/>
  <c r="AS14536" i="32"/>
  <c r="AS14537" i="32"/>
  <c r="AS14538" i="32"/>
  <c r="AS14539" i="32"/>
  <c r="AS14540" i="32"/>
  <c r="AS14541" i="32"/>
  <c r="AS14542" i="32"/>
  <c r="AS14543" i="32"/>
  <c r="AS14544" i="32"/>
  <c r="AS14545" i="32"/>
  <c r="AS14546" i="32"/>
  <c r="AS14547" i="32"/>
  <c r="AS14548" i="32"/>
  <c r="AS14549" i="32"/>
  <c r="AS14550" i="32"/>
  <c r="AS14551" i="32"/>
  <c r="AS14552" i="32"/>
  <c r="AS14553" i="32"/>
  <c r="AS14554" i="32"/>
  <c r="AS14555" i="32"/>
  <c r="AS14556" i="32"/>
  <c r="AS14557" i="32"/>
  <c r="AS14558" i="32"/>
  <c r="AS14559" i="32"/>
  <c r="AS14560" i="32"/>
  <c r="AS14561" i="32"/>
  <c r="AS14562" i="32"/>
  <c r="AS14563" i="32"/>
  <c r="AS14564" i="32"/>
  <c r="AS14565" i="32"/>
  <c r="AS14566" i="32"/>
  <c r="AS14567" i="32"/>
  <c r="AS14568" i="32"/>
  <c r="AS14569" i="32"/>
  <c r="AS14570" i="32"/>
  <c r="AS14571" i="32"/>
  <c r="AS14572" i="32"/>
  <c r="AS14573" i="32"/>
  <c r="AS14574" i="32"/>
  <c r="AS14575" i="32"/>
  <c r="AS14576" i="32"/>
  <c r="AS14577" i="32"/>
  <c r="AS14578" i="32"/>
  <c r="AS14579" i="32"/>
  <c r="AS14580" i="32"/>
  <c r="AS14581" i="32"/>
  <c r="AS14582" i="32"/>
  <c r="AS14583" i="32"/>
  <c r="AS14584" i="32"/>
  <c r="AS14585" i="32"/>
  <c r="AS14586" i="32"/>
  <c r="AS14587" i="32"/>
  <c r="AS14588" i="32"/>
  <c r="AS14589" i="32"/>
  <c r="AS14590" i="32"/>
  <c r="AS14591" i="32"/>
  <c r="AS14592" i="32"/>
  <c r="AS14593" i="32"/>
  <c r="AS14594" i="32"/>
  <c r="AS14595" i="32"/>
  <c r="AS14596" i="32"/>
  <c r="AS14597" i="32"/>
  <c r="AS14598" i="32"/>
  <c r="AS14599" i="32"/>
  <c r="AS14600" i="32"/>
  <c r="AS14601" i="32"/>
  <c r="AS14602" i="32"/>
  <c r="AS14603" i="32"/>
  <c r="AS14604" i="32"/>
  <c r="AS14605" i="32"/>
  <c r="AS14606" i="32"/>
  <c r="AS14607" i="32"/>
  <c r="AS14608" i="32"/>
  <c r="AS14609" i="32"/>
  <c r="AS14610" i="32"/>
  <c r="AS14611" i="32"/>
  <c r="AS14612" i="32"/>
  <c r="AS14613" i="32"/>
  <c r="AS14614" i="32"/>
  <c r="AS14615" i="32"/>
  <c r="AS14616" i="32"/>
  <c r="AS14617" i="32"/>
  <c r="AS14618" i="32"/>
  <c r="AS14619" i="32"/>
  <c r="AS14620" i="32"/>
  <c r="AS14621" i="32"/>
  <c r="AS14622" i="32"/>
  <c r="AS14623" i="32"/>
  <c r="AS14624" i="32"/>
  <c r="AS14625" i="32"/>
  <c r="AS14626" i="32"/>
  <c r="AS14627" i="32"/>
  <c r="AS14628" i="32"/>
  <c r="AS14629" i="32"/>
  <c r="AS14630" i="32"/>
  <c r="AS14631" i="32"/>
  <c r="AS14632" i="32"/>
  <c r="AS14633" i="32"/>
  <c r="AS14634" i="32"/>
  <c r="AS14635" i="32"/>
  <c r="AS14636" i="32"/>
  <c r="AS14637" i="32"/>
  <c r="AS14638" i="32"/>
  <c r="AS14639" i="32"/>
  <c r="AS14640" i="32"/>
  <c r="AS14641" i="32"/>
  <c r="AS14642" i="32"/>
  <c r="AS14643" i="32"/>
  <c r="AS14644" i="32"/>
  <c r="AS14645" i="32"/>
  <c r="AS14646" i="32"/>
  <c r="AS14647" i="32"/>
  <c r="AS14648" i="32"/>
  <c r="AS14649" i="32"/>
  <c r="AS14650" i="32"/>
  <c r="AS14651" i="32"/>
  <c r="AS14652" i="32"/>
  <c r="AS14653" i="32"/>
  <c r="AS14654" i="32"/>
  <c r="AS14655" i="32"/>
  <c r="AS14656" i="32"/>
  <c r="AS14657" i="32"/>
  <c r="AS14658" i="32"/>
  <c r="AS14659" i="32"/>
  <c r="AS14660" i="32"/>
  <c r="AS14661" i="32"/>
  <c r="AS14662" i="32"/>
  <c r="AS14663" i="32"/>
  <c r="AS14664" i="32"/>
  <c r="AS14665" i="32"/>
  <c r="AS14666" i="32"/>
  <c r="AS14667" i="32"/>
  <c r="AS14668" i="32"/>
  <c r="AS14669" i="32"/>
  <c r="AS14670" i="32"/>
  <c r="AS14671" i="32"/>
  <c r="AS14672" i="32"/>
  <c r="AS14673" i="32"/>
  <c r="AS14674" i="32"/>
  <c r="AS14675" i="32"/>
  <c r="AS14676" i="32"/>
  <c r="AS14677" i="32"/>
  <c r="AS14678" i="32"/>
  <c r="AS14679" i="32"/>
  <c r="AS14680" i="32"/>
  <c r="AS14681" i="32"/>
  <c r="AS14682" i="32"/>
  <c r="AS14683" i="32"/>
  <c r="AS14684" i="32"/>
  <c r="AS14685" i="32"/>
  <c r="AS14686" i="32"/>
  <c r="AS14687" i="32"/>
  <c r="AS14688" i="32"/>
  <c r="AS14689" i="32"/>
  <c r="AS14690" i="32"/>
  <c r="AS14691" i="32"/>
  <c r="AS14692" i="32"/>
  <c r="AS14693" i="32"/>
  <c r="AS14694" i="32"/>
  <c r="AS14695" i="32"/>
  <c r="AS14696" i="32"/>
  <c r="AS14697" i="32"/>
  <c r="AS14698" i="32"/>
  <c r="AS14699" i="32"/>
  <c r="AS14700" i="32"/>
  <c r="AS14701" i="32"/>
  <c r="AS14702" i="32"/>
  <c r="AS14703" i="32"/>
  <c r="AS14704" i="32"/>
  <c r="AS14705" i="32"/>
  <c r="AS14706" i="32"/>
  <c r="AS14707" i="32"/>
  <c r="AS14708" i="32"/>
  <c r="AS14709" i="32"/>
  <c r="AS14710" i="32"/>
  <c r="AS14711" i="32"/>
  <c r="AS14712" i="32"/>
  <c r="AS14713" i="32"/>
  <c r="AS14714" i="32"/>
  <c r="AS14715" i="32"/>
  <c r="AS14716" i="32"/>
  <c r="AS14717" i="32"/>
  <c r="AS14718" i="32"/>
  <c r="AS14719" i="32"/>
  <c r="AS14720" i="32"/>
  <c r="AS14721" i="32"/>
  <c r="AS14722" i="32"/>
  <c r="AS14723" i="32"/>
  <c r="AS14724" i="32"/>
  <c r="AS14725" i="32"/>
  <c r="AS14726" i="32"/>
  <c r="AS14727" i="32"/>
  <c r="AS14728" i="32"/>
  <c r="AS14729" i="32"/>
  <c r="AS14730" i="32"/>
  <c r="AS14731" i="32"/>
  <c r="AS14732" i="32"/>
  <c r="AS14733" i="32"/>
  <c r="AS14734" i="32"/>
  <c r="AS14735" i="32"/>
  <c r="AS14736" i="32"/>
  <c r="AS14737" i="32"/>
  <c r="AS14738" i="32"/>
  <c r="AS14739" i="32"/>
  <c r="AS14740" i="32"/>
  <c r="AS14741" i="32"/>
  <c r="AS14742" i="32"/>
  <c r="AS14743" i="32"/>
  <c r="AS14744" i="32"/>
  <c r="AS14745" i="32"/>
  <c r="AS14746" i="32"/>
  <c r="AS14747" i="32"/>
  <c r="AS14748" i="32"/>
  <c r="AS14749" i="32"/>
  <c r="AS14750" i="32"/>
  <c r="AS14751" i="32"/>
  <c r="AS14752" i="32"/>
  <c r="AS14753" i="32"/>
  <c r="AS14754" i="32"/>
  <c r="AS14755" i="32"/>
  <c r="AS14756" i="32"/>
  <c r="AS14757" i="32"/>
  <c r="AS14758" i="32"/>
  <c r="AS14759" i="32"/>
  <c r="AS14760" i="32"/>
  <c r="AS14761" i="32"/>
  <c r="AS14762" i="32"/>
  <c r="AS14763" i="32"/>
  <c r="AS14764" i="32"/>
  <c r="AS14765" i="32"/>
  <c r="AS14766" i="32"/>
  <c r="AS14767" i="32"/>
  <c r="AS14768" i="32"/>
  <c r="AS14769" i="32"/>
  <c r="AS14770" i="32"/>
  <c r="AS14771" i="32"/>
  <c r="AS14772" i="32"/>
  <c r="AS14773" i="32"/>
  <c r="AS14774" i="32"/>
  <c r="AS14775" i="32"/>
  <c r="AS14776" i="32"/>
  <c r="AS14777" i="32"/>
  <c r="AS14778" i="32"/>
  <c r="AS14779" i="32"/>
  <c r="AS14780" i="32"/>
  <c r="AS14781" i="32"/>
  <c r="AS14782" i="32"/>
  <c r="AS14783" i="32"/>
  <c r="AS14784" i="32"/>
  <c r="AS14785" i="32"/>
  <c r="AS14786" i="32"/>
  <c r="AS14787" i="32"/>
  <c r="AS14788" i="32"/>
  <c r="AS14789" i="32"/>
  <c r="AS14790" i="32"/>
  <c r="AS14791" i="32"/>
  <c r="AS14792" i="32"/>
  <c r="AS14793" i="32"/>
  <c r="AS14794" i="32"/>
  <c r="AS14795" i="32"/>
  <c r="AS14796" i="32"/>
  <c r="AS14797" i="32"/>
  <c r="AS14798" i="32"/>
  <c r="AS14799" i="32"/>
  <c r="AS14800" i="32"/>
  <c r="AS14801" i="32"/>
  <c r="AS14802" i="32"/>
  <c r="AS14803" i="32"/>
  <c r="AS14804" i="32"/>
  <c r="AS14805" i="32"/>
  <c r="AS14806" i="32"/>
  <c r="AS14807" i="32"/>
  <c r="AS14808" i="32"/>
  <c r="AS14809" i="32"/>
  <c r="AS14810" i="32"/>
  <c r="AS14811" i="32"/>
  <c r="AS14812" i="32"/>
  <c r="AS14813" i="32"/>
  <c r="AS14814" i="32"/>
  <c r="AS14815" i="32"/>
  <c r="AS14816" i="32"/>
  <c r="AS14817" i="32"/>
  <c r="AS14818" i="32"/>
  <c r="AS14819" i="32"/>
  <c r="AS14820" i="32"/>
  <c r="AS14821" i="32"/>
  <c r="AS14822" i="32"/>
  <c r="AS14823" i="32"/>
  <c r="AS14824" i="32"/>
  <c r="AS14825" i="32"/>
  <c r="AS14826" i="32"/>
  <c r="AS14827" i="32"/>
  <c r="AS14828" i="32"/>
  <c r="AS14829" i="32"/>
  <c r="AS14830" i="32"/>
  <c r="AS14831" i="32"/>
  <c r="AS14832" i="32"/>
  <c r="AS14833" i="32"/>
  <c r="AS14834" i="32"/>
  <c r="AS14835" i="32"/>
  <c r="AS14836" i="32"/>
  <c r="AS14837" i="32"/>
  <c r="AS14838" i="32"/>
  <c r="AS14839" i="32"/>
  <c r="AS14840" i="32"/>
  <c r="AS14841" i="32"/>
  <c r="AS14842" i="32"/>
  <c r="AS14843" i="32"/>
  <c r="AS14844" i="32"/>
  <c r="AS14845" i="32"/>
  <c r="AS14846" i="32"/>
  <c r="AS14847" i="32"/>
  <c r="AS14848" i="32"/>
  <c r="AS14849" i="32"/>
  <c r="AS14850" i="32"/>
  <c r="AS14851" i="32"/>
  <c r="AS14852" i="32"/>
  <c r="AS14853" i="32"/>
  <c r="AS14854" i="32"/>
  <c r="AS14855" i="32"/>
  <c r="AS14856" i="32"/>
  <c r="AS14857" i="32"/>
  <c r="AS14858" i="32"/>
  <c r="AS14859" i="32"/>
  <c r="AS14860" i="32"/>
  <c r="AS14861" i="32"/>
  <c r="AS14862" i="32"/>
  <c r="AS14863" i="32"/>
  <c r="AS14864" i="32"/>
  <c r="AS14865" i="32"/>
  <c r="AS14866" i="32"/>
  <c r="AS14867" i="32"/>
  <c r="AS14868" i="32"/>
  <c r="AS14869" i="32"/>
  <c r="AS14870" i="32"/>
  <c r="AS14871" i="32"/>
  <c r="AS14872" i="32"/>
  <c r="AS14873" i="32"/>
  <c r="AS14874" i="32"/>
  <c r="AS14875" i="32"/>
  <c r="AS14876" i="32"/>
  <c r="AS14877" i="32"/>
  <c r="AS14878" i="32"/>
  <c r="AS14879" i="32"/>
  <c r="AS14880" i="32"/>
  <c r="AS14881" i="32"/>
  <c r="AS14882" i="32"/>
  <c r="AS14883" i="32"/>
  <c r="AS14884" i="32"/>
  <c r="AS14885" i="32"/>
  <c r="AS14886" i="32"/>
  <c r="AS14887" i="32"/>
  <c r="AS14888" i="32"/>
  <c r="AS14889" i="32"/>
  <c r="AS14890" i="32"/>
  <c r="AS14891" i="32"/>
  <c r="AS14892" i="32"/>
  <c r="AS14893" i="32"/>
  <c r="AS14894" i="32"/>
  <c r="AS14895" i="32"/>
  <c r="AS14896" i="32"/>
  <c r="AS14897" i="32"/>
  <c r="AS14898" i="32"/>
  <c r="AS14899" i="32"/>
  <c r="AS14900" i="32"/>
  <c r="AS14901" i="32"/>
  <c r="AS14902" i="32"/>
  <c r="AS14903" i="32"/>
  <c r="AS14904" i="32"/>
  <c r="AS14905" i="32"/>
  <c r="AS14906" i="32"/>
  <c r="AS14907" i="32"/>
  <c r="AS14908" i="32"/>
  <c r="AS14909" i="32"/>
  <c r="AS14910" i="32"/>
  <c r="AS14911" i="32"/>
  <c r="AS14912" i="32"/>
  <c r="AS14913" i="32"/>
  <c r="AS14914" i="32"/>
  <c r="AS14915" i="32"/>
  <c r="AS14916" i="32"/>
  <c r="AS14917" i="32"/>
  <c r="AS14918" i="32"/>
  <c r="AS14919" i="32"/>
  <c r="AS14920" i="32"/>
  <c r="AS14921" i="32"/>
  <c r="AS14922" i="32"/>
  <c r="AS14923" i="32"/>
  <c r="AS14924" i="32"/>
  <c r="AS14925" i="32"/>
  <c r="AS14926" i="32"/>
  <c r="AS14927" i="32"/>
  <c r="AS14928" i="32"/>
  <c r="AS14929" i="32"/>
  <c r="AS14930" i="32"/>
  <c r="AS14931" i="32"/>
  <c r="AS14932" i="32"/>
  <c r="AS14933" i="32"/>
  <c r="AS14934" i="32"/>
  <c r="AS14935" i="32"/>
  <c r="AS14936" i="32"/>
  <c r="AS14937" i="32"/>
  <c r="AS14938" i="32"/>
  <c r="AS14939" i="32"/>
  <c r="AS14940" i="32"/>
  <c r="AS14941" i="32"/>
  <c r="AS14942" i="32"/>
  <c r="AS14943" i="32"/>
  <c r="AS14944" i="32"/>
  <c r="AS14945" i="32"/>
  <c r="AS14946" i="32"/>
  <c r="AS14947" i="32"/>
  <c r="AS14948" i="32"/>
  <c r="AS14949" i="32"/>
  <c r="AS14950" i="32"/>
  <c r="AS14951" i="32"/>
  <c r="AS14952" i="32"/>
  <c r="AS14953" i="32"/>
  <c r="AS14954" i="32"/>
  <c r="AS14955" i="32"/>
  <c r="AS14956" i="32"/>
  <c r="AS14957" i="32"/>
  <c r="AS14958" i="32"/>
  <c r="AS14959" i="32"/>
  <c r="AS14960" i="32"/>
  <c r="AS14961" i="32"/>
  <c r="AS14962" i="32"/>
  <c r="AS14963" i="32"/>
  <c r="AS14964" i="32"/>
  <c r="AS14965" i="32"/>
  <c r="AS14966" i="32"/>
  <c r="AS14967" i="32"/>
  <c r="AS14968" i="32"/>
  <c r="AS14969" i="32"/>
  <c r="AS14970" i="32"/>
  <c r="AS14971" i="32"/>
  <c r="AS14972" i="32"/>
  <c r="AS14973" i="32"/>
  <c r="AS14974" i="32"/>
  <c r="AS14975" i="32"/>
  <c r="AS14976" i="32"/>
  <c r="AS14977" i="32"/>
  <c r="AS14978" i="32"/>
  <c r="AS14979" i="32"/>
  <c r="AS14980" i="32"/>
  <c r="AS14981" i="32"/>
  <c r="AS14982" i="32"/>
  <c r="AS14983" i="32"/>
  <c r="AS14984" i="32"/>
  <c r="AS14985" i="32"/>
  <c r="AS14986" i="32"/>
  <c r="AS14987" i="32"/>
  <c r="AS14988" i="32"/>
  <c r="AS14989" i="32"/>
  <c r="AS14990" i="32"/>
  <c r="AS14991" i="32"/>
  <c r="AS14992" i="32"/>
  <c r="AS14993" i="32"/>
  <c r="AS14994" i="32"/>
  <c r="AS14995" i="32"/>
  <c r="AS14996" i="32"/>
  <c r="AS14997" i="32"/>
  <c r="AS14998" i="32"/>
  <c r="AS14999" i="32"/>
  <c r="AS15000" i="32"/>
  <c r="AS15001" i="32"/>
  <c r="AS15002" i="32"/>
  <c r="AS15003" i="32"/>
  <c r="AS15004" i="32"/>
  <c r="AS15005" i="32"/>
  <c r="AS15006" i="32"/>
  <c r="AS15007" i="32"/>
  <c r="AS15008" i="32"/>
  <c r="AS15009" i="32"/>
  <c r="AS15010" i="32"/>
  <c r="AS15011" i="32"/>
  <c r="AS15012" i="32"/>
  <c r="AS15013" i="32"/>
  <c r="AS15014" i="32"/>
  <c r="AS15015" i="32"/>
  <c r="AS15016" i="32"/>
  <c r="AS15017" i="32"/>
  <c r="AS15018" i="32"/>
  <c r="AS15019" i="32"/>
  <c r="AS15020" i="32"/>
  <c r="AS15021" i="32"/>
  <c r="AS15022" i="32"/>
  <c r="AS15023" i="32"/>
  <c r="AS15024" i="32"/>
  <c r="AS15025" i="32"/>
  <c r="AS15026" i="32"/>
  <c r="AS15027" i="32"/>
  <c r="AS15028" i="32"/>
  <c r="AS15029" i="32"/>
  <c r="AS15030" i="32"/>
  <c r="AS15031" i="32"/>
  <c r="AS15032" i="32"/>
  <c r="AS15033" i="32"/>
  <c r="AS15034" i="32"/>
  <c r="AS15035" i="32"/>
  <c r="AS15036" i="32"/>
  <c r="AS15037" i="32"/>
  <c r="AS15038" i="32"/>
  <c r="AS15039" i="32"/>
  <c r="AS15040" i="32"/>
  <c r="AS15041" i="32"/>
  <c r="AS15042" i="32"/>
  <c r="AS15043" i="32"/>
  <c r="AS15044" i="32"/>
  <c r="AS15045" i="32"/>
  <c r="AS15046" i="32"/>
  <c r="AS15047" i="32"/>
  <c r="AS15048" i="32"/>
  <c r="AS15049" i="32"/>
  <c r="AS15050" i="32"/>
  <c r="AS15051" i="32"/>
  <c r="AS15052" i="32"/>
  <c r="AS15053" i="32"/>
  <c r="AS15054" i="32"/>
  <c r="AS15055" i="32"/>
  <c r="AS15056" i="32"/>
  <c r="AS15057" i="32"/>
  <c r="AS15058" i="32"/>
  <c r="AS15059" i="32"/>
  <c r="AS15060" i="32"/>
  <c r="AS15061" i="32"/>
  <c r="AS15062" i="32"/>
  <c r="AS15063" i="32"/>
  <c r="AS15064" i="32"/>
  <c r="AS15065" i="32"/>
  <c r="AS15066" i="32"/>
  <c r="AS15067" i="32"/>
  <c r="AS15068" i="32"/>
  <c r="AS15069" i="32"/>
  <c r="AS15070" i="32"/>
  <c r="AS15071" i="32"/>
  <c r="AS15072" i="32"/>
  <c r="AS15073" i="32"/>
  <c r="AS15074" i="32"/>
  <c r="AS15075" i="32"/>
  <c r="AS15076" i="32"/>
  <c r="AS15077" i="32"/>
  <c r="AS15078" i="32"/>
  <c r="AS15079" i="32"/>
  <c r="AS15080" i="32"/>
  <c r="AS15081" i="32"/>
  <c r="AS15082" i="32"/>
  <c r="AS15083" i="32"/>
  <c r="AS15084" i="32"/>
  <c r="AS15085" i="32"/>
  <c r="AS15086" i="32"/>
  <c r="AS15087" i="32"/>
  <c r="AS15088" i="32"/>
  <c r="AS15089" i="32"/>
  <c r="AS15090" i="32"/>
  <c r="AS15091" i="32"/>
  <c r="AS15092" i="32"/>
  <c r="AS15093" i="32"/>
  <c r="AS15094" i="32"/>
  <c r="AS15095" i="32"/>
  <c r="AS15096" i="32"/>
  <c r="AS15097" i="32"/>
  <c r="AS15098" i="32"/>
  <c r="AS15099" i="32"/>
  <c r="AS15100" i="32"/>
  <c r="AS15101" i="32"/>
  <c r="AS15102" i="32"/>
  <c r="AS15103" i="32"/>
  <c r="AS15104" i="32"/>
  <c r="AS15105" i="32"/>
  <c r="AS15106" i="32"/>
  <c r="AS15107" i="32"/>
  <c r="AS15108" i="32"/>
  <c r="AS15109" i="32"/>
  <c r="AS15110" i="32"/>
  <c r="AS15111" i="32"/>
  <c r="AS15112" i="32"/>
  <c r="AS15113" i="32"/>
  <c r="AS15114" i="32"/>
  <c r="AS15115" i="32"/>
  <c r="AS15116" i="32"/>
  <c r="AS15117" i="32"/>
  <c r="AS15118" i="32"/>
  <c r="AS15119" i="32"/>
  <c r="AS15120" i="32"/>
  <c r="AS15121" i="32"/>
  <c r="AS15122" i="32"/>
  <c r="AS15123" i="32"/>
  <c r="AS15124" i="32"/>
  <c r="AS15125" i="32"/>
  <c r="AS15126" i="32"/>
  <c r="AS15127" i="32"/>
  <c r="AS15128" i="32"/>
  <c r="AS15129" i="32"/>
  <c r="AS15130" i="32"/>
  <c r="AS15131" i="32"/>
  <c r="AS15132" i="32"/>
  <c r="AS15133" i="32"/>
  <c r="AS15134" i="32"/>
  <c r="AS15135" i="32"/>
  <c r="AS15136" i="32"/>
  <c r="AS15137" i="32"/>
  <c r="AS15138" i="32"/>
  <c r="AS15139" i="32"/>
  <c r="AS15140" i="32"/>
  <c r="AS15141" i="32"/>
  <c r="AS15142" i="32"/>
  <c r="AS15143" i="32"/>
  <c r="AS15144" i="32"/>
  <c r="AS15145" i="32"/>
  <c r="AS15146" i="32"/>
  <c r="AS15147" i="32"/>
  <c r="AS15148" i="32"/>
  <c r="AS15149" i="32"/>
  <c r="AS15150" i="32"/>
  <c r="AS15151" i="32"/>
  <c r="AS15152" i="32"/>
  <c r="AS15153" i="32"/>
  <c r="AS15154" i="32"/>
  <c r="AS15155" i="32"/>
  <c r="AS15156" i="32"/>
  <c r="AS15157" i="32"/>
  <c r="AS15158" i="32"/>
  <c r="AS15159" i="32"/>
  <c r="AS15160" i="32"/>
  <c r="AS15161" i="32"/>
  <c r="AS15162" i="32"/>
  <c r="AS15163" i="32"/>
  <c r="AS15164" i="32"/>
  <c r="AS15165" i="32"/>
  <c r="AS15166" i="32"/>
  <c r="AS15167" i="32"/>
  <c r="AS15168" i="32"/>
  <c r="AS15169" i="32"/>
  <c r="AS15170" i="32"/>
  <c r="AS15171" i="32"/>
  <c r="AS15172" i="32"/>
  <c r="AS15173" i="32"/>
  <c r="AS15174" i="32"/>
  <c r="AS15175" i="32"/>
  <c r="AS15176" i="32"/>
  <c r="AS15177" i="32"/>
  <c r="AS15178" i="32"/>
  <c r="AS15179" i="32"/>
  <c r="AS15180" i="32"/>
  <c r="AS15181" i="32"/>
  <c r="AS15182" i="32"/>
  <c r="AS15183" i="32"/>
  <c r="AS15184" i="32"/>
  <c r="AS15185" i="32"/>
  <c r="AS15186" i="32"/>
  <c r="AS15187" i="32"/>
  <c r="AS15188" i="32"/>
  <c r="AS15189" i="32"/>
  <c r="AS15190" i="32"/>
  <c r="AS15191" i="32"/>
  <c r="AS15192" i="32"/>
  <c r="AS15193" i="32"/>
  <c r="AS15194" i="32"/>
  <c r="AS15195" i="32"/>
  <c r="AS15196" i="32"/>
  <c r="AS15197" i="32"/>
  <c r="AS15198" i="32"/>
  <c r="AS15199" i="32"/>
  <c r="AS15200" i="32"/>
  <c r="AS15201" i="32"/>
  <c r="AS15202" i="32"/>
  <c r="AS15203" i="32"/>
  <c r="AS15204" i="32"/>
  <c r="AS15205" i="32"/>
  <c r="AS15206" i="32"/>
  <c r="AS15207" i="32"/>
  <c r="AS15208" i="32"/>
  <c r="AS15209" i="32"/>
  <c r="AS15210" i="32"/>
  <c r="AS15211" i="32"/>
  <c r="AS15212" i="32"/>
  <c r="AS15213" i="32"/>
  <c r="AS15214" i="32"/>
  <c r="AS15215" i="32"/>
  <c r="AS15216" i="32"/>
  <c r="AS15217" i="32"/>
  <c r="AS15218" i="32"/>
  <c r="AS15219" i="32"/>
  <c r="AS15220" i="32"/>
  <c r="AS15221" i="32"/>
  <c r="AS15222" i="32"/>
  <c r="AS15223" i="32"/>
  <c r="AS15224" i="32"/>
  <c r="AS15225" i="32"/>
  <c r="AS15226" i="32"/>
  <c r="AS15227" i="32"/>
  <c r="AS15228" i="32"/>
  <c r="AS15229" i="32"/>
  <c r="AS15230" i="32"/>
  <c r="AS15231" i="32"/>
  <c r="AS15232" i="32"/>
  <c r="AS15233" i="32"/>
  <c r="AS15234" i="32"/>
  <c r="AS15235" i="32"/>
  <c r="AS15236" i="32"/>
  <c r="AS15237" i="32"/>
  <c r="AS15238" i="32"/>
  <c r="AS15239" i="32"/>
  <c r="AS15240" i="32"/>
  <c r="AS15241" i="32"/>
  <c r="AS15242" i="32"/>
  <c r="AS15243" i="32"/>
  <c r="AS15244" i="32"/>
  <c r="AS15245" i="32"/>
  <c r="AS15246" i="32"/>
  <c r="AS15247" i="32"/>
  <c r="AS15248" i="32"/>
  <c r="AS15249" i="32"/>
  <c r="AS15250" i="32"/>
  <c r="AS15251" i="32"/>
  <c r="AS15252" i="32"/>
  <c r="AS15253" i="32"/>
  <c r="AS15254" i="32"/>
  <c r="AS15255" i="32"/>
  <c r="AS15256" i="32"/>
  <c r="AS15257" i="32"/>
  <c r="AS15258" i="32"/>
  <c r="AS15259" i="32"/>
  <c r="AS15260" i="32"/>
  <c r="AS15261" i="32"/>
  <c r="AS15262" i="32"/>
  <c r="AS15263" i="32"/>
  <c r="AS15264" i="32"/>
  <c r="AS15265" i="32"/>
  <c r="AS15266" i="32"/>
  <c r="AS15267" i="32"/>
  <c r="AS15268" i="32"/>
  <c r="AS15269" i="32"/>
  <c r="AS15270" i="32"/>
  <c r="AS15271" i="32"/>
  <c r="AS15272" i="32"/>
  <c r="AS15273" i="32"/>
  <c r="AS15274" i="32"/>
  <c r="AS15275" i="32"/>
  <c r="AS15276" i="32"/>
  <c r="AS15277" i="32"/>
  <c r="AS15278" i="32"/>
  <c r="AS15279" i="32"/>
  <c r="AS15280" i="32"/>
  <c r="AS15281" i="32"/>
  <c r="AS15282" i="32"/>
  <c r="AS15283" i="32"/>
  <c r="AS15284" i="32"/>
  <c r="AS15285" i="32"/>
  <c r="AS15286" i="32"/>
  <c r="AS15287" i="32"/>
  <c r="AS15288" i="32"/>
  <c r="AS15289" i="32"/>
  <c r="AS15290" i="32"/>
  <c r="AS15291" i="32"/>
  <c r="AS15292" i="32"/>
  <c r="AS15293" i="32"/>
  <c r="AS15294" i="32"/>
  <c r="AS15295" i="32"/>
  <c r="AS15296" i="32"/>
  <c r="AS15297" i="32"/>
  <c r="AS15298" i="32"/>
  <c r="AS15299" i="32"/>
  <c r="AS15300" i="32"/>
  <c r="AS15301" i="32"/>
  <c r="AS15302" i="32"/>
  <c r="AS15303" i="32"/>
  <c r="AS15304" i="32"/>
  <c r="AS15305" i="32"/>
  <c r="AS15306" i="32"/>
  <c r="AS15307" i="32"/>
  <c r="AS15308" i="32"/>
  <c r="AS15309" i="32"/>
  <c r="AS15310" i="32"/>
  <c r="AS15311" i="32"/>
  <c r="AS15312" i="32"/>
  <c r="AS15313" i="32"/>
  <c r="AS15314" i="32"/>
  <c r="AS15315" i="32"/>
  <c r="AS15316" i="32"/>
  <c r="AS15317" i="32"/>
  <c r="AS15318" i="32"/>
  <c r="AS15319" i="32"/>
  <c r="AS15320" i="32"/>
  <c r="AS15321" i="32"/>
  <c r="AS15322" i="32"/>
  <c r="AS15323" i="32"/>
  <c r="AS15324" i="32"/>
  <c r="AS15325" i="32"/>
  <c r="AS15326" i="32"/>
  <c r="AS15327" i="32"/>
  <c r="AS15328" i="32"/>
  <c r="AS15329" i="32"/>
  <c r="AS15330" i="32"/>
  <c r="AS15331" i="32"/>
  <c r="AS15332" i="32"/>
  <c r="AS15333" i="32"/>
  <c r="AS15334" i="32"/>
  <c r="AS15335" i="32"/>
  <c r="AS15336" i="32"/>
  <c r="AS15337" i="32"/>
  <c r="AS15338" i="32"/>
  <c r="AS15339" i="32"/>
  <c r="AS15340" i="32"/>
  <c r="AS15341" i="32"/>
  <c r="AS15342" i="32"/>
  <c r="AS15343" i="32"/>
  <c r="AS15344" i="32"/>
  <c r="AS15345" i="32"/>
  <c r="AS15346" i="32"/>
  <c r="AS15347" i="32"/>
  <c r="AS15348" i="32"/>
  <c r="AS15349" i="32"/>
  <c r="AS15350" i="32"/>
  <c r="AS15351" i="32"/>
  <c r="AS15352" i="32"/>
  <c r="AS15353" i="32"/>
  <c r="AS15354" i="32"/>
  <c r="AS15355" i="32"/>
  <c r="AS15356" i="32"/>
  <c r="AS15357" i="32"/>
  <c r="AS15358" i="32"/>
  <c r="AS15359" i="32"/>
  <c r="AS15360" i="32"/>
  <c r="AS15361" i="32"/>
  <c r="AS15362" i="32"/>
  <c r="AS15363" i="32"/>
  <c r="AS15364" i="32"/>
  <c r="AS15365" i="32"/>
  <c r="AS15366" i="32"/>
  <c r="AS15367" i="32"/>
  <c r="AS15368" i="32"/>
  <c r="AS15369" i="32"/>
  <c r="AS15370" i="32"/>
  <c r="AS15371" i="32"/>
  <c r="AS15372" i="32"/>
  <c r="AS15373" i="32"/>
  <c r="AS15374" i="32"/>
  <c r="AS15375" i="32"/>
  <c r="AS15376" i="32"/>
  <c r="AS15377" i="32"/>
  <c r="AS15378" i="32"/>
  <c r="AS15379" i="32"/>
  <c r="AS15380" i="32"/>
  <c r="AS15381" i="32"/>
  <c r="AS15382" i="32"/>
  <c r="AS15383" i="32"/>
  <c r="AS15384" i="32"/>
  <c r="AS15385" i="32"/>
  <c r="AS15386" i="32"/>
  <c r="AS15387" i="32"/>
  <c r="AS15388" i="32"/>
  <c r="AS15389" i="32"/>
  <c r="AS15390" i="32"/>
  <c r="AS15391" i="32"/>
  <c r="AS15392" i="32"/>
  <c r="AS15393" i="32"/>
  <c r="AS15394" i="32"/>
  <c r="AS15395" i="32"/>
  <c r="AS15396" i="32"/>
  <c r="AS15397" i="32"/>
  <c r="AS15398" i="32"/>
  <c r="AS15399" i="32"/>
  <c r="AS15400" i="32"/>
  <c r="AS15401" i="32"/>
  <c r="AS15402" i="32"/>
  <c r="AS15403" i="32"/>
  <c r="AS15404" i="32"/>
  <c r="AS15405" i="32"/>
  <c r="AS15406" i="32"/>
  <c r="AS15407" i="32"/>
  <c r="AS15408" i="32"/>
  <c r="AS15409" i="32"/>
  <c r="AS15410" i="32"/>
  <c r="AS15411" i="32"/>
  <c r="AS15412" i="32"/>
  <c r="AS15413" i="32"/>
  <c r="AS15414" i="32"/>
  <c r="AS15415" i="32"/>
  <c r="AS15416" i="32"/>
  <c r="AS15417" i="32"/>
  <c r="AS15418" i="32"/>
  <c r="AS15419" i="32"/>
  <c r="AS15420" i="32"/>
  <c r="AS15421" i="32"/>
  <c r="AS15422" i="32"/>
  <c r="AS15423" i="32"/>
  <c r="AS15424" i="32"/>
  <c r="AS15425" i="32"/>
  <c r="AS15426" i="32"/>
  <c r="AS15427" i="32"/>
  <c r="AS15428" i="32"/>
  <c r="AS15429" i="32"/>
  <c r="AS15430" i="32"/>
  <c r="AS15431" i="32"/>
  <c r="AS15432" i="32"/>
  <c r="AS15433" i="32"/>
  <c r="AS15434" i="32"/>
  <c r="AS15435" i="32"/>
  <c r="AS15436" i="32"/>
  <c r="AS15437" i="32"/>
  <c r="AS15438" i="32"/>
  <c r="AS15439" i="32"/>
  <c r="AS15440" i="32"/>
  <c r="AS15441" i="32"/>
  <c r="AS15442" i="32"/>
  <c r="AS15443" i="32"/>
  <c r="AS15444" i="32"/>
  <c r="AS15445" i="32"/>
  <c r="AS15446" i="32"/>
  <c r="AS15447" i="32"/>
  <c r="AS15448" i="32"/>
  <c r="AS15449" i="32"/>
  <c r="AS15450" i="32"/>
  <c r="AS15451" i="32"/>
  <c r="AS15452" i="32"/>
  <c r="AS15453" i="32"/>
  <c r="AS15454" i="32"/>
  <c r="AS15455" i="32"/>
  <c r="AS15456" i="32"/>
  <c r="AS15457" i="32"/>
  <c r="AS15458" i="32"/>
  <c r="AS15459" i="32"/>
  <c r="AS15460" i="32"/>
  <c r="AS15461" i="32"/>
  <c r="AS15462" i="32"/>
  <c r="AS15463" i="32"/>
  <c r="AS15464" i="32"/>
  <c r="AS15465" i="32"/>
  <c r="AS15466" i="32"/>
  <c r="AS15467" i="32"/>
  <c r="AS15468" i="32"/>
  <c r="AS15469" i="32"/>
  <c r="AS15470" i="32"/>
  <c r="AS15471" i="32"/>
  <c r="AS15472" i="32"/>
  <c r="AS15473" i="32"/>
  <c r="AS15474" i="32"/>
  <c r="AS15475" i="32"/>
  <c r="AS15476" i="32"/>
  <c r="AS15477" i="32"/>
  <c r="AS15478" i="32"/>
  <c r="AS15479" i="32"/>
  <c r="AS15480" i="32"/>
  <c r="AS15481" i="32"/>
  <c r="AS15482" i="32"/>
  <c r="AS15483" i="32"/>
  <c r="AS15484" i="32"/>
  <c r="AS15485" i="32"/>
  <c r="AS15486" i="32"/>
  <c r="AS15487" i="32"/>
  <c r="AS15488" i="32"/>
  <c r="AS15489" i="32"/>
  <c r="AS15490" i="32"/>
  <c r="AS15491" i="32"/>
  <c r="AS15492" i="32"/>
  <c r="AS15493" i="32"/>
  <c r="AS15494" i="32"/>
  <c r="AS15495" i="32"/>
  <c r="AS15496" i="32"/>
  <c r="AS15497" i="32"/>
  <c r="AS15498" i="32"/>
  <c r="AS15499" i="32"/>
  <c r="AS15500" i="32"/>
  <c r="AS15501" i="32"/>
  <c r="AS15502" i="32"/>
  <c r="AS15503" i="32"/>
  <c r="AS15504" i="32"/>
  <c r="AS15505" i="32"/>
  <c r="AS15506" i="32"/>
  <c r="AS15507" i="32"/>
  <c r="AS15508" i="32"/>
  <c r="AS15509" i="32"/>
  <c r="AS15510" i="32"/>
  <c r="AS15511" i="32"/>
  <c r="AS15512" i="32"/>
  <c r="AS15513" i="32"/>
  <c r="AS15514" i="32"/>
  <c r="AS15515" i="32"/>
  <c r="AS15516" i="32"/>
  <c r="AS15517" i="32"/>
  <c r="AS15518" i="32"/>
  <c r="AS15519" i="32"/>
  <c r="AS15520" i="32"/>
  <c r="AS15521" i="32"/>
  <c r="AS15522" i="32"/>
  <c r="AS15523" i="32"/>
  <c r="AS15524" i="32"/>
  <c r="AS15525" i="32"/>
  <c r="AS15526" i="32"/>
  <c r="AS15527" i="32"/>
  <c r="AS15528" i="32"/>
  <c r="AS15529" i="32"/>
  <c r="AS15530" i="32"/>
  <c r="AS15531" i="32"/>
  <c r="AS15532" i="32"/>
  <c r="AS15533" i="32"/>
  <c r="AS15534" i="32"/>
  <c r="AS15535" i="32"/>
  <c r="AS15536" i="32"/>
  <c r="AS15537" i="32"/>
  <c r="AS15538" i="32"/>
  <c r="AS15539" i="32"/>
  <c r="AS15540" i="32"/>
  <c r="AS15541" i="32"/>
  <c r="AS15542" i="32"/>
  <c r="AS15543" i="32"/>
  <c r="AS15544" i="32"/>
  <c r="AS15545" i="32"/>
  <c r="AS15546" i="32"/>
  <c r="AS15547" i="32"/>
  <c r="AS15548" i="32"/>
  <c r="AS15549" i="32"/>
  <c r="AS15550" i="32"/>
  <c r="AS15551" i="32"/>
  <c r="AS15552" i="32"/>
  <c r="AS15553" i="32"/>
  <c r="AS15554" i="32"/>
  <c r="AS15555" i="32"/>
  <c r="AS15556" i="32"/>
  <c r="AS15557" i="32"/>
  <c r="AS15558" i="32"/>
  <c r="AS15559" i="32"/>
  <c r="AS15560" i="32"/>
  <c r="AS15561" i="32"/>
  <c r="AS15562" i="32"/>
  <c r="AS15563" i="32"/>
  <c r="AS15564" i="32"/>
  <c r="AS15565" i="32"/>
  <c r="AS15566" i="32"/>
  <c r="AS15567" i="32"/>
  <c r="AS15568" i="32"/>
  <c r="AS15569" i="32"/>
  <c r="AS15570" i="32"/>
  <c r="AS15571" i="32"/>
  <c r="AS15572" i="32"/>
  <c r="AS15573" i="32"/>
  <c r="AS15574" i="32"/>
  <c r="AS15575" i="32"/>
  <c r="AS15576" i="32"/>
  <c r="AS15577" i="32"/>
  <c r="AS15578" i="32"/>
  <c r="AS15579" i="32"/>
  <c r="AS15580" i="32"/>
  <c r="AS15581" i="32"/>
  <c r="AS15582" i="32"/>
  <c r="AS15583" i="32"/>
  <c r="AS15584" i="32"/>
  <c r="AS15585" i="32"/>
  <c r="AS15586" i="32"/>
  <c r="AS15587" i="32"/>
  <c r="AS15588" i="32"/>
  <c r="AS15589" i="32"/>
  <c r="AS15590" i="32"/>
  <c r="AS15591" i="32"/>
  <c r="AS15592" i="32"/>
  <c r="AS15593" i="32"/>
  <c r="AS15594" i="32"/>
  <c r="AS15595" i="32"/>
  <c r="AS15596" i="32"/>
  <c r="AS15597" i="32"/>
  <c r="AS15598" i="32"/>
  <c r="AS15599" i="32"/>
  <c r="AS15600" i="32"/>
  <c r="AS15601" i="32"/>
  <c r="AS15602" i="32"/>
  <c r="AS15603" i="32"/>
  <c r="AS15604" i="32"/>
  <c r="AS15605" i="32"/>
  <c r="AS15606" i="32"/>
  <c r="AS15607" i="32"/>
  <c r="AS15608" i="32"/>
  <c r="AS15609" i="32"/>
  <c r="AS15610" i="32"/>
  <c r="AS15611" i="32"/>
  <c r="AS15612" i="32"/>
  <c r="AS15613" i="32"/>
  <c r="AS15614" i="32"/>
  <c r="AS15615" i="32"/>
  <c r="AS15616" i="32"/>
  <c r="AS15617" i="32"/>
  <c r="AS15618" i="32"/>
  <c r="AS15619" i="32"/>
  <c r="AS15620" i="32"/>
  <c r="AS15621" i="32"/>
  <c r="AS15622" i="32"/>
  <c r="AS15623" i="32"/>
  <c r="AS15624" i="32"/>
  <c r="AS15625" i="32"/>
  <c r="AS15626" i="32"/>
  <c r="AS15627" i="32"/>
  <c r="AS15628" i="32"/>
  <c r="AS15629" i="32"/>
  <c r="AS15630" i="32"/>
  <c r="AS15631" i="32"/>
  <c r="AS15632" i="32"/>
  <c r="AS15633" i="32"/>
  <c r="AS15634" i="32"/>
  <c r="AS15635" i="32"/>
  <c r="AS15636" i="32"/>
  <c r="AS15637" i="32"/>
  <c r="AS15638" i="32"/>
  <c r="AS15639" i="32"/>
  <c r="AS15640" i="32"/>
  <c r="AS15641" i="32"/>
  <c r="AS15642" i="32"/>
  <c r="AS15643" i="32"/>
  <c r="AS15644" i="32"/>
  <c r="AS15645" i="32"/>
  <c r="AS15646" i="32"/>
  <c r="AS15647" i="32"/>
  <c r="AS15648" i="32"/>
  <c r="AS15649" i="32"/>
  <c r="AS15650" i="32"/>
  <c r="AS15651" i="32"/>
  <c r="AS15652" i="32"/>
  <c r="AS15653" i="32"/>
  <c r="AS15654" i="32"/>
  <c r="AS15655" i="32"/>
  <c r="AS15656" i="32"/>
  <c r="AS15657" i="32"/>
  <c r="AS15658" i="32"/>
  <c r="AS15659" i="32"/>
  <c r="AS15660" i="32"/>
  <c r="AS15661" i="32"/>
  <c r="AS15662" i="32"/>
  <c r="AS15663" i="32"/>
  <c r="AS15664" i="32"/>
  <c r="AS15665" i="32"/>
  <c r="AS15666" i="32"/>
  <c r="AS15667" i="32"/>
  <c r="AS15668" i="32"/>
  <c r="AS15669" i="32"/>
  <c r="AS15670" i="32"/>
  <c r="AS15671" i="32"/>
  <c r="AS15672" i="32"/>
  <c r="AS15673" i="32"/>
  <c r="AS15674" i="32"/>
  <c r="AS15675" i="32"/>
  <c r="AS15676" i="32"/>
  <c r="AS15677" i="32"/>
  <c r="AS15678" i="32"/>
  <c r="AS15679" i="32"/>
  <c r="AS15680" i="32"/>
  <c r="AS15681" i="32"/>
  <c r="AS15682" i="32"/>
  <c r="AS15683" i="32"/>
  <c r="AS15684" i="32"/>
  <c r="AS15685" i="32"/>
  <c r="AS15686" i="32"/>
  <c r="AS15687" i="32"/>
  <c r="AS15688" i="32"/>
  <c r="AS15689" i="32"/>
  <c r="AS15690" i="32"/>
  <c r="AS15691" i="32"/>
  <c r="AS15692" i="32"/>
  <c r="AS15693" i="32"/>
  <c r="AS15694" i="32"/>
  <c r="AS15695" i="32"/>
  <c r="AS15696" i="32"/>
  <c r="AS15697" i="32"/>
  <c r="AS15698" i="32"/>
  <c r="AS15699" i="32"/>
  <c r="AS15700" i="32"/>
  <c r="AS15701" i="32"/>
  <c r="AS15702" i="32"/>
  <c r="AS15703" i="32"/>
  <c r="AS15704" i="32"/>
  <c r="AS15705" i="32"/>
  <c r="AS15706" i="32"/>
  <c r="AS15707" i="32"/>
  <c r="AS15708" i="32"/>
  <c r="AS15709" i="32"/>
  <c r="AS15710" i="32"/>
  <c r="AS15711" i="32"/>
  <c r="AS15712" i="32"/>
  <c r="AS15713" i="32"/>
  <c r="AS15714" i="32"/>
  <c r="AS15715" i="32"/>
  <c r="AS15716" i="32"/>
  <c r="AS15717" i="32"/>
  <c r="AS15718" i="32"/>
  <c r="AS15719" i="32"/>
  <c r="AS15720" i="32"/>
  <c r="AS15721" i="32"/>
  <c r="AS15722" i="32"/>
  <c r="AS15723" i="32"/>
  <c r="AS15724" i="32"/>
  <c r="AS15725" i="32"/>
  <c r="AS15726" i="32"/>
  <c r="AS15727" i="32"/>
  <c r="AS15728" i="32"/>
  <c r="AS15729" i="32"/>
  <c r="AS15730" i="32"/>
  <c r="AS15731" i="32"/>
  <c r="AS15732" i="32"/>
  <c r="AS15733" i="32"/>
  <c r="AS15734" i="32"/>
  <c r="AS15735" i="32"/>
  <c r="AS15736" i="32"/>
  <c r="AS15737" i="32"/>
  <c r="AS15738" i="32"/>
  <c r="AS15739" i="32"/>
  <c r="AS15740" i="32"/>
  <c r="AS15741" i="32"/>
  <c r="AS15742" i="32"/>
  <c r="AS15743" i="32"/>
  <c r="AS15744" i="32"/>
  <c r="AS15745" i="32"/>
  <c r="AS15746" i="32"/>
  <c r="AS15747" i="32"/>
  <c r="AS15748" i="32"/>
  <c r="AS15749" i="32"/>
  <c r="AS15750" i="32"/>
  <c r="AS15751" i="32"/>
  <c r="AS15752" i="32"/>
  <c r="AS15753" i="32"/>
  <c r="AS15754" i="32"/>
  <c r="AS15755" i="32"/>
  <c r="AS15756" i="32"/>
  <c r="AS15757" i="32"/>
  <c r="AS15758" i="32"/>
  <c r="AS15759" i="32"/>
  <c r="AS15760" i="32"/>
  <c r="AS15761" i="32"/>
  <c r="AS15762" i="32"/>
  <c r="AS15763" i="32"/>
  <c r="AS15764" i="32"/>
  <c r="AS15765" i="32"/>
  <c r="AS15766" i="32"/>
  <c r="AS15767" i="32"/>
  <c r="AS15768" i="32"/>
  <c r="AS15769" i="32"/>
  <c r="AS15770" i="32"/>
  <c r="AS15771" i="32"/>
  <c r="AS15772" i="32"/>
  <c r="AS15773" i="32"/>
  <c r="AS15774" i="32"/>
  <c r="AS15775" i="32"/>
  <c r="AS15776" i="32"/>
  <c r="AS15777" i="32"/>
  <c r="AS15778" i="32"/>
  <c r="AS15779" i="32"/>
  <c r="AS15780" i="32"/>
  <c r="AS15781" i="32"/>
  <c r="AS15782" i="32"/>
  <c r="AS15783" i="32"/>
  <c r="AS15784" i="32"/>
  <c r="AS15785" i="32"/>
  <c r="AS15786" i="32"/>
  <c r="AS15787" i="32"/>
  <c r="AS15788" i="32"/>
  <c r="AS15789" i="32"/>
  <c r="AS15790" i="32"/>
  <c r="AS15791" i="32"/>
  <c r="AS15792" i="32"/>
  <c r="AS15793" i="32"/>
  <c r="AS15794" i="32"/>
  <c r="AS15795" i="32"/>
  <c r="AS15796" i="32"/>
  <c r="AS15797" i="32"/>
  <c r="AS15798" i="32"/>
  <c r="AS15799" i="32"/>
  <c r="AS15800" i="32"/>
  <c r="AS15801" i="32"/>
  <c r="AS15802" i="32"/>
  <c r="AS15803" i="32"/>
  <c r="AS15804" i="32"/>
  <c r="AS15805" i="32"/>
  <c r="AS15806" i="32"/>
  <c r="AS15807" i="32"/>
  <c r="AS15808" i="32"/>
  <c r="AS15809" i="32"/>
  <c r="AS15810" i="32"/>
  <c r="AS15811" i="32"/>
  <c r="AS15812" i="32"/>
  <c r="AS15813" i="32"/>
  <c r="AS15814" i="32"/>
  <c r="AS15815" i="32"/>
  <c r="AS15816" i="32"/>
  <c r="AS15817" i="32"/>
  <c r="AS15818" i="32"/>
  <c r="AS15819" i="32"/>
  <c r="AS15820" i="32"/>
  <c r="AS15821" i="32"/>
  <c r="AS15822" i="32"/>
  <c r="AS15823" i="32"/>
  <c r="AS15824" i="32"/>
  <c r="AS15825" i="32"/>
  <c r="AS15826" i="32"/>
  <c r="AS15827" i="32"/>
  <c r="AS15828" i="32"/>
  <c r="AS15829" i="32"/>
  <c r="AS15830" i="32"/>
  <c r="AS15831" i="32"/>
  <c r="AS15832" i="32"/>
  <c r="AS15833" i="32"/>
  <c r="AS15834" i="32"/>
  <c r="AS15835" i="32"/>
  <c r="AS15836" i="32"/>
  <c r="AS15837" i="32"/>
  <c r="AS15838" i="32"/>
  <c r="AS15839" i="32"/>
  <c r="AS15840" i="32"/>
  <c r="AS15841" i="32"/>
  <c r="AS15842" i="32"/>
  <c r="AS15843" i="32"/>
  <c r="AS15844" i="32"/>
  <c r="AS15845" i="32"/>
  <c r="AS15846" i="32"/>
  <c r="AS15847" i="32"/>
  <c r="AS15848" i="32"/>
  <c r="AS15849" i="32"/>
  <c r="AS15850" i="32"/>
  <c r="AS15851" i="32"/>
  <c r="AS15852" i="32"/>
  <c r="AS15853" i="32"/>
  <c r="AS15854" i="32"/>
  <c r="AS15855" i="32"/>
  <c r="AS15856" i="32"/>
  <c r="AS15857" i="32"/>
  <c r="AS15858" i="32"/>
  <c r="AS15859" i="32"/>
  <c r="AS15860" i="32"/>
  <c r="AS15861" i="32"/>
  <c r="AS15862" i="32"/>
  <c r="AS15863" i="32"/>
  <c r="AS15864" i="32"/>
  <c r="AS15865" i="32"/>
  <c r="AS15866" i="32"/>
  <c r="AS15867" i="32"/>
  <c r="AS15868" i="32"/>
  <c r="AS15869" i="32"/>
  <c r="AS15870" i="32"/>
  <c r="AS15871" i="32"/>
  <c r="AS15872" i="32"/>
  <c r="AS15873" i="32"/>
  <c r="AS15874" i="32"/>
  <c r="AS15875" i="32"/>
  <c r="AS15876" i="32"/>
  <c r="AS15877" i="32"/>
  <c r="AS15878" i="32"/>
  <c r="AS15879" i="32"/>
  <c r="AS15880" i="32"/>
  <c r="AS15881" i="32"/>
  <c r="AS15882" i="32"/>
  <c r="AS15883" i="32"/>
  <c r="AS15884" i="32"/>
  <c r="AS15885" i="32"/>
  <c r="AS15886" i="32"/>
  <c r="AS15887" i="32"/>
  <c r="AS15888" i="32"/>
  <c r="AS15889" i="32"/>
  <c r="AS15890" i="32"/>
  <c r="AS15891" i="32"/>
  <c r="AS15892" i="32"/>
  <c r="AS15893" i="32"/>
  <c r="AS15894" i="32"/>
  <c r="AS15895" i="32"/>
  <c r="AS15896" i="32"/>
  <c r="AS15897" i="32"/>
  <c r="AS15898" i="32"/>
  <c r="AS15899" i="32"/>
  <c r="AS15900" i="32"/>
  <c r="AS15901" i="32"/>
  <c r="AS15902" i="32"/>
  <c r="AS15903" i="32"/>
  <c r="AS15904" i="32"/>
  <c r="AS15905" i="32"/>
  <c r="AS15906" i="32"/>
  <c r="AS15907" i="32"/>
  <c r="AS15908" i="32"/>
  <c r="AS15909" i="32"/>
  <c r="AS15910" i="32"/>
  <c r="AS15911" i="32"/>
  <c r="AS15912" i="32"/>
  <c r="AS15913" i="32"/>
  <c r="AS15914" i="32"/>
  <c r="AS15915" i="32"/>
  <c r="AS15916" i="32"/>
  <c r="AS15917" i="32"/>
  <c r="AS15918" i="32"/>
  <c r="AS15919" i="32"/>
  <c r="AS15920" i="32"/>
  <c r="AS15921" i="32"/>
  <c r="AS15922" i="32"/>
  <c r="AS15923" i="32"/>
  <c r="AS15924" i="32"/>
  <c r="AS15925" i="32"/>
  <c r="AS15926" i="32"/>
  <c r="AS15927" i="32"/>
  <c r="AS15928" i="32"/>
  <c r="AS15929" i="32"/>
  <c r="AS15930" i="32"/>
  <c r="AS15931" i="32"/>
  <c r="AS15932" i="32"/>
  <c r="AS15933" i="32"/>
  <c r="AS15934" i="32"/>
  <c r="AS15935" i="32"/>
  <c r="AS15936" i="32"/>
  <c r="AS15937" i="32"/>
  <c r="AS15938" i="32"/>
  <c r="AS15939" i="32"/>
  <c r="AS15940" i="32"/>
  <c r="AS15941" i="32"/>
  <c r="AS15942" i="32"/>
  <c r="AS15943" i="32"/>
  <c r="AS15944" i="32"/>
  <c r="AS15945" i="32"/>
  <c r="AS15946" i="32"/>
  <c r="AS15947" i="32"/>
  <c r="AS15948" i="32"/>
  <c r="AS15949" i="32"/>
  <c r="AS15950" i="32"/>
  <c r="AS15951" i="32"/>
  <c r="AS15952" i="32"/>
  <c r="AS15953" i="32"/>
  <c r="AS15954" i="32"/>
  <c r="AS15955" i="32"/>
  <c r="AS15956" i="32"/>
  <c r="AS15957" i="32"/>
  <c r="AS15958" i="32"/>
  <c r="AS15959" i="32"/>
  <c r="AS15960" i="32"/>
  <c r="AS15961" i="32"/>
  <c r="AS15962" i="32"/>
  <c r="AS15963" i="32"/>
  <c r="AS15964" i="32"/>
  <c r="AS15965" i="32"/>
  <c r="AS15966" i="32"/>
  <c r="AS15967" i="32"/>
  <c r="AS15968" i="32"/>
  <c r="AS15969" i="32"/>
  <c r="AS15970" i="32"/>
  <c r="AS15971" i="32"/>
  <c r="AS15972" i="32"/>
  <c r="AS15973" i="32"/>
  <c r="AS15974" i="32"/>
  <c r="AS15975" i="32"/>
  <c r="AS15976" i="32"/>
  <c r="AS15977" i="32"/>
  <c r="AS15978" i="32"/>
  <c r="AS15979" i="32"/>
  <c r="AS15980" i="32"/>
  <c r="AS15981" i="32"/>
  <c r="AS15982" i="32"/>
  <c r="AS15983" i="32"/>
  <c r="AS15984" i="32"/>
  <c r="AS15985" i="32"/>
  <c r="AS15986" i="32"/>
  <c r="AS15987" i="32"/>
  <c r="AS15988" i="32"/>
  <c r="AS15989" i="32"/>
  <c r="AS15990" i="32"/>
  <c r="AS15991" i="32"/>
  <c r="AS15992" i="32"/>
  <c r="AS15993" i="32"/>
  <c r="AS15994" i="32"/>
  <c r="AS15995" i="32"/>
  <c r="AS15996" i="32"/>
  <c r="AS15997" i="32"/>
  <c r="AS15998" i="32"/>
  <c r="AS15999" i="32"/>
  <c r="AS16000" i="32"/>
  <c r="AS16001" i="32"/>
  <c r="AS16002" i="32"/>
  <c r="AS16003" i="32"/>
  <c r="AS16004" i="32"/>
  <c r="AS16005" i="32"/>
  <c r="AS16006" i="32"/>
  <c r="AS16007" i="32"/>
  <c r="AS16008" i="32"/>
  <c r="AS16009" i="32"/>
  <c r="AS16010" i="32"/>
  <c r="AS16011" i="32"/>
  <c r="AS16012" i="32"/>
  <c r="AS16013" i="32"/>
  <c r="AS16014" i="32"/>
  <c r="AS16015" i="32"/>
  <c r="AS16016" i="32"/>
  <c r="AS16017" i="32"/>
  <c r="AS16018" i="32"/>
  <c r="AS16019" i="32"/>
  <c r="AS16020" i="32"/>
  <c r="AS16021" i="32"/>
  <c r="AS16022" i="32"/>
  <c r="AS16023" i="32"/>
  <c r="AS16024" i="32"/>
  <c r="AS16025" i="32"/>
  <c r="AS16026" i="32"/>
  <c r="AS16027" i="32"/>
  <c r="AS16028" i="32"/>
  <c r="AS16029" i="32"/>
  <c r="AS16030" i="32"/>
  <c r="AS16031" i="32"/>
  <c r="AS16032" i="32"/>
  <c r="AS16033" i="32"/>
  <c r="AS16034" i="32"/>
  <c r="AS16035" i="32"/>
  <c r="AS16036" i="32"/>
  <c r="AS16037" i="32"/>
  <c r="AS16038" i="32"/>
  <c r="AS16039" i="32"/>
  <c r="AS16040" i="32"/>
  <c r="AS16041" i="32"/>
  <c r="AS16042" i="32"/>
  <c r="AS16043" i="32"/>
  <c r="AS16044" i="32"/>
  <c r="AS16045" i="32"/>
  <c r="AS16046" i="32"/>
  <c r="AS16047" i="32"/>
  <c r="AS16048" i="32"/>
  <c r="AS16049" i="32"/>
  <c r="AS16050" i="32"/>
  <c r="AS16051" i="32"/>
  <c r="AS16052" i="32"/>
  <c r="AS16053" i="32"/>
  <c r="AS16054" i="32"/>
  <c r="AS16055" i="32"/>
  <c r="AS16056" i="32"/>
  <c r="AS16057" i="32"/>
  <c r="AS16058" i="32"/>
  <c r="AS16059" i="32"/>
  <c r="AS16060" i="32"/>
  <c r="AS16061" i="32"/>
  <c r="AS16062" i="32"/>
  <c r="AS16063" i="32"/>
  <c r="AS16064" i="32"/>
  <c r="AS16065" i="32"/>
  <c r="AS16066" i="32"/>
  <c r="AS16067" i="32"/>
  <c r="AS16068" i="32"/>
  <c r="AS16069" i="32"/>
  <c r="AS16070" i="32"/>
  <c r="AS16071" i="32"/>
  <c r="AS16072" i="32"/>
  <c r="AS16073" i="32"/>
  <c r="AS16074" i="32"/>
  <c r="AS16075" i="32"/>
  <c r="AS16076" i="32"/>
  <c r="AS16077" i="32"/>
  <c r="AS16078" i="32"/>
  <c r="AS16079" i="32"/>
  <c r="AS16080" i="32"/>
  <c r="AS16081" i="32"/>
  <c r="AS16082" i="32"/>
  <c r="AS16083" i="32"/>
  <c r="AS16084" i="32"/>
  <c r="AS16085" i="32"/>
  <c r="AS16086" i="32"/>
  <c r="AS16087" i="32"/>
  <c r="AS16088" i="32"/>
  <c r="AS16089" i="32"/>
  <c r="AS16090" i="32"/>
  <c r="AS16091" i="32"/>
  <c r="AS16092" i="32"/>
  <c r="AS16093" i="32"/>
  <c r="AS16094" i="32"/>
  <c r="AS16095" i="32"/>
  <c r="AS16096" i="32"/>
  <c r="AS16097" i="32"/>
  <c r="AS16098" i="32"/>
  <c r="AS16099" i="32"/>
  <c r="AS16100" i="32"/>
  <c r="AS16101" i="32"/>
  <c r="AS16102" i="32"/>
  <c r="AS16103" i="32"/>
  <c r="AS16104" i="32"/>
  <c r="AS16105" i="32"/>
  <c r="AS16106" i="32"/>
  <c r="AS16107" i="32"/>
  <c r="AS16108" i="32"/>
  <c r="AS16109" i="32"/>
  <c r="AS16110" i="32"/>
  <c r="AS16111" i="32"/>
  <c r="AS16112" i="32"/>
  <c r="AS16113" i="32"/>
  <c r="AS16114" i="32"/>
  <c r="AS16115" i="32"/>
  <c r="AS16116" i="32"/>
  <c r="AS16117" i="32"/>
  <c r="AS16118" i="32"/>
  <c r="AS16119" i="32"/>
  <c r="AS16120" i="32"/>
  <c r="AS16121" i="32"/>
  <c r="AS16122" i="32"/>
  <c r="AS16123" i="32"/>
  <c r="AS16124" i="32"/>
  <c r="AS16125" i="32"/>
  <c r="AS16126" i="32"/>
  <c r="AS16127" i="32"/>
  <c r="AS16128" i="32"/>
  <c r="AS16129" i="32"/>
  <c r="AS16130" i="32"/>
  <c r="AS16131" i="32"/>
  <c r="AS16132" i="32"/>
  <c r="AS16133" i="32"/>
  <c r="AS16134" i="32"/>
  <c r="AS16135" i="32"/>
  <c r="AS16136" i="32"/>
  <c r="AS16137" i="32"/>
  <c r="AS16138" i="32"/>
  <c r="AS16139" i="32"/>
  <c r="AS16140" i="32"/>
  <c r="AS16141" i="32"/>
  <c r="AS16142" i="32"/>
  <c r="AS16143" i="32"/>
  <c r="AS16144" i="32"/>
  <c r="AS16145" i="32"/>
  <c r="AS16146" i="32"/>
  <c r="AS16147" i="32"/>
  <c r="AS16148" i="32"/>
  <c r="AS16149" i="32"/>
  <c r="AS16150" i="32"/>
  <c r="AS16151" i="32"/>
  <c r="AS16152" i="32"/>
  <c r="AS16153" i="32"/>
  <c r="AS16154" i="32"/>
  <c r="AS16155" i="32"/>
  <c r="AS16156" i="32"/>
  <c r="AS16157" i="32"/>
  <c r="AS16158" i="32"/>
  <c r="AS16159" i="32"/>
  <c r="AS16160" i="32"/>
  <c r="AS16161" i="32"/>
  <c r="AS16162" i="32"/>
  <c r="AS16163" i="32"/>
  <c r="AS16164" i="32"/>
  <c r="AS16165" i="32"/>
  <c r="AS16166" i="32"/>
  <c r="AS16167" i="32"/>
  <c r="AS16168" i="32"/>
  <c r="AS16169" i="32"/>
  <c r="AS16170" i="32"/>
  <c r="AS16171" i="32"/>
  <c r="AS16172" i="32"/>
  <c r="AS16173" i="32"/>
  <c r="AS16174" i="32"/>
  <c r="AS16175" i="32"/>
  <c r="AS16176" i="32"/>
  <c r="AS16177" i="32"/>
  <c r="AS16178" i="32"/>
  <c r="AS16179" i="32"/>
  <c r="AS16180" i="32"/>
  <c r="AS16181" i="32"/>
  <c r="AS16182" i="32"/>
  <c r="AS16183" i="32"/>
  <c r="AS16184" i="32"/>
  <c r="AS16185" i="32"/>
  <c r="AS16186" i="32"/>
  <c r="AS16187" i="32"/>
  <c r="AS16188" i="32"/>
  <c r="AS16189" i="32"/>
  <c r="AS16190" i="32"/>
  <c r="AS16191" i="32"/>
  <c r="AS16192" i="32"/>
  <c r="AS16193" i="32"/>
  <c r="AS16194" i="32"/>
  <c r="AS16195" i="32"/>
  <c r="AS16196" i="32"/>
  <c r="AS16197" i="32"/>
  <c r="AS16198" i="32"/>
  <c r="AS16199" i="32"/>
  <c r="AS16200" i="32"/>
  <c r="AS16201" i="32"/>
  <c r="AS16202" i="32"/>
  <c r="AS16203" i="32"/>
  <c r="AS16204" i="32"/>
  <c r="AS16205" i="32"/>
  <c r="AS16206" i="32"/>
  <c r="AS16207" i="32"/>
  <c r="AS16208" i="32"/>
  <c r="AS16209" i="32"/>
  <c r="AS16210" i="32"/>
  <c r="AS16211" i="32"/>
  <c r="AS16212" i="32"/>
  <c r="AS16213" i="32"/>
  <c r="AS16214" i="32"/>
  <c r="AS16215" i="32"/>
  <c r="AS16216" i="32"/>
  <c r="AS16217" i="32"/>
  <c r="AS16218" i="32"/>
  <c r="AS16219" i="32"/>
  <c r="AS16220" i="32"/>
  <c r="AS16221" i="32"/>
  <c r="AS16222" i="32"/>
  <c r="AS16223" i="32"/>
  <c r="AS16224" i="32"/>
  <c r="AS16225" i="32"/>
  <c r="AS16226" i="32"/>
  <c r="AS16227" i="32"/>
  <c r="AS16228" i="32"/>
  <c r="AS16229" i="32"/>
  <c r="AS16230" i="32"/>
  <c r="AS16231" i="32"/>
  <c r="AS16232" i="32"/>
  <c r="AS16233" i="32"/>
  <c r="AS16234" i="32"/>
  <c r="AS16235" i="32"/>
  <c r="AS16236" i="32"/>
  <c r="AS16237" i="32"/>
  <c r="AS16238" i="32"/>
  <c r="AS16239" i="32"/>
  <c r="AS16240" i="32"/>
  <c r="AS16241" i="32"/>
  <c r="AS16242" i="32"/>
  <c r="AS16243" i="32"/>
  <c r="AS16244" i="32"/>
  <c r="AS16245" i="32"/>
  <c r="AS16246" i="32"/>
  <c r="AS16247" i="32"/>
  <c r="AS16248" i="32"/>
  <c r="AS16249" i="32"/>
  <c r="AS16250" i="32"/>
  <c r="AS16251" i="32"/>
  <c r="AS16252" i="32"/>
  <c r="AS16253" i="32"/>
  <c r="AS16254" i="32"/>
  <c r="AS16255" i="32"/>
  <c r="AS16256" i="32"/>
  <c r="AS16257" i="32"/>
  <c r="AS16258" i="32"/>
  <c r="AS16259" i="32"/>
  <c r="AS16260" i="32"/>
  <c r="AS16261" i="32"/>
  <c r="AS16262" i="32"/>
  <c r="AS16263" i="32"/>
  <c r="AS16264" i="32"/>
  <c r="AS16265" i="32"/>
  <c r="AS16266" i="32"/>
  <c r="AS16267" i="32"/>
  <c r="AS16268" i="32"/>
  <c r="AS16269" i="32"/>
  <c r="AS16270" i="32"/>
  <c r="AS16271" i="32"/>
  <c r="AS16272" i="32"/>
  <c r="AS16273" i="32"/>
  <c r="AS16274" i="32"/>
  <c r="AS16275" i="32"/>
  <c r="AS16276" i="32"/>
  <c r="AS16277" i="32"/>
  <c r="AS16278" i="32"/>
  <c r="AS16279" i="32"/>
  <c r="AS16280" i="32"/>
  <c r="AS16281" i="32"/>
  <c r="AS16282" i="32"/>
  <c r="AS16283" i="32"/>
  <c r="AS16284" i="32"/>
  <c r="AS16285" i="32"/>
  <c r="AS16286" i="32"/>
  <c r="AS16287" i="32"/>
  <c r="AS16288" i="32"/>
  <c r="AS16289" i="32"/>
  <c r="AS16290" i="32"/>
  <c r="AS16291" i="32"/>
  <c r="AS16292" i="32"/>
  <c r="AS16293" i="32"/>
  <c r="AS16294" i="32"/>
  <c r="AS16295" i="32"/>
  <c r="AS16296" i="32"/>
  <c r="AS16297" i="32"/>
  <c r="AS16298" i="32"/>
  <c r="AS16299" i="32"/>
  <c r="AS16300" i="32"/>
  <c r="AS16301" i="32"/>
  <c r="AS16302" i="32"/>
  <c r="AS16303" i="32"/>
  <c r="AS16304" i="32"/>
  <c r="AS16305" i="32"/>
  <c r="AS16306" i="32"/>
  <c r="AS16307" i="32"/>
  <c r="AS16308" i="32"/>
  <c r="AS16309" i="32"/>
  <c r="AS16310" i="32"/>
  <c r="AS16311" i="32"/>
  <c r="AS16312" i="32"/>
  <c r="AS16313" i="32"/>
  <c r="AS16314" i="32"/>
  <c r="AS16315" i="32"/>
  <c r="AS16316" i="32"/>
  <c r="AS16317" i="32"/>
  <c r="AS16318" i="32"/>
  <c r="AS16319" i="32"/>
  <c r="AS16320" i="32"/>
  <c r="AS16321" i="32"/>
  <c r="AS16322" i="32"/>
  <c r="AS16323" i="32"/>
  <c r="AS16324" i="32"/>
  <c r="AS16325" i="32"/>
  <c r="AS16326" i="32"/>
  <c r="AS16327" i="32"/>
  <c r="AS16328" i="32"/>
  <c r="AS16329" i="32"/>
  <c r="AS16330" i="32"/>
  <c r="AS16331" i="32"/>
  <c r="AS16332" i="32"/>
  <c r="AS16333" i="32"/>
  <c r="AS16334" i="32"/>
  <c r="AS16335" i="32"/>
  <c r="AS16336" i="32"/>
  <c r="AS16337" i="32"/>
  <c r="AS16338" i="32"/>
  <c r="AS16339" i="32"/>
  <c r="AS16340" i="32"/>
  <c r="AS16341" i="32"/>
  <c r="AS16342" i="32"/>
  <c r="AS16343" i="32"/>
  <c r="AS16344" i="32"/>
  <c r="AS16345" i="32"/>
  <c r="AS16346" i="32"/>
  <c r="AS16347" i="32"/>
  <c r="AS16348" i="32"/>
  <c r="AS16349" i="32"/>
  <c r="AS16350" i="32"/>
  <c r="AS16351" i="32"/>
  <c r="AS16352" i="32"/>
  <c r="AS16353" i="32"/>
  <c r="AS16354" i="32"/>
  <c r="AS16355" i="32"/>
  <c r="AS16356" i="32"/>
  <c r="AS16357" i="32"/>
  <c r="AS16358" i="32"/>
  <c r="AS16359" i="32"/>
  <c r="AS16360" i="32"/>
  <c r="AS16361" i="32"/>
  <c r="AS16362" i="32"/>
  <c r="AS16363" i="32"/>
  <c r="AS16364" i="32"/>
  <c r="AS16365" i="32"/>
  <c r="AS16366" i="32"/>
  <c r="AS16367" i="32"/>
  <c r="AS16368" i="32"/>
  <c r="AS16369" i="32"/>
  <c r="AS16370" i="32"/>
  <c r="AS16371" i="32"/>
  <c r="AS16372" i="32"/>
  <c r="AS16373" i="32"/>
  <c r="AS16374" i="32"/>
  <c r="AS16375" i="32"/>
  <c r="AS16376" i="32"/>
  <c r="AS16377" i="32"/>
  <c r="AS16378" i="32"/>
  <c r="AS16379" i="32"/>
  <c r="AS16380" i="32"/>
  <c r="AS16381" i="32"/>
  <c r="AS16382" i="32"/>
  <c r="AS16383" i="32"/>
  <c r="AS16384" i="32"/>
  <c r="AS16385" i="32"/>
  <c r="AS16386" i="32"/>
  <c r="AS16387" i="32"/>
  <c r="AS16388" i="32"/>
  <c r="AS16389" i="32"/>
  <c r="AS16390" i="32"/>
  <c r="AS16391" i="32"/>
  <c r="AS16392" i="32"/>
  <c r="AS16393" i="32"/>
  <c r="AS16394" i="32"/>
  <c r="AS16395" i="32"/>
  <c r="AS16396" i="32"/>
  <c r="AS16397" i="32"/>
  <c r="AS16398" i="32"/>
  <c r="AS16399" i="32"/>
  <c r="AS16400" i="32"/>
  <c r="AS16401" i="32"/>
  <c r="AS16402" i="32"/>
  <c r="AS16403" i="32"/>
  <c r="AS16404" i="32"/>
  <c r="AS16405" i="32"/>
  <c r="AS16406" i="32"/>
  <c r="AS16407" i="32"/>
  <c r="AS16408" i="32"/>
  <c r="AS16409" i="32"/>
  <c r="AS16410" i="32"/>
  <c r="AS16411" i="32"/>
  <c r="AS16412" i="32"/>
  <c r="AS16413" i="32"/>
  <c r="AS16414" i="32"/>
  <c r="AS16415" i="32"/>
  <c r="AS16416" i="32"/>
  <c r="AS16417" i="32"/>
  <c r="AS16418" i="32"/>
  <c r="AS16419" i="32"/>
  <c r="AS16420" i="32"/>
  <c r="AS16421" i="32"/>
  <c r="AS16422" i="32"/>
  <c r="AS16423" i="32"/>
  <c r="AS16424" i="32"/>
  <c r="AS16425" i="32"/>
  <c r="AS16426" i="32"/>
  <c r="AS16427" i="32"/>
  <c r="AS16428" i="32"/>
  <c r="AS16429" i="32"/>
  <c r="AS16430" i="32"/>
  <c r="AS16431" i="32"/>
  <c r="AS16432" i="32"/>
  <c r="AS16433" i="32"/>
  <c r="AS16434" i="32"/>
  <c r="AS16435" i="32"/>
  <c r="AS16436" i="32"/>
  <c r="AS16437" i="32"/>
  <c r="AS16438" i="32"/>
  <c r="AS16439" i="32"/>
  <c r="AS16440" i="32"/>
  <c r="AS16441" i="32"/>
  <c r="AS16442" i="32"/>
  <c r="AS16443" i="32"/>
  <c r="AS16444" i="32"/>
  <c r="AS16445" i="32"/>
  <c r="AS16446" i="32"/>
  <c r="AS16447" i="32"/>
  <c r="AS16448" i="32"/>
  <c r="AS16449" i="32"/>
  <c r="AS16450" i="32"/>
  <c r="AS16451" i="32"/>
  <c r="AS16452" i="32"/>
  <c r="AS16453" i="32"/>
  <c r="AS16454" i="32"/>
  <c r="AS16455" i="32"/>
  <c r="AS16456" i="32"/>
  <c r="AS16457" i="32"/>
  <c r="AS16458" i="32"/>
  <c r="AS16459" i="32"/>
  <c r="AS16460" i="32"/>
  <c r="AS16461" i="32"/>
  <c r="AS16462" i="32"/>
  <c r="AS16463" i="32"/>
  <c r="AS16464" i="32"/>
  <c r="AS16465" i="32"/>
  <c r="AS16466" i="32"/>
  <c r="AS16467" i="32"/>
  <c r="AS16468" i="32"/>
  <c r="AS16469" i="32"/>
  <c r="AS16470" i="32"/>
  <c r="AS16471" i="32"/>
  <c r="AS16472" i="32"/>
  <c r="AS16473" i="32"/>
  <c r="AS16474" i="32"/>
  <c r="AS16475" i="32"/>
  <c r="AS16476" i="32"/>
  <c r="AS16477" i="32"/>
  <c r="AS16478" i="32"/>
  <c r="AS16479" i="32"/>
  <c r="AS16480" i="32"/>
  <c r="AS16481" i="32"/>
  <c r="AS16482" i="32"/>
  <c r="AS16483" i="32"/>
  <c r="AS16484" i="32"/>
  <c r="AS16485" i="32"/>
  <c r="AS16486" i="32"/>
  <c r="AS16487" i="32"/>
  <c r="AS16488" i="32"/>
  <c r="AS16489" i="32"/>
  <c r="AS16490" i="32"/>
  <c r="AS16491" i="32"/>
  <c r="AS16492" i="32"/>
  <c r="AS16493" i="32"/>
  <c r="AS16494" i="32"/>
  <c r="AS16495" i="32"/>
  <c r="AS16496" i="32"/>
  <c r="AS16497" i="32"/>
  <c r="AS16498" i="32"/>
  <c r="AS16499" i="32"/>
  <c r="AS16500" i="32"/>
  <c r="AS16501" i="32"/>
  <c r="AS16502" i="32"/>
  <c r="AS16503" i="32"/>
  <c r="AS16504" i="32"/>
  <c r="AS16505" i="32"/>
  <c r="AS16506" i="32"/>
  <c r="AS16507" i="32"/>
  <c r="AS16508" i="32"/>
  <c r="AS16509" i="32"/>
  <c r="AS16510" i="32"/>
  <c r="AS16511" i="32"/>
  <c r="AS16512" i="32"/>
  <c r="AS16513" i="32"/>
  <c r="AS16514" i="32"/>
  <c r="AS16515" i="32"/>
  <c r="AS16516" i="32"/>
  <c r="AS16517" i="32"/>
  <c r="AS16518" i="32"/>
  <c r="AS16519" i="32"/>
  <c r="AS16520" i="32"/>
  <c r="AS16521" i="32"/>
  <c r="AS16522" i="32"/>
  <c r="AS16523" i="32"/>
  <c r="AS16524" i="32"/>
  <c r="AS16525" i="32"/>
  <c r="AS16526" i="32"/>
  <c r="AS16527" i="32"/>
  <c r="AS16528" i="32"/>
  <c r="AS16529" i="32"/>
  <c r="AS16530" i="32"/>
  <c r="AS16531" i="32"/>
  <c r="AS16532" i="32"/>
  <c r="AS16533" i="32"/>
  <c r="AS16534" i="32"/>
  <c r="AS16535" i="32"/>
  <c r="AS16536" i="32"/>
  <c r="AS16537" i="32"/>
  <c r="AS16538" i="32"/>
  <c r="AS16539" i="32"/>
  <c r="AS16540" i="32"/>
  <c r="AS16541" i="32"/>
  <c r="AS16542" i="32"/>
  <c r="AS16543" i="32"/>
  <c r="AS16544" i="32"/>
  <c r="AS16545" i="32"/>
  <c r="AS16546" i="32"/>
  <c r="AS16547" i="32"/>
  <c r="AS16548" i="32"/>
  <c r="AS16549" i="32"/>
  <c r="AS16550" i="32"/>
  <c r="AS16551" i="32"/>
  <c r="AS16552" i="32"/>
  <c r="AS16553" i="32"/>
  <c r="AS16554" i="32"/>
  <c r="AS16555" i="32"/>
  <c r="AS16556" i="32"/>
  <c r="AS16557" i="32"/>
  <c r="AS16558" i="32"/>
  <c r="AS16559" i="32"/>
  <c r="AS16560" i="32"/>
  <c r="AS16561" i="32"/>
  <c r="AS16562" i="32"/>
  <c r="AS16563" i="32"/>
  <c r="AS16564" i="32"/>
  <c r="AS16565" i="32"/>
  <c r="AS16566" i="32"/>
  <c r="AS16567" i="32"/>
  <c r="AS16568" i="32"/>
  <c r="AS16569" i="32"/>
  <c r="AS16570" i="32"/>
  <c r="AS16571" i="32"/>
  <c r="AS16572" i="32"/>
  <c r="AS16573" i="32"/>
  <c r="AS16574" i="32"/>
  <c r="AS16575" i="32"/>
  <c r="AS16576" i="32"/>
  <c r="AS16577" i="32"/>
  <c r="AS16578" i="32"/>
  <c r="AS16579" i="32"/>
  <c r="AS16580" i="32"/>
  <c r="AS16581" i="32"/>
  <c r="AS16582" i="32"/>
  <c r="AS16583" i="32"/>
  <c r="AS16584" i="32"/>
  <c r="AS16585" i="32"/>
  <c r="AS16586" i="32"/>
  <c r="AS16587" i="32"/>
  <c r="AS16588" i="32"/>
  <c r="AS16589" i="32"/>
  <c r="AS16590" i="32"/>
  <c r="AS16591" i="32"/>
  <c r="AS16592" i="32"/>
  <c r="AS16593" i="32"/>
  <c r="AS16594" i="32"/>
  <c r="AS16595" i="32"/>
  <c r="AS16596" i="32"/>
  <c r="AS16597" i="32"/>
  <c r="AS16598" i="32"/>
  <c r="AS16599" i="32"/>
  <c r="AS16600" i="32"/>
  <c r="AS16601" i="32"/>
  <c r="AS16602" i="32"/>
  <c r="AS16603" i="32"/>
  <c r="AS16604" i="32"/>
  <c r="AS16605" i="32"/>
  <c r="AS16606" i="32"/>
  <c r="AS16607" i="32"/>
  <c r="AS16608" i="32"/>
  <c r="AS16609" i="32"/>
  <c r="AS16610" i="32"/>
  <c r="AS16611" i="32"/>
  <c r="AS16612" i="32"/>
  <c r="AS16613" i="32"/>
  <c r="AS16614" i="32"/>
  <c r="AS16615" i="32"/>
  <c r="AS16616" i="32"/>
  <c r="AS16617" i="32"/>
  <c r="AS16618" i="32"/>
  <c r="AS16619" i="32"/>
  <c r="AS16620" i="32"/>
  <c r="AS16621" i="32"/>
  <c r="AS16622" i="32"/>
  <c r="AS16623" i="32"/>
  <c r="AS16624" i="32"/>
  <c r="AS16625" i="32"/>
  <c r="AS16626" i="32"/>
  <c r="AS16627" i="32"/>
  <c r="AS16628" i="32"/>
  <c r="AS16629" i="32"/>
  <c r="AS16630" i="32"/>
  <c r="AS16631" i="32"/>
  <c r="AS16632" i="32"/>
  <c r="AS16633" i="32"/>
  <c r="AS16634" i="32"/>
  <c r="AS16635" i="32"/>
  <c r="AS16636" i="32"/>
  <c r="AS16637" i="32"/>
  <c r="AS16638" i="32"/>
  <c r="AS16639" i="32"/>
  <c r="AS16640" i="32"/>
  <c r="AS16641" i="32"/>
  <c r="AS16642" i="32"/>
  <c r="AS16643" i="32"/>
  <c r="AS16644" i="32"/>
  <c r="AS16645" i="32"/>
  <c r="AS16646" i="32"/>
  <c r="AS16647" i="32"/>
  <c r="AS16648" i="32"/>
  <c r="AS16649" i="32"/>
  <c r="AS16650" i="32"/>
  <c r="AS16651" i="32"/>
  <c r="AS16652" i="32"/>
  <c r="AS16653" i="32"/>
  <c r="AS16654" i="32"/>
  <c r="AS16655" i="32"/>
  <c r="AS16656" i="32"/>
  <c r="AS16657" i="32"/>
  <c r="AS16658" i="32"/>
  <c r="AS16659" i="32"/>
  <c r="AS16660" i="32"/>
  <c r="AS16661" i="32"/>
  <c r="AS16662" i="32"/>
  <c r="AS16663" i="32"/>
  <c r="AS16664" i="32"/>
  <c r="AS16665" i="32"/>
  <c r="AS16666" i="32"/>
  <c r="AS16667" i="32"/>
  <c r="AS16668" i="32"/>
  <c r="AS16669" i="32"/>
  <c r="AS16670" i="32"/>
  <c r="AS16671" i="32"/>
  <c r="AS16672" i="32"/>
  <c r="AS16673" i="32"/>
  <c r="AS16674" i="32"/>
  <c r="AS16675" i="32"/>
  <c r="AS16676" i="32"/>
  <c r="AS16677" i="32"/>
  <c r="AS16678" i="32"/>
  <c r="AS16679" i="32"/>
  <c r="AS16680" i="32"/>
  <c r="AS16681" i="32"/>
  <c r="AS16682" i="32"/>
  <c r="AS16683" i="32"/>
  <c r="AS16684" i="32"/>
  <c r="AS16685" i="32"/>
  <c r="AS16686" i="32"/>
  <c r="AS16687" i="32"/>
  <c r="AS16688" i="32"/>
  <c r="AS16689" i="32"/>
  <c r="AS16690" i="32"/>
  <c r="AS16691" i="32"/>
  <c r="AS16692" i="32"/>
  <c r="AS16693" i="32"/>
  <c r="AS16694" i="32"/>
  <c r="AS16695" i="32"/>
  <c r="AS16696" i="32"/>
  <c r="AS16697" i="32"/>
  <c r="AS16698" i="32"/>
  <c r="AS16699" i="32"/>
  <c r="AS16700" i="32"/>
  <c r="AS16701" i="32"/>
  <c r="AS16702" i="32"/>
  <c r="AS16703" i="32"/>
  <c r="AS16704" i="32"/>
  <c r="AS16705" i="32"/>
  <c r="AS16706" i="32"/>
  <c r="AS16707" i="32"/>
  <c r="AS16708" i="32"/>
  <c r="AS16709" i="32"/>
  <c r="AS16710" i="32"/>
  <c r="AS16711" i="32"/>
  <c r="AS16712" i="32"/>
  <c r="AS16713" i="32"/>
  <c r="AS16714" i="32"/>
  <c r="AS16715" i="32"/>
  <c r="AS16716" i="32"/>
  <c r="AS16717" i="32"/>
  <c r="AS16718" i="32"/>
  <c r="AS16719" i="32"/>
  <c r="AS16720" i="32"/>
  <c r="AS16721" i="32"/>
  <c r="AS16722" i="32"/>
  <c r="AS16723" i="32"/>
  <c r="AS16724" i="32"/>
  <c r="AS16725" i="32"/>
  <c r="AS16726" i="32"/>
  <c r="AS16727" i="32"/>
  <c r="AS16728" i="32"/>
  <c r="AS16729" i="32"/>
  <c r="AS16730" i="32"/>
  <c r="AS16731" i="32"/>
  <c r="AS16732" i="32"/>
  <c r="AS16733" i="32"/>
  <c r="AS16734" i="32"/>
  <c r="AS16735" i="32"/>
  <c r="AS16736" i="32"/>
  <c r="AS16737" i="32"/>
  <c r="AS16738" i="32"/>
  <c r="AS16739" i="32"/>
  <c r="AS16740" i="32"/>
  <c r="AS16741" i="32"/>
  <c r="AS16742" i="32"/>
  <c r="AS16743" i="32"/>
  <c r="AS16744" i="32"/>
  <c r="AS16745" i="32"/>
  <c r="AS16746" i="32"/>
  <c r="AS16747" i="32"/>
  <c r="AS16748" i="32"/>
  <c r="AS16749" i="32"/>
  <c r="AS16750" i="32"/>
  <c r="AS16751" i="32"/>
  <c r="AS16752" i="32"/>
  <c r="AS16753" i="32"/>
  <c r="AS16754" i="32"/>
  <c r="AS16755" i="32"/>
  <c r="AS16756" i="32"/>
  <c r="AS16757" i="32"/>
  <c r="AS16758" i="32"/>
  <c r="AS16759" i="32"/>
  <c r="AS16760" i="32"/>
  <c r="AS16761" i="32"/>
  <c r="AS16762" i="32"/>
  <c r="AS16763" i="32"/>
  <c r="AS16764" i="32"/>
  <c r="AS16765" i="32"/>
  <c r="AS16766" i="32"/>
  <c r="AS16767" i="32"/>
  <c r="AS16768" i="32"/>
  <c r="AS16769" i="32"/>
  <c r="AS16770" i="32"/>
  <c r="AS16771" i="32"/>
  <c r="AS16772" i="32"/>
  <c r="AS16773" i="32"/>
  <c r="AS16774" i="32"/>
  <c r="AS16775" i="32"/>
  <c r="AS16776" i="32"/>
  <c r="AS16777" i="32"/>
  <c r="AS16778" i="32"/>
  <c r="AS16779" i="32"/>
  <c r="AS16780" i="32"/>
  <c r="AS16781" i="32"/>
  <c r="AS16782" i="32"/>
  <c r="AS16783" i="32"/>
  <c r="AS16784" i="32"/>
  <c r="AS16785" i="32"/>
  <c r="AS16786" i="32"/>
  <c r="AS16787" i="32"/>
  <c r="AS16788" i="32"/>
  <c r="AS16789" i="32"/>
  <c r="AS16790" i="32"/>
  <c r="AS16791" i="32"/>
  <c r="AS16792" i="32"/>
  <c r="AS16793" i="32"/>
  <c r="AS16794" i="32"/>
  <c r="AS16795" i="32"/>
  <c r="AS16796" i="32"/>
  <c r="AS16797" i="32"/>
  <c r="AS16798" i="32"/>
  <c r="AS16799" i="32"/>
  <c r="AS16800" i="32"/>
  <c r="AS16801" i="32"/>
  <c r="AS16802" i="32"/>
  <c r="AS16803" i="32"/>
  <c r="AS16804" i="32"/>
  <c r="AS16805" i="32"/>
  <c r="AS16806" i="32"/>
  <c r="AS16807" i="32"/>
  <c r="AS16808" i="32"/>
  <c r="AS16809" i="32"/>
  <c r="AS16810" i="32"/>
  <c r="AS16811" i="32"/>
  <c r="AS16812" i="32"/>
  <c r="AS16813" i="32"/>
  <c r="AS16814" i="32"/>
  <c r="AS16815" i="32"/>
  <c r="AS16816" i="32"/>
  <c r="AS16817" i="32"/>
  <c r="AS16818" i="32"/>
  <c r="AS16819" i="32"/>
  <c r="AS16820" i="32"/>
  <c r="AS16821" i="32"/>
  <c r="AS16822" i="32"/>
  <c r="AS16823" i="32"/>
  <c r="AS16824" i="32"/>
  <c r="AS16825" i="32"/>
  <c r="AS16826" i="32"/>
  <c r="AS16827" i="32"/>
  <c r="AS16828" i="32"/>
  <c r="AS16829" i="32"/>
  <c r="AS16830" i="32"/>
  <c r="AS16831" i="32"/>
  <c r="AS16832" i="32"/>
  <c r="AS16833" i="32"/>
  <c r="AS16834" i="32"/>
  <c r="AS16835" i="32"/>
  <c r="AS16836" i="32"/>
  <c r="AS16837" i="32"/>
  <c r="AS16838" i="32"/>
  <c r="AS16839" i="32"/>
  <c r="AS16840" i="32"/>
  <c r="AS16841" i="32"/>
  <c r="AS16842" i="32"/>
  <c r="AS16843" i="32"/>
  <c r="AS16844" i="32"/>
  <c r="AS16845" i="32"/>
  <c r="AS16846" i="32"/>
  <c r="AS16847" i="32"/>
  <c r="AS16848" i="32"/>
  <c r="AS16849" i="32"/>
  <c r="AS16850" i="32"/>
  <c r="AS16851" i="32"/>
  <c r="AS16852" i="32"/>
  <c r="AS16853" i="32"/>
  <c r="AS16854" i="32"/>
  <c r="AS16855" i="32"/>
  <c r="AS16856" i="32"/>
  <c r="AS16857" i="32"/>
  <c r="AS16858" i="32"/>
  <c r="AS16859" i="32"/>
  <c r="AS16860" i="32"/>
  <c r="AS16861" i="32"/>
  <c r="AS16862" i="32"/>
  <c r="AS16863" i="32"/>
  <c r="AS16864" i="32"/>
  <c r="AS16865" i="32"/>
  <c r="AS16866" i="32"/>
  <c r="AS16867" i="32"/>
  <c r="AS16868" i="32"/>
  <c r="AS16869" i="32"/>
  <c r="AS16870" i="32"/>
  <c r="AS16871" i="32"/>
  <c r="AS16872" i="32"/>
  <c r="AS16873" i="32"/>
  <c r="AS16874" i="32"/>
  <c r="AS16875" i="32"/>
  <c r="AS16876" i="32"/>
  <c r="AS16877" i="32"/>
  <c r="AS16878" i="32"/>
  <c r="AS16879" i="32"/>
  <c r="AS16880" i="32"/>
  <c r="AS16881" i="32"/>
  <c r="AS16882" i="32"/>
  <c r="AS16883" i="32"/>
  <c r="AS16884" i="32"/>
  <c r="AS16885" i="32"/>
  <c r="AS16886" i="32"/>
  <c r="AS16887" i="32"/>
  <c r="AS16888" i="32"/>
  <c r="AS16889" i="32"/>
  <c r="AS16890" i="32"/>
  <c r="AS16891" i="32"/>
  <c r="AS16892" i="32"/>
  <c r="AS16893" i="32"/>
  <c r="AS16894" i="32"/>
  <c r="AS16895" i="32"/>
  <c r="AS16896" i="32"/>
  <c r="AS16897" i="32"/>
  <c r="AS16898" i="32"/>
  <c r="AS16899" i="32"/>
  <c r="AS16900" i="32"/>
  <c r="AS16901" i="32"/>
  <c r="AS16902" i="32"/>
  <c r="AS16903" i="32"/>
  <c r="AS16904" i="32"/>
  <c r="AS16905" i="32"/>
  <c r="AS16906" i="32"/>
  <c r="AS16907" i="32"/>
  <c r="AS16908" i="32"/>
  <c r="AS16909" i="32"/>
  <c r="AS16910" i="32"/>
  <c r="AS16911" i="32"/>
  <c r="AS16912" i="32"/>
  <c r="AS16913" i="32"/>
  <c r="AS16914" i="32"/>
  <c r="AS16915" i="32"/>
  <c r="AS16916" i="32"/>
  <c r="AS16917" i="32"/>
  <c r="AS16918" i="32"/>
  <c r="AS16919" i="32"/>
  <c r="AS16920" i="32"/>
  <c r="AS16921" i="32"/>
  <c r="AS16922" i="32"/>
  <c r="AS16923" i="32"/>
  <c r="AS16924" i="32"/>
  <c r="AS16925" i="32"/>
  <c r="AS16926" i="32"/>
  <c r="AS16927" i="32"/>
  <c r="AS16928" i="32"/>
  <c r="AS16929" i="32"/>
  <c r="AS16930" i="32"/>
  <c r="AS16931" i="32"/>
  <c r="AS16932" i="32"/>
  <c r="AS16933" i="32"/>
  <c r="AS16934" i="32"/>
  <c r="AS16935" i="32"/>
  <c r="AS16936" i="32"/>
  <c r="AS16937" i="32"/>
  <c r="AS16938" i="32"/>
  <c r="AS16939" i="32"/>
  <c r="AS16940" i="32"/>
  <c r="AS16941" i="32"/>
  <c r="AS16942" i="32"/>
  <c r="AS16943" i="32"/>
  <c r="AS16944" i="32"/>
  <c r="AS16945" i="32"/>
  <c r="AS16946" i="32"/>
  <c r="AS16947" i="32"/>
  <c r="AS16948" i="32"/>
  <c r="AS16949" i="32"/>
  <c r="AS16950" i="32"/>
  <c r="AS16951" i="32"/>
  <c r="AS16952" i="32"/>
  <c r="AS16953" i="32"/>
  <c r="AS16954" i="32"/>
  <c r="AS16955" i="32"/>
  <c r="AS16956" i="32"/>
  <c r="AS16957" i="32"/>
  <c r="AS16958" i="32"/>
  <c r="AS16959" i="32"/>
  <c r="AS16960" i="32"/>
  <c r="AS16961" i="32"/>
  <c r="AS16962" i="32"/>
  <c r="AS16963" i="32"/>
  <c r="AS16964" i="32"/>
  <c r="AS16965" i="32"/>
  <c r="AS16966" i="32"/>
  <c r="AS16967" i="32"/>
  <c r="AS16968" i="32"/>
  <c r="AS16969" i="32"/>
  <c r="AS16970" i="32"/>
  <c r="AS16971" i="32"/>
  <c r="AS16972" i="32"/>
  <c r="AS16973" i="32"/>
  <c r="AS16974" i="32"/>
  <c r="AS16975" i="32"/>
  <c r="AS16976" i="32"/>
  <c r="AS16977" i="32"/>
  <c r="AS16978" i="32"/>
  <c r="AS16979" i="32"/>
  <c r="AS16980" i="32"/>
  <c r="AS16981" i="32"/>
  <c r="AS16982" i="32"/>
  <c r="AS16983" i="32"/>
  <c r="AS16984" i="32"/>
  <c r="AS16985" i="32"/>
  <c r="AS16986" i="32"/>
  <c r="AS16987" i="32"/>
  <c r="AS16988" i="32"/>
  <c r="AS16989" i="32"/>
  <c r="AS16990" i="32"/>
  <c r="AS16991" i="32"/>
  <c r="AS16992" i="32"/>
  <c r="AS16993" i="32"/>
  <c r="AS16994" i="32"/>
  <c r="AS16995" i="32"/>
  <c r="AS16996" i="32"/>
  <c r="AS16997" i="32"/>
  <c r="AS16998" i="32"/>
  <c r="AS16999" i="32"/>
  <c r="AS17000" i="32"/>
  <c r="AS17001" i="32"/>
  <c r="AS17002" i="32"/>
  <c r="AS17003" i="32"/>
  <c r="AS17004" i="32"/>
  <c r="AS17005" i="32"/>
  <c r="AS17006" i="32"/>
  <c r="AS17007" i="32"/>
  <c r="AS17008" i="32"/>
  <c r="AS17009" i="32"/>
  <c r="AS17010" i="32"/>
  <c r="AS17011" i="32"/>
  <c r="AS17012" i="32"/>
  <c r="AS17013" i="32"/>
  <c r="AS17014" i="32"/>
  <c r="AS17015" i="32"/>
  <c r="AS17016" i="32"/>
  <c r="AS17017" i="32"/>
  <c r="AS17018" i="32"/>
  <c r="AS17019" i="32"/>
  <c r="AS17020" i="32"/>
  <c r="AS17021" i="32"/>
  <c r="AS17022" i="32"/>
  <c r="AS17023" i="32"/>
  <c r="AS17024" i="32"/>
  <c r="AS17025" i="32"/>
  <c r="AS17026" i="32"/>
  <c r="AS17027" i="32"/>
  <c r="AS17028" i="32"/>
  <c r="AS17029" i="32"/>
  <c r="AS17030" i="32"/>
  <c r="AS17031" i="32"/>
  <c r="AS17032" i="32"/>
  <c r="AS17033" i="32"/>
  <c r="AS17034" i="32"/>
  <c r="AS17035" i="32"/>
  <c r="AS17036" i="32"/>
  <c r="AS17037" i="32"/>
  <c r="AS17038" i="32"/>
  <c r="AS17039" i="32"/>
  <c r="AS17040" i="32"/>
  <c r="AS17041" i="32"/>
  <c r="AS17042" i="32"/>
  <c r="AS17043" i="32"/>
  <c r="AS17044" i="32"/>
  <c r="AS17045" i="32"/>
  <c r="AS17046" i="32"/>
  <c r="AS17047" i="32"/>
  <c r="AS17048" i="32"/>
  <c r="AS17049" i="32"/>
  <c r="AS17050" i="32"/>
  <c r="AS17051" i="32"/>
  <c r="AS17052" i="32"/>
  <c r="AS17053" i="32"/>
  <c r="AS17054" i="32"/>
  <c r="AS17055" i="32"/>
  <c r="AS17056" i="32"/>
  <c r="AS17057" i="32"/>
  <c r="AS17058" i="32"/>
  <c r="AS17059" i="32"/>
  <c r="AS17060" i="32"/>
  <c r="AS17061" i="32"/>
  <c r="AS17062" i="32"/>
  <c r="AS17063" i="32"/>
  <c r="AS17064" i="32"/>
  <c r="AS17065" i="32"/>
  <c r="AS17066" i="32"/>
  <c r="AS17067" i="32"/>
  <c r="AS17068" i="32"/>
  <c r="AS17069" i="32"/>
  <c r="AS17070" i="32"/>
  <c r="AS17071" i="32"/>
  <c r="AS17072" i="32"/>
  <c r="AS17073" i="32"/>
  <c r="AS17074" i="32"/>
  <c r="AS17075" i="32"/>
  <c r="AS17076" i="32"/>
  <c r="AS17077" i="32"/>
  <c r="AS17078" i="32"/>
  <c r="AS17079" i="32"/>
  <c r="AS17080" i="32"/>
  <c r="AS17081" i="32"/>
  <c r="AS17082" i="32"/>
  <c r="AS17083" i="32"/>
  <c r="AS17084" i="32"/>
  <c r="AS17085" i="32"/>
  <c r="AS17086" i="32"/>
  <c r="AS17087" i="32"/>
  <c r="AS17088" i="32"/>
  <c r="AS17089" i="32"/>
  <c r="AS17090" i="32"/>
  <c r="AS17091" i="32"/>
  <c r="AS17092" i="32"/>
  <c r="AS17093" i="32"/>
  <c r="AS17094" i="32"/>
  <c r="AS17095" i="32"/>
  <c r="AS17096" i="32"/>
  <c r="AS17097" i="32"/>
  <c r="AS17098" i="32"/>
  <c r="AS17099" i="32"/>
  <c r="AS17100" i="32"/>
  <c r="AS17101" i="32"/>
  <c r="AS17102" i="32"/>
  <c r="AS17103" i="32"/>
  <c r="AS17104" i="32"/>
  <c r="AS17105" i="32"/>
  <c r="AS17106" i="32"/>
  <c r="AS17107" i="32"/>
  <c r="AS17108" i="32"/>
  <c r="AS17109" i="32"/>
  <c r="AS17110" i="32"/>
  <c r="AS17111" i="32"/>
  <c r="AS17112" i="32"/>
  <c r="AS17113" i="32"/>
  <c r="AS17114" i="32"/>
  <c r="AS17115" i="32"/>
  <c r="AS17116" i="32"/>
  <c r="AS17117" i="32"/>
  <c r="AS17118" i="32"/>
  <c r="AS17119" i="32"/>
  <c r="AS17120" i="32"/>
  <c r="AS17121" i="32"/>
  <c r="AS17122" i="32"/>
  <c r="AS17123" i="32"/>
  <c r="AS17124" i="32"/>
  <c r="AS17125" i="32"/>
  <c r="AS17126" i="32"/>
  <c r="AS17127" i="32"/>
  <c r="AS17128" i="32"/>
  <c r="AS17129" i="32"/>
  <c r="AS17130" i="32"/>
  <c r="AS17131" i="32"/>
  <c r="AS17132" i="32"/>
  <c r="AS17133" i="32"/>
  <c r="AS17134" i="32"/>
  <c r="AS17135" i="32"/>
  <c r="AS17136" i="32"/>
  <c r="AS17137" i="32"/>
  <c r="AS17138" i="32"/>
  <c r="AS17139" i="32"/>
  <c r="AS17140" i="32"/>
  <c r="AS17141" i="32"/>
  <c r="AS17142" i="32"/>
  <c r="AS17143" i="32"/>
  <c r="AS17144" i="32"/>
  <c r="AS17145" i="32"/>
  <c r="AS17146" i="32"/>
  <c r="AS17147" i="32"/>
  <c r="AS17148" i="32"/>
  <c r="AS17149" i="32"/>
  <c r="AS17150" i="32"/>
  <c r="AS17151" i="32"/>
  <c r="AS17152" i="32"/>
  <c r="AS17153" i="32"/>
  <c r="AS17154" i="32"/>
  <c r="AS17155" i="32"/>
  <c r="AS17156" i="32"/>
  <c r="AS17157" i="32"/>
  <c r="AS17158" i="32"/>
  <c r="AS17159" i="32"/>
  <c r="AS17160" i="32"/>
  <c r="AS17161" i="32"/>
  <c r="AS17162" i="32"/>
  <c r="AS17163" i="32"/>
  <c r="AS17164" i="32"/>
  <c r="AS17165" i="32"/>
  <c r="AS17166" i="32"/>
  <c r="AS17167" i="32"/>
  <c r="AS17168" i="32"/>
  <c r="AS17169" i="32"/>
  <c r="AS17170" i="32"/>
  <c r="AS17171" i="32"/>
  <c r="AS17172" i="32"/>
  <c r="AS17173" i="32"/>
  <c r="AS17174" i="32"/>
  <c r="AS17175" i="32"/>
  <c r="AS17176" i="32"/>
  <c r="AS17177" i="32"/>
  <c r="AS17178" i="32"/>
  <c r="AS17179" i="32"/>
  <c r="AS17180" i="32"/>
  <c r="AS17181" i="32"/>
  <c r="AS17182" i="32"/>
  <c r="AS17183" i="32"/>
  <c r="AS17184" i="32"/>
  <c r="AS17185" i="32"/>
  <c r="AS17186" i="32"/>
  <c r="AS17187" i="32"/>
  <c r="AS17188" i="32"/>
  <c r="AS17189" i="32"/>
  <c r="AS17190" i="32"/>
  <c r="AS17191" i="32"/>
  <c r="AS17192" i="32"/>
  <c r="AS17193" i="32"/>
  <c r="AS17194" i="32"/>
  <c r="AS17195" i="32"/>
  <c r="AS17196" i="32"/>
  <c r="AS17197" i="32"/>
  <c r="AS17198" i="32"/>
  <c r="AS17199" i="32"/>
  <c r="AS17200" i="32"/>
  <c r="AS17201" i="32"/>
  <c r="AS17202" i="32"/>
  <c r="AS17203" i="32"/>
  <c r="AS17204" i="32"/>
  <c r="AS17205" i="32"/>
  <c r="AS17206" i="32"/>
  <c r="AS17207" i="32"/>
  <c r="AS17208" i="32"/>
  <c r="AS17209" i="32"/>
  <c r="AS17210" i="32"/>
  <c r="AS17211" i="32"/>
  <c r="AS17212" i="32"/>
  <c r="AS17213" i="32"/>
  <c r="AS17214" i="32"/>
  <c r="AS17215" i="32"/>
  <c r="AS17216" i="32"/>
  <c r="AS17217" i="32"/>
  <c r="AS17218" i="32"/>
  <c r="AS17219" i="32"/>
  <c r="AS17220" i="32"/>
  <c r="AS17221" i="32"/>
  <c r="AS17222" i="32"/>
  <c r="AS17223" i="32"/>
  <c r="AS17224" i="32"/>
  <c r="AS17225" i="32"/>
  <c r="AS17226" i="32"/>
  <c r="AS17227" i="32"/>
  <c r="AS17228" i="32"/>
  <c r="AS17229" i="32"/>
  <c r="AS17230" i="32"/>
  <c r="AS17231" i="32"/>
  <c r="AS17232" i="32"/>
  <c r="AS17233" i="32"/>
  <c r="AS17234" i="32"/>
  <c r="AS17235" i="32"/>
  <c r="AS17236" i="32"/>
  <c r="AS17237" i="32"/>
  <c r="AS17238" i="32"/>
  <c r="AS17239" i="32"/>
  <c r="AS17240" i="32"/>
  <c r="AS17241" i="32"/>
  <c r="AS17242" i="32"/>
  <c r="AS17243" i="32"/>
  <c r="AS17244" i="32"/>
  <c r="AS17245" i="32"/>
  <c r="AS17246" i="32"/>
  <c r="AS17247" i="32"/>
  <c r="AS17248" i="32"/>
  <c r="AS17249" i="32"/>
  <c r="AS17250" i="32"/>
  <c r="AS17251" i="32"/>
  <c r="AS17252" i="32"/>
  <c r="AS17253" i="32"/>
  <c r="AS17254" i="32"/>
  <c r="AS17255" i="32"/>
  <c r="AS17256" i="32"/>
  <c r="AS17257" i="32"/>
  <c r="AS17258" i="32"/>
  <c r="AS17259" i="32"/>
  <c r="AS17260" i="32"/>
  <c r="AS17261" i="32"/>
  <c r="AS17262" i="32"/>
  <c r="AS17263" i="32"/>
  <c r="AS17264" i="32"/>
  <c r="AS17265" i="32"/>
  <c r="AS17266" i="32"/>
  <c r="AS17267" i="32"/>
  <c r="AS17268" i="32"/>
  <c r="AS17269" i="32"/>
  <c r="AS17270" i="32"/>
  <c r="AS17271" i="32"/>
  <c r="AS17272" i="32"/>
  <c r="AS17273" i="32"/>
  <c r="AS17274" i="32"/>
  <c r="AS17275" i="32"/>
  <c r="AS17276" i="32"/>
  <c r="AS17277" i="32"/>
  <c r="AS17278" i="32"/>
  <c r="AS17279" i="32"/>
  <c r="AS17280" i="32"/>
  <c r="AS17281" i="32"/>
  <c r="AS17282" i="32"/>
  <c r="AS17283" i="32"/>
  <c r="AS17284" i="32"/>
  <c r="AS17285" i="32"/>
  <c r="AS17286" i="32"/>
  <c r="AS17287" i="32"/>
  <c r="AS17288" i="32"/>
  <c r="AS17289" i="32"/>
  <c r="AS17290" i="32"/>
  <c r="AS17291" i="32"/>
  <c r="AS17292" i="32"/>
  <c r="AS17293" i="32"/>
  <c r="AS17294" i="32"/>
  <c r="AS17295" i="32"/>
  <c r="AS17296" i="32"/>
  <c r="AS17297" i="32"/>
  <c r="AS17298" i="32"/>
  <c r="AS17299" i="32"/>
  <c r="AS17300" i="32"/>
  <c r="AS17301" i="32"/>
  <c r="AS17302" i="32"/>
  <c r="AS17303" i="32"/>
  <c r="AS17304" i="32"/>
  <c r="AS17305" i="32"/>
  <c r="AS17306" i="32"/>
  <c r="AS17307" i="32"/>
  <c r="AS17308" i="32"/>
  <c r="AS17309" i="32"/>
  <c r="AS17310" i="32"/>
  <c r="AS17311" i="32"/>
  <c r="AS17312" i="32"/>
  <c r="AS17313" i="32"/>
  <c r="AS17314" i="32"/>
  <c r="AS17315" i="32"/>
  <c r="AS17316" i="32"/>
  <c r="AS17317" i="32"/>
  <c r="AS17318" i="32"/>
  <c r="AS17319" i="32"/>
  <c r="AS17320" i="32"/>
  <c r="AS17321" i="32"/>
  <c r="AS17322" i="32"/>
  <c r="AS17323" i="32"/>
  <c r="AS17324" i="32"/>
  <c r="AS17325" i="32"/>
  <c r="AS17326" i="32"/>
  <c r="AS17327" i="32"/>
  <c r="AS17328" i="32"/>
  <c r="AS17329" i="32"/>
  <c r="AS17330" i="32"/>
  <c r="AS17331" i="32"/>
  <c r="AS17332" i="32"/>
  <c r="AS17333" i="32"/>
  <c r="AS17334" i="32"/>
  <c r="AS17335" i="32"/>
  <c r="AS17336" i="32"/>
  <c r="AS17337" i="32"/>
  <c r="AS17338" i="32"/>
  <c r="AS17339" i="32"/>
  <c r="AS17340" i="32"/>
  <c r="AS17341" i="32"/>
  <c r="AS17342" i="32"/>
  <c r="AS17343" i="32"/>
  <c r="AS17344" i="32"/>
  <c r="AS17345" i="32"/>
  <c r="AS17346" i="32"/>
  <c r="AS17347" i="32"/>
  <c r="AS17348" i="32"/>
  <c r="AS17349" i="32"/>
  <c r="AS17350" i="32"/>
  <c r="AS17351" i="32"/>
  <c r="AS17352" i="32"/>
  <c r="AS17353" i="32"/>
  <c r="AS17354" i="32"/>
  <c r="AS17355" i="32"/>
  <c r="AS17356" i="32"/>
  <c r="AS17357" i="32"/>
  <c r="AS17358" i="32"/>
  <c r="AS17359" i="32"/>
  <c r="AS17360" i="32"/>
  <c r="AS17361" i="32"/>
  <c r="AS17362" i="32"/>
  <c r="AS17363" i="32"/>
  <c r="AS17364" i="32"/>
  <c r="AS17365" i="32"/>
  <c r="AS17366" i="32"/>
  <c r="AS17367" i="32"/>
  <c r="AS17368" i="32"/>
  <c r="AS17369" i="32"/>
  <c r="AS17370" i="32"/>
  <c r="AS17371" i="32"/>
  <c r="AS17372" i="32"/>
  <c r="AS17373" i="32"/>
  <c r="AS17374" i="32"/>
  <c r="AS17375" i="32"/>
  <c r="AS17376" i="32"/>
  <c r="AS17377" i="32"/>
  <c r="AS17378" i="32"/>
  <c r="AS17379" i="32"/>
  <c r="AS17380" i="32"/>
  <c r="AS17381" i="32"/>
  <c r="AS17382" i="32"/>
  <c r="AS17383" i="32"/>
  <c r="AS17384" i="32"/>
  <c r="AS17385" i="32"/>
  <c r="AS17386" i="32"/>
  <c r="AS17387" i="32"/>
  <c r="AS17388" i="32"/>
  <c r="AS17389" i="32"/>
  <c r="AS17390" i="32"/>
  <c r="AS17391" i="32"/>
  <c r="AS17392" i="32"/>
  <c r="AS17393" i="32"/>
  <c r="AS17394" i="32"/>
  <c r="AS17395" i="32"/>
  <c r="AS17396" i="32"/>
  <c r="AS17397" i="32"/>
  <c r="AS17398" i="32"/>
  <c r="AS17399" i="32"/>
  <c r="AS17400" i="32"/>
  <c r="AS17401" i="32"/>
  <c r="AS17402" i="32"/>
  <c r="AS17403" i="32"/>
  <c r="AS17404" i="32"/>
  <c r="AS17405" i="32"/>
  <c r="AS17406" i="32"/>
  <c r="AS17407" i="32"/>
  <c r="AS17408" i="32"/>
  <c r="AS17409" i="32"/>
  <c r="AS17410" i="32"/>
  <c r="AS17411" i="32"/>
  <c r="AS17412" i="32"/>
  <c r="AS17413" i="32"/>
  <c r="AS17414" i="32"/>
  <c r="AS17415" i="32"/>
  <c r="AS17416" i="32"/>
  <c r="AS17417" i="32"/>
  <c r="AS17418" i="32"/>
  <c r="AS17419" i="32"/>
  <c r="AS17420" i="32"/>
  <c r="AS17421" i="32"/>
  <c r="AS17422" i="32"/>
  <c r="AS17423" i="32"/>
  <c r="AS17424" i="32"/>
  <c r="AS17425" i="32"/>
  <c r="AS17426" i="32"/>
  <c r="AS17427" i="32"/>
  <c r="AS17428" i="32"/>
  <c r="AS17429" i="32"/>
  <c r="AS17430" i="32"/>
  <c r="AS17431" i="32"/>
  <c r="AS17432" i="32"/>
  <c r="AS17433" i="32"/>
  <c r="AS17434" i="32"/>
  <c r="AS17435" i="32"/>
  <c r="AS17436" i="32"/>
  <c r="AS17437" i="32"/>
  <c r="AS17438" i="32"/>
  <c r="AS17439" i="32"/>
  <c r="AS17440" i="32"/>
  <c r="AS17441" i="32"/>
  <c r="AS17442" i="32"/>
  <c r="AS17443" i="32"/>
  <c r="AS17444" i="32"/>
  <c r="AS17445" i="32"/>
  <c r="AS17446" i="32"/>
  <c r="AS17447" i="32"/>
  <c r="AS17448" i="32"/>
  <c r="AS17449" i="32"/>
  <c r="AS17450" i="32"/>
  <c r="AS17451" i="32"/>
  <c r="AS17452" i="32"/>
  <c r="AS17453" i="32"/>
  <c r="AS17454" i="32"/>
  <c r="AS17455" i="32"/>
  <c r="AS17456" i="32"/>
  <c r="AS17457" i="32"/>
  <c r="AS17458" i="32"/>
  <c r="AS17459" i="32"/>
  <c r="AS17460" i="32"/>
  <c r="AS17461" i="32"/>
  <c r="AS17462" i="32"/>
  <c r="AS17463" i="32"/>
  <c r="AS17464" i="32"/>
  <c r="AS17465" i="32"/>
  <c r="AS17466" i="32"/>
  <c r="AS17467" i="32"/>
  <c r="AS17468" i="32"/>
  <c r="AS17469" i="32"/>
  <c r="AS17470" i="32"/>
  <c r="AS17471" i="32"/>
  <c r="AS17472" i="32"/>
  <c r="AS17473" i="32"/>
  <c r="AS17474" i="32"/>
  <c r="AS17475" i="32"/>
  <c r="AS17476" i="32"/>
  <c r="AS17477" i="32"/>
  <c r="AS17478" i="32"/>
  <c r="AS17479" i="32"/>
  <c r="AS17480" i="32"/>
  <c r="AS17481" i="32"/>
  <c r="AS17482" i="32"/>
  <c r="AS17483" i="32"/>
  <c r="AS17484" i="32"/>
  <c r="AS17485" i="32"/>
  <c r="AS17486" i="32"/>
  <c r="AS17487" i="32"/>
  <c r="AS17488" i="32"/>
  <c r="AS17489" i="32"/>
  <c r="AS17490" i="32"/>
  <c r="AS17491" i="32"/>
  <c r="AS17492" i="32"/>
  <c r="AS17493" i="32"/>
  <c r="AS17494" i="32"/>
  <c r="AS17495" i="32"/>
  <c r="AS17496" i="32"/>
  <c r="AS17497" i="32"/>
  <c r="AS17498" i="32"/>
  <c r="AS17499" i="32"/>
  <c r="AS17500" i="32"/>
  <c r="AS17501" i="32"/>
  <c r="AS17502" i="32"/>
  <c r="AS17503" i="32"/>
  <c r="AS17504" i="32"/>
  <c r="AS17505" i="32"/>
  <c r="AS17506" i="32"/>
  <c r="AS17507" i="32"/>
  <c r="AS17508" i="32"/>
  <c r="AS17509" i="32"/>
  <c r="AS17510" i="32"/>
  <c r="AS17511" i="32"/>
  <c r="AS17512" i="32"/>
  <c r="AS17513" i="32"/>
  <c r="AS17514" i="32"/>
  <c r="AS17515" i="32"/>
  <c r="AS17516" i="32"/>
  <c r="AS17517" i="32"/>
  <c r="AS17518" i="32"/>
  <c r="AS17519" i="32"/>
  <c r="AS17520" i="32"/>
  <c r="AS17521" i="32"/>
  <c r="AS17522" i="32"/>
  <c r="AS17523" i="32"/>
  <c r="AS17524" i="32"/>
  <c r="AS17525" i="32"/>
  <c r="AS17526" i="32"/>
  <c r="AS17527" i="32"/>
  <c r="AS17528" i="32"/>
  <c r="AS17529" i="32"/>
  <c r="AS17530" i="32"/>
  <c r="AS17531" i="32"/>
  <c r="AS17532" i="32"/>
  <c r="AS17533" i="32"/>
  <c r="AS17534" i="32"/>
  <c r="AS17535" i="32"/>
  <c r="AS17536" i="32"/>
  <c r="AS17537" i="32"/>
  <c r="AS17538" i="32"/>
  <c r="AS17539" i="32"/>
  <c r="AS17540" i="32"/>
  <c r="AS17541" i="32"/>
  <c r="AS17542" i="32"/>
  <c r="AS17543" i="32"/>
  <c r="AS17544" i="32"/>
  <c r="AS17545" i="32"/>
  <c r="B3" i="35"/>
  <c r="B4" i="35"/>
  <c r="B5" i="35"/>
  <c r="B6" i="35"/>
  <c r="B7" i="35"/>
  <c r="B8" i="35"/>
  <c r="B9" i="35"/>
  <c r="B10" i="35"/>
  <c r="B11" i="35"/>
  <c r="B12" i="35"/>
  <c r="B13" i="35"/>
  <c r="B14" i="35"/>
  <c r="B15" i="35"/>
  <c r="B16" i="35"/>
  <c r="B17" i="35"/>
  <c r="B18" i="35"/>
  <c r="B19" i="35"/>
  <c r="B20" i="35"/>
  <c r="B21" i="35"/>
  <c r="B22" i="35"/>
  <c r="B23" i="35"/>
  <c r="B24" i="35"/>
  <c r="B25" i="35"/>
  <c r="B26" i="35"/>
  <c r="B27" i="35"/>
  <c r="B28" i="35"/>
  <c r="B29" i="35"/>
  <c r="B30" i="35"/>
  <c r="B31" i="35"/>
  <c r="B32" i="35"/>
  <c r="B33" i="35"/>
  <c r="B34" i="35"/>
  <c r="B35" i="35"/>
  <c r="B36" i="35"/>
  <c r="B37" i="35"/>
  <c r="B38" i="35"/>
  <c r="B39" i="35"/>
  <c r="B40" i="35"/>
  <c r="B41" i="35"/>
  <c r="B42" i="35"/>
  <c r="B43" i="35"/>
  <c r="B44" i="35"/>
  <c r="B45" i="35"/>
  <c r="B46" i="35"/>
  <c r="B47" i="35"/>
  <c r="B48" i="35"/>
  <c r="B49" i="35"/>
  <c r="B50" i="35"/>
  <c r="B51" i="35"/>
  <c r="B52" i="35"/>
  <c r="B53" i="35"/>
  <c r="B54" i="35"/>
  <c r="B55" i="35"/>
  <c r="B56" i="35"/>
  <c r="B57" i="35"/>
  <c r="B58" i="35"/>
  <c r="B59" i="35"/>
  <c r="B60" i="35"/>
  <c r="B61" i="35"/>
  <c r="B62" i="35"/>
  <c r="B63" i="35"/>
  <c r="B64" i="35"/>
  <c r="B65" i="35"/>
  <c r="B66" i="35"/>
  <c r="B67" i="35"/>
  <c r="B68" i="35"/>
  <c r="B69" i="35"/>
  <c r="B70" i="35"/>
  <c r="B71" i="35"/>
  <c r="B72" i="35"/>
  <c r="B73" i="35"/>
  <c r="B74" i="35"/>
  <c r="B75" i="35"/>
  <c r="B76" i="35"/>
  <c r="B77" i="35"/>
  <c r="B78" i="35"/>
  <c r="B79" i="35"/>
  <c r="B80" i="35"/>
  <c r="B81" i="35"/>
  <c r="B82" i="35"/>
  <c r="B83" i="35"/>
  <c r="B84" i="35"/>
  <c r="B85" i="35"/>
  <c r="B86" i="35"/>
  <c r="B87" i="35"/>
  <c r="B88" i="35"/>
  <c r="B89" i="35"/>
  <c r="B90" i="35"/>
  <c r="B91" i="35"/>
  <c r="B92" i="35"/>
  <c r="B93" i="35"/>
  <c r="B94" i="35"/>
  <c r="B95" i="35"/>
  <c r="B96" i="35"/>
  <c r="B97" i="35"/>
  <c r="B98" i="35"/>
  <c r="B99" i="35"/>
  <c r="B100" i="35"/>
  <c r="B101" i="35"/>
  <c r="B102" i="35"/>
  <c r="B103" i="35"/>
  <c r="B104" i="35"/>
  <c r="B105" i="35"/>
  <c r="B106" i="35"/>
  <c r="B107" i="35"/>
  <c r="B108" i="35"/>
  <c r="B109" i="35"/>
  <c r="B110" i="35"/>
  <c r="B111" i="35"/>
  <c r="B112" i="35"/>
  <c r="B113" i="35"/>
  <c r="B114" i="35"/>
  <c r="B115" i="35"/>
  <c r="B116" i="35"/>
  <c r="B117" i="35"/>
  <c r="B118" i="35"/>
  <c r="B119" i="35"/>
  <c r="B120" i="35"/>
  <c r="B121" i="35"/>
  <c r="B122" i="35"/>
  <c r="B123" i="35"/>
  <c r="B124" i="35"/>
  <c r="B125" i="35"/>
  <c r="B126" i="35"/>
  <c r="B127" i="35"/>
  <c r="B128" i="35"/>
  <c r="B129" i="35"/>
  <c r="B130" i="35"/>
  <c r="B131" i="35"/>
  <c r="B132" i="35"/>
  <c r="B133" i="35"/>
  <c r="B134" i="35"/>
  <c r="B135" i="35"/>
  <c r="B136" i="35"/>
  <c r="B137" i="35"/>
  <c r="B138" i="35"/>
  <c r="B139" i="35"/>
  <c r="B140" i="35"/>
  <c r="B141" i="35"/>
  <c r="B142" i="35"/>
  <c r="B143" i="35"/>
  <c r="B144" i="35"/>
  <c r="B145" i="35"/>
  <c r="B146" i="35"/>
  <c r="B147" i="35"/>
  <c r="B148" i="35"/>
  <c r="B149" i="35"/>
  <c r="B150" i="35"/>
  <c r="B151" i="35"/>
  <c r="B152" i="35"/>
  <c r="B153" i="35"/>
  <c r="B154" i="35"/>
  <c r="B155" i="35"/>
  <c r="B156" i="35"/>
  <c r="B157" i="35"/>
  <c r="B158" i="35"/>
  <c r="B159" i="35"/>
  <c r="B160" i="35"/>
  <c r="B161" i="35"/>
  <c r="B162" i="35"/>
  <c r="B163" i="35"/>
  <c r="B164" i="35"/>
  <c r="B165" i="35"/>
  <c r="B166" i="35"/>
  <c r="B167" i="35"/>
  <c r="B168" i="35"/>
  <c r="B169" i="35"/>
  <c r="B170" i="35"/>
  <c r="B171" i="35"/>
  <c r="B172" i="35"/>
  <c r="B173" i="35"/>
  <c r="B174" i="35"/>
  <c r="B175" i="35"/>
  <c r="B176" i="35"/>
  <c r="B177" i="35"/>
  <c r="B178" i="35"/>
  <c r="B179" i="35"/>
  <c r="B180" i="35"/>
  <c r="B181" i="35"/>
  <c r="B182" i="35"/>
  <c r="B183" i="35"/>
  <c r="B184" i="35"/>
  <c r="B185" i="35"/>
  <c r="B186" i="35"/>
  <c r="B187" i="35"/>
  <c r="B188" i="35"/>
  <c r="B189" i="35"/>
  <c r="B190" i="35"/>
  <c r="B191" i="35"/>
  <c r="B192" i="35"/>
  <c r="B193" i="35"/>
  <c r="B194" i="35"/>
  <c r="B195" i="35"/>
  <c r="B196" i="35"/>
  <c r="B197" i="35"/>
  <c r="B198" i="35"/>
  <c r="B199" i="35"/>
  <c r="B200" i="35"/>
  <c r="B201" i="35"/>
  <c r="B202" i="35"/>
  <c r="O10" i="33"/>
  <c r="O13" i="33"/>
  <c r="S13" i="33" s="1"/>
  <c r="H12" i="33"/>
  <c r="J12" i="33" s="1"/>
  <c r="L12" i="33" s="1"/>
  <c r="H13" i="33"/>
  <c r="AS13" i="33" s="1"/>
  <c r="H14" i="33"/>
  <c r="AS14" i="33" s="1"/>
  <c r="Q14" i="33"/>
  <c r="R14" i="33"/>
  <c r="S14" i="33" s="1"/>
  <c r="H15" i="33"/>
  <c r="J15" i="33" s="1"/>
  <c r="L15" i="33" s="1"/>
  <c r="Q15" i="33"/>
  <c r="H16" i="33"/>
  <c r="AS16" i="33" s="1"/>
  <c r="Q16" i="33"/>
  <c r="AU16" i="33"/>
  <c r="AV16" i="33"/>
  <c r="AW16" i="33"/>
  <c r="AX16" i="33"/>
  <c r="AY16" i="33"/>
  <c r="AZ16" i="33"/>
  <c r="BA16" i="33"/>
  <c r="BB16" i="33"/>
  <c r="BC16" i="33"/>
  <c r="BD16" i="33"/>
  <c r="BE16" i="33"/>
  <c r="BF16" i="33"/>
  <c r="BG16" i="33"/>
  <c r="BH16" i="33"/>
  <c r="BI16" i="33"/>
  <c r="BJ16" i="33"/>
  <c r="BK16" i="33"/>
  <c r="BL16" i="33"/>
  <c r="BM16" i="33"/>
  <c r="BN16" i="33"/>
  <c r="H17" i="33"/>
  <c r="J17" i="33" s="1"/>
  <c r="L17" i="33" s="1"/>
  <c r="Q17" i="33"/>
  <c r="S17" i="33" s="1"/>
  <c r="AU17" i="33"/>
  <c r="AV17" i="33"/>
  <c r="AW17" i="33"/>
  <c r="AX17" i="33"/>
  <c r="AY17" i="33"/>
  <c r="AZ17" i="33"/>
  <c r="BA17" i="33"/>
  <c r="BB17" i="33"/>
  <c r="BC17" i="33"/>
  <c r="BD17" i="33"/>
  <c r="BE17" i="33"/>
  <c r="BF17" i="33"/>
  <c r="BG17" i="33"/>
  <c r="BH17" i="33"/>
  <c r="BI17" i="33"/>
  <c r="BJ17" i="33"/>
  <c r="BK17" i="33"/>
  <c r="BL17" i="33"/>
  <c r="BM17" i="33"/>
  <c r="BN17" i="33"/>
  <c r="H18" i="33"/>
  <c r="J18" i="33" s="1"/>
  <c r="L18" i="33" s="1"/>
  <c r="Q18" i="33"/>
  <c r="S18" i="33" s="1"/>
  <c r="AU18" i="33"/>
  <c r="AV18" i="33"/>
  <c r="AW18" i="33"/>
  <c r="AX18" i="33"/>
  <c r="AY18" i="33"/>
  <c r="AZ18" i="33"/>
  <c r="BA18" i="33"/>
  <c r="BB18" i="33"/>
  <c r="BC18" i="33"/>
  <c r="BD18" i="33"/>
  <c r="BE18" i="33"/>
  <c r="BF18" i="33"/>
  <c r="BG18" i="33"/>
  <c r="BH18" i="33"/>
  <c r="BI18" i="33"/>
  <c r="BJ18" i="33"/>
  <c r="BK18" i="33"/>
  <c r="BL18" i="33"/>
  <c r="BM18" i="33"/>
  <c r="BN18" i="33"/>
  <c r="H19" i="33"/>
  <c r="J19" i="33" s="1"/>
  <c r="L19" i="33" s="1"/>
  <c r="Q19" i="33"/>
  <c r="S19" i="33" s="1"/>
  <c r="AU19" i="33"/>
  <c r="AV19" i="33"/>
  <c r="AW19" i="33"/>
  <c r="AX19" i="33"/>
  <c r="AY19" i="33"/>
  <c r="AZ19" i="33"/>
  <c r="BA19" i="33"/>
  <c r="BB19" i="33"/>
  <c r="BC19" i="33"/>
  <c r="BD19" i="33"/>
  <c r="BE19" i="33"/>
  <c r="BF19" i="33"/>
  <c r="BG19" i="33"/>
  <c r="BH19" i="33"/>
  <c r="BI19" i="33"/>
  <c r="BJ19" i="33"/>
  <c r="BK19" i="33"/>
  <c r="BL19" i="33"/>
  <c r="BM19" i="33"/>
  <c r="BN19" i="33"/>
  <c r="H20" i="33"/>
  <c r="AS20" i="33" s="1"/>
  <c r="Q20" i="33"/>
  <c r="S20" i="33" s="1"/>
  <c r="AR20" i="33"/>
  <c r="AU20" i="33"/>
  <c r="AV20" i="33"/>
  <c r="AW20" i="33"/>
  <c r="AX20" i="33"/>
  <c r="AY20" i="33"/>
  <c r="AZ20" i="33"/>
  <c r="BA20" i="33"/>
  <c r="BB20" i="33"/>
  <c r="BC20" i="33"/>
  <c r="BD20" i="33"/>
  <c r="BE20" i="33"/>
  <c r="BF20" i="33"/>
  <c r="BG20" i="33"/>
  <c r="BH20" i="33"/>
  <c r="BI20" i="33"/>
  <c r="BJ20" i="33"/>
  <c r="BK20" i="33"/>
  <c r="BL20" i="33"/>
  <c r="BM20" i="33"/>
  <c r="BN20" i="33"/>
  <c r="H21" i="33"/>
  <c r="AS21" i="33" s="1"/>
  <c r="Q21" i="33"/>
  <c r="S21" i="33" s="1"/>
  <c r="AR21" i="33"/>
  <c r="AU21" i="33"/>
  <c r="AV21" i="33"/>
  <c r="AW21" i="33"/>
  <c r="AX21" i="33"/>
  <c r="AY21" i="33"/>
  <c r="AZ21" i="33"/>
  <c r="BA21" i="33"/>
  <c r="BB21" i="33"/>
  <c r="BC21" i="33"/>
  <c r="BD21" i="33"/>
  <c r="BE21" i="33"/>
  <c r="BF21" i="33"/>
  <c r="BG21" i="33"/>
  <c r="BH21" i="33"/>
  <c r="BI21" i="33"/>
  <c r="BJ21" i="33"/>
  <c r="BK21" i="33"/>
  <c r="BL21" i="33"/>
  <c r="BM21" i="33"/>
  <c r="BN21" i="33"/>
  <c r="H22" i="33"/>
  <c r="AS22" i="33" s="1"/>
  <c r="AR22" i="33"/>
  <c r="AU22" i="33"/>
  <c r="AV22" i="33"/>
  <c r="AW22" i="33"/>
  <c r="AX22" i="33"/>
  <c r="AY22" i="33"/>
  <c r="AZ22" i="33"/>
  <c r="BA22" i="33"/>
  <c r="BB22" i="33"/>
  <c r="BC22" i="33"/>
  <c r="BD22" i="33"/>
  <c r="BE22" i="33"/>
  <c r="BF22" i="33"/>
  <c r="BG22" i="33"/>
  <c r="BH22" i="33"/>
  <c r="BI22" i="33"/>
  <c r="BJ22" i="33"/>
  <c r="BK22" i="33"/>
  <c r="BL22" i="33"/>
  <c r="BM22" i="33"/>
  <c r="BN22" i="33"/>
  <c r="H24" i="33"/>
  <c r="J24" i="33" s="1"/>
  <c r="L24" i="33" s="1"/>
  <c r="H25" i="33"/>
  <c r="J25" i="33" s="1"/>
  <c r="L25" i="33" s="1"/>
  <c r="H26" i="33"/>
  <c r="AS26" i="33" s="1"/>
  <c r="H27" i="33"/>
  <c r="AS27" i="33" s="1"/>
  <c r="AR27" i="33"/>
  <c r="H28" i="33"/>
  <c r="AS28" i="33" s="1"/>
  <c r="AR28" i="33"/>
  <c r="H29" i="33"/>
  <c r="J29" i="33" s="1"/>
  <c r="L29" i="33" s="1"/>
  <c r="AR29" i="33"/>
  <c r="AU29" i="33"/>
  <c r="AV29" i="33"/>
  <c r="AW29" i="33"/>
  <c r="AX29" i="33"/>
  <c r="AY29" i="33"/>
  <c r="AZ29" i="33"/>
  <c r="BA29" i="33"/>
  <c r="BB29" i="33"/>
  <c r="BC29" i="33"/>
  <c r="BD29" i="33"/>
  <c r="BE29" i="33"/>
  <c r="BF29" i="33"/>
  <c r="BG29" i="33"/>
  <c r="BH29" i="33"/>
  <c r="BI29" i="33"/>
  <c r="BJ29" i="33"/>
  <c r="BK29" i="33"/>
  <c r="BL29" i="33"/>
  <c r="BM29" i="33"/>
  <c r="BN29" i="33"/>
  <c r="H30" i="33"/>
  <c r="AS30" i="33" s="1"/>
  <c r="AR30" i="33"/>
  <c r="AU30" i="33"/>
  <c r="AV30" i="33"/>
  <c r="AW30" i="33"/>
  <c r="AX30" i="33"/>
  <c r="AY30" i="33"/>
  <c r="AZ30" i="33"/>
  <c r="BA30" i="33"/>
  <c r="BB30" i="33"/>
  <c r="BC30" i="33"/>
  <c r="BD30" i="33"/>
  <c r="BE30" i="33"/>
  <c r="BF30" i="33"/>
  <c r="BG30" i="33"/>
  <c r="BH30" i="33"/>
  <c r="BI30" i="33"/>
  <c r="BJ30" i="33"/>
  <c r="BK30" i="33"/>
  <c r="BL30" i="33"/>
  <c r="BM30" i="33"/>
  <c r="BN30" i="33"/>
  <c r="H31" i="33"/>
  <c r="AS31" i="33" s="1"/>
  <c r="J31" i="33"/>
  <c r="L31" i="33" s="1"/>
  <c r="AR31" i="33"/>
  <c r="AU31" i="33"/>
  <c r="AV31" i="33"/>
  <c r="AW31" i="33"/>
  <c r="AX31" i="33"/>
  <c r="AY31" i="33"/>
  <c r="AZ31" i="33"/>
  <c r="BA31" i="33"/>
  <c r="BB31" i="33"/>
  <c r="BC31" i="33"/>
  <c r="BD31" i="33"/>
  <c r="BE31" i="33"/>
  <c r="BF31" i="33"/>
  <c r="BG31" i="33"/>
  <c r="BH31" i="33"/>
  <c r="BI31" i="33"/>
  <c r="BJ31" i="33"/>
  <c r="BK31" i="33"/>
  <c r="BL31" i="33"/>
  <c r="BM31" i="33"/>
  <c r="BN31" i="33"/>
  <c r="H32" i="33"/>
  <c r="AS32" i="33" s="1"/>
  <c r="AR32" i="33"/>
  <c r="AU32" i="33"/>
  <c r="AV32" i="33"/>
  <c r="AW32" i="33"/>
  <c r="AX32" i="33"/>
  <c r="AY32" i="33"/>
  <c r="AZ32" i="33"/>
  <c r="BA32" i="33"/>
  <c r="BB32" i="33"/>
  <c r="BC32" i="33"/>
  <c r="BD32" i="33"/>
  <c r="BE32" i="33"/>
  <c r="BF32" i="33"/>
  <c r="BG32" i="33"/>
  <c r="BH32" i="33"/>
  <c r="BI32" i="33"/>
  <c r="BJ32" i="33"/>
  <c r="BK32" i="33"/>
  <c r="BL32" i="33"/>
  <c r="BM32" i="33"/>
  <c r="BN32" i="33"/>
  <c r="H33" i="33"/>
  <c r="AS33" i="33" s="1"/>
  <c r="J33" i="33"/>
  <c r="L33" i="33" s="1"/>
  <c r="L47" i="33"/>
  <c r="AR33" i="33"/>
  <c r="AU33" i="33"/>
  <c r="AV33" i="33"/>
  <c r="AW33" i="33"/>
  <c r="AX33" i="33"/>
  <c r="AY33" i="33"/>
  <c r="AZ33" i="33"/>
  <c r="BA33" i="33"/>
  <c r="BB33" i="33"/>
  <c r="BC33" i="33"/>
  <c r="BD33" i="33"/>
  <c r="BE33" i="33"/>
  <c r="BF33" i="33"/>
  <c r="BG33" i="33"/>
  <c r="BH33" i="33"/>
  <c r="BI33" i="33"/>
  <c r="BJ33" i="33"/>
  <c r="BK33" i="33"/>
  <c r="BL33" i="33"/>
  <c r="BM33" i="33"/>
  <c r="BN33" i="33"/>
  <c r="H34" i="33"/>
  <c r="J34" i="33" s="1"/>
  <c r="L34" i="33" s="1"/>
  <c r="L48" i="33"/>
  <c r="AR34" i="33"/>
  <c r="AU34" i="33"/>
  <c r="AV34" i="33"/>
  <c r="AW34" i="33"/>
  <c r="AX34" i="33"/>
  <c r="AY34" i="33"/>
  <c r="AZ34" i="33"/>
  <c r="BA34" i="33"/>
  <c r="BB34" i="33"/>
  <c r="BC34" i="33"/>
  <c r="BD34" i="33"/>
  <c r="BE34" i="33"/>
  <c r="BF34" i="33"/>
  <c r="BG34" i="33"/>
  <c r="BH34" i="33"/>
  <c r="BI34" i="33"/>
  <c r="BJ34" i="33"/>
  <c r="BK34" i="33"/>
  <c r="BL34" i="33"/>
  <c r="BM34" i="33"/>
  <c r="BN34" i="33"/>
  <c r="L49" i="33"/>
  <c r="AR35" i="33"/>
  <c r="AS35" i="33"/>
  <c r="AS36" i="33"/>
  <c r="L50" i="33"/>
  <c r="AR36" i="33"/>
  <c r="L51" i="33"/>
  <c r="AR37" i="33"/>
  <c r="I39" i="33"/>
  <c r="AR39" i="33"/>
  <c r="H40" i="33"/>
  <c r="J40" i="33" s="1"/>
  <c r="L40" i="33" s="1"/>
  <c r="AR40" i="33"/>
  <c r="AU40" i="33"/>
  <c r="AV40" i="33"/>
  <c r="AW40" i="33"/>
  <c r="AX40" i="33"/>
  <c r="AY40" i="33"/>
  <c r="AZ40" i="33"/>
  <c r="BA40" i="33"/>
  <c r="BB40" i="33"/>
  <c r="BC40" i="33"/>
  <c r="BD40" i="33"/>
  <c r="BE40" i="33"/>
  <c r="BF40" i="33"/>
  <c r="BG40" i="33"/>
  <c r="BH40" i="33"/>
  <c r="BI40" i="33"/>
  <c r="BJ40" i="33"/>
  <c r="BK40" i="33"/>
  <c r="BL40" i="33"/>
  <c r="BM40" i="33"/>
  <c r="BN40" i="33"/>
  <c r="H41" i="33"/>
  <c r="AS41" i="33" s="1"/>
  <c r="AR41" i="33"/>
  <c r="AU41" i="33"/>
  <c r="AV41" i="33"/>
  <c r="AW41" i="33"/>
  <c r="AX41" i="33"/>
  <c r="AY41" i="33"/>
  <c r="AZ41" i="33"/>
  <c r="BA41" i="33"/>
  <c r="BB41" i="33"/>
  <c r="BC41" i="33"/>
  <c r="BD41" i="33"/>
  <c r="BE41" i="33"/>
  <c r="BF41" i="33"/>
  <c r="BG41" i="33"/>
  <c r="BH41" i="33"/>
  <c r="BI41" i="33"/>
  <c r="BJ41" i="33"/>
  <c r="BK41" i="33"/>
  <c r="BL41" i="33"/>
  <c r="BM41" i="33"/>
  <c r="BN41" i="33"/>
  <c r="H42" i="33"/>
  <c r="J42" i="33" s="1"/>
  <c r="L42" i="33" s="1"/>
  <c r="AR42" i="33"/>
  <c r="AU42" i="33"/>
  <c r="AV42" i="33"/>
  <c r="AW42" i="33"/>
  <c r="AX42" i="33"/>
  <c r="AY42" i="33"/>
  <c r="AZ42" i="33"/>
  <c r="BA42" i="33"/>
  <c r="BB42" i="33"/>
  <c r="BC42" i="33"/>
  <c r="BD42" i="33"/>
  <c r="BE42" i="33"/>
  <c r="BF42" i="33"/>
  <c r="BG42" i="33"/>
  <c r="BH42" i="33"/>
  <c r="BI42" i="33"/>
  <c r="BJ42" i="33"/>
  <c r="BK42" i="33"/>
  <c r="BL42" i="33"/>
  <c r="BM42" i="33"/>
  <c r="BN42" i="33"/>
  <c r="H43" i="33"/>
  <c r="J43" i="33" s="1"/>
  <c r="L43" i="33" s="1"/>
  <c r="AR43" i="33"/>
  <c r="AU43" i="33"/>
  <c r="AV43" i="33"/>
  <c r="AW43" i="33"/>
  <c r="AX43" i="33"/>
  <c r="AY43" i="33"/>
  <c r="AZ43" i="33"/>
  <c r="BA43" i="33"/>
  <c r="BB43" i="33"/>
  <c r="BC43" i="33"/>
  <c r="BD43" i="33"/>
  <c r="BE43" i="33"/>
  <c r="BF43" i="33"/>
  <c r="BG43" i="33"/>
  <c r="BH43" i="33"/>
  <c r="BI43" i="33"/>
  <c r="BJ43" i="33"/>
  <c r="BK43" i="33"/>
  <c r="BL43" i="33"/>
  <c r="BM43" i="33"/>
  <c r="BN43" i="33"/>
  <c r="V50" i="33"/>
  <c r="W50" i="33" s="1"/>
  <c r="X50" i="33" s="1"/>
  <c r="Y50" i="33" s="1"/>
  <c r="Z50" i="33" s="1"/>
  <c r="AA50" i="33" s="1"/>
  <c r="AB50" i="33" s="1"/>
  <c r="AC50" i="33" s="1"/>
  <c r="AD50" i="33" s="1"/>
  <c r="AE50" i="33" s="1"/>
  <c r="AF50" i="33" s="1"/>
  <c r="AG50" i="33" s="1"/>
  <c r="AH50" i="33" s="1"/>
  <c r="AI50" i="33" s="1"/>
  <c r="AJ50" i="33" s="1"/>
  <c r="AK50" i="33" s="1"/>
  <c r="AL50" i="33" s="1"/>
  <c r="AM50" i="33" s="1"/>
  <c r="AN50" i="33" s="1"/>
  <c r="AO50" i="33" s="1"/>
  <c r="S60" i="33"/>
  <c r="S61" i="33"/>
  <c r="AP61" i="33"/>
  <c r="S62" i="33"/>
  <c r="S63" i="33"/>
  <c r="S64" i="33"/>
  <c r="S65" i="33"/>
  <c r="S66" i="33"/>
  <c r="AP69" i="33"/>
  <c r="AP77" i="33"/>
  <c r="AP85" i="33"/>
  <c r="AP93" i="33"/>
  <c r="V101" i="33"/>
  <c r="W101" i="33" s="1"/>
  <c r="X101" i="33" s="1"/>
  <c r="Y101" i="33" s="1"/>
  <c r="Z101" i="33" s="1"/>
  <c r="AA101" i="33" s="1"/>
  <c r="AB101" i="33" s="1"/>
  <c r="AC101" i="33" s="1"/>
  <c r="AD101" i="33" s="1"/>
  <c r="AE101" i="33" s="1"/>
  <c r="AF101" i="33" s="1"/>
  <c r="AG101" i="33" s="1"/>
  <c r="AH101" i="33" s="1"/>
  <c r="AI101" i="33" s="1"/>
  <c r="AJ101" i="33" s="1"/>
  <c r="AK101" i="33" s="1"/>
  <c r="AL101" i="33" s="1"/>
  <c r="AM101" i="33" s="1"/>
  <c r="AN101" i="33" s="1"/>
  <c r="AO101" i="33" s="1"/>
  <c r="AP109" i="33"/>
  <c r="AP117" i="33"/>
  <c r="AP125" i="33"/>
  <c r="AQ63" i="34"/>
  <c r="AU39" i="34"/>
  <c r="BC9" i="34"/>
  <c r="AZ33" i="34"/>
  <c r="AT51" i="34"/>
  <c r="AU57" i="34"/>
  <c r="BE45" i="34"/>
  <c r="AU51" i="34"/>
  <c r="BC39" i="34"/>
  <c r="AT9" i="34"/>
  <c r="AR51" i="34"/>
  <c r="AN69" i="34"/>
  <c r="AV27" i="34"/>
  <c r="AP45" i="34"/>
  <c r="AP33" i="34"/>
  <c r="AN27" i="34"/>
  <c r="AS51" i="34"/>
  <c r="AL51" i="34"/>
  <c r="BE21" i="34"/>
  <c r="AP27" i="34"/>
  <c r="BC45" i="34"/>
  <c r="BA21" i="34"/>
  <c r="AO51" i="34"/>
  <c r="AW63" i="34"/>
  <c r="BD69" i="34"/>
  <c r="BA9" i="34"/>
  <c r="AS63" i="34"/>
  <c r="AR57" i="34"/>
  <c r="BB75" i="34"/>
  <c r="AY39" i="34"/>
  <c r="AS39" i="34"/>
  <c r="BE39" i="34"/>
  <c r="AS75" i="34"/>
  <c r="AM9" i="34"/>
  <c r="BD9" i="34"/>
  <c r="AR45" i="34"/>
  <c r="AY33" i="34"/>
  <c r="BB63" i="34"/>
  <c r="AT69" i="34"/>
  <c r="BA75" i="34"/>
  <c r="AS33" i="34"/>
  <c r="AY15" i="34"/>
  <c r="AY9" i="34"/>
  <c r="AN21" i="34"/>
  <c r="AQ45" i="34"/>
  <c r="AQ39" i="34"/>
  <c r="AQ33" i="34"/>
  <c r="AM51" i="34"/>
  <c r="AR63" i="34"/>
  <c r="AL39" i="34"/>
  <c r="BA51" i="34"/>
  <c r="AP51" i="34"/>
  <c r="AZ63" i="34"/>
  <c r="AP75" i="34"/>
  <c r="BB39" i="34"/>
  <c r="AN51" i="34"/>
  <c r="AO69" i="34"/>
  <c r="AX69" i="34"/>
  <c r="AR9" i="34"/>
  <c r="AN33" i="34"/>
  <c r="BB69" i="34"/>
  <c r="AR69" i="34"/>
  <c r="AO9" i="34"/>
  <c r="BA57" i="34"/>
  <c r="AZ51" i="34"/>
  <c r="AU75" i="34"/>
  <c r="AR21" i="34"/>
  <c r="AL33" i="34"/>
  <c r="AX9" i="34"/>
  <c r="AL9" i="34"/>
  <c r="AY45" i="34"/>
  <c r="AS27" i="34"/>
  <c r="BC27" i="34"/>
  <c r="AQ75" i="34"/>
  <c r="AL21" i="34"/>
  <c r="AV39" i="34"/>
  <c r="AU45" i="34"/>
  <c r="AW33" i="34"/>
  <c r="AX21" i="34"/>
  <c r="AV63" i="34"/>
  <c r="AT57" i="34"/>
  <c r="AR15" i="34"/>
  <c r="AO45" i="34"/>
  <c r="BA15" i="34"/>
  <c r="BE63" i="34"/>
  <c r="AO33" i="34"/>
  <c r="AW15" i="34"/>
  <c r="AP39" i="34"/>
  <c r="AV45" i="34"/>
  <c r="AM21" i="34"/>
  <c r="AX75" i="34"/>
  <c r="BD51" i="34"/>
  <c r="AU15" i="34"/>
  <c r="BB9" i="34"/>
  <c r="AO57" i="34"/>
  <c r="AM45" i="34"/>
  <c r="AO63" i="34"/>
  <c r="AQ15" i="34"/>
  <c r="AX27" i="34"/>
  <c r="BE27" i="34"/>
  <c r="AM63" i="34"/>
  <c r="AU69" i="34"/>
  <c r="BB51" i="34"/>
  <c r="BE51" i="34"/>
  <c r="AL45" i="34"/>
  <c r="AP69" i="34"/>
  <c r="AQ21" i="34"/>
  <c r="BB33" i="34"/>
  <c r="AS15" i="34"/>
  <c r="AZ75" i="34"/>
  <c r="BD21" i="34"/>
  <c r="AR75" i="34"/>
  <c r="BB45" i="34"/>
  <c r="BA39" i="34"/>
  <c r="AV9" i="34"/>
  <c r="AN75" i="34"/>
  <c r="AZ45" i="34"/>
  <c r="AS57" i="34"/>
  <c r="BB15" i="34"/>
  <c r="AT45" i="34"/>
  <c r="AZ57" i="34"/>
  <c r="BC21" i="34"/>
  <c r="AP15" i="34"/>
  <c r="AZ21" i="34"/>
  <c r="AU9" i="34"/>
  <c r="AN15" i="34"/>
  <c r="BC33" i="34"/>
  <c r="AM27" i="34"/>
  <c r="BC75" i="34"/>
  <c r="AN63" i="34"/>
  <c r="AL75" i="34"/>
  <c r="AX45" i="34"/>
  <c r="AR27" i="34"/>
  <c r="AY51" i="34"/>
  <c r="AY27" i="34"/>
  <c r="AP21" i="34"/>
  <c r="AW45" i="34"/>
  <c r="AQ51" i="34"/>
  <c r="AM39" i="34"/>
  <c r="BA27" i="34"/>
  <c r="AS45" i="34"/>
  <c r="AO39" i="34"/>
  <c r="AS69" i="34"/>
  <c r="AP9" i="34"/>
  <c r="BD75" i="34"/>
  <c r="BC69" i="34"/>
  <c r="AZ15" i="34"/>
  <c r="AQ57" i="34"/>
  <c r="AL63" i="34"/>
  <c r="AV21" i="34"/>
  <c r="BA45" i="34"/>
  <c r="AW51" i="34"/>
  <c r="AS21" i="34"/>
  <c r="BE75" i="34"/>
  <c r="AU33" i="34"/>
  <c r="BA33" i="34"/>
  <c r="BE69" i="34"/>
  <c r="BA69" i="34"/>
  <c r="AV57" i="34"/>
  <c r="BC63" i="34"/>
  <c r="BD27" i="34"/>
  <c r="AU27" i="34"/>
  <c r="AX57" i="34"/>
  <c r="AU21" i="34"/>
  <c r="BE15" i="34"/>
  <c r="AN45" i="34"/>
  <c r="BD57" i="34"/>
  <c r="AZ69" i="34"/>
  <c r="AM75" i="34"/>
  <c r="AN39" i="34"/>
  <c r="AM33" i="34"/>
  <c r="AP63" i="34"/>
  <c r="AQ69" i="34"/>
  <c r="AN57" i="34"/>
  <c r="AT33" i="34"/>
  <c r="AY75" i="34"/>
  <c r="AZ9" i="34"/>
  <c r="AS9" i="34"/>
  <c r="BB57" i="34"/>
  <c r="AX33" i="34"/>
  <c r="BD39" i="34"/>
  <c r="AX63" i="34"/>
  <c r="AQ9" i="34"/>
  <c r="AY57" i="34"/>
  <c r="AQ27" i="34"/>
  <c r="AX39" i="34"/>
  <c r="AL69" i="34"/>
  <c r="AT39" i="34"/>
  <c r="AL15" i="34"/>
  <c r="BE9" i="34"/>
  <c r="BE33" i="34"/>
  <c r="AM69" i="34"/>
  <c r="BC15" i="34"/>
  <c r="AW69" i="34"/>
  <c r="AO75" i="34"/>
  <c r="BD33" i="34"/>
  <c r="AU63" i="34"/>
  <c r="AW21" i="34"/>
  <c r="AM57" i="34"/>
  <c r="AL57" i="34"/>
  <c r="BD63" i="34"/>
  <c r="BC57" i="34"/>
  <c r="AZ27" i="34"/>
  <c r="AP57" i="34"/>
  <c r="BA63" i="34"/>
  <c r="AX51" i="34"/>
  <c r="AR39" i="34"/>
  <c r="AR33" i="34"/>
  <c r="AT63" i="34"/>
  <c r="AN9" i="34"/>
  <c r="AO21" i="34"/>
  <c r="BC51" i="34"/>
  <c r="AV51" i="34"/>
  <c r="AW27" i="34"/>
  <c r="BD15" i="34"/>
  <c r="AO15" i="34"/>
  <c r="BB21" i="34"/>
  <c r="AV33" i="34"/>
  <c r="BD45" i="34"/>
  <c r="BB27" i="34"/>
  <c r="BE57" i="34"/>
  <c r="AW39" i="34"/>
  <c r="AY21" i="34"/>
  <c r="AY69" i="34"/>
  <c r="AT15" i="34"/>
  <c r="AY63" i="34"/>
  <c r="AZ39" i="34"/>
  <c r="AO27" i="34"/>
  <c r="AT21" i="34"/>
  <c r="AX15" i="34"/>
  <c r="AV69" i="34"/>
  <c r="AV15" i="34"/>
  <c r="AT27" i="34"/>
  <c r="AW9" i="34"/>
  <c r="AT75" i="34"/>
  <c r="AV75" i="34"/>
  <c r="AW57" i="34"/>
  <c r="AL27" i="34"/>
  <c r="AW75" i="34"/>
  <c r="AY39" i="33" l="1"/>
  <c r="AZ39" i="33"/>
  <c r="BA39" i="33"/>
  <c r="BB39" i="33"/>
  <c r="BC39" i="33"/>
  <c r="BD39" i="33"/>
  <c r="BF39" i="33"/>
  <c r="BG39" i="33"/>
  <c r="BH39" i="33"/>
  <c r="BI39" i="33"/>
  <c r="BJ39" i="33"/>
  <c r="BK39" i="33"/>
  <c r="BM39" i="33"/>
  <c r="AU39" i="33"/>
  <c r="AX39" i="33"/>
  <c r="BE39" i="33"/>
  <c r="BL39" i="33"/>
  <c r="BN39" i="33"/>
  <c r="AV39" i="33"/>
  <c r="AW39" i="33"/>
  <c r="AS34" i="33"/>
  <c r="AS40" i="33"/>
  <c r="AS17" i="33"/>
  <c r="AS29" i="33"/>
  <c r="AS25" i="33"/>
  <c r="X71" i="32"/>
  <c r="C16" i="32"/>
  <c r="J32" i="33"/>
  <c r="L32" i="33" s="1"/>
  <c r="J20" i="33"/>
  <c r="L20" i="33" s="1"/>
  <c r="J21" i="33"/>
  <c r="L21" i="33" s="1"/>
  <c r="J28" i="33"/>
  <c r="L28" i="33" s="1"/>
  <c r="AS24" i="33"/>
  <c r="X73" i="32"/>
  <c r="X72" i="32"/>
  <c r="J13" i="33"/>
  <c r="L13" i="33" s="1"/>
  <c r="J26" i="33"/>
  <c r="L26" i="33" s="1"/>
  <c r="AS12" i="33"/>
  <c r="J14" i="33"/>
  <c r="L14" i="33" s="1"/>
  <c r="AS15" i="33"/>
  <c r="S15" i="33"/>
  <c r="B15" i="36"/>
  <c r="B16" i="36"/>
  <c r="C15" i="36"/>
  <c r="F16" i="36"/>
  <c r="I15" i="36"/>
  <c r="K15" i="36"/>
  <c r="M15" i="36"/>
  <c r="C16" i="36"/>
  <c r="D15" i="36"/>
  <c r="G15" i="36"/>
  <c r="H16" i="36"/>
  <c r="J16" i="36"/>
  <c r="L16" i="36"/>
  <c r="D16" i="36"/>
  <c r="E15" i="36"/>
  <c r="F15" i="36"/>
  <c r="G16" i="36"/>
  <c r="H15" i="36"/>
  <c r="I16" i="36"/>
  <c r="K16" i="36"/>
  <c r="E16" i="36"/>
  <c r="J15" i="36"/>
  <c r="L15" i="36"/>
  <c r="M16" i="36"/>
  <c r="J41" i="33"/>
  <c r="L41" i="33" s="1"/>
  <c r="AS43" i="33"/>
  <c r="AS42" i="33"/>
  <c r="AP50" i="33"/>
  <c r="J27" i="33"/>
  <c r="L27" i="33" s="1"/>
  <c r="J30" i="33"/>
  <c r="L30" i="33" s="1"/>
  <c r="AS18" i="33"/>
  <c r="AS19" i="33"/>
  <c r="Q13" i="33"/>
  <c r="L52" i="33"/>
  <c r="L37" i="33" s="1"/>
  <c r="J22" i="33"/>
  <c r="L22" i="33" s="1"/>
  <c r="J16" i="33"/>
  <c r="L16" i="33" s="1"/>
  <c r="AP101" i="33"/>
  <c r="N16" i="36"/>
  <c r="N15" i="36"/>
  <c r="X31" i="32" l="1"/>
  <c r="X16" i="32" s="1"/>
  <c r="C33" i="32" s="1"/>
  <c r="AP70" i="34" s="1"/>
  <c r="S22" i="33"/>
  <c r="P25" i="33" s="1"/>
  <c r="X32" i="32"/>
  <c r="X17" i="32" s="1"/>
  <c r="C34" i="32" s="1"/>
  <c r="AZ76" i="34" s="1"/>
  <c r="X22" i="32"/>
  <c r="X7" i="32" s="1"/>
  <c r="C24" i="32" s="1"/>
  <c r="AM16" i="34" s="1"/>
  <c r="X23" i="32"/>
  <c r="X8" i="32" s="1"/>
  <c r="C25" i="32" s="1"/>
  <c r="AN22" i="34" s="1"/>
  <c r="X24" i="32"/>
  <c r="X9" i="32" s="1"/>
  <c r="C26" i="32" s="1"/>
  <c r="AR28" i="34" s="1"/>
  <c r="X30" i="32"/>
  <c r="X15" i="32" s="1"/>
  <c r="C32" i="32" s="1"/>
  <c r="AR64" i="34" s="1"/>
  <c r="X21" i="32"/>
  <c r="X6" i="32" s="1"/>
  <c r="C23" i="32" s="1"/>
  <c r="AT10" i="34" s="1"/>
  <c r="X27" i="32"/>
  <c r="X12" i="32" s="1"/>
  <c r="C29" i="32" s="1"/>
  <c r="BA46" i="34" s="1"/>
  <c r="X25" i="32"/>
  <c r="X10" i="32" s="1"/>
  <c r="C27" i="32" s="1"/>
  <c r="BE34" i="34" s="1"/>
  <c r="X26" i="32"/>
  <c r="X11" i="32" s="1"/>
  <c r="C28" i="32" s="1"/>
  <c r="AO40" i="34" s="1"/>
  <c r="X28" i="32"/>
  <c r="X13" i="32" s="1"/>
  <c r="C30" i="32" s="1"/>
  <c r="BE52" i="34" s="1"/>
  <c r="X29" i="32"/>
  <c r="X14" i="32" s="1"/>
  <c r="C31" i="32" s="1"/>
  <c r="AT58" i="34" s="1"/>
  <c r="AS37" i="33"/>
  <c r="AX37" i="33" s="1"/>
  <c r="B11" i="36"/>
  <c r="B9" i="36"/>
  <c r="M19" i="36" s="1"/>
  <c r="BA70" i="34" l="1"/>
  <c r="BC70" i="34"/>
  <c r="AZ70" i="34"/>
  <c r="AS70" i="34"/>
  <c r="AV70" i="34"/>
  <c r="AN70" i="34"/>
  <c r="AR70" i="34"/>
  <c r="BB70" i="34"/>
  <c r="AM70" i="34"/>
  <c r="BE70" i="34"/>
  <c r="AX70" i="34"/>
  <c r="AT70" i="34"/>
  <c r="AL70" i="34"/>
  <c r="AQ70" i="34"/>
  <c r="AY70" i="34"/>
  <c r="AU70" i="34"/>
  <c r="AT16" i="34"/>
  <c r="AO70" i="34"/>
  <c r="BD70" i="34"/>
  <c r="AW70" i="34"/>
  <c r="AM76" i="34"/>
  <c r="BB76" i="34"/>
  <c r="AY76" i="34"/>
  <c r="BA76" i="34"/>
  <c r="AN76" i="34"/>
  <c r="AO76" i="34"/>
  <c r="AS22" i="34"/>
  <c r="AW76" i="34"/>
  <c r="BE22" i="34"/>
  <c r="AX22" i="34"/>
  <c r="AS76" i="34"/>
  <c r="AZ22" i="34"/>
  <c r="AQ22" i="34"/>
  <c r="BC76" i="34"/>
  <c r="AR76" i="34"/>
  <c r="AP28" i="34"/>
  <c r="AZ16" i="34"/>
  <c r="BE76" i="34"/>
  <c r="BD76" i="34"/>
  <c r="AT76" i="34"/>
  <c r="BA28" i="34"/>
  <c r="AM22" i="34"/>
  <c r="AO22" i="34"/>
  <c r="BE28" i="34"/>
  <c r="BB22" i="34"/>
  <c r="BC28" i="34"/>
  <c r="AQ28" i="34"/>
  <c r="AZ28" i="34"/>
  <c r="BA58" i="34"/>
  <c r="AL76" i="34"/>
  <c r="AL22" i="34"/>
  <c r="AV76" i="34"/>
  <c r="AP76" i="34"/>
  <c r="AP22" i="34"/>
  <c r="AQ76" i="34"/>
  <c r="AP64" i="34"/>
  <c r="AS16" i="34"/>
  <c r="AT22" i="34"/>
  <c r="AX76" i="34"/>
  <c r="AM64" i="34"/>
  <c r="BA22" i="34"/>
  <c r="BC22" i="34"/>
  <c r="AO16" i="34"/>
  <c r="AU16" i="34"/>
  <c r="BE16" i="34"/>
  <c r="AU76" i="34"/>
  <c r="AM58" i="34"/>
  <c r="AV22" i="34"/>
  <c r="AP16" i="34"/>
  <c r="BA16" i="34"/>
  <c r="AR22" i="34"/>
  <c r="AL28" i="34"/>
  <c r="AS39" i="33"/>
  <c r="AS46" i="33" s="1"/>
  <c r="AS47" i="33" s="1"/>
  <c r="P27" i="33"/>
  <c r="P26" i="33"/>
  <c r="G39" i="33" s="1"/>
  <c r="L39" i="33" s="1"/>
  <c r="B46" i="33" s="1"/>
  <c r="B52" i="33" s="1"/>
  <c r="B53" i="33" s="1"/>
  <c r="BA34" i="34"/>
  <c r="AW34" i="34"/>
  <c r="AN46" i="34"/>
  <c r="AV64" i="34"/>
  <c r="BC46" i="34"/>
  <c r="BE64" i="34"/>
  <c r="AT28" i="34"/>
  <c r="AX46" i="34"/>
  <c r="AN64" i="34"/>
  <c r="AS46" i="34"/>
  <c r="AQ64" i="34"/>
  <c r="AY64" i="34"/>
  <c r="AS64" i="34"/>
  <c r="AW58" i="34"/>
  <c r="BB28" i="34"/>
  <c r="BD22" i="34"/>
  <c r="AX64" i="34"/>
  <c r="BB52" i="34"/>
  <c r="AV28" i="34"/>
  <c r="AW22" i="34"/>
  <c r="AZ46" i="34"/>
  <c r="AT46" i="34"/>
  <c r="AQ34" i="34"/>
  <c r="AX34" i="34"/>
  <c r="AZ34" i="34"/>
  <c r="AP46" i="34"/>
  <c r="AR46" i="34"/>
  <c r="AW64" i="34"/>
  <c r="BB64" i="34"/>
  <c r="AY34" i="34"/>
  <c r="AQ46" i="34"/>
  <c r="AZ64" i="34"/>
  <c r="AS28" i="34"/>
  <c r="AM28" i="34"/>
  <c r="AS40" i="34"/>
  <c r="AU34" i="34"/>
  <c r="AU46" i="34"/>
  <c r="AT64" i="34"/>
  <c r="AO28" i="34"/>
  <c r="BD28" i="34"/>
  <c r="AZ40" i="34"/>
  <c r="AX16" i="34"/>
  <c r="AV16" i="34"/>
  <c r="AV46" i="34"/>
  <c r="AO64" i="34"/>
  <c r="AU28" i="34"/>
  <c r="AY28" i="34"/>
  <c r="AN16" i="34"/>
  <c r="AW40" i="34"/>
  <c r="AS34" i="34"/>
  <c r="AP34" i="34"/>
  <c r="AW46" i="34"/>
  <c r="AL64" i="34"/>
  <c r="AN28" i="34"/>
  <c r="AW28" i="34"/>
  <c r="AY22" i="34"/>
  <c r="AL40" i="34"/>
  <c r="AT34" i="34"/>
  <c r="AN34" i="34"/>
  <c r="BC34" i="34"/>
  <c r="AL16" i="34"/>
  <c r="AU22" i="34"/>
  <c r="AY46" i="34"/>
  <c r="BA64" i="34"/>
  <c r="AX28" i="34"/>
  <c r="BB34" i="34"/>
  <c r="AR40" i="34"/>
  <c r="AM34" i="34"/>
  <c r="AM40" i="34"/>
  <c r="AY40" i="34"/>
  <c r="AL34" i="34"/>
  <c r="BE46" i="34"/>
  <c r="AL46" i="34"/>
  <c r="BD40" i="34"/>
  <c r="AP40" i="34"/>
  <c r="AT52" i="34"/>
  <c r="BD46" i="34"/>
  <c r="AM46" i="34"/>
  <c r="AV34" i="34"/>
  <c r="BE40" i="34"/>
  <c r="BC40" i="34"/>
  <c r="BC16" i="34"/>
  <c r="AZ52" i="34"/>
  <c r="AR16" i="34"/>
  <c r="AL52" i="34"/>
  <c r="AO46" i="34"/>
  <c r="BC64" i="34"/>
  <c r="BD64" i="34"/>
  <c r="BD16" i="34"/>
  <c r="AN40" i="34"/>
  <c r="BB40" i="34"/>
  <c r="AY16" i="34"/>
  <c r="AQ40" i="34"/>
  <c r="AU40" i="34"/>
  <c r="AV40" i="34"/>
  <c r="BA40" i="34"/>
  <c r="BB46" i="34"/>
  <c r="AO34" i="34"/>
  <c r="AT40" i="34"/>
  <c r="AX40" i="34"/>
  <c r="BB16" i="34"/>
  <c r="AW16" i="34"/>
  <c r="AR34" i="34"/>
  <c r="BD34" i="34"/>
  <c r="AU64" i="34"/>
  <c r="AQ16" i="34"/>
  <c r="BC52" i="34"/>
  <c r="AP10" i="34"/>
  <c r="AR52" i="34"/>
  <c r="AV52" i="34"/>
  <c r="AR10" i="34"/>
  <c r="AN58" i="34"/>
  <c r="BE58" i="34"/>
  <c r="BC58" i="34"/>
  <c r="AP58" i="34"/>
  <c r="AV58" i="34"/>
  <c r="AL58" i="34"/>
  <c r="AR58" i="34"/>
  <c r="BB58" i="34"/>
  <c r="BD58" i="34"/>
  <c r="AU58" i="34"/>
  <c r="AO58" i="34"/>
  <c r="AQ52" i="34"/>
  <c r="AM52" i="34"/>
  <c r="AS10" i="34"/>
  <c r="AW52" i="34"/>
  <c r="AX52" i="34"/>
  <c r="AN10" i="34"/>
  <c r="BB10" i="34"/>
  <c r="AQ58" i="34"/>
  <c r="AS58" i="34"/>
  <c r="AY52" i="34"/>
  <c r="AP52" i="34"/>
  <c r="AY58" i="34"/>
  <c r="AX58" i="34"/>
  <c r="BD52" i="34"/>
  <c r="AY10" i="34"/>
  <c r="AV10" i="34"/>
  <c r="AW10" i="34"/>
  <c r="AX10" i="34"/>
  <c r="AL10" i="34"/>
  <c r="BE10" i="34"/>
  <c r="AO10" i="34"/>
  <c r="BA10" i="34"/>
  <c r="BA52" i="34"/>
  <c r="AN52" i="34"/>
  <c r="AU52" i="34"/>
  <c r="AQ10" i="34"/>
  <c r="AS52" i="34"/>
  <c r="AZ58" i="34"/>
  <c r="AO52" i="34"/>
  <c r="X18" i="32"/>
  <c r="C35" i="32" s="1"/>
  <c r="AM10" i="34"/>
  <c r="AZ10" i="34"/>
  <c r="BC10" i="34"/>
  <c r="AU10" i="34"/>
  <c r="BD10" i="34"/>
  <c r="AW37" i="33"/>
  <c r="BM37" i="33"/>
  <c r="BG37" i="33"/>
  <c r="AU37" i="33"/>
  <c r="BI37" i="33"/>
  <c r="AZ37" i="33"/>
  <c r="BD37" i="33"/>
  <c r="BF37" i="33"/>
  <c r="BN37" i="33"/>
  <c r="BC37" i="33"/>
  <c r="BH37" i="33"/>
  <c r="BB37" i="33"/>
  <c r="BJ37" i="33"/>
  <c r="BE37" i="33"/>
  <c r="AY37" i="33"/>
  <c r="BK37" i="33"/>
  <c r="BA37" i="33"/>
  <c r="BL37" i="33"/>
  <c r="AV37" i="33"/>
  <c r="H21" i="36"/>
  <c r="H22" i="36" s="1"/>
  <c r="E21" i="36"/>
  <c r="E22" i="36" s="1"/>
  <c r="C21" i="36"/>
  <c r="C22" i="36" s="1"/>
  <c r="L21" i="36"/>
  <c r="L22" i="36" s="1"/>
  <c r="M21" i="36"/>
  <c r="M22" i="36" s="1"/>
  <c r="J21" i="36"/>
  <c r="J22" i="36" s="1"/>
  <c r="B12" i="36"/>
  <c r="K21" i="36"/>
  <c r="K22" i="36" s="1"/>
  <c r="I21" i="36"/>
  <c r="I22" i="36" s="1"/>
  <c r="B21" i="36"/>
  <c r="B22" i="36" s="1"/>
  <c r="D21" i="36"/>
  <c r="D22" i="36" s="1"/>
  <c r="G21" i="36"/>
  <c r="G22" i="36" s="1"/>
  <c r="B10" i="36"/>
  <c r="H19" i="36"/>
  <c r="H20" i="36" s="1"/>
  <c r="B19" i="36"/>
  <c r="B20" i="36" s="1"/>
  <c r="F21" i="36"/>
  <c r="F22" i="36" s="1"/>
  <c r="C19" i="36"/>
  <c r="C20" i="36" s="1"/>
  <c r="L19" i="36"/>
  <c r="L20" i="36" s="1"/>
  <c r="G19" i="36"/>
  <c r="G20" i="36" s="1"/>
  <c r="J19" i="36"/>
  <c r="J20" i="36" s="1"/>
  <c r="D19" i="36"/>
  <c r="D20" i="36" s="1"/>
  <c r="F19" i="36"/>
  <c r="F20" i="36" s="1"/>
  <c r="E19" i="36"/>
  <c r="E20" i="36" s="1"/>
  <c r="K19" i="36"/>
  <c r="K20" i="36" s="1"/>
  <c r="I19" i="36"/>
  <c r="I20" i="36" s="1"/>
  <c r="M20" i="36"/>
  <c r="B47" i="33" l="1"/>
  <c r="BF70" i="34"/>
  <c r="BF76" i="34"/>
  <c r="BF64" i="34"/>
  <c r="BF22" i="34"/>
  <c r="BF28" i="34"/>
  <c r="BF34" i="34"/>
  <c r="BF40" i="34"/>
  <c r="BF46" i="34"/>
  <c r="BF16" i="34"/>
  <c r="BF52" i="34"/>
  <c r="BF58" i="34"/>
  <c r="BF10" i="34"/>
  <c r="S59" i="33" l="1"/>
  <c r="BJ15" i="33" l="1"/>
  <c r="BJ28" i="33"/>
  <c r="BJ27" i="33"/>
  <c r="BJ26" i="33"/>
  <c r="BJ25" i="33"/>
  <c r="BJ24" i="33"/>
  <c r="AV23" i="36"/>
  <c r="AV12" i="36"/>
  <c r="AV20" i="36"/>
  <c r="AV22" i="36"/>
  <c r="AV21" i="36"/>
  <c r="AV18" i="36"/>
  <c r="AV17" i="36"/>
  <c r="AV8" i="36"/>
  <c r="AV26" i="36"/>
  <c r="AV11" i="36"/>
  <c r="AV25" i="36"/>
  <c r="AV16" i="36"/>
  <c r="AV10" i="36"/>
  <c r="AV15" i="36"/>
  <c r="AV13" i="36"/>
  <c r="AV5" i="36"/>
  <c r="AV3" i="36"/>
  <c r="AV9" i="36"/>
  <c r="AV6" i="36"/>
  <c r="AV4" i="36"/>
  <c r="AV24" i="36"/>
  <c r="AV19" i="36"/>
  <c r="AV7" i="36"/>
  <c r="AV14" i="36"/>
  <c r="BE15" i="33"/>
  <c r="BE24" i="33"/>
  <c r="BE25" i="33"/>
  <c r="BE28" i="33"/>
  <c r="BE26" i="33"/>
  <c r="BE27" i="33"/>
  <c r="AQ24" i="36"/>
  <c r="AQ19" i="36"/>
  <c r="AQ25" i="36"/>
  <c r="AQ8" i="36"/>
  <c r="AQ14" i="36"/>
  <c r="AQ23" i="36"/>
  <c r="AQ11" i="36"/>
  <c r="AQ15" i="36"/>
  <c r="AQ18" i="36"/>
  <c r="AQ9" i="36"/>
  <c r="AQ4" i="36"/>
  <c r="AQ10" i="36"/>
  <c r="AQ17" i="36"/>
  <c r="AQ3" i="36"/>
  <c r="AQ20" i="36"/>
  <c r="AQ26" i="36"/>
  <c r="AQ16" i="36"/>
  <c r="AQ21" i="36"/>
  <c r="AQ12" i="36"/>
  <c r="AQ6" i="36"/>
  <c r="AQ22" i="36"/>
  <c r="AQ7" i="36"/>
  <c r="AQ13" i="36"/>
  <c r="AQ5" i="36"/>
  <c r="BB15" i="33"/>
  <c r="BB27" i="33"/>
  <c r="BB24" i="33"/>
  <c r="BB28" i="33"/>
  <c r="BB25" i="33"/>
  <c r="BB26" i="33"/>
  <c r="AN17" i="36"/>
  <c r="AN11" i="36"/>
  <c r="AN25" i="36"/>
  <c r="AN23" i="36"/>
  <c r="AN14" i="36"/>
  <c r="AN21" i="36"/>
  <c r="AN22" i="36"/>
  <c r="AN3" i="36"/>
  <c r="AN12" i="36"/>
  <c r="AN6" i="36"/>
  <c r="AN8" i="36"/>
  <c r="AN20" i="36"/>
  <c r="AN15" i="36"/>
  <c r="AN13" i="36"/>
  <c r="AN4" i="36"/>
  <c r="AN9" i="36"/>
  <c r="AN18" i="36"/>
  <c r="AN5" i="36"/>
  <c r="AN24" i="36"/>
  <c r="AN10" i="36"/>
  <c r="AN26" i="36"/>
  <c r="AN19" i="36"/>
  <c r="AN16" i="36"/>
  <c r="AN7" i="36"/>
  <c r="BD15" i="33"/>
  <c r="BD27" i="33"/>
  <c r="BD24" i="33"/>
  <c r="BD25" i="33"/>
  <c r="BD28" i="33"/>
  <c r="BD26" i="33"/>
  <c r="AP15" i="36"/>
  <c r="AP17" i="36"/>
  <c r="AP5" i="36"/>
  <c r="AP10" i="36"/>
  <c r="AP21" i="36"/>
  <c r="AP22" i="36"/>
  <c r="AP3" i="36"/>
  <c r="AP11" i="36"/>
  <c r="AP16" i="36"/>
  <c r="AP9" i="36"/>
  <c r="AP4" i="36"/>
  <c r="AP26" i="36"/>
  <c r="AP6" i="36"/>
  <c r="AP18" i="36"/>
  <c r="AP24" i="36"/>
  <c r="AP19" i="36"/>
  <c r="AP12" i="36"/>
  <c r="AP25" i="36"/>
  <c r="AP8" i="36"/>
  <c r="AP20" i="36"/>
  <c r="AP13" i="36"/>
  <c r="AP23" i="36"/>
  <c r="AP14" i="36"/>
  <c r="AP7" i="36"/>
  <c r="BL15" i="33"/>
  <c r="BL26" i="33"/>
  <c r="BL28" i="33"/>
  <c r="BL24" i="33"/>
  <c r="BL27" i="33"/>
  <c r="BL25" i="33"/>
  <c r="AX22" i="36"/>
  <c r="AX13" i="36"/>
  <c r="AX6" i="36"/>
  <c r="AX23" i="36"/>
  <c r="AX11" i="36"/>
  <c r="AX26" i="36"/>
  <c r="AX12" i="36"/>
  <c r="AX19" i="36"/>
  <c r="AX16" i="36"/>
  <c r="AX17" i="36"/>
  <c r="AX7" i="36"/>
  <c r="AX20" i="36"/>
  <c r="AX3" i="36"/>
  <c r="AX15" i="36"/>
  <c r="AX5" i="36"/>
  <c r="AX8" i="36"/>
  <c r="AX25" i="36"/>
  <c r="AX9" i="36"/>
  <c r="AX14" i="36"/>
  <c r="AX18" i="36"/>
  <c r="AX21" i="36"/>
  <c r="AX24" i="36"/>
  <c r="AX4" i="36"/>
  <c r="AX10" i="36"/>
  <c r="BA15" i="33"/>
  <c r="BA27" i="33"/>
  <c r="BA24" i="33"/>
  <c r="BA26" i="33"/>
  <c r="BA25" i="33"/>
  <c r="BA28" i="33"/>
  <c r="AM7" i="36"/>
  <c r="AM14" i="36"/>
  <c r="AM21" i="36"/>
  <c r="AM16" i="36"/>
  <c r="AM17" i="36"/>
  <c r="AM4" i="36"/>
  <c r="AM19" i="36"/>
  <c r="AM25" i="36"/>
  <c r="AM13" i="36"/>
  <c r="AM5" i="36"/>
  <c r="AM3" i="36"/>
  <c r="AM12" i="36"/>
  <c r="AM22" i="36"/>
  <c r="AM9" i="36"/>
  <c r="AM15" i="36"/>
  <c r="AM26" i="36"/>
  <c r="AM18" i="36"/>
  <c r="AM23" i="36"/>
  <c r="AM11" i="36"/>
  <c r="AM6" i="36"/>
  <c r="AM10" i="36"/>
  <c r="AM24" i="36"/>
  <c r="AM20" i="36"/>
  <c r="AM8" i="36"/>
  <c r="AW15" i="33"/>
  <c r="AW25" i="33"/>
  <c r="AW28" i="33"/>
  <c r="AW27" i="33"/>
  <c r="AW26" i="33"/>
  <c r="AW24" i="33"/>
  <c r="AI26" i="36"/>
  <c r="AI25" i="36"/>
  <c r="AI16" i="36"/>
  <c r="AI13" i="36"/>
  <c r="AI21" i="36"/>
  <c r="AI15" i="36"/>
  <c r="AI24" i="36"/>
  <c r="AI18" i="36"/>
  <c r="AI23" i="36"/>
  <c r="AI9" i="36"/>
  <c r="AI17" i="36"/>
  <c r="AI14" i="36"/>
  <c r="AI7" i="36"/>
  <c r="AI20" i="36"/>
  <c r="AI3" i="36"/>
  <c r="AI10" i="36"/>
  <c r="AI5" i="36"/>
  <c r="AI12" i="36"/>
  <c r="AI22" i="36"/>
  <c r="AI11" i="36"/>
  <c r="AI6" i="36"/>
  <c r="AI4" i="36"/>
  <c r="AI8" i="36"/>
  <c r="AI19" i="36"/>
  <c r="AY15" i="33"/>
  <c r="AY26" i="33"/>
  <c r="AY28" i="33"/>
  <c r="AY25" i="33"/>
  <c r="AY27" i="33"/>
  <c r="AY24" i="33"/>
  <c r="AK23" i="36"/>
  <c r="AK25" i="36"/>
  <c r="AK3" i="36"/>
  <c r="AK11" i="36"/>
  <c r="AK9" i="36"/>
  <c r="AK22" i="36"/>
  <c r="AK8" i="36"/>
  <c r="AK16" i="36"/>
  <c r="AK7" i="36"/>
  <c r="AK26" i="36"/>
  <c r="AK20" i="36"/>
  <c r="AK21" i="36"/>
  <c r="AK6" i="36"/>
  <c r="AK5" i="36"/>
  <c r="AK4" i="36"/>
  <c r="AK17" i="36"/>
  <c r="AK15" i="36"/>
  <c r="AK12" i="36"/>
  <c r="AK19" i="36"/>
  <c r="AK14" i="36"/>
  <c r="AK10" i="36"/>
  <c r="AK18" i="36"/>
  <c r="AK24" i="36"/>
  <c r="AK13" i="36"/>
  <c r="BM15" i="33"/>
  <c r="BM26" i="33"/>
  <c r="BM28" i="33"/>
  <c r="BM24" i="33"/>
  <c r="BM25" i="33"/>
  <c r="BM27" i="33"/>
  <c r="AY9" i="36"/>
  <c r="AY15" i="36"/>
  <c r="AY5" i="36"/>
  <c r="AY20" i="36"/>
  <c r="AY16" i="36"/>
  <c r="AY24" i="36"/>
  <c r="AY7" i="36"/>
  <c r="AY3" i="36"/>
  <c r="AY21" i="36"/>
  <c r="AY22" i="36"/>
  <c r="AY18" i="36"/>
  <c r="AY6" i="36"/>
  <c r="AY14" i="36"/>
  <c r="AY12" i="36"/>
  <c r="AY26" i="36"/>
  <c r="AY10" i="36"/>
  <c r="AY8" i="36"/>
  <c r="AY4" i="36"/>
  <c r="AY23" i="36"/>
  <c r="AY19" i="36"/>
  <c r="AY11" i="36"/>
  <c r="AY13" i="36"/>
  <c r="AY17" i="36"/>
  <c r="AY25" i="36"/>
  <c r="AV15" i="33"/>
  <c r="AV28" i="33"/>
  <c r="AV27" i="33"/>
  <c r="AV25" i="33"/>
  <c r="AV26" i="33"/>
  <c r="AV24" i="33"/>
  <c r="AH12" i="36"/>
  <c r="AH15" i="36"/>
  <c r="AH23" i="36"/>
  <c r="AH7" i="36"/>
  <c r="AH6" i="36"/>
  <c r="AH10" i="36"/>
  <c r="AH20" i="36"/>
  <c r="AH22" i="36"/>
  <c r="AH25" i="36"/>
  <c r="AH13" i="36"/>
  <c r="AH18" i="36"/>
  <c r="AH5" i="36"/>
  <c r="AH16" i="36"/>
  <c r="AH9" i="36"/>
  <c r="AH24" i="36"/>
  <c r="AH26" i="36"/>
  <c r="AH14" i="36"/>
  <c r="AH4" i="36"/>
  <c r="AH21" i="36"/>
  <c r="AH11" i="36"/>
  <c r="AH3" i="36"/>
  <c r="AH17" i="36"/>
  <c r="AH19" i="36"/>
  <c r="AH8" i="36"/>
  <c r="BI15" i="33"/>
  <c r="BI28" i="33"/>
  <c r="BI25" i="33"/>
  <c r="BI26" i="33"/>
  <c r="BI27" i="33"/>
  <c r="BI24" i="33"/>
  <c r="AU26" i="36"/>
  <c r="AU16" i="36"/>
  <c r="AU3" i="36"/>
  <c r="AU13" i="36"/>
  <c r="AU15" i="36"/>
  <c r="AU6" i="36"/>
  <c r="AU4" i="36"/>
  <c r="AU14" i="36"/>
  <c r="AU5" i="36"/>
  <c r="AU9" i="36"/>
  <c r="AU7" i="36"/>
  <c r="AU8" i="36"/>
  <c r="AU25" i="36"/>
  <c r="AU10" i="36"/>
  <c r="AU24" i="36"/>
  <c r="AU18" i="36"/>
  <c r="AU21" i="36"/>
  <c r="AU22" i="36"/>
  <c r="AU23" i="36"/>
  <c r="AU12" i="36"/>
  <c r="AU17" i="36"/>
  <c r="AU20" i="36"/>
  <c r="AU11" i="36"/>
  <c r="AU19" i="36"/>
  <c r="BK15" i="33"/>
  <c r="BK28" i="33"/>
  <c r="BK26" i="33"/>
  <c r="BK25" i="33"/>
  <c r="BK24" i="33"/>
  <c r="BK27" i="33"/>
  <c r="AW11" i="36"/>
  <c r="AW21" i="36"/>
  <c r="AW17" i="36"/>
  <c r="AW18" i="36"/>
  <c r="AW13" i="36"/>
  <c r="AW6" i="36"/>
  <c r="AW15" i="36"/>
  <c r="AW22" i="36"/>
  <c r="AW25" i="36"/>
  <c r="AW8" i="36"/>
  <c r="AW9" i="36"/>
  <c r="AW24" i="36"/>
  <c r="AW26" i="36"/>
  <c r="AW7" i="36"/>
  <c r="AW20" i="36"/>
  <c r="AW19" i="36"/>
  <c r="AW3" i="36"/>
  <c r="AW23" i="36"/>
  <c r="AW16" i="36"/>
  <c r="AW4" i="36"/>
  <c r="AW14" i="36"/>
  <c r="AW10" i="36"/>
  <c r="AW12" i="36"/>
  <c r="AW5" i="36"/>
  <c r="BH15" i="33"/>
  <c r="BH28" i="33"/>
  <c r="BH26" i="33"/>
  <c r="BH25" i="33"/>
  <c r="BH27" i="33"/>
  <c r="BH24" i="33"/>
  <c r="AT12" i="36"/>
  <c r="AT15" i="36"/>
  <c r="AT22" i="36"/>
  <c r="AT25" i="36"/>
  <c r="AT3" i="36"/>
  <c r="AT5" i="36"/>
  <c r="AT21" i="36"/>
  <c r="AT18" i="36"/>
  <c r="AT14" i="36"/>
  <c r="AT19" i="36"/>
  <c r="AT4" i="36"/>
  <c r="AT23" i="36"/>
  <c r="AT13" i="36"/>
  <c r="AT20" i="36"/>
  <c r="AT24" i="36"/>
  <c r="AT9" i="36"/>
  <c r="AT7" i="36"/>
  <c r="AT11" i="36"/>
  <c r="AT26" i="36"/>
  <c r="AT17" i="36"/>
  <c r="AT6" i="36"/>
  <c r="AT8" i="36"/>
  <c r="AT16" i="36"/>
  <c r="AT10" i="36"/>
  <c r="BF15" i="33"/>
  <c r="BF26" i="33"/>
  <c r="BF27" i="33"/>
  <c r="BF25" i="33"/>
  <c r="BF28" i="33"/>
  <c r="BF24" i="33"/>
  <c r="AR21" i="36"/>
  <c r="AR22" i="36"/>
  <c r="AR3" i="36"/>
  <c r="AR8" i="36"/>
  <c r="AR14" i="36"/>
  <c r="AR5" i="36"/>
  <c r="AR4" i="36"/>
  <c r="AR9" i="36"/>
  <c r="AR10" i="36"/>
  <c r="AR17" i="36"/>
  <c r="AR18" i="36"/>
  <c r="AR20" i="36"/>
  <c r="AR7" i="36"/>
  <c r="AR26" i="36"/>
  <c r="AR6" i="36"/>
  <c r="AR25" i="36"/>
  <c r="AR11" i="36"/>
  <c r="AR23" i="36"/>
  <c r="AR19" i="36"/>
  <c r="AR16" i="36"/>
  <c r="AR24" i="36"/>
  <c r="AR12" i="36"/>
  <c r="AR13" i="36"/>
  <c r="AR15" i="36"/>
  <c r="BC15" i="33"/>
  <c r="BC24" i="33"/>
  <c r="BC25" i="33"/>
  <c r="BC28" i="33"/>
  <c r="BC27" i="33"/>
  <c r="BC26" i="33"/>
  <c r="AO21" i="36"/>
  <c r="AO19" i="36"/>
  <c r="AO18" i="36"/>
  <c r="AO25" i="36"/>
  <c r="AO12" i="36"/>
  <c r="AO7" i="36"/>
  <c r="AO6" i="36"/>
  <c r="AO5" i="36"/>
  <c r="AO26" i="36"/>
  <c r="AO13" i="36"/>
  <c r="AO20" i="36"/>
  <c r="AO14" i="36"/>
  <c r="AO3" i="36"/>
  <c r="AO11" i="36"/>
  <c r="AO23" i="36"/>
  <c r="AO8" i="36"/>
  <c r="AO24" i="36"/>
  <c r="AO10" i="36"/>
  <c r="AO15" i="36"/>
  <c r="AO9" i="36"/>
  <c r="AO16" i="36"/>
  <c r="AO4" i="36"/>
  <c r="AO22" i="36"/>
  <c r="AO17" i="36"/>
  <c r="BN15" i="33"/>
  <c r="BN27" i="33"/>
  <c r="BN28" i="33"/>
  <c r="BN24" i="33"/>
  <c r="BN25" i="33"/>
  <c r="BN26" i="33"/>
  <c r="AZ16" i="36"/>
  <c r="AZ22" i="36"/>
  <c r="AZ24" i="36"/>
  <c r="AZ10" i="36"/>
  <c r="AZ19" i="36"/>
  <c r="AZ7" i="36"/>
  <c r="AZ14" i="36"/>
  <c r="AZ25" i="36"/>
  <c r="AZ12" i="36"/>
  <c r="AZ6" i="36"/>
  <c r="AZ8" i="36"/>
  <c r="AZ15" i="36"/>
  <c r="AZ11" i="36"/>
  <c r="AZ23" i="36"/>
  <c r="AZ20" i="36"/>
  <c r="AZ13" i="36"/>
  <c r="AZ5" i="36"/>
  <c r="AZ17" i="36"/>
  <c r="AZ21" i="36"/>
  <c r="AZ26" i="36"/>
  <c r="AZ18" i="36"/>
  <c r="AZ9" i="36"/>
  <c r="AZ4" i="36"/>
  <c r="AZ3" i="36"/>
  <c r="AU15" i="33"/>
  <c r="AU27" i="33"/>
  <c r="AU25" i="33"/>
  <c r="AU24" i="33"/>
  <c r="AU26" i="33"/>
  <c r="AU28" i="33"/>
  <c r="AG5" i="36"/>
  <c r="AG4" i="36"/>
  <c r="AG26" i="36"/>
  <c r="AG15" i="36"/>
  <c r="AG21" i="36"/>
  <c r="AG10" i="36"/>
  <c r="AG17" i="36"/>
  <c r="AG23" i="36"/>
  <c r="AG8" i="36"/>
  <c r="AG24" i="36"/>
  <c r="AG7" i="36"/>
  <c r="AG19" i="36"/>
  <c r="AG14" i="36"/>
  <c r="AG12" i="36"/>
  <c r="AG3" i="36"/>
  <c r="AG20" i="36"/>
  <c r="AG25" i="36"/>
  <c r="AG11" i="36"/>
  <c r="AG13" i="36"/>
  <c r="AG6" i="36"/>
  <c r="AG22" i="36"/>
  <c r="AG9" i="36"/>
  <c r="AG16" i="36"/>
  <c r="AG18" i="36"/>
  <c r="BG15" i="33"/>
  <c r="BG24" i="33"/>
  <c r="BG26" i="33"/>
  <c r="BG27" i="33"/>
  <c r="BG25" i="33"/>
  <c r="BG28" i="33"/>
  <c r="AS23" i="36"/>
  <c r="AS26" i="36"/>
  <c r="AS12" i="36"/>
  <c r="AS11" i="36"/>
  <c r="AS21" i="36"/>
  <c r="AS10" i="36"/>
  <c r="AS20" i="36"/>
  <c r="AS22" i="36"/>
  <c r="AS25" i="36"/>
  <c r="AS14" i="36"/>
  <c r="AS24" i="36"/>
  <c r="AS9" i="36"/>
  <c r="AS7" i="36"/>
  <c r="AS19" i="36"/>
  <c r="AS15" i="36"/>
  <c r="AS6" i="36"/>
  <c r="AS13" i="36"/>
  <c r="AS4" i="36"/>
  <c r="AS5" i="36"/>
  <c r="AS3" i="36"/>
  <c r="AS17" i="36"/>
  <c r="AS18" i="36"/>
  <c r="AS8" i="36"/>
  <c r="AS16" i="36"/>
  <c r="AZ15" i="33"/>
  <c r="AZ27" i="33"/>
  <c r="AZ24" i="33"/>
  <c r="AZ28" i="33"/>
  <c r="AZ26" i="33"/>
  <c r="AZ25" i="33"/>
  <c r="AL18" i="36"/>
  <c r="AL17" i="36"/>
  <c r="AL7" i="36"/>
  <c r="AL21" i="36"/>
  <c r="AL20" i="36"/>
  <c r="AL13" i="36"/>
  <c r="AL9" i="36"/>
  <c r="AL5" i="36"/>
  <c r="AL26" i="36"/>
  <c r="AL3" i="36"/>
  <c r="AL4" i="36"/>
  <c r="AL14" i="36"/>
  <c r="AL22" i="36"/>
  <c r="AL25" i="36"/>
  <c r="AL19" i="36"/>
  <c r="AL12" i="36"/>
  <c r="AL24" i="36"/>
  <c r="AL15" i="36"/>
  <c r="AL10" i="36"/>
  <c r="AL11" i="36"/>
  <c r="AL6" i="36"/>
  <c r="AL16" i="36"/>
  <c r="AL23" i="36"/>
  <c r="AL8" i="36"/>
  <c r="AX15" i="33"/>
  <c r="AX28" i="33"/>
  <c r="AX26" i="33"/>
  <c r="AX25" i="33"/>
  <c r="AX24" i="33"/>
  <c r="AX27" i="33"/>
  <c r="AJ15" i="36"/>
  <c r="AJ20" i="36"/>
  <c r="AJ6" i="36"/>
  <c r="AJ4" i="36"/>
  <c r="AJ3" i="36"/>
  <c r="AJ14" i="36"/>
  <c r="AJ23" i="36"/>
  <c r="AJ9" i="36"/>
  <c r="AJ24" i="36"/>
  <c r="AJ8" i="36"/>
  <c r="AJ26" i="36"/>
  <c r="AJ11" i="36"/>
  <c r="AJ17" i="36"/>
  <c r="AJ16" i="36"/>
  <c r="AJ13" i="36"/>
  <c r="AJ5" i="36"/>
  <c r="AJ18" i="36"/>
  <c r="AJ21" i="36"/>
  <c r="AJ22" i="36"/>
  <c r="AJ19" i="36"/>
  <c r="AJ7" i="36"/>
  <c r="AJ10" i="36"/>
  <c r="AJ12" i="36"/>
  <c r="AJ25" i="36"/>
  <c r="AY13" i="33"/>
  <c r="AY14" i="33"/>
  <c r="AY12" i="33"/>
  <c r="BM13" i="33"/>
  <c r="BM12" i="33"/>
  <c r="BM14" i="33"/>
  <c r="BH14" i="33"/>
  <c r="BH12" i="33"/>
  <c r="BH13" i="33"/>
  <c r="AX14" i="33"/>
  <c r="AX12" i="33"/>
  <c r="AX13" i="33"/>
  <c r="BC12" i="33"/>
  <c r="BC13" i="33"/>
  <c r="BC14" i="33"/>
  <c r="AW14" i="33"/>
  <c r="AW13" i="33"/>
  <c r="AW12" i="33"/>
  <c r="AV14" i="33"/>
  <c r="AV12" i="33"/>
  <c r="AV13" i="33"/>
  <c r="BB13" i="33"/>
  <c r="BB14" i="33"/>
  <c r="BB12" i="33"/>
  <c r="BD12" i="33"/>
  <c r="BD13" i="33"/>
  <c r="BD14" i="33"/>
  <c r="BL13" i="33"/>
  <c r="BL14" i="33"/>
  <c r="BL12" i="33"/>
  <c r="BA14" i="33"/>
  <c r="BA13" i="33"/>
  <c r="BA12" i="33"/>
  <c r="BI13" i="33"/>
  <c r="BI12" i="33"/>
  <c r="BI14" i="33"/>
  <c r="BK13" i="33"/>
  <c r="BK12" i="33"/>
  <c r="BK14" i="33"/>
  <c r="BF14" i="33"/>
  <c r="BF12" i="33"/>
  <c r="BF13" i="33"/>
  <c r="BN13" i="33"/>
  <c r="BN14" i="33"/>
  <c r="BN12" i="33"/>
  <c r="AU14" i="33"/>
  <c r="AU12" i="33"/>
  <c r="AU13" i="33"/>
  <c r="BG14" i="33"/>
  <c r="BG12" i="33"/>
  <c r="BG13" i="33"/>
  <c r="AZ13" i="33"/>
  <c r="AZ12" i="33"/>
  <c r="AZ14" i="33"/>
  <c r="BJ12" i="33"/>
  <c r="BJ14" i="33"/>
  <c r="BJ13" i="33"/>
  <c r="BE13" i="33"/>
  <c r="BE12" i="33"/>
  <c r="BE14" i="33"/>
  <c r="AP10" i="33"/>
  <c r="AP42" i="33"/>
  <c r="AP34" i="33"/>
  <c r="AP26" i="33"/>
  <c r="AP18" i="33"/>
  <c r="AW29" i="36" l="1"/>
  <c r="CH12" i="34" s="1"/>
  <c r="AW30" i="36"/>
  <c r="CH15" i="34" s="1"/>
  <c r="AY33" i="36"/>
  <c r="CJ24" i="34" s="1"/>
  <c r="AX36" i="36"/>
  <c r="CI33" i="34" s="1"/>
  <c r="AT30" i="36"/>
  <c r="CE15" i="34" s="1"/>
  <c r="AK38" i="36"/>
  <c r="BV39" i="34" s="1"/>
  <c r="AI37" i="36"/>
  <c r="BT36" i="34" s="1"/>
  <c r="AQ30" i="36"/>
  <c r="CB15" i="34" s="1"/>
  <c r="AZ29" i="36"/>
  <c r="CK12" i="34" s="1"/>
  <c r="AP32" i="36"/>
  <c r="CA21" i="34" s="1"/>
  <c r="AJ37" i="36"/>
  <c r="BU36" i="34" s="1"/>
  <c r="AZ33" i="36"/>
  <c r="CK24" i="34" s="1"/>
  <c r="AM28" i="36"/>
  <c r="BX9" i="34" s="1"/>
  <c r="AP29" i="36"/>
  <c r="CA12" i="34" s="1"/>
  <c r="AN39" i="36"/>
  <c r="BY42" i="34" s="1"/>
  <c r="AQ38" i="36"/>
  <c r="CB39" i="34" s="1"/>
  <c r="AJ33" i="36"/>
  <c r="BU24" i="34" s="1"/>
  <c r="AS39" i="36"/>
  <c r="CD42" i="34" s="1"/>
  <c r="AW31" i="36"/>
  <c r="CH18" i="34" s="1"/>
  <c r="AU33" i="36"/>
  <c r="CF24" i="34" s="1"/>
  <c r="AM29" i="36"/>
  <c r="BX12" i="34" s="1"/>
  <c r="AL29" i="36"/>
  <c r="BW12" i="34" s="1"/>
  <c r="AR39" i="36"/>
  <c r="CC42" i="34" s="1"/>
  <c r="AH39" i="36"/>
  <c r="BS42" i="34" s="1"/>
  <c r="AX32" i="36"/>
  <c r="CI21" i="34" s="1"/>
  <c r="AO35" i="36"/>
  <c r="BZ30" i="34" s="1"/>
  <c r="AT36" i="36"/>
  <c r="CE33" i="34" s="1"/>
  <c r="AY36" i="33"/>
  <c r="AS33" i="36"/>
  <c r="CD24" i="34" s="1"/>
  <c r="AT32" i="36"/>
  <c r="CE21" i="34" s="1"/>
  <c r="AR38" i="36"/>
  <c r="CC39" i="34" s="1"/>
  <c r="AZ31" i="36"/>
  <c r="CK18" i="34" s="1"/>
  <c r="AR37" i="36"/>
  <c r="CC36" i="34" s="1"/>
  <c r="AH38" i="36"/>
  <c r="BS39" i="34" s="1"/>
  <c r="AV30" i="36"/>
  <c r="CG15" i="34" s="1"/>
  <c r="AI30" i="36"/>
  <c r="BT15" i="34" s="1"/>
  <c r="AQ29" i="36"/>
  <c r="CB12" i="34" s="1"/>
  <c r="AO33" i="36"/>
  <c r="BZ24" i="34" s="1"/>
  <c r="AW33" i="36"/>
  <c r="CH24" i="34" s="1"/>
  <c r="AY35" i="36"/>
  <c r="CJ30" i="34" s="1"/>
  <c r="AM30" i="36"/>
  <c r="BX15" i="34" s="1"/>
  <c r="AQ32" i="36"/>
  <c r="CB21" i="34" s="1"/>
  <c r="AZ37" i="36"/>
  <c r="CK36" i="34" s="1"/>
  <c r="AR35" i="36"/>
  <c r="CC30" i="34" s="1"/>
  <c r="AH28" i="36"/>
  <c r="BS9" i="34" s="1"/>
  <c r="AX31" i="36"/>
  <c r="CI18" i="34" s="1"/>
  <c r="AV36" i="33"/>
  <c r="AN32" i="36"/>
  <c r="BY21" i="34" s="1"/>
  <c r="AQ39" i="36"/>
  <c r="CB42" i="34" s="1"/>
  <c r="AV32" i="36"/>
  <c r="CG21" i="34" s="1"/>
  <c r="AI35" i="36"/>
  <c r="BT30" i="34" s="1"/>
  <c r="AW39" i="36"/>
  <c r="CH42" i="34" s="1"/>
  <c r="AM35" i="36"/>
  <c r="BX30" i="34" s="1"/>
  <c r="AS28" i="36"/>
  <c r="CD9" i="34" s="1"/>
  <c r="AH36" i="36"/>
  <c r="BS33" i="34" s="1"/>
  <c r="AM31" i="36"/>
  <c r="BX18" i="34" s="1"/>
  <c r="AV37" i="36"/>
  <c r="CG36" i="34" s="1"/>
  <c r="AO28" i="36"/>
  <c r="BZ9" i="34" s="1"/>
  <c r="BC36" i="33"/>
  <c r="AI32" i="36"/>
  <c r="BT21" i="34" s="1"/>
  <c r="AM36" i="36"/>
  <c r="BX33" i="34" s="1"/>
  <c r="AP28" i="36"/>
  <c r="CA9" i="34" s="1"/>
  <c r="AQ37" i="36"/>
  <c r="CB36" i="34" s="1"/>
  <c r="AQ36" i="36"/>
  <c r="CB33" i="34" s="1"/>
  <c r="AX36" i="33"/>
  <c r="AL39" i="36"/>
  <c r="BW42" i="34" s="1"/>
  <c r="AZ32" i="36"/>
  <c r="CK21" i="34" s="1"/>
  <c r="AO39" i="36"/>
  <c r="BZ42" i="34" s="1"/>
  <c r="AH29" i="36"/>
  <c r="BS12" i="34" s="1"/>
  <c r="AY31" i="36"/>
  <c r="CJ18" i="34" s="1"/>
  <c r="AU36" i="36"/>
  <c r="CF33" i="34" s="1"/>
  <c r="BD36" i="33"/>
  <c r="AJ28" i="36"/>
  <c r="BU9" i="34" s="1"/>
  <c r="AZ28" i="36"/>
  <c r="CK9" i="34" s="1"/>
  <c r="AV39" i="36"/>
  <c r="CG42" i="34" s="1"/>
  <c r="BG36" i="33"/>
  <c r="BI36" i="33"/>
  <c r="AJ36" i="36"/>
  <c r="BU33" i="34" s="1"/>
  <c r="AL38" i="36"/>
  <c r="BW39" i="34" s="1"/>
  <c r="AO32" i="36"/>
  <c r="BZ21" i="34" s="1"/>
  <c r="AU31" i="36"/>
  <c r="CF18" i="34" s="1"/>
  <c r="AH33" i="36"/>
  <c r="BS24" i="34" s="1"/>
  <c r="AH30" i="36"/>
  <c r="BS15" i="34" s="1"/>
  <c r="AY29" i="36"/>
  <c r="CJ12" i="34" s="1"/>
  <c r="AM33" i="36"/>
  <c r="BX24" i="34" s="1"/>
  <c r="AM37" i="36"/>
  <c r="BX36" i="34" s="1"/>
  <c r="AN30" i="36"/>
  <c r="BY15" i="34" s="1"/>
  <c r="BB36" i="33"/>
  <c r="AQ35" i="36"/>
  <c r="CB30" i="34" s="1"/>
  <c r="AT39" i="36"/>
  <c r="CE42" i="34" s="1"/>
  <c r="AY36" i="36"/>
  <c r="CJ33" i="34" s="1"/>
  <c r="AI31" i="36"/>
  <c r="BT18" i="34" s="1"/>
  <c r="AP30" i="36"/>
  <c r="CA15" i="34" s="1"/>
  <c r="AT28" i="36"/>
  <c r="CE9" i="34" s="1"/>
  <c r="AW36" i="33"/>
  <c r="AV28" i="36"/>
  <c r="CG9" i="34" s="1"/>
  <c r="BJ36" i="33"/>
  <c r="AX33" i="36"/>
  <c r="CI24" i="34" s="1"/>
  <c r="AJ35" i="36"/>
  <c r="BU30" i="34" s="1"/>
  <c r="AZ36" i="33"/>
  <c r="AW35" i="36"/>
  <c r="CH30" i="34" s="1"/>
  <c r="AU38" i="36"/>
  <c r="CF39" i="34" s="1"/>
  <c r="AI38" i="36"/>
  <c r="BT39" i="34" s="1"/>
  <c r="AJ32" i="36"/>
  <c r="BU21" i="34" s="1"/>
  <c r="AY30" i="36"/>
  <c r="CJ15" i="34" s="1"/>
  <c r="AK35" i="36"/>
  <c r="BV30" i="34" s="1"/>
  <c r="AK32" i="36"/>
  <c r="BV21" i="34" s="1"/>
  <c r="AM38" i="36"/>
  <c r="BX39" i="34" s="1"/>
  <c r="AX30" i="36"/>
  <c r="CI15" i="34" s="1"/>
  <c r="AP38" i="36"/>
  <c r="CA39" i="34" s="1"/>
  <c r="AN29" i="36"/>
  <c r="BY12" i="34" s="1"/>
  <c r="AV38" i="36"/>
  <c r="CG39" i="34" s="1"/>
  <c r="BN36" i="33"/>
  <c r="BE36" i="33"/>
  <c r="AT31" i="36"/>
  <c r="CE18" i="34" s="1"/>
  <c r="BM36" i="33"/>
  <c r="BA36" i="33"/>
  <c r="BL36" i="33"/>
  <c r="AN37" i="36"/>
  <c r="BY36" i="34" s="1"/>
  <c r="BK36" i="33"/>
  <c r="AN35" i="36"/>
  <c r="BY30" i="34" s="1"/>
  <c r="BF36" i="33"/>
  <c r="BH36" i="33"/>
  <c r="AJ31" i="36"/>
  <c r="BU18" i="34" s="1"/>
  <c r="AW32" i="36"/>
  <c r="CH21" i="34" s="1"/>
  <c r="AK30" i="36"/>
  <c r="BV15" i="34" s="1"/>
  <c r="AM39" i="36"/>
  <c r="BX42" i="34" s="1"/>
  <c r="AO37" i="36"/>
  <c r="BZ36" i="34" s="1"/>
  <c r="AL32" i="36"/>
  <c r="BW21" i="34" s="1"/>
  <c r="AK28" i="36"/>
  <c r="BV9" i="34" s="1"/>
  <c r="AX37" i="36"/>
  <c r="CI36" i="34" s="1"/>
  <c r="AS34" i="36"/>
  <c r="CD27" i="34" s="1"/>
  <c r="BG35" i="33"/>
  <c r="BA10" i="36"/>
  <c r="AG35" i="36"/>
  <c r="AV34" i="36"/>
  <c r="CG27" i="34" s="1"/>
  <c r="BJ35" i="33"/>
  <c r="AW37" i="36"/>
  <c r="CH36" i="34" s="1"/>
  <c r="AP39" i="36"/>
  <c r="CA42" i="34" s="1"/>
  <c r="BA20" i="36"/>
  <c r="AZ34" i="36"/>
  <c r="CK27" i="34" s="1"/>
  <c r="BN35" i="33"/>
  <c r="AG28" i="36"/>
  <c r="BA3" i="36"/>
  <c r="AU28" i="36"/>
  <c r="CF9" i="34" s="1"/>
  <c r="AI28" i="36"/>
  <c r="BT9" i="34" s="1"/>
  <c r="AJ34" i="36"/>
  <c r="BU27" i="34" s="1"/>
  <c r="AX35" i="33"/>
  <c r="AG37" i="36"/>
  <c r="BA12" i="36"/>
  <c r="AP36" i="36"/>
  <c r="CA33" i="34" s="1"/>
  <c r="AN38" i="36"/>
  <c r="BY39" i="34" s="1"/>
  <c r="AQ31" i="36"/>
  <c r="CB18" i="34" s="1"/>
  <c r="BA5" i="36"/>
  <c r="AG30" i="36"/>
  <c r="AT37" i="36"/>
  <c r="CE36" i="34" s="1"/>
  <c r="BM35" i="33"/>
  <c r="AY34" i="36"/>
  <c r="CJ27" i="34" s="1"/>
  <c r="AV35" i="36"/>
  <c r="CG30" i="34" s="1"/>
  <c r="AL33" i="36"/>
  <c r="BW24" i="34" s="1"/>
  <c r="AS29" i="36"/>
  <c r="CD12" i="34" s="1"/>
  <c r="AT35" i="36"/>
  <c r="CE30" i="34" s="1"/>
  <c r="AK37" i="36"/>
  <c r="BV36" i="34" s="1"/>
  <c r="AX35" i="36"/>
  <c r="CI30" i="34" s="1"/>
  <c r="AS38" i="36"/>
  <c r="CD39" i="34" s="1"/>
  <c r="BA16" i="36"/>
  <c r="BA7" i="36"/>
  <c r="AG32" i="36"/>
  <c r="AZ30" i="36"/>
  <c r="CK15" i="34" s="1"/>
  <c r="AR36" i="36"/>
  <c r="CC33" i="34" s="1"/>
  <c r="AT29" i="36"/>
  <c r="CE12" i="34" s="1"/>
  <c r="AW28" i="36"/>
  <c r="CH9" i="34" s="1"/>
  <c r="AW38" i="36"/>
  <c r="CH39" i="34" s="1"/>
  <c r="AU32" i="36"/>
  <c r="CF21" i="34" s="1"/>
  <c r="AH31" i="36"/>
  <c r="BS18" i="34" s="1"/>
  <c r="AY35" i="33"/>
  <c r="AK34" i="36"/>
  <c r="BV27" i="34" s="1"/>
  <c r="AI33" i="36"/>
  <c r="BT24" i="34" s="1"/>
  <c r="AX29" i="36"/>
  <c r="CI12" i="34" s="1"/>
  <c r="AP37" i="36"/>
  <c r="CA36" i="34" s="1"/>
  <c r="AN33" i="36"/>
  <c r="BY24" i="34" s="1"/>
  <c r="AJ30" i="36"/>
  <c r="BU15" i="34" s="1"/>
  <c r="AJ29" i="36"/>
  <c r="BU12" i="34" s="1"/>
  <c r="AL28" i="36"/>
  <c r="BW9" i="34" s="1"/>
  <c r="AS31" i="36"/>
  <c r="CD18" i="34" s="1"/>
  <c r="AS36" i="36"/>
  <c r="CD33" i="34" s="1"/>
  <c r="AG34" i="36"/>
  <c r="AU35" i="33"/>
  <c r="BA9" i="36"/>
  <c r="BA24" i="36"/>
  <c r="AZ38" i="36"/>
  <c r="CK39" i="34" s="1"/>
  <c r="AZ35" i="36"/>
  <c r="CK30" i="34" s="1"/>
  <c r="AO29" i="36"/>
  <c r="BZ12" i="34" s="1"/>
  <c r="AO38" i="36"/>
  <c r="BZ39" i="34" s="1"/>
  <c r="AR33" i="36"/>
  <c r="CC24" i="34" s="1"/>
  <c r="AT33" i="36"/>
  <c r="CE24" i="34" s="1"/>
  <c r="AU34" i="36"/>
  <c r="CF27" i="34" s="1"/>
  <c r="BI35" i="33"/>
  <c r="AH32" i="36"/>
  <c r="BS21" i="34" s="1"/>
  <c r="AY38" i="36"/>
  <c r="CJ39" i="34" s="1"/>
  <c r="AK36" i="36"/>
  <c r="BV33" i="34" s="1"/>
  <c r="AI29" i="36"/>
  <c r="BT12" i="34" s="1"/>
  <c r="AI34" i="36"/>
  <c r="BT27" i="34" s="1"/>
  <c r="AW35" i="33"/>
  <c r="AP35" i="36"/>
  <c r="CA30" i="34" s="1"/>
  <c r="AN31" i="36"/>
  <c r="BY18" i="34" s="1"/>
  <c r="AQ33" i="36"/>
  <c r="CB24" i="34" s="1"/>
  <c r="AV36" i="36"/>
  <c r="CG33" i="34" s="1"/>
  <c r="AG36" i="36"/>
  <c r="BA11" i="36"/>
  <c r="BL35" i="33"/>
  <c r="AX34" i="36"/>
  <c r="CI27" i="34" s="1"/>
  <c r="BA25" i="36"/>
  <c r="BA21" i="36"/>
  <c r="AU36" i="33"/>
  <c r="AW34" i="36"/>
  <c r="CH27" i="34" s="1"/>
  <c r="BK35" i="33"/>
  <c r="AL37" i="36"/>
  <c r="BW36" i="34" s="1"/>
  <c r="BA15" i="36"/>
  <c r="BH35" i="33"/>
  <c r="AT34" i="36"/>
  <c r="CE27" i="34" s="1"/>
  <c r="AP34" i="36"/>
  <c r="CA27" i="34" s="1"/>
  <c r="BD35" i="33"/>
  <c r="BB35" i="33"/>
  <c r="AN34" i="36"/>
  <c r="BY27" i="34" s="1"/>
  <c r="BE35" i="33"/>
  <c r="AQ34" i="36"/>
  <c r="CB27" i="34" s="1"/>
  <c r="BA26" i="36"/>
  <c r="AG29" i="36"/>
  <c r="BA4" i="36"/>
  <c r="AO36" i="36"/>
  <c r="BZ33" i="34" s="1"/>
  <c r="AR34" i="36"/>
  <c r="CC27" i="34" s="1"/>
  <c r="BF35" i="33"/>
  <c r="AU35" i="36"/>
  <c r="CF30" i="34" s="1"/>
  <c r="AY37" i="36"/>
  <c r="CJ36" i="34" s="1"/>
  <c r="AK39" i="36"/>
  <c r="BV42" i="34" s="1"/>
  <c r="AX38" i="36"/>
  <c r="CI39" i="34" s="1"/>
  <c r="AN36" i="36"/>
  <c r="BY33" i="34" s="1"/>
  <c r="AS30" i="36"/>
  <c r="CD15" i="34" s="1"/>
  <c r="BA14" i="36"/>
  <c r="AG39" i="36"/>
  <c r="AZ39" i="36"/>
  <c r="CK42" i="34" s="1"/>
  <c r="AR29" i="36"/>
  <c r="CC12" i="34" s="1"/>
  <c r="AT38" i="36"/>
  <c r="CE39" i="34" s="1"/>
  <c r="AY39" i="36"/>
  <c r="CJ42" i="34" s="1"/>
  <c r="AK33" i="36"/>
  <c r="BV24" i="34" s="1"/>
  <c r="AX28" i="36"/>
  <c r="CI9" i="34" s="1"/>
  <c r="AP33" i="36"/>
  <c r="CA24" i="34" s="1"/>
  <c r="AJ39" i="36"/>
  <c r="BU42" i="34" s="1"/>
  <c r="AS35" i="36"/>
  <c r="CD30" i="34" s="1"/>
  <c r="BA18" i="36"/>
  <c r="BA19" i="36"/>
  <c r="AR30" i="36"/>
  <c r="CC15" i="34" s="1"/>
  <c r="AH35" i="36"/>
  <c r="BS30" i="34" s="1"/>
  <c r="AI39" i="36"/>
  <c r="BT42" i="34" s="1"/>
  <c r="AJ38" i="36"/>
  <c r="BU39" i="34" s="1"/>
  <c r="AL31" i="36"/>
  <c r="BW18" i="34" s="1"/>
  <c r="AS37" i="36"/>
  <c r="CD36" i="34" s="1"/>
  <c r="BA22" i="36"/>
  <c r="BA8" i="36"/>
  <c r="AG33" i="36"/>
  <c r="AR31" i="36"/>
  <c r="CC18" i="34" s="1"/>
  <c r="AR28" i="36"/>
  <c r="CC9" i="34" s="1"/>
  <c r="AU30" i="36"/>
  <c r="CF15" i="34" s="1"/>
  <c r="AK29" i="36"/>
  <c r="BV12" i="34" s="1"/>
  <c r="AL36" i="36"/>
  <c r="BW33" i="34" s="1"/>
  <c r="AL30" i="36"/>
  <c r="BW15" i="34" s="1"/>
  <c r="BA6" i="36"/>
  <c r="AG31" i="36"/>
  <c r="BA23" i="36"/>
  <c r="BC35" i="33"/>
  <c r="AO34" i="36"/>
  <c r="BZ27" i="34" s="1"/>
  <c r="AO30" i="36"/>
  <c r="BZ15" i="34" s="1"/>
  <c r="AU37" i="36"/>
  <c r="CF36" i="34" s="1"/>
  <c r="AU39" i="36"/>
  <c r="CF42" i="34" s="1"/>
  <c r="AH34" i="36"/>
  <c r="BS27" i="34" s="1"/>
  <c r="AV35" i="33"/>
  <c r="AY28" i="36"/>
  <c r="CJ9" i="34" s="1"/>
  <c r="AI36" i="36"/>
  <c r="BT33" i="34" s="1"/>
  <c r="BA35" i="33"/>
  <c r="AM34" i="36"/>
  <c r="BX27" i="34" s="1"/>
  <c r="AN28" i="36"/>
  <c r="BY9" i="34" s="1"/>
  <c r="AQ28" i="36"/>
  <c r="CB9" i="34" s="1"/>
  <c r="AV29" i="36"/>
  <c r="CG12" i="34" s="1"/>
  <c r="AV33" i="36"/>
  <c r="CG24" i="34" s="1"/>
  <c r="AL35" i="36"/>
  <c r="BW30" i="34" s="1"/>
  <c r="AL34" i="36"/>
  <c r="BW27" i="34" s="1"/>
  <c r="AZ35" i="33"/>
  <c r="AS32" i="36"/>
  <c r="CD21" i="34" s="1"/>
  <c r="AG38" i="36"/>
  <c r="BA13" i="36"/>
  <c r="BA17" i="36"/>
  <c r="AZ36" i="36"/>
  <c r="CK33" i="34" s="1"/>
  <c r="AO31" i="36"/>
  <c r="BZ18" i="34" s="1"/>
  <c r="AR32" i="36"/>
  <c r="CC21" i="34" s="1"/>
  <c r="AW36" i="36"/>
  <c r="CH33" i="34" s="1"/>
  <c r="AU29" i="36"/>
  <c r="CF12" i="34" s="1"/>
  <c r="AH37" i="36"/>
  <c r="BS36" i="34" s="1"/>
  <c r="AY32" i="36"/>
  <c r="CJ21" i="34" s="1"/>
  <c r="AK31" i="36"/>
  <c r="BV18" i="34" s="1"/>
  <c r="AM32" i="36"/>
  <c r="BX21" i="34" s="1"/>
  <c r="AX39" i="36"/>
  <c r="CI42" i="34" s="1"/>
  <c r="AP31" i="36"/>
  <c r="CA18" i="34" s="1"/>
  <c r="AV31" i="36"/>
  <c r="CG18" i="34" s="1"/>
  <c r="AV46" i="33" l="1"/>
  <c r="AV47" i="33" s="1"/>
  <c r="AW46" i="33"/>
  <c r="BT28" i="34" s="1"/>
  <c r="BT29" i="34" s="1"/>
  <c r="AY46" i="33"/>
  <c r="BV25" i="34" s="1"/>
  <c r="BV26" i="34" s="1"/>
  <c r="BC46" i="33"/>
  <c r="BZ25" i="34" s="1"/>
  <c r="BZ26" i="34" s="1"/>
  <c r="BG46" i="33"/>
  <c r="CD13" i="34" s="1"/>
  <c r="CD14" i="34" s="1"/>
  <c r="BH46" i="33"/>
  <c r="CE43" i="34" s="1"/>
  <c r="CE44" i="34" s="1"/>
  <c r="AX46" i="33"/>
  <c r="BU25" i="34" s="1"/>
  <c r="BU26" i="34" s="1"/>
  <c r="BD46" i="33"/>
  <c r="CA25" i="34" s="1"/>
  <c r="CA26" i="34" s="1"/>
  <c r="BN46" i="33"/>
  <c r="CK40" i="34" s="1"/>
  <c r="CK41" i="34" s="1"/>
  <c r="BK46" i="33"/>
  <c r="CH28" i="34" s="1"/>
  <c r="CH29" i="34" s="1"/>
  <c r="BB46" i="33"/>
  <c r="BY37" i="34" s="1"/>
  <c r="BY38" i="34" s="1"/>
  <c r="BL46" i="33"/>
  <c r="CI43" i="34" s="1"/>
  <c r="CI44" i="34" s="1"/>
  <c r="BI46" i="33"/>
  <c r="CF13" i="34" s="1"/>
  <c r="CF14" i="34" s="1"/>
  <c r="BF46" i="33"/>
  <c r="CC16" i="34" s="1"/>
  <c r="CC17" i="34" s="1"/>
  <c r="BJ46" i="33"/>
  <c r="CG10" i="34" s="1"/>
  <c r="CG11" i="34" s="1"/>
  <c r="BA46" i="33"/>
  <c r="BX16" i="34" s="1"/>
  <c r="BX17" i="34" s="1"/>
  <c r="AZ46" i="33"/>
  <c r="BW40" i="34" s="1"/>
  <c r="BW41" i="34" s="1"/>
  <c r="BE46" i="33"/>
  <c r="BE47" i="33" s="1"/>
  <c r="BM46" i="33"/>
  <c r="CJ40" i="34" s="1"/>
  <c r="CJ41" i="34" s="1"/>
  <c r="AU46" i="33"/>
  <c r="BR27" i="34"/>
  <c r="BA34" i="36"/>
  <c r="BR36" i="34"/>
  <c r="BA37" i="36"/>
  <c r="BR42" i="34"/>
  <c r="BA39" i="36"/>
  <c r="BR12" i="34"/>
  <c r="BA29" i="36"/>
  <c r="BR30" i="34"/>
  <c r="BA35" i="36"/>
  <c r="BR18" i="34"/>
  <c r="BA31" i="36"/>
  <c r="BR33" i="34"/>
  <c r="BA36" i="36"/>
  <c r="BR39" i="34"/>
  <c r="BA38" i="36"/>
  <c r="BR24" i="34"/>
  <c r="BA33" i="36"/>
  <c r="BR21" i="34"/>
  <c r="BA32" i="36"/>
  <c r="BR15" i="34"/>
  <c r="BA30" i="36"/>
  <c r="BR9" i="34"/>
  <c r="BA28" i="36"/>
  <c r="BV16" i="34" l="1"/>
  <c r="BV17" i="34" s="1"/>
  <c r="BV22" i="34"/>
  <c r="BV23" i="34" s="1"/>
  <c r="CD22" i="34"/>
  <c r="CD23" i="34" s="1"/>
  <c r="BV28" i="34"/>
  <c r="BV29" i="34" s="1"/>
  <c r="BT31" i="34"/>
  <c r="BT32" i="34" s="1"/>
  <c r="BT22" i="34"/>
  <c r="BT23" i="34" s="1"/>
  <c r="BT16" i="34"/>
  <c r="BT17" i="34" s="1"/>
  <c r="BR40" i="34"/>
  <c r="BR41" i="34" s="1"/>
  <c r="CD37" i="34"/>
  <c r="CD38" i="34" s="1"/>
  <c r="CD16" i="34"/>
  <c r="CD17" i="34" s="1"/>
  <c r="BT25" i="34"/>
  <c r="BT26" i="34" s="1"/>
  <c r="BT40" i="34"/>
  <c r="BT41" i="34" s="1"/>
  <c r="BT34" i="34"/>
  <c r="BT35" i="34" s="1"/>
  <c r="BT10" i="34"/>
  <c r="BT11" i="34" s="1"/>
  <c r="BT19" i="34"/>
  <c r="BT20" i="34" s="1"/>
  <c r="BT13" i="34"/>
  <c r="BT14" i="34" s="1"/>
  <c r="AW47" i="33"/>
  <c r="BT37" i="34"/>
  <c r="BT38" i="34" s="1"/>
  <c r="BT43" i="34"/>
  <c r="BT44" i="34" s="1"/>
  <c r="BS13" i="34"/>
  <c r="BS14" i="34" s="1"/>
  <c r="BV31" i="34"/>
  <c r="BV32" i="34" s="1"/>
  <c r="BS28" i="34"/>
  <c r="BS29" i="34" s="1"/>
  <c r="BS25" i="34"/>
  <c r="BS26" i="34" s="1"/>
  <c r="BS10" i="34"/>
  <c r="BS11" i="34" s="1"/>
  <c r="BZ40" i="34"/>
  <c r="BZ41" i="34" s="1"/>
  <c r="BS31" i="34"/>
  <c r="BS32" i="34" s="1"/>
  <c r="BS16" i="34"/>
  <c r="BS17" i="34" s="1"/>
  <c r="BZ43" i="34"/>
  <c r="BZ44" i="34" s="1"/>
  <c r="BS19" i="34"/>
  <c r="BS20" i="34" s="1"/>
  <c r="BS37" i="34"/>
  <c r="BS38" i="34" s="1"/>
  <c r="BS22" i="34"/>
  <c r="BS23" i="34" s="1"/>
  <c r="BS40" i="34"/>
  <c r="BS41" i="34" s="1"/>
  <c r="BS34" i="34"/>
  <c r="BS35" i="34" s="1"/>
  <c r="BS43" i="34"/>
  <c r="BS44" i="34" s="1"/>
  <c r="CD25" i="34"/>
  <c r="CD26" i="34" s="1"/>
  <c r="BG47" i="33"/>
  <c r="CE25" i="34"/>
  <c r="CE26" i="34" s="1"/>
  <c r="CE10" i="34"/>
  <c r="CE11" i="34" s="1"/>
  <c r="CD40" i="34"/>
  <c r="CD41" i="34" s="1"/>
  <c r="BU19" i="34"/>
  <c r="BU20" i="34" s="1"/>
  <c r="BU28" i="34"/>
  <c r="BU29" i="34" s="1"/>
  <c r="CE34" i="34"/>
  <c r="CE35" i="34" s="1"/>
  <c r="CE37" i="34"/>
  <c r="CE38" i="34" s="1"/>
  <c r="CE22" i="34"/>
  <c r="CE23" i="34" s="1"/>
  <c r="BZ10" i="34"/>
  <c r="BZ11" i="34" s="1"/>
  <c r="BV10" i="34"/>
  <c r="BV11" i="34" s="1"/>
  <c r="BZ34" i="34"/>
  <c r="BZ35" i="34" s="1"/>
  <c r="BV34" i="34"/>
  <c r="BV35" i="34" s="1"/>
  <c r="BZ13" i="34"/>
  <c r="BZ14" i="34" s="1"/>
  <c r="BV40" i="34"/>
  <c r="BV41" i="34" s="1"/>
  <c r="BZ16" i="34"/>
  <c r="BZ17" i="34" s="1"/>
  <c r="BV37" i="34"/>
  <c r="BV38" i="34" s="1"/>
  <c r="BV43" i="34"/>
  <c r="BV44" i="34" s="1"/>
  <c r="BZ31" i="34"/>
  <c r="BZ32" i="34" s="1"/>
  <c r="AY47" i="33"/>
  <c r="BZ19" i="34"/>
  <c r="BZ20" i="34" s="1"/>
  <c r="BV13" i="34"/>
  <c r="BV14" i="34" s="1"/>
  <c r="BC47" i="33"/>
  <c r="BV19" i="34"/>
  <c r="BV20" i="34" s="1"/>
  <c r="BZ37" i="34"/>
  <c r="BZ38" i="34" s="1"/>
  <c r="BZ28" i="34"/>
  <c r="BZ29" i="34" s="1"/>
  <c r="BU37" i="34"/>
  <c r="BU38" i="34" s="1"/>
  <c r="BU31" i="34"/>
  <c r="BU32" i="34" s="1"/>
  <c r="BH47" i="33"/>
  <c r="CE28" i="34"/>
  <c r="CE29" i="34" s="1"/>
  <c r="CF40" i="34"/>
  <c r="CF41" i="34" s="1"/>
  <c r="CI19" i="34"/>
  <c r="CI20" i="34" s="1"/>
  <c r="CD19" i="34"/>
  <c r="CD20" i="34" s="1"/>
  <c r="CD43" i="34"/>
  <c r="CD44" i="34" s="1"/>
  <c r="CA28" i="34"/>
  <c r="CA29" i="34" s="1"/>
  <c r="CD10" i="34"/>
  <c r="CD11" i="34" s="1"/>
  <c r="BZ22" i="34"/>
  <c r="BZ23" i="34" s="1"/>
  <c r="CA43" i="34"/>
  <c r="CA44" i="34" s="1"/>
  <c r="CE40" i="34"/>
  <c r="CE41" i="34" s="1"/>
  <c r="CA16" i="34"/>
  <c r="CA17" i="34" s="1"/>
  <c r="CD31" i="34"/>
  <c r="CD32" i="34" s="1"/>
  <c r="CE16" i="34"/>
  <c r="CE17" i="34" s="1"/>
  <c r="CA37" i="34"/>
  <c r="CA38" i="34" s="1"/>
  <c r="CK25" i="34"/>
  <c r="CK26" i="34" s="1"/>
  <c r="BU34" i="34"/>
  <c r="BU35" i="34" s="1"/>
  <c r="AX47" i="33"/>
  <c r="CK43" i="34"/>
  <c r="CK44" i="34" s="1"/>
  <c r="CD34" i="34"/>
  <c r="CD35" i="34" s="1"/>
  <c r="BU10" i="34"/>
  <c r="BU11" i="34" s="1"/>
  <c r="CK28" i="34"/>
  <c r="CK29" i="34" s="1"/>
  <c r="BU43" i="34"/>
  <c r="BU44" i="34" s="1"/>
  <c r="CA31" i="34"/>
  <c r="CA32" i="34" s="1"/>
  <c r="CK19" i="34"/>
  <c r="CK20" i="34" s="1"/>
  <c r="BU40" i="34"/>
  <c r="BU41" i="34" s="1"/>
  <c r="CE19" i="34"/>
  <c r="CE20" i="34" s="1"/>
  <c r="CA10" i="34"/>
  <c r="CA11" i="34" s="1"/>
  <c r="CK13" i="34"/>
  <c r="CK14" i="34" s="1"/>
  <c r="CD28" i="34"/>
  <c r="CD29" i="34" s="1"/>
  <c r="BU13" i="34"/>
  <c r="BU14" i="34" s="1"/>
  <c r="CE31" i="34"/>
  <c r="CE32" i="34" s="1"/>
  <c r="CA13" i="34"/>
  <c r="CA14" i="34" s="1"/>
  <c r="CK34" i="34"/>
  <c r="CK35" i="34" s="1"/>
  <c r="BY22" i="34"/>
  <c r="BY23" i="34" s="1"/>
  <c r="CK22" i="34"/>
  <c r="CK23" i="34" s="1"/>
  <c r="BY16" i="34"/>
  <c r="BY17" i="34" s="1"/>
  <c r="CA22" i="34"/>
  <c r="CA23" i="34" s="1"/>
  <c r="BU16" i="34"/>
  <c r="BU17" i="34" s="1"/>
  <c r="BD47" i="33"/>
  <c r="BU22" i="34"/>
  <c r="BU23" i="34" s="1"/>
  <c r="CE13" i="34"/>
  <c r="CE14" i="34" s="1"/>
  <c r="CA40" i="34"/>
  <c r="CA41" i="34" s="1"/>
  <c r="CA19" i="34"/>
  <c r="CA20" i="34" s="1"/>
  <c r="BY40" i="34"/>
  <c r="BY41" i="34" s="1"/>
  <c r="BJ47" i="33"/>
  <c r="BN47" i="33"/>
  <c r="CG13" i="34"/>
  <c r="CG14" i="34" s="1"/>
  <c r="CK10" i="34"/>
  <c r="CK11" i="34" s="1"/>
  <c r="CI28" i="34"/>
  <c r="CI29" i="34" s="1"/>
  <c r="CF16" i="34"/>
  <c r="CF17" i="34" s="1"/>
  <c r="CA34" i="34"/>
  <c r="CA35" i="34" s="1"/>
  <c r="CF43" i="34"/>
  <c r="CF44" i="34" s="1"/>
  <c r="BB47" i="33"/>
  <c r="BY19" i="34"/>
  <c r="BY20" i="34" s="1"/>
  <c r="BY10" i="34"/>
  <c r="BY11" i="34" s="1"/>
  <c r="CF19" i="34"/>
  <c r="CF20" i="34" s="1"/>
  <c r="CH31" i="34"/>
  <c r="CH32" i="34" s="1"/>
  <c r="CK31" i="34"/>
  <c r="CK32" i="34" s="1"/>
  <c r="CI22" i="34"/>
  <c r="CI23" i="34" s="1"/>
  <c r="BY13" i="34"/>
  <c r="BY14" i="34" s="1"/>
  <c r="BI47" i="33"/>
  <c r="CI10" i="34"/>
  <c r="CI11" i="34" s="1"/>
  <c r="CC31" i="34"/>
  <c r="CC32" i="34" s="1"/>
  <c r="CI25" i="34"/>
  <c r="CI26" i="34" s="1"/>
  <c r="CF28" i="34"/>
  <c r="CF29" i="34" s="1"/>
  <c r="CH22" i="34"/>
  <c r="CH23" i="34" s="1"/>
  <c r="CK16" i="34"/>
  <c r="CK17" i="34" s="1"/>
  <c r="CI40" i="34"/>
  <c r="CI41" i="34" s="1"/>
  <c r="BY25" i="34"/>
  <c r="BY26" i="34" s="1"/>
  <c r="CC34" i="34"/>
  <c r="CC35" i="34" s="1"/>
  <c r="CC25" i="34"/>
  <c r="CC26" i="34" s="1"/>
  <c r="CF22" i="34"/>
  <c r="CF23" i="34" s="1"/>
  <c r="BY43" i="34"/>
  <c r="BY44" i="34" s="1"/>
  <c r="BY31" i="34"/>
  <c r="BY32" i="34" s="1"/>
  <c r="CI16" i="34"/>
  <c r="CI17" i="34" s="1"/>
  <c r="CF10" i="34"/>
  <c r="CF11" i="34" s="1"/>
  <c r="CH34" i="34"/>
  <c r="CH35" i="34" s="1"/>
  <c r="CK37" i="34"/>
  <c r="CK38" i="34" s="1"/>
  <c r="BL47" i="33"/>
  <c r="BY34" i="34"/>
  <c r="BY35" i="34" s="1"/>
  <c r="CC37" i="34"/>
  <c r="CC38" i="34" s="1"/>
  <c r="CC40" i="34"/>
  <c r="CC41" i="34" s="1"/>
  <c r="BY28" i="34"/>
  <c r="BY29" i="34" s="1"/>
  <c r="CJ16" i="34"/>
  <c r="CJ17" i="34" s="1"/>
  <c r="CG31" i="34"/>
  <c r="CG32" i="34" s="1"/>
  <c r="BW31" i="34"/>
  <c r="BW32" i="34" s="1"/>
  <c r="CI13" i="34"/>
  <c r="CI14" i="34" s="1"/>
  <c r="CB19" i="34"/>
  <c r="CB20" i="34" s="1"/>
  <c r="BR10" i="34"/>
  <c r="BR11" i="34" s="1"/>
  <c r="CH40" i="34"/>
  <c r="CH41" i="34" s="1"/>
  <c r="BW22" i="34"/>
  <c r="BW23" i="34" s="1"/>
  <c r="AZ47" i="33"/>
  <c r="BW13" i="34"/>
  <c r="BW14" i="34" s="1"/>
  <c r="CH10" i="34"/>
  <c r="CH11" i="34" s="1"/>
  <c r="CH13" i="34"/>
  <c r="CH14" i="34" s="1"/>
  <c r="BW19" i="34"/>
  <c r="BW20" i="34" s="1"/>
  <c r="CH25" i="34"/>
  <c r="CH26" i="34" s="1"/>
  <c r="CB37" i="34"/>
  <c r="CB38" i="34" s="1"/>
  <c r="CH19" i="34"/>
  <c r="CH20" i="34" s="1"/>
  <c r="CB43" i="34"/>
  <c r="CB44" i="34" s="1"/>
  <c r="BM47" i="33"/>
  <c r="CB13" i="34"/>
  <c r="CB14" i="34" s="1"/>
  <c r="CJ22" i="34"/>
  <c r="CJ23" i="34" s="1"/>
  <c r="CF37" i="34"/>
  <c r="CF38" i="34" s="1"/>
  <c r="CG40" i="34"/>
  <c r="CG41" i="34" s="1"/>
  <c r="CH37" i="34"/>
  <c r="CH38" i="34" s="1"/>
  <c r="BF47" i="33"/>
  <c r="BX25" i="34"/>
  <c r="BX26" i="34" s="1"/>
  <c r="CF25" i="34"/>
  <c r="CF26" i="34" s="1"/>
  <c r="CG43" i="34"/>
  <c r="CG44" i="34" s="1"/>
  <c r="CH16" i="34"/>
  <c r="CH17" i="34" s="1"/>
  <c r="CC22" i="34"/>
  <c r="CC23" i="34" s="1"/>
  <c r="CG22" i="34"/>
  <c r="CG23" i="34" s="1"/>
  <c r="CC19" i="34"/>
  <c r="CC20" i="34" s="1"/>
  <c r="CG37" i="34"/>
  <c r="CG38" i="34" s="1"/>
  <c r="CC13" i="34"/>
  <c r="CC14" i="34" s="1"/>
  <c r="CF34" i="34"/>
  <c r="CF35" i="34" s="1"/>
  <c r="CG25" i="34"/>
  <c r="CG26" i="34" s="1"/>
  <c r="CH43" i="34"/>
  <c r="CH44" i="34" s="1"/>
  <c r="CC10" i="34"/>
  <c r="CC11" i="34" s="1"/>
  <c r="BX34" i="34"/>
  <c r="BX35" i="34" s="1"/>
  <c r="CG19" i="34"/>
  <c r="CG20" i="34" s="1"/>
  <c r="CG34" i="34"/>
  <c r="CG35" i="34" s="1"/>
  <c r="CF31" i="34"/>
  <c r="CF32" i="34" s="1"/>
  <c r="CG16" i="34"/>
  <c r="CG17" i="34" s="1"/>
  <c r="BK47" i="33"/>
  <c r="CC43" i="34"/>
  <c r="CC44" i="34" s="1"/>
  <c r="BA47" i="33"/>
  <c r="BX10" i="34"/>
  <c r="BX11" i="34" s="1"/>
  <c r="CC28" i="34"/>
  <c r="CC29" i="34" s="1"/>
  <c r="BX28" i="34"/>
  <c r="BX29" i="34" s="1"/>
  <c r="CG28" i="34"/>
  <c r="CG29" i="34" s="1"/>
  <c r="BX37" i="34"/>
  <c r="BX38" i="34" s="1"/>
  <c r="BR37" i="34"/>
  <c r="BR38" i="34" s="1"/>
  <c r="CB22" i="34"/>
  <c r="CB23" i="34" s="1"/>
  <c r="CJ19" i="34"/>
  <c r="CJ20" i="34" s="1"/>
  <c r="BW34" i="34"/>
  <c r="BW35" i="34" s="1"/>
  <c r="CB31" i="34"/>
  <c r="CB32" i="34" s="1"/>
  <c r="BW16" i="34"/>
  <c r="BW17" i="34" s="1"/>
  <c r="CB10" i="34"/>
  <c r="CB11" i="34" s="1"/>
  <c r="CI37" i="34"/>
  <c r="CI38" i="34" s="1"/>
  <c r="BX40" i="34"/>
  <c r="BX41" i="34" s="1"/>
  <c r="CB25" i="34"/>
  <c r="CB26" i="34" s="1"/>
  <c r="CB40" i="34"/>
  <c r="CB41" i="34" s="1"/>
  <c r="BW43" i="34"/>
  <c r="BW44" i="34" s="1"/>
  <c r="BW25" i="34"/>
  <c r="BW26" i="34" s="1"/>
  <c r="CI31" i="34"/>
  <c r="CI32" i="34" s="1"/>
  <c r="BX43" i="34"/>
  <c r="BX44" i="34" s="1"/>
  <c r="AU47" i="33"/>
  <c r="BR34" i="34"/>
  <c r="BR35" i="34" s="1"/>
  <c r="CJ34" i="34"/>
  <c r="CJ35" i="34" s="1"/>
  <c r="BP44" i="33"/>
  <c r="BP45" i="33" s="1"/>
  <c r="BR22" i="34"/>
  <c r="BR23" i="34" s="1"/>
  <c r="BX31" i="34"/>
  <c r="BX32" i="34" s="1"/>
  <c r="BW10" i="34"/>
  <c r="BW11" i="34" s="1"/>
  <c r="CB28" i="34"/>
  <c r="CB29" i="34" s="1"/>
  <c r="BW28" i="34"/>
  <c r="BW29" i="34" s="1"/>
  <c r="CI34" i="34"/>
  <c r="CI35" i="34" s="1"/>
  <c r="BX22" i="34"/>
  <c r="BX23" i="34" s="1"/>
  <c r="CB16" i="34"/>
  <c r="CB17" i="34" s="1"/>
  <c r="CJ37" i="34"/>
  <c r="CJ38" i="34" s="1"/>
  <c r="BR46" i="33"/>
  <c r="CB34" i="34"/>
  <c r="CB35" i="34" s="1"/>
  <c r="BW37" i="34"/>
  <c r="BW38" i="34" s="1"/>
  <c r="BX13" i="34"/>
  <c r="BX14" i="34" s="1"/>
  <c r="BR25" i="34"/>
  <c r="BR26" i="34" s="1"/>
  <c r="CJ13" i="34"/>
  <c r="CJ14" i="34" s="1"/>
  <c r="BR43" i="34"/>
  <c r="BR44" i="34" s="1"/>
  <c r="CJ25" i="34"/>
  <c r="CJ26" i="34" s="1"/>
  <c r="BR31" i="34"/>
  <c r="BR32" i="34" s="1"/>
  <c r="CJ31" i="34"/>
  <c r="CJ32" i="34" s="1"/>
  <c r="CJ43" i="34"/>
  <c r="CJ44" i="34" s="1"/>
  <c r="BR13" i="34"/>
  <c r="BR14" i="34" s="1"/>
  <c r="BR16" i="34"/>
  <c r="BR17" i="34" s="1"/>
  <c r="BP46" i="33"/>
  <c r="BP47" i="33" s="1"/>
  <c r="CJ28" i="34"/>
  <c r="CJ29" i="34" s="1"/>
  <c r="BX19" i="34"/>
  <c r="BX20" i="34" s="1"/>
  <c r="BR19" i="34"/>
  <c r="BR20" i="34" s="1"/>
  <c r="CJ10" i="34"/>
  <c r="CJ11" i="34" s="1"/>
  <c r="BR28" i="34"/>
  <c r="BR29" i="34" s="1"/>
  <c r="CN35" i="34" l="1"/>
  <c r="CM35" i="34"/>
  <c r="AL59" i="34" s="1"/>
  <c r="CN14" i="34"/>
  <c r="CM14" i="34"/>
  <c r="AL17" i="34" s="1"/>
  <c r="CM41" i="34"/>
  <c r="AL71" i="34" s="1"/>
  <c r="CN41" i="34"/>
  <c r="CM17" i="34"/>
  <c r="AL23" i="34" s="1"/>
  <c r="CN17" i="34"/>
  <c r="CN44" i="34"/>
  <c r="CM44" i="34"/>
  <c r="AL77" i="34" s="1"/>
  <c r="CN11" i="34"/>
  <c r="CM11" i="34"/>
  <c r="AL11" i="34" s="1"/>
  <c r="CN32" i="34"/>
  <c r="CM32" i="34"/>
  <c r="AL53" i="34" s="1"/>
  <c r="CN38" i="34"/>
  <c r="CM38" i="34"/>
  <c r="AL65" i="34"/>
  <c r="CN29" i="34"/>
  <c r="CM29" i="34"/>
  <c r="AL47" i="34" s="1"/>
  <c r="CM20" i="34"/>
  <c r="AL29" i="34" s="1"/>
  <c r="CN20" i="34"/>
  <c r="CN26" i="34"/>
  <c r="CM26" i="34"/>
  <c r="AL41" i="34" s="1"/>
  <c r="CN23" i="34"/>
  <c r="CM23" i="34"/>
  <c r="AL35" i="34" s="1"/>
  <c r="CL41" i="34"/>
  <c r="BG72" i="34" s="1"/>
  <c r="AI48" i="34" s="1"/>
  <c r="CL23" i="34"/>
  <c r="BG36" i="34" s="1"/>
  <c r="R48" i="34" s="1"/>
  <c r="CL44" i="34"/>
  <c r="BG78" i="34" s="1"/>
  <c r="AI58" i="34" s="1"/>
  <c r="CL35" i="34"/>
  <c r="BG60" i="34" s="1"/>
  <c r="AI28" i="34" s="1"/>
  <c r="CL14" i="34"/>
  <c r="BG18" i="34" s="1"/>
  <c r="R18" i="34" s="1"/>
  <c r="CL32" i="34"/>
  <c r="BG54" i="34" s="1"/>
  <c r="AI18" i="34" s="1"/>
  <c r="CL26" i="34"/>
  <c r="BG42" i="34" s="1"/>
  <c r="R58" i="34" s="1"/>
  <c r="CL11" i="34"/>
  <c r="BG12" i="34" s="1"/>
  <c r="R7" i="34" s="1"/>
  <c r="CL20" i="34"/>
  <c r="BG30" i="34" s="1"/>
  <c r="R38" i="34" s="1"/>
  <c r="CL17" i="34"/>
  <c r="BG24" i="34" s="1"/>
  <c r="R28" i="34" s="1"/>
  <c r="CL29" i="34"/>
  <c r="BG48" i="34" s="1"/>
  <c r="AI7" i="34" s="1"/>
  <c r="CL38" i="34"/>
  <c r="BG66" i="34" s="1"/>
  <c r="AI38" i="34" s="1"/>
  <c r="AM71" i="34" l="1"/>
  <c r="AN71" i="34" s="1"/>
  <c r="AO71" i="34" s="1"/>
  <c r="AO72" i="34" s="1"/>
  <c r="AL72" i="34"/>
  <c r="AM47" i="34"/>
  <c r="AN47" i="34" s="1"/>
  <c r="AO47" i="34" s="1"/>
  <c r="AP47" i="34" s="1"/>
  <c r="AQ47" i="34" s="1"/>
  <c r="AR47" i="34" s="1"/>
  <c r="AS47" i="34" s="1"/>
  <c r="AT47" i="34" s="1"/>
  <c r="AU47" i="34" s="1"/>
  <c r="AV47" i="34" s="1"/>
  <c r="AW47" i="34" s="1"/>
  <c r="AX47" i="34" s="1"/>
  <c r="AY47" i="34" s="1"/>
  <c r="AZ47" i="34" s="1"/>
  <c r="BA47" i="34" s="1"/>
  <c r="BB47" i="34" s="1"/>
  <c r="BC47" i="34" s="1"/>
  <c r="BD47" i="34" s="1"/>
  <c r="BE47" i="34" s="1"/>
  <c r="BE48" i="34" s="1"/>
  <c r="AL30" i="34"/>
  <c r="AM35" i="34"/>
  <c r="AN35" i="34" s="1"/>
  <c r="AO35" i="34" s="1"/>
  <c r="AP35" i="34" s="1"/>
  <c r="AQ35" i="34" s="1"/>
  <c r="AR35" i="34" s="1"/>
  <c r="AS35" i="34" s="1"/>
  <c r="AT35" i="34" s="1"/>
  <c r="AM11" i="34"/>
  <c r="AN11" i="34" s="1"/>
  <c r="AO11" i="34" s="1"/>
  <c r="AP11" i="34" s="1"/>
  <c r="AQ11" i="34" s="1"/>
  <c r="AR11" i="34" s="1"/>
  <c r="AR12" i="34" s="1"/>
  <c r="AM41" i="34"/>
  <c r="AN41" i="34" s="1"/>
  <c r="AO41" i="34" s="1"/>
  <c r="AP41" i="34" s="1"/>
  <c r="AQ41" i="34" s="1"/>
  <c r="AR41" i="34" s="1"/>
  <c r="AS41" i="34" s="1"/>
  <c r="AT41" i="34" s="1"/>
  <c r="AU41" i="34" s="1"/>
  <c r="AV41" i="34" s="1"/>
  <c r="AL54" i="34"/>
  <c r="AM23" i="34"/>
  <c r="AN23" i="34" s="1"/>
  <c r="AO23" i="34" s="1"/>
  <c r="AP23" i="34" s="1"/>
  <c r="AQ23" i="34" s="1"/>
  <c r="AR23" i="34" s="1"/>
  <c r="AS23" i="34" s="1"/>
  <c r="AT23" i="34" s="1"/>
  <c r="AU23" i="34" s="1"/>
  <c r="AV23" i="34" s="1"/>
  <c r="AW23" i="34" s="1"/>
  <c r="AX23" i="34" s="1"/>
  <c r="AY23" i="34" s="1"/>
  <c r="AZ23" i="34" s="1"/>
  <c r="BA23" i="34" s="1"/>
  <c r="BB23" i="34" s="1"/>
  <c r="BC23" i="34" s="1"/>
  <c r="BD23" i="34" s="1"/>
  <c r="BE23" i="34" s="1"/>
  <c r="AL24" i="34"/>
  <c r="AM17" i="34"/>
  <c r="AL18" i="34"/>
  <c r="AM29" i="34"/>
  <c r="AN29" i="34" s="1"/>
  <c r="AO29" i="34" s="1"/>
  <c r="AP29" i="34" s="1"/>
  <c r="AQ29" i="34" s="1"/>
  <c r="AR29" i="34" s="1"/>
  <c r="AS29" i="34" s="1"/>
  <c r="AT29" i="34" s="1"/>
  <c r="AU29" i="34" s="1"/>
  <c r="AV29" i="34" s="1"/>
  <c r="AW29" i="34" s="1"/>
  <c r="AX29" i="34" s="1"/>
  <c r="AY29" i="34" s="1"/>
  <c r="AM53" i="34"/>
  <c r="AN53" i="34" s="1"/>
  <c r="AO53" i="34" s="1"/>
  <c r="AP53" i="34" s="1"/>
  <c r="AQ53" i="34" s="1"/>
  <c r="AR53" i="34" s="1"/>
  <c r="AS53" i="34" s="1"/>
  <c r="AT53" i="34" s="1"/>
  <c r="AU53" i="34" s="1"/>
  <c r="AV53" i="34" s="1"/>
  <c r="AW53" i="34" s="1"/>
  <c r="AX53" i="34" s="1"/>
  <c r="AY53" i="34" s="1"/>
  <c r="AZ53" i="34" s="1"/>
  <c r="BA53" i="34" s="1"/>
  <c r="BB53" i="34" s="1"/>
  <c r="AL36" i="34"/>
  <c r="AL66" i="34"/>
  <c r="AL42" i="34"/>
  <c r="AM65" i="34"/>
  <c r="AN65" i="34" s="1"/>
  <c r="AO65" i="34" s="1"/>
  <c r="AP65" i="34" s="1"/>
  <c r="AQ65" i="34" s="1"/>
  <c r="AR65" i="34" s="1"/>
  <c r="AS65" i="34" s="1"/>
  <c r="AT65" i="34" s="1"/>
  <c r="AU65" i="34" s="1"/>
  <c r="AV65" i="34" s="1"/>
  <c r="AW65" i="34" s="1"/>
  <c r="AX65" i="34" s="1"/>
  <c r="AY65" i="34" s="1"/>
  <c r="AM77" i="34"/>
  <c r="AL78" i="34"/>
  <c r="AL12" i="34"/>
  <c r="AL60" i="34"/>
  <c r="AL48" i="34"/>
  <c r="AM59" i="34"/>
  <c r="AN59" i="34" s="1"/>
  <c r="AP71" i="34" l="1"/>
  <c r="AP72" i="34" s="1"/>
  <c r="AN72" i="34"/>
  <c r="AM72" i="34"/>
  <c r="AQ48" i="34"/>
  <c r="BB48" i="34"/>
  <c r="AM48" i="34"/>
  <c r="AO48" i="34"/>
  <c r="AY48" i="34"/>
  <c r="AN48" i="34"/>
  <c r="AS48" i="34"/>
  <c r="AP48" i="34"/>
  <c r="AU48" i="34"/>
  <c r="AW48" i="34"/>
  <c r="AR48" i="34"/>
  <c r="AV48" i="34"/>
  <c r="BC48" i="34"/>
  <c r="AZ48" i="34"/>
  <c r="AX48" i="34"/>
  <c r="AM66" i="34"/>
  <c r="BA48" i="34"/>
  <c r="BD48" i="34"/>
  <c r="AT48" i="34"/>
  <c r="AM36" i="34"/>
  <c r="AN36" i="34"/>
  <c r="AO24" i="34"/>
  <c r="AM60" i="34"/>
  <c r="AW54" i="34"/>
  <c r="AP36" i="34"/>
  <c r="AP12" i="34"/>
  <c r="AQ36" i="34"/>
  <c r="AT54" i="34"/>
  <c r="AS36" i="34"/>
  <c r="AS42" i="34"/>
  <c r="AR42" i="34"/>
  <c r="AQ54" i="34"/>
  <c r="AP42" i="34"/>
  <c r="AN12" i="34"/>
  <c r="AU42" i="34"/>
  <c r="AO42" i="34"/>
  <c r="AT42" i="34"/>
  <c r="AO36" i="34"/>
  <c r="AQ42" i="34"/>
  <c r="AR54" i="34"/>
  <c r="AR36" i="34"/>
  <c r="AN42" i="34"/>
  <c r="AM24" i="34"/>
  <c r="AQ12" i="34"/>
  <c r="AR30" i="34"/>
  <c r="AM42" i="34"/>
  <c r="AO12" i="34"/>
  <c r="AW30" i="34"/>
  <c r="AS30" i="34"/>
  <c r="AQ30" i="34"/>
  <c r="AP30" i="34"/>
  <c r="AN24" i="34"/>
  <c r="AM12" i="34"/>
  <c r="AS54" i="34"/>
  <c r="AO30" i="34"/>
  <c r="AV66" i="34"/>
  <c r="AS24" i="34"/>
  <c r="AP24" i="34"/>
  <c r="AT24" i="34"/>
  <c r="AR24" i="34"/>
  <c r="AQ24" i="34"/>
  <c r="AX30" i="34"/>
  <c r="AT30" i="34"/>
  <c r="AV30" i="34"/>
  <c r="AN17" i="34"/>
  <c r="AM18" i="34"/>
  <c r="AR66" i="34"/>
  <c r="AU30" i="34"/>
  <c r="AN30" i="34"/>
  <c r="AM30" i="34"/>
  <c r="AW66" i="34"/>
  <c r="AS66" i="34"/>
  <c r="AN66" i="34"/>
  <c r="AY54" i="34"/>
  <c r="AX54" i="34"/>
  <c r="AZ54" i="34"/>
  <c r="AV54" i="34"/>
  <c r="BA54" i="34"/>
  <c r="AU54" i="34"/>
  <c r="AO66" i="34"/>
  <c r="AO54" i="34"/>
  <c r="AQ66" i="34"/>
  <c r="AP54" i="34"/>
  <c r="BC53" i="34"/>
  <c r="BB54" i="34"/>
  <c r="AX66" i="34"/>
  <c r="AM54" i="34"/>
  <c r="AT66" i="34"/>
  <c r="AU66" i="34"/>
  <c r="AN54" i="34"/>
  <c r="AP66" i="34"/>
  <c r="AQ71" i="34"/>
  <c r="AO59" i="34"/>
  <c r="AN60" i="34"/>
  <c r="AN77" i="34"/>
  <c r="AM78" i="34"/>
  <c r="AU35" i="34"/>
  <c r="AT36" i="34"/>
  <c r="AU24" i="34"/>
  <c r="AZ29" i="34"/>
  <c r="AY30" i="34"/>
  <c r="AW41" i="34"/>
  <c r="AV42" i="34"/>
  <c r="AZ65" i="34"/>
  <c r="AY66" i="34"/>
  <c r="AO17" i="34" l="1"/>
  <c r="AN18" i="34"/>
  <c r="BD53" i="34"/>
  <c r="BC54" i="34"/>
  <c r="AO77" i="34"/>
  <c r="AN78" i="34"/>
  <c r="AP59" i="34"/>
  <c r="AO60" i="34"/>
  <c r="AR71" i="34"/>
  <c r="AQ72" i="34"/>
  <c r="AX41" i="34"/>
  <c r="AW42" i="34"/>
  <c r="BA65" i="34"/>
  <c r="AZ66" i="34"/>
  <c r="BA29" i="34"/>
  <c r="AZ30" i="34"/>
  <c r="AV24" i="34"/>
  <c r="AV35" i="34"/>
  <c r="AU36" i="34"/>
  <c r="AP17" i="34" l="1"/>
  <c r="AO18" i="34"/>
  <c r="BE53" i="34"/>
  <c r="BE54" i="34" s="1"/>
  <c r="BD54" i="34"/>
  <c r="AQ59" i="34"/>
  <c r="AP60" i="34"/>
  <c r="AS71" i="34"/>
  <c r="AR72" i="34"/>
  <c r="AP77" i="34"/>
  <c r="AO78" i="34"/>
  <c r="AV36" i="34"/>
  <c r="AW35" i="34"/>
  <c r="AW24" i="34"/>
  <c r="BB29" i="34"/>
  <c r="BA30" i="34"/>
  <c r="BB65" i="34"/>
  <c r="BA66" i="34"/>
  <c r="AY41" i="34"/>
  <c r="AX42" i="34"/>
  <c r="AQ17" i="34" l="1"/>
  <c r="AP18" i="34"/>
  <c r="AQ77" i="34"/>
  <c r="AP78" i="34"/>
  <c r="AT71" i="34"/>
  <c r="AS72" i="34"/>
  <c r="AR59" i="34"/>
  <c r="AQ60" i="34"/>
  <c r="BC29" i="34"/>
  <c r="BB30" i="34"/>
  <c r="AZ41" i="34"/>
  <c r="AY42" i="34"/>
  <c r="BC65" i="34"/>
  <c r="BB66" i="34"/>
  <c r="AX24" i="34"/>
  <c r="AX35" i="34"/>
  <c r="AW36" i="34"/>
  <c r="AR17" i="34" l="1"/>
  <c r="AQ18" i="34"/>
  <c r="AS59" i="34"/>
  <c r="AR60" i="34"/>
  <c r="AU71" i="34"/>
  <c r="AT72" i="34"/>
  <c r="AR77" i="34"/>
  <c r="AQ78" i="34"/>
  <c r="AY35" i="34"/>
  <c r="AX36" i="34"/>
  <c r="AY24" i="34"/>
  <c r="BD65" i="34"/>
  <c r="BC66" i="34"/>
  <c r="BA41" i="34"/>
  <c r="AZ42" i="34"/>
  <c r="BD29" i="34"/>
  <c r="BC30" i="34"/>
  <c r="AS17" i="34" l="1"/>
  <c r="AR18" i="34"/>
  <c r="AT59" i="34"/>
  <c r="AS60" i="34"/>
  <c r="AS77" i="34"/>
  <c r="AR78" i="34"/>
  <c r="AV71" i="34"/>
  <c r="AU72" i="34"/>
  <c r="BB41" i="34"/>
  <c r="BA42" i="34"/>
  <c r="BE29" i="34"/>
  <c r="BE30" i="34" s="1"/>
  <c r="BD30" i="34"/>
  <c r="BE65" i="34"/>
  <c r="BE66" i="34" s="1"/>
  <c r="BD66" i="34"/>
  <c r="AZ24" i="34"/>
  <c r="AZ35" i="34"/>
  <c r="AY36" i="34"/>
  <c r="AT17" i="34" l="1"/>
  <c r="AS18" i="34"/>
  <c r="AW71" i="34"/>
  <c r="AV72" i="34"/>
  <c r="AT77" i="34"/>
  <c r="AS78" i="34"/>
  <c r="AU59" i="34"/>
  <c r="AT60" i="34"/>
  <c r="BA24" i="34"/>
  <c r="BA35" i="34"/>
  <c r="AZ36" i="34"/>
  <c r="BC41" i="34"/>
  <c r="BB42" i="34"/>
  <c r="AU17" i="34" l="1"/>
  <c r="AT18" i="34"/>
  <c r="AX71" i="34"/>
  <c r="AW72" i="34"/>
  <c r="AV59" i="34"/>
  <c r="AU60" i="34"/>
  <c r="AU77" i="34"/>
  <c r="AT78" i="34"/>
  <c r="BD41" i="34"/>
  <c r="BC42" i="34"/>
  <c r="BB35" i="34"/>
  <c r="BA36" i="34"/>
  <c r="BB24" i="34"/>
  <c r="AV17" i="34" l="1"/>
  <c r="AU18" i="34"/>
  <c r="AY71" i="34"/>
  <c r="AX72" i="34"/>
  <c r="AV77" i="34"/>
  <c r="AU78" i="34"/>
  <c r="AW59" i="34"/>
  <c r="AV60" i="34"/>
  <c r="BC24" i="34"/>
  <c r="BC35" i="34"/>
  <c r="BB36" i="34"/>
  <c r="BE41" i="34"/>
  <c r="BE42" i="34" s="1"/>
  <c r="BD42" i="34"/>
  <c r="AW17" i="34" l="1"/>
  <c r="AV18" i="34"/>
  <c r="AY72" i="34"/>
  <c r="AZ71" i="34"/>
  <c r="AX59" i="34"/>
  <c r="AW60" i="34"/>
  <c r="AV78" i="34"/>
  <c r="AW77" i="34"/>
  <c r="BC36" i="34"/>
  <c r="BD35" i="34"/>
  <c r="BE24" i="34"/>
  <c r="BD24" i="34"/>
  <c r="AX17" i="34" l="1"/>
  <c r="AW18" i="34"/>
  <c r="AY59" i="34"/>
  <c r="AX60" i="34"/>
  <c r="BA71" i="34"/>
  <c r="AZ72" i="34"/>
  <c r="AX77" i="34"/>
  <c r="AW78" i="34"/>
  <c r="BE35" i="34"/>
  <c r="BE36" i="34" s="1"/>
  <c r="BD36" i="34"/>
  <c r="AY17" i="34" l="1"/>
  <c r="AX18" i="34"/>
  <c r="BB71" i="34"/>
  <c r="BA72" i="34"/>
  <c r="AY77" i="34"/>
  <c r="AX78" i="34"/>
  <c r="AZ59" i="34"/>
  <c r="AY60" i="34"/>
  <c r="BF30" i="34"/>
  <c r="R40" i="34" s="1"/>
  <c r="R42" i="34" s="1"/>
  <c r="BF29" i="34"/>
  <c r="AZ17" i="34" l="1"/>
  <c r="AY18" i="34"/>
  <c r="AZ60" i="34"/>
  <c r="BA59" i="34"/>
  <c r="AZ77" i="34"/>
  <c r="AY78" i="34"/>
  <c r="BB72" i="34"/>
  <c r="BC71" i="34"/>
  <c r="BF54" i="34"/>
  <c r="AI20" i="34" s="1"/>
  <c r="AI22" i="34" s="1"/>
  <c r="BF53" i="34"/>
  <c r="BF66" i="34"/>
  <c r="AI40" i="34" s="1"/>
  <c r="AI42" i="34" s="1"/>
  <c r="BF65" i="34"/>
  <c r="BF24" i="34"/>
  <c r="R30" i="34" s="1"/>
  <c r="R32" i="34" s="1"/>
  <c r="BF23" i="34"/>
  <c r="BF36" i="34"/>
  <c r="R50" i="34" s="1"/>
  <c r="R52" i="34" s="1"/>
  <c r="BF35" i="34"/>
  <c r="BF48" i="34"/>
  <c r="AI9" i="34" s="1"/>
  <c r="AI11" i="34" s="1"/>
  <c r="BF47" i="34"/>
  <c r="BA17" i="34" l="1"/>
  <c r="AZ18" i="34"/>
  <c r="BD71" i="34"/>
  <c r="BC72" i="34"/>
  <c r="BA77" i="34"/>
  <c r="AZ78" i="34"/>
  <c r="BB59" i="34"/>
  <c r="BA60" i="34"/>
  <c r="BF42" i="34"/>
  <c r="R60" i="34" s="1"/>
  <c r="R62" i="34" s="1"/>
  <c r="BF41" i="34"/>
  <c r="AS11" i="34"/>
  <c r="AS12" i="34" s="1"/>
  <c r="BB17" i="34" l="1"/>
  <c r="BA18" i="34"/>
  <c r="BB60" i="34"/>
  <c r="BC59" i="34"/>
  <c r="BA78" i="34"/>
  <c r="BB77" i="34"/>
  <c r="BE71" i="34"/>
  <c r="BE72" i="34" s="1"/>
  <c r="BD72" i="34"/>
  <c r="AT11" i="34"/>
  <c r="AT12" i="34" s="1"/>
  <c r="BF71" i="34" l="1"/>
  <c r="BF72" i="34"/>
  <c r="AI50" i="34" s="1"/>
  <c r="AI52" i="34" s="1"/>
  <c r="BC17" i="34"/>
  <c r="BB18" i="34"/>
  <c r="BC77" i="34"/>
  <c r="BB78" i="34"/>
  <c r="BD59" i="34"/>
  <c r="BC60" i="34"/>
  <c r="AU11" i="34"/>
  <c r="AU12" i="34" s="1"/>
  <c r="BD17" i="34" l="1"/>
  <c r="BC18" i="34"/>
  <c r="BE59" i="34"/>
  <c r="BE60" i="34" s="1"/>
  <c r="BD60" i="34"/>
  <c r="BD77" i="34"/>
  <c r="BC78" i="34"/>
  <c r="AV11" i="34"/>
  <c r="AV12" i="34" s="1"/>
  <c r="BF59" i="34" l="1"/>
  <c r="BE17" i="34"/>
  <c r="BE18" i="34" s="1"/>
  <c r="BD18" i="34"/>
  <c r="BF60" i="34"/>
  <c r="AI30" i="34" s="1"/>
  <c r="AI32" i="34" s="1"/>
  <c r="BE77" i="34"/>
  <c r="BD78" i="34"/>
  <c r="AW11" i="34"/>
  <c r="AW12" i="34" s="1"/>
  <c r="BF18" i="34" l="1"/>
  <c r="R20" i="34" s="1"/>
  <c r="R22" i="34" s="1"/>
  <c r="BF17" i="34"/>
  <c r="BE78" i="34"/>
  <c r="BF78" i="34" s="1"/>
  <c r="AI60" i="34" s="1"/>
  <c r="AI62" i="34" s="1"/>
  <c r="BF77" i="34"/>
  <c r="AX11" i="34"/>
  <c r="AX12" i="34" s="1"/>
  <c r="AY11" i="34" l="1"/>
  <c r="AY12" i="34" s="1"/>
  <c r="AZ11" i="34" l="1"/>
  <c r="AZ12" i="34" s="1"/>
  <c r="BA11" i="34" l="1"/>
  <c r="BA12" i="34" s="1"/>
  <c r="BB11" i="34" l="1"/>
  <c r="BB12" i="34" s="1"/>
  <c r="BC11" i="34" l="1"/>
  <c r="BC12" i="34" s="1"/>
  <c r="BD11" i="34" l="1"/>
  <c r="BD12" i="34" s="1"/>
  <c r="BE11" i="34" l="1"/>
  <c r="BF11" i="34" l="1"/>
  <c r="BE12" i="34"/>
  <c r="BF12" i="34" s="1"/>
  <c r="R9" i="34" s="1"/>
  <c r="R11" i="34" s="1"/>
  <c r="AP5" i="3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Henry Metcalfe</author>
  </authors>
  <commentList>
    <comment ref="R14" authorId="0" shapeId="0" xr:uid="{1BAFD929-A56D-45A2-8C82-71E8BF7C39AC}">
      <text>
        <r>
          <rPr>
            <b/>
            <sz val="9"/>
            <color indexed="81"/>
            <rFont val="Tahoma"/>
            <family val="2"/>
          </rPr>
          <t>Henry Metcalfe:</t>
        </r>
        <r>
          <rPr>
            <sz val="9"/>
            <color indexed="81"/>
            <rFont val="Tahoma"/>
            <family val="2"/>
          </rPr>
          <t xml:space="preserve">
Danish Standard DS439</t>
        </r>
      </text>
    </comment>
    <comment ref="A35" authorId="0" shapeId="0" xr:uid="{7F4F459F-9B4C-4C1E-AEBE-43C1FE61EB97}">
      <text>
        <r>
          <rPr>
            <b/>
            <sz val="9"/>
            <color indexed="81"/>
            <rFont val="Tahoma"/>
            <family val="2"/>
          </rPr>
          <t>Henry Metcalfe:</t>
        </r>
        <r>
          <rPr>
            <sz val="9"/>
            <color indexed="81"/>
            <rFont val="Tahoma"/>
            <family val="2"/>
          </rPr>
          <t xml:space="preserve">
Refer to Degree Days Tab</t>
        </r>
      </text>
    </comment>
    <comment ref="A36" authorId="0" shapeId="0" xr:uid="{9FD15EF6-E9AB-4216-B4B5-20C700FA3BFB}">
      <text>
        <r>
          <rPr>
            <b/>
            <sz val="9"/>
            <color indexed="81"/>
            <rFont val="Tahoma"/>
            <family val="2"/>
          </rPr>
          <t>Henry Metcalfe:</t>
        </r>
        <r>
          <rPr>
            <sz val="9"/>
            <color indexed="81"/>
            <rFont val="Tahoma"/>
            <family val="2"/>
          </rPr>
          <t xml:space="preserve">
Refer to Degree Days Tab</t>
        </r>
      </text>
    </comment>
    <comment ref="I39" authorId="0" shapeId="0" xr:uid="{6A73715D-936D-461F-9A07-28B8EF7B4489}">
      <text>
        <r>
          <rPr>
            <b/>
            <sz val="9"/>
            <color indexed="81"/>
            <rFont val="Tahoma"/>
            <family val="2"/>
          </rPr>
          <t>Henry Metcalfe:</t>
        </r>
        <r>
          <rPr>
            <sz val="9"/>
            <color indexed="81"/>
            <rFont val="Tahoma"/>
            <family val="2"/>
          </rPr>
          <t xml:space="preserve">
Information only, not calculated twice.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Henry Metcalfe</author>
  </authors>
  <commentList>
    <comment ref="C4" authorId="0" shapeId="0" xr:uid="{CCC94194-FAF0-4C10-A071-5A6CAC0A3F7E}">
      <text>
        <r>
          <rPr>
            <b/>
            <sz val="9"/>
            <color indexed="81"/>
            <rFont val="Tahoma"/>
            <family val="2"/>
          </rPr>
          <t>Henry Metcalfe:</t>
        </r>
        <r>
          <rPr>
            <sz val="9"/>
            <color indexed="81"/>
            <rFont val="Tahoma"/>
            <family val="2"/>
          </rPr>
          <t xml:space="preserve">
10-30</t>
        </r>
      </text>
    </comment>
    <comment ref="C5" authorId="0" shapeId="0" xr:uid="{0DC7A084-EF33-472E-AB12-19D26094BAD7}">
      <text>
        <r>
          <rPr>
            <b/>
            <sz val="9"/>
            <color indexed="81"/>
            <rFont val="Tahoma"/>
            <family val="2"/>
          </rPr>
          <t>Henry Metcalfe:</t>
        </r>
        <r>
          <rPr>
            <sz val="9"/>
            <color indexed="81"/>
            <rFont val="Tahoma"/>
            <family val="2"/>
          </rPr>
          <t xml:space="preserve">
70-90</t>
        </r>
      </text>
    </comment>
    <comment ref="C6" authorId="0" shapeId="0" xr:uid="{0108F878-C442-4C88-B411-219ADBF158D0}">
      <text>
        <r>
          <rPr>
            <b/>
            <sz val="9"/>
            <color indexed="81"/>
            <rFont val="Tahoma"/>
            <family val="2"/>
          </rPr>
          <t>Henry Metcalfe:</t>
        </r>
        <r>
          <rPr>
            <sz val="9"/>
            <color indexed="81"/>
            <rFont val="Tahoma"/>
            <family val="2"/>
          </rPr>
          <t xml:space="preserve">
10-20</t>
        </r>
      </text>
    </comment>
  </commentList>
</comments>
</file>

<file path=xl/sharedStrings.xml><?xml version="1.0" encoding="utf-8"?>
<sst xmlns="http://schemas.openxmlformats.org/spreadsheetml/2006/main" count="18430" uniqueCount="335">
  <si>
    <t>Estimated Maximum Electrical Demand</t>
  </si>
  <si>
    <t>Type</t>
  </si>
  <si>
    <t>Diversity</t>
  </si>
  <si>
    <t>kW</t>
  </si>
  <si>
    <t>Lighting</t>
  </si>
  <si>
    <t>Power Density</t>
  </si>
  <si>
    <t>Discrete Load</t>
  </si>
  <si>
    <t>Total Power (kW)</t>
  </si>
  <si>
    <t>Design Demand</t>
  </si>
  <si>
    <t>Apparent Power</t>
  </si>
  <si>
    <t>Rated Load (kW)</t>
  </si>
  <si>
    <t>Design Demand (kW)</t>
  </si>
  <si>
    <t>Power Factor</t>
  </si>
  <si>
    <t>Apparent Power (kVA)</t>
  </si>
  <si>
    <t>Restaurant</t>
  </si>
  <si>
    <r>
      <t>Floor Area (m</t>
    </r>
    <r>
      <rPr>
        <b/>
        <vertAlign val="superscript"/>
        <sz val="11"/>
        <color indexed="9"/>
        <rFont val="Calibri"/>
        <family val="2"/>
      </rPr>
      <t>2</t>
    </r>
    <r>
      <rPr>
        <b/>
        <sz val="11"/>
        <color indexed="9"/>
        <rFont val="Calibri"/>
        <family val="2"/>
      </rPr>
      <t>)</t>
    </r>
  </si>
  <si>
    <r>
      <t>Lighting (W/m</t>
    </r>
    <r>
      <rPr>
        <b/>
        <vertAlign val="superscript"/>
        <sz val="11"/>
        <color indexed="9"/>
        <rFont val="Calibri"/>
        <family val="2"/>
      </rPr>
      <t>2</t>
    </r>
    <r>
      <rPr>
        <b/>
        <sz val="11"/>
        <color indexed="9"/>
        <rFont val="Calibri"/>
        <family val="2"/>
      </rPr>
      <t>)</t>
    </r>
  </si>
  <si>
    <r>
      <t>Small Power (W/m</t>
    </r>
    <r>
      <rPr>
        <b/>
        <vertAlign val="superscript"/>
        <sz val="11"/>
        <color indexed="9"/>
        <rFont val="Calibri"/>
        <family val="2"/>
      </rPr>
      <t>2</t>
    </r>
    <r>
      <rPr>
        <b/>
        <sz val="11"/>
        <color indexed="9"/>
        <rFont val="Calibri"/>
        <family val="2"/>
      </rPr>
      <t>)</t>
    </r>
  </si>
  <si>
    <r>
      <t>HVAC (W/m</t>
    </r>
    <r>
      <rPr>
        <b/>
        <vertAlign val="superscript"/>
        <sz val="11"/>
        <color indexed="9"/>
        <rFont val="Calibri"/>
        <family val="2"/>
      </rPr>
      <t>2</t>
    </r>
    <r>
      <rPr>
        <b/>
        <sz val="11"/>
        <color indexed="9"/>
        <rFont val="Calibri"/>
        <family val="2"/>
      </rPr>
      <t>)</t>
    </r>
  </si>
  <si>
    <t>P.F.</t>
  </si>
  <si>
    <t>kVA</t>
  </si>
  <si>
    <t>Electric Oven</t>
  </si>
  <si>
    <t>Electric Hob</t>
  </si>
  <si>
    <t>Fridge</t>
  </si>
  <si>
    <t>Dishwasher</t>
  </si>
  <si>
    <t>Washing machine</t>
  </si>
  <si>
    <t>Sockets</t>
  </si>
  <si>
    <t>TOTAL</t>
  </si>
  <si>
    <t>50-100 apartments</t>
  </si>
  <si>
    <t>100-200 apartments</t>
  </si>
  <si>
    <t>Loads</t>
  </si>
  <si>
    <t>Total</t>
  </si>
  <si>
    <t>Total (kVA)</t>
  </si>
  <si>
    <t>XXXXX - Project Name</t>
  </si>
  <si>
    <t>Total (A)</t>
  </si>
  <si>
    <t>Discrete Loads</t>
  </si>
  <si>
    <t>Room Loads</t>
  </si>
  <si>
    <t>Rated Voltage (V) i.e. 3/1ø</t>
  </si>
  <si>
    <t>Orientation</t>
  </si>
  <si>
    <t>&lt; 50 apartments</t>
  </si>
  <si>
    <t>Quantity</t>
  </si>
  <si>
    <t>AVG</t>
  </si>
  <si>
    <t>Occupancy Profile</t>
  </si>
  <si>
    <t>Apparent Power, Occupancy Weighted (kVA)</t>
  </si>
  <si>
    <t>Undiversified Total (kVA)</t>
  </si>
  <si>
    <t>Undiversified Total (A)</t>
  </si>
  <si>
    <t>Diversified Total (kVA)</t>
  </si>
  <si>
    <t>Diversified Total (A)</t>
  </si>
  <si>
    <t>Max Total (kVA)</t>
  </si>
  <si>
    <t>Max Total (A)</t>
  </si>
  <si>
    <t>Occupancy Profiles</t>
  </si>
  <si>
    <t>Avg Total (kVA)</t>
  </si>
  <si>
    <t>Avg Total (A)</t>
  </si>
  <si>
    <t>PV Panel Outputs and Sizes</t>
  </si>
  <si>
    <t>Manufacturer</t>
  </si>
  <si>
    <t>Range</t>
  </si>
  <si>
    <t>Model</t>
  </si>
  <si>
    <t>Output (NMOT) (W)</t>
  </si>
  <si>
    <t>Length</t>
  </si>
  <si>
    <t>Width</t>
  </si>
  <si>
    <t>Depth</t>
  </si>
  <si>
    <t>W/m2</t>
  </si>
  <si>
    <t>Output per Panel (W)</t>
  </si>
  <si>
    <t>LG</t>
  </si>
  <si>
    <t>Neon 2</t>
  </si>
  <si>
    <t>LG340N1C-V5</t>
  </si>
  <si>
    <t>Panel Width</t>
  </si>
  <si>
    <t>LG335N1C-V5</t>
  </si>
  <si>
    <t>Panel Height</t>
  </si>
  <si>
    <t>LG365Q1C-A5</t>
  </si>
  <si>
    <t>No. Panels</t>
  </si>
  <si>
    <t>Neon R</t>
  </si>
  <si>
    <t>LG360Q1C-A5</t>
  </si>
  <si>
    <t>Array width in panels</t>
  </si>
  <si>
    <t>LG355Q1C-A5</t>
  </si>
  <si>
    <t>Array height in panels</t>
  </si>
  <si>
    <t>LG350Q1C-A5</t>
  </si>
  <si>
    <t>Array width (m)</t>
  </si>
  <si>
    <t>Canadian Solar</t>
  </si>
  <si>
    <t>Dymond - High Efficiency</t>
  </si>
  <si>
    <t xml:space="preserve">CS6X-340P-FG </t>
  </si>
  <si>
    <t>Array Height (m)</t>
  </si>
  <si>
    <t xml:space="preserve">CS6X-345P-FG </t>
  </si>
  <si>
    <t>Total area</t>
  </si>
  <si>
    <t xml:space="preserve">CS6X-350P-FG </t>
  </si>
  <si>
    <t xml:space="preserve">CS6X-355P-FG </t>
  </si>
  <si>
    <t>Standard</t>
  </si>
  <si>
    <t>CS6K 285P</t>
  </si>
  <si>
    <t>CS6K 290P</t>
  </si>
  <si>
    <t>CS6K 295P</t>
  </si>
  <si>
    <t>CS6K 300P</t>
  </si>
  <si>
    <t>CS6K 305P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</si>
  <si>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</si>
  <si>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</si>
  <si>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</si>
  <si>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</si>
  <si>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</si>
  <si>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</si>
  <si>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</si>
  <si>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</si>
  <si>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</si>
  <si>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</si>
  <si>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</si>
  <si>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</si>
  <si>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JA Solar</t>
  </si>
  <si>
    <t>Monocrystaline</t>
  </si>
  <si>
    <t>JAM54S-30-410-MR-BF</t>
  </si>
  <si>
    <t>Solar PV Data</t>
  </si>
  <si>
    <t>Latitude</t>
  </si>
  <si>
    <t>Month</t>
  </si>
  <si>
    <t>System Output</t>
  </si>
  <si>
    <t>k1</t>
  </si>
  <si>
    <t>k2</t>
  </si>
  <si>
    <t>k3</t>
  </si>
  <si>
    <t>k4</t>
  </si>
  <si>
    <t>k5</t>
  </si>
  <si>
    <t>k6</t>
  </si>
  <si>
    <t>k7</t>
  </si>
  <si>
    <t>k8</t>
  </si>
  <si>
    <t>k9</t>
  </si>
  <si>
    <t>Rh-inc(orient, p,m)</t>
  </si>
  <si>
    <t xml:space="preserve">Sh,m </t>
  </si>
  <si>
    <t xml:space="preserve">Shading Factor </t>
  </si>
  <si>
    <t>Shading Factor</t>
  </si>
  <si>
    <t>% sky blocked by obstacles</t>
  </si>
  <si>
    <t>Heavy</t>
  </si>
  <si>
    <t>&gt;80%</t>
  </si>
  <si>
    <t>Significant</t>
  </si>
  <si>
    <t>60-80%</t>
  </si>
  <si>
    <t>Modest</t>
  </si>
  <si>
    <t>20-60%</t>
  </si>
  <si>
    <t>None or Very Little</t>
  </si>
  <si>
    <t>&lt;20%</t>
  </si>
  <si>
    <t>SAP 2012 version 9.92 (October 2013)</t>
  </si>
  <si>
    <t>U3</t>
  </si>
  <si>
    <t>Solar radiation</t>
  </si>
  <si>
    <t>U3.1</t>
  </si>
  <si>
    <t>Solar radiation on a horizontal plane</t>
  </si>
  <si>
    <t>Table U3: Mean global solar irradiance (W/m2) on a horizontal plane, and solar declination</t>
  </si>
  <si>
    <t>Region</t>
  </si>
  <si>
    <t>UK average</t>
  </si>
  <si>
    <t>Thames</t>
  </si>
  <si>
    <t>South East England</t>
  </si>
  <si>
    <t>Southern England</t>
  </si>
  <si>
    <t>South West England</t>
  </si>
  <si>
    <t>Severn Wales /
Severn England</t>
  </si>
  <si>
    <t>Midlands</t>
  </si>
  <si>
    <t>West Pennines Wales /
West Pennines England</t>
  </si>
  <si>
    <t>North West England /
South West Scotland</t>
  </si>
  <si>
    <t>Borders Scotland /
Borders England</t>
  </si>
  <si>
    <t>North East England</t>
  </si>
  <si>
    <t>East Pennines</t>
  </si>
  <si>
    <t>East Anglia</t>
  </si>
  <si>
    <t>Wales</t>
  </si>
  <si>
    <t>West Scotland</t>
  </si>
  <si>
    <t>East Scotland</t>
  </si>
  <si>
    <t>North East Scotland</t>
  </si>
  <si>
    <t>Highland</t>
  </si>
  <si>
    <t>Western Isles</t>
  </si>
  <si>
    <t>Orkney</t>
  </si>
  <si>
    <t>Shetland</t>
  </si>
  <si>
    <t>Northern Ireland</t>
  </si>
  <si>
    <t>Solar declination (°)</t>
  </si>
  <si>
    <t>All regions</t>
  </si>
  <si>
    <t>A = k 1 × sin3(p/2) + k2 × sin2(p/2) + k 3 × sin(p/2)</t>
  </si>
  <si>
    <t>B = k 4 × sin3(p/2) + k 5 × sin2(p/2) + k6 × sin(p/2)</t>
  </si>
  <si>
    <t>(U3)</t>
  </si>
  <si>
    <t>C = k 7 × sin3(p/2) + k 8 × sin2(p/2) + k9 × sin(p/2) + 1</t>
  </si>
  <si>
    <t>The constants k1 to k9 depend on orientation as given in Table U5.</t>
  </si>
  <si>
    <t>For orientations other than those in Table U5, interpolate between two of the columns in the table for each of k1 to</t>
  </si>
  <si>
    <t>k9. For example for orientation 165° from North, interpolate between South-East (135°) and South (180°).</t>
  </si>
  <si>
    <t>Table U5: Constants for calculation of solar flux on vertical and inclined surfaces</t>
  </si>
  <si>
    <t>N</t>
  </si>
  <si>
    <t>NE</t>
  </si>
  <si>
    <t>NW</t>
  </si>
  <si>
    <t>E</t>
  </si>
  <si>
    <t>W</t>
  </si>
  <si>
    <t>SE</t>
  </si>
  <si>
    <t>SW</t>
  </si>
  <si>
    <t>S</t>
  </si>
  <si>
    <t>- 1.06</t>
  </si>
  <si>
    <t>Inclination (degrees)</t>
  </si>
  <si>
    <t>Location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</si>
  <si>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</si>
  <si>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</si>
  <si>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</si>
  <si>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</si>
  <si>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</si>
  <si>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</si>
  <si>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</si>
  <si>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</si>
  <si>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</si>
  <si>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</si>
  <si>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</si>
  <si>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Year</t>
  </si>
  <si>
    <t>Day</t>
  </si>
  <si>
    <t>Time</t>
  </si>
  <si>
    <t>P (W)</t>
  </si>
  <si>
    <t>Grand Total</t>
  </si>
  <si>
    <t>% Sun</t>
  </si>
  <si>
    <t>Constant</t>
  </si>
  <si>
    <t>% of</t>
  </si>
  <si>
    <t>Building Performance Prediction</t>
  </si>
  <si>
    <t>PV kW</t>
  </si>
  <si>
    <t>Batt kW</t>
  </si>
  <si>
    <t>Less Demand</t>
  </si>
  <si>
    <t>Sum of % of</t>
  </si>
  <si>
    <t>Predicted Demand (kWh/day)</t>
  </si>
  <si>
    <t>Adjusted Demand (kWh/day)</t>
  </si>
  <si>
    <t>Renewable Savings (%)</t>
  </si>
  <si>
    <t>Largest Battery Storage Level (kWh)</t>
  </si>
  <si>
    <t>Room Density Loads</t>
  </si>
  <si>
    <t>Apartment loadings</t>
  </si>
  <si>
    <t>Electric Heat Demand</t>
  </si>
  <si>
    <t>Heat Demand (kW)</t>
  </si>
  <si>
    <t>Electric Input (kW)</t>
  </si>
  <si>
    <t>COP (Heat Pump Only)</t>
  </si>
  <si>
    <t>Hot Water Load</t>
  </si>
  <si>
    <t>Building Diversity</t>
  </si>
  <si>
    <t>Heat Pump</t>
  </si>
  <si>
    <t>Coincidence Factor</t>
  </si>
  <si>
    <t>kVA Per flat</t>
  </si>
  <si>
    <t>Danish Standard DS 439</t>
  </si>
  <si>
    <t>Number of Dwellings</t>
  </si>
  <si>
    <t>Residential Loads</t>
  </si>
  <si>
    <t>Life Safety Loads</t>
  </si>
  <si>
    <t>Residential Units from Table</t>
  </si>
  <si>
    <t>Profile 6</t>
  </si>
  <si>
    <t>HWS</t>
  </si>
  <si>
    <t>Profile 1:</t>
  </si>
  <si>
    <t>Morning/Evening</t>
  </si>
  <si>
    <t>Profile 2:</t>
  </si>
  <si>
    <t>Daytime</t>
  </si>
  <si>
    <t>Profile 4:</t>
  </si>
  <si>
    <t>Occasional Use</t>
  </si>
  <si>
    <t>Evening Only</t>
  </si>
  <si>
    <t>Flat Rate</t>
  </si>
  <si>
    <t>School/Education</t>
  </si>
  <si>
    <t>Supermarket</t>
  </si>
  <si>
    <t>Profile 6:</t>
  </si>
  <si>
    <t>Profile 5:</t>
  </si>
  <si>
    <t>Profile 3:</t>
  </si>
  <si>
    <t>Spare Capacity</t>
  </si>
  <si>
    <t>Total + Spare (kVA)</t>
  </si>
  <si>
    <t>Total + Spare (A)</t>
  </si>
  <si>
    <t>100% of 10 A + 50%</t>
  </si>
  <si>
    <t>10A + 30%</t>
  </si>
  <si>
    <t>Hot Water Demand</t>
  </si>
  <si>
    <t>Blank/white cell = input required</t>
  </si>
  <si>
    <t>Grey cell = automated / filled cell</t>
  </si>
  <si>
    <t>Source Type</t>
  </si>
  <si>
    <t>As per HWA/DG1 2018</t>
  </si>
  <si>
    <t>Student Accommodation</t>
  </si>
  <si>
    <t>Dedicated Profile</t>
  </si>
  <si>
    <t>London Gatwick</t>
  </si>
  <si>
    <t xml:space="preserve">       HDD base 10°C</t>
  </si>
  <si>
    <t xml:space="preserve">     CDD base 18.3°C</t>
  </si>
  <si>
    <t>Aberdeen Dyce</t>
  </si>
  <si>
    <t>Max Heat Load</t>
  </si>
  <si>
    <t>Max HDD</t>
  </si>
  <si>
    <t>Heating Load</t>
  </si>
  <si>
    <t>COP</t>
  </si>
  <si>
    <t>Electrical Heating Load (kW)</t>
  </si>
  <si>
    <t>Heating Load (kW)</t>
  </si>
  <si>
    <t>Max Cooling Load</t>
  </si>
  <si>
    <t>Max CDD</t>
  </si>
  <si>
    <t>Month of Max Cooling</t>
  </si>
  <si>
    <t>Month of Max Heating</t>
  </si>
  <si>
    <t>Electrical Cooling Load (kW)</t>
  </si>
  <si>
    <t>Cooling Load (kW)</t>
  </si>
  <si>
    <t>Aughton</t>
  </si>
  <si>
    <t>Belfast</t>
  </si>
  <si>
    <t>Birmingham</t>
  </si>
  <si>
    <t>Finningley</t>
  </si>
  <si>
    <t>Hemsby</t>
  </si>
  <si>
    <t>Jersey</t>
  </si>
  <si>
    <t>Leuchars</t>
  </si>
  <si>
    <t>Oban</t>
  </si>
  <si>
    <t>Cooling Load</t>
  </si>
  <si>
    <t>Max Electrical Heating Load</t>
  </si>
  <si>
    <t>Max Electrical Cooling Load</t>
  </si>
  <si>
    <t>Heating</t>
  </si>
  <si>
    <t>Cooling</t>
  </si>
  <si>
    <t>Life Safety Loads:</t>
  </si>
  <si>
    <t>H&amp;C</t>
  </si>
  <si>
    <t>MAX</t>
  </si>
  <si>
    <t>Custom Location</t>
  </si>
  <si>
    <t>If electric panels, COP of 1</t>
  </si>
  <si>
    <t>Manual Assessment</t>
  </si>
  <si>
    <t>Occupancy Weighted Load Assessment</t>
  </si>
  <si>
    <t>January Heating &amp; Cooling Load</t>
  </si>
  <si>
    <t>Base Load</t>
  </si>
  <si>
    <t>January Diversified Total</t>
  </si>
  <si>
    <t>February Heating &amp; Cooling Load</t>
  </si>
  <si>
    <t>February Diversified Total</t>
  </si>
  <si>
    <t>March Heating &amp; Cooling Load</t>
  </si>
  <si>
    <t>March Diversified Total</t>
  </si>
  <si>
    <t>April Heating &amp; Cooling Load</t>
  </si>
  <si>
    <t>April Diversified Total</t>
  </si>
  <si>
    <t>May Heating &amp; Cooling Load</t>
  </si>
  <si>
    <t>May Diversified Total</t>
  </si>
  <si>
    <t>June Heating &amp; Cooling Load</t>
  </si>
  <si>
    <t>June Diversified Total</t>
  </si>
  <si>
    <t>July Heating &amp; Cooling Load</t>
  </si>
  <si>
    <t>July Diversified Total</t>
  </si>
  <si>
    <t>August Heating &amp; Cooling Load</t>
  </si>
  <si>
    <t>August Diversified Total</t>
  </si>
  <si>
    <t>September Heating &amp; Cooling Load</t>
  </si>
  <si>
    <t>September Diversified Total</t>
  </si>
  <si>
    <t>October Heating &amp; Cooling Load</t>
  </si>
  <si>
    <t>October Diversified Total</t>
  </si>
  <si>
    <t>November Heating &amp; Cooling Load</t>
  </si>
  <si>
    <t>November Diversified Total</t>
  </si>
  <si>
    <t>December Heating &amp; Cooling Load</t>
  </si>
  <si>
    <t>December Diversified Total</t>
  </si>
  <si>
    <t>Battery Storage?</t>
  </si>
  <si>
    <t>Residential Section: (if applicable)</t>
  </si>
  <si>
    <t>© Henry Metcalfe, 2024</t>
  </si>
  <si>
    <t>No</t>
  </si>
  <si>
    <t>Solar PV: Capacity (kWp)</t>
  </si>
  <si>
    <t>Battery Peak Optimisation?</t>
  </si>
  <si>
    <t>Battery?</t>
  </si>
  <si>
    <t>Optimised?</t>
  </si>
  <si>
    <t>Percentile</t>
  </si>
  <si>
    <t>Upper</t>
  </si>
  <si>
    <t>Lower</t>
  </si>
  <si>
    <t>Battery Charge Rate</t>
  </si>
  <si>
    <t xml:space="preserve"> </t>
  </si>
  <si>
    <t>If yes, Battery Charge point (% max demand)</t>
  </si>
  <si>
    <t>If yes, Battery Discharge point (% max demand)</t>
  </si>
  <si>
    <t>If yes, Battery Charge Rating (kWh)</t>
  </si>
  <si>
    <t>Outputs:</t>
  </si>
  <si>
    <t>Afternoon</t>
  </si>
  <si>
    <t>Student Accommodation V2</t>
  </si>
  <si>
    <t>Instantaneous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</si>
</sst>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20"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vertAlign val="superscript"/>
      <sz val="11"/>
      <color indexed="9"/>
      <name val="Calibri"/>
      <family val="2"/>
    </font>
    <font>
      <b/>
      <sz val="11"/>
      <color indexed="9"/>
      <name val="Calibri"/>
      <family val="2"/>
    </font>
    <font>
      <b/>
      <sz val="9"/>
      <color indexed="81"/>
      <name val="Tahoma"/>
      <family val="2"/>
    </font>
    <font>
      <sz val="8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rgb="FF54595F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rgb="FF373847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4F4F00"/>
        <bgColor indexed="64"/>
      </patternFill>
    </fill>
    <fill>
      <patternFill patternType="solid">
        <fgColor theme="6" tint="-0.249977111117893"/>
        <bgColor indexed="64"/>
      </patternFill>
    </fill>
  </fills>
  <borders count="7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/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/>
      <right/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/>
      <bottom/>
      <diagonal/>
    </border>
    <border>
      <left/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9" fontId="6" fillId="0" borderId="0" applyFont="0" applyFill="0" applyBorder="0" applyAlignment="0" applyProtection="0"/>
  </cellStyleXfs>
  <cellXfs count="398">
    <xf numFmtId="0" fontId="0" fillId="0" borderId="0" xfId="0"/>
    <xf numFmtId="0" fontId="9" fillId="0" borderId="0" xfId="0" applyFont="1"/>
    <xf numFmtId="0" fontId="0" fillId="0" borderId="0" xfId="0" applyAlignment="1">
      <alignment horizontal="center" vertical="top"/>
    </xf>
    <xf numFmtId="1" fontId="9" fillId="0" borderId="0" xfId="0" applyNumberFormat="1" applyFont="1"/>
    <xf numFmtId="0" fontId="11" fillId="0" borderId="0" xfId="0" applyFont="1"/>
    <xf numFmtId="0" fontId="12" fillId="0" borderId="0" xfId="0" applyFont="1"/>
    <xf numFmtId="0" fontId="10" fillId="0" borderId="0" xfId="0" applyFont="1"/>
    <xf numFmtId="0" fontId="13" fillId="0" borderId="0" xfId="0" applyFont="1"/>
    <xf numFmtId="1" fontId="0" fillId="0" borderId="0" xfId="0" applyNumberFormat="1"/>
    <xf numFmtId="0" fontId="15" fillId="0" borderId="0" xfId="0" applyFont="1"/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0" fontId="7" fillId="0" borderId="0" xfId="0" applyFont="1"/>
    <xf numFmtId="2" fontId="7" fillId="0" borderId="0" xfId="0" applyNumberFormat="1" applyFont="1"/>
    <xf numFmtId="0" fontId="0" fillId="3" borderId="1" xfId="0" applyFill="1" applyBorder="1" applyAlignment="1">
      <alignment horizontal="center" vertical="center"/>
    </xf>
    <xf numFmtId="0" fontId="0" fillId="3" borderId="24" xfId="0" applyFill="1" applyBorder="1" applyAlignment="1">
      <alignment horizontal="center" vertical="center"/>
    </xf>
    <xf numFmtId="14" fontId="0" fillId="0" borderId="0" xfId="0" applyNumberFormat="1"/>
    <xf numFmtId="0" fontId="0" fillId="0" borderId="28" xfId="0" applyBorder="1"/>
    <xf numFmtId="0" fontId="0" fillId="0" borderId="29" xfId="0" applyBorder="1"/>
    <xf numFmtId="0" fontId="0" fillId="0" borderId="9" xfId="0" applyBorder="1"/>
    <xf numFmtId="0" fontId="0" fillId="0" borderId="1" xfId="0" applyBorder="1"/>
    <xf numFmtId="2" fontId="0" fillId="3" borderId="1" xfId="0" applyNumberFormat="1" applyFill="1" applyBorder="1" applyAlignment="1">
      <alignment horizontal="center" vertical="center" wrapText="1"/>
    </xf>
    <xf numFmtId="2" fontId="0" fillId="3" borderId="33" xfId="0" applyNumberFormat="1" applyFill="1" applyBorder="1" applyAlignment="1">
      <alignment horizontal="center" vertical="center" wrapText="1"/>
    </xf>
    <xf numFmtId="2" fontId="0" fillId="3" borderId="25" xfId="0" applyNumberFormat="1" applyFill="1" applyBorder="1" applyAlignment="1">
      <alignment horizontal="center" vertical="center" wrapText="1"/>
    </xf>
    <xf numFmtId="0" fontId="9" fillId="0" borderId="37" xfId="0" applyFont="1" applyBorder="1"/>
    <xf numFmtId="2" fontId="0" fillId="3" borderId="38" xfId="0" applyNumberFormat="1" applyFill="1" applyBorder="1" applyAlignment="1">
      <alignment horizontal="center" vertical="center" wrapText="1"/>
    </xf>
    <xf numFmtId="2" fontId="0" fillId="3" borderId="40" xfId="0" applyNumberFormat="1" applyFill="1" applyBorder="1" applyAlignment="1">
      <alignment horizontal="center" vertical="center" wrapText="1"/>
    </xf>
    <xf numFmtId="0" fontId="0" fillId="0" borderId="2" xfId="0" applyBorder="1"/>
    <xf numFmtId="2" fontId="0" fillId="3" borderId="4" xfId="0" applyNumberFormat="1" applyFill="1" applyBorder="1" applyAlignment="1">
      <alignment horizontal="center" vertical="center" wrapText="1"/>
    </xf>
    <xf numFmtId="2" fontId="0" fillId="3" borderId="19" xfId="0" applyNumberFormat="1" applyFill="1" applyBorder="1" applyAlignment="1">
      <alignment horizontal="center" vertical="center" wrapText="1"/>
    </xf>
    <xf numFmtId="0" fontId="0" fillId="3" borderId="48" xfId="0" applyFill="1" applyBorder="1" applyAlignment="1">
      <alignment horizontal="center" vertical="center"/>
    </xf>
    <xf numFmtId="0" fontId="0" fillId="0" borderId="0" xfId="0" applyAlignment="1">
      <alignment horizontal="center"/>
    </xf>
    <xf numFmtId="1" fontId="0" fillId="3" borderId="22" xfId="0" applyNumberFormat="1" applyFill="1" applyBorder="1" applyAlignment="1">
      <alignment horizontal="center" vertical="center" wrapText="1"/>
    </xf>
    <xf numFmtId="1" fontId="0" fillId="3" borderId="1" xfId="0" applyNumberFormat="1" applyFill="1" applyBorder="1" applyAlignment="1">
      <alignment horizontal="center" vertical="center" wrapText="1"/>
    </xf>
    <xf numFmtId="0" fontId="0" fillId="0" borderId="10" xfId="0" applyBorder="1"/>
    <xf numFmtId="2" fontId="0" fillId="3" borderId="1" xfId="0" applyNumberFormat="1" applyFill="1" applyBorder="1" applyAlignment="1">
      <alignment horizontal="center" vertical="center"/>
    </xf>
    <xf numFmtId="164" fontId="0" fillId="3" borderId="1" xfId="0" applyNumberFormat="1" applyFill="1" applyBorder="1" applyAlignment="1">
      <alignment horizontal="center" vertical="center"/>
    </xf>
    <xf numFmtId="164" fontId="0" fillId="3" borderId="7" xfId="0" applyNumberFormat="1" applyFill="1" applyBorder="1" applyAlignment="1">
      <alignment horizontal="center" vertical="center"/>
    </xf>
    <xf numFmtId="1" fontId="13" fillId="0" borderId="7" xfId="0" applyNumberFormat="1" applyFont="1" applyBorder="1" applyAlignment="1">
      <alignment horizontal="center" vertical="center"/>
    </xf>
    <xf numFmtId="10" fontId="0" fillId="0" borderId="0" xfId="0" applyNumberFormat="1"/>
    <xf numFmtId="164" fontId="0" fillId="0" borderId="1" xfId="0" applyNumberFormat="1" applyBorder="1"/>
    <xf numFmtId="0" fontId="0" fillId="0" borderId="14" xfId="0" applyBorder="1"/>
    <xf numFmtId="0" fontId="0" fillId="0" borderId="15" xfId="0" applyBorder="1"/>
    <xf numFmtId="20" fontId="8" fillId="2" borderId="25" xfId="0" applyNumberFormat="1" applyFont="1" applyFill="1" applyBorder="1" applyAlignment="1">
      <alignment horizontal="center"/>
    </xf>
    <xf numFmtId="2" fontId="0" fillId="0" borderId="0" xfId="0" applyNumberFormat="1"/>
    <xf numFmtId="2" fontId="8" fillId="2" borderId="25" xfId="0" applyNumberFormat="1" applyFont="1" applyFill="1" applyBorder="1" applyAlignment="1">
      <alignment horizontal="center"/>
    </xf>
    <xf numFmtId="0" fontId="7" fillId="5" borderId="0" xfId="0" applyFont="1" applyFill="1"/>
    <xf numFmtId="0" fontId="8" fillId="5" borderId="0" xfId="0" applyFont="1" applyFill="1"/>
    <xf numFmtId="164" fontId="7" fillId="5" borderId="0" xfId="0" applyNumberFormat="1" applyFont="1" applyFill="1"/>
    <xf numFmtId="1" fontId="7" fillId="5" borderId="0" xfId="0" applyNumberFormat="1" applyFont="1" applyFill="1" applyAlignment="1">
      <alignment horizontal="center"/>
    </xf>
    <xf numFmtId="0" fontId="7" fillId="5" borderId="0" xfId="0" applyFont="1" applyFill="1" applyAlignment="1">
      <alignment horizontal="center"/>
    </xf>
    <xf numFmtId="165" fontId="7" fillId="5" borderId="0" xfId="0" applyNumberFormat="1" applyFont="1" applyFill="1" applyAlignment="1">
      <alignment horizontal="center"/>
    </xf>
    <xf numFmtId="2" fontId="7" fillId="5" borderId="0" xfId="0" applyNumberFormat="1" applyFont="1" applyFill="1" applyAlignment="1">
      <alignment horizontal="center"/>
    </xf>
    <xf numFmtId="0" fontId="8" fillId="2" borderId="1" xfId="0" applyFont="1" applyFill="1" applyBorder="1" applyAlignment="1">
      <alignment horizontal="centerContinuous"/>
    </xf>
    <xf numFmtId="0" fontId="0" fillId="7" borderId="65" xfId="0" applyFill="1" applyBorder="1"/>
    <xf numFmtId="0" fontId="0" fillId="0" borderId="65" xfId="0" applyBorder="1"/>
    <xf numFmtId="0" fontId="0" fillId="0" borderId="66" xfId="0" applyBorder="1"/>
    <xf numFmtId="0" fontId="0" fillId="0" borderId="67" xfId="0" applyBorder="1"/>
    <xf numFmtId="0" fontId="0" fillId="0" borderId="68" xfId="0" applyBorder="1"/>
    <xf numFmtId="0" fontId="0" fillId="0" borderId="66" xfId="0" pivotButton="1" applyBorder="1"/>
    <xf numFmtId="0" fontId="0" fillId="0" borderId="69" xfId="0" applyBorder="1"/>
    <xf numFmtId="0" fontId="0" fillId="0" borderId="70" xfId="0" applyBorder="1"/>
    <xf numFmtId="0" fontId="0" fillId="0" borderId="71" xfId="0" applyBorder="1"/>
    <xf numFmtId="0" fontId="0" fillId="0" borderId="72" xfId="0" applyBorder="1"/>
    <xf numFmtId="10" fontId="0" fillId="0" borderId="66" xfId="0" applyNumberFormat="1" applyBorder="1"/>
    <xf numFmtId="10" fontId="0" fillId="0" borderId="72" xfId="0" applyNumberFormat="1" applyBorder="1"/>
    <xf numFmtId="10" fontId="0" fillId="0" borderId="71" xfId="0" applyNumberFormat="1" applyBorder="1"/>
    <xf numFmtId="10" fontId="0" fillId="0" borderId="69" xfId="0" applyNumberFormat="1" applyBorder="1"/>
    <xf numFmtId="10" fontId="0" fillId="0" borderId="73" xfId="0" applyNumberFormat="1" applyBorder="1"/>
    <xf numFmtId="10" fontId="0" fillId="0" borderId="70" xfId="0" applyNumberFormat="1" applyBorder="1"/>
    <xf numFmtId="10" fontId="0" fillId="0" borderId="74" xfId="0" applyNumberFormat="1" applyBorder="1"/>
    <xf numFmtId="10" fontId="0" fillId="0" borderId="75" xfId="0" applyNumberFormat="1" applyBorder="1"/>
    <xf numFmtId="0" fontId="8" fillId="2" borderId="1" xfId="0" applyFont="1" applyFill="1" applyBorder="1" applyAlignment="1">
      <alignment horizontal="left"/>
    </xf>
    <xf numFmtId="0" fontId="8" fillId="8" borderId="76" xfId="0" applyFont="1" applyFill="1" applyBorder="1"/>
    <xf numFmtId="0" fontId="8" fillId="8" borderId="76" xfId="0" applyFont="1" applyFill="1" applyBorder="1" applyAlignment="1">
      <alignment horizontal="right"/>
    </xf>
    <xf numFmtId="0" fontId="0" fillId="0" borderId="77" xfId="0" applyBorder="1"/>
    <xf numFmtId="0" fontId="0" fillId="0" borderId="76" xfId="0" applyBorder="1"/>
    <xf numFmtId="9" fontId="6" fillId="0" borderId="76" xfId="1" applyFont="1" applyBorder="1"/>
    <xf numFmtId="9" fontId="6" fillId="0" borderId="65" xfId="1" applyFont="1" applyBorder="1"/>
    <xf numFmtId="9" fontId="8" fillId="8" borderId="76" xfId="1" applyFont="1" applyFill="1" applyBorder="1"/>
    <xf numFmtId="9" fontId="0" fillId="0" borderId="77" xfId="0" applyNumberFormat="1" applyBorder="1"/>
    <xf numFmtId="9" fontId="6" fillId="0" borderId="1" xfId="1" applyFont="1" applyBorder="1" applyAlignment="1">
      <alignment horizontal="center"/>
    </xf>
    <xf numFmtId="0" fontId="16" fillId="0" borderId="0" xfId="0" applyFont="1"/>
    <xf numFmtId="1" fontId="13" fillId="0" borderId="33" xfId="0" applyNumberFormat="1" applyFont="1" applyBorder="1" applyAlignment="1">
      <alignment horizontal="center" vertical="center"/>
    </xf>
    <xf numFmtId="0" fontId="0" fillId="3" borderId="1" xfId="0" applyFill="1" applyBorder="1" applyAlignment="1">
      <alignment horizontal="left" vertical="center" wrapText="1"/>
    </xf>
    <xf numFmtId="1" fontId="0" fillId="0" borderId="0" xfId="0" applyNumberFormat="1" applyAlignment="1">
      <alignment horizontal="center"/>
    </xf>
    <xf numFmtId="9" fontId="6" fillId="0" borderId="0" xfId="1" applyFont="1" applyAlignment="1">
      <alignment horizontal="center"/>
    </xf>
    <xf numFmtId="0" fontId="9" fillId="0" borderId="0" xfId="0" applyFont="1" applyAlignment="1">
      <alignment horizontal="center"/>
    </xf>
    <xf numFmtId="2" fontId="0" fillId="3" borderId="30" xfId="0" applyNumberFormat="1" applyFill="1" applyBorder="1" applyAlignment="1">
      <alignment horizontal="center" vertical="center" wrapText="1"/>
    </xf>
    <xf numFmtId="2" fontId="0" fillId="3" borderId="31" xfId="0" applyNumberFormat="1" applyFill="1" applyBorder="1" applyAlignment="1">
      <alignment horizontal="center" vertical="center" wrapText="1"/>
    </xf>
    <xf numFmtId="164" fontId="0" fillId="0" borderId="0" xfId="0" applyNumberFormat="1"/>
    <xf numFmtId="0" fontId="8" fillId="2" borderId="48" xfId="0" applyFont="1" applyFill="1" applyBorder="1" applyAlignment="1">
      <alignment horizontal="left"/>
    </xf>
    <xf numFmtId="0" fontId="8" fillId="2" borderId="22" xfId="0" applyFont="1" applyFill="1" applyBorder="1" applyAlignment="1">
      <alignment horizontal="left"/>
    </xf>
    <xf numFmtId="2" fontId="9" fillId="3" borderId="19" xfId="0" applyNumberFormat="1" applyFont="1" applyFill="1" applyBorder="1" applyAlignment="1">
      <alignment horizontal="center" vertical="center" wrapText="1"/>
    </xf>
    <xf numFmtId="2" fontId="0" fillId="3" borderId="32" xfId="0" applyNumberFormat="1" applyFill="1" applyBorder="1" applyAlignment="1">
      <alignment horizontal="right" vertical="center" wrapText="1"/>
    </xf>
    <xf numFmtId="0" fontId="17" fillId="0" borderId="0" xfId="0" applyFont="1"/>
    <xf numFmtId="1" fontId="0" fillId="3" borderId="4" xfId="0" applyNumberFormat="1" applyFill="1" applyBorder="1" applyAlignment="1">
      <alignment horizontal="center" vertical="center"/>
    </xf>
    <xf numFmtId="0" fontId="0" fillId="0" borderId="17" xfId="0" applyBorder="1"/>
    <xf numFmtId="1" fontId="0" fillId="3" borderId="53" xfId="0" applyNumberFormat="1" applyFill="1" applyBorder="1" applyAlignment="1">
      <alignment horizontal="center" vertical="center" wrapText="1"/>
    </xf>
    <xf numFmtId="1" fontId="0" fillId="3" borderId="43" xfId="0" applyNumberFormat="1" applyFill="1" applyBorder="1" applyAlignment="1">
      <alignment horizontal="center" vertical="center" wrapText="1"/>
    </xf>
    <xf numFmtId="20" fontId="8" fillId="2" borderId="49" xfId="0" applyNumberFormat="1" applyFont="1" applyFill="1" applyBorder="1" applyAlignment="1">
      <alignment horizontal="center"/>
    </xf>
    <xf numFmtId="0" fontId="9" fillId="0" borderId="16" xfId="0" applyFont="1" applyBorder="1"/>
    <xf numFmtId="164" fontId="0" fillId="3" borderId="6" xfId="0" applyNumberFormat="1" applyFill="1" applyBorder="1" applyAlignment="1">
      <alignment horizontal="center" vertical="center"/>
    </xf>
    <xf numFmtId="1" fontId="0" fillId="3" borderId="5" xfId="0" applyNumberFormat="1" applyFill="1" applyBorder="1" applyAlignment="1">
      <alignment horizontal="center" vertical="center"/>
    </xf>
    <xf numFmtId="164" fontId="0" fillId="3" borderId="25" xfId="0" applyNumberFormat="1" applyFill="1" applyBorder="1" applyAlignment="1">
      <alignment horizontal="center" vertical="center"/>
    </xf>
    <xf numFmtId="1" fontId="0" fillId="3" borderId="54" xfId="0" applyNumberFormat="1" applyFill="1" applyBorder="1" applyAlignment="1">
      <alignment horizontal="center" vertical="center"/>
    </xf>
    <xf numFmtId="2" fontId="0" fillId="3" borderId="6" xfId="0" applyNumberFormat="1" applyFill="1" applyBorder="1" applyAlignment="1">
      <alignment horizontal="center" vertical="center"/>
    </xf>
    <xf numFmtId="0" fontId="0" fillId="3" borderId="39" xfId="0" applyFill="1" applyBorder="1" applyAlignment="1">
      <alignment horizontal="center" vertical="center"/>
    </xf>
    <xf numFmtId="1" fontId="0" fillId="3" borderId="19" xfId="0" applyNumberFormat="1" applyFill="1" applyBorder="1" applyAlignment="1">
      <alignment horizontal="center" vertical="center"/>
    </xf>
    <xf numFmtId="2" fontId="0" fillId="3" borderId="5" xfId="0" applyNumberFormat="1" applyFill="1" applyBorder="1" applyAlignment="1">
      <alignment horizontal="center" vertical="center" wrapText="1"/>
    </xf>
    <xf numFmtId="0" fontId="0" fillId="3" borderId="8" xfId="0" applyFill="1" applyBorder="1" applyAlignment="1">
      <alignment horizontal="left" vertical="center"/>
    </xf>
    <xf numFmtId="164" fontId="0" fillId="3" borderId="5" xfId="0" applyNumberFormat="1" applyFill="1" applyBorder="1" applyAlignment="1">
      <alignment horizontal="center" vertical="center"/>
    </xf>
    <xf numFmtId="0" fontId="0" fillId="3" borderId="9" xfId="0" applyFill="1" applyBorder="1" applyAlignment="1">
      <alignment horizontal="left" vertical="center"/>
    </xf>
    <xf numFmtId="164" fontId="0" fillId="3" borderId="4" xfId="0" applyNumberFormat="1" applyFill="1" applyBorder="1" applyAlignment="1">
      <alignment horizontal="center" vertical="center"/>
    </xf>
    <xf numFmtId="0" fontId="0" fillId="3" borderId="23" xfId="0" applyFill="1" applyBorder="1" applyAlignment="1">
      <alignment horizontal="left" vertical="center"/>
    </xf>
    <xf numFmtId="164" fontId="0" fillId="3" borderId="54" xfId="0" applyNumberFormat="1" applyFill="1" applyBorder="1" applyAlignment="1">
      <alignment horizontal="center" vertical="center"/>
    </xf>
    <xf numFmtId="164" fontId="0" fillId="3" borderId="19" xfId="0" applyNumberFormat="1" applyFill="1" applyBorder="1" applyAlignment="1">
      <alignment horizontal="center" vertical="center"/>
    </xf>
    <xf numFmtId="1" fontId="13" fillId="0" borderId="56" xfId="0" applyNumberFormat="1" applyFont="1" applyBorder="1" applyAlignment="1">
      <alignment horizontal="center" vertical="center"/>
    </xf>
    <xf numFmtId="1" fontId="13" fillId="0" borderId="39" xfId="0" applyNumberFormat="1" applyFont="1" applyBorder="1" applyAlignment="1">
      <alignment horizontal="center" vertical="center"/>
    </xf>
    <xf numFmtId="1" fontId="0" fillId="3" borderId="57" xfId="0" applyNumberFormat="1" applyFill="1" applyBorder="1" applyAlignment="1">
      <alignment horizontal="center" vertical="center" wrapText="1"/>
    </xf>
    <xf numFmtId="2" fontId="0" fillId="3" borderId="28" xfId="0" applyNumberFormat="1" applyFill="1" applyBorder="1" applyAlignment="1">
      <alignment horizontal="left" vertical="center" wrapText="1"/>
    </xf>
    <xf numFmtId="164" fontId="0" fillId="3" borderId="56" xfId="0" applyNumberFormat="1" applyFill="1" applyBorder="1" applyAlignment="1">
      <alignment horizontal="center" vertical="center"/>
    </xf>
    <xf numFmtId="164" fontId="0" fillId="0" borderId="18" xfId="0" applyNumberFormat="1" applyBorder="1"/>
    <xf numFmtId="0" fontId="0" fillId="3" borderId="56" xfId="0" applyFill="1" applyBorder="1" applyAlignment="1">
      <alignment horizontal="center" vertical="center"/>
    </xf>
    <xf numFmtId="0" fontId="0" fillId="3" borderId="30" xfId="0" applyFill="1" applyBorder="1" applyAlignment="1">
      <alignment horizontal="center" vertical="center"/>
    </xf>
    <xf numFmtId="0" fontId="0" fillId="3" borderId="31" xfId="0" applyFill="1" applyBorder="1" applyAlignment="1">
      <alignment horizontal="center" vertical="center"/>
    </xf>
    <xf numFmtId="0" fontId="0" fillId="3" borderId="36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0" fontId="0" fillId="3" borderId="28" xfId="0" applyFill="1" applyBorder="1" applyAlignment="1">
      <alignment horizontal="center" vertical="center"/>
    </xf>
    <xf numFmtId="0" fontId="0" fillId="3" borderId="29" xfId="0" applyFill="1" applyBorder="1" applyAlignment="1">
      <alignment horizontal="center" vertical="center"/>
    </xf>
    <xf numFmtId="0" fontId="0" fillId="3" borderId="38" xfId="0" applyFill="1" applyBorder="1" applyAlignment="1">
      <alignment horizontal="center" vertical="center"/>
    </xf>
    <xf numFmtId="0" fontId="0" fillId="3" borderId="40" xfId="0" applyFill="1" applyBorder="1" applyAlignment="1">
      <alignment horizontal="center" vertical="center"/>
    </xf>
    <xf numFmtId="0" fontId="0" fillId="3" borderId="48" xfId="0" applyFill="1" applyBorder="1" applyAlignment="1">
      <alignment horizontal="center" vertical="center" wrapText="1"/>
    </xf>
    <xf numFmtId="164" fontId="13" fillId="0" borderId="0" xfId="0" applyNumberFormat="1" applyFont="1" applyAlignment="1">
      <alignment horizontal="center"/>
    </xf>
    <xf numFmtId="0" fontId="8" fillId="2" borderId="1" xfId="0" applyFont="1" applyFill="1" applyBorder="1"/>
    <xf numFmtId="2" fontId="0" fillId="3" borderId="58" xfId="0" applyNumberFormat="1" applyFill="1" applyBorder="1" applyAlignment="1">
      <alignment horizontal="left" vertical="center" wrapText="1"/>
    </xf>
    <xf numFmtId="0" fontId="0" fillId="9" borderId="33" xfId="0" applyFill="1" applyBorder="1" applyAlignment="1">
      <alignment horizontal="center" vertical="center"/>
    </xf>
    <xf numFmtId="2" fontId="0" fillId="9" borderId="1" xfId="0" applyNumberFormat="1" applyFill="1" applyBorder="1" applyAlignment="1">
      <alignment horizontal="center" vertical="center"/>
    </xf>
    <xf numFmtId="0" fontId="0" fillId="9" borderId="35" xfId="0" applyFill="1" applyBorder="1"/>
    <xf numFmtId="0" fontId="0" fillId="3" borderId="10" xfId="0" applyFill="1" applyBorder="1" applyAlignment="1">
      <alignment horizontal="left" vertical="center"/>
    </xf>
    <xf numFmtId="0" fontId="0" fillId="0" borderId="24" xfId="0" applyBorder="1"/>
    <xf numFmtId="0" fontId="13" fillId="0" borderId="50" xfId="0" applyFont="1" applyBorder="1"/>
    <xf numFmtId="0" fontId="12" fillId="0" borderId="2" xfId="0" applyFont="1" applyBorder="1"/>
    <xf numFmtId="0" fontId="0" fillId="0" borderId="3" xfId="0" applyBorder="1"/>
    <xf numFmtId="0" fontId="9" fillId="10" borderId="11" xfId="0" applyFont="1" applyFill="1" applyBorder="1" applyAlignment="1">
      <alignment horizontal="centerContinuous" vertical="center"/>
    </xf>
    <xf numFmtId="0" fontId="0" fillId="10" borderId="12" xfId="0" applyFill="1" applyBorder="1" applyAlignment="1">
      <alignment horizontal="centerContinuous" vertical="center"/>
    </xf>
    <xf numFmtId="0" fontId="9" fillId="10" borderId="12" xfId="0" applyFont="1" applyFill="1" applyBorder="1" applyAlignment="1">
      <alignment horizontal="centerContinuous" vertical="center"/>
    </xf>
    <xf numFmtId="0" fontId="0" fillId="10" borderId="13" xfId="0" applyFill="1" applyBorder="1" applyAlignment="1">
      <alignment horizontal="centerContinuous" vertical="center"/>
    </xf>
    <xf numFmtId="0" fontId="14" fillId="10" borderId="45" xfId="0" applyFont="1" applyFill="1" applyBorder="1" applyAlignment="1">
      <alignment horizontal="left" vertical="top"/>
    </xf>
    <xf numFmtId="0" fontId="14" fillId="10" borderId="27" xfId="0" applyFont="1" applyFill="1" applyBorder="1" applyAlignment="1">
      <alignment horizontal="center" vertical="center"/>
    </xf>
    <xf numFmtId="0" fontId="14" fillId="10" borderId="42" xfId="0" applyFont="1" applyFill="1" applyBorder="1" applyAlignment="1">
      <alignment horizontal="center" vertical="center"/>
    </xf>
    <xf numFmtId="0" fontId="9" fillId="4" borderId="11" xfId="0" applyFont="1" applyFill="1" applyBorder="1" applyAlignment="1">
      <alignment horizontal="centerContinuous" vertical="center"/>
    </xf>
    <xf numFmtId="0" fontId="0" fillId="4" borderId="12" xfId="0" applyFill="1" applyBorder="1" applyAlignment="1">
      <alignment horizontal="centerContinuous" vertical="center"/>
    </xf>
    <xf numFmtId="0" fontId="9" fillId="4" borderId="12" xfId="0" applyFont="1" applyFill="1" applyBorder="1" applyAlignment="1">
      <alignment horizontal="centerContinuous" vertical="center"/>
    </xf>
    <xf numFmtId="0" fontId="0" fillId="4" borderId="13" xfId="0" applyFill="1" applyBorder="1" applyAlignment="1">
      <alignment horizontal="centerContinuous" vertical="center"/>
    </xf>
    <xf numFmtId="0" fontId="9" fillId="11" borderId="11" xfId="0" applyFont="1" applyFill="1" applyBorder="1" applyAlignment="1">
      <alignment horizontal="centerContinuous" vertical="center"/>
    </xf>
    <xf numFmtId="0" fontId="0" fillId="11" borderId="12" xfId="0" applyFill="1" applyBorder="1" applyAlignment="1">
      <alignment horizontal="centerContinuous" vertical="center"/>
    </xf>
    <xf numFmtId="0" fontId="9" fillId="11" borderId="12" xfId="0" applyFont="1" applyFill="1" applyBorder="1" applyAlignment="1">
      <alignment horizontal="centerContinuous" vertical="center"/>
    </xf>
    <xf numFmtId="0" fontId="0" fillId="11" borderId="13" xfId="0" applyFill="1" applyBorder="1" applyAlignment="1">
      <alignment horizontal="centerContinuous" vertical="center"/>
    </xf>
    <xf numFmtId="0" fontId="14" fillId="10" borderId="14" xfId="0" applyFont="1" applyFill="1" applyBorder="1" applyAlignment="1">
      <alignment horizontal="left" vertical="top"/>
    </xf>
    <xf numFmtId="2" fontId="0" fillId="12" borderId="38" xfId="0" applyNumberFormat="1" applyFill="1" applyBorder="1" applyAlignment="1">
      <alignment horizontal="left" vertical="center" wrapText="1"/>
    </xf>
    <xf numFmtId="0" fontId="14" fillId="12" borderId="33" xfId="0" applyFont="1" applyFill="1" applyBorder="1" applyAlignment="1">
      <alignment horizontal="center" vertical="top"/>
    </xf>
    <xf numFmtId="0" fontId="14" fillId="12" borderId="18" xfId="0" applyFont="1" applyFill="1" applyBorder="1" applyAlignment="1">
      <alignment horizontal="center" vertical="top"/>
    </xf>
    <xf numFmtId="1" fontId="0" fillId="9" borderId="54" xfId="0" applyNumberFormat="1" applyFill="1" applyBorder="1" applyAlignment="1">
      <alignment horizontal="center" vertical="center"/>
    </xf>
    <xf numFmtId="2" fontId="0" fillId="9" borderId="38" xfId="0" applyNumberFormat="1" applyFill="1" applyBorder="1" applyAlignment="1">
      <alignment horizontal="center" vertical="center" wrapText="1"/>
    </xf>
    <xf numFmtId="164" fontId="0" fillId="9" borderId="25" xfId="0" applyNumberFormat="1" applyFill="1" applyBorder="1" applyAlignment="1">
      <alignment horizontal="center" vertical="center"/>
    </xf>
    <xf numFmtId="0" fontId="14" fillId="10" borderId="27" xfId="0" applyFont="1" applyFill="1" applyBorder="1" applyAlignment="1">
      <alignment horizontal="left" vertical="center"/>
    </xf>
    <xf numFmtId="0" fontId="14" fillId="10" borderId="23" xfId="0" applyFont="1" applyFill="1" applyBorder="1" applyAlignment="1">
      <alignment horizontal="left" vertical="center"/>
    </xf>
    <xf numFmtId="0" fontId="14" fillId="10" borderId="10" xfId="0" applyFont="1" applyFill="1" applyBorder="1" applyAlignment="1">
      <alignment horizontal="left" vertical="center"/>
    </xf>
    <xf numFmtId="0" fontId="0" fillId="11" borderId="59" xfId="0" applyFill="1" applyBorder="1" applyAlignment="1">
      <alignment horizontal="centerContinuous" vertical="center"/>
    </xf>
    <xf numFmtId="0" fontId="0" fillId="11" borderId="46" xfId="0" applyFill="1" applyBorder="1" applyAlignment="1">
      <alignment horizontal="centerContinuous" vertical="center"/>
    </xf>
    <xf numFmtId="0" fontId="0" fillId="11" borderId="47" xfId="0" applyFill="1" applyBorder="1" applyAlignment="1">
      <alignment horizontal="centerContinuous" vertical="center"/>
    </xf>
    <xf numFmtId="0" fontId="0" fillId="4" borderId="59" xfId="0" applyFill="1" applyBorder="1" applyAlignment="1">
      <alignment horizontal="centerContinuous" vertical="center"/>
    </xf>
    <xf numFmtId="0" fontId="0" fillId="4" borderId="46" xfId="0" applyFill="1" applyBorder="1" applyAlignment="1">
      <alignment horizontal="centerContinuous" vertical="center"/>
    </xf>
    <xf numFmtId="0" fontId="0" fillId="4" borderId="47" xfId="0" applyFill="1" applyBorder="1" applyAlignment="1">
      <alignment horizontal="centerContinuous" vertical="center"/>
    </xf>
    <xf numFmtId="0" fontId="0" fillId="10" borderId="59" xfId="0" applyFill="1" applyBorder="1" applyAlignment="1">
      <alignment horizontal="centerContinuous" vertical="center"/>
    </xf>
    <xf numFmtId="0" fontId="0" fillId="10" borderId="46" xfId="0" applyFill="1" applyBorder="1" applyAlignment="1">
      <alignment horizontal="centerContinuous" vertical="center"/>
    </xf>
    <xf numFmtId="0" fontId="0" fillId="10" borderId="47" xfId="0" applyFill="1" applyBorder="1" applyAlignment="1">
      <alignment horizontal="centerContinuous" vertical="center"/>
    </xf>
    <xf numFmtId="0" fontId="14" fillId="10" borderId="45" xfId="0" applyFont="1" applyFill="1" applyBorder="1" applyAlignment="1">
      <alignment horizontal="left" vertical="center"/>
    </xf>
    <xf numFmtId="0" fontId="0" fillId="13" borderId="0" xfId="0" applyFill="1" applyAlignment="1">
      <alignment horizontal="center"/>
    </xf>
    <xf numFmtId="164" fontId="0" fillId="9" borderId="0" xfId="0" applyNumberFormat="1" applyFill="1" applyAlignment="1">
      <alignment horizontal="center"/>
    </xf>
    <xf numFmtId="0" fontId="0" fillId="0" borderId="44" xfId="0" applyBorder="1"/>
    <xf numFmtId="0" fontId="0" fillId="0" borderId="16" xfId="0" applyBorder="1"/>
    <xf numFmtId="0" fontId="0" fillId="0" borderId="63" xfId="0" applyBorder="1"/>
    <xf numFmtId="2" fontId="0" fillId="12" borderId="63" xfId="0" applyNumberFormat="1" applyFill="1" applyBorder="1" applyAlignment="1">
      <alignment horizontal="center" vertical="center" wrapText="1"/>
    </xf>
    <xf numFmtId="2" fontId="0" fillId="14" borderId="36" xfId="0" applyNumberFormat="1" applyFill="1" applyBorder="1" applyAlignment="1">
      <alignment horizontal="center" vertical="center" wrapText="1"/>
    </xf>
    <xf numFmtId="0" fontId="9" fillId="9" borderId="33" xfId="0" applyFont="1" applyFill="1" applyBorder="1" applyAlignment="1">
      <alignment horizontal="center"/>
    </xf>
    <xf numFmtId="0" fontId="9" fillId="9" borderId="18" xfId="0" applyFont="1" applyFill="1" applyBorder="1" applyAlignment="1">
      <alignment horizontal="center"/>
    </xf>
    <xf numFmtId="164" fontId="0" fillId="9" borderId="1" xfId="0" applyNumberFormat="1" applyFill="1" applyBorder="1" applyAlignment="1">
      <alignment horizontal="center"/>
    </xf>
    <xf numFmtId="164" fontId="0" fillId="9" borderId="4" xfId="0" applyNumberFormat="1" applyFill="1" applyBorder="1" applyAlignment="1">
      <alignment horizontal="center"/>
    </xf>
    <xf numFmtId="164" fontId="0" fillId="3" borderId="33" xfId="0" applyNumberFormat="1" applyFill="1" applyBorder="1" applyAlignment="1">
      <alignment horizontal="center" vertical="center"/>
    </xf>
    <xf numFmtId="164" fontId="0" fillId="3" borderId="18" xfId="0" applyNumberFormat="1" applyFill="1" applyBorder="1" applyAlignment="1">
      <alignment horizontal="center" vertical="center"/>
    </xf>
    <xf numFmtId="20" fontId="8" fillId="2" borderId="33" xfId="0" applyNumberFormat="1" applyFont="1" applyFill="1" applyBorder="1" applyAlignment="1">
      <alignment horizontal="center"/>
    </xf>
    <xf numFmtId="20" fontId="8" fillId="2" borderId="18" xfId="0" applyNumberFormat="1" applyFont="1" applyFill="1" applyBorder="1" applyAlignment="1">
      <alignment horizontal="center"/>
    </xf>
    <xf numFmtId="0" fontId="0" fillId="3" borderId="55" xfId="0" applyFill="1" applyBorder="1" applyAlignment="1">
      <alignment horizontal="left" vertical="center"/>
    </xf>
    <xf numFmtId="164" fontId="0" fillId="3" borderId="49" xfId="0" applyNumberFormat="1" applyFill="1" applyBorder="1" applyAlignment="1">
      <alignment horizontal="center" vertical="center"/>
    </xf>
    <xf numFmtId="164" fontId="0" fillId="3" borderId="61" xfId="0" applyNumberFormat="1" applyFill="1" applyBorder="1" applyAlignment="1">
      <alignment horizontal="center" vertical="center"/>
    </xf>
    <xf numFmtId="0" fontId="0" fillId="3" borderId="17" xfId="0" applyFill="1" applyBorder="1" applyAlignment="1">
      <alignment horizontal="left" vertical="center"/>
    </xf>
    <xf numFmtId="164" fontId="0" fillId="9" borderId="1" xfId="0" applyNumberFormat="1" applyFill="1" applyBorder="1" applyAlignment="1">
      <alignment horizontal="center" vertical="center"/>
    </xf>
    <xf numFmtId="0" fontId="0" fillId="14" borderId="58" xfId="0" applyFill="1" applyBorder="1" applyAlignment="1">
      <alignment vertical="center"/>
    </xf>
    <xf numFmtId="0" fontId="0" fillId="0" borderId="33" xfId="0" applyBorder="1"/>
    <xf numFmtId="0" fontId="0" fillId="9" borderId="1" xfId="0" applyFill="1" applyBorder="1" applyAlignment="1">
      <alignment horizontal="centerContinuous"/>
    </xf>
    <xf numFmtId="0" fontId="0" fillId="9" borderId="4" xfId="0" applyFill="1" applyBorder="1" applyAlignment="1">
      <alignment horizontal="centerContinuous"/>
    </xf>
    <xf numFmtId="0" fontId="0" fillId="9" borderId="7" xfId="0" applyFill="1" applyBorder="1" applyAlignment="1">
      <alignment horizontal="centerContinuous"/>
    </xf>
    <xf numFmtId="0" fontId="0" fillId="9" borderId="19" xfId="0" applyFill="1" applyBorder="1" applyAlignment="1">
      <alignment horizontal="centerContinuous"/>
    </xf>
    <xf numFmtId="164" fontId="14" fillId="9" borderId="1" xfId="0" applyNumberFormat="1" applyFont="1" applyFill="1" applyBorder="1" applyAlignment="1">
      <alignment horizontal="center"/>
    </xf>
    <xf numFmtId="164" fontId="14" fillId="9" borderId="4" xfId="0" applyNumberFormat="1" applyFont="1" applyFill="1" applyBorder="1" applyAlignment="1">
      <alignment horizontal="center"/>
    </xf>
    <xf numFmtId="164" fontId="13" fillId="9" borderId="1" xfId="0" applyNumberFormat="1" applyFont="1" applyFill="1" applyBorder="1" applyAlignment="1">
      <alignment horizontal="center"/>
    </xf>
    <xf numFmtId="164" fontId="13" fillId="9" borderId="4" xfId="0" applyNumberFormat="1" applyFont="1" applyFill="1" applyBorder="1" applyAlignment="1">
      <alignment horizontal="center"/>
    </xf>
    <xf numFmtId="164" fontId="14" fillId="9" borderId="7" xfId="0" applyNumberFormat="1" applyFont="1" applyFill="1" applyBorder="1" applyAlignment="1">
      <alignment horizontal="center"/>
    </xf>
    <xf numFmtId="164" fontId="14" fillId="9" borderId="19" xfId="0" applyNumberFormat="1" applyFont="1" applyFill="1" applyBorder="1" applyAlignment="1">
      <alignment horizontal="center"/>
    </xf>
    <xf numFmtId="0" fontId="14" fillId="12" borderId="45" xfId="0" applyFont="1" applyFill="1" applyBorder="1" applyAlignment="1">
      <alignment horizontal="left" vertical="top"/>
    </xf>
    <xf numFmtId="0" fontId="14" fillId="12" borderId="46" xfId="0" applyFont="1" applyFill="1" applyBorder="1" applyAlignment="1">
      <alignment horizontal="left" vertical="top"/>
    </xf>
    <xf numFmtId="0" fontId="14" fillId="12" borderId="47" xfId="0" applyFont="1" applyFill="1" applyBorder="1" applyAlignment="1">
      <alignment horizontal="left" vertical="top"/>
    </xf>
    <xf numFmtId="0" fontId="0" fillId="0" borderId="33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9" borderId="4" xfId="0" applyFill="1" applyBorder="1"/>
    <xf numFmtId="0" fontId="0" fillId="9" borderId="19" xfId="0" applyFill="1" applyBorder="1"/>
    <xf numFmtId="164" fontId="0" fillId="0" borderId="33" xfId="0" applyNumberFormat="1" applyBorder="1"/>
    <xf numFmtId="164" fontId="0" fillId="0" borderId="4" xfId="0" applyNumberFormat="1" applyBorder="1"/>
    <xf numFmtId="0" fontId="0" fillId="0" borderId="7" xfId="0" applyBorder="1"/>
    <xf numFmtId="164" fontId="0" fillId="0" borderId="7" xfId="0" applyNumberFormat="1" applyBorder="1"/>
    <xf numFmtId="164" fontId="0" fillId="0" borderId="19" xfId="0" applyNumberFormat="1" applyBorder="1"/>
    <xf numFmtId="0" fontId="9" fillId="12" borderId="17" xfId="0" applyFont="1" applyFill="1" applyBorder="1" applyAlignment="1">
      <alignment horizontal="center"/>
    </xf>
    <xf numFmtId="0" fontId="9" fillId="12" borderId="33" xfId="0" applyFont="1" applyFill="1" applyBorder="1" applyAlignment="1">
      <alignment horizontal="center"/>
    </xf>
    <xf numFmtId="0" fontId="9" fillId="12" borderId="18" xfId="0" applyFont="1" applyFill="1" applyBorder="1" applyAlignment="1">
      <alignment horizontal="center"/>
    </xf>
    <xf numFmtId="0" fontId="9" fillId="12" borderId="9" xfId="0" applyFont="1" applyFill="1" applyBorder="1" applyAlignment="1">
      <alignment horizontal="center"/>
    </xf>
    <xf numFmtId="0" fontId="0" fillId="12" borderId="1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9" fillId="12" borderId="10" xfId="0" applyFont="1" applyFill="1" applyBorder="1" applyAlignment="1">
      <alignment horizontal="center"/>
    </xf>
    <xf numFmtId="0" fontId="0" fillId="12" borderId="19" xfId="0" applyFill="1" applyBorder="1" applyAlignment="1">
      <alignment horizontal="center"/>
    </xf>
    <xf numFmtId="1" fontId="13" fillId="15" borderId="8" xfId="0" applyNumberFormat="1" applyFont="1" applyFill="1" applyBorder="1" applyAlignment="1">
      <alignment horizontal="center" vertical="center"/>
    </xf>
    <xf numFmtId="0" fontId="10" fillId="15" borderId="17" xfId="0" applyFont="1" applyFill="1" applyBorder="1" applyAlignment="1">
      <alignment horizontal="left" vertical="center"/>
    </xf>
    <xf numFmtId="1" fontId="10" fillId="15" borderId="17" xfId="0" applyNumberFormat="1" applyFont="1" applyFill="1" applyBorder="1" applyAlignment="1">
      <alignment horizontal="center" vertical="center"/>
    </xf>
    <xf numFmtId="1" fontId="10" fillId="15" borderId="51" xfId="0" applyNumberFormat="1" applyFont="1" applyFill="1" applyBorder="1" applyAlignment="1">
      <alignment horizontal="center" vertical="center"/>
    </xf>
    <xf numFmtId="0" fontId="13" fillId="15" borderId="8" xfId="0" applyFont="1" applyFill="1" applyBorder="1" applyAlignment="1">
      <alignment horizontal="left" vertical="center"/>
    </xf>
    <xf numFmtId="1" fontId="13" fillId="15" borderId="64" xfId="0" applyNumberFormat="1" applyFont="1" applyFill="1" applyBorder="1" applyAlignment="1">
      <alignment horizontal="center" vertical="center"/>
    </xf>
    <xf numFmtId="1" fontId="8" fillId="16" borderId="45" xfId="0" applyNumberFormat="1" applyFont="1" applyFill="1" applyBorder="1" applyAlignment="1">
      <alignment horizontal="center"/>
    </xf>
    <xf numFmtId="1" fontId="8" fillId="16" borderId="32" xfId="0" applyNumberFormat="1" applyFont="1" applyFill="1" applyBorder="1" applyAlignment="1">
      <alignment horizontal="center"/>
    </xf>
    <xf numFmtId="0" fontId="14" fillId="16" borderId="45" xfId="0" applyFont="1" applyFill="1" applyBorder="1"/>
    <xf numFmtId="20" fontId="14" fillId="16" borderId="25" xfId="0" applyNumberFormat="1" applyFont="1" applyFill="1" applyBorder="1" applyAlignment="1">
      <alignment horizontal="center"/>
    </xf>
    <xf numFmtId="20" fontId="14" fillId="16" borderId="54" xfId="0" applyNumberFormat="1" applyFont="1" applyFill="1" applyBorder="1" applyAlignment="1">
      <alignment horizontal="center"/>
    </xf>
    <xf numFmtId="0" fontId="0" fillId="0" borderId="0" xfId="0" applyAlignment="1">
      <alignment horizontal="right"/>
    </xf>
    <xf numFmtId="0" fontId="8" fillId="17" borderId="17" xfId="0" applyFont="1" applyFill="1" applyBorder="1"/>
    <xf numFmtId="0" fontId="8" fillId="17" borderId="10" xfId="0" applyFont="1" applyFill="1" applyBorder="1"/>
    <xf numFmtId="0" fontId="8" fillId="17" borderId="1" xfId="0" applyFont="1" applyFill="1" applyBorder="1"/>
    <xf numFmtId="20" fontId="8" fillId="17" borderId="25" xfId="0" applyNumberFormat="1" applyFont="1" applyFill="1" applyBorder="1" applyAlignment="1">
      <alignment horizontal="center"/>
    </xf>
    <xf numFmtId="0" fontId="8" fillId="17" borderId="1" xfId="0" applyFont="1" applyFill="1" applyBorder="1" applyAlignment="1">
      <alignment horizontal="left"/>
    </xf>
    <xf numFmtId="0" fontId="8" fillId="17" borderId="48" xfId="0" applyFont="1" applyFill="1" applyBorder="1" applyAlignment="1">
      <alignment horizontal="left"/>
    </xf>
    <xf numFmtId="20" fontId="8" fillId="17" borderId="49" xfId="0" applyNumberFormat="1" applyFont="1" applyFill="1" applyBorder="1" applyAlignment="1">
      <alignment horizontal="center"/>
    </xf>
    <xf numFmtId="2" fontId="8" fillId="17" borderId="25" xfId="0" applyNumberFormat="1" applyFont="1" applyFill="1" applyBorder="1" applyAlignment="1">
      <alignment horizontal="center"/>
    </xf>
    <xf numFmtId="20" fontId="8" fillId="17" borderId="1" xfId="0" applyNumberFormat="1" applyFont="1" applyFill="1" applyBorder="1" applyAlignment="1">
      <alignment horizontal="center"/>
    </xf>
    <xf numFmtId="20" fontId="8" fillId="17" borderId="4" xfId="0" applyNumberFormat="1" applyFont="1" applyFill="1" applyBorder="1" applyAlignment="1">
      <alignment horizontal="center"/>
    </xf>
    <xf numFmtId="0" fontId="8" fillId="17" borderId="34" xfId="0" applyFont="1" applyFill="1" applyBorder="1"/>
    <xf numFmtId="0" fontId="8" fillId="17" borderId="37" xfId="0" applyFont="1" applyFill="1" applyBorder="1"/>
    <xf numFmtId="0" fontId="8" fillId="17" borderId="9" xfId="0" applyFont="1" applyFill="1" applyBorder="1"/>
    <xf numFmtId="0" fontId="8" fillId="17" borderId="9" xfId="0" applyFont="1" applyFill="1" applyBorder="1" applyAlignment="1">
      <alignment horizontal="left"/>
    </xf>
    <xf numFmtId="0" fontId="8" fillId="17" borderId="10" xfId="0" applyFont="1" applyFill="1" applyBorder="1" applyAlignment="1">
      <alignment horizontal="left"/>
    </xf>
    <xf numFmtId="0" fontId="0" fillId="0" borderId="4" xfId="0" applyBorder="1" applyAlignment="1">
      <alignment horizontal="center"/>
    </xf>
    <xf numFmtId="0" fontId="0" fillId="0" borderId="19" xfId="0" applyBorder="1" applyAlignment="1">
      <alignment horizontal="center"/>
    </xf>
    <xf numFmtId="0" fontId="7" fillId="17" borderId="17" xfId="0" applyFont="1" applyFill="1" applyBorder="1" applyAlignment="1">
      <alignment horizontal="center"/>
    </xf>
    <xf numFmtId="0" fontId="7" fillId="17" borderId="9" xfId="0" applyFont="1" applyFill="1" applyBorder="1" applyAlignment="1">
      <alignment horizontal="center"/>
    </xf>
    <xf numFmtId="0" fontId="7" fillId="17" borderId="10" xfId="0" applyFont="1" applyFill="1" applyBorder="1" applyAlignment="1">
      <alignment horizontal="center"/>
    </xf>
    <xf numFmtId="0" fontId="0" fillId="9" borderId="6" xfId="0" applyFill="1" applyBorder="1" applyAlignment="1">
      <alignment horizontal="centerContinuous"/>
    </xf>
    <xf numFmtId="0" fontId="0" fillId="9" borderId="5" xfId="0" applyFill="1" applyBorder="1" applyAlignment="1">
      <alignment horizontal="centerContinuous"/>
    </xf>
    <xf numFmtId="0" fontId="8" fillId="17" borderId="35" xfId="0" applyFont="1" applyFill="1" applyBorder="1"/>
    <xf numFmtId="0" fontId="0" fillId="9" borderId="57" xfId="0" applyFill="1" applyBorder="1"/>
    <xf numFmtId="164" fontId="0" fillId="9" borderId="26" xfId="0" applyNumberFormat="1" applyFill="1" applyBorder="1"/>
    <xf numFmtId="164" fontId="0" fillId="9" borderId="49" xfId="0" applyNumberFormat="1" applyFill="1" applyBorder="1"/>
    <xf numFmtId="0" fontId="0" fillId="9" borderId="53" xfId="0" applyFill="1" applyBorder="1"/>
    <xf numFmtId="0" fontId="0" fillId="12" borderId="7" xfId="0" applyFill="1" applyBorder="1" applyAlignment="1">
      <alignment horizontal="center"/>
    </xf>
    <xf numFmtId="0" fontId="0" fillId="9" borderId="9" xfId="0" applyFill="1" applyBorder="1"/>
    <xf numFmtId="0" fontId="0" fillId="9" borderId="10" xfId="0" applyFill="1" applyBorder="1"/>
    <xf numFmtId="0" fontId="0" fillId="9" borderId="17" xfId="0" applyFill="1" applyBorder="1"/>
    <xf numFmtId="0" fontId="0" fillId="3" borderId="50" xfId="0" applyFill="1" applyBorder="1" applyAlignment="1">
      <alignment horizontal="center" vertical="center" wrapText="1"/>
    </xf>
    <xf numFmtId="0" fontId="0" fillId="3" borderId="3" xfId="0" applyFill="1" applyBorder="1" applyAlignment="1">
      <alignment horizontal="center" vertical="center"/>
    </xf>
    <xf numFmtId="0" fontId="0" fillId="0" borderId="8" xfId="0" applyBorder="1" applyAlignment="1" applyProtection="1">
      <alignment vertical="center"/>
      <protection locked="0"/>
    </xf>
    <xf numFmtId="0" fontId="0" fillId="0" borderId="9" xfId="0" applyBorder="1" applyAlignment="1" applyProtection="1">
      <alignment vertical="center"/>
      <protection locked="0"/>
    </xf>
    <xf numFmtId="0" fontId="0" fillId="0" borderId="23" xfId="0" applyBorder="1" applyAlignment="1" applyProtection="1">
      <alignment vertical="center"/>
      <protection locked="0"/>
    </xf>
    <xf numFmtId="0" fontId="0" fillId="0" borderId="3" xfId="0" applyBorder="1" applyAlignment="1" applyProtection="1">
      <alignment horizontal="center" vertical="center" wrapText="1"/>
      <protection locked="0"/>
    </xf>
    <xf numFmtId="0" fontId="0" fillId="0" borderId="6" xfId="0" applyBorder="1" applyAlignment="1" applyProtection="1">
      <alignment horizontal="center" vertical="center"/>
      <protection locked="0"/>
    </xf>
    <xf numFmtId="0" fontId="0" fillId="0" borderId="22" xfId="0" applyBorder="1" applyAlignment="1" applyProtection="1">
      <alignment horizontal="center" vertical="center" wrapText="1"/>
      <protection locked="0"/>
    </xf>
    <xf numFmtId="0" fontId="0" fillId="0" borderId="1" xfId="0" applyBorder="1" applyAlignment="1" applyProtection="1">
      <alignment horizontal="center" vertical="center"/>
      <protection locked="0"/>
    </xf>
    <xf numFmtId="0" fontId="0" fillId="0" borderId="29" xfId="0" applyBorder="1" applyAlignment="1" applyProtection="1">
      <alignment horizontal="center" vertical="center" wrapText="1"/>
      <protection locked="0"/>
    </xf>
    <xf numFmtId="0" fontId="0" fillId="0" borderId="25" xfId="0" applyBorder="1" applyAlignment="1" applyProtection="1">
      <alignment horizontal="center" vertical="center"/>
      <protection locked="0"/>
    </xf>
    <xf numFmtId="0" fontId="0" fillId="0" borderId="6" xfId="0" applyBorder="1" applyAlignment="1" applyProtection="1">
      <alignment vertical="center"/>
      <protection locked="0"/>
    </xf>
    <xf numFmtId="0" fontId="0" fillId="0" borderId="49" xfId="0" applyBorder="1" applyAlignment="1" applyProtection="1">
      <alignment horizontal="center" vertical="center"/>
      <protection locked="0"/>
    </xf>
    <xf numFmtId="0" fontId="0" fillId="0" borderId="1" xfId="0" applyBorder="1" applyAlignment="1" applyProtection="1">
      <alignment vertical="center"/>
      <protection locked="0"/>
    </xf>
    <xf numFmtId="0" fontId="0" fillId="0" borderId="24" xfId="0" applyBorder="1" applyAlignment="1" applyProtection="1">
      <alignment horizontal="center" vertical="center"/>
      <protection locked="0"/>
    </xf>
    <xf numFmtId="0" fontId="0" fillId="6" borderId="25" xfId="0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0" fillId="0" borderId="10" xfId="0" applyBorder="1" applyAlignment="1" applyProtection="1">
      <alignment vertical="center"/>
      <protection locked="0"/>
    </xf>
    <xf numFmtId="0" fontId="9" fillId="0" borderId="3" xfId="0" applyFont="1" applyBorder="1" applyAlignment="1" applyProtection="1">
      <alignment horizontal="center" vertical="center" wrapText="1"/>
      <protection locked="0"/>
    </xf>
    <xf numFmtId="0" fontId="0" fillId="0" borderId="40" xfId="0" applyBorder="1" applyAlignment="1" applyProtection="1">
      <alignment horizontal="center" vertical="center" wrapText="1"/>
      <protection locked="0"/>
    </xf>
    <xf numFmtId="0" fontId="0" fillId="0" borderId="7" xfId="0" applyBorder="1" applyAlignment="1" applyProtection="1">
      <alignment horizontal="center" vertical="center"/>
      <protection locked="0"/>
    </xf>
    <xf numFmtId="0" fontId="0" fillId="0" borderId="6" xfId="0" applyBorder="1" applyAlignment="1" applyProtection="1">
      <alignment horizontal="center"/>
      <protection locked="0"/>
    </xf>
    <xf numFmtId="0" fontId="0" fillId="0" borderId="1" xfId="0" applyBorder="1" applyAlignment="1" applyProtection="1">
      <alignment horizontal="center"/>
      <protection locked="0"/>
    </xf>
    <xf numFmtId="0" fontId="0" fillId="6" borderId="1" xfId="0" applyFill="1" applyBorder="1" applyAlignment="1" applyProtection="1">
      <alignment horizontal="center" vertical="center" wrapText="1"/>
      <protection locked="0"/>
    </xf>
    <xf numFmtId="9" fontId="6" fillId="6" borderId="1" xfId="1" applyFont="1" applyFill="1" applyBorder="1" applyAlignment="1" applyProtection="1">
      <alignment horizontal="center" vertical="center" wrapText="1"/>
      <protection locked="0"/>
    </xf>
    <xf numFmtId="164" fontId="0" fillId="0" borderId="18" xfId="0" applyNumberFormat="1" applyBorder="1" applyProtection="1">
      <protection locked="0"/>
    </xf>
    <xf numFmtId="1" fontId="0" fillId="0" borderId="4" xfId="0" applyNumberFormat="1" applyBorder="1" applyAlignment="1" applyProtection="1">
      <alignment horizontal="right"/>
      <protection locked="0"/>
    </xf>
    <xf numFmtId="0" fontId="0" fillId="0" borderId="4" xfId="0" applyBorder="1" applyProtection="1">
      <protection locked="0"/>
    </xf>
    <xf numFmtId="2" fontId="0" fillId="0" borderId="1" xfId="0" applyNumberFormat="1" applyBorder="1" applyAlignment="1" applyProtection="1">
      <alignment horizontal="center" vertical="center"/>
      <protection locked="0"/>
    </xf>
    <xf numFmtId="2" fontId="0" fillId="0" borderId="25" xfId="0" applyNumberFormat="1" applyBorder="1" applyAlignment="1" applyProtection="1">
      <alignment horizontal="center" vertical="center"/>
      <protection locked="0"/>
    </xf>
    <xf numFmtId="0" fontId="0" fillId="0" borderId="35" xfId="0" applyBorder="1" applyProtection="1">
      <protection locked="0"/>
    </xf>
    <xf numFmtId="2" fontId="0" fillId="0" borderId="33" xfId="0" applyNumberFormat="1" applyBorder="1" applyAlignment="1" applyProtection="1">
      <alignment horizontal="center" vertical="center"/>
      <protection locked="0"/>
    </xf>
    <xf numFmtId="2" fontId="0" fillId="0" borderId="7" xfId="0" applyNumberFormat="1" applyBorder="1" applyAlignment="1" applyProtection="1">
      <alignment horizontal="center" vertical="center"/>
      <protection locked="0"/>
    </xf>
    <xf numFmtId="164" fontId="0" fillId="0" borderId="32" xfId="0" applyNumberFormat="1" applyBorder="1" applyProtection="1">
      <protection locked="0"/>
    </xf>
    <xf numFmtId="0" fontId="0" fillId="0" borderId="32" xfId="0" applyBorder="1" applyAlignment="1" applyProtection="1">
      <alignment horizontal="center"/>
      <protection locked="0"/>
    </xf>
    <xf numFmtId="164" fontId="0" fillId="0" borderId="1" xfId="0" applyNumberFormat="1" applyBorder="1" applyAlignment="1" applyProtection="1">
      <alignment horizontal="center"/>
      <protection locked="0"/>
    </xf>
    <xf numFmtId="164" fontId="0" fillId="0" borderId="6" xfId="0" applyNumberFormat="1" applyBorder="1" applyAlignment="1" applyProtection="1">
      <alignment horizontal="center" vertical="center"/>
      <protection locked="0"/>
    </xf>
    <xf numFmtId="164" fontId="0" fillId="0" borderId="1" xfId="0" applyNumberFormat="1" applyBorder="1" applyAlignment="1" applyProtection="1">
      <alignment horizontal="center" vertical="center"/>
      <protection locked="0"/>
    </xf>
    <xf numFmtId="164" fontId="0" fillId="0" borderId="25" xfId="0" applyNumberFormat="1" applyBorder="1" applyAlignment="1" applyProtection="1">
      <alignment horizontal="center" vertical="center"/>
      <protection locked="0"/>
    </xf>
    <xf numFmtId="0" fontId="0" fillId="4" borderId="46" xfId="0" applyFill="1" applyBorder="1" applyAlignment="1" applyProtection="1">
      <alignment horizontal="centerContinuous" vertical="center"/>
      <protection locked="0"/>
    </xf>
    <xf numFmtId="164" fontId="0" fillId="0" borderId="33" xfId="0" applyNumberFormat="1" applyBorder="1" applyAlignment="1" applyProtection="1">
      <alignment horizontal="center" vertical="center"/>
      <protection locked="0"/>
    </xf>
    <xf numFmtId="164" fontId="0" fillId="0" borderId="7" xfId="0" applyNumberFormat="1" applyBorder="1" applyAlignment="1" applyProtection="1">
      <alignment horizontal="center" vertical="center"/>
      <protection locked="0"/>
    </xf>
    <xf numFmtId="164" fontId="0" fillId="0" borderId="49" xfId="0" applyNumberFormat="1" applyBorder="1" applyAlignment="1" applyProtection="1">
      <alignment horizontal="center" vertical="center"/>
      <protection locked="0"/>
    </xf>
    <xf numFmtId="0" fontId="0" fillId="6" borderId="22" xfId="0" applyFill="1" applyBorder="1" applyAlignment="1" applyProtection="1">
      <alignment horizontal="center" vertical="center" wrapText="1"/>
      <protection locked="0"/>
    </xf>
    <xf numFmtId="0" fontId="0" fillId="0" borderId="32" xfId="0" applyBorder="1" applyProtection="1">
      <protection locked="0"/>
    </xf>
    <xf numFmtId="164" fontId="0" fillId="6" borderId="1" xfId="0" applyNumberFormat="1" applyFill="1" applyBorder="1" applyAlignment="1" applyProtection="1">
      <alignment horizontal="center"/>
      <protection locked="0"/>
    </xf>
    <xf numFmtId="164" fontId="0" fillId="6" borderId="7" xfId="0" applyNumberFormat="1" applyFill="1" applyBorder="1" applyAlignment="1" applyProtection="1">
      <alignment horizontal="center"/>
      <protection locked="0"/>
    </xf>
    <xf numFmtId="0" fontId="0" fillId="6" borderId="32" xfId="0" applyFill="1" applyBorder="1" applyAlignment="1" applyProtection="1">
      <alignment horizontal="center"/>
      <protection locked="0"/>
    </xf>
    <xf numFmtId="0" fontId="8" fillId="17" borderId="0" xfId="0" applyFont="1" applyFill="1"/>
    <xf numFmtId="0" fontId="7" fillId="17" borderId="9" xfId="0" applyFont="1" applyFill="1" applyBorder="1"/>
    <xf numFmtId="0" fontId="7" fillId="17" borderId="17" xfId="0" applyFont="1" applyFill="1" applyBorder="1"/>
    <xf numFmtId="0" fontId="7" fillId="17" borderId="10" xfId="0" applyFont="1" applyFill="1" applyBorder="1"/>
    <xf numFmtId="0" fontId="7" fillId="17" borderId="33" xfId="0" applyFont="1" applyFill="1" applyBorder="1"/>
    <xf numFmtId="0" fontId="7" fillId="17" borderId="18" xfId="0" applyFont="1" applyFill="1" applyBorder="1"/>
    <xf numFmtId="0" fontId="7" fillId="17" borderId="1" xfId="0" applyFont="1" applyFill="1" applyBorder="1"/>
    <xf numFmtId="0" fontId="8" fillId="17" borderId="33" xfId="0" applyFont="1" applyFill="1" applyBorder="1"/>
    <xf numFmtId="0" fontId="8" fillId="17" borderId="7" xfId="0" applyFont="1" applyFill="1" applyBorder="1"/>
    <xf numFmtId="0" fontId="19" fillId="0" borderId="0" xfId="0" applyFont="1"/>
    <xf numFmtId="0" fontId="19" fillId="0" borderId="0" xfId="0" applyFont="1" applyAlignment="1">
      <alignment horizontal="center"/>
    </xf>
    <xf numFmtId="0" fontId="8" fillId="2" borderId="1" xfId="0" applyFont="1" applyFill="1" applyBorder="1" applyAlignment="1">
      <alignment horizontal="center"/>
    </xf>
    <xf numFmtId="9" fontId="0" fillId="6" borderId="32" xfId="1" applyFont="1" applyFill="1" applyBorder="1" applyAlignment="1" applyProtection="1">
      <alignment horizontal="center"/>
      <protection locked="0"/>
    </xf>
    <xf numFmtId="9" fontId="0" fillId="0" borderId="0" xfId="0" applyNumberFormat="1"/>
    <xf numFmtId="0" fontId="8" fillId="18" borderId="34" xfId="0" applyFont="1" applyFill="1" applyBorder="1"/>
    <xf numFmtId="0" fontId="7" fillId="18" borderId="9" xfId="0" applyFont="1" applyFill="1" applyBorder="1"/>
    <xf numFmtId="0" fontId="0" fillId="9" borderId="5" xfId="0" applyFill="1" applyBorder="1" applyAlignment="1">
      <alignment horizontal="center"/>
    </xf>
    <xf numFmtId="0" fontId="0" fillId="9" borderId="4" xfId="0" applyFill="1" applyBorder="1" applyAlignment="1">
      <alignment horizontal="center"/>
    </xf>
    <xf numFmtId="0" fontId="0" fillId="6" borderId="4" xfId="0" applyFill="1" applyBorder="1" applyAlignment="1" applyProtection="1">
      <alignment horizontal="center"/>
      <protection locked="0"/>
    </xf>
    <xf numFmtId="0" fontId="0" fillId="17" borderId="54" xfId="0" applyFill="1" applyBorder="1" applyAlignment="1">
      <alignment horizontal="center"/>
    </xf>
    <xf numFmtId="164" fontId="0" fillId="6" borderId="32" xfId="0" applyNumberFormat="1" applyFill="1" applyBorder="1" applyAlignment="1" applyProtection="1">
      <alignment horizontal="center"/>
      <protection locked="0"/>
    </xf>
    <xf numFmtId="164" fontId="0" fillId="9" borderId="18" xfId="0" applyNumberFormat="1" applyFill="1" applyBorder="1" applyAlignment="1">
      <alignment horizontal="center"/>
    </xf>
    <xf numFmtId="164" fontId="9" fillId="9" borderId="19" xfId="0" applyNumberFormat="1" applyFont="1" applyFill="1" applyBorder="1" applyAlignment="1">
      <alignment horizontal="center"/>
    </xf>
    <xf numFmtId="0" fontId="0" fillId="9" borderId="1" xfId="0" applyFill="1" applyBorder="1" applyAlignment="1">
      <alignment horizontal="center"/>
    </xf>
    <xf numFmtId="0" fontId="0" fillId="9" borderId="7" xfId="0" applyFill="1" applyBorder="1" applyAlignment="1">
      <alignment horizontal="center"/>
    </xf>
    <xf numFmtId="0" fontId="0" fillId="9" borderId="19" xfId="0" applyFill="1" applyBorder="1" applyAlignment="1">
      <alignment horizontal="center"/>
    </xf>
    <xf numFmtId="0" fontId="7" fillId="17" borderId="35" xfId="0" applyFont="1" applyFill="1" applyBorder="1"/>
    <xf numFmtId="0" fontId="7" fillId="17" borderId="37" xfId="0" applyFont="1" applyFill="1" applyBorder="1"/>
    <xf numFmtId="0" fontId="8" fillId="17" borderId="41" xfId="0" applyFont="1" applyFill="1" applyBorder="1"/>
    <xf numFmtId="0" fontId="7" fillId="18" borderId="10" xfId="0" applyFont="1" applyFill="1" applyBorder="1"/>
    <xf numFmtId="0" fontId="9" fillId="6" borderId="52" xfId="0" applyFont="1" applyFill="1" applyBorder="1" applyAlignment="1" applyProtection="1">
      <alignment horizontal="center"/>
      <protection locked="0"/>
    </xf>
    <xf numFmtId="20" fontId="0" fillId="0" borderId="0" xfId="0" applyNumberFormat="1"/>
    <xf numFmtId="20" fontId="0" fillId="0" borderId="0" xfId="0" applyNumberFormat="1" applyAlignment="1">
      <alignment horizontal="center"/>
    </xf>
    <xf numFmtId="0" fontId="15" fillId="0" borderId="0" xfId="0" applyFont="1" applyAlignment="1">
      <alignment horizontal="left"/>
    </xf>
    <xf numFmtId="0" fontId="0" fillId="0" borderId="35" xfId="0" applyBorder="1" applyAlignment="1" applyProtection="1">
      <alignment horizontal="left"/>
      <protection locked="0"/>
    </xf>
    <xf numFmtId="0" fontId="0" fillId="0" borderId="22" xfId="0" applyBorder="1" applyAlignment="1" applyProtection="1">
      <alignment horizontal="left"/>
      <protection locked="0"/>
    </xf>
    <xf numFmtId="0" fontId="0" fillId="10" borderId="42" xfId="0" applyFill="1" applyBorder="1" applyAlignment="1" applyProtection="1">
      <alignment horizontal="center" vertical="center"/>
      <protection locked="0"/>
    </xf>
    <xf numFmtId="0" fontId="0" fillId="10" borderId="52" xfId="0" applyFill="1" applyBorder="1" applyAlignment="1" applyProtection="1">
      <alignment horizontal="center" vertical="center"/>
      <protection locked="0"/>
    </xf>
    <xf numFmtId="0" fontId="14" fillId="12" borderId="14" xfId="0" applyFont="1" applyFill="1" applyBorder="1" applyAlignment="1">
      <alignment horizontal="left" vertical="top"/>
    </xf>
    <xf numFmtId="0" fontId="14" fillId="12" borderId="78" xfId="0" applyFont="1" applyFill="1" applyBorder="1" applyAlignment="1">
      <alignment horizontal="left" vertical="top"/>
    </xf>
    <xf numFmtId="0" fontId="14" fillId="6" borderId="48" xfId="0" applyFont="1" applyFill="1" applyBorder="1" applyAlignment="1" applyProtection="1">
      <alignment horizontal="left"/>
      <protection locked="0"/>
    </xf>
    <xf numFmtId="0" fontId="14" fillId="6" borderId="22" xfId="0" applyFont="1" applyFill="1" applyBorder="1" applyAlignment="1" applyProtection="1">
      <alignment horizontal="left"/>
      <protection locked="0"/>
    </xf>
    <xf numFmtId="0" fontId="0" fillId="9" borderId="25" xfId="0" applyFill="1" applyBorder="1" applyAlignment="1">
      <alignment horizontal="center" vertical="center"/>
    </xf>
    <xf numFmtId="0" fontId="0" fillId="9" borderId="6" xfId="0" applyFill="1" applyBorder="1" applyAlignment="1">
      <alignment horizontal="center" vertical="center"/>
    </xf>
    <xf numFmtId="2" fontId="0" fillId="3" borderId="54" xfId="0" applyNumberFormat="1" applyFill="1" applyBorder="1" applyAlignment="1">
      <alignment horizontal="center" vertical="center" wrapText="1"/>
    </xf>
    <xf numFmtId="2" fontId="0" fillId="3" borderId="5" xfId="0" applyNumberFormat="1" applyFill="1" applyBorder="1" applyAlignment="1">
      <alignment horizontal="center" vertical="center" wrapText="1"/>
    </xf>
    <xf numFmtId="0" fontId="8" fillId="17" borderId="25" xfId="0" applyFont="1" applyFill="1" applyBorder="1" applyAlignment="1">
      <alignment horizontal="center" vertical="center" wrapText="1"/>
    </xf>
    <xf numFmtId="0" fontId="8" fillId="17" borderId="49" xfId="0" applyFont="1" applyFill="1" applyBorder="1" applyAlignment="1">
      <alignment horizontal="center" vertical="center" wrapText="1"/>
    </xf>
    <xf numFmtId="0" fontId="8" fillId="17" borderId="56" xfId="0" applyFont="1" applyFill="1" applyBorder="1" applyAlignment="1">
      <alignment horizontal="center"/>
    </xf>
    <xf numFmtId="0" fontId="8" fillId="17" borderId="31" xfId="0" applyFont="1" applyFill="1" applyBorder="1" applyAlignment="1">
      <alignment horizontal="center"/>
    </xf>
    <xf numFmtId="0" fontId="8" fillId="17" borderId="44" xfId="0" applyFont="1" applyFill="1" applyBorder="1" applyAlignment="1">
      <alignment horizontal="center" vertical="center"/>
    </xf>
    <xf numFmtId="0" fontId="8" fillId="17" borderId="20" xfId="0" applyFont="1" applyFill="1" applyBorder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7" borderId="21" xfId="0" applyFont="1" applyFill="1" applyBorder="1" applyAlignment="1">
      <alignment horizontal="center" vertical="center"/>
    </xf>
    <xf numFmtId="0" fontId="8" fillId="17" borderId="2" xfId="0" applyFont="1" applyFill="1" applyBorder="1" applyAlignment="1">
      <alignment horizontal="center" vertical="center"/>
    </xf>
    <xf numFmtId="0" fontId="8" fillId="17" borderId="62" xfId="0" applyFont="1" applyFill="1" applyBorder="1" applyAlignment="1">
      <alignment horizontal="center" vertical="center"/>
    </xf>
    <xf numFmtId="0" fontId="8" fillId="17" borderId="27" xfId="0" applyFont="1" applyFill="1" applyBorder="1" applyAlignment="1">
      <alignment horizontal="center" vertical="center"/>
    </xf>
    <xf numFmtId="0" fontId="8" fillId="17" borderId="55" xfId="0" applyFont="1" applyFill="1" applyBorder="1" applyAlignment="1">
      <alignment horizontal="center" vertical="center"/>
    </xf>
    <xf numFmtId="0" fontId="8" fillId="17" borderId="60" xfId="0" applyFont="1" applyFill="1" applyBorder="1" applyAlignment="1">
      <alignment horizontal="center" vertical="center" wrapText="1"/>
    </xf>
    <xf numFmtId="0" fontId="8" fillId="17" borderId="26" xfId="0" applyFont="1" applyFill="1" applyBorder="1" applyAlignment="1">
      <alignment horizontal="center" vertical="center" wrapText="1"/>
    </xf>
    <xf numFmtId="0" fontId="8" fillId="17" borderId="53" xfId="0" applyFont="1" applyFill="1" applyBorder="1" applyAlignment="1">
      <alignment horizontal="center"/>
    </xf>
    <xf numFmtId="0" fontId="15" fillId="0" borderId="0" xfId="0" applyFont="1" applyAlignment="1" applyProtection="1">
      <alignment horizontal="left"/>
      <protection locked="0"/>
    </xf>
    <xf numFmtId="0" fontId="8" fillId="17" borderId="30" xfId="0" applyFont="1" applyFill="1" applyBorder="1" applyAlignment="1">
      <alignment horizontal="center"/>
    </xf>
    <xf numFmtId="0" fontId="8" fillId="17" borderId="54" xfId="0" applyFont="1" applyFill="1" applyBorder="1" applyAlignment="1">
      <alignment horizontal="center" vertical="center" wrapText="1"/>
    </xf>
    <xf numFmtId="0" fontId="8" fillId="17" borderId="61" xfId="0" applyFont="1" applyFill="1" applyBorder="1" applyAlignment="1">
      <alignment horizontal="center" vertical="center" wrapText="1"/>
    </xf>
    <xf numFmtId="0" fontId="0" fillId="0" borderId="11" xfId="0" applyBorder="1" applyAlignment="1" applyProtection="1">
      <alignment horizontal="center"/>
      <protection locked="0"/>
    </xf>
    <xf numFmtId="0" fontId="0" fillId="0" borderId="13" xfId="0" applyBorder="1" applyAlignment="1" applyProtection="1">
      <alignment horizontal="center"/>
      <protection locked="0"/>
    </xf>
    <xf numFmtId="0" fontId="0" fillId="0" borderId="48" xfId="0" applyBorder="1" applyAlignment="1">
      <alignment horizontal="center" vertical="center"/>
    </xf>
    <xf numFmtId="0" fontId="14" fillId="16" borderId="44" xfId="0" applyFont="1" applyFill="1" applyBorder="1" applyAlignment="1">
      <alignment horizontal="center" vertical="center"/>
    </xf>
    <xf numFmtId="0" fontId="14" fillId="16" borderId="20" xfId="0" applyFont="1" applyFill="1" applyBorder="1" applyAlignment="1">
      <alignment horizontal="center" vertical="center"/>
    </xf>
    <xf numFmtId="0" fontId="14" fillId="16" borderId="0" xfId="0" applyFont="1" applyFill="1" applyAlignment="1">
      <alignment horizontal="center" vertical="center"/>
    </xf>
    <xf numFmtId="0" fontId="14" fillId="16" borderId="21" xfId="0" applyFont="1" applyFill="1" applyBorder="1" applyAlignment="1">
      <alignment horizontal="center" vertical="center"/>
    </xf>
    <xf numFmtId="0" fontId="14" fillId="16" borderId="2" xfId="0" applyFont="1" applyFill="1" applyBorder="1" applyAlignment="1">
      <alignment horizontal="center" vertical="center"/>
    </xf>
    <xf numFmtId="0" fontId="14" fillId="16" borderId="62" xfId="0" applyFont="1" applyFill="1" applyBorder="1" applyAlignment="1">
      <alignment horizontal="center" vertical="center"/>
    </xf>
    <xf numFmtId="0" fontId="14" fillId="16" borderId="27" xfId="0" applyFont="1" applyFill="1" applyBorder="1" applyAlignment="1">
      <alignment horizontal="center" vertical="center"/>
    </xf>
    <xf numFmtId="0" fontId="14" fillId="16" borderId="55" xfId="0" applyFont="1" applyFill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12">
    <dxf>
      <font>
        <b/>
        <i val="0"/>
        <color rgb="FF9C0006"/>
      </font>
      <fill>
        <patternFill>
          <bgColor rgb="FFFFC7CE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numFmt numFmtId="13" formatCode="0%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colors>
    <mruColors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AMD!$U$10</c:f>
              <c:strCache>
                <c:ptCount val="1"/>
                <c:pt idx="0">
                  <c:v>Diversity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AMD!$V$9:$AO$9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AMD!$V$10:$AO$10</c:f>
              <c:numCache>
                <c:formatCode>0.00</c:formatCode>
                <c:ptCount val="20"/>
                <c:pt idx="0">
                  <c:v>0</c:v>
                </c:pt>
                <c:pt idx="1">
                  <c:v>0.5</c:v>
                </c:pt>
                <c:pt idx="2">
                  <c:v>0.7</c:v>
                </c:pt>
                <c:pt idx="3">
                  <c:v>0.7</c:v>
                </c:pt>
                <c:pt idx="4">
                  <c:v>0.5</c:v>
                </c:pt>
                <c:pt idx="5">
                  <c:v>0.2</c:v>
                </c:pt>
                <c:pt idx="6">
                  <c:v>0.1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0.4</c:v>
                </c:pt>
                <c:pt idx="12">
                  <c:v>0.4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0.3</c:v>
                </c:pt>
                <c:pt idx="18">
                  <c:v>0.1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EF-415A-975A-97E174926C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586879"/>
        <c:axId val="1"/>
      </c:lineChart>
      <c:catAx>
        <c:axId val="21586879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586879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AMD!$U$18</c:f>
              <c:strCache>
                <c:ptCount val="1"/>
                <c:pt idx="0">
                  <c:v>Diversity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AMD!$V$9:$AO$9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AMD!$V$18:$AO$18</c:f>
              <c:numCache>
                <c:formatCode>0.00</c:formatCode>
                <c:ptCount val="20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0.7</c:v>
                </c:pt>
                <c:pt idx="4">
                  <c:v>0.8</c:v>
                </c:pt>
                <c:pt idx="5">
                  <c:v>0.9</c:v>
                </c:pt>
                <c:pt idx="6">
                  <c:v>0.9</c:v>
                </c:pt>
                <c:pt idx="7">
                  <c:v>0.9</c:v>
                </c:pt>
                <c:pt idx="8">
                  <c:v>0.9</c:v>
                </c:pt>
                <c:pt idx="9">
                  <c:v>0.9</c:v>
                </c:pt>
                <c:pt idx="10">
                  <c:v>0.9</c:v>
                </c:pt>
                <c:pt idx="11">
                  <c:v>0.8</c:v>
                </c:pt>
                <c:pt idx="12">
                  <c:v>0.7</c:v>
                </c:pt>
                <c:pt idx="13">
                  <c:v>0.6</c:v>
                </c:pt>
                <c:pt idx="14">
                  <c:v>0.3</c:v>
                </c:pt>
                <c:pt idx="15">
                  <c:v>0.1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0A-49F0-BE8D-92054BD514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57871"/>
        <c:axId val="1"/>
      </c:lineChart>
      <c:catAx>
        <c:axId val="17857871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857871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AMD!$U$26</c:f>
              <c:strCache>
                <c:ptCount val="1"/>
                <c:pt idx="0">
                  <c:v>Diversity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AMD!$V$9:$AO$9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AMD!$V$26:$AO$26</c:f>
              <c:numCache>
                <c:formatCode>0.00</c:formatCode>
                <c:ptCount val="20"/>
                <c:pt idx="0">
                  <c:v>0.9</c:v>
                </c:pt>
                <c:pt idx="1">
                  <c:v>0.7</c:v>
                </c:pt>
                <c:pt idx="2">
                  <c:v>0.4</c:v>
                </c:pt>
                <c:pt idx="3">
                  <c:v>0.2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0.2</c:v>
                </c:pt>
                <c:pt idx="13">
                  <c:v>0.4</c:v>
                </c:pt>
                <c:pt idx="14">
                  <c:v>0.7</c:v>
                </c:pt>
                <c:pt idx="15">
                  <c:v>0.8</c:v>
                </c:pt>
                <c:pt idx="16">
                  <c:v>0.95</c:v>
                </c:pt>
                <c:pt idx="17">
                  <c:v>0.95</c:v>
                </c:pt>
                <c:pt idx="18">
                  <c:v>0.95</c:v>
                </c:pt>
                <c:pt idx="19">
                  <c:v>0.95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BB-4403-AFD2-95DDF8540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693679"/>
        <c:axId val="1"/>
      </c:lineChart>
      <c:catAx>
        <c:axId val="78693679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78693679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AMD!$U$26</c:f>
              <c:strCache>
                <c:ptCount val="1"/>
                <c:pt idx="0">
                  <c:v>Diversity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AMD!$AU$10:$BN$10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AMD!$AU$46:$BN$46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19-475B-8C60-1046D4C400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5927359"/>
        <c:axId val="1"/>
      </c:lineChart>
      <c:catAx>
        <c:axId val="1655927359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b="1"/>
                  <a:t>Diversified</a:t>
                </a:r>
                <a:r>
                  <a:rPr lang="en-GB" b="1" baseline="0"/>
                  <a:t> kVA</a:t>
                </a:r>
                <a:endParaRPr lang="en-GB" b="1"/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55927359"/>
        <c:crosses val="autoZero"/>
        <c:crossBetween val="between"/>
      </c:valAx>
      <c:spPr>
        <a:noFill/>
        <a:ln w="25400">
          <a:noFill/>
        </a:ln>
      </c:spPr>
    </c:plotArea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AMD!$U$34</c:f>
              <c:strCache>
                <c:ptCount val="1"/>
                <c:pt idx="0">
                  <c:v>Diversity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AMD!$V$9:$AO$9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AMD!$V$34:$AO$34</c:f>
              <c:numCache>
                <c:formatCode>0.00</c:formatCode>
                <c:ptCount val="20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0.5</c:v>
                </c:pt>
                <c:pt idx="4">
                  <c:v>0.7</c:v>
                </c:pt>
                <c:pt idx="5">
                  <c:v>0.5</c:v>
                </c:pt>
                <c:pt idx="6">
                  <c:v>0.1</c:v>
                </c:pt>
                <c:pt idx="7">
                  <c:v>0.5</c:v>
                </c:pt>
                <c:pt idx="8">
                  <c:v>0.7</c:v>
                </c:pt>
                <c:pt idx="9">
                  <c:v>0.5</c:v>
                </c:pt>
                <c:pt idx="10">
                  <c:v>0.1</c:v>
                </c:pt>
                <c:pt idx="11">
                  <c:v>0.5</c:v>
                </c:pt>
                <c:pt idx="12">
                  <c:v>0.7</c:v>
                </c:pt>
                <c:pt idx="13">
                  <c:v>0.5</c:v>
                </c:pt>
                <c:pt idx="14">
                  <c:v>0.1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A9-40AE-A397-6A5D5EB7CA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505424"/>
        <c:axId val="1"/>
      </c:lineChart>
      <c:catAx>
        <c:axId val="242505424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425054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AMD!$U$42</c:f>
              <c:strCache>
                <c:ptCount val="1"/>
                <c:pt idx="0">
                  <c:v>Diversity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AMD!$V$9:$AO$9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AMD!$V$42:$AO$42</c:f>
              <c:numCache>
                <c:formatCode>0.00</c:formatCode>
                <c:ptCount val="20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0.3</c:v>
                </c:pt>
                <c:pt idx="4">
                  <c:v>0.2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0.4</c:v>
                </c:pt>
                <c:pt idx="12">
                  <c:v>0.4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0.3</c:v>
                </c:pt>
                <c:pt idx="18">
                  <c:v>0.1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9A-4A7D-8760-80B521545C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506384"/>
        <c:axId val="1"/>
      </c:lineChart>
      <c:catAx>
        <c:axId val="242506384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4250638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AMD!$U$50</c:f>
              <c:strCache>
                <c:ptCount val="1"/>
                <c:pt idx="0">
                  <c:v>Diversity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AMD!$V$9:$AO$9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AMD!$V$50:$AO$50</c:f>
              <c:numCache>
                <c:formatCode>0.00</c:formatCode>
                <c:ptCount val="20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01-461C-AFDA-81216E341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509264"/>
        <c:axId val="1"/>
      </c:lineChart>
      <c:catAx>
        <c:axId val="242509264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425092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AMD!$U$61</c:f>
              <c:strCache>
                <c:ptCount val="1"/>
                <c:pt idx="0">
                  <c:v>Diversity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AMD!$V$9:$AO$9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AMD!$V$61:$AO$61</c:f>
              <c:numCache>
                <c:formatCode>General</c:formatCode>
                <c:ptCount val="20"/>
                <c:pt idx="0">
                  <c:v>0</c:v>
                </c:pt>
                <c:pt idx="1">
                  <c:v>0.5</c:v>
                </c:pt>
                <c:pt idx="2">
                  <c:v>0.7</c:v>
                </c:pt>
                <c:pt idx="3">
                  <c:v>0.7</c:v>
                </c:pt>
                <c:pt idx="4">
                  <c:v>0.5</c:v>
                </c:pt>
                <c:pt idx="5">
                  <c:v>0.2</c:v>
                </c:pt>
                <c:pt idx="6">
                  <c:v>0.1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0.4</c:v>
                </c:pt>
                <c:pt idx="12">
                  <c:v>0.4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0.3</c:v>
                </c:pt>
                <c:pt idx="18">
                  <c:v>0.1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A9-451D-B526-C64FB300B2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518864"/>
        <c:axId val="1"/>
      </c:lineChart>
      <c:catAx>
        <c:axId val="242518864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425188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AMD!$U$69</c:f>
              <c:strCache>
                <c:ptCount val="1"/>
                <c:pt idx="0">
                  <c:v>Diversity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AMD!$V$9:$AO$9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AMD!$V$69:$AO$69</c:f>
              <c:numCache>
                <c:formatCode>General</c:formatCode>
                <c:ptCount val="20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0.7</c:v>
                </c:pt>
                <c:pt idx="4">
                  <c:v>0.8</c:v>
                </c:pt>
                <c:pt idx="5">
                  <c:v>0.9</c:v>
                </c:pt>
                <c:pt idx="6">
                  <c:v>0.9</c:v>
                </c:pt>
                <c:pt idx="7">
                  <c:v>0.9</c:v>
                </c:pt>
                <c:pt idx="8">
                  <c:v>0.9</c:v>
                </c:pt>
                <c:pt idx="9">
                  <c:v>0.9</c:v>
                </c:pt>
                <c:pt idx="10">
                  <c:v>0.9</c:v>
                </c:pt>
                <c:pt idx="11">
                  <c:v>0.8</c:v>
                </c:pt>
                <c:pt idx="12">
                  <c:v>0.7</c:v>
                </c:pt>
                <c:pt idx="13">
                  <c:v>0.6</c:v>
                </c:pt>
                <c:pt idx="14">
                  <c:v>0.3</c:v>
                </c:pt>
                <c:pt idx="15">
                  <c:v>0.1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B1-45F6-A7A6-A4EEA04ACA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502544"/>
        <c:axId val="1"/>
      </c:lineChart>
      <c:catAx>
        <c:axId val="242502544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425025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AMD!$U$77</c:f>
              <c:strCache>
                <c:ptCount val="1"/>
                <c:pt idx="0">
                  <c:v>Diversity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AMD!$V$9:$AO$9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AMD!$V$77:$AO$77</c:f>
              <c:numCache>
                <c:formatCode>General</c:formatCode>
                <c:ptCount val="20"/>
                <c:pt idx="0">
                  <c:v>0.9</c:v>
                </c:pt>
                <c:pt idx="1">
                  <c:v>0.7</c:v>
                </c:pt>
                <c:pt idx="2">
                  <c:v>0.4</c:v>
                </c:pt>
                <c:pt idx="3">
                  <c:v>0.2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0.2</c:v>
                </c:pt>
                <c:pt idx="13">
                  <c:v>0.4</c:v>
                </c:pt>
                <c:pt idx="14">
                  <c:v>0.7</c:v>
                </c:pt>
                <c:pt idx="15">
                  <c:v>0.8</c:v>
                </c:pt>
                <c:pt idx="16">
                  <c:v>0.95</c:v>
                </c:pt>
                <c:pt idx="17">
                  <c:v>0.95</c:v>
                </c:pt>
                <c:pt idx="18">
                  <c:v>0.95</c:v>
                </c:pt>
                <c:pt idx="19">
                  <c:v>0.95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BD-499E-968A-0ABDEB6DE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497264"/>
        <c:axId val="1"/>
      </c:lineChart>
      <c:catAx>
        <c:axId val="242497264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424972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AMD!$U$85</c:f>
              <c:strCache>
                <c:ptCount val="1"/>
                <c:pt idx="0">
                  <c:v>Diversity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AMD!$V$9:$AO$9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AMD!$V$85:$AO$85</c:f>
              <c:numCache>
                <c:formatCode>General</c:formatCode>
                <c:ptCount val="20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0.5</c:v>
                </c:pt>
                <c:pt idx="4">
                  <c:v>0.7</c:v>
                </c:pt>
                <c:pt idx="5">
                  <c:v>0.5</c:v>
                </c:pt>
                <c:pt idx="6">
                  <c:v>0.1</c:v>
                </c:pt>
                <c:pt idx="7">
                  <c:v>0.5</c:v>
                </c:pt>
                <c:pt idx="8">
                  <c:v>0.7</c:v>
                </c:pt>
                <c:pt idx="9">
                  <c:v>0.5</c:v>
                </c:pt>
                <c:pt idx="10">
                  <c:v>0.1</c:v>
                </c:pt>
                <c:pt idx="11">
                  <c:v>0.5</c:v>
                </c:pt>
                <c:pt idx="12">
                  <c:v>0.7</c:v>
                </c:pt>
                <c:pt idx="13">
                  <c:v>0.5</c:v>
                </c:pt>
                <c:pt idx="14">
                  <c:v>0.1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72-4F25-BA00-19073C7671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520304"/>
        <c:axId val="1"/>
      </c:lineChart>
      <c:catAx>
        <c:axId val="242520304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4252030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AMD!$U$93</c:f>
              <c:strCache>
                <c:ptCount val="1"/>
                <c:pt idx="0">
                  <c:v>Diversity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AMD!$V$9:$AO$9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AMD!$V$93:$AO$93</c:f>
              <c:numCache>
                <c:formatCode>0.00</c:formatCode>
                <c:ptCount val="20"/>
                <c:pt idx="0">
                  <c:v>0.1</c:v>
                </c:pt>
                <c:pt idx="1">
                  <c:v>0.25</c:v>
                </c:pt>
                <c:pt idx="2">
                  <c:v>0.73</c:v>
                </c:pt>
                <c:pt idx="3">
                  <c:v>0.77</c:v>
                </c:pt>
                <c:pt idx="4">
                  <c:v>0.65</c:v>
                </c:pt>
                <c:pt idx="5">
                  <c:v>0.53</c:v>
                </c:pt>
                <c:pt idx="6">
                  <c:v>0.47</c:v>
                </c:pt>
                <c:pt idx="7">
                  <c:v>0.43</c:v>
                </c:pt>
                <c:pt idx="8">
                  <c:v>0.42</c:v>
                </c:pt>
                <c:pt idx="9">
                  <c:v>0.4</c:v>
                </c:pt>
                <c:pt idx="10">
                  <c:v>0.36</c:v>
                </c:pt>
                <c:pt idx="11">
                  <c:v>0.32</c:v>
                </c:pt>
                <c:pt idx="12">
                  <c:v>0.37</c:v>
                </c:pt>
                <c:pt idx="13">
                  <c:v>0.49</c:v>
                </c:pt>
                <c:pt idx="14">
                  <c:v>0.56000000000000005</c:v>
                </c:pt>
                <c:pt idx="15">
                  <c:v>0.73</c:v>
                </c:pt>
                <c:pt idx="16">
                  <c:v>0.77</c:v>
                </c:pt>
                <c:pt idx="17">
                  <c:v>0.73</c:v>
                </c:pt>
                <c:pt idx="18">
                  <c:v>0.4</c:v>
                </c:pt>
                <c:pt idx="19">
                  <c:v>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2F-415C-9479-EFFA48718A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503984"/>
        <c:axId val="1"/>
      </c:lineChart>
      <c:catAx>
        <c:axId val="242503984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4250398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AMD!$U$101</c:f>
              <c:strCache>
                <c:ptCount val="1"/>
                <c:pt idx="0">
                  <c:v>Diversity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AMD!$V$9:$AO$9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AMD!$V$101:$AO$101</c:f>
              <c:numCache>
                <c:formatCode>0.0</c:formatCode>
                <c:ptCount val="20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26-4713-B677-5F318A75A3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495824"/>
        <c:axId val="1"/>
      </c:lineChart>
      <c:catAx>
        <c:axId val="242495824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424958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AMD!$U$109</c:f>
              <c:strCache>
                <c:ptCount val="1"/>
                <c:pt idx="0">
                  <c:v>Diversity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AMD!$V$9:$AO$9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AMD!$V$109:$AO$109</c:f>
              <c:numCache>
                <c:formatCode>General</c:formatCode>
                <c:ptCount val="20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0.6</c:v>
                </c:pt>
                <c:pt idx="4">
                  <c:v>0.7</c:v>
                </c:pt>
                <c:pt idx="5" formatCode="0.0">
                  <c:v>1</c:v>
                </c:pt>
                <c:pt idx="6">
                  <c:v>0.8</c:v>
                </c:pt>
                <c:pt idx="7">
                  <c:v>0.7</c:v>
                </c:pt>
                <c:pt idx="8">
                  <c:v>0.7</c:v>
                </c:pt>
                <c:pt idx="9">
                  <c:v>0.6</c:v>
                </c:pt>
                <c:pt idx="10">
                  <c:v>0.8</c:v>
                </c:pt>
                <c:pt idx="11">
                  <c:v>0.6</c:v>
                </c:pt>
                <c:pt idx="12">
                  <c:v>0.5</c:v>
                </c:pt>
                <c:pt idx="13">
                  <c:v>0.4</c:v>
                </c:pt>
                <c:pt idx="14">
                  <c:v>0.3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52-42C5-B5DB-ACEDABB975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507824"/>
        <c:axId val="1"/>
      </c:lineChart>
      <c:catAx>
        <c:axId val="242507824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425078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AMD!$U$117</c:f>
              <c:strCache>
                <c:ptCount val="1"/>
                <c:pt idx="0">
                  <c:v>Diversity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AMD!$V$9:$AO$9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AMD!$V$117:$AO$117</c:f>
              <c:numCache>
                <c:formatCode>General</c:formatCode>
                <c:ptCount val="20"/>
                <c:pt idx="0">
                  <c:v>0.1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</c:v>
                </c:pt>
                <c:pt idx="10">
                  <c:v>0.6</c:v>
                </c:pt>
                <c:pt idx="11">
                  <c:v>0.6</c:v>
                </c:pt>
                <c:pt idx="12">
                  <c:v>0.8</c:v>
                </c:pt>
                <c:pt idx="13">
                  <c:v>1</c:v>
                </c:pt>
                <c:pt idx="14">
                  <c:v>1</c:v>
                </c:pt>
                <c:pt idx="15">
                  <c:v>0.8</c:v>
                </c:pt>
                <c:pt idx="16">
                  <c:v>0.6</c:v>
                </c:pt>
                <c:pt idx="17">
                  <c:v>0.4</c:v>
                </c:pt>
                <c:pt idx="18">
                  <c:v>0.2</c:v>
                </c:pt>
                <c:pt idx="19">
                  <c:v>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DC-4EB0-B83A-77880ACFCC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492944"/>
        <c:axId val="1"/>
      </c:lineChart>
      <c:catAx>
        <c:axId val="242492944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424929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AMD!$U$125</c:f>
              <c:strCache>
                <c:ptCount val="1"/>
                <c:pt idx="0">
                  <c:v>Diversity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AMD!$V$9:$AO$9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AMD!$V$125:$AO$125</c:f>
              <c:numCache>
                <c:formatCode>General</c:formatCode>
                <c:ptCount val="20"/>
                <c:pt idx="0">
                  <c:v>0.4</c:v>
                </c:pt>
                <c:pt idx="1">
                  <c:v>0.4</c:v>
                </c:pt>
                <c:pt idx="2">
                  <c:v>0.4</c:v>
                </c:pt>
                <c:pt idx="3">
                  <c:v>0.4</c:v>
                </c:pt>
                <c:pt idx="4">
                  <c:v>0.6</c:v>
                </c:pt>
                <c:pt idx="5">
                  <c:v>0.7</c:v>
                </c:pt>
                <c:pt idx="6">
                  <c:v>0.7</c:v>
                </c:pt>
                <c:pt idx="7">
                  <c:v>0.6</c:v>
                </c:pt>
                <c:pt idx="8">
                  <c:v>0.6</c:v>
                </c:pt>
                <c:pt idx="9">
                  <c:v>0.6</c:v>
                </c:pt>
                <c:pt idx="10">
                  <c:v>0.6</c:v>
                </c:pt>
                <c:pt idx="11">
                  <c:v>0.6</c:v>
                </c:pt>
                <c:pt idx="12">
                  <c:v>0.6</c:v>
                </c:pt>
                <c:pt idx="13">
                  <c:v>0.6</c:v>
                </c:pt>
                <c:pt idx="14">
                  <c:v>0.7</c:v>
                </c:pt>
                <c:pt idx="15">
                  <c:v>0.7</c:v>
                </c:pt>
                <c:pt idx="16">
                  <c:v>0.4</c:v>
                </c:pt>
                <c:pt idx="17">
                  <c:v>0.4</c:v>
                </c:pt>
                <c:pt idx="18">
                  <c:v>0.4</c:v>
                </c:pt>
                <c:pt idx="19">
                  <c:v>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0D-423F-A609-E13277A96A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511664"/>
        <c:axId val="1"/>
      </c:lineChart>
      <c:catAx>
        <c:axId val="242511664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425116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percentStacked"/>
        <c:varyColors val="0"/>
        <c:ser>
          <c:idx val="1"/>
          <c:order val="0"/>
          <c:tx>
            <c:strRef>
              <c:f>AMD!$AR$12</c:f>
              <c:strCache>
                <c:ptCount val="1"/>
              </c:strCache>
            </c:strRef>
          </c:tx>
          <c:spPr>
            <a:solidFill>
              <a:srgbClr val="C0504D"/>
            </a:solidFill>
          </c:spPr>
          <c:cat>
            <c:numRef>
              <c:f>AMD!$AU$10:$BN$10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AMD!$AU$12:$BN$12</c:f>
              <c:numCache>
                <c:formatCode>0.0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EB-474C-B08A-678EE1BE88DA}"/>
            </c:ext>
          </c:extLst>
        </c:ser>
        <c:ser>
          <c:idx val="2"/>
          <c:order val="1"/>
          <c:tx>
            <c:strRef>
              <c:f>AMD!$AR$13</c:f>
              <c:strCache>
                <c:ptCount val="1"/>
              </c:strCache>
            </c:strRef>
          </c:tx>
          <c:spPr>
            <a:solidFill>
              <a:srgbClr val="9BBB59"/>
            </a:solidFill>
          </c:spPr>
          <c:cat>
            <c:numRef>
              <c:f>AMD!$AU$10:$BN$10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AMD!$AU$13:$BN$13</c:f>
              <c:numCache>
                <c:formatCode>0.0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EB-474C-B08A-678EE1BE88DA}"/>
            </c:ext>
          </c:extLst>
        </c:ser>
        <c:ser>
          <c:idx val="3"/>
          <c:order val="2"/>
          <c:tx>
            <c:strRef>
              <c:f>AMD!$AR$14</c:f>
              <c:strCache>
                <c:ptCount val="1"/>
              </c:strCache>
            </c:strRef>
          </c:tx>
          <c:spPr>
            <a:solidFill>
              <a:srgbClr val="8064A2"/>
            </a:solidFill>
          </c:spPr>
          <c:cat>
            <c:numRef>
              <c:f>AMD!$AU$10:$BN$10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AMD!$AU$14:$BN$14</c:f>
              <c:numCache>
                <c:formatCode>0.0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EB-474C-B08A-678EE1BE88DA}"/>
            </c:ext>
          </c:extLst>
        </c:ser>
        <c:ser>
          <c:idx val="4"/>
          <c:order val="3"/>
          <c:tx>
            <c:strRef>
              <c:f>AMD!$AR$15</c:f>
              <c:strCache>
                <c:ptCount val="1"/>
              </c:strCache>
            </c:strRef>
          </c:tx>
          <c:spPr>
            <a:solidFill>
              <a:srgbClr val="4BACC6"/>
            </a:solidFill>
          </c:spPr>
          <c:cat>
            <c:numRef>
              <c:f>AMD!$AU$10:$BN$10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AMD!$AU$15:$BN$15</c:f>
              <c:numCache>
                <c:formatCode>0.0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EB-474C-B08A-678EE1BE88DA}"/>
            </c:ext>
          </c:extLst>
        </c:ser>
        <c:ser>
          <c:idx val="13"/>
          <c:order val="4"/>
          <c:tx>
            <c:strRef>
              <c:f>AMD!$AR$24</c:f>
              <c:strCache>
                <c:ptCount val="1"/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effectLst/>
          </c:spPr>
          <c:cat>
            <c:numRef>
              <c:f>AMD!$AU$10:$BN$10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AMD!$AU$24:$BN$24</c:f>
              <c:numCache>
                <c:formatCode>0.0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3EB-474C-B08A-678EE1BE88DA}"/>
            </c:ext>
          </c:extLst>
        </c:ser>
        <c:ser>
          <c:idx val="0"/>
          <c:order val="5"/>
          <c:tx>
            <c:strRef>
              <c:f>AMD!$AR$25</c:f>
              <c:strCache>
                <c:ptCount val="1"/>
              </c:strCache>
            </c:strRef>
          </c:tx>
          <c:cat>
            <c:numRef>
              <c:f>AMD!$AU$10:$BN$10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AMD!$AU$25:$BN$25</c:f>
              <c:numCache>
                <c:formatCode>0.0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3EB-474C-B08A-678EE1BE88DA}"/>
            </c:ext>
          </c:extLst>
        </c:ser>
        <c:ser>
          <c:idx val="5"/>
          <c:order val="6"/>
          <c:tx>
            <c:strRef>
              <c:f>AMD!$AR$26</c:f>
              <c:strCache>
                <c:ptCount val="1"/>
              </c:strCache>
            </c:strRef>
          </c:tx>
          <c:cat>
            <c:numRef>
              <c:f>AMD!$AU$10:$BN$10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AMD!$AU$26:$BN$26</c:f>
              <c:numCache>
                <c:formatCode>0.0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3EB-474C-B08A-678EE1BE88DA}"/>
            </c:ext>
          </c:extLst>
        </c:ser>
        <c:ser>
          <c:idx val="6"/>
          <c:order val="7"/>
          <c:tx>
            <c:strRef>
              <c:f>AMD!$AR$37</c:f>
              <c:strCache>
                <c:ptCount val="1"/>
                <c:pt idx="0">
                  <c:v>Life Safety Loads</c:v>
                </c:pt>
              </c:strCache>
            </c:strRef>
          </c:tx>
          <c:cat>
            <c:numRef>
              <c:f>AMD!$AU$10:$BN$10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AMD!$AU$37:$BN$37</c:f>
              <c:numCache>
                <c:formatCode>0.0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3EB-474C-B08A-678EE1BE88DA}"/>
            </c:ext>
          </c:extLst>
        </c:ser>
        <c:ser>
          <c:idx val="7"/>
          <c:order val="8"/>
          <c:tx>
            <c:strRef>
              <c:f>AMD!$AR$39</c:f>
              <c:strCache>
                <c:ptCount val="1"/>
                <c:pt idx="0">
                  <c:v>Residential Units from Table</c:v>
                </c:pt>
              </c:strCache>
            </c:strRef>
          </c:tx>
          <c:cat>
            <c:numRef>
              <c:f>AMD!$AU$10:$BN$10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AMD!$AU$39:$BN$39</c:f>
              <c:numCache>
                <c:formatCode>0.0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3EB-474C-B08A-678EE1BE88DA}"/>
            </c:ext>
          </c:extLst>
        </c:ser>
        <c:ser>
          <c:idx val="8"/>
          <c:order val="9"/>
          <c:tx>
            <c:strRef>
              <c:f>AMD!$AR$16</c:f>
              <c:strCache>
                <c:ptCount val="1"/>
              </c:strCache>
            </c:strRef>
          </c:tx>
          <c:spPr>
            <a:ln w="25400">
              <a:noFill/>
            </a:ln>
          </c:spPr>
          <c:cat>
            <c:numRef>
              <c:f>AMD!$AU$10:$BN$10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AMD!$AU$16:$BN$16</c:f>
              <c:numCache>
                <c:formatCode>0.0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3EB-474C-B08A-678EE1BE88DA}"/>
            </c:ext>
          </c:extLst>
        </c:ser>
        <c:ser>
          <c:idx val="9"/>
          <c:order val="10"/>
          <c:tx>
            <c:strRef>
              <c:f>AMD!$AR$15</c:f>
              <c:strCache>
                <c:ptCount val="1"/>
              </c:strCache>
            </c:strRef>
          </c:tx>
          <c:spPr>
            <a:ln w="25400">
              <a:noFill/>
            </a:ln>
          </c:spPr>
          <c:cat>
            <c:numRef>
              <c:f>AMD!$AU$10:$BN$10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AMD!$AU$17:$BN$17</c:f>
              <c:numCache>
                <c:formatCode>0.0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3EB-474C-B08A-678EE1BE88DA}"/>
            </c:ext>
          </c:extLst>
        </c:ser>
        <c:ser>
          <c:idx val="10"/>
          <c:order val="11"/>
          <c:tx>
            <c:strRef>
              <c:f>AMD!$AR$18</c:f>
              <c:strCache>
                <c:ptCount val="1"/>
              </c:strCache>
            </c:strRef>
          </c:tx>
          <c:spPr>
            <a:ln w="25400">
              <a:noFill/>
            </a:ln>
          </c:spPr>
          <c:cat>
            <c:numRef>
              <c:f>AMD!$AU$10:$BN$10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AMD!$AU$18:$BN$18</c:f>
              <c:numCache>
                <c:formatCode>0.0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3EB-474C-B08A-678EE1BE88DA}"/>
            </c:ext>
          </c:extLst>
        </c:ser>
        <c:ser>
          <c:idx val="11"/>
          <c:order val="12"/>
          <c:tx>
            <c:strRef>
              <c:f>AMD!$AR$19</c:f>
              <c:strCache>
                <c:ptCount val="1"/>
              </c:strCache>
            </c:strRef>
          </c:tx>
          <c:spPr>
            <a:ln w="25400">
              <a:noFill/>
            </a:ln>
          </c:spPr>
          <c:cat>
            <c:numRef>
              <c:f>AMD!$AU$10:$BN$10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AMD!$AU$19:$BN$19</c:f>
              <c:numCache>
                <c:formatCode>0.0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3EB-474C-B08A-678EE1BE88DA}"/>
            </c:ext>
          </c:extLst>
        </c:ser>
        <c:ser>
          <c:idx val="12"/>
          <c:order val="13"/>
          <c:tx>
            <c:strRef>
              <c:f>AMD!$AR$20</c:f>
              <c:strCache>
                <c:ptCount val="1"/>
              </c:strCache>
            </c:strRef>
          </c:tx>
          <c:spPr>
            <a:ln w="25400">
              <a:noFill/>
            </a:ln>
          </c:spPr>
          <c:cat>
            <c:numRef>
              <c:f>AMD!$AU$10:$BN$10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AMD!$AU$20:$BN$20</c:f>
              <c:numCache>
                <c:formatCode>0.0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3EB-474C-B08A-678EE1BE88DA}"/>
            </c:ext>
          </c:extLst>
        </c:ser>
        <c:ser>
          <c:idx val="14"/>
          <c:order val="14"/>
          <c:tx>
            <c:strRef>
              <c:f>AMD!$AR$21</c:f>
              <c:strCache>
                <c:ptCount val="1"/>
              </c:strCache>
            </c:strRef>
          </c:tx>
          <c:spPr>
            <a:ln w="25400">
              <a:noFill/>
            </a:ln>
          </c:spPr>
          <c:cat>
            <c:numRef>
              <c:f>AMD!$AU$10:$BN$10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AMD!$AU$21:$BN$21</c:f>
              <c:numCache>
                <c:formatCode>0.0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3EB-474C-B08A-678EE1BE88DA}"/>
            </c:ext>
          </c:extLst>
        </c:ser>
        <c:ser>
          <c:idx val="15"/>
          <c:order val="15"/>
          <c:tx>
            <c:strRef>
              <c:f>AMD!$AR$22</c:f>
              <c:strCache>
                <c:ptCount val="1"/>
              </c:strCache>
            </c:strRef>
          </c:tx>
          <c:spPr>
            <a:ln w="25400">
              <a:noFill/>
            </a:ln>
          </c:spPr>
          <c:cat>
            <c:numRef>
              <c:f>AMD!$AU$10:$BN$10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AMD!$AU$22:$BN$22</c:f>
              <c:numCache>
                <c:formatCode>0.0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3EB-474C-B08A-678EE1BE88DA}"/>
            </c:ext>
          </c:extLst>
        </c:ser>
        <c:ser>
          <c:idx val="16"/>
          <c:order val="16"/>
          <c:tx>
            <c:strRef>
              <c:f>AMD!$AR$27</c:f>
              <c:strCache>
                <c:ptCount val="1"/>
              </c:strCache>
            </c:strRef>
          </c:tx>
          <c:spPr>
            <a:ln w="25400">
              <a:noFill/>
            </a:ln>
          </c:spPr>
          <c:cat>
            <c:numRef>
              <c:f>AMD!$AU$10:$BN$10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AMD!$AU$27:$BN$27</c:f>
              <c:numCache>
                <c:formatCode>0.0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3EB-474C-B08A-678EE1BE88DA}"/>
            </c:ext>
          </c:extLst>
        </c:ser>
        <c:ser>
          <c:idx val="17"/>
          <c:order val="17"/>
          <c:tx>
            <c:strRef>
              <c:f>AMD!$AR$28</c:f>
              <c:strCache>
                <c:ptCount val="1"/>
              </c:strCache>
            </c:strRef>
          </c:tx>
          <c:spPr>
            <a:ln w="25400">
              <a:noFill/>
            </a:ln>
          </c:spPr>
          <c:cat>
            <c:numRef>
              <c:f>AMD!$AU$10:$BN$10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AMD!$AU$28:$BN$28</c:f>
              <c:numCache>
                <c:formatCode>0.0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3EB-474C-B08A-678EE1BE88DA}"/>
            </c:ext>
          </c:extLst>
        </c:ser>
        <c:ser>
          <c:idx val="18"/>
          <c:order val="18"/>
          <c:tx>
            <c:strRef>
              <c:f>AMD!$AR$29</c:f>
              <c:strCache>
                <c:ptCount val="1"/>
              </c:strCache>
            </c:strRef>
          </c:tx>
          <c:spPr>
            <a:ln w="25400">
              <a:noFill/>
            </a:ln>
          </c:spPr>
          <c:cat>
            <c:numRef>
              <c:f>AMD!$AU$10:$BN$10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AMD!$AU$29:$BN$29</c:f>
              <c:numCache>
                <c:formatCode>0.0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3EB-474C-B08A-678EE1BE88DA}"/>
            </c:ext>
          </c:extLst>
        </c:ser>
        <c:ser>
          <c:idx val="19"/>
          <c:order val="19"/>
          <c:tx>
            <c:strRef>
              <c:f>AMD!$AR$30</c:f>
              <c:strCache>
                <c:ptCount val="1"/>
              </c:strCache>
            </c:strRef>
          </c:tx>
          <c:spPr>
            <a:ln w="25400">
              <a:noFill/>
            </a:ln>
          </c:spPr>
          <c:cat>
            <c:numRef>
              <c:f>AMD!$AU$10:$BN$10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AMD!$AU$30:$BN$30</c:f>
              <c:numCache>
                <c:formatCode>0.0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03EB-474C-B08A-678EE1BE88DA}"/>
            </c:ext>
          </c:extLst>
        </c:ser>
        <c:ser>
          <c:idx val="20"/>
          <c:order val="20"/>
          <c:tx>
            <c:strRef>
              <c:f>AMD!$AR$31</c:f>
              <c:strCache>
                <c:ptCount val="1"/>
              </c:strCache>
            </c:strRef>
          </c:tx>
          <c:spPr>
            <a:ln w="25400">
              <a:noFill/>
            </a:ln>
          </c:spPr>
          <c:cat>
            <c:numRef>
              <c:f>AMD!$AU$10:$BN$10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AMD!$AU$31:$BN$31</c:f>
              <c:numCache>
                <c:formatCode>0.0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03EB-474C-B08A-678EE1BE88DA}"/>
            </c:ext>
          </c:extLst>
        </c:ser>
        <c:ser>
          <c:idx val="21"/>
          <c:order val="21"/>
          <c:tx>
            <c:strRef>
              <c:f>AMD!$AR$32</c:f>
              <c:strCache>
                <c:ptCount val="1"/>
              </c:strCache>
            </c:strRef>
          </c:tx>
          <c:spPr>
            <a:ln w="25400">
              <a:noFill/>
            </a:ln>
          </c:spPr>
          <c:cat>
            <c:numRef>
              <c:f>AMD!$AU$10:$BN$10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AMD!$AU$32:$BN$32</c:f>
              <c:numCache>
                <c:formatCode>0.0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03EB-474C-B08A-678EE1BE88DA}"/>
            </c:ext>
          </c:extLst>
        </c:ser>
        <c:ser>
          <c:idx val="22"/>
          <c:order val="22"/>
          <c:tx>
            <c:strRef>
              <c:f>AMD!$AR$33</c:f>
              <c:strCache>
                <c:ptCount val="1"/>
              </c:strCache>
            </c:strRef>
          </c:tx>
          <c:spPr>
            <a:ln w="25400">
              <a:noFill/>
            </a:ln>
          </c:spPr>
          <c:cat>
            <c:numRef>
              <c:f>AMD!$AU$10:$BN$10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AMD!$AU$33:$BN$33</c:f>
              <c:numCache>
                <c:formatCode>0.0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03EB-474C-B08A-678EE1BE88DA}"/>
            </c:ext>
          </c:extLst>
        </c:ser>
        <c:ser>
          <c:idx val="23"/>
          <c:order val="23"/>
          <c:tx>
            <c:strRef>
              <c:f>AMD!$AR$34</c:f>
              <c:strCache>
                <c:ptCount val="1"/>
              </c:strCache>
            </c:strRef>
          </c:tx>
          <c:spPr>
            <a:ln w="25400">
              <a:noFill/>
            </a:ln>
          </c:spPr>
          <c:cat>
            <c:numRef>
              <c:f>AMD!$AU$10:$BN$10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AMD!$AU$34:$BN$34</c:f>
              <c:numCache>
                <c:formatCode>0.0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03EB-474C-B08A-678EE1BE88DA}"/>
            </c:ext>
          </c:extLst>
        </c:ser>
        <c:ser>
          <c:idx val="24"/>
          <c:order val="24"/>
          <c:tx>
            <c:strRef>
              <c:f>AMD!$AR$35</c:f>
              <c:strCache>
                <c:ptCount val="1"/>
                <c:pt idx="0">
                  <c:v>Heating Load</c:v>
                </c:pt>
              </c:strCache>
            </c:strRef>
          </c:tx>
          <c:spPr>
            <a:ln w="25400">
              <a:noFill/>
            </a:ln>
          </c:spPr>
          <c:cat>
            <c:numRef>
              <c:f>AMD!$AU$10:$BN$10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AMD!$AU$35:$BN$35</c:f>
              <c:numCache>
                <c:formatCode>0.0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03EB-474C-B08A-678EE1BE88DA}"/>
            </c:ext>
          </c:extLst>
        </c:ser>
        <c:ser>
          <c:idx val="25"/>
          <c:order val="25"/>
          <c:tx>
            <c:strRef>
              <c:f>AMD!$AR$36</c:f>
              <c:strCache>
                <c:ptCount val="1"/>
                <c:pt idx="0">
                  <c:v>Cooling Load</c:v>
                </c:pt>
              </c:strCache>
            </c:strRef>
          </c:tx>
          <c:spPr>
            <a:ln w="25400">
              <a:noFill/>
            </a:ln>
          </c:spPr>
          <c:cat>
            <c:numRef>
              <c:f>AMD!$AU$10:$BN$10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AMD!$AU$36:$BN$36</c:f>
              <c:numCache>
                <c:formatCode>0.0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03EB-474C-B08A-678EE1BE88DA}"/>
            </c:ext>
          </c:extLst>
        </c:ser>
        <c:ser>
          <c:idx val="26"/>
          <c:order val="26"/>
          <c:tx>
            <c:strRef>
              <c:f>AMD!$AR$40</c:f>
              <c:strCache>
                <c:ptCount val="1"/>
              </c:strCache>
            </c:strRef>
          </c:tx>
          <c:spPr>
            <a:ln w="25400">
              <a:noFill/>
            </a:ln>
          </c:spPr>
          <c:cat>
            <c:numRef>
              <c:f>AMD!$AU$10:$BN$10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AMD!$AU$40:$BN$40</c:f>
              <c:numCache>
                <c:formatCode>0.0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03EB-474C-B08A-678EE1BE88DA}"/>
            </c:ext>
          </c:extLst>
        </c:ser>
        <c:ser>
          <c:idx val="27"/>
          <c:order val="27"/>
          <c:tx>
            <c:strRef>
              <c:f>AMD!$AR$41</c:f>
              <c:strCache>
                <c:ptCount val="1"/>
              </c:strCache>
            </c:strRef>
          </c:tx>
          <c:spPr>
            <a:ln w="25400">
              <a:noFill/>
            </a:ln>
          </c:spPr>
          <c:cat>
            <c:numRef>
              <c:f>AMD!$AU$10:$BN$10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AMD!$AU$41:$BN$41</c:f>
              <c:numCache>
                <c:formatCode>0.0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03EB-474C-B08A-678EE1BE88DA}"/>
            </c:ext>
          </c:extLst>
        </c:ser>
        <c:ser>
          <c:idx val="28"/>
          <c:order val="28"/>
          <c:tx>
            <c:strRef>
              <c:f>AMD!$AR$42</c:f>
              <c:strCache>
                <c:ptCount val="1"/>
              </c:strCache>
            </c:strRef>
          </c:tx>
          <c:spPr>
            <a:ln w="25400">
              <a:noFill/>
            </a:ln>
          </c:spPr>
          <c:cat>
            <c:numRef>
              <c:f>AMD!$AU$10:$BN$10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AMD!$AU$42:$BN$42</c:f>
              <c:numCache>
                <c:formatCode>0.0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03EB-474C-B08A-678EE1BE88DA}"/>
            </c:ext>
          </c:extLst>
        </c:ser>
        <c:ser>
          <c:idx val="29"/>
          <c:order val="29"/>
          <c:tx>
            <c:strRef>
              <c:f>AMD!$AR$43</c:f>
              <c:strCache>
                <c:ptCount val="1"/>
              </c:strCache>
            </c:strRef>
          </c:tx>
          <c:spPr>
            <a:ln w="25400">
              <a:noFill/>
            </a:ln>
          </c:spPr>
          <c:cat>
            <c:numRef>
              <c:f>AMD!$AU$10:$BN$10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AMD!$AU$43:$BN$43</c:f>
              <c:numCache>
                <c:formatCode>0.0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03EB-474C-B08A-678EE1BE8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527504"/>
        <c:axId val="1"/>
      </c:areaChart>
      <c:catAx>
        <c:axId val="242527504"/>
        <c:scaling>
          <c:orientation val="minMax"/>
        </c:scaling>
        <c:delete val="0"/>
        <c:axPos val="b"/>
        <c:majorGridlines/>
        <c:numFmt formatCode="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ln w="9525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527504"/>
        <c:crosses val="autoZero"/>
        <c:crossBetween val="midCat"/>
      </c:valAx>
      <c:spPr>
        <a:noFill/>
        <a:ln w="25400">
          <a:noFill/>
        </a:ln>
      </c:spPr>
    </c:plotArea>
    <c:legend>
      <c:legendPos val="b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AMD!$U$125</c:f>
              <c:strCache>
                <c:ptCount val="1"/>
                <c:pt idx="0">
                  <c:v>Diversity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AMD!$V$9:$AO$9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AMD!$V$133:$AO$133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</c:v>
                </c:pt>
                <c:pt idx="4">
                  <c:v>0.7</c:v>
                </c:pt>
                <c:pt idx="5">
                  <c:v>0.4</c:v>
                </c:pt>
                <c:pt idx="6">
                  <c:v>0.1</c:v>
                </c:pt>
                <c:pt idx="7">
                  <c:v>0.7</c:v>
                </c:pt>
                <c:pt idx="8">
                  <c:v>0.7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0.3</c:v>
                </c:pt>
                <c:pt idx="14">
                  <c:v>0.5</c:v>
                </c:pt>
                <c:pt idx="15">
                  <c:v>0.5</c:v>
                </c:pt>
                <c:pt idx="16">
                  <c:v>0.7</c:v>
                </c:pt>
                <c:pt idx="17">
                  <c:v>0.5</c:v>
                </c:pt>
                <c:pt idx="18">
                  <c:v>0.5</c:v>
                </c:pt>
                <c:pt idx="19">
                  <c:v>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0D-423F-A609-E13277A96A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511664"/>
        <c:axId val="1"/>
      </c:lineChart>
      <c:catAx>
        <c:axId val="242511664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425116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AMD!$U$125</c:f>
              <c:strCache>
                <c:ptCount val="1"/>
                <c:pt idx="0">
                  <c:v>Diversity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AMD!$V$9:$AO$9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AMD!$V$141:$AO$141</c:f>
              <c:numCache>
                <c:formatCode>General</c:formatCode>
                <c:ptCount val="20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0.3</c:v>
                </c:pt>
                <c:pt idx="4">
                  <c:v>0.2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0.4</c:v>
                </c:pt>
                <c:pt idx="12">
                  <c:v>0.4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0.3</c:v>
                </c:pt>
                <c:pt idx="18">
                  <c:v>0.1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E-4A1A-9B25-63B5BBF9AC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511664"/>
        <c:axId val="1"/>
      </c:lineChart>
      <c:catAx>
        <c:axId val="242511664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425116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AMD!$U$149</c:f>
              <c:strCache>
                <c:ptCount val="1"/>
                <c:pt idx="0">
                  <c:v>Diversity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AMD!$V$9:$AO$9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AMD!$V$149:$AO$149</c:f>
              <c:numCache>
                <c:formatCode>General</c:formatCode>
                <c:ptCount val="20"/>
                <c:pt idx="0">
                  <c:v>0.35299999999999998</c:v>
                </c:pt>
                <c:pt idx="1">
                  <c:v>0.372</c:v>
                </c:pt>
                <c:pt idx="2">
                  <c:v>0.41499999999999998</c:v>
                </c:pt>
                <c:pt idx="3">
                  <c:v>0.45800000000000002</c:v>
                </c:pt>
                <c:pt idx="4">
                  <c:v>0.48499999999999999</c:v>
                </c:pt>
                <c:pt idx="5">
                  <c:v>0.48699999999999999</c:v>
                </c:pt>
                <c:pt idx="6">
                  <c:v>0.502</c:v>
                </c:pt>
                <c:pt idx="7">
                  <c:v>0.52100000000000002</c:v>
                </c:pt>
                <c:pt idx="8">
                  <c:v>0.53100000000000003</c:v>
                </c:pt>
                <c:pt idx="9">
                  <c:v>0.52</c:v>
                </c:pt>
                <c:pt idx="10">
                  <c:v>0.51100000000000001</c:v>
                </c:pt>
                <c:pt idx="11">
                  <c:v>0.52600000000000002</c:v>
                </c:pt>
                <c:pt idx="12">
                  <c:v>0.57599999999999996</c:v>
                </c:pt>
                <c:pt idx="13">
                  <c:v>0.67200000000000004</c:v>
                </c:pt>
                <c:pt idx="14">
                  <c:v>0.72199999999999998</c:v>
                </c:pt>
                <c:pt idx="15">
                  <c:v>0.70099999999999996</c:v>
                </c:pt>
                <c:pt idx="16">
                  <c:v>0.67300000000000004</c:v>
                </c:pt>
                <c:pt idx="17">
                  <c:v>0.63400000000000001</c:v>
                </c:pt>
                <c:pt idx="18">
                  <c:v>0.58799999999999997</c:v>
                </c:pt>
                <c:pt idx="19">
                  <c:v>0.51800000000000002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72-4B63-88B4-273AA169BA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511664"/>
        <c:axId val="1"/>
      </c:lineChart>
      <c:catAx>
        <c:axId val="242511664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425116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DD!$A$20</c:f>
              <c:strCache>
                <c:ptCount val="1"/>
                <c:pt idx="0">
                  <c:v>Electrical Heating Load (kW)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DD!$B$18:$M$18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DD!$B$20:$M$20</c:f>
              <c:numCache>
                <c:formatCode>0.0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3A-4145-8051-D2774234DBD1}"/>
            </c:ext>
          </c:extLst>
        </c:ser>
        <c:ser>
          <c:idx val="3"/>
          <c:order val="1"/>
          <c:tx>
            <c:strRef>
              <c:f>DD!$A$22</c:f>
              <c:strCache>
                <c:ptCount val="1"/>
                <c:pt idx="0">
                  <c:v>Electrical Cooling Load (kW)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DD!$B$18:$M$18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DD!$B$22:$M$22</c:f>
              <c:numCache>
                <c:formatCode>0.0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33A-4145-8051-D2774234DB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8478703"/>
        <c:axId val="1978482543"/>
      </c:lineChart>
      <c:catAx>
        <c:axId val="19784787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482543"/>
        <c:crosses val="autoZero"/>
        <c:auto val="1"/>
        <c:lblAlgn val="ctr"/>
        <c:lblOffset val="100"/>
        <c:noMultiLvlLbl val="0"/>
      </c:catAx>
      <c:valAx>
        <c:axId val="1978482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Electrical</a:t>
                </a:r>
                <a:r>
                  <a:rPr lang="en-GB" baseline="0"/>
                  <a:t> Load (kW)</a:t>
                </a:r>
              </a:p>
              <a:p>
                <a:pPr>
                  <a:defRPr/>
                </a:pP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478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DD!$AE$3:$AF$3</c:f>
              <c:strCache>
                <c:ptCount val="2"/>
                <c:pt idx="0">
                  <c:v>January</c:v>
                </c:pt>
                <c:pt idx="1">
                  <c:v>Heating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DD!$AG$2:$AZ$2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DD!$AG$3:$AZ$3</c:f>
              <c:numCache>
                <c:formatCode>0.0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24-4604-BB9F-B528E7251514}"/>
            </c:ext>
          </c:extLst>
        </c:ser>
        <c:ser>
          <c:idx val="1"/>
          <c:order val="1"/>
          <c:tx>
            <c:strRef>
              <c:f>DD!$AE$4:$AF$4</c:f>
              <c:strCache>
                <c:ptCount val="2"/>
                <c:pt idx="0">
                  <c:v>February</c:v>
                </c:pt>
                <c:pt idx="1">
                  <c:v>Heating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DD!$AG$2:$AZ$2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DD!$AG$4:$AZ$4</c:f>
              <c:numCache>
                <c:formatCode>0.0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24-4604-BB9F-B528E7251514}"/>
            </c:ext>
          </c:extLst>
        </c:ser>
        <c:ser>
          <c:idx val="2"/>
          <c:order val="2"/>
          <c:tx>
            <c:strRef>
              <c:f>DD!$AE$5:$AF$5</c:f>
              <c:strCache>
                <c:ptCount val="2"/>
                <c:pt idx="0">
                  <c:v>March</c:v>
                </c:pt>
                <c:pt idx="1">
                  <c:v>Heating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DD!$AG$2:$AZ$2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DD!$AG$5:$AZ$5</c:f>
              <c:numCache>
                <c:formatCode>0.0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24-4604-BB9F-B528E7251514}"/>
            </c:ext>
          </c:extLst>
        </c:ser>
        <c:ser>
          <c:idx val="3"/>
          <c:order val="3"/>
          <c:tx>
            <c:strRef>
              <c:f>DD!$AE$6:$AF$6</c:f>
              <c:strCache>
                <c:ptCount val="2"/>
                <c:pt idx="0">
                  <c:v>April</c:v>
                </c:pt>
                <c:pt idx="1">
                  <c:v>Heating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DD!$AG$2:$AZ$2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DD!$AG$6:$AZ$6</c:f>
              <c:numCache>
                <c:formatCode>0.0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24-4604-BB9F-B528E7251514}"/>
            </c:ext>
          </c:extLst>
        </c:ser>
        <c:ser>
          <c:idx val="4"/>
          <c:order val="4"/>
          <c:tx>
            <c:strRef>
              <c:f>DD!$AE$7:$AF$7</c:f>
              <c:strCache>
                <c:ptCount val="2"/>
                <c:pt idx="0">
                  <c:v>May</c:v>
                </c:pt>
                <c:pt idx="1">
                  <c:v>Heating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DD!$AG$2:$AZ$2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DD!$AG$7:$AZ$7</c:f>
              <c:numCache>
                <c:formatCode>0.0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624-4604-BB9F-B528E7251514}"/>
            </c:ext>
          </c:extLst>
        </c:ser>
        <c:ser>
          <c:idx val="5"/>
          <c:order val="5"/>
          <c:tx>
            <c:strRef>
              <c:f>DD!$AE$8:$AF$8</c:f>
              <c:strCache>
                <c:ptCount val="2"/>
                <c:pt idx="0">
                  <c:v>June</c:v>
                </c:pt>
                <c:pt idx="1">
                  <c:v>Heating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DD!$AG$2:$AZ$2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DD!$AG$8:$AZ$8</c:f>
              <c:numCache>
                <c:formatCode>0.0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624-4604-BB9F-B528E7251514}"/>
            </c:ext>
          </c:extLst>
        </c:ser>
        <c:ser>
          <c:idx val="6"/>
          <c:order val="6"/>
          <c:tx>
            <c:strRef>
              <c:f>DD!$AE$9:$AF$9</c:f>
              <c:strCache>
                <c:ptCount val="2"/>
                <c:pt idx="0">
                  <c:v>July</c:v>
                </c:pt>
                <c:pt idx="1">
                  <c:v>Heating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DD!$AG$2:$AZ$2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DD!$AG$9:$AZ$9</c:f>
              <c:numCache>
                <c:formatCode>0.0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624-4604-BB9F-B528E7251514}"/>
            </c:ext>
          </c:extLst>
        </c:ser>
        <c:ser>
          <c:idx val="7"/>
          <c:order val="7"/>
          <c:tx>
            <c:strRef>
              <c:f>DD!$AE$10:$AF$10</c:f>
              <c:strCache>
                <c:ptCount val="2"/>
                <c:pt idx="0">
                  <c:v>August</c:v>
                </c:pt>
                <c:pt idx="1">
                  <c:v>Heating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DD!$AG$2:$AZ$2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DD!$AG$10:$AZ$10</c:f>
              <c:numCache>
                <c:formatCode>0.0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624-4604-BB9F-B528E7251514}"/>
            </c:ext>
          </c:extLst>
        </c:ser>
        <c:ser>
          <c:idx val="8"/>
          <c:order val="8"/>
          <c:tx>
            <c:strRef>
              <c:f>DD!$AE$11:$AF$11</c:f>
              <c:strCache>
                <c:ptCount val="2"/>
                <c:pt idx="0">
                  <c:v>September</c:v>
                </c:pt>
                <c:pt idx="1">
                  <c:v>Heating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DD!$AG$2:$AZ$2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DD!$AG$11:$AZ$11</c:f>
              <c:numCache>
                <c:formatCode>0.0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624-4604-BB9F-B528E7251514}"/>
            </c:ext>
          </c:extLst>
        </c:ser>
        <c:ser>
          <c:idx val="9"/>
          <c:order val="9"/>
          <c:tx>
            <c:strRef>
              <c:f>DD!$AE$12:$AF$12</c:f>
              <c:strCache>
                <c:ptCount val="2"/>
                <c:pt idx="0">
                  <c:v>October</c:v>
                </c:pt>
                <c:pt idx="1">
                  <c:v>Heating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DD!$AG$2:$AZ$2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DD!$AG$12:$AZ$12</c:f>
              <c:numCache>
                <c:formatCode>0.0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624-4604-BB9F-B528E7251514}"/>
            </c:ext>
          </c:extLst>
        </c:ser>
        <c:ser>
          <c:idx val="10"/>
          <c:order val="10"/>
          <c:tx>
            <c:strRef>
              <c:f>DD!$AE$13:$AF$13</c:f>
              <c:strCache>
                <c:ptCount val="2"/>
                <c:pt idx="0">
                  <c:v>November</c:v>
                </c:pt>
                <c:pt idx="1">
                  <c:v>Heating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DD!$AG$2:$AZ$2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DD!$AG$13:$AZ$13</c:f>
              <c:numCache>
                <c:formatCode>0.0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624-4604-BB9F-B528E7251514}"/>
            </c:ext>
          </c:extLst>
        </c:ser>
        <c:ser>
          <c:idx val="11"/>
          <c:order val="11"/>
          <c:tx>
            <c:strRef>
              <c:f>DD!$AE$14:$AF$14</c:f>
              <c:strCache>
                <c:ptCount val="2"/>
                <c:pt idx="0">
                  <c:v>December</c:v>
                </c:pt>
                <c:pt idx="1">
                  <c:v>Heating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DD!$AG$2:$AZ$2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DD!$AG$14:$AZ$14</c:f>
              <c:numCache>
                <c:formatCode>0.0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624-4604-BB9F-B528E72515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36239"/>
        <c:axId val="36836719"/>
      </c:lineChart>
      <c:catAx>
        <c:axId val="36836239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36719"/>
        <c:crosses val="autoZero"/>
        <c:auto val="1"/>
        <c:lblAlgn val="ctr"/>
        <c:lblOffset val="100"/>
        <c:noMultiLvlLbl val="0"/>
      </c:catAx>
      <c:valAx>
        <c:axId val="36836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Heating (kW)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36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DD!$AE$15:$AF$15</c:f>
              <c:strCache>
                <c:ptCount val="2"/>
                <c:pt idx="0">
                  <c:v>January</c:v>
                </c:pt>
                <c:pt idx="1">
                  <c:v>Cooling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DD!$AG$2:$AZ$2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DD!$AG$15:$AZ$15</c:f>
              <c:numCache>
                <c:formatCode>0.0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24-4604-BB9F-B528E7251514}"/>
            </c:ext>
          </c:extLst>
        </c:ser>
        <c:ser>
          <c:idx val="1"/>
          <c:order val="1"/>
          <c:tx>
            <c:strRef>
              <c:f>DD!$AE$16:$AF$16</c:f>
              <c:strCache>
                <c:ptCount val="2"/>
                <c:pt idx="0">
                  <c:v>February</c:v>
                </c:pt>
                <c:pt idx="1">
                  <c:v>Cooling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DD!$AG$2:$AZ$2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DD!$AG$16:$AZ$16</c:f>
              <c:numCache>
                <c:formatCode>0.0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24-4604-BB9F-B528E7251514}"/>
            </c:ext>
          </c:extLst>
        </c:ser>
        <c:ser>
          <c:idx val="2"/>
          <c:order val="2"/>
          <c:tx>
            <c:strRef>
              <c:f>DD!$AE$17:$AF$17</c:f>
              <c:strCache>
                <c:ptCount val="2"/>
                <c:pt idx="0">
                  <c:v>March</c:v>
                </c:pt>
                <c:pt idx="1">
                  <c:v>Cooling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DD!$AG$2:$AZ$2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DD!$AG$17:$AZ$17</c:f>
              <c:numCache>
                <c:formatCode>0.0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24-4604-BB9F-B528E7251514}"/>
            </c:ext>
          </c:extLst>
        </c:ser>
        <c:ser>
          <c:idx val="3"/>
          <c:order val="3"/>
          <c:tx>
            <c:strRef>
              <c:f>DD!$AE$18:$AF$18</c:f>
              <c:strCache>
                <c:ptCount val="2"/>
                <c:pt idx="0">
                  <c:v>April</c:v>
                </c:pt>
                <c:pt idx="1">
                  <c:v>Cooling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DD!$AG$2:$AZ$2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DD!$AG$18:$AZ$18</c:f>
              <c:numCache>
                <c:formatCode>0.0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24-4604-BB9F-B528E7251514}"/>
            </c:ext>
          </c:extLst>
        </c:ser>
        <c:ser>
          <c:idx val="4"/>
          <c:order val="4"/>
          <c:tx>
            <c:strRef>
              <c:f>DD!$AE$19:$AF$19</c:f>
              <c:strCache>
                <c:ptCount val="2"/>
                <c:pt idx="0">
                  <c:v>May</c:v>
                </c:pt>
                <c:pt idx="1">
                  <c:v>Cooling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DD!$AG$2:$AZ$2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DD!$AG$19:$AZ$19</c:f>
              <c:numCache>
                <c:formatCode>0.0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624-4604-BB9F-B528E7251514}"/>
            </c:ext>
          </c:extLst>
        </c:ser>
        <c:ser>
          <c:idx val="5"/>
          <c:order val="5"/>
          <c:tx>
            <c:strRef>
              <c:f>DD!$AE$20:$AF$20</c:f>
              <c:strCache>
                <c:ptCount val="2"/>
                <c:pt idx="0">
                  <c:v>June</c:v>
                </c:pt>
                <c:pt idx="1">
                  <c:v>Cooling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DD!$AG$2:$AZ$2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DD!$AG$20:$AZ$20</c:f>
              <c:numCache>
                <c:formatCode>0.0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624-4604-BB9F-B528E7251514}"/>
            </c:ext>
          </c:extLst>
        </c:ser>
        <c:ser>
          <c:idx val="6"/>
          <c:order val="6"/>
          <c:tx>
            <c:strRef>
              <c:f>DD!$AE$21:$AF$21</c:f>
              <c:strCache>
                <c:ptCount val="2"/>
                <c:pt idx="0">
                  <c:v>July</c:v>
                </c:pt>
                <c:pt idx="1">
                  <c:v>Cooling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DD!$AG$2:$AZ$2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DD!$AG$21:$AZ$21</c:f>
              <c:numCache>
                <c:formatCode>0.0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624-4604-BB9F-B528E7251514}"/>
            </c:ext>
          </c:extLst>
        </c:ser>
        <c:ser>
          <c:idx val="7"/>
          <c:order val="7"/>
          <c:tx>
            <c:strRef>
              <c:f>DD!$AE$22:$AF$22</c:f>
              <c:strCache>
                <c:ptCount val="2"/>
                <c:pt idx="0">
                  <c:v>August</c:v>
                </c:pt>
                <c:pt idx="1">
                  <c:v>Cooling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DD!$AG$2:$AZ$2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DD!$AG$22:$AZ$22</c:f>
              <c:numCache>
                <c:formatCode>0.0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624-4604-BB9F-B528E7251514}"/>
            </c:ext>
          </c:extLst>
        </c:ser>
        <c:ser>
          <c:idx val="8"/>
          <c:order val="8"/>
          <c:tx>
            <c:strRef>
              <c:f>DD!$AE$23:$AF$23</c:f>
              <c:strCache>
                <c:ptCount val="2"/>
                <c:pt idx="0">
                  <c:v>September</c:v>
                </c:pt>
                <c:pt idx="1">
                  <c:v>Cooling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DD!$AG$2:$AZ$2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DD!$AG$23:$AZ$23</c:f>
              <c:numCache>
                <c:formatCode>0.0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624-4604-BB9F-B528E7251514}"/>
            </c:ext>
          </c:extLst>
        </c:ser>
        <c:ser>
          <c:idx val="9"/>
          <c:order val="9"/>
          <c:tx>
            <c:strRef>
              <c:f>DD!$AE$24:$AF$24</c:f>
              <c:strCache>
                <c:ptCount val="2"/>
                <c:pt idx="0">
                  <c:v>October</c:v>
                </c:pt>
                <c:pt idx="1">
                  <c:v>Cooling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DD!$AG$2:$AZ$2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DD!$AG$24:$AZ$24</c:f>
              <c:numCache>
                <c:formatCode>0.0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624-4604-BB9F-B528E7251514}"/>
            </c:ext>
          </c:extLst>
        </c:ser>
        <c:ser>
          <c:idx val="10"/>
          <c:order val="10"/>
          <c:tx>
            <c:strRef>
              <c:f>DD!$AE$25:$AF$25</c:f>
              <c:strCache>
                <c:ptCount val="2"/>
                <c:pt idx="0">
                  <c:v>November</c:v>
                </c:pt>
                <c:pt idx="1">
                  <c:v>Cooling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DD!$AG$2:$AZ$2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DD!$AG$25:$AZ$25</c:f>
              <c:numCache>
                <c:formatCode>0.0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624-4604-BB9F-B528E7251514}"/>
            </c:ext>
          </c:extLst>
        </c:ser>
        <c:ser>
          <c:idx val="11"/>
          <c:order val="11"/>
          <c:tx>
            <c:strRef>
              <c:f>DD!$AE$26:$AF$26</c:f>
              <c:strCache>
                <c:ptCount val="2"/>
                <c:pt idx="0">
                  <c:v>December</c:v>
                </c:pt>
                <c:pt idx="1">
                  <c:v>Cooling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DD!$AG$2:$AZ$2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DD!$AG$26:$AZ$26</c:f>
              <c:numCache>
                <c:formatCode>0.0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624-4604-BB9F-B528E72515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36239"/>
        <c:axId val="36836719"/>
      </c:lineChart>
      <c:catAx>
        <c:axId val="36836239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36719"/>
        <c:crosses val="autoZero"/>
        <c:auto val="1"/>
        <c:lblAlgn val="ctr"/>
        <c:lblOffset val="100"/>
        <c:noMultiLvlLbl val="0"/>
      </c:catAx>
      <c:valAx>
        <c:axId val="36836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Cooling (kW)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36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'Danish Standard DS439'!$B$2</c:f>
              <c:strCache>
                <c:ptCount val="1"/>
                <c:pt idx="0">
                  <c:v>Coincidence Factor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'Danish Standard DS439'!$A$3:$A$202</c:f>
              <c:numCache>
                <c:formatCode>General</c:formatCode>
                <c:ptCount val="2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</c:numCache>
            </c:numRef>
          </c:xVal>
          <c:yVal>
            <c:numRef>
              <c:f>'Danish Standard DS439'!$B$3:$B$202</c:f>
              <c:numCache>
                <c:formatCode>General</c:formatCode>
                <c:ptCount val="200"/>
                <c:pt idx="0">
                  <c:v>0.76800000000000002</c:v>
                </c:pt>
                <c:pt idx="1">
                  <c:v>0.5378136272206866</c:v>
                </c:pt>
                <c:pt idx="2">
                  <c:v>0.43663736262037961</c:v>
                </c:pt>
                <c:pt idx="3">
                  <c:v>0.3766191375316037</c:v>
                </c:pt>
                <c:pt idx="4">
                  <c:v>0.33580769041616115</c:v>
                </c:pt>
                <c:pt idx="5">
                  <c:v>0.30576760907674555</c:v>
                </c:pt>
                <c:pt idx="6">
                  <c:v>0.28247552694007111</c:v>
                </c:pt>
                <c:pt idx="7">
                  <c:v>0.2637381568184875</c:v>
                </c:pt>
                <c:pt idx="8">
                  <c:v>0.24824503442198029</c:v>
                </c:pt>
                <c:pt idx="9">
                  <c:v>0.235158791707444</c:v>
                </c:pt>
                <c:pt idx="10">
                  <c:v>0.22391613018577491</c:v>
                </c:pt>
                <c:pt idx="11">
                  <c:v>0.2141223788075019</c:v>
                </c:pt>
                <c:pt idx="12">
                  <c:v>0.20549172457397843</c:v>
                </c:pt>
                <c:pt idx="13">
                  <c:v>0.19781144237593024</c:v>
                </c:pt>
                <c:pt idx="14">
                  <c:v>0.19091951079551239</c:v>
                </c:pt>
                <c:pt idx="15">
                  <c:v>0.18469007129563678</c:v>
                </c:pt>
                <c:pt idx="16">
                  <c:v>0.17902367762056864</c:v>
                </c:pt>
                <c:pt idx="17">
                  <c:v>0.17384057604428313</c:v>
                </c:pt>
                <c:pt idx="18">
                  <c:v>0.16907596278259585</c:v>
                </c:pt>
                <c:pt idx="19">
                  <c:v>0.16467656606902917</c:v>
                </c:pt>
                <c:pt idx="20">
                  <c:v>0.16059813683322216</c:v>
                </c:pt>
                <c:pt idx="21">
                  <c:v>0.15680357574014461</c:v>
                </c:pt>
                <c:pt idx="22">
                  <c:v>0.15326151431096993</c:v>
                </c:pt>
                <c:pt idx="23">
                  <c:v>0.1499452255411256</c:v>
                </c:pt>
                <c:pt idx="24">
                  <c:v>0.14683177726905769</c:v>
                </c:pt>
                <c:pt idx="25">
                  <c:v>0.14390136687104901</c:v>
                </c:pt>
                <c:pt idx="26">
                  <c:v>0.14113679311669119</c:v>
                </c:pt>
                <c:pt idx="27">
                  <c:v>0.13852303298171206</c:v>
                </c:pt>
                <c:pt idx="28">
                  <c:v>0.13604689963342223</c:v>
                </c:pt>
                <c:pt idx="29">
                  <c:v>0.1336967638126739</c:v>
                </c:pt>
                <c:pt idx="30">
                  <c:v>0.13146232518077894</c:v>
                </c:pt>
                <c:pt idx="31">
                  <c:v>0.12933442337910625</c:v>
                </c:pt>
                <c:pt idx="32">
                  <c:v>0.1273048809016645</c:v>
                </c:pt>
                <c:pt idx="33">
                  <c:v>0.12536637163998032</c:v>
                </c:pt>
                <c:pt idx="34">
                  <c:v>0.12351231028754348</c:v>
                </c:pt>
                <c:pt idx="35">
                  <c:v>0.12173675880274676</c:v>
                </c:pt>
                <c:pt idx="36">
                  <c:v>0.1200343469064999</c:v>
                </c:pt>
                <c:pt idx="37">
                  <c:v>0.11840020419262717</c:v>
                </c:pt>
                <c:pt idx="38">
                  <c:v>0.11682990189882213</c:v>
                </c:pt>
                <c:pt idx="39">
                  <c:v>0.11531940275498907</c:v>
                </c:pt>
                <c:pt idx="40">
                  <c:v>0.11386501761774262</c:v>
                </c:pt>
                <c:pt idx="41">
                  <c:v>0.11246336783223876</c:v>
                </c:pt>
                <c:pt idx="42">
                  <c:v>0.11111135244862469</c:v>
                </c:pt>
                <c:pt idx="43">
                  <c:v>0.10980611957028757</c:v>
                </c:pt>
                <c:pt idx="44">
                  <c:v>0.10854504123245526</c:v>
                </c:pt>
                <c:pt idx="45">
                  <c:v>0.10732569130848683</c:v>
                </c:pt>
                <c:pt idx="46">
                  <c:v>0.10614582602198394</c:v>
                </c:pt>
                <c:pt idx="47">
                  <c:v>0.1050033667092405</c:v>
                </c:pt>
                <c:pt idx="48">
                  <c:v>0.10389638453134224</c:v>
                </c:pt>
                <c:pt idx="49">
                  <c:v>0.10282308688064044</c:v>
                </c:pt>
                <c:pt idx="50">
                  <c:v>0.10178180526412263</c:v>
                </c:pt>
                <c:pt idx="51">
                  <c:v>0.10077098447777812</c:v>
                </c:pt>
                <c:pt idx="52">
                  <c:v>9.9789172912539609E-2</c:v>
                </c:pt>
                <c:pt idx="53">
                  <c:v>9.8835013854665796E-2</c:v>
                </c:pt>
                <c:pt idx="54">
                  <c:v>9.7907237662251984E-2</c:v>
                </c:pt>
                <c:pt idx="55">
                  <c:v>9.7004654715501751E-2</c:v>
                </c:pt>
                <c:pt idx="56">
                  <c:v>9.6126149051945414E-2</c:v>
                </c:pt>
                <c:pt idx="57">
                  <c:v>9.527067260934835E-2</c:v>
                </c:pt>
                <c:pt idx="58">
                  <c:v>9.4437240008931625E-2</c:v>
                </c:pt>
                <c:pt idx="59">
                  <c:v>9.3624923820002079E-2</c:v>
                </c:pt>
                <c:pt idx="60">
                  <c:v>9.2832850254372268E-2</c:v>
                </c:pt>
                <c:pt idx="61">
                  <c:v>9.2060195245234552E-2</c:v>
                </c:pt>
                <c:pt idx="62">
                  <c:v>9.1306180870579401E-2</c:v>
                </c:pt>
                <c:pt idx="63">
                  <c:v>9.0570072085954578E-2</c:v>
                </c:pt>
                <c:pt idx="64">
                  <c:v>8.9851173735444795E-2</c:v>
                </c:pt>
                <c:pt idx="65">
                  <c:v>8.9148827813309517E-2</c:v>
                </c:pt>
                <c:pt idx="66">
                  <c:v>8.8462410951818019E-2</c:v>
                </c:pt>
                <c:pt idx="67">
                  <c:v>8.7791332113534418E-2</c:v>
                </c:pt>
                <c:pt idx="68">
                  <c:v>8.7135030468681582E-2</c:v>
                </c:pt>
                <c:pt idx="69">
                  <c:v>8.6492973440300325E-2</c:v>
                </c:pt>
                <c:pt idx="70">
                  <c:v>8.5864654901754808E-2</c:v>
                </c:pt>
                <c:pt idx="71">
                  <c:v>8.5249593512754018E-2</c:v>
                </c:pt>
                <c:pt idx="72">
                  <c:v>8.4647331181486998E-2</c:v>
                </c:pt>
                <c:pt idx="73">
                  <c:v>8.4057431641732933E-2</c:v>
                </c:pt>
                <c:pt idx="74">
                  <c:v>8.3479479134927551E-2</c:v>
                </c:pt>
                <c:pt idx="75">
                  <c:v>8.2913077188159837E-2</c:v>
                </c:pt>
                <c:pt idx="76">
                  <c:v>8.2357847479958765E-2</c:v>
                </c:pt>
                <c:pt idx="77">
                  <c:v>8.1813428786513681E-2</c:v>
                </c:pt>
                <c:pt idx="78">
                  <c:v>8.1279476001676482E-2</c:v>
                </c:pt>
                <c:pt idx="79">
                  <c:v>8.0755659224718654E-2</c:v>
                </c:pt>
                <c:pt idx="80">
                  <c:v>8.0241662910377848E-2</c:v>
                </c:pt>
                <c:pt idx="81">
                  <c:v>7.9737185076231162E-2</c:v>
                </c:pt>
                <c:pt idx="82">
                  <c:v>7.9241936562881782E-2</c:v>
                </c:pt>
                <c:pt idx="83">
                  <c:v>7.8755640342852359E-2</c:v>
                </c:pt>
                <c:pt idx="84">
                  <c:v>7.827803087444081E-2</c:v>
                </c:pt>
                <c:pt idx="85">
                  <c:v>7.7808853497123645E-2</c:v>
                </c:pt>
                <c:pt idx="86">
                  <c:v>7.7347863865386696E-2</c:v>
                </c:pt>
                <c:pt idx="87">
                  <c:v>7.6894827418131195E-2</c:v>
                </c:pt>
                <c:pt idx="88">
                  <c:v>7.6449518881043912E-2</c:v>
                </c:pt>
                <c:pt idx="89">
                  <c:v>7.6011721799538731E-2</c:v>
                </c:pt>
                <c:pt idx="90">
                  <c:v>7.5581228100076198E-2</c:v>
                </c:pt>
                <c:pt idx="91">
                  <c:v>7.5157837677845077E-2</c:v>
                </c:pt>
                <c:pt idx="92">
                  <c:v>7.4741358008955774E-2</c:v>
                </c:pt>
                <c:pt idx="93">
                  <c:v>7.4331603785441555E-2</c:v>
                </c:pt>
                <c:pt idx="94">
                  <c:v>7.3928396571500424E-2</c:v>
                </c:pt>
                <c:pt idx="95">
                  <c:v>7.353156447953195E-2</c:v>
                </c:pt>
                <c:pt idx="96">
                  <c:v>7.3140941864636974E-2</c:v>
                </c:pt>
                <c:pt idx="97">
                  <c:v>7.2756369036349453E-2</c:v>
                </c:pt>
                <c:pt idx="98">
                  <c:v>7.2377691986463988E-2</c:v>
                </c:pt>
                <c:pt idx="99">
                  <c:v>7.2004762131907582E-2</c:v>
                </c:pt>
                <c:pt idx="100">
                  <c:v>7.1637436071684088E-2</c:v>
                </c:pt>
                <c:pt idx="101">
                  <c:v>7.1275575356988766E-2</c:v>
                </c:pt>
                <c:pt idx="102">
                  <c:v>7.0919046273659414E-2</c:v>
                </c:pt>
                <c:pt idx="103">
                  <c:v>7.0567719636189283E-2</c:v>
                </c:pt>
                <c:pt idx="104">
                  <c:v>7.0221470592581978E-2</c:v>
                </c:pt>
                <c:pt idx="105">
                  <c:v>6.988017843938181E-2</c:v>
                </c:pt>
                <c:pt idx="106">
                  <c:v>6.954372644625767E-2</c:v>
                </c:pt>
                <c:pt idx="107">
                  <c:v>6.9212001689563304E-2</c:v>
                </c:pt>
                <c:pt idx="108">
                  <c:v>6.8884894894336648E-2</c:v>
                </c:pt>
                <c:pt idx="109">
                  <c:v>6.8562300284236377E-2</c:v>
                </c:pt>
                <c:pt idx="110">
                  <c:v>6.8244115438950329E-2</c:v>
                </c:pt>
                <c:pt idx="111">
                  <c:v>6.793024115863841E-2</c:v>
                </c:pt>
                <c:pt idx="112">
                  <c:v>6.762058133500562E-2</c:v>
                </c:pt>
                <c:pt idx="113">
                  <c:v>6.7315042828623883E-2</c:v>
                </c:pt>
                <c:pt idx="114">
                  <c:v>6.7013535352148754E-2</c:v>
                </c:pt>
                <c:pt idx="115">
                  <c:v>6.6715971359099138E-2</c:v>
                </c:pt>
                <c:pt idx="116">
                  <c:v>6.6422265937889788E-2</c:v>
                </c:pt>
                <c:pt idx="117">
                  <c:v>6.6132336710825593E-2</c:v>
                </c:pt>
                <c:pt idx="118">
                  <c:v>6.5846103737785849E-2</c:v>
                </c:pt>
                <c:pt idx="119">
                  <c:v>6.5563489424343452E-2</c:v>
                </c:pt>
                <c:pt idx="120">
                  <c:v>6.5284418434079311E-2</c:v>
                </c:pt>
                <c:pt idx="121">
                  <c:v>6.5008817604868208E-2</c:v>
                </c:pt>
                <c:pt idx="122">
                  <c:v>6.4736615868924735E-2</c:v>
                </c:pt>
                <c:pt idx="123">
                  <c:v>6.4467744176411712E-2</c:v>
                </c:pt>
                <c:pt idx="124">
                  <c:v>6.4202135422425033E-2</c:v>
                </c:pt>
                <c:pt idx="125">
                  <c:v>6.3939724377180165E-2</c:v>
                </c:pt>
                <c:pt idx="126">
                  <c:v>6.3680447619235248E-2</c:v>
                </c:pt>
                <c:pt idx="127">
                  <c:v>6.3424243471596739E-2</c:v>
                </c:pt>
                <c:pt idx="128">
                  <c:v>6.3171051940561135E-2</c:v>
                </c:pt>
                <c:pt idx="129">
                  <c:v>6.2920814657155794E-2</c:v>
                </c:pt>
                <c:pt idx="130">
                  <c:v>6.2673474821049041E-2</c:v>
                </c:pt>
                <c:pt idx="131">
                  <c:v>6.2428977146807819E-2</c:v>
                </c:pt>
                <c:pt idx="132">
                  <c:v>6.2187267812387502E-2</c:v>
                </c:pt>
                <c:pt idx="133">
                  <c:v>6.1948294409745114E-2</c:v>
                </c:pt>
                <c:pt idx="134">
                  <c:v>6.1712005897473443E-2</c:v>
                </c:pt>
                <c:pt idx="135">
                  <c:v>6.1478352555359231E-2</c:v>
                </c:pt>
                <c:pt idx="136">
                  <c:v>6.1247285940773076E-2</c:v>
                </c:pt>
                <c:pt idx="137">
                  <c:v>6.1018758846805597E-2</c:v>
                </c:pt>
                <c:pt idx="138">
                  <c:v>6.0792725262066603E-2</c:v>
                </c:pt>
                <c:pt idx="139">
                  <c:v>6.0569140332070885E-2</c:v>
                </c:pt>
                <c:pt idx="140">
                  <c:v>6.0347960322136365E-2</c:v>
                </c:pt>
                <c:pt idx="141">
                  <c:v>6.0129142581725588E-2</c:v>
                </c:pt>
                <c:pt idx="142">
                  <c:v>5.991264551016455E-2</c:v>
                </c:pt>
                <c:pt idx="143">
                  <c:v>5.9698428523676232E-2</c:v>
                </c:pt>
                <c:pt idx="144">
                  <c:v>5.9486452023670339E-2</c:v>
                </c:pt>
                <c:pt idx="145">
                  <c:v>5.9276677366232079E-2</c:v>
                </c:pt>
                <c:pt idx="146">
                  <c:v>5.9069066832757929E-2</c:v>
                </c:pt>
                <c:pt idx="147">
                  <c:v>5.8863583601686635E-2</c:v>
                </c:pt>
                <c:pt idx="148">
                  <c:v>5.8660191721278544E-2</c:v>
                </c:pt>
                <c:pt idx="149">
                  <c:v>5.8458856083397147E-2</c:v>
                </c:pt>
                <c:pt idx="150">
                  <c:v>5.8259542398249146E-2</c:v>
                </c:pt>
                <c:pt idx="151">
                  <c:v>5.8062217170042993E-2</c:v>
                </c:pt>
                <c:pt idx="152">
                  <c:v>5.7866847673525491E-2</c:v>
                </c:pt>
                <c:pt idx="153">
                  <c:v>5.7673401931360287E-2</c:v>
                </c:pt>
                <c:pt idx="154">
                  <c:v>5.7481848692312126E-2</c:v>
                </c:pt>
                <c:pt idx="155">
                  <c:v>5.7292157410203458E-2</c:v>
                </c:pt>
                <c:pt idx="156">
                  <c:v>5.7104298223611349E-2</c:v>
                </c:pt>
                <c:pt idx="157">
                  <c:v>5.6918241936273921E-2</c:v>
                </c:pt>
                <c:pt idx="158">
                  <c:v>5.6733959998177499E-2</c:v>
                </c:pt>
                <c:pt idx="159">
                  <c:v>5.6551424487296401E-2</c:v>
                </c:pt>
                <c:pt idx="160">
                  <c:v>5.637060809195895E-2</c:v>
                </c:pt>
                <c:pt idx="161">
                  <c:v>5.6191484093815046E-2</c:v>
                </c:pt>
                <c:pt idx="162">
                  <c:v>5.6014026351380225E-2</c:v>
                </c:pt>
                <c:pt idx="163">
                  <c:v>5.5838209284134209E-2</c:v>
                </c:pt>
                <c:pt idx="164">
                  <c:v>5.5664007857151594E-2</c:v>
                </c:pt>
                <c:pt idx="165">
                  <c:v>5.5491397566243467E-2</c:v>
                </c:pt>
                <c:pt idx="166">
                  <c:v>5.5320354423591046E-2</c:v>
                </c:pt>
                <c:pt idx="167">
                  <c:v>5.5150854943850601E-2</c:v>
                </c:pt>
                <c:pt idx="168">
                  <c:v>5.498287613071328E-2</c:v>
                </c:pt>
                <c:pt idx="169">
                  <c:v>5.4816395463900915E-2</c:v>
                </c:pt>
                <c:pt idx="170">
                  <c:v>5.4651390886581976E-2</c:v>
                </c:pt>
                <c:pt idx="171">
                  <c:v>5.4487840793191522E-2</c:v>
                </c:pt>
                <c:pt idx="172">
                  <c:v>5.4325724017639757E-2</c:v>
                </c:pt>
                <c:pt idx="173">
                  <c:v>5.4165019821895193E-2</c:v>
                </c:pt>
                <c:pt idx="174">
                  <c:v>5.4005707884927368E-2</c:v>
                </c:pt>
                <c:pt idx="175">
                  <c:v>5.3847768291997208E-2</c:v>
                </c:pt>
                <c:pt idx="176">
                  <c:v>5.3691181524280866E-2</c:v>
                </c:pt>
                <c:pt idx="177">
                  <c:v>5.3535928448815863E-2</c:v>
                </c:pt>
                <c:pt idx="178">
                  <c:v>5.3381990308757087E-2</c:v>
                </c:pt>
                <c:pt idx="179">
                  <c:v>5.3229348713931833E-2</c:v>
                </c:pt>
                <c:pt idx="180">
                  <c:v>5.3077985631682943E-2</c:v>
                </c:pt>
                <c:pt idx="181">
                  <c:v>5.2927883377989648E-2</c:v>
                </c:pt>
                <c:pt idx="182">
                  <c:v>5.2779024608856424E-2</c:v>
                </c:pt>
                <c:pt idx="183">
                  <c:v>5.2631392311960228E-2</c:v>
                </c:pt>
                <c:pt idx="184">
                  <c:v>5.2484969798546895E-2</c:v>
                </c:pt>
                <c:pt idx="185">
                  <c:v>5.2339740695568238E-2</c:v>
                </c:pt>
                <c:pt idx="186">
                  <c:v>5.2195688938051356E-2</c:v>
                </c:pt>
                <c:pt idx="187">
                  <c:v>5.2052798761691735E-2</c:v>
                </c:pt>
                <c:pt idx="188">
                  <c:v>5.1911054695662949E-2</c:v>
                </c:pt>
                <c:pt idx="189">
                  <c:v>5.1770441555635427E-2</c:v>
                </c:pt>
                <c:pt idx="190">
                  <c:v>5.1630944436996694E-2</c:v>
                </c:pt>
                <c:pt idx="191">
                  <c:v>5.1492548708266757E-2</c:v>
                </c:pt>
                <c:pt idx="192">
                  <c:v>5.1355240004701923E-2</c:v>
                </c:pt>
                <c:pt idx="193">
                  <c:v>5.1219004222080429E-2</c:v>
                </c:pt>
                <c:pt idx="194">
                  <c:v>5.1083827510664225E-2</c:v>
                </c:pt>
                <c:pt idx="195">
                  <c:v>5.0949696269330692E-2</c:v>
                </c:pt>
                <c:pt idx="196">
                  <c:v>5.0816597139868816E-2</c:v>
                </c:pt>
                <c:pt idx="197">
                  <c:v>5.0684517001434649E-2</c:v>
                </c:pt>
                <c:pt idx="198">
                  <c:v>5.0553442965160185E-2</c:v>
                </c:pt>
                <c:pt idx="199">
                  <c:v>5.0423362368911415E-2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91-4F29-A3D1-FAA80506C0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316015"/>
        <c:axId val="1"/>
      </c:scatterChart>
      <c:valAx>
        <c:axId val="77316015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16015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Solar PV Generation (kWh)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4F81BD"/>
            </a:solidFill>
            <a:ln w="25400">
              <a:noFill/>
            </a:ln>
          </c:spPr>
          <c:invertIfNegative val="0"/>
          <c:cat>
            <c:strRef>
              <c:f>PV!$B$23:$B$34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PV!$C$23:$C$34</c:f>
              <c:numCache>
                <c:formatCode>0.0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66-474E-BDF7-50D9A6353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2543824"/>
        <c:axId val="1"/>
      </c:barChart>
      <c:catAx>
        <c:axId val="242543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Month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Generation (kWh)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#,##0" sourceLinked="0"/>
        <c:majorTickMark val="none"/>
        <c:minorTickMark val="none"/>
        <c:tickLblPos val="nextTo"/>
        <c:spPr>
          <a:ln w="9525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543824"/>
        <c:crosses val="autoZero"/>
        <c:crossBetween val="between"/>
      </c:valAx>
      <c:spPr>
        <a:noFill/>
        <a:ln w="25400">
          <a:noFill/>
        </a:ln>
      </c:spPr>
    </c:plotArea>
    <c:plotVisOnly val="0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Predicted Energy Profile -</a:t>
            </a:r>
            <a:r>
              <a:rPr lang="en-GB" baseline="0"/>
              <a:t> January</a:t>
            </a:r>
            <a:endParaRPr lang="en-GB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Predicted Demand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AMD!$AU$10:$BN$10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'Building Performance'!$BR$11:$CK$11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B7-4729-88C2-B33502B1663F}"/>
            </c:ext>
          </c:extLst>
        </c:ser>
        <c:ser>
          <c:idx val="1"/>
          <c:order val="1"/>
          <c:tx>
            <c:v>January PV</c:v>
          </c:tx>
          <c:marker>
            <c:symbol val="none"/>
          </c:marker>
          <c:val>
            <c:numRef>
              <c:f>'Building Performance'!$AL$10:$BE$10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B7-4729-88C2-B33502B1663F}"/>
            </c:ext>
          </c:extLst>
        </c:ser>
        <c:ser>
          <c:idx val="2"/>
          <c:order val="2"/>
          <c:tx>
            <c:v>January Battery</c:v>
          </c:tx>
          <c:marker>
            <c:symbol val="none"/>
          </c:marker>
          <c:val>
            <c:numRef>
              <c:f>'Building Performance'!$AL$11:$BE$11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B7-4729-88C2-B33502B1663F}"/>
            </c:ext>
          </c:extLst>
        </c:ser>
        <c:ser>
          <c:idx val="3"/>
          <c:order val="3"/>
          <c:tx>
            <c:v>Adjusted Demand</c:v>
          </c:tx>
          <c:marker>
            <c:symbol val="none"/>
          </c:marker>
          <c:val>
            <c:numRef>
              <c:f>'Building Performance'!$AL$12:$BE$12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B7-4729-88C2-B33502B16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908592"/>
        <c:axId val="1"/>
      </c:lineChart>
      <c:catAx>
        <c:axId val="54908592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GB"/>
                  <a:t>Diversified kVA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4908592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overlay val="0"/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Predicted Energy Profile -</a:t>
            </a:r>
            <a:r>
              <a:rPr lang="en-GB" baseline="0"/>
              <a:t> February</a:t>
            </a:r>
            <a:endParaRPr lang="en-GB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Predicted Demand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AMD!$AU$10:$BN$10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'Building Performance'!$BR$14:$CK$14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6B-4F16-A932-9CAB1F117987}"/>
            </c:ext>
          </c:extLst>
        </c:ser>
        <c:ser>
          <c:idx val="1"/>
          <c:order val="1"/>
          <c:tx>
            <c:v>February PV</c:v>
          </c:tx>
          <c:marker>
            <c:symbol val="none"/>
          </c:marker>
          <c:val>
            <c:numRef>
              <c:f>'Building Performance'!$AL$16:$BE$16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6B-4F16-A932-9CAB1F117987}"/>
            </c:ext>
          </c:extLst>
        </c:ser>
        <c:ser>
          <c:idx val="2"/>
          <c:order val="2"/>
          <c:tx>
            <c:v>February Battery</c:v>
          </c:tx>
          <c:marker>
            <c:symbol val="none"/>
          </c:marker>
          <c:val>
            <c:numRef>
              <c:f>'Building Performance'!$AL$17:$BE$17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6B-4F16-A932-9CAB1F117987}"/>
            </c:ext>
          </c:extLst>
        </c:ser>
        <c:ser>
          <c:idx val="3"/>
          <c:order val="3"/>
          <c:tx>
            <c:v>Adjusted Demand</c:v>
          </c:tx>
          <c:marker>
            <c:symbol val="none"/>
          </c:marker>
          <c:val>
            <c:numRef>
              <c:f>'Building Performance'!$AL$18:$BE$18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46B-4F16-A932-9CAB1F11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897552"/>
        <c:axId val="1"/>
      </c:lineChart>
      <c:catAx>
        <c:axId val="54897552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GB"/>
                  <a:t>Diversified kVA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4897552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overlay val="0"/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Predicted Energy Profile -</a:t>
            </a:r>
            <a:r>
              <a:rPr lang="en-GB" baseline="0"/>
              <a:t> March</a:t>
            </a:r>
            <a:endParaRPr lang="en-GB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Predicted Demand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AMD!$AU$10:$BN$10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'Building Performance'!$BR$17:$CK$17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CD-4494-A26B-59B7B324C426}"/>
            </c:ext>
          </c:extLst>
        </c:ser>
        <c:ser>
          <c:idx val="1"/>
          <c:order val="1"/>
          <c:tx>
            <c:v>March PV</c:v>
          </c:tx>
          <c:marker>
            <c:symbol val="none"/>
          </c:marker>
          <c:val>
            <c:numRef>
              <c:f>'Building Performance'!$AL$22:$BE$22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CD-4494-A26B-59B7B324C426}"/>
            </c:ext>
          </c:extLst>
        </c:ser>
        <c:ser>
          <c:idx val="2"/>
          <c:order val="2"/>
          <c:tx>
            <c:v>March Battery</c:v>
          </c:tx>
          <c:marker>
            <c:symbol val="none"/>
          </c:marker>
          <c:val>
            <c:numRef>
              <c:f>'Building Performance'!$AL$23:$BE$23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CD-4494-A26B-59B7B324C426}"/>
            </c:ext>
          </c:extLst>
        </c:ser>
        <c:ser>
          <c:idx val="3"/>
          <c:order val="3"/>
          <c:tx>
            <c:v>Adjusted Demand</c:v>
          </c:tx>
          <c:marker>
            <c:symbol val="none"/>
          </c:marker>
          <c:val>
            <c:numRef>
              <c:f>'Building Performance'!$AL$24:$BE$24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CCD-4494-A26B-59B7B324C4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938832"/>
        <c:axId val="1"/>
      </c:lineChart>
      <c:catAx>
        <c:axId val="54938832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GB"/>
                  <a:t>Diversified kVA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4938832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overlay val="0"/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Predicted Energy Profile -</a:t>
            </a:r>
            <a:r>
              <a:rPr lang="en-GB" baseline="0"/>
              <a:t> April</a:t>
            </a:r>
            <a:endParaRPr lang="en-GB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Predicted Demand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AMD!$AU$10:$BN$10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'Building Performance'!$BR$20:$CK$20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8D-420C-A61F-69C647E9A1D5}"/>
            </c:ext>
          </c:extLst>
        </c:ser>
        <c:ser>
          <c:idx val="1"/>
          <c:order val="1"/>
          <c:tx>
            <c:v>April PV</c:v>
          </c:tx>
          <c:marker>
            <c:symbol val="none"/>
          </c:marker>
          <c:val>
            <c:numRef>
              <c:f>'Building Performance'!$AL$28:$BE$28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8D-420C-A61F-69C647E9A1D5}"/>
            </c:ext>
          </c:extLst>
        </c:ser>
        <c:ser>
          <c:idx val="2"/>
          <c:order val="2"/>
          <c:tx>
            <c:v>April Battery</c:v>
          </c:tx>
          <c:marker>
            <c:symbol val="none"/>
          </c:marker>
          <c:val>
            <c:numRef>
              <c:f>'Building Performance'!$AL$29:$BE$29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8D-420C-A61F-69C647E9A1D5}"/>
            </c:ext>
          </c:extLst>
        </c:ser>
        <c:ser>
          <c:idx val="3"/>
          <c:order val="3"/>
          <c:tx>
            <c:v>Adjusted Demand</c:v>
          </c:tx>
          <c:marker>
            <c:symbol val="none"/>
          </c:marker>
          <c:val>
            <c:numRef>
              <c:f>'Building Performance'!$AL$30:$BE$30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8D-420C-A61F-69C647E9A1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946992"/>
        <c:axId val="1"/>
      </c:lineChart>
      <c:catAx>
        <c:axId val="54946992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GB"/>
                  <a:t>Diversified kVA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4946992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overlay val="0"/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Predicted Energy Profile -</a:t>
            </a:r>
            <a:r>
              <a:rPr lang="en-GB" baseline="0"/>
              <a:t> May</a:t>
            </a:r>
            <a:endParaRPr lang="en-GB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Predicted Demand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AMD!$AU$10:$BN$10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'Building Performance'!$BR$23:$CK$23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0D-418B-AC14-B5C259D7FA70}"/>
            </c:ext>
          </c:extLst>
        </c:ser>
        <c:ser>
          <c:idx val="1"/>
          <c:order val="1"/>
          <c:tx>
            <c:v>May PV</c:v>
          </c:tx>
          <c:marker>
            <c:symbol val="none"/>
          </c:marker>
          <c:val>
            <c:numRef>
              <c:f>'Building Performance'!$AL$34:$BE$34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0D-418B-AC14-B5C259D7FA70}"/>
            </c:ext>
          </c:extLst>
        </c:ser>
        <c:ser>
          <c:idx val="2"/>
          <c:order val="2"/>
          <c:tx>
            <c:v>May Battery</c:v>
          </c:tx>
          <c:marker>
            <c:symbol val="none"/>
          </c:marker>
          <c:val>
            <c:numRef>
              <c:f>'Building Performance'!$AL$35:$BE$35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0D-418B-AC14-B5C259D7FA70}"/>
            </c:ext>
          </c:extLst>
        </c:ser>
        <c:ser>
          <c:idx val="3"/>
          <c:order val="3"/>
          <c:tx>
            <c:v>Adjusted Demand</c:v>
          </c:tx>
          <c:marker>
            <c:symbol val="none"/>
          </c:marker>
          <c:val>
            <c:numRef>
              <c:f>'Building Performance'!$AL$36:$BE$36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0D-418B-AC14-B5C259D7FA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942192"/>
        <c:axId val="1"/>
      </c:lineChart>
      <c:catAx>
        <c:axId val="54942192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GB"/>
                  <a:t>Diversified kVA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4942192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overlay val="0"/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Predicted Energy Profile -</a:t>
            </a:r>
            <a:r>
              <a:rPr lang="en-GB" baseline="0"/>
              <a:t> June</a:t>
            </a:r>
            <a:endParaRPr lang="en-GB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Predicted Demand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AMD!$AU$10:$BN$10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'Building Performance'!$BR$26:$CK$26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52-4A15-AA01-9C5BD3F77C49}"/>
            </c:ext>
          </c:extLst>
        </c:ser>
        <c:ser>
          <c:idx val="1"/>
          <c:order val="1"/>
          <c:tx>
            <c:v>June PV</c:v>
          </c:tx>
          <c:marker>
            <c:symbol val="none"/>
          </c:marker>
          <c:val>
            <c:numRef>
              <c:f>'Building Performance'!$AL$40:$BE$40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52-4A15-AA01-9C5BD3F77C49}"/>
            </c:ext>
          </c:extLst>
        </c:ser>
        <c:ser>
          <c:idx val="2"/>
          <c:order val="2"/>
          <c:tx>
            <c:v>June Battery</c:v>
          </c:tx>
          <c:marker>
            <c:symbol val="none"/>
          </c:marker>
          <c:val>
            <c:numRef>
              <c:f>'Building Performance'!$AL$41:$BE$41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52-4A15-AA01-9C5BD3F77C49}"/>
            </c:ext>
          </c:extLst>
        </c:ser>
        <c:ser>
          <c:idx val="3"/>
          <c:order val="3"/>
          <c:tx>
            <c:v>Adjusted Demand</c:v>
          </c:tx>
          <c:marker>
            <c:symbol val="none"/>
          </c:marker>
          <c:val>
            <c:numRef>
              <c:f>'Building Performance'!$AL$42:$BE$42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52-4A15-AA01-9C5BD3F77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935472"/>
        <c:axId val="1"/>
      </c:lineChart>
      <c:catAx>
        <c:axId val="54935472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GB"/>
                  <a:t>Diversified kVA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4935472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overlay val="0"/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Predicted Energy Profile -</a:t>
            </a:r>
            <a:r>
              <a:rPr lang="en-GB" baseline="0"/>
              <a:t> July</a:t>
            </a:r>
            <a:endParaRPr lang="en-GB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Predicted Demand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AMD!$AU$10:$BN$10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'Building Performance'!$BR$29:$CK$29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CE-44DF-85DB-60E0543F5FBA}"/>
            </c:ext>
          </c:extLst>
        </c:ser>
        <c:ser>
          <c:idx val="1"/>
          <c:order val="1"/>
          <c:tx>
            <c:v>July PV</c:v>
          </c:tx>
          <c:marker>
            <c:symbol val="none"/>
          </c:marker>
          <c:val>
            <c:numRef>
              <c:f>'Building Performance'!$AL$46:$BE$46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CE-44DF-85DB-60E0543F5FBA}"/>
            </c:ext>
          </c:extLst>
        </c:ser>
        <c:ser>
          <c:idx val="2"/>
          <c:order val="2"/>
          <c:tx>
            <c:v>July Battery</c:v>
          </c:tx>
          <c:marker>
            <c:symbol val="none"/>
          </c:marker>
          <c:val>
            <c:numRef>
              <c:f>'Building Performance'!$AL$47:$BE$47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CE-44DF-85DB-60E0543F5FBA}"/>
            </c:ext>
          </c:extLst>
        </c:ser>
        <c:ser>
          <c:idx val="3"/>
          <c:order val="3"/>
          <c:tx>
            <c:v>Adjusted Demand</c:v>
          </c:tx>
          <c:marker>
            <c:symbol val="none"/>
          </c:marker>
          <c:val>
            <c:numRef>
              <c:f>'Building Performance'!$AL$48:$BE$48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CE-44DF-85DB-60E0543F5F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930192"/>
        <c:axId val="1"/>
      </c:lineChart>
      <c:catAx>
        <c:axId val="54930192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GB"/>
                  <a:t>Diversified kVA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4930192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overlay val="0"/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Predicted Energy Profile -</a:t>
            </a:r>
            <a:r>
              <a:rPr lang="en-GB" baseline="0"/>
              <a:t> August</a:t>
            </a:r>
            <a:endParaRPr lang="en-GB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Predicted Demand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AMD!$AU$10:$BN$10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'Building Performance'!$BR$32:$CK$32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6-411A-89FF-CCF393969911}"/>
            </c:ext>
          </c:extLst>
        </c:ser>
        <c:ser>
          <c:idx val="1"/>
          <c:order val="1"/>
          <c:tx>
            <c:v>August PV</c:v>
          </c:tx>
          <c:marker>
            <c:symbol val="none"/>
          </c:marker>
          <c:val>
            <c:numRef>
              <c:f>'Building Performance'!$AL$52:$BE$52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6-411A-89FF-CCF393969911}"/>
            </c:ext>
          </c:extLst>
        </c:ser>
        <c:ser>
          <c:idx val="2"/>
          <c:order val="2"/>
          <c:tx>
            <c:v>August Battery</c:v>
          </c:tx>
          <c:marker>
            <c:symbol val="none"/>
          </c:marker>
          <c:val>
            <c:numRef>
              <c:f>'Building Performance'!$AL$53:$BE$53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16-411A-89FF-CCF393969911}"/>
            </c:ext>
          </c:extLst>
        </c:ser>
        <c:ser>
          <c:idx val="3"/>
          <c:order val="3"/>
          <c:tx>
            <c:v>Adjusted Demand</c:v>
          </c:tx>
          <c:marker>
            <c:symbol val="none"/>
          </c:marker>
          <c:val>
            <c:numRef>
              <c:f>'Building Performance'!$AL$54:$BE$54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016-411A-89FF-CCF393969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306208"/>
        <c:axId val="1"/>
      </c:lineChart>
      <c:catAx>
        <c:axId val="48306208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GB"/>
                  <a:t>Diversified kVA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8306208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overlay val="0"/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Predicted Energy Profile -</a:t>
            </a:r>
            <a:r>
              <a:rPr lang="en-GB" baseline="0"/>
              <a:t> September</a:t>
            </a:r>
            <a:endParaRPr lang="en-GB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Predicted Demand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AMD!$AU$10:$BN$10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'Building Performance'!$BR$35:$CK$35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04-4619-8B26-6AAB349E7D14}"/>
            </c:ext>
          </c:extLst>
        </c:ser>
        <c:ser>
          <c:idx val="1"/>
          <c:order val="1"/>
          <c:tx>
            <c:v>September PV</c:v>
          </c:tx>
          <c:marker>
            <c:symbol val="none"/>
          </c:marker>
          <c:val>
            <c:numRef>
              <c:f>'Building Performance'!$AL$58:$BE$58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04-4619-8B26-6AAB349E7D14}"/>
            </c:ext>
          </c:extLst>
        </c:ser>
        <c:ser>
          <c:idx val="2"/>
          <c:order val="2"/>
          <c:tx>
            <c:v>September Battery</c:v>
          </c:tx>
          <c:marker>
            <c:symbol val="none"/>
          </c:marker>
          <c:val>
            <c:numRef>
              <c:f>'Building Performance'!$AL$59:$BE$59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04-4619-8B26-6AAB349E7D14}"/>
            </c:ext>
          </c:extLst>
        </c:ser>
        <c:ser>
          <c:idx val="3"/>
          <c:order val="3"/>
          <c:tx>
            <c:v>Adjusted Demand</c:v>
          </c:tx>
          <c:marker>
            <c:symbol val="none"/>
          </c:marker>
          <c:val>
            <c:numRef>
              <c:f>'Building Performance'!$AL$60:$BE$60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04-4619-8B26-6AAB349E7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315328"/>
        <c:axId val="1"/>
      </c:lineChart>
      <c:catAx>
        <c:axId val="48315328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GB"/>
                  <a:t>Diversified kVA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8315328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overlay val="0"/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Predicted Energy Profile -</a:t>
            </a:r>
            <a:r>
              <a:rPr lang="en-GB" baseline="0"/>
              <a:t> October</a:t>
            </a:r>
            <a:endParaRPr lang="en-GB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Predicted Demand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AMD!$AU$10:$BN$10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'Building Performance'!$BR$38:$CK$38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58-4266-9B1D-4D028BE6B412}"/>
            </c:ext>
          </c:extLst>
        </c:ser>
        <c:ser>
          <c:idx val="1"/>
          <c:order val="1"/>
          <c:tx>
            <c:v>October PV</c:v>
          </c:tx>
          <c:marker>
            <c:symbol val="none"/>
          </c:marker>
          <c:val>
            <c:numRef>
              <c:f>'Building Performance'!$AL$64:$BE$64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58-4266-9B1D-4D028BE6B412}"/>
            </c:ext>
          </c:extLst>
        </c:ser>
        <c:ser>
          <c:idx val="2"/>
          <c:order val="2"/>
          <c:tx>
            <c:v>October Battery</c:v>
          </c:tx>
          <c:marker>
            <c:symbol val="none"/>
          </c:marker>
          <c:val>
            <c:numRef>
              <c:f>'Building Performance'!$AL$65:$BE$65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58-4266-9B1D-4D028BE6B412}"/>
            </c:ext>
          </c:extLst>
        </c:ser>
        <c:ser>
          <c:idx val="3"/>
          <c:order val="3"/>
          <c:tx>
            <c:v>Adjusted Demand</c:v>
          </c:tx>
          <c:marker>
            <c:symbol val="none"/>
          </c:marker>
          <c:val>
            <c:numRef>
              <c:f>'Building Performance'!$AL$66:$BE$66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58-4266-9B1D-4D028BE6B4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295168"/>
        <c:axId val="1"/>
      </c:lineChart>
      <c:catAx>
        <c:axId val="48295168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GB"/>
                  <a:t>Diversified kVA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8295168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overlay val="0"/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Predicted Energy Profile -</a:t>
            </a:r>
            <a:r>
              <a:rPr lang="en-GB" baseline="0"/>
              <a:t> November</a:t>
            </a:r>
            <a:endParaRPr lang="en-GB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Predicted Demand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AMD!$AU$10:$BN$10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'Building Performance'!$BR$41:$CK$41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28-4FD3-AB17-A7454E062A8D}"/>
            </c:ext>
          </c:extLst>
        </c:ser>
        <c:ser>
          <c:idx val="1"/>
          <c:order val="1"/>
          <c:tx>
            <c:v>November PV</c:v>
          </c:tx>
          <c:marker>
            <c:symbol val="none"/>
          </c:marker>
          <c:val>
            <c:numRef>
              <c:f>'Building Performance'!$AL$70:$BE$70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28-4FD3-AB17-A7454E062A8D}"/>
            </c:ext>
          </c:extLst>
        </c:ser>
        <c:ser>
          <c:idx val="2"/>
          <c:order val="2"/>
          <c:tx>
            <c:v>November Battery</c:v>
          </c:tx>
          <c:marker>
            <c:symbol val="none"/>
          </c:marker>
          <c:val>
            <c:numRef>
              <c:f>'Building Performance'!$AL$71:$BE$71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28-4FD3-AB17-A7454E062A8D}"/>
            </c:ext>
          </c:extLst>
        </c:ser>
        <c:ser>
          <c:idx val="3"/>
          <c:order val="3"/>
          <c:tx>
            <c:v>Adjusted Demand</c:v>
          </c:tx>
          <c:marker>
            <c:symbol val="none"/>
          </c:marker>
          <c:val>
            <c:numRef>
              <c:f>'Building Performance'!$AL$72:$BE$72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28-4FD3-AB17-A7454E062A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301888"/>
        <c:axId val="1"/>
      </c:lineChart>
      <c:catAx>
        <c:axId val="48301888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GB"/>
                  <a:t>Diversified kVA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8301888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overlay val="0"/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Predicted Energy Profile -</a:t>
            </a:r>
            <a:r>
              <a:rPr lang="en-GB" baseline="0"/>
              <a:t> December</a:t>
            </a:r>
            <a:endParaRPr lang="en-GB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Predicted Demand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AMD!$AU$10:$BN$10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'Building Performance'!$BR$44:$CK$44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24-4050-A7DB-7989E85B6A67}"/>
            </c:ext>
          </c:extLst>
        </c:ser>
        <c:ser>
          <c:idx val="1"/>
          <c:order val="1"/>
          <c:tx>
            <c:v>December PV</c:v>
          </c:tx>
          <c:marker>
            <c:symbol val="none"/>
          </c:marker>
          <c:val>
            <c:numRef>
              <c:f>'Building Performance'!$AL$76:$BE$76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24-4050-A7DB-7989E85B6A67}"/>
            </c:ext>
          </c:extLst>
        </c:ser>
        <c:ser>
          <c:idx val="2"/>
          <c:order val="2"/>
          <c:tx>
            <c:v>December Battery</c:v>
          </c:tx>
          <c:marker>
            <c:symbol val="none"/>
          </c:marker>
          <c:val>
            <c:numRef>
              <c:f>'Building Performance'!$AL$77:$BE$77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24-4050-A7DB-7989E85B6A67}"/>
            </c:ext>
          </c:extLst>
        </c:ser>
        <c:ser>
          <c:idx val="3"/>
          <c:order val="3"/>
          <c:tx>
            <c:v>Adjusted Demand</c:v>
          </c:tx>
          <c:marker>
            <c:symbol val="none"/>
          </c:marker>
          <c:val>
            <c:numRef>
              <c:f>'Building Performance'!$AL$78:$BE$78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C24-4050-A7DB-7989E85B6A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987087"/>
        <c:axId val="1"/>
      </c:lineChart>
      <c:catAx>
        <c:axId val="22987087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GB"/>
                  <a:t>Diversified kVA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987087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overlay val="0"/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Predicted Demand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AMD!$AU$10:$BN$10</c:f>
              <c:numCache>
                <c:formatCode>h:mm</c:formatCode>
                <c:ptCount val="20"/>
                <c:pt idx="0">
                  <c:v>0.20833333333333334</c:v>
                </c:pt>
                <c:pt idx="1">
                  <c:v>0.25</c:v>
                </c:pt>
                <c:pt idx="2">
                  <c:v>0.29166666666666702</c:v>
                </c:pt>
                <c:pt idx="3">
                  <c:v>0.33333333333333298</c:v>
                </c:pt>
                <c:pt idx="4">
                  <c:v>0.375</c:v>
                </c:pt>
                <c:pt idx="5">
                  <c:v>0.41666666666666702</c:v>
                </c:pt>
                <c:pt idx="6">
                  <c:v>0.45833333333333298</c:v>
                </c:pt>
                <c:pt idx="7">
                  <c:v>0.5</c:v>
                </c:pt>
                <c:pt idx="8">
                  <c:v>0.54166666666666696</c:v>
                </c:pt>
                <c:pt idx="9">
                  <c:v>0.58333333333333304</c:v>
                </c:pt>
                <c:pt idx="10">
                  <c:v>0.625</c:v>
                </c:pt>
                <c:pt idx="11">
                  <c:v>0.66666666666666696</c:v>
                </c:pt>
                <c:pt idx="12">
                  <c:v>0.70833333333333304</c:v>
                </c:pt>
                <c:pt idx="13">
                  <c:v>0.75</c:v>
                </c:pt>
                <c:pt idx="14">
                  <c:v>0.79166666666666696</c:v>
                </c:pt>
                <c:pt idx="15">
                  <c:v>0.83333333333333304</c:v>
                </c:pt>
                <c:pt idx="16">
                  <c:v>0.875</c:v>
                </c:pt>
                <c:pt idx="17">
                  <c:v>0.91666666666666696</c:v>
                </c:pt>
                <c:pt idx="18">
                  <c:v>0.95833333333333304</c:v>
                </c:pt>
                <c:pt idx="19">
                  <c:v>1</c:v>
                </c:pt>
              </c:numCache>
            </c:numRef>
          </c:cat>
          <c:val>
            <c:numRef>
              <c:f>AMD!$AU$46:$BN$46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FD-40D9-9910-25B8C3E4AA09}"/>
            </c:ext>
          </c:extLst>
        </c:ser>
        <c:ser>
          <c:idx val="2"/>
          <c:order val="1"/>
          <c:tx>
            <c:v>January PV</c:v>
          </c:tx>
          <c:marker>
            <c:symbol val="none"/>
          </c:marker>
          <c:val>
            <c:numRef>
              <c:f>'Building Performance'!$AL$10:$BE$10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FD-40D9-9910-25B8C3E4AA09}"/>
            </c:ext>
          </c:extLst>
        </c:ser>
        <c:ser>
          <c:idx val="3"/>
          <c:order val="2"/>
          <c:tx>
            <c:v>February PV</c:v>
          </c:tx>
          <c:marker>
            <c:symbol val="none"/>
          </c:marker>
          <c:val>
            <c:numRef>
              <c:f>'Building Performance'!$AL$16:$BE$16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FD-40D9-9910-25B8C3E4AA09}"/>
            </c:ext>
          </c:extLst>
        </c:ser>
        <c:ser>
          <c:idx val="4"/>
          <c:order val="3"/>
          <c:tx>
            <c:v>March PV</c:v>
          </c:tx>
          <c:marker>
            <c:symbol val="none"/>
          </c:marker>
          <c:val>
            <c:numRef>
              <c:f>'Building Performance'!$AL$22:$BE$22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6FD-40D9-9910-25B8C3E4AA09}"/>
            </c:ext>
          </c:extLst>
        </c:ser>
        <c:ser>
          <c:idx val="5"/>
          <c:order val="4"/>
          <c:tx>
            <c:v>April PV</c:v>
          </c:tx>
          <c:marker>
            <c:symbol val="none"/>
          </c:marker>
          <c:val>
            <c:numRef>
              <c:f>'Building Performance'!$AL$28:$BE$28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6FD-40D9-9910-25B8C3E4AA09}"/>
            </c:ext>
          </c:extLst>
        </c:ser>
        <c:ser>
          <c:idx val="6"/>
          <c:order val="5"/>
          <c:tx>
            <c:v>May PV</c:v>
          </c:tx>
          <c:marker>
            <c:symbol val="none"/>
          </c:marker>
          <c:val>
            <c:numRef>
              <c:f>'Building Performance'!$AL$34:$BE$34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6FD-40D9-9910-25B8C3E4AA09}"/>
            </c:ext>
          </c:extLst>
        </c:ser>
        <c:ser>
          <c:idx val="7"/>
          <c:order val="6"/>
          <c:tx>
            <c:v>June PV</c:v>
          </c:tx>
          <c:marker>
            <c:symbol val="none"/>
          </c:marker>
          <c:val>
            <c:numRef>
              <c:f>'Building Performance'!$AL$40:$BE$40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6FD-40D9-9910-25B8C3E4AA09}"/>
            </c:ext>
          </c:extLst>
        </c:ser>
        <c:ser>
          <c:idx val="8"/>
          <c:order val="7"/>
          <c:tx>
            <c:v>July PV</c:v>
          </c:tx>
          <c:marker>
            <c:symbol val="none"/>
          </c:marker>
          <c:val>
            <c:numRef>
              <c:f>'Building Performance'!$AL$46:$BE$46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6FD-40D9-9910-25B8C3E4AA09}"/>
            </c:ext>
          </c:extLst>
        </c:ser>
        <c:ser>
          <c:idx val="9"/>
          <c:order val="8"/>
          <c:tx>
            <c:v>August PV</c:v>
          </c:tx>
          <c:marker>
            <c:symbol val="none"/>
          </c:marker>
          <c:val>
            <c:numRef>
              <c:f>'Building Performance'!$AL$52:$BE$52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6FD-40D9-9910-25B8C3E4AA09}"/>
            </c:ext>
          </c:extLst>
        </c:ser>
        <c:ser>
          <c:idx val="10"/>
          <c:order val="9"/>
          <c:tx>
            <c:v>September PV</c:v>
          </c:tx>
          <c:marker>
            <c:symbol val="none"/>
          </c:marker>
          <c:val>
            <c:numRef>
              <c:f>'Building Performance'!$AL$58:$BE$58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6FD-40D9-9910-25B8C3E4AA09}"/>
            </c:ext>
          </c:extLst>
        </c:ser>
        <c:ser>
          <c:idx val="11"/>
          <c:order val="10"/>
          <c:tx>
            <c:v>October PV</c:v>
          </c:tx>
          <c:marker>
            <c:symbol val="none"/>
          </c:marker>
          <c:val>
            <c:numRef>
              <c:f>'Building Performance'!$AL$64:$BE$64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6FD-40D9-9910-25B8C3E4AA09}"/>
            </c:ext>
          </c:extLst>
        </c:ser>
        <c:ser>
          <c:idx val="12"/>
          <c:order val="11"/>
          <c:tx>
            <c:v>November PV</c:v>
          </c:tx>
          <c:marker>
            <c:symbol val="none"/>
          </c:marker>
          <c:val>
            <c:numRef>
              <c:f>'Building Performance'!$AL$70:$BE$70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6FD-40D9-9910-25B8C3E4AA09}"/>
            </c:ext>
          </c:extLst>
        </c:ser>
        <c:ser>
          <c:idx val="1"/>
          <c:order val="12"/>
          <c:tx>
            <c:v>December PV</c:v>
          </c:tx>
          <c:marker>
            <c:symbol val="none"/>
          </c:marker>
          <c:val>
            <c:numRef>
              <c:f>'Building Performance'!$AL$76:$BE$76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6FD-40D9-9910-25B8C3E4AA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311215"/>
        <c:axId val="1"/>
      </c:lineChart>
      <c:catAx>
        <c:axId val="77311215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GB"/>
                  <a:t>Diversified kVA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77311215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overlay val="0"/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3.xml"/><Relationship Id="rId13" Type="http://schemas.openxmlformats.org/officeDocument/2006/relationships/chart" Target="../charts/chart38.xml"/><Relationship Id="rId3" Type="http://schemas.openxmlformats.org/officeDocument/2006/relationships/chart" Target="../charts/chart28.xml"/><Relationship Id="rId7" Type="http://schemas.openxmlformats.org/officeDocument/2006/relationships/chart" Target="../charts/chart32.xml"/><Relationship Id="rId12" Type="http://schemas.openxmlformats.org/officeDocument/2006/relationships/chart" Target="../charts/chart37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6" Type="http://schemas.openxmlformats.org/officeDocument/2006/relationships/chart" Target="../charts/chart31.xml"/><Relationship Id="rId11" Type="http://schemas.openxmlformats.org/officeDocument/2006/relationships/chart" Target="../charts/chart36.xml"/><Relationship Id="rId5" Type="http://schemas.openxmlformats.org/officeDocument/2006/relationships/chart" Target="../charts/chart30.xml"/><Relationship Id="rId10" Type="http://schemas.openxmlformats.org/officeDocument/2006/relationships/chart" Target="../charts/chart35.xml"/><Relationship Id="rId4" Type="http://schemas.openxmlformats.org/officeDocument/2006/relationships/chart" Target="../charts/chart29.xml"/><Relationship Id="rId9" Type="http://schemas.openxmlformats.org/officeDocument/2006/relationships/chart" Target="../charts/chart3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82550</xdr:colOff>
      <xdr:row>10</xdr:row>
      <xdr:rowOff>88900</xdr:rowOff>
    </xdr:from>
    <xdr:to>
      <xdr:col>40</xdr:col>
      <xdr:colOff>571500</xdr:colOff>
      <xdr:row>14</xdr:row>
      <xdr:rowOff>1932</xdr:rowOff>
    </xdr:to>
    <xdr:graphicFrame macro="">
      <xdr:nvGraphicFramePr>
        <xdr:cNvPr id="5354979" name="Chart 2">
          <a:extLst>
            <a:ext uri="{FF2B5EF4-FFF2-40B4-BE49-F238E27FC236}">
              <a16:creationId xmlns:a16="http://schemas.microsoft.com/office/drawing/2014/main" id="{C1247E83-FCF9-F8F0-FEB1-AE248D68A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83820</xdr:colOff>
      <xdr:row>18</xdr:row>
      <xdr:rowOff>91440</xdr:rowOff>
    </xdr:from>
    <xdr:to>
      <xdr:col>40</xdr:col>
      <xdr:colOff>685800</xdr:colOff>
      <xdr:row>22</xdr:row>
      <xdr:rowOff>0</xdr:rowOff>
    </xdr:to>
    <xdr:graphicFrame macro="">
      <xdr:nvGraphicFramePr>
        <xdr:cNvPr id="5354980" name="Chart 3">
          <a:extLst>
            <a:ext uri="{FF2B5EF4-FFF2-40B4-BE49-F238E27FC236}">
              <a16:creationId xmlns:a16="http://schemas.microsoft.com/office/drawing/2014/main" id="{141C1F4E-EE6A-8A21-42C2-6966E9A230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83820</xdr:colOff>
      <xdr:row>26</xdr:row>
      <xdr:rowOff>91440</xdr:rowOff>
    </xdr:from>
    <xdr:to>
      <xdr:col>40</xdr:col>
      <xdr:colOff>883920</xdr:colOff>
      <xdr:row>29</xdr:row>
      <xdr:rowOff>236220</xdr:rowOff>
    </xdr:to>
    <xdr:graphicFrame macro="">
      <xdr:nvGraphicFramePr>
        <xdr:cNvPr id="5354981" name="Chart 4">
          <a:extLst>
            <a:ext uri="{FF2B5EF4-FFF2-40B4-BE49-F238E27FC236}">
              <a16:creationId xmlns:a16="http://schemas.microsoft.com/office/drawing/2014/main" id="{6DA8F66C-6713-0267-A237-5E4A331D13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45</xdr:col>
      <xdr:colOff>1292412</xdr:colOff>
      <xdr:row>47</xdr:row>
      <xdr:rowOff>40641</xdr:rowOff>
    </xdr:from>
    <xdr:to>
      <xdr:col>66</xdr:col>
      <xdr:colOff>80906</xdr:colOff>
      <xdr:row>54</xdr:row>
      <xdr:rowOff>155464</xdr:rowOff>
    </xdr:to>
    <xdr:graphicFrame macro="">
      <xdr:nvGraphicFramePr>
        <xdr:cNvPr id="5354982" name="Chart 6">
          <a:extLst>
            <a:ext uri="{FF2B5EF4-FFF2-40B4-BE49-F238E27FC236}">
              <a16:creationId xmlns:a16="http://schemas.microsoft.com/office/drawing/2014/main" id="{E30B8DCC-8A26-548F-E2FD-65F39E61BF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83820</xdr:colOff>
      <xdr:row>34</xdr:row>
      <xdr:rowOff>91440</xdr:rowOff>
    </xdr:from>
    <xdr:to>
      <xdr:col>40</xdr:col>
      <xdr:colOff>883920</xdr:colOff>
      <xdr:row>37</xdr:row>
      <xdr:rowOff>236220</xdr:rowOff>
    </xdr:to>
    <xdr:graphicFrame macro="">
      <xdr:nvGraphicFramePr>
        <xdr:cNvPr id="5354983" name="Chart 4">
          <a:extLst>
            <a:ext uri="{FF2B5EF4-FFF2-40B4-BE49-F238E27FC236}">
              <a16:creationId xmlns:a16="http://schemas.microsoft.com/office/drawing/2014/main" id="{DD286DD1-8D74-3477-3755-F6D53FFF68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83820</xdr:colOff>
      <xdr:row>42</xdr:row>
      <xdr:rowOff>91440</xdr:rowOff>
    </xdr:from>
    <xdr:to>
      <xdr:col>40</xdr:col>
      <xdr:colOff>883920</xdr:colOff>
      <xdr:row>45</xdr:row>
      <xdr:rowOff>236220</xdr:rowOff>
    </xdr:to>
    <xdr:graphicFrame macro="">
      <xdr:nvGraphicFramePr>
        <xdr:cNvPr id="5354984" name="Chart 4">
          <a:extLst>
            <a:ext uri="{FF2B5EF4-FFF2-40B4-BE49-F238E27FC236}">
              <a16:creationId xmlns:a16="http://schemas.microsoft.com/office/drawing/2014/main" id="{21848EB7-C30F-2CD4-96F5-2B903A3BCF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83820</xdr:colOff>
      <xdr:row>50</xdr:row>
      <xdr:rowOff>45720</xdr:rowOff>
    </xdr:from>
    <xdr:to>
      <xdr:col>40</xdr:col>
      <xdr:colOff>685800</xdr:colOff>
      <xdr:row>53</xdr:row>
      <xdr:rowOff>175260</xdr:rowOff>
    </xdr:to>
    <xdr:graphicFrame macro="">
      <xdr:nvGraphicFramePr>
        <xdr:cNvPr id="5354985" name="Chart 4">
          <a:extLst>
            <a:ext uri="{FF2B5EF4-FFF2-40B4-BE49-F238E27FC236}">
              <a16:creationId xmlns:a16="http://schemas.microsoft.com/office/drawing/2014/main" id="{CAE44ACC-1104-B71F-154B-CE72D04B8C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83820</xdr:colOff>
      <xdr:row>61</xdr:row>
      <xdr:rowOff>91440</xdr:rowOff>
    </xdr:from>
    <xdr:to>
      <xdr:col>40</xdr:col>
      <xdr:colOff>883920</xdr:colOff>
      <xdr:row>64</xdr:row>
      <xdr:rowOff>236220</xdr:rowOff>
    </xdr:to>
    <xdr:graphicFrame macro="">
      <xdr:nvGraphicFramePr>
        <xdr:cNvPr id="5354986" name="Chart 2">
          <a:extLst>
            <a:ext uri="{FF2B5EF4-FFF2-40B4-BE49-F238E27FC236}">
              <a16:creationId xmlns:a16="http://schemas.microsoft.com/office/drawing/2014/main" id="{0F635506-AE9A-B12F-8970-1BC5893F33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21</xdr:col>
      <xdr:colOff>83820</xdr:colOff>
      <xdr:row>69</xdr:row>
      <xdr:rowOff>91440</xdr:rowOff>
    </xdr:from>
    <xdr:to>
      <xdr:col>40</xdr:col>
      <xdr:colOff>685800</xdr:colOff>
      <xdr:row>73</xdr:row>
      <xdr:rowOff>0</xdr:rowOff>
    </xdr:to>
    <xdr:graphicFrame macro="">
      <xdr:nvGraphicFramePr>
        <xdr:cNvPr id="5354987" name="Chart 3">
          <a:extLst>
            <a:ext uri="{FF2B5EF4-FFF2-40B4-BE49-F238E27FC236}">
              <a16:creationId xmlns:a16="http://schemas.microsoft.com/office/drawing/2014/main" id="{B8E4680D-AB1A-5A79-4B24-1F6162E04A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21</xdr:col>
      <xdr:colOff>83820</xdr:colOff>
      <xdr:row>77</xdr:row>
      <xdr:rowOff>91440</xdr:rowOff>
    </xdr:from>
    <xdr:to>
      <xdr:col>40</xdr:col>
      <xdr:colOff>883920</xdr:colOff>
      <xdr:row>80</xdr:row>
      <xdr:rowOff>236220</xdr:rowOff>
    </xdr:to>
    <xdr:graphicFrame macro="">
      <xdr:nvGraphicFramePr>
        <xdr:cNvPr id="5354988" name="Chart 4">
          <a:extLst>
            <a:ext uri="{FF2B5EF4-FFF2-40B4-BE49-F238E27FC236}">
              <a16:creationId xmlns:a16="http://schemas.microsoft.com/office/drawing/2014/main" id="{001BDD5D-90F8-CFE4-0B63-F26957CD20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21</xdr:col>
      <xdr:colOff>83820</xdr:colOff>
      <xdr:row>85</xdr:row>
      <xdr:rowOff>91440</xdr:rowOff>
    </xdr:from>
    <xdr:to>
      <xdr:col>40</xdr:col>
      <xdr:colOff>883920</xdr:colOff>
      <xdr:row>88</xdr:row>
      <xdr:rowOff>236220</xdr:rowOff>
    </xdr:to>
    <xdr:graphicFrame macro="">
      <xdr:nvGraphicFramePr>
        <xdr:cNvPr id="5354989" name="Chart 4">
          <a:extLst>
            <a:ext uri="{FF2B5EF4-FFF2-40B4-BE49-F238E27FC236}">
              <a16:creationId xmlns:a16="http://schemas.microsoft.com/office/drawing/2014/main" id="{101D5C2E-6C5C-1D08-CF12-F802BC29ED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21</xdr:col>
      <xdr:colOff>83820</xdr:colOff>
      <xdr:row>93</xdr:row>
      <xdr:rowOff>91440</xdr:rowOff>
    </xdr:from>
    <xdr:to>
      <xdr:col>40</xdr:col>
      <xdr:colOff>883920</xdr:colOff>
      <xdr:row>96</xdr:row>
      <xdr:rowOff>236220</xdr:rowOff>
    </xdr:to>
    <xdr:graphicFrame macro="">
      <xdr:nvGraphicFramePr>
        <xdr:cNvPr id="5354990" name="Chart 4">
          <a:extLst>
            <a:ext uri="{FF2B5EF4-FFF2-40B4-BE49-F238E27FC236}">
              <a16:creationId xmlns:a16="http://schemas.microsoft.com/office/drawing/2014/main" id="{4A5A94CF-A06C-733A-4D45-AA318F41F5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21</xdr:col>
      <xdr:colOff>83820</xdr:colOff>
      <xdr:row>101</xdr:row>
      <xdr:rowOff>91440</xdr:rowOff>
    </xdr:from>
    <xdr:to>
      <xdr:col>40</xdr:col>
      <xdr:colOff>883920</xdr:colOff>
      <xdr:row>104</xdr:row>
      <xdr:rowOff>236220</xdr:rowOff>
    </xdr:to>
    <xdr:graphicFrame macro="">
      <xdr:nvGraphicFramePr>
        <xdr:cNvPr id="5354991" name="Chart 4">
          <a:extLst>
            <a:ext uri="{FF2B5EF4-FFF2-40B4-BE49-F238E27FC236}">
              <a16:creationId xmlns:a16="http://schemas.microsoft.com/office/drawing/2014/main" id="{8F7FF7E0-73CC-7482-CE9C-8A8A4875BD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21</xdr:col>
      <xdr:colOff>83820</xdr:colOff>
      <xdr:row>109</xdr:row>
      <xdr:rowOff>91440</xdr:rowOff>
    </xdr:from>
    <xdr:to>
      <xdr:col>40</xdr:col>
      <xdr:colOff>883920</xdr:colOff>
      <xdr:row>112</xdr:row>
      <xdr:rowOff>236220</xdr:rowOff>
    </xdr:to>
    <xdr:graphicFrame macro="">
      <xdr:nvGraphicFramePr>
        <xdr:cNvPr id="5354992" name="Chart 4">
          <a:extLst>
            <a:ext uri="{FF2B5EF4-FFF2-40B4-BE49-F238E27FC236}">
              <a16:creationId xmlns:a16="http://schemas.microsoft.com/office/drawing/2014/main" id="{AF2C2D29-7E0D-7599-3456-C5C1C1B432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21</xdr:col>
      <xdr:colOff>83820</xdr:colOff>
      <xdr:row>117</xdr:row>
      <xdr:rowOff>91440</xdr:rowOff>
    </xdr:from>
    <xdr:to>
      <xdr:col>40</xdr:col>
      <xdr:colOff>883920</xdr:colOff>
      <xdr:row>120</xdr:row>
      <xdr:rowOff>236220</xdr:rowOff>
    </xdr:to>
    <xdr:graphicFrame macro="">
      <xdr:nvGraphicFramePr>
        <xdr:cNvPr id="5354993" name="Chart 4">
          <a:extLst>
            <a:ext uri="{FF2B5EF4-FFF2-40B4-BE49-F238E27FC236}">
              <a16:creationId xmlns:a16="http://schemas.microsoft.com/office/drawing/2014/main" id="{C8E8A396-4D17-7736-DE0B-68583510FA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21</xdr:col>
      <xdr:colOff>83820</xdr:colOff>
      <xdr:row>125</xdr:row>
      <xdr:rowOff>91440</xdr:rowOff>
    </xdr:from>
    <xdr:to>
      <xdr:col>40</xdr:col>
      <xdr:colOff>883920</xdr:colOff>
      <xdr:row>128</xdr:row>
      <xdr:rowOff>236220</xdr:rowOff>
    </xdr:to>
    <xdr:graphicFrame macro="">
      <xdr:nvGraphicFramePr>
        <xdr:cNvPr id="5354994" name="Chart 4">
          <a:extLst>
            <a:ext uri="{FF2B5EF4-FFF2-40B4-BE49-F238E27FC236}">
              <a16:creationId xmlns:a16="http://schemas.microsoft.com/office/drawing/2014/main" id="{FEFC12B2-F8A7-4339-763A-C558E78346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43</xdr:col>
      <xdr:colOff>312420</xdr:colOff>
      <xdr:row>58</xdr:row>
      <xdr:rowOff>38100</xdr:rowOff>
    </xdr:from>
    <xdr:to>
      <xdr:col>67</xdr:col>
      <xdr:colOff>784860</xdr:colOff>
      <xdr:row>103</xdr:row>
      <xdr:rowOff>129540</xdr:rowOff>
    </xdr:to>
    <xdr:graphicFrame macro="">
      <xdr:nvGraphicFramePr>
        <xdr:cNvPr id="5354995" name="Chart 1">
          <a:extLst>
            <a:ext uri="{FF2B5EF4-FFF2-40B4-BE49-F238E27FC236}">
              <a16:creationId xmlns:a16="http://schemas.microsoft.com/office/drawing/2014/main" id="{1E5469FB-63CE-63B2-2AA6-6AFA6C4AD7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21</xdr:col>
      <xdr:colOff>82550</xdr:colOff>
      <xdr:row>133</xdr:row>
      <xdr:rowOff>34471</xdr:rowOff>
    </xdr:from>
    <xdr:to>
      <xdr:col>41</xdr:col>
      <xdr:colOff>0</xdr:colOff>
      <xdr:row>136</xdr:row>
      <xdr:rowOff>129721</xdr:rowOff>
    </xdr:to>
    <xdr:graphicFrame macro="">
      <xdr:nvGraphicFramePr>
        <xdr:cNvPr id="3" name="Chart 4">
          <a:extLst>
            <a:ext uri="{FF2B5EF4-FFF2-40B4-BE49-F238E27FC236}">
              <a16:creationId xmlns:a16="http://schemas.microsoft.com/office/drawing/2014/main" id="{5B6D2724-0219-14D5-2E7D-30796C4167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21</xdr:col>
      <xdr:colOff>82550</xdr:colOff>
      <xdr:row>141</xdr:row>
      <xdr:rowOff>34471</xdr:rowOff>
    </xdr:from>
    <xdr:to>
      <xdr:col>41</xdr:col>
      <xdr:colOff>0</xdr:colOff>
      <xdr:row>144</xdr:row>
      <xdr:rowOff>129721</xdr:rowOff>
    </xdr:to>
    <xdr:graphicFrame macro="">
      <xdr:nvGraphicFramePr>
        <xdr:cNvPr id="2" name="Chart 4">
          <a:extLst>
            <a:ext uri="{FF2B5EF4-FFF2-40B4-BE49-F238E27FC236}">
              <a16:creationId xmlns:a16="http://schemas.microsoft.com/office/drawing/2014/main" id="{8E8251D2-5C6C-44F6-BFAC-0A5DFC81C1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21</xdr:col>
      <xdr:colOff>82550</xdr:colOff>
      <xdr:row>149</xdr:row>
      <xdr:rowOff>34471</xdr:rowOff>
    </xdr:from>
    <xdr:to>
      <xdr:col>41</xdr:col>
      <xdr:colOff>0</xdr:colOff>
      <xdr:row>152</xdr:row>
      <xdr:rowOff>129721</xdr:rowOff>
    </xdr:to>
    <xdr:graphicFrame macro="">
      <xdr:nvGraphicFramePr>
        <xdr:cNvPr id="4" name="Chart 4">
          <a:extLst>
            <a:ext uri="{FF2B5EF4-FFF2-40B4-BE49-F238E27FC236}">
              <a16:creationId xmlns:a16="http://schemas.microsoft.com/office/drawing/2014/main" id="{7E6DAB74-1319-45C7-864D-9902B38AD9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9524</xdr:colOff>
      <xdr:row>0</xdr:row>
      <xdr:rowOff>104140</xdr:rowOff>
    </xdr:from>
    <xdr:to>
      <xdr:col>27</xdr:col>
      <xdr:colOff>25399</xdr:colOff>
      <xdr:row>23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554142-507B-C6B8-06E8-3B8DA1A9AC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24765</xdr:colOff>
      <xdr:row>24</xdr:row>
      <xdr:rowOff>156210</xdr:rowOff>
    </xdr:from>
    <xdr:to>
      <xdr:col>26</xdr:col>
      <xdr:colOff>603251</xdr:colOff>
      <xdr:row>45</xdr:row>
      <xdr:rowOff>44450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63A4AF-B79B-F1D9-A41F-6AAAB490C5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27305</xdr:colOff>
      <xdr:row>45</xdr:row>
      <xdr:rowOff>97790</xdr:rowOff>
    </xdr:from>
    <xdr:to>
      <xdr:col>26</xdr:col>
      <xdr:colOff>604521</xdr:colOff>
      <xdr:row>65</xdr:row>
      <xdr:rowOff>176530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005424B-00D9-46E7-BB80-BB706C282B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289560</xdr:colOff>
      <xdr:row>3</xdr:row>
      <xdr:rowOff>99060</xdr:rowOff>
    </xdr:from>
    <xdr:to>
      <xdr:col>16</xdr:col>
      <xdr:colOff>510540</xdr:colOff>
      <xdr:row>20</xdr:row>
      <xdr:rowOff>213360</xdr:rowOff>
    </xdr:to>
    <xdr:graphicFrame macro="">
      <xdr:nvGraphicFramePr>
        <xdr:cNvPr id="2398331" name="Chart 1">
          <a:extLst>
            <a:ext uri="{FF2B5EF4-FFF2-40B4-BE49-F238E27FC236}">
              <a16:creationId xmlns:a16="http://schemas.microsoft.com/office/drawing/2014/main" id="{038BC0C9-03A6-2853-3C03-53A1DA32DC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35</xdr:row>
      <xdr:rowOff>53164</xdr:rowOff>
    </xdr:from>
    <xdr:to>
      <xdr:col>3</xdr:col>
      <xdr:colOff>0</xdr:colOff>
      <xdr:row>49</xdr:row>
      <xdr:rowOff>17721</xdr:rowOff>
    </xdr:to>
    <xdr:graphicFrame macro="">
      <xdr:nvGraphicFramePr>
        <xdr:cNvPr id="370975" name="Chart 1">
          <a:extLst>
            <a:ext uri="{FF2B5EF4-FFF2-40B4-BE49-F238E27FC236}">
              <a16:creationId xmlns:a16="http://schemas.microsoft.com/office/drawing/2014/main" id="{35EFBB8E-6A58-B7EA-7881-387B7D51D0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624840</xdr:colOff>
      <xdr:row>5</xdr:row>
      <xdr:rowOff>0</xdr:rowOff>
    </xdr:from>
    <xdr:to>
      <xdr:col>16</xdr:col>
      <xdr:colOff>632460</xdr:colOff>
      <xdr:row>14</xdr:row>
      <xdr:rowOff>83820</xdr:rowOff>
    </xdr:to>
    <xdr:graphicFrame macro="">
      <xdr:nvGraphicFramePr>
        <xdr:cNvPr id="4786754" name="Chart 6">
          <a:extLst>
            <a:ext uri="{FF2B5EF4-FFF2-40B4-BE49-F238E27FC236}">
              <a16:creationId xmlns:a16="http://schemas.microsoft.com/office/drawing/2014/main" id="{36E57295-04CF-A7EC-F609-5E271ACF2A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601980</xdr:colOff>
      <xdr:row>14</xdr:row>
      <xdr:rowOff>182880</xdr:rowOff>
    </xdr:from>
    <xdr:to>
      <xdr:col>16</xdr:col>
      <xdr:colOff>647700</xdr:colOff>
      <xdr:row>24</xdr:row>
      <xdr:rowOff>53340</xdr:rowOff>
    </xdr:to>
    <xdr:graphicFrame macro="">
      <xdr:nvGraphicFramePr>
        <xdr:cNvPr id="4786755" name="Chart 6">
          <a:extLst>
            <a:ext uri="{FF2B5EF4-FFF2-40B4-BE49-F238E27FC236}">
              <a16:creationId xmlns:a16="http://schemas.microsoft.com/office/drawing/2014/main" id="{E9165D89-D95F-9F78-F583-AF4E1B6946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601980</xdr:colOff>
      <xdr:row>24</xdr:row>
      <xdr:rowOff>175260</xdr:rowOff>
    </xdr:from>
    <xdr:to>
      <xdr:col>16</xdr:col>
      <xdr:colOff>647700</xdr:colOff>
      <xdr:row>34</xdr:row>
      <xdr:rowOff>45720</xdr:rowOff>
    </xdr:to>
    <xdr:graphicFrame macro="">
      <xdr:nvGraphicFramePr>
        <xdr:cNvPr id="4786756" name="Chart 6">
          <a:extLst>
            <a:ext uri="{FF2B5EF4-FFF2-40B4-BE49-F238E27FC236}">
              <a16:creationId xmlns:a16="http://schemas.microsoft.com/office/drawing/2014/main" id="{DDFF67DA-E0E6-E583-85E3-F82542D095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594360</xdr:colOff>
      <xdr:row>34</xdr:row>
      <xdr:rowOff>182880</xdr:rowOff>
    </xdr:from>
    <xdr:to>
      <xdr:col>16</xdr:col>
      <xdr:colOff>670560</xdr:colOff>
      <xdr:row>44</xdr:row>
      <xdr:rowOff>53340</xdr:rowOff>
    </xdr:to>
    <xdr:graphicFrame macro="">
      <xdr:nvGraphicFramePr>
        <xdr:cNvPr id="4786757" name="Chart 6">
          <a:extLst>
            <a:ext uri="{FF2B5EF4-FFF2-40B4-BE49-F238E27FC236}">
              <a16:creationId xmlns:a16="http://schemas.microsoft.com/office/drawing/2014/main" id="{A123ACB6-9AF8-AEC8-F4D3-90AA0A6147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601980</xdr:colOff>
      <xdr:row>44</xdr:row>
      <xdr:rowOff>182880</xdr:rowOff>
    </xdr:from>
    <xdr:to>
      <xdr:col>16</xdr:col>
      <xdr:colOff>647700</xdr:colOff>
      <xdr:row>54</xdr:row>
      <xdr:rowOff>53340</xdr:rowOff>
    </xdr:to>
    <xdr:graphicFrame macro="">
      <xdr:nvGraphicFramePr>
        <xdr:cNvPr id="4786758" name="Chart 6">
          <a:extLst>
            <a:ext uri="{FF2B5EF4-FFF2-40B4-BE49-F238E27FC236}">
              <a16:creationId xmlns:a16="http://schemas.microsoft.com/office/drawing/2014/main" id="{E7F63895-907E-6AF7-F24B-172D3AAD9E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594360</xdr:colOff>
      <xdr:row>54</xdr:row>
      <xdr:rowOff>243840</xdr:rowOff>
    </xdr:from>
    <xdr:to>
      <xdr:col>16</xdr:col>
      <xdr:colOff>670560</xdr:colOff>
      <xdr:row>64</xdr:row>
      <xdr:rowOff>106680</xdr:rowOff>
    </xdr:to>
    <xdr:graphicFrame macro="">
      <xdr:nvGraphicFramePr>
        <xdr:cNvPr id="4786759" name="Chart 6">
          <a:extLst>
            <a:ext uri="{FF2B5EF4-FFF2-40B4-BE49-F238E27FC236}">
              <a16:creationId xmlns:a16="http://schemas.microsoft.com/office/drawing/2014/main" id="{5EBFD220-AF8B-04DB-A25E-6C2C41D06D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76200</xdr:colOff>
      <xdr:row>4</xdr:row>
      <xdr:rowOff>190500</xdr:rowOff>
    </xdr:from>
    <xdr:to>
      <xdr:col>34</xdr:col>
      <xdr:colOff>0</xdr:colOff>
      <xdr:row>14</xdr:row>
      <xdr:rowOff>76200</xdr:rowOff>
    </xdr:to>
    <xdr:graphicFrame macro="">
      <xdr:nvGraphicFramePr>
        <xdr:cNvPr id="4786760" name="Chart 7">
          <a:extLst>
            <a:ext uri="{FF2B5EF4-FFF2-40B4-BE49-F238E27FC236}">
              <a16:creationId xmlns:a16="http://schemas.microsoft.com/office/drawing/2014/main" id="{C2E9DF16-49A9-737F-995F-17A60FC528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91440</xdr:colOff>
      <xdr:row>14</xdr:row>
      <xdr:rowOff>175260</xdr:rowOff>
    </xdr:from>
    <xdr:to>
      <xdr:col>33</xdr:col>
      <xdr:colOff>800100</xdr:colOff>
      <xdr:row>24</xdr:row>
      <xdr:rowOff>38100</xdr:rowOff>
    </xdr:to>
    <xdr:graphicFrame macro="">
      <xdr:nvGraphicFramePr>
        <xdr:cNvPr id="4786761" name="Chart 7">
          <a:extLst>
            <a:ext uri="{FF2B5EF4-FFF2-40B4-BE49-F238E27FC236}">
              <a16:creationId xmlns:a16="http://schemas.microsoft.com/office/drawing/2014/main" id="{756A5D04-244A-83F2-7D64-79A90E6909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18</xdr:col>
      <xdr:colOff>91440</xdr:colOff>
      <xdr:row>24</xdr:row>
      <xdr:rowOff>152400</xdr:rowOff>
    </xdr:from>
    <xdr:to>
      <xdr:col>33</xdr:col>
      <xdr:colOff>800100</xdr:colOff>
      <xdr:row>34</xdr:row>
      <xdr:rowOff>30480</xdr:rowOff>
    </xdr:to>
    <xdr:graphicFrame macro="">
      <xdr:nvGraphicFramePr>
        <xdr:cNvPr id="4786762" name="Chart 7">
          <a:extLst>
            <a:ext uri="{FF2B5EF4-FFF2-40B4-BE49-F238E27FC236}">
              <a16:creationId xmlns:a16="http://schemas.microsoft.com/office/drawing/2014/main" id="{3A1C1CB6-5987-F75D-8C0C-5F7E162D0C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18</xdr:col>
      <xdr:colOff>91440</xdr:colOff>
      <xdr:row>34</xdr:row>
      <xdr:rowOff>182880</xdr:rowOff>
    </xdr:from>
    <xdr:to>
      <xdr:col>33</xdr:col>
      <xdr:colOff>800100</xdr:colOff>
      <xdr:row>44</xdr:row>
      <xdr:rowOff>53340</xdr:rowOff>
    </xdr:to>
    <xdr:graphicFrame macro="">
      <xdr:nvGraphicFramePr>
        <xdr:cNvPr id="4786763" name="Chart 7">
          <a:extLst>
            <a:ext uri="{FF2B5EF4-FFF2-40B4-BE49-F238E27FC236}">
              <a16:creationId xmlns:a16="http://schemas.microsoft.com/office/drawing/2014/main" id="{CEDC55CD-24A7-E208-0778-8CD71F1344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18</xdr:col>
      <xdr:colOff>91440</xdr:colOff>
      <xdr:row>44</xdr:row>
      <xdr:rowOff>175260</xdr:rowOff>
    </xdr:from>
    <xdr:to>
      <xdr:col>33</xdr:col>
      <xdr:colOff>800100</xdr:colOff>
      <xdr:row>54</xdr:row>
      <xdr:rowOff>38100</xdr:rowOff>
    </xdr:to>
    <xdr:graphicFrame macro="">
      <xdr:nvGraphicFramePr>
        <xdr:cNvPr id="4786764" name="Chart 7">
          <a:extLst>
            <a:ext uri="{FF2B5EF4-FFF2-40B4-BE49-F238E27FC236}">
              <a16:creationId xmlns:a16="http://schemas.microsoft.com/office/drawing/2014/main" id="{9A242750-BF34-E932-3C2B-33B0A39A05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18</xdr:col>
      <xdr:colOff>91440</xdr:colOff>
      <xdr:row>54</xdr:row>
      <xdr:rowOff>144780</xdr:rowOff>
    </xdr:from>
    <xdr:to>
      <xdr:col>33</xdr:col>
      <xdr:colOff>800100</xdr:colOff>
      <xdr:row>64</xdr:row>
      <xdr:rowOff>30480</xdr:rowOff>
    </xdr:to>
    <xdr:graphicFrame macro="">
      <xdr:nvGraphicFramePr>
        <xdr:cNvPr id="4786765" name="Chart 7">
          <a:extLst>
            <a:ext uri="{FF2B5EF4-FFF2-40B4-BE49-F238E27FC236}">
              <a16:creationId xmlns:a16="http://schemas.microsoft.com/office/drawing/2014/main" id="{F5EDEBA0-F364-AA98-3B8E-F27153DAE1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574040</xdr:colOff>
      <xdr:row>64</xdr:row>
      <xdr:rowOff>121385</xdr:rowOff>
    </xdr:from>
    <xdr:to>
      <xdr:col>35</xdr:col>
      <xdr:colOff>2241</xdr:colOff>
      <xdr:row>84</xdr:row>
      <xdr:rowOff>150595</xdr:rowOff>
    </xdr:to>
    <xdr:graphicFrame macro="">
      <xdr:nvGraphicFramePr>
        <xdr:cNvPr id="4786766" name="Chart 7">
          <a:extLst>
            <a:ext uri="{FF2B5EF4-FFF2-40B4-BE49-F238E27FC236}">
              <a16:creationId xmlns:a16="http://schemas.microsoft.com/office/drawing/2014/main" id="{853A08C7-296A-36C1-E161-61FFE5FE68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nry Metcalfe" refreshedDate="45148.902400810184" createdVersion="1" refreshedVersion="4" recordCount="17544" upgradeOnRefresh="1" xr:uid="{CBE631C9-F1EC-4B41-8268-3E58149593AA}">
  <cacheSource type="worksheet">
    <worksheetSource name="Table1"/>
  </cacheSource>
  <cacheFields count="7">
    <cacheField name="Year" numFmtId="0">
      <sharedItems containsSemiMixedTypes="0" containsString="0" containsNumber="1" containsInteger="1" minValue="2019" maxValue="2020"/>
    </cacheField>
    <cacheField name="Month" numFmtId="0">
      <sharedItems count="12"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</sharedItems>
    </cacheField>
    <cacheField name="Day" numFmtId="0">
      <sharedItems containsSemiMixedTypes="0" containsString="0" containsNumber="1" containsInteger="1" minValue="1" maxValue="31"/>
    </cacheField>
    <cacheField name="Time" numFmtId="0">
      <sharedItems containsSemiMixedTypes="0" containsString="0" containsNumber="1" containsInteger="1" minValue="1" maxValue="24" count="24">
        <n v="24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</sharedItems>
    </cacheField>
    <cacheField name="P (W)" numFmtId="0">
      <sharedItems containsSemiMixedTypes="0" containsString="0" containsNumber="1" minValue="0" maxValue="46795"/>
    </cacheField>
    <cacheField name="Constant" numFmtId="0">
      <sharedItems containsSemiMixedTypes="0" containsString="0" containsNumber="1" containsInteger="1" minValue="28500" maxValue="28500"/>
    </cacheField>
    <cacheField name="% of" numFmtId="0">
      <sharedItems containsSemiMixedTypes="0" containsString="0" containsNumber="1" minValue="0" maxValue="1.64192982456140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544">
  <r>
    <n v="2019"/>
    <x v="0"/>
    <n v="1"/>
    <x v="0"/>
    <n v="0"/>
    <n v="28500"/>
    <n v="0"/>
  </r>
  <r>
    <n v="2019"/>
    <x v="0"/>
    <n v="1"/>
    <x v="1"/>
    <n v="0"/>
    <n v="28500"/>
    <n v="0"/>
  </r>
  <r>
    <n v="2019"/>
    <x v="0"/>
    <n v="1"/>
    <x v="2"/>
    <n v="0"/>
    <n v="28500"/>
    <n v="0"/>
  </r>
  <r>
    <n v="2019"/>
    <x v="0"/>
    <n v="1"/>
    <x v="3"/>
    <n v="0"/>
    <n v="28500"/>
    <n v="0"/>
  </r>
  <r>
    <n v="2019"/>
    <x v="0"/>
    <n v="1"/>
    <x v="4"/>
    <n v="0"/>
    <n v="28500"/>
    <n v="0"/>
  </r>
  <r>
    <n v="2019"/>
    <x v="0"/>
    <n v="1"/>
    <x v="5"/>
    <n v="0"/>
    <n v="28500"/>
    <n v="0"/>
  </r>
  <r>
    <n v="2019"/>
    <x v="0"/>
    <n v="1"/>
    <x v="6"/>
    <n v="0"/>
    <n v="28500"/>
    <n v="0"/>
  </r>
  <r>
    <n v="2019"/>
    <x v="0"/>
    <n v="1"/>
    <x v="7"/>
    <n v="0"/>
    <n v="28500"/>
    <n v="0"/>
  </r>
  <r>
    <n v="2019"/>
    <x v="0"/>
    <n v="1"/>
    <x v="8"/>
    <n v="0"/>
    <n v="28500"/>
    <n v="0"/>
  </r>
  <r>
    <n v="2019"/>
    <x v="0"/>
    <n v="1"/>
    <x v="9"/>
    <n v="983"/>
    <n v="28500"/>
    <n v="3.4491228070175441E-2"/>
  </r>
  <r>
    <n v="2019"/>
    <x v="0"/>
    <n v="1"/>
    <x v="10"/>
    <n v="7230.5"/>
    <n v="28500"/>
    <n v="0.25370175438596493"/>
  </r>
  <r>
    <n v="2019"/>
    <x v="0"/>
    <n v="1"/>
    <x v="11"/>
    <n v="4909"/>
    <n v="28500"/>
    <n v="0.17224561403508773"/>
  </r>
  <r>
    <n v="2019"/>
    <x v="0"/>
    <n v="1"/>
    <x v="12"/>
    <n v="5342"/>
    <n v="28500"/>
    <n v="0.18743859649122807"/>
  </r>
  <r>
    <n v="2019"/>
    <x v="0"/>
    <n v="1"/>
    <x v="13"/>
    <n v="5019.5"/>
    <n v="28500"/>
    <n v="0.17612280701754385"/>
  </r>
  <r>
    <n v="2019"/>
    <x v="0"/>
    <n v="1"/>
    <x v="14"/>
    <n v="1646.5"/>
    <n v="28500"/>
    <n v="5.7771929824561405E-2"/>
  </r>
  <r>
    <n v="2019"/>
    <x v="0"/>
    <n v="1"/>
    <x v="15"/>
    <n v="1729"/>
    <n v="28500"/>
    <n v="6.0666666666666667E-2"/>
  </r>
  <r>
    <n v="2019"/>
    <x v="0"/>
    <n v="1"/>
    <x v="16"/>
    <n v="0"/>
    <n v="28500"/>
    <n v="0"/>
  </r>
  <r>
    <n v="2019"/>
    <x v="0"/>
    <n v="1"/>
    <x v="17"/>
    <n v="0"/>
    <n v="28500"/>
    <n v="0"/>
  </r>
  <r>
    <n v="2019"/>
    <x v="0"/>
    <n v="1"/>
    <x v="18"/>
    <n v="0"/>
    <n v="28500"/>
    <n v="0"/>
  </r>
  <r>
    <n v="2019"/>
    <x v="0"/>
    <n v="1"/>
    <x v="19"/>
    <n v="0"/>
    <n v="28500"/>
    <n v="0"/>
  </r>
  <r>
    <n v="2019"/>
    <x v="0"/>
    <n v="1"/>
    <x v="20"/>
    <n v="0"/>
    <n v="28500"/>
    <n v="0"/>
  </r>
  <r>
    <n v="2019"/>
    <x v="0"/>
    <n v="1"/>
    <x v="21"/>
    <n v="0"/>
    <n v="28500"/>
    <n v="0"/>
  </r>
  <r>
    <n v="2019"/>
    <x v="0"/>
    <n v="1"/>
    <x v="22"/>
    <n v="0"/>
    <n v="28500"/>
    <n v="0"/>
  </r>
  <r>
    <n v="2019"/>
    <x v="0"/>
    <n v="1"/>
    <x v="23"/>
    <n v="0"/>
    <n v="28500"/>
    <n v="0"/>
  </r>
  <r>
    <n v="2019"/>
    <x v="0"/>
    <n v="2"/>
    <x v="0"/>
    <n v="0"/>
    <n v="28500"/>
    <n v="0"/>
  </r>
  <r>
    <n v="2019"/>
    <x v="0"/>
    <n v="2"/>
    <x v="1"/>
    <n v="0"/>
    <n v="28500"/>
    <n v="0"/>
  </r>
  <r>
    <n v="2019"/>
    <x v="0"/>
    <n v="2"/>
    <x v="2"/>
    <n v="0"/>
    <n v="28500"/>
    <n v="0"/>
  </r>
  <r>
    <n v="2019"/>
    <x v="0"/>
    <n v="2"/>
    <x v="3"/>
    <n v="0"/>
    <n v="28500"/>
    <n v="0"/>
  </r>
  <r>
    <n v="2019"/>
    <x v="0"/>
    <n v="2"/>
    <x v="4"/>
    <n v="0"/>
    <n v="28500"/>
    <n v="0"/>
  </r>
  <r>
    <n v="2019"/>
    <x v="0"/>
    <n v="2"/>
    <x v="5"/>
    <n v="0"/>
    <n v="28500"/>
    <n v="0"/>
  </r>
  <r>
    <n v="2019"/>
    <x v="0"/>
    <n v="2"/>
    <x v="6"/>
    <n v="0"/>
    <n v="28500"/>
    <n v="0"/>
  </r>
  <r>
    <n v="2019"/>
    <x v="0"/>
    <n v="2"/>
    <x v="7"/>
    <n v="0"/>
    <n v="28500"/>
    <n v="0"/>
  </r>
  <r>
    <n v="2019"/>
    <x v="0"/>
    <n v="2"/>
    <x v="8"/>
    <n v="0"/>
    <n v="28500"/>
    <n v="0"/>
  </r>
  <r>
    <n v="2019"/>
    <x v="0"/>
    <n v="2"/>
    <x v="9"/>
    <n v="5161"/>
    <n v="28500"/>
    <n v="0.1810877192982456"/>
  </r>
  <r>
    <n v="2019"/>
    <x v="0"/>
    <n v="2"/>
    <x v="10"/>
    <n v="4476"/>
    <n v="28500"/>
    <n v="0.15705263157894736"/>
  </r>
  <r>
    <n v="2019"/>
    <x v="0"/>
    <n v="2"/>
    <x v="11"/>
    <n v="8184.5"/>
    <n v="28500"/>
    <n v="0.28717543859649125"/>
  </r>
  <r>
    <n v="2019"/>
    <x v="0"/>
    <n v="2"/>
    <x v="12"/>
    <n v="12206"/>
    <n v="28500"/>
    <n v="0.42828070175438598"/>
  </r>
  <r>
    <n v="2019"/>
    <x v="0"/>
    <n v="2"/>
    <x v="13"/>
    <n v="4435.5"/>
    <n v="28500"/>
    <n v="0.15563157894736843"/>
  </r>
  <r>
    <n v="2019"/>
    <x v="0"/>
    <n v="2"/>
    <x v="14"/>
    <n v="4159"/>
    <n v="28500"/>
    <n v="0.14592982456140352"/>
  </r>
  <r>
    <n v="2019"/>
    <x v="0"/>
    <n v="2"/>
    <x v="15"/>
    <n v="1784"/>
    <n v="28500"/>
    <n v="6.2596491228070178E-2"/>
  </r>
  <r>
    <n v="2019"/>
    <x v="0"/>
    <n v="2"/>
    <x v="16"/>
    <n v="0"/>
    <n v="28500"/>
    <n v="0"/>
  </r>
  <r>
    <n v="2019"/>
    <x v="0"/>
    <n v="2"/>
    <x v="17"/>
    <n v="0"/>
    <n v="28500"/>
    <n v="0"/>
  </r>
  <r>
    <n v="2019"/>
    <x v="0"/>
    <n v="2"/>
    <x v="18"/>
    <n v="0"/>
    <n v="28500"/>
    <n v="0"/>
  </r>
  <r>
    <n v="2019"/>
    <x v="0"/>
    <n v="2"/>
    <x v="19"/>
    <n v="0"/>
    <n v="28500"/>
    <n v="0"/>
  </r>
  <r>
    <n v="2019"/>
    <x v="0"/>
    <n v="2"/>
    <x v="20"/>
    <n v="0"/>
    <n v="28500"/>
    <n v="0"/>
  </r>
  <r>
    <n v="2019"/>
    <x v="0"/>
    <n v="2"/>
    <x v="21"/>
    <n v="0"/>
    <n v="28500"/>
    <n v="0"/>
  </r>
  <r>
    <n v="2019"/>
    <x v="0"/>
    <n v="2"/>
    <x v="22"/>
    <n v="0"/>
    <n v="28500"/>
    <n v="0"/>
  </r>
  <r>
    <n v="2019"/>
    <x v="0"/>
    <n v="2"/>
    <x v="23"/>
    <n v="0"/>
    <n v="28500"/>
    <n v="0"/>
  </r>
  <r>
    <n v="2019"/>
    <x v="0"/>
    <n v="3"/>
    <x v="0"/>
    <n v="0"/>
    <n v="28500"/>
    <n v="0"/>
  </r>
  <r>
    <n v="2019"/>
    <x v="0"/>
    <n v="3"/>
    <x v="1"/>
    <n v="0"/>
    <n v="28500"/>
    <n v="0"/>
  </r>
  <r>
    <n v="2019"/>
    <x v="0"/>
    <n v="3"/>
    <x v="2"/>
    <n v="0"/>
    <n v="28500"/>
    <n v="0"/>
  </r>
  <r>
    <n v="2019"/>
    <x v="0"/>
    <n v="3"/>
    <x v="3"/>
    <n v="0"/>
    <n v="28500"/>
    <n v="0"/>
  </r>
  <r>
    <n v="2019"/>
    <x v="0"/>
    <n v="3"/>
    <x v="4"/>
    <n v="0"/>
    <n v="28500"/>
    <n v="0"/>
  </r>
  <r>
    <n v="2019"/>
    <x v="0"/>
    <n v="3"/>
    <x v="5"/>
    <n v="0"/>
    <n v="28500"/>
    <n v="0"/>
  </r>
  <r>
    <n v="2019"/>
    <x v="0"/>
    <n v="3"/>
    <x v="6"/>
    <n v="0"/>
    <n v="28500"/>
    <n v="0"/>
  </r>
  <r>
    <n v="2019"/>
    <x v="0"/>
    <n v="3"/>
    <x v="7"/>
    <n v="0"/>
    <n v="28500"/>
    <n v="0"/>
  </r>
  <r>
    <n v="2019"/>
    <x v="0"/>
    <n v="3"/>
    <x v="8"/>
    <n v="0"/>
    <n v="28500"/>
    <n v="0"/>
  </r>
  <r>
    <n v="2019"/>
    <x v="0"/>
    <n v="3"/>
    <x v="9"/>
    <n v="1401.5"/>
    <n v="28500"/>
    <n v="4.9175438596491226E-2"/>
  </r>
  <r>
    <n v="2019"/>
    <x v="0"/>
    <n v="3"/>
    <x v="10"/>
    <n v="4214.5"/>
    <n v="28500"/>
    <n v="0.14787719298245613"/>
  </r>
  <r>
    <n v="2019"/>
    <x v="0"/>
    <n v="3"/>
    <x v="11"/>
    <n v="3855"/>
    <n v="28500"/>
    <n v="0.13526315789473684"/>
  </r>
  <r>
    <n v="2019"/>
    <x v="0"/>
    <n v="3"/>
    <x v="12"/>
    <n v="3775"/>
    <n v="28500"/>
    <n v="0.13245614035087719"/>
  </r>
  <r>
    <n v="2019"/>
    <x v="0"/>
    <n v="3"/>
    <x v="13"/>
    <n v="2732.5"/>
    <n v="28500"/>
    <n v="9.5877192982456144E-2"/>
  </r>
  <r>
    <n v="2019"/>
    <x v="0"/>
    <n v="3"/>
    <x v="14"/>
    <n v="892.5"/>
    <n v="28500"/>
    <n v="3.1315789473684214E-2"/>
  </r>
  <r>
    <n v="2019"/>
    <x v="0"/>
    <n v="3"/>
    <x v="15"/>
    <n v="313"/>
    <n v="28500"/>
    <n v="1.0982456140350877E-2"/>
  </r>
  <r>
    <n v="2019"/>
    <x v="0"/>
    <n v="3"/>
    <x v="16"/>
    <n v="0"/>
    <n v="28500"/>
    <n v="0"/>
  </r>
  <r>
    <n v="2019"/>
    <x v="0"/>
    <n v="3"/>
    <x v="17"/>
    <n v="0"/>
    <n v="28500"/>
    <n v="0"/>
  </r>
  <r>
    <n v="2019"/>
    <x v="0"/>
    <n v="3"/>
    <x v="18"/>
    <n v="0"/>
    <n v="28500"/>
    <n v="0"/>
  </r>
  <r>
    <n v="2019"/>
    <x v="0"/>
    <n v="3"/>
    <x v="19"/>
    <n v="0"/>
    <n v="28500"/>
    <n v="0"/>
  </r>
  <r>
    <n v="2019"/>
    <x v="0"/>
    <n v="3"/>
    <x v="20"/>
    <n v="0"/>
    <n v="28500"/>
    <n v="0"/>
  </r>
  <r>
    <n v="2019"/>
    <x v="0"/>
    <n v="3"/>
    <x v="21"/>
    <n v="0"/>
    <n v="28500"/>
    <n v="0"/>
  </r>
  <r>
    <n v="2019"/>
    <x v="0"/>
    <n v="3"/>
    <x v="22"/>
    <n v="0"/>
    <n v="28500"/>
    <n v="0"/>
  </r>
  <r>
    <n v="2019"/>
    <x v="0"/>
    <n v="3"/>
    <x v="23"/>
    <n v="0"/>
    <n v="28500"/>
    <n v="0"/>
  </r>
  <r>
    <n v="2019"/>
    <x v="0"/>
    <n v="4"/>
    <x v="0"/>
    <n v="0"/>
    <n v="28500"/>
    <n v="0"/>
  </r>
  <r>
    <n v="2019"/>
    <x v="0"/>
    <n v="4"/>
    <x v="1"/>
    <n v="0"/>
    <n v="28500"/>
    <n v="0"/>
  </r>
  <r>
    <n v="2019"/>
    <x v="0"/>
    <n v="4"/>
    <x v="2"/>
    <n v="0"/>
    <n v="28500"/>
    <n v="0"/>
  </r>
  <r>
    <n v="2019"/>
    <x v="0"/>
    <n v="4"/>
    <x v="3"/>
    <n v="0"/>
    <n v="28500"/>
    <n v="0"/>
  </r>
  <r>
    <n v="2019"/>
    <x v="0"/>
    <n v="4"/>
    <x v="4"/>
    <n v="0"/>
    <n v="28500"/>
    <n v="0"/>
  </r>
  <r>
    <n v="2019"/>
    <x v="0"/>
    <n v="4"/>
    <x v="5"/>
    <n v="0"/>
    <n v="28500"/>
    <n v="0"/>
  </r>
  <r>
    <n v="2019"/>
    <x v="0"/>
    <n v="4"/>
    <x v="6"/>
    <n v="0"/>
    <n v="28500"/>
    <n v="0"/>
  </r>
  <r>
    <n v="2019"/>
    <x v="0"/>
    <n v="4"/>
    <x v="7"/>
    <n v="0"/>
    <n v="28500"/>
    <n v="0"/>
  </r>
  <r>
    <n v="2019"/>
    <x v="0"/>
    <n v="4"/>
    <x v="8"/>
    <n v="0"/>
    <n v="28500"/>
    <n v="0"/>
  </r>
  <r>
    <n v="2019"/>
    <x v="0"/>
    <n v="4"/>
    <x v="9"/>
    <n v="11119.5"/>
    <n v="28500"/>
    <n v="0.39015789473684209"/>
  </r>
  <r>
    <n v="2019"/>
    <x v="0"/>
    <n v="4"/>
    <x v="10"/>
    <n v="21972"/>
    <n v="28500"/>
    <n v="0.7709473684210526"/>
  </r>
  <r>
    <n v="2019"/>
    <x v="0"/>
    <n v="4"/>
    <x v="11"/>
    <n v="28517"/>
    <n v="28500"/>
    <n v="1.0005964912280703"/>
  </r>
  <r>
    <n v="2019"/>
    <x v="0"/>
    <n v="4"/>
    <x v="12"/>
    <n v="30326"/>
    <n v="28500"/>
    <n v="1.0640701754385964"/>
  </r>
  <r>
    <n v="2019"/>
    <x v="0"/>
    <n v="4"/>
    <x v="13"/>
    <n v="31297"/>
    <n v="28500"/>
    <n v="1.098140350877193"/>
  </r>
  <r>
    <n v="2019"/>
    <x v="0"/>
    <n v="4"/>
    <x v="14"/>
    <n v="15802.5"/>
    <n v="28500"/>
    <n v="0.55447368421052634"/>
  </r>
  <r>
    <n v="2019"/>
    <x v="0"/>
    <n v="4"/>
    <x v="15"/>
    <n v="8094"/>
    <n v="28500"/>
    <n v="0.28399999999999997"/>
  </r>
  <r>
    <n v="2019"/>
    <x v="0"/>
    <n v="4"/>
    <x v="16"/>
    <n v="0"/>
    <n v="28500"/>
    <n v="0"/>
  </r>
  <r>
    <n v="2019"/>
    <x v="0"/>
    <n v="4"/>
    <x v="17"/>
    <n v="0"/>
    <n v="28500"/>
    <n v="0"/>
  </r>
  <r>
    <n v="2019"/>
    <x v="0"/>
    <n v="4"/>
    <x v="18"/>
    <n v="0"/>
    <n v="28500"/>
    <n v="0"/>
  </r>
  <r>
    <n v="2019"/>
    <x v="0"/>
    <n v="4"/>
    <x v="19"/>
    <n v="0"/>
    <n v="28500"/>
    <n v="0"/>
  </r>
  <r>
    <n v="2019"/>
    <x v="0"/>
    <n v="4"/>
    <x v="20"/>
    <n v="0"/>
    <n v="28500"/>
    <n v="0"/>
  </r>
  <r>
    <n v="2019"/>
    <x v="0"/>
    <n v="4"/>
    <x v="21"/>
    <n v="0"/>
    <n v="28500"/>
    <n v="0"/>
  </r>
  <r>
    <n v="2019"/>
    <x v="0"/>
    <n v="4"/>
    <x v="22"/>
    <n v="0"/>
    <n v="28500"/>
    <n v="0"/>
  </r>
  <r>
    <n v="2019"/>
    <x v="0"/>
    <n v="4"/>
    <x v="23"/>
    <n v="0"/>
    <n v="28500"/>
    <n v="0"/>
  </r>
  <r>
    <n v="2019"/>
    <x v="0"/>
    <n v="5"/>
    <x v="0"/>
    <n v="0"/>
    <n v="28500"/>
    <n v="0"/>
  </r>
  <r>
    <n v="2019"/>
    <x v="0"/>
    <n v="5"/>
    <x v="1"/>
    <n v="0"/>
    <n v="28500"/>
    <n v="0"/>
  </r>
  <r>
    <n v="2019"/>
    <x v="0"/>
    <n v="5"/>
    <x v="2"/>
    <n v="0"/>
    <n v="28500"/>
    <n v="0"/>
  </r>
  <r>
    <n v="2019"/>
    <x v="0"/>
    <n v="5"/>
    <x v="3"/>
    <n v="0"/>
    <n v="28500"/>
    <n v="0"/>
  </r>
  <r>
    <n v="2019"/>
    <x v="0"/>
    <n v="5"/>
    <x v="4"/>
    <n v="0"/>
    <n v="28500"/>
    <n v="0"/>
  </r>
  <r>
    <n v="2019"/>
    <x v="0"/>
    <n v="5"/>
    <x v="5"/>
    <n v="0"/>
    <n v="28500"/>
    <n v="0"/>
  </r>
  <r>
    <n v="2019"/>
    <x v="0"/>
    <n v="5"/>
    <x v="6"/>
    <n v="0"/>
    <n v="28500"/>
    <n v="0"/>
  </r>
  <r>
    <n v="2019"/>
    <x v="0"/>
    <n v="5"/>
    <x v="7"/>
    <n v="0"/>
    <n v="28500"/>
    <n v="0"/>
  </r>
  <r>
    <n v="2019"/>
    <x v="0"/>
    <n v="5"/>
    <x v="8"/>
    <n v="0"/>
    <n v="28500"/>
    <n v="0"/>
  </r>
  <r>
    <n v="2019"/>
    <x v="0"/>
    <n v="5"/>
    <x v="9"/>
    <n v="289.5"/>
    <n v="28500"/>
    <n v="1.0157894736842105E-2"/>
  </r>
  <r>
    <n v="2019"/>
    <x v="0"/>
    <n v="5"/>
    <x v="10"/>
    <n v="1153"/>
    <n v="28500"/>
    <n v="4.045614035087719E-2"/>
  </r>
  <r>
    <n v="2019"/>
    <x v="0"/>
    <n v="5"/>
    <x v="11"/>
    <n v="796.5"/>
    <n v="28500"/>
    <n v="2.794736842105263E-2"/>
  </r>
  <r>
    <n v="2019"/>
    <x v="0"/>
    <n v="5"/>
    <x v="12"/>
    <n v="1107"/>
    <n v="28500"/>
    <n v="3.8842105263157893E-2"/>
  </r>
  <r>
    <n v="2019"/>
    <x v="0"/>
    <n v="5"/>
    <x v="13"/>
    <n v="1140"/>
    <n v="28500"/>
    <n v="0.04"/>
  </r>
  <r>
    <n v="2019"/>
    <x v="0"/>
    <n v="5"/>
    <x v="14"/>
    <n v="656.5"/>
    <n v="28500"/>
    <n v="2.3035087719298245E-2"/>
  </r>
  <r>
    <n v="2019"/>
    <x v="0"/>
    <n v="5"/>
    <x v="15"/>
    <n v="313.5"/>
    <n v="28500"/>
    <n v="1.0999999999999999E-2"/>
  </r>
  <r>
    <n v="2019"/>
    <x v="0"/>
    <n v="5"/>
    <x v="16"/>
    <n v="0"/>
    <n v="28500"/>
    <n v="0"/>
  </r>
  <r>
    <n v="2019"/>
    <x v="0"/>
    <n v="5"/>
    <x v="17"/>
    <n v="0"/>
    <n v="28500"/>
    <n v="0"/>
  </r>
  <r>
    <n v="2019"/>
    <x v="0"/>
    <n v="5"/>
    <x v="18"/>
    <n v="0"/>
    <n v="28500"/>
    <n v="0"/>
  </r>
  <r>
    <n v="2019"/>
    <x v="0"/>
    <n v="5"/>
    <x v="19"/>
    <n v="0"/>
    <n v="28500"/>
    <n v="0"/>
  </r>
  <r>
    <n v="2019"/>
    <x v="0"/>
    <n v="5"/>
    <x v="20"/>
    <n v="0"/>
    <n v="28500"/>
    <n v="0"/>
  </r>
  <r>
    <n v="2019"/>
    <x v="0"/>
    <n v="5"/>
    <x v="21"/>
    <n v="0"/>
    <n v="28500"/>
    <n v="0"/>
  </r>
  <r>
    <n v="2019"/>
    <x v="0"/>
    <n v="5"/>
    <x v="22"/>
    <n v="0"/>
    <n v="28500"/>
    <n v="0"/>
  </r>
  <r>
    <n v="2019"/>
    <x v="0"/>
    <n v="5"/>
    <x v="23"/>
    <n v="0"/>
    <n v="28500"/>
    <n v="0"/>
  </r>
  <r>
    <n v="2019"/>
    <x v="0"/>
    <n v="6"/>
    <x v="0"/>
    <n v="0"/>
    <n v="28500"/>
    <n v="0"/>
  </r>
  <r>
    <n v="2019"/>
    <x v="0"/>
    <n v="6"/>
    <x v="1"/>
    <n v="0"/>
    <n v="28500"/>
    <n v="0"/>
  </r>
  <r>
    <n v="2019"/>
    <x v="0"/>
    <n v="6"/>
    <x v="2"/>
    <n v="0"/>
    <n v="28500"/>
    <n v="0"/>
  </r>
  <r>
    <n v="2019"/>
    <x v="0"/>
    <n v="6"/>
    <x v="3"/>
    <n v="0"/>
    <n v="28500"/>
    <n v="0"/>
  </r>
  <r>
    <n v="2019"/>
    <x v="0"/>
    <n v="6"/>
    <x v="4"/>
    <n v="0"/>
    <n v="28500"/>
    <n v="0"/>
  </r>
  <r>
    <n v="2019"/>
    <x v="0"/>
    <n v="6"/>
    <x v="5"/>
    <n v="0"/>
    <n v="28500"/>
    <n v="0"/>
  </r>
  <r>
    <n v="2019"/>
    <x v="0"/>
    <n v="6"/>
    <x v="6"/>
    <n v="0"/>
    <n v="28500"/>
    <n v="0"/>
  </r>
  <r>
    <n v="2019"/>
    <x v="0"/>
    <n v="6"/>
    <x v="7"/>
    <n v="0"/>
    <n v="28500"/>
    <n v="0"/>
  </r>
  <r>
    <n v="2019"/>
    <x v="0"/>
    <n v="6"/>
    <x v="8"/>
    <n v="0"/>
    <n v="28500"/>
    <n v="0"/>
  </r>
  <r>
    <n v="2019"/>
    <x v="0"/>
    <n v="6"/>
    <x v="9"/>
    <n v="725.5"/>
    <n v="28500"/>
    <n v="2.5456140350877194E-2"/>
  </r>
  <r>
    <n v="2019"/>
    <x v="0"/>
    <n v="6"/>
    <x v="10"/>
    <n v="9233"/>
    <n v="28500"/>
    <n v="0.32396491228070173"/>
  </r>
  <r>
    <n v="2019"/>
    <x v="0"/>
    <n v="6"/>
    <x v="11"/>
    <n v="5505"/>
    <n v="28500"/>
    <n v="0.19315789473684211"/>
  </r>
  <r>
    <n v="2019"/>
    <x v="0"/>
    <n v="6"/>
    <x v="12"/>
    <n v="2848.5"/>
    <n v="28500"/>
    <n v="9.9947368421052632E-2"/>
  </r>
  <r>
    <n v="2019"/>
    <x v="0"/>
    <n v="6"/>
    <x v="13"/>
    <n v="3924.5"/>
    <n v="28500"/>
    <n v="0.13770175438596491"/>
  </r>
  <r>
    <n v="2019"/>
    <x v="0"/>
    <n v="6"/>
    <x v="14"/>
    <n v="6792.5"/>
    <n v="28500"/>
    <n v="0.23833333333333334"/>
  </r>
  <r>
    <n v="2019"/>
    <x v="0"/>
    <n v="6"/>
    <x v="15"/>
    <n v="1750"/>
    <n v="28500"/>
    <n v="6.1403508771929821E-2"/>
  </r>
  <r>
    <n v="2019"/>
    <x v="0"/>
    <n v="6"/>
    <x v="16"/>
    <n v="0"/>
    <n v="28500"/>
    <n v="0"/>
  </r>
  <r>
    <n v="2019"/>
    <x v="0"/>
    <n v="6"/>
    <x v="17"/>
    <n v="0"/>
    <n v="28500"/>
    <n v="0"/>
  </r>
  <r>
    <n v="2019"/>
    <x v="0"/>
    <n v="6"/>
    <x v="18"/>
    <n v="0"/>
    <n v="28500"/>
    <n v="0"/>
  </r>
  <r>
    <n v="2019"/>
    <x v="0"/>
    <n v="6"/>
    <x v="19"/>
    <n v="0"/>
    <n v="28500"/>
    <n v="0"/>
  </r>
  <r>
    <n v="2019"/>
    <x v="0"/>
    <n v="6"/>
    <x v="20"/>
    <n v="0"/>
    <n v="28500"/>
    <n v="0"/>
  </r>
  <r>
    <n v="2019"/>
    <x v="0"/>
    <n v="6"/>
    <x v="21"/>
    <n v="0"/>
    <n v="28500"/>
    <n v="0"/>
  </r>
  <r>
    <n v="2019"/>
    <x v="0"/>
    <n v="6"/>
    <x v="22"/>
    <n v="0"/>
    <n v="28500"/>
    <n v="0"/>
  </r>
  <r>
    <n v="2019"/>
    <x v="0"/>
    <n v="6"/>
    <x v="23"/>
    <n v="0"/>
    <n v="28500"/>
    <n v="0"/>
  </r>
  <r>
    <n v="2019"/>
    <x v="0"/>
    <n v="7"/>
    <x v="0"/>
    <n v="0"/>
    <n v="28500"/>
    <n v="0"/>
  </r>
  <r>
    <n v="2019"/>
    <x v="0"/>
    <n v="7"/>
    <x v="1"/>
    <n v="0"/>
    <n v="28500"/>
    <n v="0"/>
  </r>
  <r>
    <n v="2019"/>
    <x v="0"/>
    <n v="7"/>
    <x v="2"/>
    <n v="0"/>
    <n v="28500"/>
    <n v="0"/>
  </r>
  <r>
    <n v="2019"/>
    <x v="0"/>
    <n v="7"/>
    <x v="3"/>
    <n v="0"/>
    <n v="28500"/>
    <n v="0"/>
  </r>
  <r>
    <n v="2019"/>
    <x v="0"/>
    <n v="7"/>
    <x v="4"/>
    <n v="0"/>
    <n v="28500"/>
    <n v="0"/>
  </r>
  <r>
    <n v="2019"/>
    <x v="0"/>
    <n v="7"/>
    <x v="5"/>
    <n v="0"/>
    <n v="28500"/>
    <n v="0"/>
  </r>
  <r>
    <n v="2019"/>
    <x v="0"/>
    <n v="7"/>
    <x v="6"/>
    <n v="0"/>
    <n v="28500"/>
    <n v="0"/>
  </r>
  <r>
    <n v="2019"/>
    <x v="0"/>
    <n v="7"/>
    <x v="7"/>
    <n v="0"/>
    <n v="28500"/>
    <n v="0"/>
  </r>
  <r>
    <n v="2019"/>
    <x v="0"/>
    <n v="7"/>
    <x v="8"/>
    <n v="0"/>
    <n v="28500"/>
    <n v="0"/>
  </r>
  <r>
    <n v="2019"/>
    <x v="0"/>
    <n v="7"/>
    <x v="9"/>
    <n v="686"/>
    <n v="28500"/>
    <n v="2.4070175438596492E-2"/>
  </r>
  <r>
    <n v="2019"/>
    <x v="0"/>
    <n v="7"/>
    <x v="10"/>
    <n v="4100.5"/>
    <n v="28500"/>
    <n v="0.14387719298245613"/>
  </r>
  <r>
    <n v="2019"/>
    <x v="0"/>
    <n v="7"/>
    <x v="11"/>
    <n v="1446"/>
    <n v="28500"/>
    <n v="5.0736842105263157E-2"/>
  </r>
  <r>
    <n v="2019"/>
    <x v="0"/>
    <n v="7"/>
    <x v="12"/>
    <n v="1331"/>
    <n v="28500"/>
    <n v="4.6701754385964911E-2"/>
  </r>
  <r>
    <n v="2019"/>
    <x v="0"/>
    <n v="7"/>
    <x v="13"/>
    <n v="1046"/>
    <n v="28500"/>
    <n v="3.6701754385964909E-2"/>
  </r>
  <r>
    <n v="2019"/>
    <x v="0"/>
    <n v="7"/>
    <x v="14"/>
    <n v="483"/>
    <n v="28500"/>
    <n v="1.6947368421052631E-2"/>
  </r>
  <r>
    <n v="2019"/>
    <x v="0"/>
    <n v="7"/>
    <x v="15"/>
    <n v="303.5"/>
    <n v="28500"/>
    <n v="1.0649122807017544E-2"/>
  </r>
  <r>
    <n v="2019"/>
    <x v="0"/>
    <n v="7"/>
    <x v="16"/>
    <n v="0"/>
    <n v="28500"/>
    <n v="0"/>
  </r>
  <r>
    <n v="2019"/>
    <x v="0"/>
    <n v="7"/>
    <x v="17"/>
    <n v="0"/>
    <n v="28500"/>
    <n v="0"/>
  </r>
  <r>
    <n v="2019"/>
    <x v="0"/>
    <n v="7"/>
    <x v="18"/>
    <n v="0"/>
    <n v="28500"/>
    <n v="0"/>
  </r>
  <r>
    <n v="2019"/>
    <x v="0"/>
    <n v="7"/>
    <x v="19"/>
    <n v="0"/>
    <n v="28500"/>
    <n v="0"/>
  </r>
  <r>
    <n v="2019"/>
    <x v="0"/>
    <n v="7"/>
    <x v="20"/>
    <n v="0"/>
    <n v="28500"/>
    <n v="0"/>
  </r>
  <r>
    <n v="2019"/>
    <x v="0"/>
    <n v="7"/>
    <x v="21"/>
    <n v="0"/>
    <n v="28500"/>
    <n v="0"/>
  </r>
  <r>
    <n v="2019"/>
    <x v="0"/>
    <n v="7"/>
    <x v="22"/>
    <n v="0"/>
    <n v="28500"/>
    <n v="0"/>
  </r>
  <r>
    <n v="2019"/>
    <x v="0"/>
    <n v="7"/>
    <x v="23"/>
    <n v="0"/>
    <n v="28500"/>
    <n v="0"/>
  </r>
  <r>
    <n v="2019"/>
    <x v="0"/>
    <n v="8"/>
    <x v="0"/>
    <n v="0"/>
    <n v="28500"/>
    <n v="0"/>
  </r>
  <r>
    <n v="2019"/>
    <x v="0"/>
    <n v="8"/>
    <x v="1"/>
    <n v="0"/>
    <n v="28500"/>
    <n v="0"/>
  </r>
  <r>
    <n v="2019"/>
    <x v="0"/>
    <n v="8"/>
    <x v="2"/>
    <n v="0"/>
    <n v="28500"/>
    <n v="0"/>
  </r>
  <r>
    <n v="2019"/>
    <x v="0"/>
    <n v="8"/>
    <x v="3"/>
    <n v="0"/>
    <n v="28500"/>
    <n v="0"/>
  </r>
  <r>
    <n v="2019"/>
    <x v="0"/>
    <n v="8"/>
    <x v="4"/>
    <n v="0"/>
    <n v="28500"/>
    <n v="0"/>
  </r>
  <r>
    <n v="2019"/>
    <x v="0"/>
    <n v="8"/>
    <x v="5"/>
    <n v="0"/>
    <n v="28500"/>
    <n v="0"/>
  </r>
  <r>
    <n v="2019"/>
    <x v="0"/>
    <n v="8"/>
    <x v="6"/>
    <n v="0"/>
    <n v="28500"/>
    <n v="0"/>
  </r>
  <r>
    <n v="2019"/>
    <x v="0"/>
    <n v="8"/>
    <x v="7"/>
    <n v="0"/>
    <n v="28500"/>
    <n v="0"/>
  </r>
  <r>
    <n v="2019"/>
    <x v="0"/>
    <n v="8"/>
    <x v="8"/>
    <n v="0"/>
    <n v="28500"/>
    <n v="0"/>
  </r>
  <r>
    <n v="2019"/>
    <x v="0"/>
    <n v="8"/>
    <x v="9"/>
    <n v="12277"/>
    <n v="28500"/>
    <n v="0.43077192982456142"/>
  </r>
  <r>
    <n v="2019"/>
    <x v="0"/>
    <n v="8"/>
    <x v="10"/>
    <n v="23775.5"/>
    <n v="28500"/>
    <n v="0.83422807017543865"/>
  </r>
  <r>
    <n v="2019"/>
    <x v="0"/>
    <n v="8"/>
    <x v="11"/>
    <n v="27861"/>
    <n v="28500"/>
    <n v="0.9775789473684211"/>
  </r>
  <r>
    <n v="2019"/>
    <x v="0"/>
    <n v="8"/>
    <x v="12"/>
    <n v="30658"/>
    <n v="28500"/>
    <n v="1.0757192982456141"/>
  </r>
  <r>
    <n v="2019"/>
    <x v="0"/>
    <n v="8"/>
    <x v="13"/>
    <n v="26342"/>
    <n v="28500"/>
    <n v="0.92428070175438592"/>
  </r>
  <r>
    <n v="2019"/>
    <x v="0"/>
    <n v="8"/>
    <x v="14"/>
    <n v="20208"/>
    <n v="28500"/>
    <n v="0.70905263157894738"/>
  </r>
  <r>
    <n v="2019"/>
    <x v="0"/>
    <n v="8"/>
    <x v="15"/>
    <n v="11196.5"/>
    <n v="28500"/>
    <n v="0.39285964912280702"/>
  </r>
  <r>
    <n v="2019"/>
    <x v="0"/>
    <n v="8"/>
    <x v="16"/>
    <n v="0"/>
    <n v="28500"/>
    <n v="0"/>
  </r>
  <r>
    <n v="2019"/>
    <x v="0"/>
    <n v="8"/>
    <x v="17"/>
    <n v="0"/>
    <n v="28500"/>
    <n v="0"/>
  </r>
  <r>
    <n v="2019"/>
    <x v="0"/>
    <n v="8"/>
    <x v="18"/>
    <n v="0"/>
    <n v="28500"/>
    <n v="0"/>
  </r>
  <r>
    <n v="2019"/>
    <x v="0"/>
    <n v="8"/>
    <x v="19"/>
    <n v="0"/>
    <n v="28500"/>
    <n v="0"/>
  </r>
  <r>
    <n v="2019"/>
    <x v="0"/>
    <n v="8"/>
    <x v="20"/>
    <n v="0"/>
    <n v="28500"/>
    <n v="0"/>
  </r>
  <r>
    <n v="2019"/>
    <x v="0"/>
    <n v="8"/>
    <x v="21"/>
    <n v="0"/>
    <n v="28500"/>
    <n v="0"/>
  </r>
  <r>
    <n v="2019"/>
    <x v="0"/>
    <n v="8"/>
    <x v="22"/>
    <n v="0"/>
    <n v="28500"/>
    <n v="0"/>
  </r>
  <r>
    <n v="2019"/>
    <x v="0"/>
    <n v="8"/>
    <x v="23"/>
    <n v="0"/>
    <n v="28500"/>
    <n v="0"/>
  </r>
  <r>
    <n v="2019"/>
    <x v="0"/>
    <n v="9"/>
    <x v="0"/>
    <n v="0"/>
    <n v="28500"/>
    <n v="0"/>
  </r>
  <r>
    <n v="2019"/>
    <x v="0"/>
    <n v="9"/>
    <x v="1"/>
    <n v="0"/>
    <n v="28500"/>
    <n v="0"/>
  </r>
  <r>
    <n v="2019"/>
    <x v="0"/>
    <n v="9"/>
    <x v="2"/>
    <n v="0"/>
    <n v="28500"/>
    <n v="0"/>
  </r>
  <r>
    <n v="2019"/>
    <x v="0"/>
    <n v="9"/>
    <x v="3"/>
    <n v="0"/>
    <n v="28500"/>
    <n v="0"/>
  </r>
  <r>
    <n v="2019"/>
    <x v="0"/>
    <n v="9"/>
    <x v="4"/>
    <n v="0"/>
    <n v="28500"/>
    <n v="0"/>
  </r>
  <r>
    <n v="2019"/>
    <x v="0"/>
    <n v="9"/>
    <x v="5"/>
    <n v="0"/>
    <n v="28500"/>
    <n v="0"/>
  </r>
  <r>
    <n v="2019"/>
    <x v="0"/>
    <n v="9"/>
    <x v="6"/>
    <n v="0"/>
    <n v="28500"/>
    <n v="0"/>
  </r>
  <r>
    <n v="2019"/>
    <x v="0"/>
    <n v="9"/>
    <x v="7"/>
    <n v="0"/>
    <n v="28500"/>
    <n v="0"/>
  </r>
  <r>
    <n v="2019"/>
    <x v="0"/>
    <n v="9"/>
    <x v="8"/>
    <n v="0"/>
    <n v="28500"/>
    <n v="0"/>
  </r>
  <r>
    <n v="2019"/>
    <x v="0"/>
    <n v="9"/>
    <x v="9"/>
    <n v="2418.5"/>
    <n v="28500"/>
    <n v="8.4859649122807024E-2"/>
  </r>
  <r>
    <n v="2019"/>
    <x v="0"/>
    <n v="9"/>
    <x v="10"/>
    <n v="7597.5"/>
    <n v="28500"/>
    <n v="0.26657894736842103"/>
  </r>
  <r>
    <n v="2019"/>
    <x v="0"/>
    <n v="9"/>
    <x v="11"/>
    <n v="10830"/>
    <n v="28500"/>
    <n v="0.38"/>
  </r>
  <r>
    <n v="2019"/>
    <x v="0"/>
    <n v="9"/>
    <x v="12"/>
    <n v="13338.5"/>
    <n v="28500"/>
    <n v="0.46801754385964911"/>
  </r>
  <r>
    <n v="2019"/>
    <x v="0"/>
    <n v="9"/>
    <x v="13"/>
    <n v="24271"/>
    <n v="28500"/>
    <n v="0.85161403508771927"/>
  </r>
  <r>
    <n v="2019"/>
    <x v="0"/>
    <n v="9"/>
    <x v="14"/>
    <n v="12912"/>
    <n v="28500"/>
    <n v="0.45305263157894737"/>
  </r>
  <r>
    <n v="2019"/>
    <x v="0"/>
    <n v="9"/>
    <x v="15"/>
    <n v="3746.5"/>
    <n v="28500"/>
    <n v="0.13145614035087719"/>
  </r>
  <r>
    <n v="2019"/>
    <x v="0"/>
    <n v="9"/>
    <x v="16"/>
    <n v="0"/>
    <n v="28500"/>
    <n v="0"/>
  </r>
  <r>
    <n v="2019"/>
    <x v="0"/>
    <n v="9"/>
    <x v="17"/>
    <n v="0"/>
    <n v="28500"/>
    <n v="0"/>
  </r>
  <r>
    <n v="2019"/>
    <x v="0"/>
    <n v="9"/>
    <x v="18"/>
    <n v="0"/>
    <n v="28500"/>
    <n v="0"/>
  </r>
  <r>
    <n v="2019"/>
    <x v="0"/>
    <n v="9"/>
    <x v="19"/>
    <n v="0"/>
    <n v="28500"/>
    <n v="0"/>
  </r>
  <r>
    <n v="2019"/>
    <x v="0"/>
    <n v="9"/>
    <x v="20"/>
    <n v="0"/>
    <n v="28500"/>
    <n v="0"/>
  </r>
  <r>
    <n v="2019"/>
    <x v="0"/>
    <n v="9"/>
    <x v="21"/>
    <n v="0"/>
    <n v="28500"/>
    <n v="0"/>
  </r>
  <r>
    <n v="2019"/>
    <x v="0"/>
    <n v="9"/>
    <x v="22"/>
    <n v="0"/>
    <n v="28500"/>
    <n v="0"/>
  </r>
  <r>
    <n v="2019"/>
    <x v="0"/>
    <n v="9"/>
    <x v="23"/>
    <n v="0"/>
    <n v="28500"/>
    <n v="0"/>
  </r>
  <r>
    <n v="2019"/>
    <x v="0"/>
    <n v="10"/>
    <x v="0"/>
    <n v="0"/>
    <n v="28500"/>
    <n v="0"/>
  </r>
  <r>
    <n v="2019"/>
    <x v="0"/>
    <n v="10"/>
    <x v="1"/>
    <n v="0"/>
    <n v="28500"/>
    <n v="0"/>
  </r>
  <r>
    <n v="2019"/>
    <x v="0"/>
    <n v="10"/>
    <x v="2"/>
    <n v="0"/>
    <n v="28500"/>
    <n v="0"/>
  </r>
  <r>
    <n v="2019"/>
    <x v="0"/>
    <n v="10"/>
    <x v="3"/>
    <n v="0"/>
    <n v="28500"/>
    <n v="0"/>
  </r>
  <r>
    <n v="2019"/>
    <x v="0"/>
    <n v="10"/>
    <x v="4"/>
    <n v="0"/>
    <n v="28500"/>
    <n v="0"/>
  </r>
  <r>
    <n v="2019"/>
    <x v="0"/>
    <n v="10"/>
    <x v="5"/>
    <n v="0"/>
    <n v="28500"/>
    <n v="0"/>
  </r>
  <r>
    <n v="2019"/>
    <x v="0"/>
    <n v="10"/>
    <x v="6"/>
    <n v="0"/>
    <n v="28500"/>
    <n v="0"/>
  </r>
  <r>
    <n v="2019"/>
    <x v="0"/>
    <n v="10"/>
    <x v="7"/>
    <n v="0"/>
    <n v="28500"/>
    <n v="0"/>
  </r>
  <r>
    <n v="2019"/>
    <x v="0"/>
    <n v="10"/>
    <x v="8"/>
    <n v="0"/>
    <n v="28500"/>
    <n v="0"/>
  </r>
  <r>
    <n v="2019"/>
    <x v="0"/>
    <n v="10"/>
    <x v="9"/>
    <n v="2087"/>
    <n v="28500"/>
    <n v="7.32280701754386E-2"/>
  </r>
  <r>
    <n v="2019"/>
    <x v="0"/>
    <n v="10"/>
    <x v="10"/>
    <n v="1155.5"/>
    <n v="28500"/>
    <n v="4.0543859649122806E-2"/>
  </r>
  <r>
    <n v="2019"/>
    <x v="0"/>
    <n v="10"/>
    <x v="11"/>
    <n v="2512.5"/>
    <n v="28500"/>
    <n v="8.8157894736842102E-2"/>
  </r>
  <r>
    <n v="2019"/>
    <x v="0"/>
    <n v="10"/>
    <x v="12"/>
    <n v="2501.5"/>
    <n v="28500"/>
    <n v="8.7771929824561404E-2"/>
  </r>
  <r>
    <n v="2019"/>
    <x v="0"/>
    <n v="10"/>
    <x v="13"/>
    <n v="2731.5"/>
    <n v="28500"/>
    <n v="9.5842105263157895E-2"/>
  </r>
  <r>
    <n v="2019"/>
    <x v="0"/>
    <n v="10"/>
    <x v="14"/>
    <n v="1322"/>
    <n v="28500"/>
    <n v="4.6385964912280704E-2"/>
  </r>
  <r>
    <n v="2019"/>
    <x v="0"/>
    <n v="10"/>
    <x v="15"/>
    <n v="593"/>
    <n v="28500"/>
    <n v="2.0807017543859649E-2"/>
  </r>
  <r>
    <n v="2019"/>
    <x v="0"/>
    <n v="10"/>
    <x v="16"/>
    <n v="0"/>
    <n v="28500"/>
    <n v="0"/>
  </r>
  <r>
    <n v="2019"/>
    <x v="0"/>
    <n v="10"/>
    <x v="17"/>
    <n v="0"/>
    <n v="28500"/>
    <n v="0"/>
  </r>
  <r>
    <n v="2019"/>
    <x v="0"/>
    <n v="10"/>
    <x v="18"/>
    <n v="0"/>
    <n v="28500"/>
    <n v="0"/>
  </r>
  <r>
    <n v="2019"/>
    <x v="0"/>
    <n v="10"/>
    <x v="19"/>
    <n v="0"/>
    <n v="28500"/>
    <n v="0"/>
  </r>
  <r>
    <n v="2019"/>
    <x v="0"/>
    <n v="10"/>
    <x v="20"/>
    <n v="0"/>
    <n v="28500"/>
    <n v="0"/>
  </r>
  <r>
    <n v="2019"/>
    <x v="0"/>
    <n v="10"/>
    <x v="21"/>
    <n v="0"/>
    <n v="28500"/>
    <n v="0"/>
  </r>
  <r>
    <n v="2019"/>
    <x v="0"/>
    <n v="10"/>
    <x v="22"/>
    <n v="0"/>
    <n v="28500"/>
    <n v="0"/>
  </r>
  <r>
    <n v="2019"/>
    <x v="0"/>
    <n v="10"/>
    <x v="23"/>
    <n v="0"/>
    <n v="28500"/>
    <n v="0"/>
  </r>
  <r>
    <n v="2019"/>
    <x v="0"/>
    <n v="11"/>
    <x v="0"/>
    <n v="0"/>
    <n v="28500"/>
    <n v="0"/>
  </r>
  <r>
    <n v="2019"/>
    <x v="0"/>
    <n v="11"/>
    <x v="1"/>
    <n v="0"/>
    <n v="28500"/>
    <n v="0"/>
  </r>
  <r>
    <n v="2019"/>
    <x v="0"/>
    <n v="11"/>
    <x v="2"/>
    <n v="0"/>
    <n v="28500"/>
    <n v="0"/>
  </r>
  <r>
    <n v="2019"/>
    <x v="0"/>
    <n v="11"/>
    <x v="3"/>
    <n v="0"/>
    <n v="28500"/>
    <n v="0"/>
  </r>
  <r>
    <n v="2019"/>
    <x v="0"/>
    <n v="11"/>
    <x v="4"/>
    <n v="0"/>
    <n v="28500"/>
    <n v="0"/>
  </r>
  <r>
    <n v="2019"/>
    <x v="0"/>
    <n v="11"/>
    <x v="5"/>
    <n v="0"/>
    <n v="28500"/>
    <n v="0"/>
  </r>
  <r>
    <n v="2019"/>
    <x v="0"/>
    <n v="11"/>
    <x v="6"/>
    <n v="0"/>
    <n v="28500"/>
    <n v="0"/>
  </r>
  <r>
    <n v="2019"/>
    <x v="0"/>
    <n v="11"/>
    <x v="7"/>
    <n v="0"/>
    <n v="28500"/>
    <n v="0"/>
  </r>
  <r>
    <n v="2019"/>
    <x v="0"/>
    <n v="11"/>
    <x v="8"/>
    <n v="0"/>
    <n v="28500"/>
    <n v="0"/>
  </r>
  <r>
    <n v="2019"/>
    <x v="0"/>
    <n v="11"/>
    <x v="9"/>
    <n v="4827"/>
    <n v="28500"/>
    <n v="0.16936842105263158"/>
  </r>
  <r>
    <n v="2019"/>
    <x v="0"/>
    <n v="11"/>
    <x v="10"/>
    <n v="4698.5"/>
    <n v="28500"/>
    <n v="0.16485964912280701"/>
  </r>
  <r>
    <n v="2019"/>
    <x v="0"/>
    <n v="11"/>
    <x v="11"/>
    <n v="7069.5"/>
    <n v="28500"/>
    <n v="0.24805263157894736"/>
  </r>
  <r>
    <n v="2019"/>
    <x v="0"/>
    <n v="11"/>
    <x v="12"/>
    <n v="16368.5"/>
    <n v="28500"/>
    <n v="0.57433333333333336"/>
  </r>
  <r>
    <n v="2019"/>
    <x v="0"/>
    <n v="11"/>
    <x v="13"/>
    <n v="11639"/>
    <n v="28500"/>
    <n v="0.40838596491228069"/>
  </r>
  <r>
    <n v="2019"/>
    <x v="0"/>
    <n v="11"/>
    <x v="14"/>
    <n v="9785.5"/>
    <n v="28500"/>
    <n v="0.34335087719298246"/>
  </r>
  <r>
    <n v="2019"/>
    <x v="0"/>
    <n v="11"/>
    <x v="15"/>
    <n v="337.5"/>
    <n v="28500"/>
    <n v="1.1842105263157895E-2"/>
  </r>
  <r>
    <n v="2019"/>
    <x v="0"/>
    <n v="11"/>
    <x v="16"/>
    <n v="0"/>
    <n v="28500"/>
    <n v="0"/>
  </r>
  <r>
    <n v="2019"/>
    <x v="0"/>
    <n v="11"/>
    <x v="17"/>
    <n v="0"/>
    <n v="28500"/>
    <n v="0"/>
  </r>
  <r>
    <n v="2019"/>
    <x v="0"/>
    <n v="11"/>
    <x v="18"/>
    <n v="0"/>
    <n v="28500"/>
    <n v="0"/>
  </r>
  <r>
    <n v="2019"/>
    <x v="0"/>
    <n v="11"/>
    <x v="19"/>
    <n v="0"/>
    <n v="28500"/>
    <n v="0"/>
  </r>
  <r>
    <n v="2019"/>
    <x v="0"/>
    <n v="11"/>
    <x v="20"/>
    <n v="0"/>
    <n v="28500"/>
    <n v="0"/>
  </r>
  <r>
    <n v="2019"/>
    <x v="0"/>
    <n v="11"/>
    <x v="21"/>
    <n v="0"/>
    <n v="28500"/>
    <n v="0"/>
  </r>
  <r>
    <n v="2019"/>
    <x v="0"/>
    <n v="11"/>
    <x v="22"/>
    <n v="0"/>
    <n v="28500"/>
    <n v="0"/>
  </r>
  <r>
    <n v="2019"/>
    <x v="0"/>
    <n v="11"/>
    <x v="23"/>
    <n v="0"/>
    <n v="28500"/>
    <n v="0"/>
  </r>
  <r>
    <n v="2019"/>
    <x v="0"/>
    <n v="12"/>
    <x v="0"/>
    <n v="0"/>
    <n v="28500"/>
    <n v="0"/>
  </r>
  <r>
    <n v="2019"/>
    <x v="0"/>
    <n v="12"/>
    <x v="1"/>
    <n v="0"/>
    <n v="28500"/>
    <n v="0"/>
  </r>
  <r>
    <n v="2019"/>
    <x v="0"/>
    <n v="12"/>
    <x v="2"/>
    <n v="0"/>
    <n v="28500"/>
    <n v="0"/>
  </r>
  <r>
    <n v="2019"/>
    <x v="0"/>
    <n v="12"/>
    <x v="3"/>
    <n v="0"/>
    <n v="28500"/>
    <n v="0"/>
  </r>
  <r>
    <n v="2019"/>
    <x v="0"/>
    <n v="12"/>
    <x v="4"/>
    <n v="0"/>
    <n v="28500"/>
    <n v="0"/>
  </r>
  <r>
    <n v="2019"/>
    <x v="0"/>
    <n v="12"/>
    <x v="5"/>
    <n v="0"/>
    <n v="28500"/>
    <n v="0"/>
  </r>
  <r>
    <n v="2019"/>
    <x v="0"/>
    <n v="12"/>
    <x v="6"/>
    <n v="0"/>
    <n v="28500"/>
    <n v="0"/>
  </r>
  <r>
    <n v="2019"/>
    <x v="0"/>
    <n v="12"/>
    <x v="7"/>
    <n v="0"/>
    <n v="28500"/>
    <n v="0"/>
  </r>
  <r>
    <n v="2019"/>
    <x v="0"/>
    <n v="12"/>
    <x v="8"/>
    <n v="0"/>
    <n v="28500"/>
    <n v="0"/>
  </r>
  <r>
    <n v="2019"/>
    <x v="0"/>
    <n v="12"/>
    <x v="9"/>
    <n v="614"/>
    <n v="28500"/>
    <n v="2.1543859649122806E-2"/>
  </r>
  <r>
    <n v="2019"/>
    <x v="0"/>
    <n v="12"/>
    <x v="10"/>
    <n v="1441"/>
    <n v="28500"/>
    <n v="5.0561403508771932E-2"/>
  </r>
  <r>
    <n v="2019"/>
    <x v="0"/>
    <n v="12"/>
    <x v="11"/>
    <n v="2179"/>
    <n v="28500"/>
    <n v="7.6456140350877194E-2"/>
  </r>
  <r>
    <n v="2019"/>
    <x v="0"/>
    <n v="12"/>
    <x v="12"/>
    <n v="1654"/>
    <n v="28500"/>
    <n v="5.8035087719298245E-2"/>
  </r>
  <r>
    <n v="2019"/>
    <x v="0"/>
    <n v="12"/>
    <x v="13"/>
    <n v="2135.5"/>
    <n v="28500"/>
    <n v="7.4929824561403513E-2"/>
  </r>
  <r>
    <n v="2019"/>
    <x v="0"/>
    <n v="12"/>
    <x v="14"/>
    <n v="2409"/>
    <n v="28500"/>
    <n v="8.4526315789473686E-2"/>
  </r>
  <r>
    <n v="2019"/>
    <x v="0"/>
    <n v="12"/>
    <x v="15"/>
    <n v="1027.5"/>
    <n v="28500"/>
    <n v="3.6052631578947371E-2"/>
  </r>
  <r>
    <n v="2019"/>
    <x v="0"/>
    <n v="12"/>
    <x v="16"/>
    <n v="0"/>
    <n v="28500"/>
    <n v="0"/>
  </r>
  <r>
    <n v="2019"/>
    <x v="0"/>
    <n v="12"/>
    <x v="17"/>
    <n v="0"/>
    <n v="28500"/>
    <n v="0"/>
  </r>
  <r>
    <n v="2019"/>
    <x v="0"/>
    <n v="12"/>
    <x v="18"/>
    <n v="0"/>
    <n v="28500"/>
    <n v="0"/>
  </r>
  <r>
    <n v="2019"/>
    <x v="0"/>
    <n v="12"/>
    <x v="19"/>
    <n v="0"/>
    <n v="28500"/>
    <n v="0"/>
  </r>
  <r>
    <n v="2019"/>
    <x v="0"/>
    <n v="12"/>
    <x v="20"/>
    <n v="0"/>
    <n v="28500"/>
    <n v="0"/>
  </r>
  <r>
    <n v="2019"/>
    <x v="0"/>
    <n v="12"/>
    <x v="21"/>
    <n v="0"/>
    <n v="28500"/>
    <n v="0"/>
  </r>
  <r>
    <n v="2019"/>
    <x v="0"/>
    <n v="12"/>
    <x v="22"/>
    <n v="0"/>
    <n v="28500"/>
    <n v="0"/>
  </r>
  <r>
    <n v="2019"/>
    <x v="0"/>
    <n v="12"/>
    <x v="23"/>
    <n v="0"/>
    <n v="28500"/>
    <n v="0"/>
  </r>
  <r>
    <n v="2019"/>
    <x v="0"/>
    <n v="13"/>
    <x v="0"/>
    <n v="0"/>
    <n v="28500"/>
    <n v="0"/>
  </r>
  <r>
    <n v="2019"/>
    <x v="0"/>
    <n v="13"/>
    <x v="1"/>
    <n v="0"/>
    <n v="28500"/>
    <n v="0"/>
  </r>
  <r>
    <n v="2019"/>
    <x v="0"/>
    <n v="13"/>
    <x v="2"/>
    <n v="0"/>
    <n v="28500"/>
    <n v="0"/>
  </r>
  <r>
    <n v="2019"/>
    <x v="0"/>
    <n v="13"/>
    <x v="3"/>
    <n v="0"/>
    <n v="28500"/>
    <n v="0"/>
  </r>
  <r>
    <n v="2019"/>
    <x v="0"/>
    <n v="13"/>
    <x v="4"/>
    <n v="0"/>
    <n v="28500"/>
    <n v="0"/>
  </r>
  <r>
    <n v="2019"/>
    <x v="0"/>
    <n v="13"/>
    <x v="5"/>
    <n v="0"/>
    <n v="28500"/>
    <n v="0"/>
  </r>
  <r>
    <n v="2019"/>
    <x v="0"/>
    <n v="13"/>
    <x v="6"/>
    <n v="0"/>
    <n v="28500"/>
    <n v="0"/>
  </r>
  <r>
    <n v="2019"/>
    <x v="0"/>
    <n v="13"/>
    <x v="7"/>
    <n v="0"/>
    <n v="28500"/>
    <n v="0"/>
  </r>
  <r>
    <n v="2019"/>
    <x v="0"/>
    <n v="13"/>
    <x v="8"/>
    <n v="0"/>
    <n v="28500"/>
    <n v="0"/>
  </r>
  <r>
    <n v="2019"/>
    <x v="0"/>
    <n v="13"/>
    <x v="9"/>
    <n v="609.5"/>
    <n v="28500"/>
    <n v="2.1385964912280703E-2"/>
  </r>
  <r>
    <n v="2019"/>
    <x v="0"/>
    <n v="13"/>
    <x v="10"/>
    <n v="1045"/>
    <n v="28500"/>
    <n v="3.6666666666666667E-2"/>
  </r>
  <r>
    <n v="2019"/>
    <x v="0"/>
    <n v="13"/>
    <x v="11"/>
    <n v="24019"/>
    <n v="28500"/>
    <n v="0.84277192982456139"/>
  </r>
  <r>
    <n v="2019"/>
    <x v="0"/>
    <n v="13"/>
    <x v="12"/>
    <n v="16720"/>
    <n v="28500"/>
    <n v="0.58666666666666667"/>
  </r>
  <r>
    <n v="2019"/>
    <x v="0"/>
    <n v="13"/>
    <x v="13"/>
    <n v="9997.5"/>
    <n v="28500"/>
    <n v="0.35078947368421054"/>
  </r>
  <r>
    <n v="2019"/>
    <x v="0"/>
    <n v="13"/>
    <x v="14"/>
    <n v="11892.5"/>
    <n v="28500"/>
    <n v="0.41728070175438597"/>
  </r>
  <r>
    <n v="2019"/>
    <x v="0"/>
    <n v="13"/>
    <x v="15"/>
    <n v="4325"/>
    <n v="28500"/>
    <n v="0.15175438596491228"/>
  </r>
  <r>
    <n v="2019"/>
    <x v="0"/>
    <n v="13"/>
    <x v="16"/>
    <n v="0"/>
    <n v="28500"/>
    <n v="0"/>
  </r>
  <r>
    <n v="2019"/>
    <x v="0"/>
    <n v="13"/>
    <x v="17"/>
    <n v="0"/>
    <n v="28500"/>
    <n v="0"/>
  </r>
  <r>
    <n v="2019"/>
    <x v="0"/>
    <n v="13"/>
    <x v="18"/>
    <n v="0"/>
    <n v="28500"/>
    <n v="0"/>
  </r>
  <r>
    <n v="2019"/>
    <x v="0"/>
    <n v="13"/>
    <x v="19"/>
    <n v="0"/>
    <n v="28500"/>
    <n v="0"/>
  </r>
  <r>
    <n v="2019"/>
    <x v="0"/>
    <n v="13"/>
    <x v="20"/>
    <n v="0"/>
    <n v="28500"/>
    <n v="0"/>
  </r>
  <r>
    <n v="2019"/>
    <x v="0"/>
    <n v="13"/>
    <x v="21"/>
    <n v="0"/>
    <n v="28500"/>
    <n v="0"/>
  </r>
  <r>
    <n v="2019"/>
    <x v="0"/>
    <n v="13"/>
    <x v="22"/>
    <n v="0"/>
    <n v="28500"/>
    <n v="0"/>
  </r>
  <r>
    <n v="2019"/>
    <x v="0"/>
    <n v="13"/>
    <x v="23"/>
    <n v="0"/>
    <n v="28500"/>
    <n v="0"/>
  </r>
  <r>
    <n v="2019"/>
    <x v="0"/>
    <n v="14"/>
    <x v="0"/>
    <n v="0"/>
    <n v="28500"/>
    <n v="0"/>
  </r>
  <r>
    <n v="2019"/>
    <x v="0"/>
    <n v="14"/>
    <x v="1"/>
    <n v="0"/>
    <n v="28500"/>
    <n v="0"/>
  </r>
  <r>
    <n v="2019"/>
    <x v="0"/>
    <n v="14"/>
    <x v="2"/>
    <n v="0"/>
    <n v="28500"/>
    <n v="0"/>
  </r>
  <r>
    <n v="2019"/>
    <x v="0"/>
    <n v="14"/>
    <x v="3"/>
    <n v="0"/>
    <n v="28500"/>
    <n v="0"/>
  </r>
  <r>
    <n v="2019"/>
    <x v="0"/>
    <n v="14"/>
    <x v="4"/>
    <n v="0"/>
    <n v="28500"/>
    <n v="0"/>
  </r>
  <r>
    <n v="2019"/>
    <x v="0"/>
    <n v="14"/>
    <x v="5"/>
    <n v="0"/>
    <n v="28500"/>
    <n v="0"/>
  </r>
  <r>
    <n v="2019"/>
    <x v="0"/>
    <n v="14"/>
    <x v="6"/>
    <n v="0"/>
    <n v="28500"/>
    <n v="0"/>
  </r>
  <r>
    <n v="2019"/>
    <x v="0"/>
    <n v="14"/>
    <x v="7"/>
    <n v="0"/>
    <n v="28500"/>
    <n v="0"/>
  </r>
  <r>
    <n v="2019"/>
    <x v="0"/>
    <n v="14"/>
    <x v="8"/>
    <n v="0"/>
    <n v="28500"/>
    <n v="0"/>
  </r>
  <r>
    <n v="2019"/>
    <x v="0"/>
    <n v="14"/>
    <x v="9"/>
    <n v="15668.5"/>
    <n v="28500"/>
    <n v="0.54977192982456136"/>
  </r>
  <r>
    <n v="2019"/>
    <x v="0"/>
    <n v="14"/>
    <x v="10"/>
    <n v="22869.5"/>
    <n v="28500"/>
    <n v="0.80243859649122806"/>
  </r>
  <r>
    <n v="2019"/>
    <x v="0"/>
    <n v="14"/>
    <x v="11"/>
    <n v="2304.5"/>
    <n v="28500"/>
    <n v="8.085964912280702E-2"/>
  </r>
  <r>
    <n v="2019"/>
    <x v="0"/>
    <n v="14"/>
    <x v="12"/>
    <n v="1552"/>
    <n v="28500"/>
    <n v="5.4456140350877195E-2"/>
  </r>
  <r>
    <n v="2019"/>
    <x v="0"/>
    <n v="14"/>
    <x v="13"/>
    <n v="1226"/>
    <n v="28500"/>
    <n v="4.3017543859649121E-2"/>
  </r>
  <r>
    <n v="2019"/>
    <x v="0"/>
    <n v="14"/>
    <x v="14"/>
    <n v="1808.5"/>
    <n v="28500"/>
    <n v="6.3456140350877197E-2"/>
  </r>
  <r>
    <n v="2019"/>
    <x v="0"/>
    <n v="14"/>
    <x v="15"/>
    <n v="2287.5"/>
    <n v="28500"/>
    <n v="8.0263157894736842E-2"/>
  </r>
  <r>
    <n v="2019"/>
    <x v="0"/>
    <n v="14"/>
    <x v="16"/>
    <n v="0"/>
    <n v="28500"/>
    <n v="0"/>
  </r>
  <r>
    <n v="2019"/>
    <x v="0"/>
    <n v="14"/>
    <x v="17"/>
    <n v="0"/>
    <n v="28500"/>
    <n v="0"/>
  </r>
  <r>
    <n v="2019"/>
    <x v="0"/>
    <n v="14"/>
    <x v="18"/>
    <n v="0"/>
    <n v="28500"/>
    <n v="0"/>
  </r>
  <r>
    <n v="2019"/>
    <x v="0"/>
    <n v="14"/>
    <x v="19"/>
    <n v="0"/>
    <n v="28500"/>
    <n v="0"/>
  </r>
  <r>
    <n v="2019"/>
    <x v="0"/>
    <n v="14"/>
    <x v="20"/>
    <n v="0"/>
    <n v="28500"/>
    <n v="0"/>
  </r>
  <r>
    <n v="2019"/>
    <x v="0"/>
    <n v="14"/>
    <x v="21"/>
    <n v="0"/>
    <n v="28500"/>
    <n v="0"/>
  </r>
  <r>
    <n v="2019"/>
    <x v="0"/>
    <n v="14"/>
    <x v="22"/>
    <n v="0"/>
    <n v="28500"/>
    <n v="0"/>
  </r>
  <r>
    <n v="2019"/>
    <x v="0"/>
    <n v="14"/>
    <x v="23"/>
    <n v="0"/>
    <n v="28500"/>
    <n v="0"/>
  </r>
  <r>
    <n v="2019"/>
    <x v="0"/>
    <n v="15"/>
    <x v="0"/>
    <n v="0"/>
    <n v="28500"/>
    <n v="0"/>
  </r>
  <r>
    <n v="2019"/>
    <x v="0"/>
    <n v="15"/>
    <x v="1"/>
    <n v="0"/>
    <n v="28500"/>
    <n v="0"/>
  </r>
  <r>
    <n v="2019"/>
    <x v="0"/>
    <n v="15"/>
    <x v="2"/>
    <n v="0"/>
    <n v="28500"/>
    <n v="0"/>
  </r>
  <r>
    <n v="2019"/>
    <x v="0"/>
    <n v="15"/>
    <x v="3"/>
    <n v="0"/>
    <n v="28500"/>
    <n v="0"/>
  </r>
  <r>
    <n v="2019"/>
    <x v="0"/>
    <n v="15"/>
    <x v="4"/>
    <n v="0"/>
    <n v="28500"/>
    <n v="0"/>
  </r>
  <r>
    <n v="2019"/>
    <x v="0"/>
    <n v="15"/>
    <x v="5"/>
    <n v="0"/>
    <n v="28500"/>
    <n v="0"/>
  </r>
  <r>
    <n v="2019"/>
    <x v="0"/>
    <n v="15"/>
    <x v="6"/>
    <n v="0"/>
    <n v="28500"/>
    <n v="0"/>
  </r>
  <r>
    <n v="2019"/>
    <x v="0"/>
    <n v="15"/>
    <x v="7"/>
    <n v="0"/>
    <n v="28500"/>
    <n v="0"/>
  </r>
  <r>
    <n v="2019"/>
    <x v="0"/>
    <n v="15"/>
    <x v="8"/>
    <n v="0"/>
    <n v="28500"/>
    <n v="0"/>
  </r>
  <r>
    <n v="2019"/>
    <x v="0"/>
    <n v="15"/>
    <x v="9"/>
    <n v="5110.5"/>
    <n v="28500"/>
    <n v="0.17931578947368421"/>
  </r>
  <r>
    <n v="2019"/>
    <x v="0"/>
    <n v="15"/>
    <x v="10"/>
    <n v="3079"/>
    <n v="28500"/>
    <n v="0.10803508771929825"/>
  </r>
  <r>
    <n v="2019"/>
    <x v="0"/>
    <n v="15"/>
    <x v="11"/>
    <n v="5163"/>
    <n v="28500"/>
    <n v="0.1811578947368421"/>
  </r>
  <r>
    <n v="2019"/>
    <x v="0"/>
    <n v="15"/>
    <x v="12"/>
    <n v="9122"/>
    <n v="28500"/>
    <n v="0.3200701754385965"/>
  </r>
  <r>
    <n v="2019"/>
    <x v="0"/>
    <n v="15"/>
    <x v="13"/>
    <n v="4767"/>
    <n v="28500"/>
    <n v="0.16726315789473684"/>
  </r>
  <r>
    <n v="2019"/>
    <x v="0"/>
    <n v="15"/>
    <x v="14"/>
    <n v="2077.5"/>
    <n v="28500"/>
    <n v="7.2894736842105262E-2"/>
  </r>
  <r>
    <n v="2019"/>
    <x v="0"/>
    <n v="15"/>
    <x v="15"/>
    <n v="144"/>
    <n v="28500"/>
    <n v="5.0526315789473685E-3"/>
  </r>
  <r>
    <n v="2019"/>
    <x v="0"/>
    <n v="15"/>
    <x v="16"/>
    <n v="0"/>
    <n v="28500"/>
    <n v="0"/>
  </r>
  <r>
    <n v="2019"/>
    <x v="0"/>
    <n v="15"/>
    <x v="17"/>
    <n v="0"/>
    <n v="28500"/>
    <n v="0"/>
  </r>
  <r>
    <n v="2019"/>
    <x v="0"/>
    <n v="15"/>
    <x v="18"/>
    <n v="0"/>
    <n v="28500"/>
    <n v="0"/>
  </r>
  <r>
    <n v="2019"/>
    <x v="0"/>
    <n v="15"/>
    <x v="19"/>
    <n v="0"/>
    <n v="28500"/>
    <n v="0"/>
  </r>
  <r>
    <n v="2019"/>
    <x v="0"/>
    <n v="15"/>
    <x v="20"/>
    <n v="0"/>
    <n v="28500"/>
    <n v="0"/>
  </r>
  <r>
    <n v="2019"/>
    <x v="0"/>
    <n v="15"/>
    <x v="21"/>
    <n v="0"/>
    <n v="28500"/>
    <n v="0"/>
  </r>
  <r>
    <n v="2019"/>
    <x v="0"/>
    <n v="15"/>
    <x v="22"/>
    <n v="0"/>
    <n v="28500"/>
    <n v="0"/>
  </r>
  <r>
    <n v="2019"/>
    <x v="0"/>
    <n v="15"/>
    <x v="23"/>
    <n v="0"/>
    <n v="28500"/>
    <n v="0"/>
  </r>
  <r>
    <n v="2019"/>
    <x v="0"/>
    <n v="16"/>
    <x v="0"/>
    <n v="0"/>
    <n v="28500"/>
    <n v="0"/>
  </r>
  <r>
    <n v="2019"/>
    <x v="0"/>
    <n v="16"/>
    <x v="1"/>
    <n v="0"/>
    <n v="28500"/>
    <n v="0"/>
  </r>
  <r>
    <n v="2019"/>
    <x v="0"/>
    <n v="16"/>
    <x v="2"/>
    <n v="0"/>
    <n v="28500"/>
    <n v="0"/>
  </r>
  <r>
    <n v="2019"/>
    <x v="0"/>
    <n v="16"/>
    <x v="3"/>
    <n v="0"/>
    <n v="28500"/>
    <n v="0"/>
  </r>
  <r>
    <n v="2019"/>
    <x v="0"/>
    <n v="16"/>
    <x v="4"/>
    <n v="0"/>
    <n v="28500"/>
    <n v="0"/>
  </r>
  <r>
    <n v="2019"/>
    <x v="0"/>
    <n v="16"/>
    <x v="5"/>
    <n v="0"/>
    <n v="28500"/>
    <n v="0"/>
  </r>
  <r>
    <n v="2019"/>
    <x v="0"/>
    <n v="16"/>
    <x v="6"/>
    <n v="0"/>
    <n v="28500"/>
    <n v="0"/>
  </r>
  <r>
    <n v="2019"/>
    <x v="0"/>
    <n v="16"/>
    <x v="7"/>
    <n v="0"/>
    <n v="28500"/>
    <n v="0"/>
  </r>
  <r>
    <n v="2019"/>
    <x v="0"/>
    <n v="16"/>
    <x v="8"/>
    <n v="0"/>
    <n v="28500"/>
    <n v="0"/>
  </r>
  <r>
    <n v="2019"/>
    <x v="0"/>
    <n v="16"/>
    <x v="9"/>
    <n v="1783.5"/>
    <n v="28500"/>
    <n v="6.2578947368421053E-2"/>
  </r>
  <r>
    <n v="2019"/>
    <x v="0"/>
    <n v="16"/>
    <x v="10"/>
    <n v="334.5"/>
    <n v="28500"/>
    <n v="1.1736842105263158E-2"/>
  </r>
  <r>
    <n v="2019"/>
    <x v="0"/>
    <n v="16"/>
    <x v="11"/>
    <n v="2219"/>
    <n v="28500"/>
    <n v="7.7859649122807018E-2"/>
  </r>
  <r>
    <n v="2019"/>
    <x v="0"/>
    <n v="16"/>
    <x v="12"/>
    <n v="1012.5"/>
    <n v="28500"/>
    <n v="3.5526315789473684E-2"/>
  </r>
  <r>
    <n v="2019"/>
    <x v="0"/>
    <n v="16"/>
    <x v="13"/>
    <n v="840.5"/>
    <n v="28500"/>
    <n v="2.949122807017544E-2"/>
  </r>
  <r>
    <n v="2019"/>
    <x v="0"/>
    <n v="16"/>
    <x v="14"/>
    <n v="1149.5"/>
    <n v="28500"/>
    <n v="4.0333333333333332E-2"/>
  </r>
  <r>
    <n v="2019"/>
    <x v="0"/>
    <n v="16"/>
    <x v="15"/>
    <n v="1144"/>
    <n v="28500"/>
    <n v="4.0140350877192983E-2"/>
  </r>
  <r>
    <n v="2019"/>
    <x v="0"/>
    <n v="16"/>
    <x v="16"/>
    <n v="0"/>
    <n v="28500"/>
    <n v="0"/>
  </r>
  <r>
    <n v="2019"/>
    <x v="0"/>
    <n v="16"/>
    <x v="17"/>
    <n v="0"/>
    <n v="28500"/>
    <n v="0"/>
  </r>
  <r>
    <n v="2019"/>
    <x v="0"/>
    <n v="16"/>
    <x v="18"/>
    <n v="0"/>
    <n v="28500"/>
    <n v="0"/>
  </r>
  <r>
    <n v="2019"/>
    <x v="0"/>
    <n v="16"/>
    <x v="19"/>
    <n v="0"/>
    <n v="28500"/>
    <n v="0"/>
  </r>
  <r>
    <n v="2019"/>
    <x v="0"/>
    <n v="16"/>
    <x v="20"/>
    <n v="0"/>
    <n v="28500"/>
    <n v="0"/>
  </r>
  <r>
    <n v="2019"/>
    <x v="0"/>
    <n v="16"/>
    <x v="21"/>
    <n v="0"/>
    <n v="28500"/>
    <n v="0"/>
  </r>
  <r>
    <n v="2019"/>
    <x v="0"/>
    <n v="16"/>
    <x v="22"/>
    <n v="0"/>
    <n v="28500"/>
    <n v="0"/>
  </r>
  <r>
    <n v="2019"/>
    <x v="0"/>
    <n v="16"/>
    <x v="23"/>
    <n v="0"/>
    <n v="28500"/>
    <n v="0"/>
  </r>
  <r>
    <n v="2019"/>
    <x v="0"/>
    <n v="17"/>
    <x v="0"/>
    <n v="0"/>
    <n v="28500"/>
    <n v="0"/>
  </r>
  <r>
    <n v="2019"/>
    <x v="0"/>
    <n v="17"/>
    <x v="1"/>
    <n v="0"/>
    <n v="28500"/>
    <n v="0"/>
  </r>
  <r>
    <n v="2019"/>
    <x v="0"/>
    <n v="17"/>
    <x v="2"/>
    <n v="0"/>
    <n v="28500"/>
    <n v="0"/>
  </r>
  <r>
    <n v="2019"/>
    <x v="0"/>
    <n v="17"/>
    <x v="3"/>
    <n v="0"/>
    <n v="28500"/>
    <n v="0"/>
  </r>
  <r>
    <n v="2019"/>
    <x v="0"/>
    <n v="17"/>
    <x v="4"/>
    <n v="0"/>
    <n v="28500"/>
    <n v="0"/>
  </r>
  <r>
    <n v="2019"/>
    <x v="0"/>
    <n v="17"/>
    <x v="5"/>
    <n v="0"/>
    <n v="28500"/>
    <n v="0"/>
  </r>
  <r>
    <n v="2019"/>
    <x v="0"/>
    <n v="17"/>
    <x v="6"/>
    <n v="0"/>
    <n v="28500"/>
    <n v="0"/>
  </r>
  <r>
    <n v="2019"/>
    <x v="0"/>
    <n v="17"/>
    <x v="7"/>
    <n v="0"/>
    <n v="28500"/>
    <n v="0"/>
  </r>
  <r>
    <n v="2019"/>
    <x v="0"/>
    <n v="17"/>
    <x v="8"/>
    <n v="0"/>
    <n v="28500"/>
    <n v="0"/>
  </r>
  <r>
    <n v="2019"/>
    <x v="0"/>
    <n v="17"/>
    <x v="9"/>
    <n v="1726"/>
    <n v="28500"/>
    <n v="6.0561403508771927E-2"/>
  </r>
  <r>
    <n v="2019"/>
    <x v="0"/>
    <n v="17"/>
    <x v="10"/>
    <n v="27815.5"/>
    <n v="28500"/>
    <n v="0.97598245614035084"/>
  </r>
  <r>
    <n v="2019"/>
    <x v="0"/>
    <n v="17"/>
    <x v="11"/>
    <n v="32509"/>
    <n v="28500"/>
    <n v="1.1406666666666667"/>
  </r>
  <r>
    <n v="2019"/>
    <x v="0"/>
    <n v="17"/>
    <x v="12"/>
    <n v="34905.5"/>
    <n v="28500"/>
    <n v="1.2247543859649124"/>
  </r>
  <r>
    <n v="2019"/>
    <x v="0"/>
    <n v="17"/>
    <x v="13"/>
    <n v="33206.5"/>
    <n v="28500"/>
    <n v="1.1651403508771929"/>
  </r>
  <r>
    <n v="2019"/>
    <x v="0"/>
    <n v="17"/>
    <x v="14"/>
    <n v="25869"/>
    <n v="28500"/>
    <n v="0.90768421052631576"/>
  </r>
  <r>
    <n v="2019"/>
    <x v="0"/>
    <n v="17"/>
    <x v="15"/>
    <n v="17851"/>
    <n v="28500"/>
    <n v="0.62635087719298244"/>
  </r>
  <r>
    <n v="2019"/>
    <x v="0"/>
    <n v="17"/>
    <x v="16"/>
    <n v="0"/>
    <n v="28500"/>
    <n v="0"/>
  </r>
  <r>
    <n v="2019"/>
    <x v="0"/>
    <n v="17"/>
    <x v="17"/>
    <n v="0"/>
    <n v="28500"/>
    <n v="0"/>
  </r>
  <r>
    <n v="2019"/>
    <x v="0"/>
    <n v="17"/>
    <x v="18"/>
    <n v="0"/>
    <n v="28500"/>
    <n v="0"/>
  </r>
  <r>
    <n v="2019"/>
    <x v="0"/>
    <n v="17"/>
    <x v="19"/>
    <n v="0"/>
    <n v="28500"/>
    <n v="0"/>
  </r>
  <r>
    <n v="2019"/>
    <x v="0"/>
    <n v="17"/>
    <x v="20"/>
    <n v="0"/>
    <n v="28500"/>
    <n v="0"/>
  </r>
  <r>
    <n v="2019"/>
    <x v="0"/>
    <n v="17"/>
    <x v="21"/>
    <n v="0"/>
    <n v="28500"/>
    <n v="0"/>
  </r>
  <r>
    <n v="2019"/>
    <x v="0"/>
    <n v="17"/>
    <x v="22"/>
    <n v="0"/>
    <n v="28500"/>
    <n v="0"/>
  </r>
  <r>
    <n v="2019"/>
    <x v="0"/>
    <n v="17"/>
    <x v="23"/>
    <n v="0"/>
    <n v="28500"/>
    <n v="0"/>
  </r>
  <r>
    <n v="2019"/>
    <x v="0"/>
    <n v="18"/>
    <x v="0"/>
    <n v="0"/>
    <n v="28500"/>
    <n v="0"/>
  </r>
  <r>
    <n v="2019"/>
    <x v="0"/>
    <n v="18"/>
    <x v="1"/>
    <n v="0"/>
    <n v="28500"/>
    <n v="0"/>
  </r>
  <r>
    <n v="2019"/>
    <x v="0"/>
    <n v="18"/>
    <x v="2"/>
    <n v="0"/>
    <n v="28500"/>
    <n v="0"/>
  </r>
  <r>
    <n v="2019"/>
    <x v="0"/>
    <n v="18"/>
    <x v="3"/>
    <n v="0"/>
    <n v="28500"/>
    <n v="0"/>
  </r>
  <r>
    <n v="2019"/>
    <x v="0"/>
    <n v="18"/>
    <x v="4"/>
    <n v="0"/>
    <n v="28500"/>
    <n v="0"/>
  </r>
  <r>
    <n v="2019"/>
    <x v="0"/>
    <n v="18"/>
    <x v="5"/>
    <n v="0"/>
    <n v="28500"/>
    <n v="0"/>
  </r>
  <r>
    <n v="2019"/>
    <x v="0"/>
    <n v="18"/>
    <x v="6"/>
    <n v="0"/>
    <n v="28500"/>
    <n v="0"/>
  </r>
  <r>
    <n v="2019"/>
    <x v="0"/>
    <n v="18"/>
    <x v="7"/>
    <n v="0"/>
    <n v="28500"/>
    <n v="0"/>
  </r>
  <r>
    <n v="2019"/>
    <x v="0"/>
    <n v="18"/>
    <x v="8"/>
    <n v="0"/>
    <n v="28500"/>
    <n v="0"/>
  </r>
  <r>
    <n v="2019"/>
    <x v="0"/>
    <n v="18"/>
    <x v="9"/>
    <n v="4603.5"/>
    <n v="28500"/>
    <n v="0.16152631578947368"/>
  </r>
  <r>
    <n v="2019"/>
    <x v="0"/>
    <n v="18"/>
    <x v="10"/>
    <n v="23873.5"/>
    <n v="28500"/>
    <n v="0.83766666666666667"/>
  </r>
  <r>
    <n v="2019"/>
    <x v="0"/>
    <n v="18"/>
    <x v="11"/>
    <n v="27623"/>
    <n v="28500"/>
    <n v="0.96922807017543855"/>
  </r>
  <r>
    <n v="2019"/>
    <x v="0"/>
    <n v="18"/>
    <x v="12"/>
    <n v="30037"/>
    <n v="28500"/>
    <n v="1.0539298245614035"/>
  </r>
  <r>
    <n v="2019"/>
    <x v="0"/>
    <n v="18"/>
    <x v="13"/>
    <n v="22149.5"/>
    <n v="28500"/>
    <n v="0.77717543859649119"/>
  </r>
  <r>
    <n v="2019"/>
    <x v="0"/>
    <n v="18"/>
    <x v="14"/>
    <n v="20435.5"/>
    <n v="28500"/>
    <n v="0.71703508771929825"/>
  </r>
  <r>
    <n v="2019"/>
    <x v="0"/>
    <n v="18"/>
    <x v="15"/>
    <n v="2940.5"/>
    <n v="28500"/>
    <n v="0.10317543859649123"/>
  </r>
  <r>
    <n v="2019"/>
    <x v="0"/>
    <n v="18"/>
    <x v="16"/>
    <n v="0"/>
    <n v="28500"/>
    <n v="0"/>
  </r>
  <r>
    <n v="2019"/>
    <x v="0"/>
    <n v="18"/>
    <x v="17"/>
    <n v="0"/>
    <n v="28500"/>
    <n v="0"/>
  </r>
  <r>
    <n v="2019"/>
    <x v="0"/>
    <n v="18"/>
    <x v="18"/>
    <n v="0"/>
    <n v="28500"/>
    <n v="0"/>
  </r>
  <r>
    <n v="2019"/>
    <x v="0"/>
    <n v="18"/>
    <x v="19"/>
    <n v="0"/>
    <n v="28500"/>
    <n v="0"/>
  </r>
  <r>
    <n v="2019"/>
    <x v="0"/>
    <n v="18"/>
    <x v="20"/>
    <n v="0"/>
    <n v="28500"/>
    <n v="0"/>
  </r>
  <r>
    <n v="2019"/>
    <x v="0"/>
    <n v="18"/>
    <x v="21"/>
    <n v="0"/>
    <n v="28500"/>
    <n v="0"/>
  </r>
  <r>
    <n v="2019"/>
    <x v="0"/>
    <n v="18"/>
    <x v="22"/>
    <n v="0"/>
    <n v="28500"/>
    <n v="0"/>
  </r>
  <r>
    <n v="2019"/>
    <x v="0"/>
    <n v="18"/>
    <x v="23"/>
    <n v="0"/>
    <n v="28500"/>
    <n v="0"/>
  </r>
  <r>
    <n v="2019"/>
    <x v="0"/>
    <n v="19"/>
    <x v="0"/>
    <n v="0"/>
    <n v="28500"/>
    <n v="0"/>
  </r>
  <r>
    <n v="2019"/>
    <x v="0"/>
    <n v="19"/>
    <x v="1"/>
    <n v="0"/>
    <n v="28500"/>
    <n v="0"/>
  </r>
  <r>
    <n v="2019"/>
    <x v="0"/>
    <n v="19"/>
    <x v="2"/>
    <n v="0"/>
    <n v="28500"/>
    <n v="0"/>
  </r>
  <r>
    <n v="2019"/>
    <x v="0"/>
    <n v="19"/>
    <x v="3"/>
    <n v="0"/>
    <n v="28500"/>
    <n v="0"/>
  </r>
  <r>
    <n v="2019"/>
    <x v="0"/>
    <n v="19"/>
    <x v="4"/>
    <n v="0"/>
    <n v="28500"/>
    <n v="0"/>
  </r>
  <r>
    <n v="2019"/>
    <x v="0"/>
    <n v="19"/>
    <x v="5"/>
    <n v="0"/>
    <n v="28500"/>
    <n v="0"/>
  </r>
  <r>
    <n v="2019"/>
    <x v="0"/>
    <n v="19"/>
    <x v="6"/>
    <n v="0"/>
    <n v="28500"/>
    <n v="0"/>
  </r>
  <r>
    <n v="2019"/>
    <x v="0"/>
    <n v="19"/>
    <x v="7"/>
    <n v="0"/>
    <n v="28500"/>
    <n v="0"/>
  </r>
  <r>
    <n v="2019"/>
    <x v="0"/>
    <n v="19"/>
    <x v="8"/>
    <n v="0"/>
    <n v="28500"/>
    <n v="0"/>
  </r>
  <r>
    <n v="2019"/>
    <x v="0"/>
    <n v="19"/>
    <x v="9"/>
    <n v="4093.5"/>
    <n v="28500"/>
    <n v="0.14363157894736842"/>
  </r>
  <r>
    <n v="2019"/>
    <x v="0"/>
    <n v="19"/>
    <x v="10"/>
    <n v="2052.5"/>
    <n v="28500"/>
    <n v="7.2017543859649119E-2"/>
  </r>
  <r>
    <n v="2019"/>
    <x v="0"/>
    <n v="19"/>
    <x v="11"/>
    <n v="3420.5"/>
    <n v="28500"/>
    <n v="0.12001754385964912"/>
  </r>
  <r>
    <n v="2019"/>
    <x v="0"/>
    <n v="19"/>
    <x v="12"/>
    <n v="2353"/>
    <n v="28500"/>
    <n v="8.2561403508771933E-2"/>
  </r>
  <r>
    <n v="2019"/>
    <x v="0"/>
    <n v="19"/>
    <x v="13"/>
    <n v="1472"/>
    <n v="28500"/>
    <n v="5.1649122807017542E-2"/>
  </r>
  <r>
    <n v="2019"/>
    <x v="0"/>
    <n v="19"/>
    <x v="14"/>
    <n v="2465.5"/>
    <n v="28500"/>
    <n v="8.6508771929824563E-2"/>
  </r>
  <r>
    <n v="2019"/>
    <x v="0"/>
    <n v="19"/>
    <x v="15"/>
    <n v="6839.5"/>
    <n v="28500"/>
    <n v="0.23998245614035088"/>
  </r>
  <r>
    <n v="2019"/>
    <x v="0"/>
    <n v="19"/>
    <x v="16"/>
    <n v="0"/>
    <n v="28500"/>
    <n v="0"/>
  </r>
  <r>
    <n v="2019"/>
    <x v="0"/>
    <n v="19"/>
    <x v="17"/>
    <n v="0"/>
    <n v="28500"/>
    <n v="0"/>
  </r>
  <r>
    <n v="2019"/>
    <x v="0"/>
    <n v="19"/>
    <x v="18"/>
    <n v="0"/>
    <n v="28500"/>
    <n v="0"/>
  </r>
  <r>
    <n v="2019"/>
    <x v="0"/>
    <n v="19"/>
    <x v="19"/>
    <n v="0"/>
    <n v="28500"/>
    <n v="0"/>
  </r>
  <r>
    <n v="2019"/>
    <x v="0"/>
    <n v="19"/>
    <x v="20"/>
    <n v="0"/>
    <n v="28500"/>
    <n v="0"/>
  </r>
  <r>
    <n v="2019"/>
    <x v="0"/>
    <n v="19"/>
    <x v="21"/>
    <n v="0"/>
    <n v="28500"/>
    <n v="0"/>
  </r>
  <r>
    <n v="2019"/>
    <x v="0"/>
    <n v="19"/>
    <x v="22"/>
    <n v="0"/>
    <n v="28500"/>
    <n v="0"/>
  </r>
  <r>
    <n v="2019"/>
    <x v="0"/>
    <n v="19"/>
    <x v="23"/>
    <n v="0"/>
    <n v="28500"/>
    <n v="0"/>
  </r>
  <r>
    <n v="2019"/>
    <x v="0"/>
    <n v="20"/>
    <x v="0"/>
    <n v="0"/>
    <n v="28500"/>
    <n v="0"/>
  </r>
  <r>
    <n v="2019"/>
    <x v="0"/>
    <n v="20"/>
    <x v="1"/>
    <n v="0"/>
    <n v="28500"/>
    <n v="0"/>
  </r>
  <r>
    <n v="2019"/>
    <x v="0"/>
    <n v="20"/>
    <x v="2"/>
    <n v="0"/>
    <n v="28500"/>
    <n v="0"/>
  </r>
  <r>
    <n v="2019"/>
    <x v="0"/>
    <n v="20"/>
    <x v="3"/>
    <n v="0"/>
    <n v="28500"/>
    <n v="0"/>
  </r>
  <r>
    <n v="2019"/>
    <x v="0"/>
    <n v="20"/>
    <x v="4"/>
    <n v="0"/>
    <n v="28500"/>
    <n v="0"/>
  </r>
  <r>
    <n v="2019"/>
    <x v="0"/>
    <n v="20"/>
    <x v="5"/>
    <n v="0"/>
    <n v="28500"/>
    <n v="0"/>
  </r>
  <r>
    <n v="2019"/>
    <x v="0"/>
    <n v="20"/>
    <x v="6"/>
    <n v="0"/>
    <n v="28500"/>
    <n v="0"/>
  </r>
  <r>
    <n v="2019"/>
    <x v="0"/>
    <n v="20"/>
    <x v="7"/>
    <n v="0"/>
    <n v="28500"/>
    <n v="0"/>
  </r>
  <r>
    <n v="2019"/>
    <x v="0"/>
    <n v="20"/>
    <x v="8"/>
    <n v="0"/>
    <n v="28500"/>
    <n v="0"/>
  </r>
  <r>
    <n v="2019"/>
    <x v="0"/>
    <n v="20"/>
    <x v="9"/>
    <n v="18528.5"/>
    <n v="28500"/>
    <n v="0.65012280701754388"/>
  </r>
  <r>
    <n v="2019"/>
    <x v="0"/>
    <n v="20"/>
    <x v="10"/>
    <n v="28105"/>
    <n v="28500"/>
    <n v="0.98614035087719298"/>
  </r>
  <r>
    <n v="2019"/>
    <x v="0"/>
    <n v="20"/>
    <x v="11"/>
    <n v="32541"/>
    <n v="28500"/>
    <n v="1.1417894736842105"/>
  </r>
  <r>
    <n v="2019"/>
    <x v="0"/>
    <n v="20"/>
    <x v="12"/>
    <n v="35012"/>
    <n v="28500"/>
    <n v="1.2284912280701754"/>
  </r>
  <r>
    <n v="2019"/>
    <x v="0"/>
    <n v="20"/>
    <x v="13"/>
    <n v="32997.5"/>
    <n v="28500"/>
    <n v="1.1578070175438597"/>
  </r>
  <r>
    <n v="2019"/>
    <x v="0"/>
    <n v="20"/>
    <x v="14"/>
    <n v="28005"/>
    <n v="28500"/>
    <n v="0.98263157894736841"/>
  </r>
  <r>
    <n v="2019"/>
    <x v="0"/>
    <n v="20"/>
    <x v="15"/>
    <n v="17949"/>
    <n v="28500"/>
    <n v="0.62978947368421057"/>
  </r>
  <r>
    <n v="2019"/>
    <x v="0"/>
    <n v="20"/>
    <x v="16"/>
    <n v="0"/>
    <n v="28500"/>
    <n v="0"/>
  </r>
  <r>
    <n v="2019"/>
    <x v="0"/>
    <n v="20"/>
    <x v="17"/>
    <n v="0"/>
    <n v="28500"/>
    <n v="0"/>
  </r>
  <r>
    <n v="2019"/>
    <x v="0"/>
    <n v="20"/>
    <x v="18"/>
    <n v="0"/>
    <n v="28500"/>
    <n v="0"/>
  </r>
  <r>
    <n v="2019"/>
    <x v="0"/>
    <n v="20"/>
    <x v="19"/>
    <n v="0"/>
    <n v="28500"/>
    <n v="0"/>
  </r>
  <r>
    <n v="2019"/>
    <x v="0"/>
    <n v="20"/>
    <x v="20"/>
    <n v="0"/>
    <n v="28500"/>
    <n v="0"/>
  </r>
  <r>
    <n v="2019"/>
    <x v="0"/>
    <n v="20"/>
    <x v="21"/>
    <n v="0"/>
    <n v="28500"/>
    <n v="0"/>
  </r>
  <r>
    <n v="2019"/>
    <x v="0"/>
    <n v="20"/>
    <x v="22"/>
    <n v="0"/>
    <n v="28500"/>
    <n v="0"/>
  </r>
  <r>
    <n v="2019"/>
    <x v="0"/>
    <n v="20"/>
    <x v="23"/>
    <n v="0"/>
    <n v="28500"/>
    <n v="0"/>
  </r>
  <r>
    <n v="2019"/>
    <x v="0"/>
    <n v="21"/>
    <x v="0"/>
    <n v="0"/>
    <n v="28500"/>
    <n v="0"/>
  </r>
  <r>
    <n v="2019"/>
    <x v="0"/>
    <n v="21"/>
    <x v="1"/>
    <n v="0"/>
    <n v="28500"/>
    <n v="0"/>
  </r>
  <r>
    <n v="2019"/>
    <x v="0"/>
    <n v="21"/>
    <x v="2"/>
    <n v="0"/>
    <n v="28500"/>
    <n v="0"/>
  </r>
  <r>
    <n v="2019"/>
    <x v="0"/>
    <n v="21"/>
    <x v="3"/>
    <n v="0"/>
    <n v="28500"/>
    <n v="0"/>
  </r>
  <r>
    <n v="2019"/>
    <x v="0"/>
    <n v="21"/>
    <x v="4"/>
    <n v="0"/>
    <n v="28500"/>
    <n v="0"/>
  </r>
  <r>
    <n v="2019"/>
    <x v="0"/>
    <n v="21"/>
    <x v="5"/>
    <n v="0"/>
    <n v="28500"/>
    <n v="0"/>
  </r>
  <r>
    <n v="2019"/>
    <x v="0"/>
    <n v="21"/>
    <x v="6"/>
    <n v="0"/>
    <n v="28500"/>
    <n v="0"/>
  </r>
  <r>
    <n v="2019"/>
    <x v="0"/>
    <n v="21"/>
    <x v="7"/>
    <n v="0"/>
    <n v="28500"/>
    <n v="0"/>
  </r>
  <r>
    <n v="2019"/>
    <x v="0"/>
    <n v="21"/>
    <x v="8"/>
    <n v="0"/>
    <n v="28500"/>
    <n v="0"/>
  </r>
  <r>
    <n v="2019"/>
    <x v="0"/>
    <n v="21"/>
    <x v="9"/>
    <n v="10398"/>
    <n v="28500"/>
    <n v="0.36484210526315791"/>
  </r>
  <r>
    <n v="2019"/>
    <x v="0"/>
    <n v="21"/>
    <x v="10"/>
    <n v="9172"/>
    <n v="28500"/>
    <n v="0.32182456140350879"/>
  </r>
  <r>
    <n v="2019"/>
    <x v="0"/>
    <n v="21"/>
    <x v="11"/>
    <n v="24233.5"/>
    <n v="28500"/>
    <n v="0.85029824561403511"/>
  </r>
  <r>
    <n v="2019"/>
    <x v="0"/>
    <n v="21"/>
    <x v="12"/>
    <n v="29716.5"/>
    <n v="28500"/>
    <n v="1.0426842105263159"/>
  </r>
  <r>
    <n v="2019"/>
    <x v="0"/>
    <n v="21"/>
    <x v="13"/>
    <n v="25818"/>
    <n v="28500"/>
    <n v="0.90589473684210531"/>
  </r>
  <r>
    <n v="2019"/>
    <x v="0"/>
    <n v="21"/>
    <x v="14"/>
    <n v="23190.5"/>
    <n v="28500"/>
    <n v="0.81370175438596493"/>
  </r>
  <r>
    <n v="2019"/>
    <x v="0"/>
    <n v="21"/>
    <x v="15"/>
    <n v="10210.5"/>
    <n v="28500"/>
    <n v="0.35826315789473684"/>
  </r>
  <r>
    <n v="2019"/>
    <x v="0"/>
    <n v="21"/>
    <x v="16"/>
    <n v="0"/>
    <n v="28500"/>
    <n v="0"/>
  </r>
  <r>
    <n v="2019"/>
    <x v="0"/>
    <n v="21"/>
    <x v="17"/>
    <n v="0"/>
    <n v="28500"/>
    <n v="0"/>
  </r>
  <r>
    <n v="2019"/>
    <x v="0"/>
    <n v="21"/>
    <x v="18"/>
    <n v="0"/>
    <n v="28500"/>
    <n v="0"/>
  </r>
  <r>
    <n v="2019"/>
    <x v="0"/>
    <n v="21"/>
    <x v="19"/>
    <n v="0"/>
    <n v="28500"/>
    <n v="0"/>
  </r>
  <r>
    <n v="2019"/>
    <x v="0"/>
    <n v="21"/>
    <x v="20"/>
    <n v="0"/>
    <n v="28500"/>
    <n v="0"/>
  </r>
  <r>
    <n v="2019"/>
    <x v="0"/>
    <n v="21"/>
    <x v="21"/>
    <n v="0"/>
    <n v="28500"/>
    <n v="0"/>
  </r>
  <r>
    <n v="2019"/>
    <x v="0"/>
    <n v="21"/>
    <x v="22"/>
    <n v="0"/>
    <n v="28500"/>
    <n v="0"/>
  </r>
  <r>
    <n v="2019"/>
    <x v="0"/>
    <n v="21"/>
    <x v="23"/>
    <n v="0"/>
    <n v="28500"/>
    <n v="0"/>
  </r>
  <r>
    <n v="2019"/>
    <x v="0"/>
    <n v="22"/>
    <x v="0"/>
    <n v="0"/>
    <n v="28500"/>
    <n v="0"/>
  </r>
  <r>
    <n v="2019"/>
    <x v="0"/>
    <n v="22"/>
    <x v="1"/>
    <n v="0"/>
    <n v="28500"/>
    <n v="0"/>
  </r>
  <r>
    <n v="2019"/>
    <x v="0"/>
    <n v="22"/>
    <x v="2"/>
    <n v="0"/>
    <n v="28500"/>
    <n v="0"/>
  </r>
  <r>
    <n v="2019"/>
    <x v="0"/>
    <n v="22"/>
    <x v="3"/>
    <n v="0"/>
    <n v="28500"/>
    <n v="0"/>
  </r>
  <r>
    <n v="2019"/>
    <x v="0"/>
    <n v="22"/>
    <x v="4"/>
    <n v="0"/>
    <n v="28500"/>
    <n v="0"/>
  </r>
  <r>
    <n v="2019"/>
    <x v="0"/>
    <n v="22"/>
    <x v="5"/>
    <n v="0"/>
    <n v="28500"/>
    <n v="0"/>
  </r>
  <r>
    <n v="2019"/>
    <x v="0"/>
    <n v="22"/>
    <x v="6"/>
    <n v="0"/>
    <n v="28500"/>
    <n v="0"/>
  </r>
  <r>
    <n v="2019"/>
    <x v="0"/>
    <n v="22"/>
    <x v="7"/>
    <n v="0"/>
    <n v="28500"/>
    <n v="0"/>
  </r>
  <r>
    <n v="2019"/>
    <x v="0"/>
    <n v="22"/>
    <x v="8"/>
    <n v="0"/>
    <n v="28500"/>
    <n v="0"/>
  </r>
  <r>
    <n v="2019"/>
    <x v="0"/>
    <n v="22"/>
    <x v="9"/>
    <n v="17187"/>
    <n v="28500"/>
    <n v="0.6030526315789474"/>
  </r>
  <r>
    <n v="2019"/>
    <x v="0"/>
    <n v="22"/>
    <x v="10"/>
    <n v="28572"/>
    <n v="28500"/>
    <n v="1.0025263157894737"/>
  </r>
  <r>
    <n v="2019"/>
    <x v="0"/>
    <n v="22"/>
    <x v="11"/>
    <n v="31439.5"/>
    <n v="28500"/>
    <n v="1.1031403508771931"/>
  </r>
  <r>
    <n v="2019"/>
    <x v="0"/>
    <n v="22"/>
    <x v="12"/>
    <n v="33534.5"/>
    <n v="28500"/>
    <n v="1.1766491228070175"/>
  </r>
  <r>
    <n v="2019"/>
    <x v="0"/>
    <n v="22"/>
    <x v="13"/>
    <n v="30982.5"/>
    <n v="28500"/>
    <n v="1.0871052631578948"/>
  </r>
  <r>
    <n v="2019"/>
    <x v="0"/>
    <n v="22"/>
    <x v="14"/>
    <n v="28335"/>
    <n v="28500"/>
    <n v="0.99421052631578943"/>
  </r>
  <r>
    <n v="2019"/>
    <x v="0"/>
    <n v="22"/>
    <x v="15"/>
    <n v="757"/>
    <n v="28500"/>
    <n v="2.6561403508771928E-2"/>
  </r>
  <r>
    <n v="2019"/>
    <x v="0"/>
    <n v="22"/>
    <x v="16"/>
    <n v="0"/>
    <n v="28500"/>
    <n v="0"/>
  </r>
  <r>
    <n v="2019"/>
    <x v="0"/>
    <n v="22"/>
    <x v="17"/>
    <n v="0"/>
    <n v="28500"/>
    <n v="0"/>
  </r>
  <r>
    <n v="2019"/>
    <x v="0"/>
    <n v="22"/>
    <x v="18"/>
    <n v="0"/>
    <n v="28500"/>
    <n v="0"/>
  </r>
  <r>
    <n v="2019"/>
    <x v="0"/>
    <n v="22"/>
    <x v="19"/>
    <n v="0"/>
    <n v="28500"/>
    <n v="0"/>
  </r>
  <r>
    <n v="2019"/>
    <x v="0"/>
    <n v="22"/>
    <x v="20"/>
    <n v="0"/>
    <n v="28500"/>
    <n v="0"/>
  </r>
  <r>
    <n v="2019"/>
    <x v="0"/>
    <n v="22"/>
    <x v="21"/>
    <n v="0"/>
    <n v="28500"/>
    <n v="0"/>
  </r>
  <r>
    <n v="2019"/>
    <x v="0"/>
    <n v="22"/>
    <x v="22"/>
    <n v="0"/>
    <n v="28500"/>
    <n v="0"/>
  </r>
  <r>
    <n v="2019"/>
    <x v="0"/>
    <n v="22"/>
    <x v="23"/>
    <n v="0"/>
    <n v="28500"/>
    <n v="0"/>
  </r>
  <r>
    <n v="2019"/>
    <x v="0"/>
    <n v="23"/>
    <x v="0"/>
    <n v="0"/>
    <n v="28500"/>
    <n v="0"/>
  </r>
  <r>
    <n v="2019"/>
    <x v="0"/>
    <n v="23"/>
    <x v="1"/>
    <n v="0"/>
    <n v="28500"/>
    <n v="0"/>
  </r>
  <r>
    <n v="2019"/>
    <x v="0"/>
    <n v="23"/>
    <x v="2"/>
    <n v="0"/>
    <n v="28500"/>
    <n v="0"/>
  </r>
  <r>
    <n v="2019"/>
    <x v="0"/>
    <n v="23"/>
    <x v="3"/>
    <n v="0"/>
    <n v="28500"/>
    <n v="0"/>
  </r>
  <r>
    <n v="2019"/>
    <x v="0"/>
    <n v="23"/>
    <x v="4"/>
    <n v="0"/>
    <n v="28500"/>
    <n v="0"/>
  </r>
  <r>
    <n v="2019"/>
    <x v="0"/>
    <n v="23"/>
    <x v="5"/>
    <n v="0"/>
    <n v="28500"/>
    <n v="0"/>
  </r>
  <r>
    <n v="2019"/>
    <x v="0"/>
    <n v="23"/>
    <x v="6"/>
    <n v="0"/>
    <n v="28500"/>
    <n v="0"/>
  </r>
  <r>
    <n v="2019"/>
    <x v="0"/>
    <n v="23"/>
    <x v="7"/>
    <n v="0"/>
    <n v="28500"/>
    <n v="0"/>
  </r>
  <r>
    <n v="2019"/>
    <x v="0"/>
    <n v="23"/>
    <x v="8"/>
    <n v="0"/>
    <n v="28500"/>
    <n v="0"/>
  </r>
  <r>
    <n v="2019"/>
    <x v="0"/>
    <n v="23"/>
    <x v="9"/>
    <n v="1854"/>
    <n v="28500"/>
    <n v="6.5052631578947362E-2"/>
  </r>
  <r>
    <n v="2019"/>
    <x v="0"/>
    <n v="23"/>
    <x v="10"/>
    <n v="6302.5"/>
    <n v="28500"/>
    <n v="0.22114035087719297"/>
  </r>
  <r>
    <n v="2019"/>
    <x v="0"/>
    <n v="23"/>
    <x v="11"/>
    <n v="1457"/>
    <n v="28500"/>
    <n v="5.1122807017543861E-2"/>
  </r>
  <r>
    <n v="2019"/>
    <x v="0"/>
    <n v="23"/>
    <x v="12"/>
    <n v="2690.5"/>
    <n v="28500"/>
    <n v="9.4403508771929823E-2"/>
  </r>
  <r>
    <n v="2019"/>
    <x v="0"/>
    <n v="23"/>
    <x v="13"/>
    <n v="2136"/>
    <n v="28500"/>
    <n v="7.4947368421052638E-2"/>
  </r>
  <r>
    <n v="2019"/>
    <x v="0"/>
    <n v="23"/>
    <x v="14"/>
    <n v="1979"/>
    <n v="28500"/>
    <n v="6.9438596491228063E-2"/>
  </r>
  <r>
    <n v="2019"/>
    <x v="0"/>
    <n v="23"/>
    <x v="15"/>
    <n v="2674.5"/>
    <n v="28500"/>
    <n v="9.3842105263157893E-2"/>
  </r>
  <r>
    <n v="2019"/>
    <x v="0"/>
    <n v="23"/>
    <x v="16"/>
    <n v="0"/>
    <n v="28500"/>
    <n v="0"/>
  </r>
  <r>
    <n v="2019"/>
    <x v="0"/>
    <n v="23"/>
    <x v="17"/>
    <n v="0"/>
    <n v="28500"/>
    <n v="0"/>
  </r>
  <r>
    <n v="2019"/>
    <x v="0"/>
    <n v="23"/>
    <x v="18"/>
    <n v="0"/>
    <n v="28500"/>
    <n v="0"/>
  </r>
  <r>
    <n v="2019"/>
    <x v="0"/>
    <n v="23"/>
    <x v="19"/>
    <n v="0"/>
    <n v="28500"/>
    <n v="0"/>
  </r>
  <r>
    <n v="2019"/>
    <x v="0"/>
    <n v="23"/>
    <x v="20"/>
    <n v="0"/>
    <n v="28500"/>
    <n v="0"/>
  </r>
  <r>
    <n v="2019"/>
    <x v="0"/>
    <n v="23"/>
    <x v="21"/>
    <n v="0"/>
    <n v="28500"/>
    <n v="0"/>
  </r>
  <r>
    <n v="2019"/>
    <x v="0"/>
    <n v="23"/>
    <x v="22"/>
    <n v="0"/>
    <n v="28500"/>
    <n v="0"/>
  </r>
  <r>
    <n v="2019"/>
    <x v="0"/>
    <n v="23"/>
    <x v="23"/>
    <n v="0"/>
    <n v="28500"/>
    <n v="0"/>
  </r>
  <r>
    <n v="2019"/>
    <x v="0"/>
    <n v="24"/>
    <x v="0"/>
    <n v="0"/>
    <n v="28500"/>
    <n v="0"/>
  </r>
  <r>
    <n v="2019"/>
    <x v="0"/>
    <n v="24"/>
    <x v="1"/>
    <n v="0"/>
    <n v="28500"/>
    <n v="0"/>
  </r>
  <r>
    <n v="2019"/>
    <x v="0"/>
    <n v="24"/>
    <x v="2"/>
    <n v="0"/>
    <n v="28500"/>
    <n v="0"/>
  </r>
  <r>
    <n v="2019"/>
    <x v="0"/>
    <n v="24"/>
    <x v="3"/>
    <n v="0"/>
    <n v="28500"/>
    <n v="0"/>
  </r>
  <r>
    <n v="2019"/>
    <x v="0"/>
    <n v="24"/>
    <x v="4"/>
    <n v="0"/>
    <n v="28500"/>
    <n v="0"/>
  </r>
  <r>
    <n v="2019"/>
    <x v="0"/>
    <n v="24"/>
    <x v="5"/>
    <n v="0"/>
    <n v="28500"/>
    <n v="0"/>
  </r>
  <r>
    <n v="2019"/>
    <x v="0"/>
    <n v="24"/>
    <x v="6"/>
    <n v="0"/>
    <n v="28500"/>
    <n v="0"/>
  </r>
  <r>
    <n v="2019"/>
    <x v="0"/>
    <n v="24"/>
    <x v="7"/>
    <n v="0"/>
    <n v="28500"/>
    <n v="0"/>
  </r>
  <r>
    <n v="2019"/>
    <x v="0"/>
    <n v="24"/>
    <x v="8"/>
    <n v="0"/>
    <n v="28500"/>
    <n v="0"/>
  </r>
  <r>
    <n v="2019"/>
    <x v="0"/>
    <n v="24"/>
    <x v="9"/>
    <n v="2435"/>
    <n v="28500"/>
    <n v="8.5438596491228064E-2"/>
  </r>
  <r>
    <n v="2019"/>
    <x v="0"/>
    <n v="24"/>
    <x v="10"/>
    <n v="2214.5"/>
    <n v="28500"/>
    <n v="7.7701754385964911E-2"/>
  </r>
  <r>
    <n v="2019"/>
    <x v="0"/>
    <n v="24"/>
    <x v="11"/>
    <n v="2012.5"/>
    <n v="28500"/>
    <n v="7.0614035087719296E-2"/>
  </r>
  <r>
    <n v="2019"/>
    <x v="0"/>
    <n v="24"/>
    <x v="12"/>
    <n v="2860.5"/>
    <n v="28500"/>
    <n v="0.10036842105263158"/>
  </r>
  <r>
    <n v="2019"/>
    <x v="0"/>
    <n v="24"/>
    <x v="13"/>
    <n v="1619.5"/>
    <n v="28500"/>
    <n v="5.6824561403508771E-2"/>
  </r>
  <r>
    <n v="2019"/>
    <x v="0"/>
    <n v="24"/>
    <x v="14"/>
    <n v="2100.5"/>
    <n v="28500"/>
    <n v="7.3701754385964907E-2"/>
  </r>
  <r>
    <n v="2019"/>
    <x v="0"/>
    <n v="24"/>
    <x v="15"/>
    <n v="9214.5"/>
    <n v="28500"/>
    <n v="0.32331578947368422"/>
  </r>
  <r>
    <n v="2019"/>
    <x v="0"/>
    <n v="24"/>
    <x v="16"/>
    <n v="0"/>
    <n v="28500"/>
    <n v="0"/>
  </r>
  <r>
    <n v="2019"/>
    <x v="0"/>
    <n v="24"/>
    <x v="17"/>
    <n v="0"/>
    <n v="28500"/>
    <n v="0"/>
  </r>
  <r>
    <n v="2019"/>
    <x v="0"/>
    <n v="24"/>
    <x v="18"/>
    <n v="0"/>
    <n v="28500"/>
    <n v="0"/>
  </r>
  <r>
    <n v="2019"/>
    <x v="0"/>
    <n v="24"/>
    <x v="19"/>
    <n v="0"/>
    <n v="28500"/>
    <n v="0"/>
  </r>
  <r>
    <n v="2019"/>
    <x v="0"/>
    <n v="24"/>
    <x v="20"/>
    <n v="0"/>
    <n v="28500"/>
    <n v="0"/>
  </r>
  <r>
    <n v="2019"/>
    <x v="0"/>
    <n v="24"/>
    <x v="21"/>
    <n v="0"/>
    <n v="28500"/>
    <n v="0"/>
  </r>
  <r>
    <n v="2019"/>
    <x v="0"/>
    <n v="24"/>
    <x v="22"/>
    <n v="0"/>
    <n v="28500"/>
    <n v="0"/>
  </r>
  <r>
    <n v="2019"/>
    <x v="0"/>
    <n v="24"/>
    <x v="23"/>
    <n v="0"/>
    <n v="28500"/>
    <n v="0"/>
  </r>
  <r>
    <n v="2019"/>
    <x v="0"/>
    <n v="25"/>
    <x v="0"/>
    <n v="0"/>
    <n v="28500"/>
    <n v="0"/>
  </r>
  <r>
    <n v="2019"/>
    <x v="0"/>
    <n v="25"/>
    <x v="1"/>
    <n v="0"/>
    <n v="28500"/>
    <n v="0"/>
  </r>
  <r>
    <n v="2019"/>
    <x v="0"/>
    <n v="25"/>
    <x v="2"/>
    <n v="0"/>
    <n v="28500"/>
    <n v="0"/>
  </r>
  <r>
    <n v="2019"/>
    <x v="0"/>
    <n v="25"/>
    <x v="3"/>
    <n v="0"/>
    <n v="28500"/>
    <n v="0"/>
  </r>
  <r>
    <n v="2019"/>
    <x v="0"/>
    <n v="25"/>
    <x v="4"/>
    <n v="0"/>
    <n v="28500"/>
    <n v="0"/>
  </r>
  <r>
    <n v="2019"/>
    <x v="0"/>
    <n v="25"/>
    <x v="5"/>
    <n v="0"/>
    <n v="28500"/>
    <n v="0"/>
  </r>
  <r>
    <n v="2019"/>
    <x v="0"/>
    <n v="25"/>
    <x v="6"/>
    <n v="0"/>
    <n v="28500"/>
    <n v="0"/>
  </r>
  <r>
    <n v="2019"/>
    <x v="0"/>
    <n v="25"/>
    <x v="7"/>
    <n v="0"/>
    <n v="28500"/>
    <n v="0"/>
  </r>
  <r>
    <n v="2019"/>
    <x v="0"/>
    <n v="25"/>
    <x v="8"/>
    <n v="0"/>
    <n v="28500"/>
    <n v="0"/>
  </r>
  <r>
    <n v="2019"/>
    <x v="0"/>
    <n v="25"/>
    <x v="9"/>
    <n v="17805.5"/>
    <n v="28500"/>
    <n v="0.62475438596491228"/>
  </r>
  <r>
    <n v="2019"/>
    <x v="0"/>
    <n v="25"/>
    <x v="10"/>
    <n v="2661"/>
    <n v="28500"/>
    <n v="9.3368421052631573E-2"/>
  </r>
  <r>
    <n v="2019"/>
    <x v="0"/>
    <n v="25"/>
    <x v="11"/>
    <n v="5421.5"/>
    <n v="28500"/>
    <n v="0.19022807017543861"/>
  </r>
  <r>
    <n v="2019"/>
    <x v="0"/>
    <n v="25"/>
    <x v="12"/>
    <n v="9425"/>
    <n v="28500"/>
    <n v="0.33070175438596489"/>
  </r>
  <r>
    <n v="2019"/>
    <x v="0"/>
    <n v="25"/>
    <x v="13"/>
    <n v="8061"/>
    <n v="28500"/>
    <n v="0.28284210526315789"/>
  </r>
  <r>
    <n v="2019"/>
    <x v="0"/>
    <n v="25"/>
    <x v="14"/>
    <n v="5916"/>
    <n v="28500"/>
    <n v="0.20757894736842106"/>
  </r>
  <r>
    <n v="2019"/>
    <x v="0"/>
    <n v="25"/>
    <x v="15"/>
    <n v="1813.5"/>
    <n v="28500"/>
    <n v="6.3631578947368428E-2"/>
  </r>
  <r>
    <n v="2019"/>
    <x v="0"/>
    <n v="25"/>
    <x v="16"/>
    <n v="0"/>
    <n v="28500"/>
    <n v="0"/>
  </r>
  <r>
    <n v="2019"/>
    <x v="0"/>
    <n v="25"/>
    <x v="17"/>
    <n v="0"/>
    <n v="28500"/>
    <n v="0"/>
  </r>
  <r>
    <n v="2019"/>
    <x v="0"/>
    <n v="25"/>
    <x v="18"/>
    <n v="0"/>
    <n v="28500"/>
    <n v="0"/>
  </r>
  <r>
    <n v="2019"/>
    <x v="0"/>
    <n v="25"/>
    <x v="19"/>
    <n v="0"/>
    <n v="28500"/>
    <n v="0"/>
  </r>
  <r>
    <n v="2019"/>
    <x v="0"/>
    <n v="25"/>
    <x v="20"/>
    <n v="0"/>
    <n v="28500"/>
    <n v="0"/>
  </r>
  <r>
    <n v="2019"/>
    <x v="0"/>
    <n v="25"/>
    <x v="21"/>
    <n v="0"/>
    <n v="28500"/>
    <n v="0"/>
  </r>
  <r>
    <n v="2019"/>
    <x v="0"/>
    <n v="25"/>
    <x v="22"/>
    <n v="0"/>
    <n v="28500"/>
    <n v="0"/>
  </r>
  <r>
    <n v="2019"/>
    <x v="0"/>
    <n v="25"/>
    <x v="23"/>
    <n v="0"/>
    <n v="28500"/>
    <n v="0"/>
  </r>
  <r>
    <n v="2019"/>
    <x v="0"/>
    <n v="26"/>
    <x v="0"/>
    <n v="0"/>
    <n v="28500"/>
    <n v="0"/>
  </r>
  <r>
    <n v="2019"/>
    <x v="0"/>
    <n v="26"/>
    <x v="1"/>
    <n v="0"/>
    <n v="28500"/>
    <n v="0"/>
  </r>
  <r>
    <n v="2019"/>
    <x v="0"/>
    <n v="26"/>
    <x v="2"/>
    <n v="0"/>
    <n v="28500"/>
    <n v="0"/>
  </r>
  <r>
    <n v="2019"/>
    <x v="0"/>
    <n v="26"/>
    <x v="3"/>
    <n v="0"/>
    <n v="28500"/>
    <n v="0"/>
  </r>
  <r>
    <n v="2019"/>
    <x v="0"/>
    <n v="26"/>
    <x v="4"/>
    <n v="0"/>
    <n v="28500"/>
    <n v="0"/>
  </r>
  <r>
    <n v="2019"/>
    <x v="0"/>
    <n v="26"/>
    <x v="5"/>
    <n v="0"/>
    <n v="28500"/>
    <n v="0"/>
  </r>
  <r>
    <n v="2019"/>
    <x v="0"/>
    <n v="26"/>
    <x v="6"/>
    <n v="0"/>
    <n v="28500"/>
    <n v="0"/>
  </r>
  <r>
    <n v="2019"/>
    <x v="0"/>
    <n v="26"/>
    <x v="7"/>
    <n v="0"/>
    <n v="28500"/>
    <n v="0"/>
  </r>
  <r>
    <n v="2019"/>
    <x v="0"/>
    <n v="26"/>
    <x v="8"/>
    <n v="0"/>
    <n v="28500"/>
    <n v="0"/>
  </r>
  <r>
    <n v="2019"/>
    <x v="0"/>
    <n v="26"/>
    <x v="9"/>
    <n v="1195"/>
    <n v="28500"/>
    <n v="4.1929824561403511E-2"/>
  </r>
  <r>
    <n v="2019"/>
    <x v="0"/>
    <n v="26"/>
    <x v="10"/>
    <n v="6681.5"/>
    <n v="28500"/>
    <n v="0.23443859649122806"/>
  </r>
  <r>
    <n v="2019"/>
    <x v="0"/>
    <n v="26"/>
    <x v="11"/>
    <n v="9961"/>
    <n v="28500"/>
    <n v="0.34950877192982455"/>
  </r>
  <r>
    <n v="2019"/>
    <x v="0"/>
    <n v="26"/>
    <x v="12"/>
    <n v="7351"/>
    <n v="28500"/>
    <n v="0.25792982456140351"/>
  </r>
  <r>
    <n v="2019"/>
    <x v="0"/>
    <n v="26"/>
    <x v="13"/>
    <n v="10991"/>
    <n v="28500"/>
    <n v="0.38564912280701752"/>
  </r>
  <r>
    <n v="2019"/>
    <x v="0"/>
    <n v="26"/>
    <x v="14"/>
    <n v="1042"/>
    <n v="28500"/>
    <n v="3.6561403508771927E-2"/>
  </r>
  <r>
    <n v="2019"/>
    <x v="0"/>
    <n v="26"/>
    <x v="15"/>
    <n v="1929"/>
    <n v="28500"/>
    <n v="6.7684210526315791E-2"/>
  </r>
  <r>
    <n v="2019"/>
    <x v="0"/>
    <n v="26"/>
    <x v="16"/>
    <n v="0"/>
    <n v="28500"/>
    <n v="0"/>
  </r>
  <r>
    <n v="2019"/>
    <x v="0"/>
    <n v="26"/>
    <x v="17"/>
    <n v="0"/>
    <n v="28500"/>
    <n v="0"/>
  </r>
  <r>
    <n v="2019"/>
    <x v="0"/>
    <n v="26"/>
    <x v="18"/>
    <n v="0"/>
    <n v="28500"/>
    <n v="0"/>
  </r>
  <r>
    <n v="2019"/>
    <x v="0"/>
    <n v="26"/>
    <x v="19"/>
    <n v="0"/>
    <n v="28500"/>
    <n v="0"/>
  </r>
  <r>
    <n v="2019"/>
    <x v="0"/>
    <n v="26"/>
    <x v="20"/>
    <n v="0"/>
    <n v="28500"/>
    <n v="0"/>
  </r>
  <r>
    <n v="2019"/>
    <x v="0"/>
    <n v="26"/>
    <x v="21"/>
    <n v="0"/>
    <n v="28500"/>
    <n v="0"/>
  </r>
  <r>
    <n v="2019"/>
    <x v="0"/>
    <n v="26"/>
    <x v="22"/>
    <n v="0"/>
    <n v="28500"/>
    <n v="0"/>
  </r>
  <r>
    <n v="2019"/>
    <x v="0"/>
    <n v="26"/>
    <x v="23"/>
    <n v="0"/>
    <n v="28500"/>
    <n v="0"/>
  </r>
  <r>
    <n v="2019"/>
    <x v="0"/>
    <n v="27"/>
    <x v="0"/>
    <n v="0"/>
    <n v="28500"/>
    <n v="0"/>
  </r>
  <r>
    <n v="2019"/>
    <x v="0"/>
    <n v="27"/>
    <x v="1"/>
    <n v="0"/>
    <n v="28500"/>
    <n v="0"/>
  </r>
  <r>
    <n v="2019"/>
    <x v="0"/>
    <n v="27"/>
    <x v="2"/>
    <n v="0"/>
    <n v="28500"/>
    <n v="0"/>
  </r>
  <r>
    <n v="2019"/>
    <x v="0"/>
    <n v="27"/>
    <x v="3"/>
    <n v="0"/>
    <n v="28500"/>
    <n v="0"/>
  </r>
  <r>
    <n v="2019"/>
    <x v="0"/>
    <n v="27"/>
    <x v="4"/>
    <n v="0"/>
    <n v="28500"/>
    <n v="0"/>
  </r>
  <r>
    <n v="2019"/>
    <x v="0"/>
    <n v="27"/>
    <x v="5"/>
    <n v="0"/>
    <n v="28500"/>
    <n v="0"/>
  </r>
  <r>
    <n v="2019"/>
    <x v="0"/>
    <n v="27"/>
    <x v="6"/>
    <n v="0"/>
    <n v="28500"/>
    <n v="0"/>
  </r>
  <r>
    <n v="2019"/>
    <x v="0"/>
    <n v="27"/>
    <x v="7"/>
    <n v="0"/>
    <n v="28500"/>
    <n v="0"/>
  </r>
  <r>
    <n v="2019"/>
    <x v="0"/>
    <n v="27"/>
    <x v="8"/>
    <n v="15.5"/>
    <n v="28500"/>
    <n v="5.4385964912280699E-4"/>
  </r>
  <r>
    <n v="2019"/>
    <x v="0"/>
    <n v="27"/>
    <x v="9"/>
    <n v="7755"/>
    <n v="28500"/>
    <n v="0.27210526315789474"/>
  </r>
  <r>
    <n v="2019"/>
    <x v="0"/>
    <n v="27"/>
    <x v="10"/>
    <n v="26355.5"/>
    <n v="28500"/>
    <n v="0.92475438596491233"/>
  </r>
  <r>
    <n v="2019"/>
    <x v="0"/>
    <n v="27"/>
    <x v="11"/>
    <n v="6444"/>
    <n v="28500"/>
    <n v="0.22610526315789473"/>
  </r>
  <r>
    <n v="2019"/>
    <x v="0"/>
    <n v="27"/>
    <x v="12"/>
    <n v="1724.5"/>
    <n v="28500"/>
    <n v="6.050877192982456E-2"/>
  </r>
  <r>
    <n v="2019"/>
    <x v="0"/>
    <n v="27"/>
    <x v="13"/>
    <n v="1241.5"/>
    <n v="28500"/>
    <n v="4.3561403508771933E-2"/>
  </r>
  <r>
    <n v="2019"/>
    <x v="0"/>
    <n v="27"/>
    <x v="14"/>
    <n v="689"/>
    <n v="28500"/>
    <n v="2.4175438596491228E-2"/>
  </r>
  <r>
    <n v="2019"/>
    <x v="0"/>
    <n v="27"/>
    <x v="15"/>
    <n v="2828"/>
    <n v="28500"/>
    <n v="9.9228070175438596E-2"/>
  </r>
  <r>
    <n v="2019"/>
    <x v="0"/>
    <n v="27"/>
    <x v="16"/>
    <n v="0"/>
    <n v="28500"/>
    <n v="0"/>
  </r>
  <r>
    <n v="2019"/>
    <x v="0"/>
    <n v="27"/>
    <x v="17"/>
    <n v="0"/>
    <n v="28500"/>
    <n v="0"/>
  </r>
  <r>
    <n v="2019"/>
    <x v="0"/>
    <n v="27"/>
    <x v="18"/>
    <n v="0"/>
    <n v="28500"/>
    <n v="0"/>
  </r>
  <r>
    <n v="2019"/>
    <x v="0"/>
    <n v="27"/>
    <x v="19"/>
    <n v="0"/>
    <n v="28500"/>
    <n v="0"/>
  </r>
  <r>
    <n v="2019"/>
    <x v="0"/>
    <n v="27"/>
    <x v="20"/>
    <n v="0"/>
    <n v="28500"/>
    <n v="0"/>
  </r>
  <r>
    <n v="2019"/>
    <x v="0"/>
    <n v="27"/>
    <x v="21"/>
    <n v="0"/>
    <n v="28500"/>
    <n v="0"/>
  </r>
  <r>
    <n v="2019"/>
    <x v="0"/>
    <n v="27"/>
    <x v="22"/>
    <n v="0"/>
    <n v="28500"/>
    <n v="0"/>
  </r>
  <r>
    <n v="2019"/>
    <x v="0"/>
    <n v="27"/>
    <x v="23"/>
    <n v="0"/>
    <n v="28500"/>
    <n v="0"/>
  </r>
  <r>
    <n v="2019"/>
    <x v="0"/>
    <n v="28"/>
    <x v="0"/>
    <n v="0"/>
    <n v="28500"/>
    <n v="0"/>
  </r>
  <r>
    <n v="2019"/>
    <x v="0"/>
    <n v="28"/>
    <x v="1"/>
    <n v="0"/>
    <n v="28500"/>
    <n v="0"/>
  </r>
  <r>
    <n v="2019"/>
    <x v="0"/>
    <n v="28"/>
    <x v="2"/>
    <n v="0"/>
    <n v="28500"/>
    <n v="0"/>
  </r>
  <r>
    <n v="2019"/>
    <x v="0"/>
    <n v="28"/>
    <x v="3"/>
    <n v="0"/>
    <n v="28500"/>
    <n v="0"/>
  </r>
  <r>
    <n v="2019"/>
    <x v="0"/>
    <n v="28"/>
    <x v="4"/>
    <n v="0"/>
    <n v="28500"/>
    <n v="0"/>
  </r>
  <r>
    <n v="2019"/>
    <x v="0"/>
    <n v="28"/>
    <x v="5"/>
    <n v="0"/>
    <n v="28500"/>
    <n v="0"/>
  </r>
  <r>
    <n v="2019"/>
    <x v="0"/>
    <n v="28"/>
    <x v="6"/>
    <n v="0"/>
    <n v="28500"/>
    <n v="0"/>
  </r>
  <r>
    <n v="2019"/>
    <x v="0"/>
    <n v="28"/>
    <x v="7"/>
    <n v="0"/>
    <n v="28500"/>
    <n v="0"/>
  </r>
  <r>
    <n v="2019"/>
    <x v="0"/>
    <n v="28"/>
    <x v="8"/>
    <n v="102.5"/>
    <n v="28500"/>
    <n v="3.5964912280701754E-3"/>
  </r>
  <r>
    <n v="2019"/>
    <x v="0"/>
    <n v="28"/>
    <x v="9"/>
    <n v="18466.5"/>
    <n v="28500"/>
    <n v="0.64794736842105261"/>
  </r>
  <r>
    <n v="2019"/>
    <x v="0"/>
    <n v="28"/>
    <x v="10"/>
    <n v="28462"/>
    <n v="28500"/>
    <n v="0.9986666666666667"/>
  </r>
  <r>
    <n v="2019"/>
    <x v="0"/>
    <n v="28"/>
    <x v="11"/>
    <n v="32330"/>
    <n v="28500"/>
    <n v="1.1343859649122807"/>
  </r>
  <r>
    <n v="2019"/>
    <x v="0"/>
    <n v="28"/>
    <x v="12"/>
    <n v="32462"/>
    <n v="28500"/>
    <n v="1.139017543859649"/>
  </r>
  <r>
    <n v="2019"/>
    <x v="0"/>
    <n v="28"/>
    <x v="13"/>
    <n v="30881"/>
    <n v="28500"/>
    <n v="1.0835438596491227"/>
  </r>
  <r>
    <n v="2019"/>
    <x v="0"/>
    <n v="28"/>
    <x v="14"/>
    <n v="24170.5"/>
    <n v="28500"/>
    <n v="0.84808771929824567"/>
  </r>
  <r>
    <n v="2019"/>
    <x v="0"/>
    <n v="28"/>
    <x v="15"/>
    <n v="18008.5"/>
    <n v="28500"/>
    <n v="0.63187719298245615"/>
  </r>
  <r>
    <n v="2019"/>
    <x v="0"/>
    <n v="28"/>
    <x v="16"/>
    <n v="452.5"/>
    <n v="28500"/>
    <n v="1.5877192982456139E-2"/>
  </r>
  <r>
    <n v="2019"/>
    <x v="0"/>
    <n v="28"/>
    <x v="17"/>
    <n v="0"/>
    <n v="28500"/>
    <n v="0"/>
  </r>
  <r>
    <n v="2019"/>
    <x v="0"/>
    <n v="28"/>
    <x v="18"/>
    <n v="0"/>
    <n v="28500"/>
    <n v="0"/>
  </r>
  <r>
    <n v="2019"/>
    <x v="0"/>
    <n v="28"/>
    <x v="19"/>
    <n v="0"/>
    <n v="28500"/>
    <n v="0"/>
  </r>
  <r>
    <n v="2019"/>
    <x v="0"/>
    <n v="28"/>
    <x v="20"/>
    <n v="0"/>
    <n v="28500"/>
    <n v="0"/>
  </r>
  <r>
    <n v="2019"/>
    <x v="0"/>
    <n v="28"/>
    <x v="21"/>
    <n v="0"/>
    <n v="28500"/>
    <n v="0"/>
  </r>
  <r>
    <n v="2019"/>
    <x v="0"/>
    <n v="28"/>
    <x v="22"/>
    <n v="0"/>
    <n v="28500"/>
    <n v="0"/>
  </r>
  <r>
    <n v="2019"/>
    <x v="0"/>
    <n v="28"/>
    <x v="23"/>
    <n v="0"/>
    <n v="28500"/>
    <n v="0"/>
  </r>
  <r>
    <n v="2019"/>
    <x v="0"/>
    <n v="29"/>
    <x v="0"/>
    <n v="0"/>
    <n v="28500"/>
    <n v="0"/>
  </r>
  <r>
    <n v="2019"/>
    <x v="0"/>
    <n v="29"/>
    <x v="1"/>
    <n v="0"/>
    <n v="28500"/>
    <n v="0"/>
  </r>
  <r>
    <n v="2019"/>
    <x v="0"/>
    <n v="29"/>
    <x v="2"/>
    <n v="0"/>
    <n v="28500"/>
    <n v="0"/>
  </r>
  <r>
    <n v="2019"/>
    <x v="0"/>
    <n v="29"/>
    <x v="3"/>
    <n v="0"/>
    <n v="28500"/>
    <n v="0"/>
  </r>
  <r>
    <n v="2019"/>
    <x v="0"/>
    <n v="29"/>
    <x v="4"/>
    <n v="0"/>
    <n v="28500"/>
    <n v="0"/>
  </r>
  <r>
    <n v="2019"/>
    <x v="0"/>
    <n v="29"/>
    <x v="5"/>
    <n v="0"/>
    <n v="28500"/>
    <n v="0"/>
  </r>
  <r>
    <n v="2019"/>
    <x v="0"/>
    <n v="29"/>
    <x v="6"/>
    <n v="0"/>
    <n v="28500"/>
    <n v="0"/>
  </r>
  <r>
    <n v="2019"/>
    <x v="0"/>
    <n v="29"/>
    <x v="7"/>
    <n v="0"/>
    <n v="28500"/>
    <n v="0"/>
  </r>
  <r>
    <n v="2019"/>
    <x v="0"/>
    <n v="29"/>
    <x v="8"/>
    <n v="127.5"/>
    <n v="28500"/>
    <n v="4.4736842105263155E-3"/>
  </r>
  <r>
    <n v="2019"/>
    <x v="0"/>
    <n v="29"/>
    <x v="9"/>
    <n v="11278"/>
    <n v="28500"/>
    <n v="0.39571929824561403"/>
  </r>
  <r>
    <n v="2019"/>
    <x v="0"/>
    <n v="29"/>
    <x v="10"/>
    <n v="17675"/>
    <n v="28500"/>
    <n v="0.62017543859649127"/>
  </r>
  <r>
    <n v="2019"/>
    <x v="0"/>
    <n v="29"/>
    <x v="11"/>
    <n v="29598.5"/>
    <n v="28500"/>
    <n v="1.0385438596491228"/>
  </r>
  <r>
    <n v="2019"/>
    <x v="0"/>
    <n v="29"/>
    <x v="12"/>
    <n v="18529"/>
    <n v="28500"/>
    <n v="0.65014035087719302"/>
  </r>
  <r>
    <n v="2019"/>
    <x v="0"/>
    <n v="29"/>
    <x v="13"/>
    <n v="12464.5"/>
    <n v="28500"/>
    <n v="0.43735087719298243"/>
  </r>
  <r>
    <n v="2019"/>
    <x v="0"/>
    <n v="29"/>
    <x v="14"/>
    <n v="6332"/>
    <n v="28500"/>
    <n v="0.22217543859649122"/>
  </r>
  <r>
    <n v="2019"/>
    <x v="0"/>
    <n v="29"/>
    <x v="15"/>
    <n v="7252.5"/>
    <n v="28500"/>
    <n v="0.2544736842105263"/>
  </r>
  <r>
    <n v="2019"/>
    <x v="0"/>
    <n v="29"/>
    <x v="16"/>
    <n v="0"/>
    <n v="28500"/>
    <n v="0"/>
  </r>
  <r>
    <n v="2019"/>
    <x v="0"/>
    <n v="29"/>
    <x v="17"/>
    <n v="0"/>
    <n v="28500"/>
    <n v="0"/>
  </r>
  <r>
    <n v="2019"/>
    <x v="0"/>
    <n v="29"/>
    <x v="18"/>
    <n v="0"/>
    <n v="28500"/>
    <n v="0"/>
  </r>
  <r>
    <n v="2019"/>
    <x v="0"/>
    <n v="29"/>
    <x v="19"/>
    <n v="0"/>
    <n v="28500"/>
    <n v="0"/>
  </r>
  <r>
    <n v="2019"/>
    <x v="0"/>
    <n v="29"/>
    <x v="20"/>
    <n v="0"/>
    <n v="28500"/>
    <n v="0"/>
  </r>
  <r>
    <n v="2019"/>
    <x v="0"/>
    <n v="29"/>
    <x v="21"/>
    <n v="0"/>
    <n v="28500"/>
    <n v="0"/>
  </r>
  <r>
    <n v="2019"/>
    <x v="0"/>
    <n v="29"/>
    <x v="22"/>
    <n v="0"/>
    <n v="28500"/>
    <n v="0"/>
  </r>
  <r>
    <n v="2019"/>
    <x v="0"/>
    <n v="29"/>
    <x v="23"/>
    <n v="0"/>
    <n v="28500"/>
    <n v="0"/>
  </r>
  <r>
    <n v="2019"/>
    <x v="0"/>
    <n v="30"/>
    <x v="0"/>
    <n v="0"/>
    <n v="28500"/>
    <n v="0"/>
  </r>
  <r>
    <n v="2019"/>
    <x v="0"/>
    <n v="30"/>
    <x v="1"/>
    <n v="0"/>
    <n v="28500"/>
    <n v="0"/>
  </r>
  <r>
    <n v="2019"/>
    <x v="0"/>
    <n v="30"/>
    <x v="2"/>
    <n v="0"/>
    <n v="28500"/>
    <n v="0"/>
  </r>
  <r>
    <n v="2019"/>
    <x v="0"/>
    <n v="30"/>
    <x v="3"/>
    <n v="0"/>
    <n v="28500"/>
    <n v="0"/>
  </r>
  <r>
    <n v="2019"/>
    <x v="0"/>
    <n v="30"/>
    <x v="4"/>
    <n v="0"/>
    <n v="28500"/>
    <n v="0"/>
  </r>
  <r>
    <n v="2019"/>
    <x v="0"/>
    <n v="30"/>
    <x v="5"/>
    <n v="0"/>
    <n v="28500"/>
    <n v="0"/>
  </r>
  <r>
    <n v="2019"/>
    <x v="0"/>
    <n v="30"/>
    <x v="6"/>
    <n v="0"/>
    <n v="28500"/>
    <n v="0"/>
  </r>
  <r>
    <n v="2019"/>
    <x v="0"/>
    <n v="30"/>
    <x v="7"/>
    <n v="0"/>
    <n v="28500"/>
    <n v="0"/>
  </r>
  <r>
    <n v="2019"/>
    <x v="0"/>
    <n v="30"/>
    <x v="8"/>
    <n v="735.5"/>
    <n v="28500"/>
    <n v="2.580701754385965E-2"/>
  </r>
  <r>
    <n v="2019"/>
    <x v="0"/>
    <n v="30"/>
    <x v="9"/>
    <n v="17361"/>
    <n v="28500"/>
    <n v="0.60915789473684212"/>
  </r>
  <r>
    <n v="2019"/>
    <x v="0"/>
    <n v="30"/>
    <x v="10"/>
    <n v="23725.5"/>
    <n v="28500"/>
    <n v="0.83247368421052637"/>
  </r>
  <r>
    <n v="2019"/>
    <x v="0"/>
    <n v="30"/>
    <x v="11"/>
    <n v="30221.5"/>
    <n v="28500"/>
    <n v="1.0604035087719299"/>
  </r>
  <r>
    <n v="2019"/>
    <x v="0"/>
    <n v="30"/>
    <x v="12"/>
    <n v="32360"/>
    <n v="28500"/>
    <n v="1.1354385964912281"/>
  </r>
  <r>
    <n v="2019"/>
    <x v="0"/>
    <n v="30"/>
    <x v="13"/>
    <n v="30768.5"/>
    <n v="28500"/>
    <n v="1.0795964912280702"/>
  </r>
  <r>
    <n v="2019"/>
    <x v="0"/>
    <n v="30"/>
    <x v="14"/>
    <n v="18472"/>
    <n v="28500"/>
    <n v="0.64814035087719302"/>
  </r>
  <r>
    <n v="2019"/>
    <x v="0"/>
    <n v="30"/>
    <x v="15"/>
    <n v="18959"/>
    <n v="28500"/>
    <n v="0.66522807017543861"/>
  </r>
  <r>
    <n v="2019"/>
    <x v="0"/>
    <n v="30"/>
    <x v="16"/>
    <n v="0"/>
    <n v="28500"/>
    <n v="0"/>
  </r>
  <r>
    <n v="2019"/>
    <x v="0"/>
    <n v="30"/>
    <x v="17"/>
    <n v="0"/>
    <n v="28500"/>
    <n v="0"/>
  </r>
  <r>
    <n v="2019"/>
    <x v="0"/>
    <n v="30"/>
    <x v="18"/>
    <n v="0"/>
    <n v="28500"/>
    <n v="0"/>
  </r>
  <r>
    <n v="2019"/>
    <x v="0"/>
    <n v="30"/>
    <x v="19"/>
    <n v="0"/>
    <n v="28500"/>
    <n v="0"/>
  </r>
  <r>
    <n v="2019"/>
    <x v="0"/>
    <n v="30"/>
    <x v="20"/>
    <n v="0"/>
    <n v="28500"/>
    <n v="0"/>
  </r>
  <r>
    <n v="2019"/>
    <x v="0"/>
    <n v="30"/>
    <x v="21"/>
    <n v="0"/>
    <n v="28500"/>
    <n v="0"/>
  </r>
  <r>
    <n v="2019"/>
    <x v="0"/>
    <n v="30"/>
    <x v="22"/>
    <n v="0"/>
    <n v="28500"/>
    <n v="0"/>
  </r>
  <r>
    <n v="2019"/>
    <x v="0"/>
    <n v="30"/>
    <x v="23"/>
    <n v="0"/>
    <n v="28500"/>
    <n v="0"/>
  </r>
  <r>
    <n v="2019"/>
    <x v="0"/>
    <n v="31"/>
    <x v="0"/>
    <n v="0"/>
    <n v="28500"/>
    <n v="0"/>
  </r>
  <r>
    <n v="2019"/>
    <x v="0"/>
    <n v="31"/>
    <x v="1"/>
    <n v="0"/>
    <n v="28500"/>
    <n v="0"/>
  </r>
  <r>
    <n v="2019"/>
    <x v="0"/>
    <n v="31"/>
    <x v="2"/>
    <n v="0"/>
    <n v="28500"/>
    <n v="0"/>
  </r>
  <r>
    <n v="2019"/>
    <x v="0"/>
    <n v="31"/>
    <x v="3"/>
    <n v="0"/>
    <n v="28500"/>
    <n v="0"/>
  </r>
  <r>
    <n v="2019"/>
    <x v="0"/>
    <n v="31"/>
    <x v="4"/>
    <n v="0"/>
    <n v="28500"/>
    <n v="0"/>
  </r>
  <r>
    <n v="2019"/>
    <x v="0"/>
    <n v="31"/>
    <x v="5"/>
    <n v="0"/>
    <n v="28500"/>
    <n v="0"/>
  </r>
  <r>
    <n v="2019"/>
    <x v="0"/>
    <n v="31"/>
    <x v="6"/>
    <n v="0"/>
    <n v="28500"/>
    <n v="0"/>
  </r>
  <r>
    <n v="2019"/>
    <x v="0"/>
    <n v="31"/>
    <x v="7"/>
    <n v="0"/>
    <n v="28500"/>
    <n v="0"/>
  </r>
  <r>
    <n v="2019"/>
    <x v="0"/>
    <n v="31"/>
    <x v="8"/>
    <n v="447"/>
    <n v="28500"/>
    <n v="1.568421052631579E-2"/>
  </r>
  <r>
    <n v="2019"/>
    <x v="0"/>
    <n v="31"/>
    <x v="9"/>
    <n v="13763"/>
    <n v="28500"/>
    <n v="0.4829122807017544"/>
  </r>
  <r>
    <n v="2019"/>
    <x v="0"/>
    <n v="31"/>
    <x v="10"/>
    <n v="23547"/>
    <n v="28500"/>
    <n v="0.82621052631578951"/>
  </r>
  <r>
    <n v="2019"/>
    <x v="0"/>
    <n v="31"/>
    <x v="11"/>
    <n v="29938"/>
    <n v="28500"/>
    <n v="1.0504561403508772"/>
  </r>
  <r>
    <n v="2019"/>
    <x v="0"/>
    <n v="31"/>
    <x v="12"/>
    <n v="5942.5"/>
    <n v="28500"/>
    <n v="0.20850877192982456"/>
  </r>
  <r>
    <n v="2019"/>
    <x v="0"/>
    <n v="31"/>
    <x v="13"/>
    <n v="18784"/>
    <n v="28500"/>
    <n v="0.65908771929824561"/>
  </r>
  <r>
    <n v="2019"/>
    <x v="0"/>
    <n v="31"/>
    <x v="14"/>
    <n v="10062"/>
    <n v="28500"/>
    <n v="0.3530526315789474"/>
  </r>
  <r>
    <n v="2019"/>
    <x v="0"/>
    <n v="31"/>
    <x v="15"/>
    <n v="5015"/>
    <n v="28500"/>
    <n v="0.17596491228070174"/>
  </r>
  <r>
    <n v="2019"/>
    <x v="0"/>
    <n v="31"/>
    <x v="16"/>
    <n v="101.5"/>
    <n v="28500"/>
    <n v="3.5614035087719298E-3"/>
  </r>
  <r>
    <n v="2019"/>
    <x v="0"/>
    <n v="31"/>
    <x v="17"/>
    <n v="0"/>
    <n v="28500"/>
    <n v="0"/>
  </r>
  <r>
    <n v="2019"/>
    <x v="0"/>
    <n v="31"/>
    <x v="18"/>
    <n v="0"/>
    <n v="28500"/>
    <n v="0"/>
  </r>
  <r>
    <n v="2019"/>
    <x v="0"/>
    <n v="31"/>
    <x v="19"/>
    <n v="0"/>
    <n v="28500"/>
    <n v="0"/>
  </r>
  <r>
    <n v="2019"/>
    <x v="0"/>
    <n v="31"/>
    <x v="20"/>
    <n v="0"/>
    <n v="28500"/>
    <n v="0"/>
  </r>
  <r>
    <n v="2019"/>
    <x v="0"/>
    <n v="31"/>
    <x v="21"/>
    <n v="0"/>
    <n v="28500"/>
    <n v="0"/>
  </r>
  <r>
    <n v="2019"/>
    <x v="0"/>
    <n v="31"/>
    <x v="22"/>
    <n v="0"/>
    <n v="28500"/>
    <n v="0"/>
  </r>
  <r>
    <n v="2019"/>
    <x v="0"/>
    <n v="31"/>
    <x v="23"/>
    <n v="0"/>
    <n v="28500"/>
    <n v="0"/>
  </r>
  <r>
    <n v="2019"/>
    <x v="1"/>
    <n v="1"/>
    <x v="0"/>
    <n v="0"/>
    <n v="28500"/>
    <n v="0"/>
  </r>
  <r>
    <n v="2019"/>
    <x v="1"/>
    <n v="1"/>
    <x v="1"/>
    <n v="0"/>
    <n v="28500"/>
    <n v="0"/>
  </r>
  <r>
    <n v="2019"/>
    <x v="1"/>
    <n v="1"/>
    <x v="2"/>
    <n v="0"/>
    <n v="28500"/>
    <n v="0"/>
  </r>
  <r>
    <n v="2019"/>
    <x v="1"/>
    <n v="1"/>
    <x v="3"/>
    <n v="0"/>
    <n v="28500"/>
    <n v="0"/>
  </r>
  <r>
    <n v="2019"/>
    <x v="1"/>
    <n v="1"/>
    <x v="4"/>
    <n v="0"/>
    <n v="28500"/>
    <n v="0"/>
  </r>
  <r>
    <n v="2019"/>
    <x v="1"/>
    <n v="1"/>
    <x v="5"/>
    <n v="0"/>
    <n v="28500"/>
    <n v="0"/>
  </r>
  <r>
    <n v="2019"/>
    <x v="1"/>
    <n v="1"/>
    <x v="6"/>
    <n v="0"/>
    <n v="28500"/>
    <n v="0"/>
  </r>
  <r>
    <n v="2019"/>
    <x v="1"/>
    <n v="1"/>
    <x v="7"/>
    <n v="0"/>
    <n v="28500"/>
    <n v="0"/>
  </r>
  <r>
    <n v="2019"/>
    <x v="1"/>
    <n v="1"/>
    <x v="8"/>
    <n v="0"/>
    <n v="28500"/>
    <n v="0"/>
  </r>
  <r>
    <n v="2019"/>
    <x v="1"/>
    <n v="1"/>
    <x v="9"/>
    <n v="668"/>
    <n v="28500"/>
    <n v="2.3438596491228071E-2"/>
  </r>
  <r>
    <n v="2019"/>
    <x v="1"/>
    <n v="1"/>
    <x v="10"/>
    <n v="975.5"/>
    <n v="28500"/>
    <n v="3.4228070175438594E-2"/>
  </r>
  <r>
    <n v="2019"/>
    <x v="1"/>
    <n v="1"/>
    <x v="11"/>
    <n v="1479"/>
    <n v="28500"/>
    <n v="5.1894736842105264E-2"/>
  </r>
  <r>
    <n v="2019"/>
    <x v="1"/>
    <n v="1"/>
    <x v="12"/>
    <n v="1664.5"/>
    <n v="28500"/>
    <n v="5.8403508771929825E-2"/>
  </r>
  <r>
    <n v="2019"/>
    <x v="1"/>
    <n v="1"/>
    <x v="13"/>
    <n v="1775"/>
    <n v="28500"/>
    <n v="6.2280701754385964E-2"/>
  </r>
  <r>
    <n v="2019"/>
    <x v="1"/>
    <n v="1"/>
    <x v="14"/>
    <n v="1041"/>
    <n v="28500"/>
    <n v="3.6526315789473685E-2"/>
  </r>
  <r>
    <n v="2019"/>
    <x v="1"/>
    <n v="1"/>
    <x v="15"/>
    <n v="5940.5"/>
    <n v="28500"/>
    <n v="0.20843859649122806"/>
  </r>
  <r>
    <n v="2019"/>
    <x v="1"/>
    <n v="1"/>
    <x v="16"/>
    <n v="78"/>
    <n v="28500"/>
    <n v="2.7368421052631577E-3"/>
  </r>
  <r>
    <n v="2019"/>
    <x v="1"/>
    <n v="1"/>
    <x v="17"/>
    <n v="0"/>
    <n v="28500"/>
    <n v="0"/>
  </r>
  <r>
    <n v="2019"/>
    <x v="1"/>
    <n v="1"/>
    <x v="18"/>
    <n v="0"/>
    <n v="28500"/>
    <n v="0"/>
  </r>
  <r>
    <n v="2019"/>
    <x v="1"/>
    <n v="1"/>
    <x v="19"/>
    <n v="0"/>
    <n v="28500"/>
    <n v="0"/>
  </r>
  <r>
    <n v="2019"/>
    <x v="1"/>
    <n v="1"/>
    <x v="20"/>
    <n v="0"/>
    <n v="28500"/>
    <n v="0"/>
  </r>
  <r>
    <n v="2019"/>
    <x v="1"/>
    <n v="1"/>
    <x v="21"/>
    <n v="0"/>
    <n v="28500"/>
    <n v="0"/>
  </r>
  <r>
    <n v="2019"/>
    <x v="1"/>
    <n v="1"/>
    <x v="22"/>
    <n v="0"/>
    <n v="28500"/>
    <n v="0"/>
  </r>
  <r>
    <n v="2019"/>
    <x v="1"/>
    <n v="1"/>
    <x v="23"/>
    <n v="0"/>
    <n v="28500"/>
    <n v="0"/>
  </r>
  <r>
    <n v="2019"/>
    <x v="1"/>
    <n v="2"/>
    <x v="0"/>
    <n v="0"/>
    <n v="28500"/>
    <n v="0"/>
  </r>
  <r>
    <n v="2019"/>
    <x v="1"/>
    <n v="2"/>
    <x v="1"/>
    <n v="0"/>
    <n v="28500"/>
    <n v="0"/>
  </r>
  <r>
    <n v="2019"/>
    <x v="1"/>
    <n v="2"/>
    <x v="2"/>
    <n v="0"/>
    <n v="28500"/>
    <n v="0"/>
  </r>
  <r>
    <n v="2019"/>
    <x v="1"/>
    <n v="2"/>
    <x v="3"/>
    <n v="0"/>
    <n v="28500"/>
    <n v="0"/>
  </r>
  <r>
    <n v="2019"/>
    <x v="1"/>
    <n v="2"/>
    <x v="4"/>
    <n v="0"/>
    <n v="28500"/>
    <n v="0"/>
  </r>
  <r>
    <n v="2019"/>
    <x v="1"/>
    <n v="2"/>
    <x v="5"/>
    <n v="0"/>
    <n v="28500"/>
    <n v="0"/>
  </r>
  <r>
    <n v="2019"/>
    <x v="1"/>
    <n v="2"/>
    <x v="6"/>
    <n v="0"/>
    <n v="28500"/>
    <n v="0"/>
  </r>
  <r>
    <n v="2019"/>
    <x v="1"/>
    <n v="2"/>
    <x v="7"/>
    <n v="0"/>
    <n v="28500"/>
    <n v="0"/>
  </r>
  <r>
    <n v="2019"/>
    <x v="1"/>
    <n v="2"/>
    <x v="8"/>
    <n v="16.5"/>
    <n v="28500"/>
    <n v="5.7894736842105268E-4"/>
  </r>
  <r>
    <n v="2019"/>
    <x v="1"/>
    <n v="2"/>
    <x v="9"/>
    <n v="9316.5"/>
    <n v="28500"/>
    <n v="0.32689473684210524"/>
  </r>
  <r>
    <n v="2019"/>
    <x v="1"/>
    <n v="2"/>
    <x v="10"/>
    <n v="15146"/>
    <n v="28500"/>
    <n v="0.53143859649122804"/>
  </r>
  <r>
    <n v="2019"/>
    <x v="1"/>
    <n v="2"/>
    <x v="11"/>
    <n v="10568"/>
    <n v="28500"/>
    <n v="0.37080701754385964"/>
  </r>
  <r>
    <n v="2019"/>
    <x v="1"/>
    <n v="2"/>
    <x v="12"/>
    <n v="2907.5"/>
    <n v="28500"/>
    <n v="0.10201754385964912"/>
  </r>
  <r>
    <n v="2019"/>
    <x v="1"/>
    <n v="2"/>
    <x v="13"/>
    <n v="3065"/>
    <n v="28500"/>
    <n v="0.1075438596491228"/>
  </r>
  <r>
    <n v="2019"/>
    <x v="1"/>
    <n v="2"/>
    <x v="14"/>
    <n v="466.5"/>
    <n v="28500"/>
    <n v="1.6368421052631577E-2"/>
  </r>
  <r>
    <n v="2019"/>
    <x v="1"/>
    <n v="2"/>
    <x v="15"/>
    <n v="5022"/>
    <n v="28500"/>
    <n v="0.17621052631578948"/>
  </r>
  <r>
    <n v="2019"/>
    <x v="1"/>
    <n v="2"/>
    <x v="16"/>
    <n v="0"/>
    <n v="28500"/>
    <n v="0"/>
  </r>
  <r>
    <n v="2019"/>
    <x v="1"/>
    <n v="2"/>
    <x v="17"/>
    <n v="0"/>
    <n v="28500"/>
    <n v="0"/>
  </r>
  <r>
    <n v="2019"/>
    <x v="1"/>
    <n v="2"/>
    <x v="18"/>
    <n v="0"/>
    <n v="28500"/>
    <n v="0"/>
  </r>
  <r>
    <n v="2019"/>
    <x v="1"/>
    <n v="2"/>
    <x v="19"/>
    <n v="0"/>
    <n v="28500"/>
    <n v="0"/>
  </r>
  <r>
    <n v="2019"/>
    <x v="1"/>
    <n v="2"/>
    <x v="20"/>
    <n v="0"/>
    <n v="28500"/>
    <n v="0"/>
  </r>
  <r>
    <n v="2019"/>
    <x v="1"/>
    <n v="2"/>
    <x v="21"/>
    <n v="0"/>
    <n v="28500"/>
    <n v="0"/>
  </r>
  <r>
    <n v="2019"/>
    <x v="1"/>
    <n v="2"/>
    <x v="22"/>
    <n v="0"/>
    <n v="28500"/>
    <n v="0"/>
  </r>
  <r>
    <n v="2019"/>
    <x v="1"/>
    <n v="2"/>
    <x v="23"/>
    <n v="0"/>
    <n v="28500"/>
    <n v="0"/>
  </r>
  <r>
    <n v="2019"/>
    <x v="1"/>
    <n v="3"/>
    <x v="0"/>
    <n v="0"/>
    <n v="28500"/>
    <n v="0"/>
  </r>
  <r>
    <n v="2019"/>
    <x v="1"/>
    <n v="3"/>
    <x v="1"/>
    <n v="0"/>
    <n v="28500"/>
    <n v="0"/>
  </r>
  <r>
    <n v="2019"/>
    <x v="1"/>
    <n v="3"/>
    <x v="2"/>
    <n v="0"/>
    <n v="28500"/>
    <n v="0"/>
  </r>
  <r>
    <n v="2019"/>
    <x v="1"/>
    <n v="3"/>
    <x v="3"/>
    <n v="0"/>
    <n v="28500"/>
    <n v="0"/>
  </r>
  <r>
    <n v="2019"/>
    <x v="1"/>
    <n v="3"/>
    <x v="4"/>
    <n v="0"/>
    <n v="28500"/>
    <n v="0"/>
  </r>
  <r>
    <n v="2019"/>
    <x v="1"/>
    <n v="3"/>
    <x v="5"/>
    <n v="0"/>
    <n v="28500"/>
    <n v="0"/>
  </r>
  <r>
    <n v="2019"/>
    <x v="1"/>
    <n v="3"/>
    <x v="6"/>
    <n v="0"/>
    <n v="28500"/>
    <n v="0"/>
  </r>
  <r>
    <n v="2019"/>
    <x v="1"/>
    <n v="3"/>
    <x v="7"/>
    <n v="0"/>
    <n v="28500"/>
    <n v="0"/>
  </r>
  <r>
    <n v="2019"/>
    <x v="1"/>
    <n v="3"/>
    <x v="8"/>
    <n v="1090"/>
    <n v="28500"/>
    <n v="3.8245614035087722E-2"/>
  </r>
  <r>
    <n v="2019"/>
    <x v="1"/>
    <n v="3"/>
    <x v="9"/>
    <n v="19872"/>
    <n v="28500"/>
    <n v="0.69726315789473681"/>
  </r>
  <r>
    <n v="2019"/>
    <x v="1"/>
    <n v="3"/>
    <x v="10"/>
    <n v="27426"/>
    <n v="28500"/>
    <n v="0.96231578947368424"/>
  </r>
  <r>
    <n v="2019"/>
    <x v="1"/>
    <n v="3"/>
    <x v="11"/>
    <n v="34809.5"/>
    <n v="28500"/>
    <n v="1.2213859649122807"/>
  </r>
  <r>
    <n v="2019"/>
    <x v="1"/>
    <n v="3"/>
    <x v="12"/>
    <n v="33577.5"/>
    <n v="28500"/>
    <n v="1.1781578947368421"/>
  </r>
  <r>
    <n v="2019"/>
    <x v="1"/>
    <n v="3"/>
    <x v="13"/>
    <n v="33712.5"/>
    <n v="28500"/>
    <n v="1.1828947368421052"/>
  </r>
  <r>
    <n v="2019"/>
    <x v="1"/>
    <n v="3"/>
    <x v="14"/>
    <n v="26613.5"/>
    <n v="28500"/>
    <n v="0.93380701754385964"/>
  </r>
  <r>
    <n v="2019"/>
    <x v="1"/>
    <n v="3"/>
    <x v="15"/>
    <n v="21937"/>
    <n v="28500"/>
    <n v="0.76971929824561403"/>
  </r>
  <r>
    <n v="2019"/>
    <x v="1"/>
    <n v="3"/>
    <x v="16"/>
    <n v="603.5"/>
    <n v="28500"/>
    <n v="2.1175438596491229E-2"/>
  </r>
  <r>
    <n v="2019"/>
    <x v="1"/>
    <n v="3"/>
    <x v="17"/>
    <n v="0"/>
    <n v="28500"/>
    <n v="0"/>
  </r>
  <r>
    <n v="2019"/>
    <x v="1"/>
    <n v="3"/>
    <x v="18"/>
    <n v="0"/>
    <n v="28500"/>
    <n v="0"/>
  </r>
  <r>
    <n v="2019"/>
    <x v="1"/>
    <n v="3"/>
    <x v="19"/>
    <n v="0"/>
    <n v="28500"/>
    <n v="0"/>
  </r>
  <r>
    <n v="2019"/>
    <x v="1"/>
    <n v="3"/>
    <x v="20"/>
    <n v="0"/>
    <n v="28500"/>
    <n v="0"/>
  </r>
  <r>
    <n v="2019"/>
    <x v="1"/>
    <n v="3"/>
    <x v="21"/>
    <n v="0"/>
    <n v="28500"/>
    <n v="0"/>
  </r>
  <r>
    <n v="2019"/>
    <x v="1"/>
    <n v="3"/>
    <x v="22"/>
    <n v="0"/>
    <n v="28500"/>
    <n v="0"/>
  </r>
  <r>
    <n v="2019"/>
    <x v="1"/>
    <n v="3"/>
    <x v="23"/>
    <n v="0"/>
    <n v="28500"/>
    <n v="0"/>
  </r>
  <r>
    <n v="2019"/>
    <x v="1"/>
    <n v="4"/>
    <x v="0"/>
    <n v="0"/>
    <n v="28500"/>
    <n v="0"/>
  </r>
  <r>
    <n v="2019"/>
    <x v="1"/>
    <n v="4"/>
    <x v="1"/>
    <n v="0"/>
    <n v="28500"/>
    <n v="0"/>
  </r>
  <r>
    <n v="2019"/>
    <x v="1"/>
    <n v="4"/>
    <x v="2"/>
    <n v="0"/>
    <n v="28500"/>
    <n v="0"/>
  </r>
  <r>
    <n v="2019"/>
    <x v="1"/>
    <n v="4"/>
    <x v="3"/>
    <n v="0"/>
    <n v="28500"/>
    <n v="0"/>
  </r>
  <r>
    <n v="2019"/>
    <x v="1"/>
    <n v="4"/>
    <x v="4"/>
    <n v="0"/>
    <n v="28500"/>
    <n v="0"/>
  </r>
  <r>
    <n v="2019"/>
    <x v="1"/>
    <n v="4"/>
    <x v="5"/>
    <n v="0"/>
    <n v="28500"/>
    <n v="0"/>
  </r>
  <r>
    <n v="2019"/>
    <x v="1"/>
    <n v="4"/>
    <x v="6"/>
    <n v="0"/>
    <n v="28500"/>
    <n v="0"/>
  </r>
  <r>
    <n v="2019"/>
    <x v="1"/>
    <n v="4"/>
    <x v="7"/>
    <n v="0"/>
    <n v="28500"/>
    <n v="0"/>
  </r>
  <r>
    <n v="2019"/>
    <x v="1"/>
    <n v="4"/>
    <x v="8"/>
    <n v="147.5"/>
    <n v="28500"/>
    <n v="5.175438596491228E-3"/>
  </r>
  <r>
    <n v="2019"/>
    <x v="1"/>
    <n v="4"/>
    <x v="9"/>
    <n v="654"/>
    <n v="28500"/>
    <n v="2.2947368421052633E-2"/>
  </r>
  <r>
    <n v="2019"/>
    <x v="1"/>
    <n v="4"/>
    <x v="10"/>
    <n v="2212"/>
    <n v="28500"/>
    <n v="7.7614035087719302E-2"/>
  </r>
  <r>
    <n v="2019"/>
    <x v="1"/>
    <n v="4"/>
    <x v="11"/>
    <n v="1827"/>
    <n v="28500"/>
    <n v="6.4105263157894735E-2"/>
  </r>
  <r>
    <n v="2019"/>
    <x v="1"/>
    <n v="4"/>
    <x v="12"/>
    <n v="4815"/>
    <n v="28500"/>
    <n v="0.16894736842105262"/>
  </r>
  <r>
    <n v="2019"/>
    <x v="1"/>
    <n v="4"/>
    <x v="13"/>
    <n v="1409.5"/>
    <n v="28500"/>
    <n v="4.9456140350877191E-2"/>
  </r>
  <r>
    <n v="2019"/>
    <x v="1"/>
    <n v="4"/>
    <x v="14"/>
    <n v="4801"/>
    <n v="28500"/>
    <n v="0.16845614035087719"/>
  </r>
  <r>
    <n v="2019"/>
    <x v="1"/>
    <n v="4"/>
    <x v="15"/>
    <n v="7288.5"/>
    <n v="28500"/>
    <n v="0.25573684210526315"/>
  </r>
  <r>
    <n v="2019"/>
    <x v="1"/>
    <n v="4"/>
    <x v="16"/>
    <n v="195.5"/>
    <n v="28500"/>
    <n v="6.8596491228070178E-3"/>
  </r>
  <r>
    <n v="2019"/>
    <x v="1"/>
    <n v="4"/>
    <x v="17"/>
    <n v="0"/>
    <n v="28500"/>
    <n v="0"/>
  </r>
  <r>
    <n v="2019"/>
    <x v="1"/>
    <n v="4"/>
    <x v="18"/>
    <n v="0"/>
    <n v="28500"/>
    <n v="0"/>
  </r>
  <r>
    <n v="2019"/>
    <x v="1"/>
    <n v="4"/>
    <x v="19"/>
    <n v="0"/>
    <n v="28500"/>
    <n v="0"/>
  </r>
  <r>
    <n v="2019"/>
    <x v="1"/>
    <n v="4"/>
    <x v="20"/>
    <n v="0"/>
    <n v="28500"/>
    <n v="0"/>
  </r>
  <r>
    <n v="2019"/>
    <x v="1"/>
    <n v="4"/>
    <x v="21"/>
    <n v="0"/>
    <n v="28500"/>
    <n v="0"/>
  </r>
  <r>
    <n v="2019"/>
    <x v="1"/>
    <n v="4"/>
    <x v="22"/>
    <n v="0"/>
    <n v="28500"/>
    <n v="0"/>
  </r>
  <r>
    <n v="2019"/>
    <x v="1"/>
    <n v="4"/>
    <x v="23"/>
    <n v="0"/>
    <n v="28500"/>
    <n v="0"/>
  </r>
  <r>
    <n v="2019"/>
    <x v="1"/>
    <n v="5"/>
    <x v="0"/>
    <n v="0"/>
    <n v="28500"/>
    <n v="0"/>
  </r>
  <r>
    <n v="2019"/>
    <x v="1"/>
    <n v="5"/>
    <x v="1"/>
    <n v="0"/>
    <n v="28500"/>
    <n v="0"/>
  </r>
  <r>
    <n v="2019"/>
    <x v="1"/>
    <n v="5"/>
    <x v="2"/>
    <n v="0"/>
    <n v="28500"/>
    <n v="0"/>
  </r>
  <r>
    <n v="2019"/>
    <x v="1"/>
    <n v="5"/>
    <x v="3"/>
    <n v="0"/>
    <n v="28500"/>
    <n v="0"/>
  </r>
  <r>
    <n v="2019"/>
    <x v="1"/>
    <n v="5"/>
    <x v="4"/>
    <n v="0"/>
    <n v="28500"/>
    <n v="0"/>
  </r>
  <r>
    <n v="2019"/>
    <x v="1"/>
    <n v="5"/>
    <x v="5"/>
    <n v="0"/>
    <n v="28500"/>
    <n v="0"/>
  </r>
  <r>
    <n v="2019"/>
    <x v="1"/>
    <n v="5"/>
    <x v="6"/>
    <n v="0"/>
    <n v="28500"/>
    <n v="0"/>
  </r>
  <r>
    <n v="2019"/>
    <x v="1"/>
    <n v="5"/>
    <x v="7"/>
    <n v="0"/>
    <n v="28500"/>
    <n v="0"/>
  </r>
  <r>
    <n v="2019"/>
    <x v="1"/>
    <n v="5"/>
    <x v="8"/>
    <n v="1117.5"/>
    <n v="28500"/>
    <n v="3.9210526315789473E-2"/>
  </r>
  <r>
    <n v="2019"/>
    <x v="1"/>
    <n v="5"/>
    <x v="9"/>
    <n v="1670.5"/>
    <n v="28500"/>
    <n v="5.8614035087719299E-2"/>
  </r>
  <r>
    <n v="2019"/>
    <x v="1"/>
    <n v="5"/>
    <x v="10"/>
    <n v="2844"/>
    <n v="28500"/>
    <n v="9.9789473684210525E-2"/>
  </r>
  <r>
    <n v="2019"/>
    <x v="1"/>
    <n v="5"/>
    <x v="11"/>
    <n v="1958.5"/>
    <n v="28500"/>
    <n v="6.8719298245614041E-2"/>
  </r>
  <r>
    <n v="2019"/>
    <x v="1"/>
    <n v="5"/>
    <x v="12"/>
    <n v="1878.5"/>
    <n v="28500"/>
    <n v="6.591228070175438E-2"/>
  </r>
  <r>
    <n v="2019"/>
    <x v="1"/>
    <n v="5"/>
    <x v="13"/>
    <n v="1582"/>
    <n v="28500"/>
    <n v="5.5508771929824563E-2"/>
  </r>
  <r>
    <n v="2019"/>
    <x v="1"/>
    <n v="5"/>
    <x v="14"/>
    <n v="1476"/>
    <n v="28500"/>
    <n v="5.1789473684210524E-2"/>
  </r>
  <r>
    <n v="2019"/>
    <x v="1"/>
    <n v="5"/>
    <x v="15"/>
    <n v="2481.5"/>
    <n v="28500"/>
    <n v="8.7070175438596492E-2"/>
  </r>
  <r>
    <n v="2019"/>
    <x v="1"/>
    <n v="5"/>
    <x v="16"/>
    <n v="365.5"/>
    <n v="28500"/>
    <n v="1.2824561403508771E-2"/>
  </r>
  <r>
    <n v="2019"/>
    <x v="1"/>
    <n v="5"/>
    <x v="17"/>
    <n v="0"/>
    <n v="28500"/>
    <n v="0"/>
  </r>
  <r>
    <n v="2019"/>
    <x v="1"/>
    <n v="5"/>
    <x v="18"/>
    <n v="0"/>
    <n v="28500"/>
    <n v="0"/>
  </r>
  <r>
    <n v="2019"/>
    <x v="1"/>
    <n v="5"/>
    <x v="19"/>
    <n v="0"/>
    <n v="28500"/>
    <n v="0"/>
  </r>
  <r>
    <n v="2019"/>
    <x v="1"/>
    <n v="5"/>
    <x v="20"/>
    <n v="0"/>
    <n v="28500"/>
    <n v="0"/>
  </r>
  <r>
    <n v="2019"/>
    <x v="1"/>
    <n v="5"/>
    <x v="21"/>
    <n v="0"/>
    <n v="28500"/>
    <n v="0"/>
  </r>
  <r>
    <n v="2019"/>
    <x v="1"/>
    <n v="5"/>
    <x v="22"/>
    <n v="0"/>
    <n v="28500"/>
    <n v="0"/>
  </r>
  <r>
    <n v="2019"/>
    <x v="1"/>
    <n v="5"/>
    <x v="23"/>
    <n v="0"/>
    <n v="28500"/>
    <n v="0"/>
  </r>
  <r>
    <n v="2019"/>
    <x v="1"/>
    <n v="6"/>
    <x v="0"/>
    <n v="0"/>
    <n v="28500"/>
    <n v="0"/>
  </r>
  <r>
    <n v="2019"/>
    <x v="1"/>
    <n v="6"/>
    <x v="1"/>
    <n v="0"/>
    <n v="28500"/>
    <n v="0"/>
  </r>
  <r>
    <n v="2019"/>
    <x v="1"/>
    <n v="6"/>
    <x v="2"/>
    <n v="0"/>
    <n v="28500"/>
    <n v="0"/>
  </r>
  <r>
    <n v="2019"/>
    <x v="1"/>
    <n v="6"/>
    <x v="3"/>
    <n v="0"/>
    <n v="28500"/>
    <n v="0"/>
  </r>
  <r>
    <n v="2019"/>
    <x v="1"/>
    <n v="6"/>
    <x v="4"/>
    <n v="0"/>
    <n v="28500"/>
    <n v="0"/>
  </r>
  <r>
    <n v="2019"/>
    <x v="1"/>
    <n v="6"/>
    <x v="5"/>
    <n v="0"/>
    <n v="28500"/>
    <n v="0"/>
  </r>
  <r>
    <n v="2019"/>
    <x v="1"/>
    <n v="6"/>
    <x v="6"/>
    <n v="0"/>
    <n v="28500"/>
    <n v="0"/>
  </r>
  <r>
    <n v="2019"/>
    <x v="1"/>
    <n v="6"/>
    <x v="7"/>
    <n v="0"/>
    <n v="28500"/>
    <n v="0"/>
  </r>
  <r>
    <n v="2019"/>
    <x v="1"/>
    <n v="6"/>
    <x v="8"/>
    <n v="3020.5"/>
    <n v="28500"/>
    <n v="0.10598245614035087"/>
  </r>
  <r>
    <n v="2019"/>
    <x v="1"/>
    <n v="6"/>
    <x v="9"/>
    <n v="12836"/>
    <n v="28500"/>
    <n v="0.45038596491228072"/>
  </r>
  <r>
    <n v="2019"/>
    <x v="1"/>
    <n v="6"/>
    <x v="10"/>
    <n v="17421"/>
    <n v="28500"/>
    <n v="0.61126315789473684"/>
  </r>
  <r>
    <n v="2019"/>
    <x v="1"/>
    <n v="6"/>
    <x v="11"/>
    <n v="11619.5"/>
    <n v="28500"/>
    <n v="0.4077017543859649"/>
  </r>
  <r>
    <n v="2019"/>
    <x v="1"/>
    <n v="6"/>
    <x v="12"/>
    <n v="8326"/>
    <n v="28500"/>
    <n v="0.29214035087719298"/>
  </r>
  <r>
    <n v="2019"/>
    <x v="1"/>
    <n v="6"/>
    <x v="13"/>
    <n v="12328.5"/>
    <n v="28500"/>
    <n v="0.43257894736842106"/>
  </r>
  <r>
    <n v="2019"/>
    <x v="1"/>
    <n v="6"/>
    <x v="14"/>
    <n v="6214.5"/>
    <n v="28500"/>
    <n v="0.21805263157894736"/>
  </r>
  <r>
    <n v="2019"/>
    <x v="1"/>
    <n v="6"/>
    <x v="15"/>
    <n v="10823"/>
    <n v="28500"/>
    <n v="0.37975438596491229"/>
  </r>
  <r>
    <n v="2019"/>
    <x v="1"/>
    <n v="6"/>
    <x v="16"/>
    <n v="936.5"/>
    <n v="28500"/>
    <n v="3.2859649122807019E-2"/>
  </r>
  <r>
    <n v="2019"/>
    <x v="1"/>
    <n v="6"/>
    <x v="17"/>
    <n v="0"/>
    <n v="28500"/>
    <n v="0"/>
  </r>
  <r>
    <n v="2019"/>
    <x v="1"/>
    <n v="6"/>
    <x v="18"/>
    <n v="0"/>
    <n v="28500"/>
    <n v="0"/>
  </r>
  <r>
    <n v="2019"/>
    <x v="1"/>
    <n v="6"/>
    <x v="19"/>
    <n v="0"/>
    <n v="28500"/>
    <n v="0"/>
  </r>
  <r>
    <n v="2019"/>
    <x v="1"/>
    <n v="6"/>
    <x v="20"/>
    <n v="0"/>
    <n v="28500"/>
    <n v="0"/>
  </r>
  <r>
    <n v="2019"/>
    <x v="1"/>
    <n v="6"/>
    <x v="21"/>
    <n v="0"/>
    <n v="28500"/>
    <n v="0"/>
  </r>
  <r>
    <n v="2019"/>
    <x v="1"/>
    <n v="6"/>
    <x v="22"/>
    <n v="0"/>
    <n v="28500"/>
    <n v="0"/>
  </r>
  <r>
    <n v="2019"/>
    <x v="1"/>
    <n v="6"/>
    <x v="23"/>
    <n v="0"/>
    <n v="28500"/>
    <n v="0"/>
  </r>
  <r>
    <n v="2019"/>
    <x v="1"/>
    <n v="7"/>
    <x v="0"/>
    <n v="0"/>
    <n v="28500"/>
    <n v="0"/>
  </r>
  <r>
    <n v="2019"/>
    <x v="1"/>
    <n v="7"/>
    <x v="1"/>
    <n v="0"/>
    <n v="28500"/>
    <n v="0"/>
  </r>
  <r>
    <n v="2019"/>
    <x v="1"/>
    <n v="7"/>
    <x v="2"/>
    <n v="0"/>
    <n v="28500"/>
    <n v="0"/>
  </r>
  <r>
    <n v="2019"/>
    <x v="1"/>
    <n v="7"/>
    <x v="3"/>
    <n v="0"/>
    <n v="28500"/>
    <n v="0"/>
  </r>
  <r>
    <n v="2019"/>
    <x v="1"/>
    <n v="7"/>
    <x v="4"/>
    <n v="0"/>
    <n v="28500"/>
    <n v="0"/>
  </r>
  <r>
    <n v="2019"/>
    <x v="1"/>
    <n v="7"/>
    <x v="5"/>
    <n v="0"/>
    <n v="28500"/>
    <n v="0"/>
  </r>
  <r>
    <n v="2019"/>
    <x v="1"/>
    <n v="7"/>
    <x v="6"/>
    <n v="0"/>
    <n v="28500"/>
    <n v="0"/>
  </r>
  <r>
    <n v="2019"/>
    <x v="1"/>
    <n v="7"/>
    <x v="7"/>
    <n v="0"/>
    <n v="28500"/>
    <n v="0"/>
  </r>
  <r>
    <n v="2019"/>
    <x v="1"/>
    <n v="7"/>
    <x v="8"/>
    <n v="7936.5"/>
    <n v="28500"/>
    <n v="0.27847368421052632"/>
  </r>
  <r>
    <n v="2019"/>
    <x v="1"/>
    <n v="7"/>
    <x v="9"/>
    <n v="21486"/>
    <n v="28500"/>
    <n v="0.75389473684210528"/>
  </r>
  <r>
    <n v="2019"/>
    <x v="1"/>
    <n v="7"/>
    <x v="10"/>
    <n v="20874"/>
    <n v="28500"/>
    <n v="0.73242105263157897"/>
  </r>
  <r>
    <n v="2019"/>
    <x v="1"/>
    <n v="7"/>
    <x v="11"/>
    <n v="21746"/>
    <n v="28500"/>
    <n v="0.76301754385964915"/>
  </r>
  <r>
    <n v="2019"/>
    <x v="1"/>
    <n v="7"/>
    <x v="12"/>
    <n v="29230"/>
    <n v="28500"/>
    <n v="1.0256140350877192"/>
  </r>
  <r>
    <n v="2019"/>
    <x v="1"/>
    <n v="7"/>
    <x v="13"/>
    <n v="32561.5"/>
    <n v="28500"/>
    <n v="1.1425087719298246"/>
  </r>
  <r>
    <n v="2019"/>
    <x v="1"/>
    <n v="7"/>
    <x v="14"/>
    <n v="10110"/>
    <n v="28500"/>
    <n v="0.35473684210526318"/>
  </r>
  <r>
    <n v="2019"/>
    <x v="1"/>
    <n v="7"/>
    <x v="15"/>
    <n v="21993.5"/>
    <n v="28500"/>
    <n v="0.77170175438596489"/>
  </r>
  <r>
    <n v="2019"/>
    <x v="1"/>
    <n v="7"/>
    <x v="16"/>
    <n v="8377"/>
    <n v="28500"/>
    <n v="0.29392982456140349"/>
  </r>
  <r>
    <n v="2019"/>
    <x v="1"/>
    <n v="7"/>
    <x v="17"/>
    <n v="0"/>
    <n v="28500"/>
    <n v="0"/>
  </r>
  <r>
    <n v="2019"/>
    <x v="1"/>
    <n v="7"/>
    <x v="18"/>
    <n v="0"/>
    <n v="28500"/>
    <n v="0"/>
  </r>
  <r>
    <n v="2019"/>
    <x v="1"/>
    <n v="7"/>
    <x v="19"/>
    <n v="0"/>
    <n v="28500"/>
    <n v="0"/>
  </r>
  <r>
    <n v="2019"/>
    <x v="1"/>
    <n v="7"/>
    <x v="20"/>
    <n v="0"/>
    <n v="28500"/>
    <n v="0"/>
  </r>
  <r>
    <n v="2019"/>
    <x v="1"/>
    <n v="7"/>
    <x v="21"/>
    <n v="0"/>
    <n v="28500"/>
    <n v="0"/>
  </r>
  <r>
    <n v="2019"/>
    <x v="1"/>
    <n v="7"/>
    <x v="22"/>
    <n v="0"/>
    <n v="28500"/>
    <n v="0"/>
  </r>
  <r>
    <n v="2019"/>
    <x v="1"/>
    <n v="7"/>
    <x v="23"/>
    <n v="0"/>
    <n v="28500"/>
    <n v="0"/>
  </r>
  <r>
    <n v="2019"/>
    <x v="1"/>
    <n v="8"/>
    <x v="0"/>
    <n v="0"/>
    <n v="28500"/>
    <n v="0"/>
  </r>
  <r>
    <n v="2019"/>
    <x v="1"/>
    <n v="8"/>
    <x v="1"/>
    <n v="0"/>
    <n v="28500"/>
    <n v="0"/>
  </r>
  <r>
    <n v="2019"/>
    <x v="1"/>
    <n v="8"/>
    <x v="2"/>
    <n v="0"/>
    <n v="28500"/>
    <n v="0"/>
  </r>
  <r>
    <n v="2019"/>
    <x v="1"/>
    <n v="8"/>
    <x v="3"/>
    <n v="0"/>
    <n v="28500"/>
    <n v="0"/>
  </r>
  <r>
    <n v="2019"/>
    <x v="1"/>
    <n v="8"/>
    <x v="4"/>
    <n v="0"/>
    <n v="28500"/>
    <n v="0"/>
  </r>
  <r>
    <n v="2019"/>
    <x v="1"/>
    <n v="8"/>
    <x v="5"/>
    <n v="0"/>
    <n v="28500"/>
    <n v="0"/>
  </r>
  <r>
    <n v="2019"/>
    <x v="1"/>
    <n v="8"/>
    <x v="6"/>
    <n v="0"/>
    <n v="28500"/>
    <n v="0"/>
  </r>
  <r>
    <n v="2019"/>
    <x v="1"/>
    <n v="8"/>
    <x v="7"/>
    <n v="0"/>
    <n v="28500"/>
    <n v="0"/>
  </r>
  <r>
    <n v="2019"/>
    <x v="1"/>
    <n v="8"/>
    <x v="8"/>
    <n v="277"/>
    <n v="28500"/>
    <n v="9.7192982456140355E-3"/>
  </r>
  <r>
    <n v="2019"/>
    <x v="1"/>
    <n v="8"/>
    <x v="9"/>
    <n v="707.5"/>
    <n v="28500"/>
    <n v="2.4824561403508773E-2"/>
  </r>
  <r>
    <n v="2019"/>
    <x v="1"/>
    <n v="8"/>
    <x v="10"/>
    <n v="1617.5"/>
    <n v="28500"/>
    <n v="5.6754385964912279E-2"/>
  </r>
  <r>
    <n v="2019"/>
    <x v="1"/>
    <n v="8"/>
    <x v="11"/>
    <n v="2863"/>
    <n v="28500"/>
    <n v="0.10045614035087719"/>
  </r>
  <r>
    <n v="2019"/>
    <x v="1"/>
    <n v="8"/>
    <x v="12"/>
    <n v="4548.5"/>
    <n v="28500"/>
    <n v="0.15959649122807018"/>
  </r>
  <r>
    <n v="2019"/>
    <x v="1"/>
    <n v="8"/>
    <x v="13"/>
    <n v="3203.5"/>
    <n v="28500"/>
    <n v="0.11240350877192982"/>
  </r>
  <r>
    <n v="2019"/>
    <x v="1"/>
    <n v="8"/>
    <x v="14"/>
    <n v="4259.5"/>
    <n v="28500"/>
    <n v="0.1494561403508772"/>
  </r>
  <r>
    <n v="2019"/>
    <x v="1"/>
    <n v="8"/>
    <x v="15"/>
    <n v="3908"/>
    <n v="28500"/>
    <n v="0.13712280701754387"/>
  </r>
  <r>
    <n v="2019"/>
    <x v="1"/>
    <n v="8"/>
    <x v="16"/>
    <n v="95.5"/>
    <n v="28500"/>
    <n v="3.3508771929824563E-3"/>
  </r>
  <r>
    <n v="2019"/>
    <x v="1"/>
    <n v="8"/>
    <x v="17"/>
    <n v="0"/>
    <n v="28500"/>
    <n v="0"/>
  </r>
  <r>
    <n v="2019"/>
    <x v="1"/>
    <n v="8"/>
    <x v="18"/>
    <n v="0"/>
    <n v="28500"/>
    <n v="0"/>
  </r>
  <r>
    <n v="2019"/>
    <x v="1"/>
    <n v="8"/>
    <x v="19"/>
    <n v="0"/>
    <n v="28500"/>
    <n v="0"/>
  </r>
  <r>
    <n v="2019"/>
    <x v="1"/>
    <n v="8"/>
    <x v="20"/>
    <n v="0"/>
    <n v="28500"/>
    <n v="0"/>
  </r>
  <r>
    <n v="2019"/>
    <x v="1"/>
    <n v="8"/>
    <x v="21"/>
    <n v="0"/>
    <n v="28500"/>
    <n v="0"/>
  </r>
  <r>
    <n v="2019"/>
    <x v="1"/>
    <n v="8"/>
    <x v="22"/>
    <n v="0"/>
    <n v="28500"/>
    <n v="0"/>
  </r>
  <r>
    <n v="2019"/>
    <x v="1"/>
    <n v="8"/>
    <x v="23"/>
    <n v="0"/>
    <n v="28500"/>
    <n v="0"/>
  </r>
  <r>
    <n v="2019"/>
    <x v="1"/>
    <n v="9"/>
    <x v="0"/>
    <n v="0"/>
    <n v="28500"/>
    <n v="0"/>
  </r>
  <r>
    <n v="2019"/>
    <x v="1"/>
    <n v="9"/>
    <x v="1"/>
    <n v="0"/>
    <n v="28500"/>
    <n v="0"/>
  </r>
  <r>
    <n v="2019"/>
    <x v="1"/>
    <n v="9"/>
    <x v="2"/>
    <n v="0"/>
    <n v="28500"/>
    <n v="0"/>
  </r>
  <r>
    <n v="2019"/>
    <x v="1"/>
    <n v="9"/>
    <x v="3"/>
    <n v="0"/>
    <n v="28500"/>
    <n v="0"/>
  </r>
  <r>
    <n v="2019"/>
    <x v="1"/>
    <n v="9"/>
    <x v="4"/>
    <n v="0"/>
    <n v="28500"/>
    <n v="0"/>
  </r>
  <r>
    <n v="2019"/>
    <x v="1"/>
    <n v="9"/>
    <x v="5"/>
    <n v="0"/>
    <n v="28500"/>
    <n v="0"/>
  </r>
  <r>
    <n v="2019"/>
    <x v="1"/>
    <n v="9"/>
    <x v="6"/>
    <n v="0"/>
    <n v="28500"/>
    <n v="0"/>
  </r>
  <r>
    <n v="2019"/>
    <x v="1"/>
    <n v="9"/>
    <x v="7"/>
    <n v="0"/>
    <n v="28500"/>
    <n v="0"/>
  </r>
  <r>
    <n v="2019"/>
    <x v="1"/>
    <n v="9"/>
    <x v="8"/>
    <n v="8307"/>
    <n v="28500"/>
    <n v="0.29147368421052633"/>
  </r>
  <r>
    <n v="2019"/>
    <x v="1"/>
    <n v="9"/>
    <x v="9"/>
    <n v="15299"/>
    <n v="28500"/>
    <n v="0.53680701754385962"/>
  </r>
  <r>
    <n v="2019"/>
    <x v="1"/>
    <n v="9"/>
    <x v="10"/>
    <n v="24935"/>
    <n v="28500"/>
    <n v="0.87491228070175442"/>
  </r>
  <r>
    <n v="2019"/>
    <x v="1"/>
    <n v="9"/>
    <x v="11"/>
    <n v="34481"/>
    <n v="28500"/>
    <n v="1.2098596491228071"/>
  </r>
  <r>
    <n v="2019"/>
    <x v="1"/>
    <n v="9"/>
    <x v="12"/>
    <n v="37684.5"/>
    <n v="28500"/>
    <n v="1.3222631578947368"/>
  </r>
  <r>
    <n v="2019"/>
    <x v="1"/>
    <n v="9"/>
    <x v="13"/>
    <n v="23497"/>
    <n v="28500"/>
    <n v="0.82445614035087722"/>
  </r>
  <r>
    <n v="2019"/>
    <x v="1"/>
    <n v="9"/>
    <x v="14"/>
    <n v="21938.5"/>
    <n v="28500"/>
    <n v="0.76977192982456144"/>
  </r>
  <r>
    <n v="2019"/>
    <x v="1"/>
    <n v="9"/>
    <x v="15"/>
    <n v="7263.5"/>
    <n v="28500"/>
    <n v="0.25485964912280701"/>
  </r>
  <r>
    <n v="2019"/>
    <x v="1"/>
    <n v="9"/>
    <x v="16"/>
    <n v="2748.5"/>
    <n v="28500"/>
    <n v="9.6438596491228074E-2"/>
  </r>
  <r>
    <n v="2019"/>
    <x v="1"/>
    <n v="9"/>
    <x v="17"/>
    <n v="0"/>
    <n v="28500"/>
    <n v="0"/>
  </r>
  <r>
    <n v="2019"/>
    <x v="1"/>
    <n v="9"/>
    <x v="18"/>
    <n v="0"/>
    <n v="28500"/>
    <n v="0"/>
  </r>
  <r>
    <n v="2019"/>
    <x v="1"/>
    <n v="9"/>
    <x v="19"/>
    <n v="0"/>
    <n v="28500"/>
    <n v="0"/>
  </r>
  <r>
    <n v="2019"/>
    <x v="1"/>
    <n v="9"/>
    <x v="20"/>
    <n v="0"/>
    <n v="28500"/>
    <n v="0"/>
  </r>
  <r>
    <n v="2019"/>
    <x v="1"/>
    <n v="9"/>
    <x v="21"/>
    <n v="0"/>
    <n v="28500"/>
    <n v="0"/>
  </r>
  <r>
    <n v="2019"/>
    <x v="1"/>
    <n v="9"/>
    <x v="22"/>
    <n v="0"/>
    <n v="28500"/>
    <n v="0"/>
  </r>
  <r>
    <n v="2019"/>
    <x v="1"/>
    <n v="9"/>
    <x v="23"/>
    <n v="0"/>
    <n v="28500"/>
    <n v="0"/>
  </r>
  <r>
    <n v="2019"/>
    <x v="1"/>
    <n v="10"/>
    <x v="0"/>
    <n v="0"/>
    <n v="28500"/>
    <n v="0"/>
  </r>
  <r>
    <n v="2019"/>
    <x v="1"/>
    <n v="10"/>
    <x v="1"/>
    <n v="0"/>
    <n v="28500"/>
    <n v="0"/>
  </r>
  <r>
    <n v="2019"/>
    <x v="1"/>
    <n v="10"/>
    <x v="2"/>
    <n v="0"/>
    <n v="28500"/>
    <n v="0"/>
  </r>
  <r>
    <n v="2019"/>
    <x v="1"/>
    <n v="10"/>
    <x v="3"/>
    <n v="0"/>
    <n v="28500"/>
    <n v="0"/>
  </r>
  <r>
    <n v="2019"/>
    <x v="1"/>
    <n v="10"/>
    <x v="4"/>
    <n v="0"/>
    <n v="28500"/>
    <n v="0"/>
  </r>
  <r>
    <n v="2019"/>
    <x v="1"/>
    <n v="10"/>
    <x v="5"/>
    <n v="0"/>
    <n v="28500"/>
    <n v="0"/>
  </r>
  <r>
    <n v="2019"/>
    <x v="1"/>
    <n v="10"/>
    <x v="6"/>
    <n v="0"/>
    <n v="28500"/>
    <n v="0"/>
  </r>
  <r>
    <n v="2019"/>
    <x v="1"/>
    <n v="10"/>
    <x v="7"/>
    <n v="0"/>
    <n v="28500"/>
    <n v="0"/>
  </r>
  <r>
    <n v="2019"/>
    <x v="1"/>
    <n v="10"/>
    <x v="8"/>
    <n v="0"/>
    <n v="28500"/>
    <n v="0"/>
  </r>
  <r>
    <n v="2019"/>
    <x v="1"/>
    <n v="10"/>
    <x v="9"/>
    <n v="4640.5"/>
    <n v="28500"/>
    <n v="0.16282456140350876"/>
  </r>
  <r>
    <n v="2019"/>
    <x v="1"/>
    <n v="10"/>
    <x v="10"/>
    <n v="2640"/>
    <n v="28500"/>
    <n v="9.2631578947368426E-2"/>
  </r>
  <r>
    <n v="2019"/>
    <x v="1"/>
    <n v="10"/>
    <x v="11"/>
    <n v="4162.5"/>
    <n v="28500"/>
    <n v="0.14605263157894738"/>
  </r>
  <r>
    <n v="2019"/>
    <x v="1"/>
    <n v="10"/>
    <x v="12"/>
    <n v="3439.5"/>
    <n v="28500"/>
    <n v="0.12068421052631578"/>
  </r>
  <r>
    <n v="2019"/>
    <x v="1"/>
    <n v="10"/>
    <x v="13"/>
    <n v="7279.5"/>
    <n v="28500"/>
    <n v="0.25542105263157894"/>
  </r>
  <r>
    <n v="2019"/>
    <x v="1"/>
    <n v="10"/>
    <x v="14"/>
    <n v="9262"/>
    <n v="28500"/>
    <n v="0.32498245614035087"/>
  </r>
  <r>
    <n v="2019"/>
    <x v="1"/>
    <n v="10"/>
    <x v="15"/>
    <n v="11460"/>
    <n v="28500"/>
    <n v="0.40210526315789474"/>
  </r>
  <r>
    <n v="2019"/>
    <x v="1"/>
    <n v="10"/>
    <x v="16"/>
    <n v="429.5"/>
    <n v="28500"/>
    <n v="1.5070175438596491E-2"/>
  </r>
  <r>
    <n v="2019"/>
    <x v="1"/>
    <n v="10"/>
    <x v="17"/>
    <n v="0"/>
    <n v="28500"/>
    <n v="0"/>
  </r>
  <r>
    <n v="2019"/>
    <x v="1"/>
    <n v="10"/>
    <x v="18"/>
    <n v="0"/>
    <n v="28500"/>
    <n v="0"/>
  </r>
  <r>
    <n v="2019"/>
    <x v="1"/>
    <n v="10"/>
    <x v="19"/>
    <n v="0"/>
    <n v="28500"/>
    <n v="0"/>
  </r>
  <r>
    <n v="2019"/>
    <x v="1"/>
    <n v="10"/>
    <x v="20"/>
    <n v="0"/>
    <n v="28500"/>
    <n v="0"/>
  </r>
  <r>
    <n v="2019"/>
    <x v="1"/>
    <n v="10"/>
    <x v="21"/>
    <n v="0"/>
    <n v="28500"/>
    <n v="0"/>
  </r>
  <r>
    <n v="2019"/>
    <x v="1"/>
    <n v="10"/>
    <x v="22"/>
    <n v="0"/>
    <n v="28500"/>
    <n v="0"/>
  </r>
  <r>
    <n v="2019"/>
    <x v="1"/>
    <n v="10"/>
    <x v="23"/>
    <n v="0"/>
    <n v="28500"/>
    <n v="0"/>
  </r>
  <r>
    <n v="2019"/>
    <x v="1"/>
    <n v="11"/>
    <x v="0"/>
    <n v="0"/>
    <n v="28500"/>
    <n v="0"/>
  </r>
  <r>
    <n v="2019"/>
    <x v="1"/>
    <n v="11"/>
    <x v="1"/>
    <n v="0"/>
    <n v="28500"/>
    <n v="0"/>
  </r>
  <r>
    <n v="2019"/>
    <x v="1"/>
    <n v="11"/>
    <x v="2"/>
    <n v="0"/>
    <n v="28500"/>
    <n v="0"/>
  </r>
  <r>
    <n v="2019"/>
    <x v="1"/>
    <n v="11"/>
    <x v="3"/>
    <n v="0"/>
    <n v="28500"/>
    <n v="0"/>
  </r>
  <r>
    <n v="2019"/>
    <x v="1"/>
    <n v="11"/>
    <x v="4"/>
    <n v="0"/>
    <n v="28500"/>
    <n v="0"/>
  </r>
  <r>
    <n v="2019"/>
    <x v="1"/>
    <n v="11"/>
    <x v="5"/>
    <n v="0"/>
    <n v="28500"/>
    <n v="0"/>
  </r>
  <r>
    <n v="2019"/>
    <x v="1"/>
    <n v="11"/>
    <x v="6"/>
    <n v="0"/>
    <n v="28500"/>
    <n v="0"/>
  </r>
  <r>
    <n v="2019"/>
    <x v="1"/>
    <n v="11"/>
    <x v="7"/>
    <n v="0"/>
    <n v="28500"/>
    <n v="0"/>
  </r>
  <r>
    <n v="2019"/>
    <x v="1"/>
    <n v="11"/>
    <x v="8"/>
    <n v="3368"/>
    <n v="28500"/>
    <n v="0.11817543859649123"/>
  </r>
  <r>
    <n v="2019"/>
    <x v="1"/>
    <n v="11"/>
    <x v="9"/>
    <n v="10043.5"/>
    <n v="28500"/>
    <n v="0.35240350877192983"/>
  </r>
  <r>
    <n v="2019"/>
    <x v="1"/>
    <n v="11"/>
    <x v="10"/>
    <n v="29517"/>
    <n v="28500"/>
    <n v="1.0356842105263158"/>
  </r>
  <r>
    <n v="2019"/>
    <x v="1"/>
    <n v="11"/>
    <x v="11"/>
    <n v="32818.5"/>
    <n v="28500"/>
    <n v="1.1515263157894737"/>
  </r>
  <r>
    <n v="2019"/>
    <x v="1"/>
    <n v="11"/>
    <x v="12"/>
    <n v="19994.5"/>
    <n v="28500"/>
    <n v="0.70156140350877194"/>
  </r>
  <r>
    <n v="2019"/>
    <x v="1"/>
    <n v="11"/>
    <x v="13"/>
    <n v="14059"/>
    <n v="28500"/>
    <n v="0.49329824561403507"/>
  </r>
  <r>
    <n v="2019"/>
    <x v="1"/>
    <n v="11"/>
    <x v="14"/>
    <n v="10003"/>
    <n v="28500"/>
    <n v="0.3509824561403509"/>
  </r>
  <r>
    <n v="2019"/>
    <x v="1"/>
    <n v="11"/>
    <x v="15"/>
    <n v="4257.5"/>
    <n v="28500"/>
    <n v="0.14938596491228071"/>
  </r>
  <r>
    <n v="2019"/>
    <x v="1"/>
    <n v="11"/>
    <x v="16"/>
    <n v="97"/>
    <n v="28500"/>
    <n v="3.4035087719298247E-3"/>
  </r>
  <r>
    <n v="2019"/>
    <x v="1"/>
    <n v="11"/>
    <x v="17"/>
    <n v="0"/>
    <n v="28500"/>
    <n v="0"/>
  </r>
  <r>
    <n v="2019"/>
    <x v="1"/>
    <n v="11"/>
    <x v="18"/>
    <n v="0"/>
    <n v="28500"/>
    <n v="0"/>
  </r>
  <r>
    <n v="2019"/>
    <x v="1"/>
    <n v="11"/>
    <x v="19"/>
    <n v="0"/>
    <n v="28500"/>
    <n v="0"/>
  </r>
  <r>
    <n v="2019"/>
    <x v="1"/>
    <n v="11"/>
    <x v="20"/>
    <n v="0"/>
    <n v="28500"/>
    <n v="0"/>
  </r>
  <r>
    <n v="2019"/>
    <x v="1"/>
    <n v="11"/>
    <x v="21"/>
    <n v="0"/>
    <n v="28500"/>
    <n v="0"/>
  </r>
  <r>
    <n v="2019"/>
    <x v="1"/>
    <n v="11"/>
    <x v="22"/>
    <n v="0"/>
    <n v="28500"/>
    <n v="0"/>
  </r>
  <r>
    <n v="2019"/>
    <x v="1"/>
    <n v="11"/>
    <x v="23"/>
    <n v="0"/>
    <n v="28500"/>
    <n v="0"/>
  </r>
  <r>
    <n v="2019"/>
    <x v="1"/>
    <n v="12"/>
    <x v="0"/>
    <n v="0"/>
    <n v="28500"/>
    <n v="0"/>
  </r>
  <r>
    <n v="2019"/>
    <x v="1"/>
    <n v="12"/>
    <x v="1"/>
    <n v="0"/>
    <n v="28500"/>
    <n v="0"/>
  </r>
  <r>
    <n v="2019"/>
    <x v="1"/>
    <n v="12"/>
    <x v="2"/>
    <n v="0"/>
    <n v="28500"/>
    <n v="0"/>
  </r>
  <r>
    <n v="2019"/>
    <x v="1"/>
    <n v="12"/>
    <x v="3"/>
    <n v="0"/>
    <n v="28500"/>
    <n v="0"/>
  </r>
  <r>
    <n v="2019"/>
    <x v="1"/>
    <n v="12"/>
    <x v="4"/>
    <n v="0"/>
    <n v="28500"/>
    <n v="0"/>
  </r>
  <r>
    <n v="2019"/>
    <x v="1"/>
    <n v="12"/>
    <x v="5"/>
    <n v="0"/>
    <n v="28500"/>
    <n v="0"/>
  </r>
  <r>
    <n v="2019"/>
    <x v="1"/>
    <n v="12"/>
    <x v="6"/>
    <n v="0"/>
    <n v="28500"/>
    <n v="0"/>
  </r>
  <r>
    <n v="2019"/>
    <x v="1"/>
    <n v="12"/>
    <x v="7"/>
    <n v="0"/>
    <n v="28500"/>
    <n v="0"/>
  </r>
  <r>
    <n v="2019"/>
    <x v="1"/>
    <n v="12"/>
    <x v="8"/>
    <n v="4879.5"/>
    <n v="28500"/>
    <n v="0.17121052631578948"/>
  </r>
  <r>
    <n v="2019"/>
    <x v="1"/>
    <n v="12"/>
    <x v="9"/>
    <n v="18567"/>
    <n v="28500"/>
    <n v="0.65147368421052632"/>
  </r>
  <r>
    <n v="2019"/>
    <x v="1"/>
    <n v="12"/>
    <x v="10"/>
    <n v="25721"/>
    <n v="28500"/>
    <n v="0.90249122807017546"/>
  </r>
  <r>
    <n v="2019"/>
    <x v="1"/>
    <n v="12"/>
    <x v="11"/>
    <n v="18347"/>
    <n v="28500"/>
    <n v="0.6437543859649123"/>
  </r>
  <r>
    <n v="2019"/>
    <x v="1"/>
    <n v="12"/>
    <x v="12"/>
    <n v="19408"/>
    <n v="28500"/>
    <n v="0.68098245614035091"/>
  </r>
  <r>
    <n v="2019"/>
    <x v="1"/>
    <n v="12"/>
    <x v="13"/>
    <n v="12748.5"/>
    <n v="28500"/>
    <n v="0.44731578947368422"/>
  </r>
  <r>
    <n v="2019"/>
    <x v="1"/>
    <n v="12"/>
    <x v="14"/>
    <n v="23032"/>
    <n v="28500"/>
    <n v="0.80814035087719294"/>
  </r>
  <r>
    <n v="2019"/>
    <x v="1"/>
    <n v="12"/>
    <x v="15"/>
    <n v="11093.5"/>
    <n v="28500"/>
    <n v="0.38924561403508773"/>
  </r>
  <r>
    <n v="2019"/>
    <x v="1"/>
    <n v="12"/>
    <x v="16"/>
    <n v="542.5"/>
    <n v="28500"/>
    <n v="1.9035087719298245E-2"/>
  </r>
  <r>
    <n v="2019"/>
    <x v="1"/>
    <n v="12"/>
    <x v="17"/>
    <n v="0"/>
    <n v="28500"/>
    <n v="0"/>
  </r>
  <r>
    <n v="2019"/>
    <x v="1"/>
    <n v="12"/>
    <x v="18"/>
    <n v="0"/>
    <n v="28500"/>
    <n v="0"/>
  </r>
  <r>
    <n v="2019"/>
    <x v="1"/>
    <n v="12"/>
    <x v="19"/>
    <n v="0"/>
    <n v="28500"/>
    <n v="0"/>
  </r>
  <r>
    <n v="2019"/>
    <x v="1"/>
    <n v="12"/>
    <x v="20"/>
    <n v="0"/>
    <n v="28500"/>
    <n v="0"/>
  </r>
  <r>
    <n v="2019"/>
    <x v="1"/>
    <n v="12"/>
    <x v="21"/>
    <n v="0"/>
    <n v="28500"/>
    <n v="0"/>
  </r>
  <r>
    <n v="2019"/>
    <x v="1"/>
    <n v="12"/>
    <x v="22"/>
    <n v="0"/>
    <n v="28500"/>
    <n v="0"/>
  </r>
  <r>
    <n v="2019"/>
    <x v="1"/>
    <n v="12"/>
    <x v="23"/>
    <n v="0"/>
    <n v="28500"/>
    <n v="0"/>
  </r>
  <r>
    <n v="2019"/>
    <x v="1"/>
    <n v="13"/>
    <x v="0"/>
    <n v="0"/>
    <n v="28500"/>
    <n v="0"/>
  </r>
  <r>
    <n v="2019"/>
    <x v="1"/>
    <n v="13"/>
    <x v="1"/>
    <n v="0"/>
    <n v="28500"/>
    <n v="0"/>
  </r>
  <r>
    <n v="2019"/>
    <x v="1"/>
    <n v="13"/>
    <x v="2"/>
    <n v="0"/>
    <n v="28500"/>
    <n v="0"/>
  </r>
  <r>
    <n v="2019"/>
    <x v="1"/>
    <n v="13"/>
    <x v="3"/>
    <n v="0"/>
    <n v="28500"/>
    <n v="0"/>
  </r>
  <r>
    <n v="2019"/>
    <x v="1"/>
    <n v="13"/>
    <x v="4"/>
    <n v="0"/>
    <n v="28500"/>
    <n v="0"/>
  </r>
  <r>
    <n v="2019"/>
    <x v="1"/>
    <n v="13"/>
    <x v="5"/>
    <n v="0"/>
    <n v="28500"/>
    <n v="0"/>
  </r>
  <r>
    <n v="2019"/>
    <x v="1"/>
    <n v="13"/>
    <x v="6"/>
    <n v="0"/>
    <n v="28500"/>
    <n v="0"/>
  </r>
  <r>
    <n v="2019"/>
    <x v="1"/>
    <n v="13"/>
    <x v="7"/>
    <n v="0"/>
    <n v="28500"/>
    <n v="0"/>
  </r>
  <r>
    <n v="2019"/>
    <x v="1"/>
    <n v="13"/>
    <x v="8"/>
    <n v="1887.5"/>
    <n v="28500"/>
    <n v="6.6228070175438594E-2"/>
  </r>
  <r>
    <n v="2019"/>
    <x v="1"/>
    <n v="13"/>
    <x v="9"/>
    <n v="6306"/>
    <n v="28500"/>
    <n v="0.22126315789473683"/>
  </r>
  <r>
    <n v="2019"/>
    <x v="1"/>
    <n v="13"/>
    <x v="10"/>
    <n v="8123.5"/>
    <n v="28500"/>
    <n v="0.28503508771929825"/>
  </r>
  <r>
    <n v="2019"/>
    <x v="1"/>
    <n v="13"/>
    <x v="11"/>
    <n v="17844.5"/>
    <n v="28500"/>
    <n v="0.62612280701754386"/>
  </r>
  <r>
    <n v="2019"/>
    <x v="1"/>
    <n v="13"/>
    <x v="12"/>
    <n v="22274"/>
    <n v="28500"/>
    <n v="0.78154385964912276"/>
  </r>
  <r>
    <n v="2019"/>
    <x v="1"/>
    <n v="13"/>
    <x v="13"/>
    <n v="23671.5"/>
    <n v="28500"/>
    <n v="0.83057894736842108"/>
  </r>
  <r>
    <n v="2019"/>
    <x v="1"/>
    <n v="13"/>
    <x v="14"/>
    <n v="28995.5"/>
    <n v="28500"/>
    <n v="1.0173859649122807"/>
  </r>
  <r>
    <n v="2019"/>
    <x v="1"/>
    <n v="13"/>
    <x v="15"/>
    <n v="17192"/>
    <n v="28500"/>
    <n v="0.60322807017543856"/>
  </r>
  <r>
    <n v="2019"/>
    <x v="1"/>
    <n v="13"/>
    <x v="16"/>
    <n v="10489.5"/>
    <n v="28500"/>
    <n v="0.36805263157894735"/>
  </r>
  <r>
    <n v="2019"/>
    <x v="1"/>
    <n v="13"/>
    <x v="17"/>
    <n v="0"/>
    <n v="28500"/>
    <n v="0"/>
  </r>
  <r>
    <n v="2019"/>
    <x v="1"/>
    <n v="13"/>
    <x v="18"/>
    <n v="0"/>
    <n v="28500"/>
    <n v="0"/>
  </r>
  <r>
    <n v="2019"/>
    <x v="1"/>
    <n v="13"/>
    <x v="19"/>
    <n v="0"/>
    <n v="28500"/>
    <n v="0"/>
  </r>
  <r>
    <n v="2019"/>
    <x v="1"/>
    <n v="13"/>
    <x v="20"/>
    <n v="0"/>
    <n v="28500"/>
    <n v="0"/>
  </r>
  <r>
    <n v="2019"/>
    <x v="1"/>
    <n v="13"/>
    <x v="21"/>
    <n v="0"/>
    <n v="28500"/>
    <n v="0"/>
  </r>
  <r>
    <n v="2019"/>
    <x v="1"/>
    <n v="13"/>
    <x v="22"/>
    <n v="0"/>
    <n v="28500"/>
    <n v="0"/>
  </r>
  <r>
    <n v="2019"/>
    <x v="1"/>
    <n v="13"/>
    <x v="23"/>
    <n v="0"/>
    <n v="28500"/>
    <n v="0"/>
  </r>
  <r>
    <n v="2019"/>
    <x v="1"/>
    <n v="14"/>
    <x v="0"/>
    <n v="0"/>
    <n v="28500"/>
    <n v="0"/>
  </r>
  <r>
    <n v="2019"/>
    <x v="1"/>
    <n v="14"/>
    <x v="1"/>
    <n v="0"/>
    <n v="28500"/>
    <n v="0"/>
  </r>
  <r>
    <n v="2019"/>
    <x v="1"/>
    <n v="14"/>
    <x v="2"/>
    <n v="0"/>
    <n v="28500"/>
    <n v="0"/>
  </r>
  <r>
    <n v="2019"/>
    <x v="1"/>
    <n v="14"/>
    <x v="3"/>
    <n v="0"/>
    <n v="28500"/>
    <n v="0"/>
  </r>
  <r>
    <n v="2019"/>
    <x v="1"/>
    <n v="14"/>
    <x v="4"/>
    <n v="0"/>
    <n v="28500"/>
    <n v="0"/>
  </r>
  <r>
    <n v="2019"/>
    <x v="1"/>
    <n v="14"/>
    <x v="5"/>
    <n v="0"/>
    <n v="28500"/>
    <n v="0"/>
  </r>
  <r>
    <n v="2019"/>
    <x v="1"/>
    <n v="14"/>
    <x v="6"/>
    <n v="0"/>
    <n v="28500"/>
    <n v="0"/>
  </r>
  <r>
    <n v="2019"/>
    <x v="1"/>
    <n v="14"/>
    <x v="7"/>
    <n v="0"/>
    <n v="28500"/>
    <n v="0"/>
  </r>
  <r>
    <n v="2019"/>
    <x v="1"/>
    <n v="14"/>
    <x v="8"/>
    <n v="9601.5"/>
    <n v="28500"/>
    <n v="0.33689473684210525"/>
  </r>
  <r>
    <n v="2019"/>
    <x v="1"/>
    <n v="14"/>
    <x v="9"/>
    <n v="21163.5"/>
    <n v="28500"/>
    <n v="0.74257894736842101"/>
  </r>
  <r>
    <n v="2019"/>
    <x v="1"/>
    <n v="14"/>
    <x v="10"/>
    <n v="31213"/>
    <n v="28500"/>
    <n v="1.0951929824561404"/>
  </r>
  <r>
    <n v="2019"/>
    <x v="1"/>
    <n v="14"/>
    <x v="11"/>
    <n v="36127"/>
    <n v="28500"/>
    <n v="1.2676140350877192"/>
  </r>
  <r>
    <n v="2019"/>
    <x v="1"/>
    <n v="14"/>
    <x v="12"/>
    <n v="37817"/>
    <n v="28500"/>
    <n v="1.3269122807017544"/>
  </r>
  <r>
    <n v="2019"/>
    <x v="1"/>
    <n v="14"/>
    <x v="13"/>
    <n v="36360"/>
    <n v="28500"/>
    <n v="1.2757894736842106"/>
  </r>
  <r>
    <n v="2019"/>
    <x v="1"/>
    <n v="14"/>
    <x v="14"/>
    <n v="30371.5"/>
    <n v="28500"/>
    <n v="1.0656666666666668"/>
  </r>
  <r>
    <n v="2019"/>
    <x v="1"/>
    <n v="14"/>
    <x v="15"/>
    <n v="23408.5"/>
    <n v="28500"/>
    <n v="0.8213508771929825"/>
  </r>
  <r>
    <n v="2019"/>
    <x v="1"/>
    <n v="14"/>
    <x v="16"/>
    <n v="10835.5"/>
    <n v="28500"/>
    <n v="0.38019298245614036"/>
  </r>
  <r>
    <n v="2019"/>
    <x v="1"/>
    <n v="14"/>
    <x v="17"/>
    <n v="0"/>
    <n v="28500"/>
    <n v="0"/>
  </r>
  <r>
    <n v="2019"/>
    <x v="1"/>
    <n v="14"/>
    <x v="18"/>
    <n v="0"/>
    <n v="28500"/>
    <n v="0"/>
  </r>
  <r>
    <n v="2019"/>
    <x v="1"/>
    <n v="14"/>
    <x v="19"/>
    <n v="0"/>
    <n v="28500"/>
    <n v="0"/>
  </r>
  <r>
    <n v="2019"/>
    <x v="1"/>
    <n v="14"/>
    <x v="20"/>
    <n v="0"/>
    <n v="28500"/>
    <n v="0"/>
  </r>
  <r>
    <n v="2019"/>
    <x v="1"/>
    <n v="14"/>
    <x v="21"/>
    <n v="0"/>
    <n v="28500"/>
    <n v="0"/>
  </r>
  <r>
    <n v="2019"/>
    <x v="1"/>
    <n v="14"/>
    <x v="22"/>
    <n v="0"/>
    <n v="28500"/>
    <n v="0"/>
  </r>
  <r>
    <n v="2019"/>
    <x v="1"/>
    <n v="14"/>
    <x v="23"/>
    <n v="0"/>
    <n v="28500"/>
    <n v="0"/>
  </r>
  <r>
    <n v="2019"/>
    <x v="1"/>
    <n v="15"/>
    <x v="0"/>
    <n v="0"/>
    <n v="28500"/>
    <n v="0"/>
  </r>
  <r>
    <n v="2019"/>
    <x v="1"/>
    <n v="15"/>
    <x v="1"/>
    <n v="0"/>
    <n v="28500"/>
    <n v="0"/>
  </r>
  <r>
    <n v="2019"/>
    <x v="1"/>
    <n v="15"/>
    <x v="2"/>
    <n v="0"/>
    <n v="28500"/>
    <n v="0"/>
  </r>
  <r>
    <n v="2019"/>
    <x v="1"/>
    <n v="15"/>
    <x v="3"/>
    <n v="0"/>
    <n v="28500"/>
    <n v="0"/>
  </r>
  <r>
    <n v="2019"/>
    <x v="1"/>
    <n v="15"/>
    <x v="4"/>
    <n v="0"/>
    <n v="28500"/>
    <n v="0"/>
  </r>
  <r>
    <n v="2019"/>
    <x v="1"/>
    <n v="15"/>
    <x v="5"/>
    <n v="0"/>
    <n v="28500"/>
    <n v="0"/>
  </r>
  <r>
    <n v="2019"/>
    <x v="1"/>
    <n v="15"/>
    <x v="6"/>
    <n v="0"/>
    <n v="28500"/>
    <n v="0"/>
  </r>
  <r>
    <n v="2019"/>
    <x v="1"/>
    <n v="15"/>
    <x v="7"/>
    <n v="0"/>
    <n v="28500"/>
    <n v="0"/>
  </r>
  <r>
    <n v="2019"/>
    <x v="1"/>
    <n v="15"/>
    <x v="8"/>
    <n v="10940.5"/>
    <n v="28500"/>
    <n v="0.38387719298245615"/>
  </r>
  <r>
    <n v="2019"/>
    <x v="1"/>
    <n v="15"/>
    <x v="9"/>
    <n v="21967.5"/>
    <n v="28500"/>
    <n v="0.77078947368421058"/>
  </r>
  <r>
    <n v="2019"/>
    <x v="1"/>
    <n v="15"/>
    <x v="10"/>
    <n v="32228.5"/>
    <n v="28500"/>
    <n v="1.1308245614035088"/>
  </r>
  <r>
    <n v="2019"/>
    <x v="1"/>
    <n v="15"/>
    <x v="11"/>
    <n v="37039"/>
    <n v="28500"/>
    <n v="1.2996140350877192"/>
  </r>
  <r>
    <n v="2019"/>
    <x v="1"/>
    <n v="15"/>
    <x v="12"/>
    <n v="38862.5"/>
    <n v="28500"/>
    <n v="1.3635964912280703"/>
  </r>
  <r>
    <n v="2019"/>
    <x v="1"/>
    <n v="15"/>
    <x v="13"/>
    <n v="37244.5"/>
    <n v="28500"/>
    <n v="1.3068245614035088"/>
  </r>
  <r>
    <n v="2019"/>
    <x v="1"/>
    <n v="15"/>
    <x v="14"/>
    <n v="30595"/>
    <n v="28500"/>
    <n v="1.0735087719298246"/>
  </r>
  <r>
    <n v="2019"/>
    <x v="1"/>
    <n v="15"/>
    <x v="15"/>
    <n v="23274"/>
    <n v="28500"/>
    <n v="0.81663157894736838"/>
  </r>
  <r>
    <n v="2019"/>
    <x v="1"/>
    <n v="15"/>
    <x v="16"/>
    <n v="11442.5"/>
    <n v="28500"/>
    <n v="0.40149122807017545"/>
  </r>
  <r>
    <n v="2019"/>
    <x v="1"/>
    <n v="15"/>
    <x v="17"/>
    <n v="0"/>
    <n v="28500"/>
    <n v="0"/>
  </r>
  <r>
    <n v="2019"/>
    <x v="1"/>
    <n v="15"/>
    <x v="18"/>
    <n v="0"/>
    <n v="28500"/>
    <n v="0"/>
  </r>
  <r>
    <n v="2019"/>
    <x v="1"/>
    <n v="15"/>
    <x v="19"/>
    <n v="0"/>
    <n v="28500"/>
    <n v="0"/>
  </r>
  <r>
    <n v="2019"/>
    <x v="1"/>
    <n v="15"/>
    <x v="20"/>
    <n v="0"/>
    <n v="28500"/>
    <n v="0"/>
  </r>
  <r>
    <n v="2019"/>
    <x v="1"/>
    <n v="15"/>
    <x v="21"/>
    <n v="0"/>
    <n v="28500"/>
    <n v="0"/>
  </r>
  <r>
    <n v="2019"/>
    <x v="1"/>
    <n v="15"/>
    <x v="22"/>
    <n v="0"/>
    <n v="28500"/>
    <n v="0"/>
  </r>
  <r>
    <n v="2019"/>
    <x v="1"/>
    <n v="15"/>
    <x v="23"/>
    <n v="0"/>
    <n v="28500"/>
    <n v="0"/>
  </r>
  <r>
    <n v="2019"/>
    <x v="1"/>
    <n v="16"/>
    <x v="0"/>
    <n v="0"/>
    <n v="28500"/>
    <n v="0"/>
  </r>
  <r>
    <n v="2019"/>
    <x v="1"/>
    <n v="16"/>
    <x v="1"/>
    <n v="0"/>
    <n v="28500"/>
    <n v="0"/>
  </r>
  <r>
    <n v="2019"/>
    <x v="1"/>
    <n v="16"/>
    <x v="2"/>
    <n v="0"/>
    <n v="28500"/>
    <n v="0"/>
  </r>
  <r>
    <n v="2019"/>
    <x v="1"/>
    <n v="16"/>
    <x v="3"/>
    <n v="0"/>
    <n v="28500"/>
    <n v="0"/>
  </r>
  <r>
    <n v="2019"/>
    <x v="1"/>
    <n v="16"/>
    <x v="4"/>
    <n v="0"/>
    <n v="28500"/>
    <n v="0"/>
  </r>
  <r>
    <n v="2019"/>
    <x v="1"/>
    <n v="16"/>
    <x v="5"/>
    <n v="0"/>
    <n v="28500"/>
    <n v="0"/>
  </r>
  <r>
    <n v="2019"/>
    <x v="1"/>
    <n v="16"/>
    <x v="6"/>
    <n v="0"/>
    <n v="28500"/>
    <n v="0"/>
  </r>
  <r>
    <n v="2019"/>
    <x v="1"/>
    <n v="16"/>
    <x v="7"/>
    <n v="0"/>
    <n v="28500"/>
    <n v="0"/>
  </r>
  <r>
    <n v="2019"/>
    <x v="1"/>
    <n v="16"/>
    <x v="8"/>
    <n v="278.5"/>
    <n v="28500"/>
    <n v="9.7719298245614039E-3"/>
  </r>
  <r>
    <n v="2019"/>
    <x v="1"/>
    <n v="16"/>
    <x v="9"/>
    <n v="3157.5"/>
    <n v="28500"/>
    <n v="0.11078947368421052"/>
  </r>
  <r>
    <n v="2019"/>
    <x v="1"/>
    <n v="16"/>
    <x v="10"/>
    <n v="3380"/>
    <n v="28500"/>
    <n v="0.11859649122807017"/>
  </r>
  <r>
    <n v="2019"/>
    <x v="1"/>
    <n v="16"/>
    <x v="11"/>
    <n v="4725.5"/>
    <n v="28500"/>
    <n v="0.16580701754385965"/>
  </r>
  <r>
    <n v="2019"/>
    <x v="1"/>
    <n v="16"/>
    <x v="12"/>
    <n v="4209.5"/>
    <n v="28500"/>
    <n v="0.14770175438596492"/>
  </r>
  <r>
    <n v="2019"/>
    <x v="1"/>
    <n v="16"/>
    <x v="13"/>
    <n v="4508"/>
    <n v="28500"/>
    <n v="0.15817543859649122"/>
  </r>
  <r>
    <n v="2019"/>
    <x v="1"/>
    <n v="16"/>
    <x v="14"/>
    <n v="2548"/>
    <n v="28500"/>
    <n v="8.9403508771929818E-2"/>
  </r>
  <r>
    <n v="2019"/>
    <x v="1"/>
    <n v="16"/>
    <x v="15"/>
    <n v="3293"/>
    <n v="28500"/>
    <n v="0.11554385964912281"/>
  </r>
  <r>
    <n v="2019"/>
    <x v="1"/>
    <n v="16"/>
    <x v="16"/>
    <n v="1664.5"/>
    <n v="28500"/>
    <n v="5.8403508771929825E-2"/>
  </r>
  <r>
    <n v="2019"/>
    <x v="1"/>
    <n v="16"/>
    <x v="17"/>
    <n v="0"/>
    <n v="28500"/>
    <n v="0"/>
  </r>
  <r>
    <n v="2019"/>
    <x v="1"/>
    <n v="16"/>
    <x v="18"/>
    <n v="0"/>
    <n v="28500"/>
    <n v="0"/>
  </r>
  <r>
    <n v="2019"/>
    <x v="1"/>
    <n v="16"/>
    <x v="19"/>
    <n v="0"/>
    <n v="28500"/>
    <n v="0"/>
  </r>
  <r>
    <n v="2019"/>
    <x v="1"/>
    <n v="16"/>
    <x v="20"/>
    <n v="0"/>
    <n v="28500"/>
    <n v="0"/>
  </r>
  <r>
    <n v="2019"/>
    <x v="1"/>
    <n v="16"/>
    <x v="21"/>
    <n v="0"/>
    <n v="28500"/>
    <n v="0"/>
  </r>
  <r>
    <n v="2019"/>
    <x v="1"/>
    <n v="16"/>
    <x v="22"/>
    <n v="0"/>
    <n v="28500"/>
    <n v="0"/>
  </r>
  <r>
    <n v="2019"/>
    <x v="1"/>
    <n v="16"/>
    <x v="23"/>
    <n v="0"/>
    <n v="28500"/>
    <n v="0"/>
  </r>
  <r>
    <n v="2019"/>
    <x v="1"/>
    <n v="17"/>
    <x v="0"/>
    <n v="0"/>
    <n v="28500"/>
    <n v="0"/>
  </r>
  <r>
    <n v="2019"/>
    <x v="1"/>
    <n v="17"/>
    <x v="1"/>
    <n v="0"/>
    <n v="28500"/>
    <n v="0"/>
  </r>
  <r>
    <n v="2019"/>
    <x v="1"/>
    <n v="17"/>
    <x v="2"/>
    <n v="0"/>
    <n v="28500"/>
    <n v="0"/>
  </r>
  <r>
    <n v="2019"/>
    <x v="1"/>
    <n v="17"/>
    <x v="3"/>
    <n v="0"/>
    <n v="28500"/>
    <n v="0"/>
  </r>
  <r>
    <n v="2019"/>
    <x v="1"/>
    <n v="17"/>
    <x v="4"/>
    <n v="0"/>
    <n v="28500"/>
    <n v="0"/>
  </r>
  <r>
    <n v="2019"/>
    <x v="1"/>
    <n v="17"/>
    <x v="5"/>
    <n v="0"/>
    <n v="28500"/>
    <n v="0"/>
  </r>
  <r>
    <n v="2019"/>
    <x v="1"/>
    <n v="17"/>
    <x v="6"/>
    <n v="0"/>
    <n v="28500"/>
    <n v="0"/>
  </r>
  <r>
    <n v="2019"/>
    <x v="1"/>
    <n v="17"/>
    <x v="7"/>
    <n v="0"/>
    <n v="28500"/>
    <n v="0"/>
  </r>
  <r>
    <n v="2019"/>
    <x v="1"/>
    <n v="17"/>
    <x v="8"/>
    <n v="11133"/>
    <n v="28500"/>
    <n v="0.39063157894736844"/>
  </r>
  <r>
    <n v="2019"/>
    <x v="1"/>
    <n v="17"/>
    <x v="9"/>
    <n v="15497.5"/>
    <n v="28500"/>
    <n v="0.54377192982456135"/>
  </r>
  <r>
    <n v="2019"/>
    <x v="1"/>
    <n v="17"/>
    <x v="10"/>
    <n v="31007"/>
    <n v="28500"/>
    <n v="1.0879649122807018"/>
  </r>
  <r>
    <n v="2019"/>
    <x v="1"/>
    <n v="17"/>
    <x v="11"/>
    <n v="37353.5"/>
    <n v="28500"/>
    <n v="1.3106491228070176"/>
  </r>
  <r>
    <n v="2019"/>
    <x v="1"/>
    <n v="17"/>
    <x v="12"/>
    <n v="39148.5"/>
    <n v="28500"/>
    <n v="1.3736315789473683"/>
  </r>
  <r>
    <n v="2019"/>
    <x v="1"/>
    <n v="17"/>
    <x v="13"/>
    <n v="37249.5"/>
    <n v="28500"/>
    <n v="1.3069999999999999"/>
  </r>
  <r>
    <n v="2019"/>
    <x v="1"/>
    <n v="17"/>
    <x v="14"/>
    <n v="28920.5"/>
    <n v="28500"/>
    <n v="1.0147543859649122"/>
  </r>
  <r>
    <n v="2019"/>
    <x v="1"/>
    <n v="17"/>
    <x v="15"/>
    <n v="22537"/>
    <n v="28500"/>
    <n v="0.79077192982456135"/>
  </r>
  <r>
    <n v="2019"/>
    <x v="1"/>
    <n v="17"/>
    <x v="16"/>
    <n v="3797"/>
    <n v="28500"/>
    <n v="0.13322807017543858"/>
  </r>
  <r>
    <n v="2019"/>
    <x v="1"/>
    <n v="17"/>
    <x v="17"/>
    <n v="0"/>
    <n v="28500"/>
    <n v="0"/>
  </r>
  <r>
    <n v="2019"/>
    <x v="1"/>
    <n v="17"/>
    <x v="18"/>
    <n v="0"/>
    <n v="28500"/>
    <n v="0"/>
  </r>
  <r>
    <n v="2019"/>
    <x v="1"/>
    <n v="17"/>
    <x v="19"/>
    <n v="0"/>
    <n v="28500"/>
    <n v="0"/>
  </r>
  <r>
    <n v="2019"/>
    <x v="1"/>
    <n v="17"/>
    <x v="20"/>
    <n v="0"/>
    <n v="28500"/>
    <n v="0"/>
  </r>
  <r>
    <n v="2019"/>
    <x v="1"/>
    <n v="17"/>
    <x v="21"/>
    <n v="0"/>
    <n v="28500"/>
    <n v="0"/>
  </r>
  <r>
    <n v="2019"/>
    <x v="1"/>
    <n v="17"/>
    <x v="22"/>
    <n v="0"/>
    <n v="28500"/>
    <n v="0"/>
  </r>
  <r>
    <n v="2019"/>
    <x v="1"/>
    <n v="17"/>
    <x v="23"/>
    <n v="0"/>
    <n v="28500"/>
    <n v="0"/>
  </r>
  <r>
    <n v="2019"/>
    <x v="1"/>
    <n v="18"/>
    <x v="0"/>
    <n v="0"/>
    <n v="28500"/>
    <n v="0"/>
  </r>
  <r>
    <n v="2019"/>
    <x v="1"/>
    <n v="18"/>
    <x v="1"/>
    <n v="0"/>
    <n v="28500"/>
    <n v="0"/>
  </r>
  <r>
    <n v="2019"/>
    <x v="1"/>
    <n v="18"/>
    <x v="2"/>
    <n v="0"/>
    <n v="28500"/>
    <n v="0"/>
  </r>
  <r>
    <n v="2019"/>
    <x v="1"/>
    <n v="18"/>
    <x v="3"/>
    <n v="0"/>
    <n v="28500"/>
    <n v="0"/>
  </r>
  <r>
    <n v="2019"/>
    <x v="1"/>
    <n v="18"/>
    <x v="4"/>
    <n v="0"/>
    <n v="28500"/>
    <n v="0"/>
  </r>
  <r>
    <n v="2019"/>
    <x v="1"/>
    <n v="18"/>
    <x v="5"/>
    <n v="0"/>
    <n v="28500"/>
    <n v="0"/>
  </r>
  <r>
    <n v="2019"/>
    <x v="1"/>
    <n v="18"/>
    <x v="6"/>
    <n v="0"/>
    <n v="28500"/>
    <n v="0"/>
  </r>
  <r>
    <n v="2019"/>
    <x v="1"/>
    <n v="18"/>
    <x v="7"/>
    <n v="0"/>
    <n v="28500"/>
    <n v="0"/>
  </r>
  <r>
    <n v="2019"/>
    <x v="1"/>
    <n v="18"/>
    <x v="8"/>
    <n v="518.5"/>
    <n v="28500"/>
    <n v="1.8192982456140351E-2"/>
  </r>
  <r>
    <n v="2019"/>
    <x v="1"/>
    <n v="18"/>
    <x v="9"/>
    <n v="1618.5"/>
    <n v="28500"/>
    <n v="5.6789473684210529E-2"/>
  </r>
  <r>
    <n v="2019"/>
    <x v="1"/>
    <n v="18"/>
    <x v="10"/>
    <n v="2167"/>
    <n v="28500"/>
    <n v="7.6035087719298247E-2"/>
  </r>
  <r>
    <n v="2019"/>
    <x v="1"/>
    <n v="18"/>
    <x v="11"/>
    <n v="3346"/>
    <n v="28500"/>
    <n v="0.11740350877192983"/>
  </r>
  <r>
    <n v="2019"/>
    <x v="1"/>
    <n v="18"/>
    <x v="12"/>
    <n v="4641.5"/>
    <n v="28500"/>
    <n v="0.16285964912280701"/>
  </r>
  <r>
    <n v="2019"/>
    <x v="1"/>
    <n v="18"/>
    <x v="13"/>
    <n v="3311.5"/>
    <n v="28500"/>
    <n v="0.11619298245614035"/>
  </r>
  <r>
    <n v="2019"/>
    <x v="1"/>
    <n v="18"/>
    <x v="14"/>
    <n v="2093.5"/>
    <n v="28500"/>
    <n v="7.3456140350877192E-2"/>
  </r>
  <r>
    <n v="2019"/>
    <x v="1"/>
    <n v="18"/>
    <x v="15"/>
    <n v="1686.5"/>
    <n v="28500"/>
    <n v="5.9175438596491228E-2"/>
  </r>
  <r>
    <n v="2019"/>
    <x v="1"/>
    <n v="18"/>
    <x v="16"/>
    <n v="7258"/>
    <n v="28500"/>
    <n v="0.25466666666666665"/>
  </r>
  <r>
    <n v="2019"/>
    <x v="1"/>
    <n v="18"/>
    <x v="17"/>
    <n v="0"/>
    <n v="28500"/>
    <n v="0"/>
  </r>
  <r>
    <n v="2019"/>
    <x v="1"/>
    <n v="18"/>
    <x v="18"/>
    <n v="0"/>
    <n v="28500"/>
    <n v="0"/>
  </r>
  <r>
    <n v="2019"/>
    <x v="1"/>
    <n v="18"/>
    <x v="19"/>
    <n v="0"/>
    <n v="28500"/>
    <n v="0"/>
  </r>
  <r>
    <n v="2019"/>
    <x v="1"/>
    <n v="18"/>
    <x v="20"/>
    <n v="0"/>
    <n v="28500"/>
    <n v="0"/>
  </r>
  <r>
    <n v="2019"/>
    <x v="1"/>
    <n v="18"/>
    <x v="21"/>
    <n v="0"/>
    <n v="28500"/>
    <n v="0"/>
  </r>
  <r>
    <n v="2019"/>
    <x v="1"/>
    <n v="18"/>
    <x v="22"/>
    <n v="0"/>
    <n v="28500"/>
    <n v="0"/>
  </r>
  <r>
    <n v="2019"/>
    <x v="1"/>
    <n v="18"/>
    <x v="23"/>
    <n v="0"/>
    <n v="28500"/>
    <n v="0"/>
  </r>
  <r>
    <n v="2019"/>
    <x v="1"/>
    <n v="19"/>
    <x v="0"/>
    <n v="0"/>
    <n v="28500"/>
    <n v="0"/>
  </r>
  <r>
    <n v="2019"/>
    <x v="1"/>
    <n v="19"/>
    <x v="1"/>
    <n v="0"/>
    <n v="28500"/>
    <n v="0"/>
  </r>
  <r>
    <n v="2019"/>
    <x v="1"/>
    <n v="19"/>
    <x v="2"/>
    <n v="0"/>
    <n v="28500"/>
    <n v="0"/>
  </r>
  <r>
    <n v="2019"/>
    <x v="1"/>
    <n v="19"/>
    <x v="3"/>
    <n v="0"/>
    <n v="28500"/>
    <n v="0"/>
  </r>
  <r>
    <n v="2019"/>
    <x v="1"/>
    <n v="19"/>
    <x v="4"/>
    <n v="0"/>
    <n v="28500"/>
    <n v="0"/>
  </r>
  <r>
    <n v="2019"/>
    <x v="1"/>
    <n v="19"/>
    <x v="5"/>
    <n v="0"/>
    <n v="28500"/>
    <n v="0"/>
  </r>
  <r>
    <n v="2019"/>
    <x v="1"/>
    <n v="19"/>
    <x v="6"/>
    <n v="0"/>
    <n v="28500"/>
    <n v="0"/>
  </r>
  <r>
    <n v="2019"/>
    <x v="1"/>
    <n v="19"/>
    <x v="7"/>
    <n v="0"/>
    <n v="28500"/>
    <n v="0"/>
  </r>
  <r>
    <n v="2019"/>
    <x v="1"/>
    <n v="19"/>
    <x v="8"/>
    <n v="12188.5"/>
    <n v="28500"/>
    <n v="0.42766666666666664"/>
  </r>
  <r>
    <n v="2019"/>
    <x v="1"/>
    <n v="19"/>
    <x v="9"/>
    <n v="22967"/>
    <n v="28500"/>
    <n v="0.80585964912280705"/>
  </r>
  <r>
    <n v="2019"/>
    <x v="1"/>
    <n v="19"/>
    <x v="10"/>
    <n v="31636"/>
    <n v="28500"/>
    <n v="1.1100350877192982"/>
  </r>
  <r>
    <n v="2019"/>
    <x v="1"/>
    <n v="19"/>
    <x v="11"/>
    <n v="32863"/>
    <n v="28500"/>
    <n v="1.1530877192982456"/>
  </r>
  <r>
    <n v="2019"/>
    <x v="1"/>
    <n v="19"/>
    <x v="12"/>
    <n v="24475.5"/>
    <n v="28500"/>
    <n v="0.85878947368421055"/>
  </r>
  <r>
    <n v="2019"/>
    <x v="1"/>
    <n v="19"/>
    <x v="13"/>
    <n v="18740.5"/>
    <n v="28500"/>
    <n v="0.6575614035087719"/>
  </r>
  <r>
    <n v="2019"/>
    <x v="1"/>
    <n v="19"/>
    <x v="14"/>
    <n v="13648"/>
    <n v="28500"/>
    <n v="0.47887719298245612"/>
  </r>
  <r>
    <n v="2019"/>
    <x v="1"/>
    <n v="19"/>
    <x v="15"/>
    <n v="19021"/>
    <n v="28500"/>
    <n v="0.66740350877192978"/>
  </r>
  <r>
    <n v="2019"/>
    <x v="1"/>
    <n v="19"/>
    <x v="16"/>
    <n v="3375.5"/>
    <n v="28500"/>
    <n v="0.11843859649122807"/>
  </r>
  <r>
    <n v="2019"/>
    <x v="1"/>
    <n v="19"/>
    <x v="17"/>
    <n v="0"/>
    <n v="28500"/>
    <n v="0"/>
  </r>
  <r>
    <n v="2019"/>
    <x v="1"/>
    <n v="19"/>
    <x v="18"/>
    <n v="0"/>
    <n v="28500"/>
    <n v="0"/>
  </r>
  <r>
    <n v="2019"/>
    <x v="1"/>
    <n v="19"/>
    <x v="19"/>
    <n v="0"/>
    <n v="28500"/>
    <n v="0"/>
  </r>
  <r>
    <n v="2019"/>
    <x v="1"/>
    <n v="19"/>
    <x v="20"/>
    <n v="0"/>
    <n v="28500"/>
    <n v="0"/>
  </r>
  <r>
    <n v="2019"/>
    <x v="1"/>
    <n v="19"/>
    <x v="21"/>
    <n v="0"/>
    <n v="28500"/>
    <n v="0"/>
  </r>
  <r>
    <n v="2019"/>
    <x v="1"/>
    <n v="19"/>
    <x v="22"/>
    <n v="0"/>
    <n v="28500"/>
    <n v="0"/>
  </r>
  <r>
    <n v="2019"/>
    <x v="1"/>
    <n v="19"/>
    <x v="23"/>
    <n v="0"/>
    <n v="28500"/>
    <n v="0"/>
  </r>
  <r>
    <n v="2019"/>
    <x v="1"/>
    <n v="20"/>
    <x v="0"/>
    <n v="0"/>
    <n v="28500"/>
    <n v="0"/>
  </r>
  <r>
    <n v="2019"/>
    <x v="1"/>
    <n v="20"/>
    <x v="1"/>
    <n v="0"/>
    <n v="28500"/>
    <n v="0"/>
  </r>
  <r>
    <n v="2019"/>
    <x v="1"/>
    <n v="20"/>
    <x v="2"/>
    <n v="0"/>
    <n v="28500"/>
    <n v="0"/>
  </r>
  <r>
    <n v="2019"/>
    <x v="1"/>
    <n v="20"/>
    <x v="3"/>
    <n v="0"/>
    <n v="28500"/>
    <n v="0"/>
  </r>
  <r>
    <n v="2019"/>
    <x v="1"/>
    <n v="20"/>
    <x v="4"/>
    <n v="0"/>
    <n v="28500"/>
    <n v="0"/>
  </r>
  <r>
    <n v="2019"/>
    <x v="1"/>
    <n v="20"/>
    <x v="5"/>
    <n v="0"/>
    <n v="28500"/>
    <n v="0"/>
  </r>
  <r>
    <n v="2019"/>
    <x v="1"/>
    <n v="20"/>
    <x v="6"/>
    <n v="0"/>
    <n v="28500"/>
    <n v="0"/>
  </r>
  <r>
    <n v="2019"/>
    <x v="1"/>
    <n v="20"/>
    <x v="7"/>
    <n v="0"/>
    <n v="28500"/>
    <n v="0"/>
  </r>
  <r>
    <n v="2019"/>
    <x v="1"/>
    <n v="20"/>
    <x v="8"/>
    <n v="7484"/>
    <n v="28500"/>
    <n v="0.26259649122807016"/>
  </r>
  <r>
    <n v="2019"/>
    <x v="1"/>
    <n v="20"/>
    <x v="9"/>
    <n v="21983"/>
    <n v="28500"/>
    <n v="0.77133333333333332"/>
  </r>
  <r>
    <n v="2019"/>
    <x v="1"/>
    <n v="20"/>
    <x v="10"/>
    <n v="30576"/>
    <n v="28500"/>
    <n v="1.0728421052631578"/>
  </r>
  <r>
    <n v="2019"/>
    <x v="1"/>
    <n v="20"/>
    <x v="11"/>
    <n v="28062.5"/>
    <n v="28500"/>
    <n v="0.98464912280701755"/>
  </r>
  <r>
    <n v="2019"/>
    <x v="1"/>
    <n v="20"/>
    <x v="12"/>
    <n v="10363"/>
    <n v="28500"/>
    <n v="0.36361403508771928"/>
  </r>
  <r>
    <n v="2019"/>
    <x v="1"/>
    <n v="20"/>
    <x v="13"/>
    <n v="20085"/>
    <n v="28500"/>
    <n v="0.70473684210526311"/>
  </r>
  <r>
    <n v="2019"/>
    <x v="1"/>
    <n v="20"/>
    <x v="14"/>
    <n v="25847"/>
    <n v="28500"/>
    <n v="0.90691228070175434"/>
  </r>
  <r>
    <n v="2019"/>
    <x v="1"/>
    <n v="20"/>
    <x v="15"/>
    <n v="20363.5"/>
    <n v="28500"/>
    <n v="0.71450877192982454"/>
  </r>
  <r>
    <n v="2019"/>
    <x v="1"/>
    <n v="20"/>
    <x v="16"/>
    <n v="12527"/>
    <n v="28500"/>
    <n v="0.43954385964912279"/>
  </r>
  <r>
    <n v="2019"/>
    <x v="1"/>
    <n v="20"/>
    <x v="17"/>
    <n v="0"/>
    <n v="28500"/>
    <n v="0"/>
  </r>
  <r>
    <n v="2019"/>
    <x v="1"/>
    <n v="20"/>
    <x v="18"/>
    <n v="0"/>
    <n v="28500"/>
    <n v="0"/>
  </r>
  <r>
    <n v="2019"/>
    <x v="1"/>
    <n v="20"/>
    <x v="19"/>
    <n v="0"/>
    <n v="28500"/>
    <n v="0"/>
  </r>
  <r>
    <n v="2019"/>
    <x v="1"/>
    <n v="20"/>
    <x v="20"/>
    <n v="0"/>
    <n v="28500"/>
    <n v="0"/>
  </r>
  <r>
    <n v="2019"/>
    <x v="1"/>
    <n v="20"/>
    <x v="21"/>
    <n v="0"/>
    <n v="28500"/>
    <n v="0"/>
  </r>
  <r>
    <n v="2019"/>
    <x v="1"/>
    <n v="20"/>
    <x v="22"/>
    <n v="0"/>
    <n v="28500"/>
    <n v="0"/>
  </r>
  <r>
    <n v="2019"/>
    <x v="1"/>
    <n v="20"/>
    <x v="23"/>
    <n v="0"/>
    <n v="28500"/>
    <n v="0"/>
  </r>
  <r>
    <n v="2019"/>
    <x v="1"/>
    <n v="21"/>
    <x v="0"/>
    <n v="0"/>
    <n v="28500"/>
    <n v="0"/>
  </r>
  <r>
    <n v="2019"/>
    <x v="1"/>
    <n v="21"/>
    <x v="1"/>
    <n v="0"/>
    <n v="28500"/>
    <n v="0"/>
  </r>
  <r>
    <n v="2019"/>
    <x v="1"/>
    <n v="21"/>
    <x v="2"/>
    <n v="0"/>
    <n v="28500"/>
    <n v="0"/>
  </r>
  <r>
    <n v="2019"/>
    <x v="1"/>
    <n v="21"/>
    <x v="3"/>
    <n v="0"/>
    <n v="28500"/>
    <n v="0"/>
  </r>
  <r>
    <n v="2019"/>
    <x v="1"/>
    <n v="21"/>
    <x v="4"/>
    <n v="0"/>
    <n v="28500"/>
    <n v="0"/>
  </r>
  <r>
    <n v="2019"/>
    <x v="1"/>
    <n v="21"/>
    <x v="5"/>
    <n v="0"/>
    <n v="28500"/>
    <n v="0"/>
  </r>
  <r>
    <n v="2019"/>
    <x v="1"/>
    <n v="21"/>
    <x v="6"/>
    <n v="0"/>
    <n v="28500"/>
    <n v="0"/>
  </r>
  <r>
    <n v="2019"/>
    <x v="1"/>
    <n v="21"/>
    <x v="7"/>
    <n v="0"/>
    <n v="28500"/>
    <n v="0"/>
  </r>
  <r>
    <n v="2019"/>
    <x v="1"/>
    <n v="21"/>
    <x v="8"/>
    <n v="4334.5"/>
    <n v="28500"/>
    <n v="0.1520877192982456"/>
  </r>
  <r>
    <n v="2019"/>
    <x v="1"/>
    <n v="21"/>
    <x v="9"/>
    <n v="4803"/>
    <n v="28500"/>
    <n v="0.16852631578947369"/>
  </r>
  <r>
    <n v="2019"/>
    <x v="1"/>
    <n v="21"/>
    <x v="10"/>
    <n v="3782"/>
    <n v="28500"/>
    <n v="0.1327017543859649"/>
  </r>
  <r>
    <n v="2019"/>
    <x v="1"/>
    <n v="21"/>
    <x v="11"/>
    <n v="21926"/>
    <n v="28500"/>
    <n v="0.76933333333333331"/>
  </r>
  <r>
    <n v="2019"/>
    <x v="1"/>
    <n v="21"/>
    <x v="12"/>
    <n v="33182"/>
    <n v="28500"/>
    <n v="1.1642807017543859"/>
  </r>
  <r>
    <n v="2019"/>
    <x v="1"/>
    <n v="21"/>
    <x v="13"/>
    <n v="34824.5"/>
    <n v="28500"/>
    <n v="1.2219122807017544"/>
  </r>
  <r>
    <n v="2019"/>
    <x v="1"/>
    <n v="21"/>
    <x v="14"/>
    <n v="28513.5"/>
    <n v="28500"/>
    <n v="1.0004736842105264"/>
  </r>
  <r>
    <n v="2019"/>
    <x v="1"/>
    <n v="21"/>
    <x v="15"/>
    <n v="22150.5"/>
    <n v="28500"/>
    <n v="0.77721052631578946"/>
  </r>
  <r>
    <n v="2019"/>
    <x v="1"/>
    <n v="21"/>
    <x v="16"/>
    <n v="12060"/>
    <n v="28500"/>
    <n v="0.42315789473684212"/>
  </r>
  <r>
    <n v="2019"/>
    <x v="1"/>
    <n v="21"/>
    <x v="17"/>
    <n v="0"/>
    <n v="28500"/>
    <n v="0"/>
  </r>
  <r>
    <n v="2019"/>
    <x v="1"/>
    <n v="21"/>
    <x v="18"/>
    <n v="0"/>
    <n v="28500"/>
    <n v="0"/>
  </r>
  <r>
    <n v="2019"/>
    <x v="1"/>
    <n v="21"/>
    <x v="19"/>
    <n v="0"/>
    <n v="28500"/>
    <n v="0"/>
  </r>
  <r>
    <n v="2019"/>
    <x v="1"/>
    <n v="21"/>
    <x v="20"/>
    <n v="0"/>
    <n v="28500"/>
    <n v="0"/>
  </r>
  <r>
    <n v="2019"/>
    <x v="1"/>
    <n v="21"/>
    <x v="21"/>
    <n v="0"/>
    <n v="28500"/>
    <n v="0"/>
  </r>
  <r>
    <n v="2019"/>
    <x v="1"/>
    <n v="21"/>
    <x v="22"/>
    <n v="0"/>
    <n v="28500"/>
    <n v="0"/>
  </r>
  <r>
    <n v="2019"/>
    <x v="1"/>
    <n v="21"/>
    <x v="23"/>
    <n v="0"/>
    <n v="28500"/>
    <n v="0"/>
  </r>
  <r>
    <n v="2019"/>
    <x v="1"/>
    <n v="22"/>
    <x v="0"/>
    <n v="0"/>
    <n v="28500"/>
    <n v="0"/>
  </r>
  <r>
    <n v="2019"/>
    <x v="1"/>
    <n v="22"/>
    <x v="1"/>
    <n v="0"/>
    <n v="28500"/>
    <n v="0"/>
  </r>
  <r>
    <n v="2019"/>
    <x v="1"/>
    <n v="22"/>
    <x v="2"/>
    <n v="0"/>
    <n v="28500"/>
    <n v="0"/>
  </r>
  <r>
    <n v="2019"/>
    <x v="1"/>
    <n v="22"/>
    <x v="3"/>
    <n v="0"/>
    <n v="28500"/>
    <n v="0"/>
  </r>
  <r>
    <n v="2019"/>
    <x v="1"/>
    <n v="22"/>
    <x v="4"/>
    <n v="0"/>
    <n v="28500"/>
    <n v="0"/>
  </r>
  <r>
    <n v="2019"/>
    <x v="1"/>
    <n v="22"/>
    <x v="5"/>
    <n v="0"/>
    <n v="28500"/>
    <n v="0"/>
  </r>
  <r>
    <n v="2019"/>
    <x v="1"/>
    <n v="22"/>
    <x v="6"/>
    <n v="0"/>
    <n v="28500"/>
    <n v="0"/>
  </r>
  <r>
    <n v="2019"/>
    <x v="1"/>
    <n v="22"/>
    <x v="7"/>
    <n v="0"/>
    <n v="28500"/>
    <n v="0"/>
  </r>
  <r>
    <n v="2019"/>
    <x v="1"/>
    <n v="22"/>
    <x v="8"/>
    <n v="6676"/>
    <n v="28500"/>
    <n v="0.23424561403508773"/>
  </r>
  <r>
    <n v="2019"/>
    <x v="1"/>
    <n v="22"/>
    <x v="9"/>
    <n v="13345"/>
    <n v="28500"/>
    <n v="0.46824561403508774"/>
  </r>
  <r>
    <n v="2019"/>
    <x v="1"/>
    <n v="22"/>
    <x v="10"/>
    <n v="23626"/>
    <n v="28500"/>
    <n v="0.82898245614035093"/>
  </r>
  <r>
    <n v="2019"/>
    <x v="1"/>
    <n v="22"/>
    <x v="11"/>
    <n v="27544.5"/>
    <n v="28500"/>
    <n v="0.96647368421052626"/>
  </r>
  <r>
    <n v="2019"/>
    <x v="1"/>
    <n v="22"/>
    <x v="12"/>
    <n v="33545.5"/>
    <n v="28500"/>
    <n v="1.1770350877192983"/>
  </r>
  <r>
    <n v="2019"/>
    <x v="1"/>
    <n v="22"/>
    <x v="13"/>
    <n v="30326.5"/>
    <n v="28500"/>
    <n v="1.0640877192982456"/>
  </r>
  <r>
    <n v="2019"/>
    <x v="1"/>
    <n v="22"/>
    <x v="14"/>
    <n v="30676"/>
    <n v="28500"/>
    <n v="1.0763508771929824"/>
  </r>
  <r>
    <n v="2019"/>
    <x v="1"/>
    <n v="22"/>
    <x v="15"/>
    <n v="22565"/>
    <n v="28500"/>
    <n v="0.79175438596491232"/>
  </r>
  <r>
    <n v="2019"/>
    <x v="1"/>
    <n v="22"/>
    <x v="16"/>
    <n v="12377.5"/>
    <n v="28500"/>
    <n v="0.43429824561403507"/>
  </r>
  <r>
    <n v="2019"/>
    <x v="1"/>
    <n v="22"/>
    <x v="17"/>
    <n v="0"/>
    <n v="28500"/>
    <n v="0"/>
  </r>
  <r>
    <n v="2019"/>
    <x v="1"/>
    <n v="22"/>
    <x v="18"/>
    <n v="0"/>
    <n v="28500"/>
    <n v="0"/>
  </r>
  <r>
    <n v="2019"/>
    <x v="1"/>
    <n v="22"/>
    <x v="19"/>
    <n v="0"/>
    <n v="28500"/>
    <n v="0"/>
  </r>
  <r>
    <n v="2019"/>
    <x v="1"/>
    <n v="22"/>
    <x v="20"/>
    <n v="0"/>
    <n v="28500"/>
    <n v="0"/>
  </r>
  <r>
    <n v="2019"/>
    <x v="1"/>
    <n v="22"/>
    <x v="21"/>
    <n v="0"/>
    <n v="28500"/>
    <n v="0"/>
  </r>
  <r>
    <n v="2019"/>
    <x v="1"/>
    <n v="22"/>
    <x v="22"/>
    <n v="0"/>
    <n v="28500"/>
    <n v="0"/>
  </r>
  <r>
    <n v="2019"/>
    <x v="1"/>
    <n v="22"/>
    <x v="23"/>
    <n v="0"/>
    <n v="28500"/>
    <n v="0"/>
  </r>
  <r>
    <n v="2019"/>
    <x v="1"/>
    <n v="23"/>
    <x v="0"/>
    <n v="0"/>
    <n v="28500"/>
    <n v="0"/>
  </r>
  <r>
    <n v="2019"/>
    <x v="1"/>
    <n v="23"/>
    <x v="1"/>
    <n v="0"/>
    <n v="28500"/>
    <n v="0"/>
  </r>
  <r>
    <n v="2019"/>
    <x v="1"/>
    <n v="23"/>
    <x v="2"/>
    <n v="0"/>
    <n v="28500"/>
    <n v="0"/>
  </r>
  <r>
    <n v="2019"/>
    <x v="1"/>
    <n v="23"/>
    <x v="3"/>
    <n v="0"/>
    <n v="28500"/>
    <n v="0"/>
  </r>
  <r>
    <n v="2019"/>
    <x v="1"/>
    <n v="23"/>
    <x v="4"/>
    <n v="0"/>
    <n v="28500"/>
    <n v="0"/>
  </r>
  <r>
    <n v="2019"/>
    <x v="1"/>
    <n v="23"/>
    <x v="5"/>
    <n v="0"/>
    <n v="28500"/>
    <n v="0"/>
  </r>
  <r>
    <n v="2019"/>
    <x v="1"/>
    <n v="23"/>
    <x v="6"/>
    <n v="0"/>
    <n v="28500"/>
    <n v="0"/>
  </r>
  <r>
    <n v="2019"/>
    <x v="1"/>
    <n v="23"/>
    <x v="7"/>
    <n v="0"/>
    <n v="28500"/>
    <n v="0"/>
  </r>
  <r>
    <n v="2019"/>
    <x v="1"/>
    <n v="23"/>
    <x v="8"/>
    <n v="10751"/>
    <n v="28500"/>
    <n v="0.37722807017543858"/>
  </r>
  <r>
    <n v="2019"/>
    <x v="1"/>
    <n v="23"/>
    <x v="9"/>
    <n v="21876"/>
    <n v="28500"/>
    <n v="0.76757894736842103"/>
  </r>
  <r>
    <n v="2019"/>
    <x v="1"/>
    <n v="23"/>
    <x v="10"/>
    <n v="30457.5"/>
    <n v="28500"/>
    <n v="1.0686842105263157"/>
  </r>
  <r>
    <n v="2019"/>
    <x v="1"/>
    <n v="23"/>
    <x v="11"/>
    <n v="35196"/>
    <n v="28500"/>
    <n v="1.2349473684210526"/>
  </r>
  <r>
    <n v="2019"/>
    <x v="1"/>
    <n v="23"/>
    <x v="12"/>
    <n v="38722"/>
    <n v="28500"/>
    <n v="1.3586666666666667"/>
  </r>
  <r>
    <n v="2019"/>
    <x v="1"/>
    <n v="23"/>
    <x v="13"/>
    <n v="35573"/>
    <n v="28500"/>
    <n v="1.2481754385964912"/>
  </r>
  <r>
    <n v="2019"/>
    <x v="1"/>
    <n v="23"/>
    <x v="14"/>
    <n v="31503.5"/>
    <n v="28500"/>
    <n v="1.1053859649122808"/>
  </r>
  <r>
    <n v="2019"/>
    <x v="1"/>
    <n v="23"/>
    <x v="15"/>
    <n v="23240.5"/>
    <n v="28500"/>
    <n v="0.81545614035087721"/>
  </r>
  <r>
    <n v="2019"/>
    <x v="1"/>
    <n v="23"/>
    <x v="16"/>
    <n v="13123"/>
    <n v="28500"/>
    <n v="0.46045614035087717"/>
  </r>
  <r>
    <n v="2019"/>
    <x v="1"/>
    <n v="23"/>
    <x v="17"/>
    <n v="0"/>
    <n v="28500"/>
    <n v="0"/>
  </r>
  <r>
    <n v="2019"/>
    <x v="1"/>
    <n v="23"/>
    <x v="18"/>
    <n v="0"/>
    <n v="28500"/>
    <n v="0"/>
  </r>
  <r>
    <n v="2019"/>
    <x v="1"/>
    <n v="23"/>
    <x v="19"/>
    <n v="0"/>
    <n v="28500"/>
    <n v="0"/>
  </r>
  <r>
    <n v="2019"/>
    <x v="1"/>
    <n v="23"/>
    <x v="20"/>
    <n v="0"/>
    <n v="28500"/>
    <n v="0"/>
  </r>
  <r>
    <n v="2019"/>
    <x v="1"/>
    <n v="23"/>
    <x v="21"/>
    <n v="0"/>
    <n v="28500"/>
    <n v="0"/>
  </r>
  <r>
    <n v="2019"/>
    <x v="1"/>
    <n v="23"/>
    <x v="22"/>
    <n v="0"/>
    <n v="28500"/>
    <n v="0"/>
  </r>
  <r>
    <n v="2019"/>
    <x v="1"/>
    <n v="23"/>
    <x v="23"/>
    <n v="0"/>
    <n v="28500"/>
    <n v="0"/>
  </r>
  <r>
    <n v="2019"/>
    <x v="1"/>
    <n v="24"/>
    <x v="0"/>
    <n v="0"/>
    <n v="28500"/>
    <n v="0"/>
  </r>
  <r>
    <n v="2019"/>
    <x v="1"/>
    <n v="24"/>
    <x v="1"/>
    <n v="0"/>
    <n v="28500"/>
    <n v="0"/>
  </r>
  <r>
    <n v="2019"/>
    <x v="1"/>
    <n v="24"/>
    <x v="2"/>
    <n v="0"/>
    <n v="28500"/>
    <n v="0"/>
  </r>
  <r>
    <n v="2019"/>
    <x v="1"/>
    <n v="24"/>
    <x v="3"/>
    <n v="0"/>
    <n v="28500"/>
    <n v="0"/>
  </r>
  <r>
    <n v="2019"/>
    <x v="1"/>
    <n v="24"/>
    <x v="4"/>
    <n v="0"/>
    <n v="28500"/>
    <n v="0"/>
  </r>
  <r>
    <n v="2019"/>
    <x v="1"/>
    <n v="24"/>
    <x v="5"/>
    <n v="0"/>
    <n v="28500"/>
    <n v="0"/>
  </r>
  <r>
    <n v="2019"/>
    <x v="1"/>
    <n v="24"/>
    <x v="6"/>
    <n v="0"/>
    <n v="28500"/>
    <n v="0"/>
  </r>
  <r>
    <n v="2019"/>
    <x v="1"/>
    <n v="24"/>
    <x v="7"/>
    <n v="0"/>
    <n v="28500"/>
    <n v="0"/>
  </r>
  <r>
    <n v="2019"/>
    <x v="1"/>
    <n v="24"/>
    <x v="8"/>
    <n v="14262.5"/>
    <n v="28500"/>
    <n v="0.50043859649122802"/>
  </r>
  <r>
    <n v="2019"/>
    <x v="1"/>
    <n v="24"/>
    <x v="9"/>
    <n v="23213"/>
    <n v="28500"/>
    <n v="0.81449122807017549"/>
  </r>
  <r>
    <n v="2019"/>
    <x v="1"/>
    <n v="24"/>
    <x v="10"/>
    <n v="30897.5"/>
    <n v="28500"/>
    <n v="1.0841228070175439"/>
  </r>
  <r>
    <n v="2019"/>
    <x v="1"/>
    <n v="24"/>
    <x v="11"/>
    <n v="36515"/>
    <n v="28500"/>
    <n v="1.2812280701754386"/>
  </r>
  <r>
    <n v="2019"/>
    <x v="1"/>
    <n v="24"/>
    <x v="12"/>
    <n v="39388.5"/>
    <n v="28500"/>
    <n v="1.3820526315789474"/>
  </r>
  <r>
    <n v="2019"/>
    <x v="1"/>
    <n v="24"/>
    <x v="13"/>
    <n v="36804"/>
    <n v="28500"/>
    <n v="1.2913684210526315"/>
  </r>
  <r>
    <n v="2019"/>
    <x v="1"/>
    <n v="24"/>
    <x v="14"/>
    <n v="32785.5"/>
    <n v="28500"/>
    <n v="1.1503684210526315"/>
  </r>
  <r>
    <n v="2019"/>
    <x v="1"/>
    <n v="24"/>
    <x v="15"/>
    <n v="24947.5"/>
    <n v="28500"/>
    <n v="0.87535087719298244"/>
  </r>
  <r>
    <n v="2019"/>
    <x v="1"/>
    <n v="24"/>
    <x v="16"/>
    <n v="14685"/>
    <n v="28500"/>
    <n v="0.51526315789473687"/>
  </r>
  <r>
    <n v="2019"/>
    <x v="1"/>
    <n v="24"/>
    <x v="17"/>
    <n v="0"/>
    <n v="28500"/>
    <n v="0"/>
  </r>
  <r>
    <n v="2019"/>
    <x v="1"/>
    <n v="24"/>
    <x v="18"/>
    <n v="0"/>
    <n v="28500"/>
    <n v="0"/>
  </r>
  <r>
    <n v="2019"/>
    <x v="1"/>
    <n v="24"/>
    <x v="19"/>
    <n v="0"/>
    <n v="28500"/>
    <n v="0"/>
  </r>
  <r>
    <n v="2019"/>
    <x v="1"/>
    <n v="24"/>
    <x v="20"/>
    <n v="0"/>
    <n v="28500"/>
    <n v="0"/>
  </r>
  <r>
    <n v="2019"/>
    <x v="1"/>
    <n v="24"/>
    <x v="21"/>
    <n v="0"/>
    <n v="28500"/>
    <n v="0"/>
  </r>
  <r>
    <n v="2019"/>
    <x v="1"/>
    <n v="24"/>
    <x v="22"/>
    <n v="0"/>
    <n v="28500"/>
    <n v="0"/>
  </r>
  <r>
    <n v="2019"/>
    <x v="1"/>
    <n v="24"/>
    <x v="23"/>
    <n v="0"/>
    <n v="28500"/>
    <n v="0"/>
  </r>
  <r>
    <n v="2019"/>
    <x v="1"/>
    <n v="25"/>
    <x v="0"/>
    <n v="0"/>
    <n v="28500"/>
    <n v="0"/>
  </r>
  <r>
    <n v="2019"/>
    <x v="1"/>
    <n v="25"/>
    <x v="1"/>
    <n v="0"/>
    <n v="28500"/>
    <n v="0"/>
  </r>
  <r>
    <n v="2019"/>
    <x v="1"/>
    <n v="25"/>
    <x v="2"/>
    <n v="0"/>
    <n v="28500"/>
    <n v="0"/>
  </r>
  <r>
    <n v="2019"/>
    <x v="1"/>
    <n v="25"/>
    <x v="3"/>
    <n v="0"/>
    <n v="28500"/>
    <n v="0"/>
  </r>
  <r>
    <n v="2019"/>
    <x v="1"/>
    <n v="25"/>
    <x v="4"/>
    <n v="0"/>
    <n v="28500"/>
    <n v="0"/>
  </r>
  <r>
    <n v="2019"/>
    <x v="1"/>
    <n v="25"/>
    <x v="5"/>
    <n v="0"/>
    <n v="28500"/>
    <n v="0"/>
  </r>
  <r>
    <n v="2019"/>
    <x v="1"/>
    <n v="25"/>
    <x v="6"/>
    <n v="0"/>
    <n v="28500"/>
    <n v="0"/>
  </r>
  <r>
    <n v="2019"/>
    <x v="1"/>
    <n v="25"/>
    <x v="7"/>
    <n v="0"/>
    <n v="28500"/>
    <n v="0"/>
  </r>
  <r>
    <n v="2019"/>
    <x v="1"/>
    <n v="25"/>
    <x v="8"/>
    <n v="14015"/>
    <n v="28500"/>
    <n v="0.49175438596491228"/>
  </r>
  <r>
    <n v="2019"/>
    <x v="1"/>
    <n v="25"/>
    <x v="9"/>
    <n v="24363"/>
    <n v="28500"/>
    <n v="0.85484210526315785"/>
  </r>
  <r>
    <n v="2019"/>
    <x v="1"/>
    <n v="25"/>
    <x v="10"/>
    <n v="31438.5"/>
    <n v="28500"/>
    <n v="1.1031052631578948"/>
  </r>
  <r>
    <n v="2019"/>
    <x v="1"/>
    <n v="25"/>
    <x v="11"/>
    <n v="35468"/>
    <n v="28500"/>
    <n v="1.2444912280701754"/>
  </r>
  <r>
    <n v="2019"/>
    <x v="1"/>
    <n v="25"/>
    <x v="12"/>
    <n v="36195"/>
    <n v="28500"/>
    <n v="1.27"/>
  </r>
  <r>
    <n v="2019"/>
    <x v="1"/>
    <n v="25"/>
    <x v="13"/>
    <n v="35316"/>
    <n v="28500"/>
    <n v="1.239157894736842"/>
  </r>
  <r>
    <n v="2019"/>
    <x v="1"/>
    <n v="25"/>
    <x v="14"/>
    <n v="31424"/>
    <n v="28500"/>
    <n v="1.1025964912280701"/>
  </r>
  <r>
    <n v="2019"/>
    <x v="1"/>
    <n v="25"/>
    <x v="15"/>
    <n v="23730"/>
    <n v="28500"/>
    <n v="0.83263157894736839"/>
  </r>
  <r>
    <n v="2019"/>
    <x v="1"/>
    <n v="25"/>
    <x v="16"/>
    <n v="13677"/>
    <n v="28500"/>
    <n v="0.47989473684210526"/>
  </r>
  <r>
    <n v="2019"/>
    <x v="1"/>
    <n v="25"/>
    <x v="17"/>
    <n v="0"/>
    <n v="28500"/>
    <n v="0"/>
  </r>
  <r>
    <n v="2019"/>
    <x v="1"/>
    <n v="25"/>
    <x v="18"/>
    <n v="0"/>
    <n v="28500"/>
    <n v="0"/>
  </r>
  <r>
    <n v="2019"/>
    <x v="1"/>
    <n v="25"/>
    <x v="19"/>
    <n v="0"/>
    <n v="28500"/>
    <n v="0"/>
  </r>
  <r>
    <n v="2019"/>
    <x v="1"/>
    <n v="25"/>
    <x v="20"/>
    <n v="0"/>
    <n v="28500"/>
    <n v="0"/>
  </r>
  <r>
    <n v="2019"/>
    <x v="1"/>
    <n v="25"/>
    <x v="21"/>
    <n v="0"/>
    <n v="28500"/>
    <n v="0"/>
  </r>
  <r>
    <n v="2019"/>
    <x v="1"/>
    <n v="25"/>
    <x v="22"/>
    <n v="0"/>
    <n v="28500"/>
    <n v="0"/>
  </r>
  <r>
    <n v="2019"/>
    <x v="1"/>
    <n v="25"/>
    <x v="23"/>
    <n v="0"/>
    <n v="28500"/>
    <n v="0"/>
  </r>
  <r>
    <n v="2019"/>
    <x v="1"/>
    <n v="26"/>
    <x v="0"/>
    <n v="0"/>
    <n v="28500"/>
    <n v="0"/>
  </r>
  <r>
    <n v="2019"/>
    <x v="1"/>
    <n v="26"/>
    <x v="1"/>
    <n v="0"/>
    <n v="28500"/>
    <n v="0"/>
  </r>
  <r>
    <n v="2019"/>
    <x v="1"/>
    <n v="26"/>
    <x v="2"/>
    <n v="0"/>
    <n v="28500"/>
    <n v="0"/>
  </r>
  <r>
    <n v="2019"/>
    <x v="1"/>
    <n v="26"/>
    <x v="3"/>
    <n v="0"/>
    <n v="28500"/>
    <n v="0"/>
  </r>
  <r>
    <n v="2019"/>
    <x v="1"/>
    <n v="26"/>
    <x v="4"/>
    <n v="0"/>
    <n v="28500"/>
    <n v="0"/>
  </r>
  <r>
    <n v="2019"/>
    <x v="1"/>
    <n v="26"/>
    <x v="5"/>
    <n v="0"/>
    <n v="28500"/>
    <n v="0"/>
  </r>
  <r>
    <n v="2019"/>
    <x v="1"/>
    <n v="26"/>
    <x v="6"/>
    <n v="0"/>
    <n v="28500"/>
    <n v="0"/>
  </r>
  <r>
    <n v="2019"/>
    <x v="1"/>
    <n v="26"/>
    <x v="7"/>
    <n v="0"/>
    <n v="28500"/>
    <n v="0"/>
  </r>
  <r>
    <n v="2019"/>
    <x v="1"/>
    <n v="26"/>
    <x v="8"/>
    <n v="14108"/>
    <n v="28500"/>
    <n v="0.49501754385964913"/>
  </r>
  <r>
    <n v="2019"/>
    <x v="1"/>
    <n v="26"/>
    <x v="9"/>
    <n v="24638.5"/>
    <n v="28500"/>
    <n v="0.86450877192982456"/>
  </r>
  <r>
    <n v="2019"/>
    <x v="1"/>
    <n v="26"/>
    <x v="10"/>
    <n v="32023"/>
    <n v="28500"/>
    <n v="1.1236140350877193"/>
  </r>
  <r>
    <n v="2019"/>
    <x v="1"/>
    <n v="26"/>
    <x v="11"/>
    <n v="35938"/>
    <n v="28500"/>
    <n v="1.2609824561403509"/>
  </r>
  <r>
    <n v="2019"/>
    <x v="1"/>
    <n v="26"/>
    <x v="12"/>
    <n v="36512"/>
    <n v="28500"/>
    <n v="1.2811228070175438"/>
  </r>
  <r>
    <n v="2019"/>
    <x v="1"/>
    <n v="26"/>
    <x v="13"/>
    <n v="35869"/>
    <n v="28500"/>
    <n v="1.258561403508772"/>
  </r>
  <r>
    <n v="2019"/>
    <x v="1"/>
    <n v="26"/>
    <x v="14"/>
    <n v="31841.5"/>
    <n v="28500"/>
    <n v="1.1172456140350877"/>
  </r>
  <r>
    <n v="2019"/>
    <x v="1"/>
    <n v="26"/>
    <x v="15"/>
    <n v="24278.5"/>
    <n v="28500"/>
    <n v="0.85187719298245612"/>
  </r>
  <r>
    <n v="2019"/>
    <x v="1"/>
    <n v="26"/>
    <x v="16"/>
    <n v="14565"/>
    <n v="28500"/>
    <n v="0.51105263157894731"/>
  </r>
  <r>
    <n v="2019"/>
    <x v="1"/>
    <n v="26"/>
    <x v="17"/>
    <n v="179.5"/>
    <n v="28500"/>
    <n v="6.2982456140350876E-3"/>
  </r>
  <r>
    <n v="2019"/>
    <x v="1"/>
    <n v="26"/>
    <x v="18"/>
    <n v="0"/>
    <n v="28500"/>
    <n v="0"/>
  </r>
  <r>
    <n v="2019"/>
    <x v="1"/>
    <n v="26"/>
    <x v="19"/>
    <n v="0"/>
    <n v="28500"/>
    <n v="0"/>
  </r>
  <r>
    <n v="2019"/>
    <x v="1"/>
    <n v="26"/>
    <x v="20"/>
    <n v="0"/>
    <n v="28500"/>
    <n v="0"/>
  </r>
  <r>
    <n v="2019"/>
    <x v="1"/>
    <n v="26"/>
    <x v="21"/>
    <n v="0"/>
    <n v="28500"/>
    <n v="0"/>
  </r>
  <r>
    <n v="2019"/>
    <x v="1"/>
    <n v="26"/>
    <x v="22"/>
    <n v="0"/>
    <n v="28500"/>
    <n v="0"/>
  </r>
  <r>
    <n v="2019"/>
    <x v="1"/>
    <n v="26"/>
    <x v="23"/>
    <n v="0"/>
    <n v="28500"/>
    <n v="0"/>
  </r>
  <r>
    <n v="2019"/>
    <x v="1"/>
    <n v="27"/>
    <x v="0"/>
    <n v="0"/>
    <n v="28500"/>
    <n v="0"/>
  </r>
  <r>
    <n v="2019"/>
    <x v="1"/>
    <n v="27"/>
    <x v="1"/>
    <n v="0"/>
    <n v="28500"/>
    <n v="0"/>
  </r>
  <r>
    <n v="2019"/>
    <x v="1"/>
    <n v="27"/>
    <x v="2"/>
    <n v="0"/>
    <n v="28500"/>
    <n v="0"/>
  </r>
  <r>
    <n v="2019"/>
    <x v="1"/>
    <n v="27"/>
    <x v="3"/>
    <n v="0"/>
    <n v="28500"/>
    <n v="0"/>
  </r>
  <r>
    <n v="2019"/>
    <x v="1"/>
    <n v="27"/>
    <x v="4"/>
    <n v="0"/>
    <n v="28500"/>
    <n v="0"/>
  </r>
  <r>
    <n v="2019"/>
    <x v="1"/>
    <n v="27"/>
    <x v="5"/>
    <n v="0"/>
    <n v="28500"/>
    <n v="0"/>
  </r>
  <r>
    <n v="2019"/>
    <x v="1"/>
    <n v="27"/>
    <x v="6"/>
    <n v="0"/>
    <n v="28500"/>
    <n v="0"/>
  </r>
  <r>
    <n v="2019"/>
    <x v="1"/>
    <n v="27"/>
    <x v="7"/>
    <n v="0"/>
    <n v="28500"/>
    <n v="0"/>
  </r>
  <r>
    <n v="2019"/>
    <x v="1"/>
    <n v="27"/>
    <x v="8"/>
    <n v="13766.5"/>
    <n v="28500"/>
    <n v="0.48303508771929826"/>
  </r>
  <r>
    <n v="2019"/>
    <x v="1"/>
    <n v="27"/>
    <x v="9"/>
    <n v="24474.5"/>
    <n v="28500"/>
    <n v="0.85875438596491227"/>
  </r>
  <r>
    <n v="2019"/>
    <x v="1"/>
    <n v="27"/>
    <x v="10"/>
    <n v="31294.5"/>
    <n v="28500"/>
    <n v="1.0980526315789474"/>
  </r>
  <r>
    <n v="2019"/>
    <x v="1"/>
    <n v="27"/>
    <x v="11"/>
    <n v="35279"/>
    <n v="28500"/>
    <n v="1.2378596491228071"/>
  </r>
  <r>
    <n v="2019"/>
    <x v="1"/>
    <n v="27"/>
    <x v="12"/>
    <n v="36219.5"/>
    <n v="28500"/>
    <n v="1.270859649122807"/>
  </r>
  <r>
    <n v="2019"/>
    <x v="1"/>
    <n v="27"/>
    <x v="13"/>
    <n v="35746.5"/>
    <n v="28500"/>
    <n v="1.2542631578947367"/>
  </r>
  <r>
    <n v="2019"/>
    <x v="1"/>
    <n v="27"/>
    <x v="14"/>
    <n v="32049.5"/>
    <n v="28500"/>
    <n v="1.1245438596491228"/>
  </r>
  <r>
    <n v="2019"/>
    <x v="1"/>
    <n v="27"/>
    <x v="15"/>
    <n v="24193"/>
    <n v="28500"/>
    <n v="0.84887719298245612"/>
  </r>
  <r>
    <n v="2019"/>
    <x v="1"/>
    <n v="27"/>
    <x v="16"/>
    <n v="14188"/>
    <n v="28500"/>
    <n v="0.49782456140350878"/>
  </r>
  <r>
    <n v="2019"/>
    <x v="1"/>
    <n v="27"/>
    <x v="17"/>
    <n v="115.5"/>
    <n v="28500"/>
    <n v="4.0526315789473685E-3"/>
  </r>
  <r>
    <n v="2019"/>
    <x v="1"/>
    <n v="27"/>
    <x v="18"/>
    <n v="0"/>
    <n v="28500"/>
    <n v="0"/>
  </r>
  <r>
    <n v="2019"/>
    <x v="1"/>
    <n v="27"/>
    <x v="19"/>
    <n v="0"/>
    <n v="28500"/>
    <n v="0"/>
  </r>
  <r>
    <n v="2019"/>
    <x v="1"/>
    <n v="27"/>
    <x v="20"/>
    <n v="0"/>
    <n v="28500"/>
    <n v="0"/>
  </r>
  <r>
    <n v="2019"/>
    <x v="1"/>
    <n v="27"/>
    <x v="21"/>
    <n v="0"/>
    <n v="28500"/>
    <n v="0"/>
  </r>
  <r>
    <n v="2019"/>
    <x v="1"/>
    <n v="27"/>
    <x v="22"/>
    <n v="0"/>
    <n v="28500"/>
    <n v="0"/>
  </r>
  <r>
    <n v="2019"/>
    <x v="1"/>
    <n v="27"/>
    <x v="23"/>
    <n v="0"/>
    <n v="28500"/>
    <n v="0"/>
  </r>
  <r>
    <n v="2019"/>
    <x v="1"/>
    <n v="28"/>
    <x v="0"/>
    <n v="0"/>
    <n v="28500"/>
    <n v="0"/>
  </r>
  <r>
    <n v="2019"/>
    <x v="1"/>
    <n v="28"/>
    <x v="1"/>
    <n v="0"/>
    <n v="28500"/>
    <n v="0"/>
  </r>
  <r>
    <n v="2019"/>
    <x v="1"/>
    <n v="28"/>
    <x v="2"/>
    <n v="0"/>
    <n v="28500"/>
    <n v="0"/>
  </r>
  <r>
    <n v="2019"/>
    <x v="1"/>
    <n v="28"/>
    <x v="3"/>
    <n v="0"/>
    <n v="28500"/>
    <n v="0"/>
  </r>
  <r>
    <n v="2019"/>
    <x v="1"/>
    <n v="28"/>
    <x v="4"/>
    <n v="0"/>
    <n v="28500"/>
    <n v="0"/>
  </r>
  <r>
    <n v="2019"/>
    <x v="1"/>
    <n v="28"/>
    <x v="5"/>
    <n v="0"/>
    <n v="28500"/>
    <n v="0"/>
  </r>
  <r>
    <n v="2019"/>
    <x v="1"/>
    <n v="28"/>
    <x v="6"/>
    <n v="0"/>
    <n v="28500"/>
    <n v="0"/>
  </r>
  <r>
    <n v="2019"/>
    <x v="1"/>
    <n v="28"/>
    <x v="7"/>
    <n v="0"/>
    <n v="28500"/>
    <n v="0"/>
  </r>
  <r>
    <n v="2019"/>
    <x v="1"/>
    <n v="28"/>
    <x v="8"/>
    <n v="10856"/>
    <n v="28500"/>
    <n v="0.38091228070175437"/>
  </r>
  <r>
    <n v="2019"/>
    <x v="1"/>
    <n v="28"/>
    <x v="9"/>
    <n v="3546"/>
    <n v="28500"/>
    <n v="0.12442105263157895"/>
  </r>
  <r>
    <n v="2019"/>
    <x v="1"/>
    <n v="28"/>
    <x v="10"/>
    <n v="4051.5"/>
    <n v="28500"/>
    <n v="0.14215789473684209"/>
  </r>
  <r>
    <n v="2019"/>
    <x v="1"/>
    <n v="28"/>
    <x v="11"/>
    <n v="2460.5"/>
    <n v="28500"/>
    <n v="8.6333333333333331E-2"/>
  </r>
  <r>
    <n v="2019"/>
    <x v="1"/>
    <n v="28"/>
    <x v="12"/>
    <n v="1385.5"/>
    <n v="28500"/>
    <n v="4.8614035087719297E-2"/>
  </r>
  <r>
    <n v="2019"/>
    <x v="1"/>
    <n v="28"/>
    <x v="13"/>
    <n v="3013"/>
    <n v="28500"/>
    <n v="0.10571929824561403"/>
  </r>
  <r>
    <n v="2019"/>
    <x v="1"/>
    <n v="28"/>
    <x v="14"/>
    <n v="7020.5"/>
    <n v="28500"/>
    <n v="0.24633333333333332"/>
  </r>
  <r>
    <n v="2019"/>
    <x v="1"/>
    <n v="28"/>
    <x v="15"/>
    <n v="539"/>
    <n v="28500"/>
    <n v="1.8912280701754387E-2"/>
  </r>
  <r>
    <n v="2019"/>
    <x v="1"/>
    <n v="28"/>
    <x v="16"/>
    <n v="1210"/>
    <n v="28500"/>
    <n v="4.2456140350877192E-2"/>
  </r>
  <r>
    <n v="2019"/>
    <x v="1"/>
    <n v="28"/>
    <x v="17"/>
    <n v="13.5"/>
    <n v="28500"/>
    <n v="4.7368421052631577E-4"/>
  </r>
  <r>
    <n v="2019"/>
    <x v="1"/>
    <n v="28"/>
    <x v="18"/>
    <n v="0"/>
    <n v="28500"/>
    <n v="0"/>
  </r>
  <r>
    <n v="2019"/>
    <x v="1"/>
    <n v="28"/>
    <x v="19"/>
    <n v="0"/>
    <n v="28500"/>
    <n v="0"/>
  </r>
  <r>
    <n v="2019"/>
    <x v="1"/>
    <n v="28"/>
    <x v="20"/>
    <n v="0"/>
    <n v="28500"/>
    <n v="0"/>
  </r>
  <r>
    <n v="2019"/>
    <x v="1"/>
    <n v="28"/>
    <x v="21"/>
    <n v="0"/>
    <n v="28500"/>
    <n v="0"/>
  </r>
  <r>
    <n v="2019"/>
    <x v="1"/>
    <n v="28"/>
    <x v="22"/>
    <n v="0"/>
    <n v="28500"/>
    <n v="0"/>
  </r>
  <r>
    <n v="2019"/>
    <x v="1"/>
    <n v="28"/>
    <x v="23"/>
    <n v="0"/>
    <n v="28500"/>
    <n v="0"/>
  </r>
  <r>
    <n v="2019"/>
    <x v="2"/>
    <n v="1"/>
    <x v="0"/>
    <n v="0"/>
    <n v="28500"/>
    <n v="0"/>
  </r>
  <r>
    <n v="2019"/>
    <x v="2"/>
    <n v="1"/>
    <x v="1"/>
    <n v="0"/>
    <n v="28500"/>
    <n v="0"/>
  </r>
  <r>
    <n v="2019"/>
    <x v="2"/>
    <n v="1"/>
    <x v="2"/>
    <n v="0"/>
    <n v="28500"/>
    <n v="0"/>
  </r>
  <r>
    <n v="2019"/>
    <x v="2"/>
    <n v="1"/>
    <x v="3"/>
    <n v="0"/>
    <n v="28500"/>
    <n v="0"/>
  </r>
  <r>
    <n v="2019"/>
    <x v="2"/>
    <n v="1"/>
    <x v="4"/>
    <n v="0"/>
    <n v="28500"/>
    <n v="0"/>
  </r>
  <r>
    <n v="2019"/>
    <x v="2"/>
    <n v="1"/>
    <x v="5"/>
    <n v="0"/>
    <n v="28500"/>
    <n v="0"/>
  </r>
  <r>
    <n v="2019"/>
    <x v="2"/>
    <n v="1"/>
    <x v="6"/>
    <n v="0"/>
    <n v="28500"/>
    <n v="0"/>
  </r>
  <r>
    <n v="2019"/>
    <x v="2"/>
    <n v="1"/>
    <x v="7"/>
    <n v="0"/>
    <n v="28500"/>
    <n v="0"/>
  </r>
  <r>
    <n v="2019"/>
    <x v="2"/>
    <n v="1"/>
    <x v="8"/>
    <n v="1333"/>
    <n v="28500"/>
    <n v="4.6771929824561402E-2"/>
  </r>
  <r>
    <n v="2019"/>
    <x v="2"/>
    <n v="1"/>
    <x v="9"/>
    <n v="1992.5"/>
    <n v="28500"/>
    <n v="6.9912280701754384E-2"/>
  </r>
  <r>
    <n v="2019"/>
    <x v="2"/>
    <n v="1"/>
    <x v="10"/>
    <n v="2826"/>
    <n v="28500"/>
    <n v="9.9157894736842112E-2"/>
  </r>
  <r>
    <n v="2019"/>
    <x v="2"/>
    <n v="1"/>
    <x v="11"/>
    <n v="3363.5"/>
    <n v="28500"/>
    <n v="0.11801754385964912"/>
  </r>
  <r>
    <n v="2019"/>
    <x v="2"/>
    <n v="1"/>
    <x v="12"/>
    <n v="1537.5"/>
    <n v="28500"/>
    <n v="5.3947368421052633E-2"/>
  </r>
  <r>
    <n v="2019"/>
    <x v="2"/>
    <n v="1"/>
    <x v="13"/>
    <n v="13205.5"/>
    <n v="28500"/>
    <n v="0.46335087719298246"/>
  </r>
  <r>
    <n v="2019"/>
    <x v="2"/>
    <n v="1"/>
    <x v="14"/>
    <n v="4077"/>
    <n v="28500"/>
    <n v="0.14305263157894738"/>
  </r>
  <r>
    <n v="2019"/>
    <x v="2"/>
    <n v="1"/>
    <x v="15"/>
    <n v="2342.5"/>
    <n v="28500"/>
    <n v="8.2192982456140345E-2"/>
  </r>
  <r>
    <n v="2019"/>
    <x v="2"/>
    <n v="1"/>
    <x v="16"/>
    <n v="1316.5"/>
    <n v="28500"/>
    <n v="4.6192982456140348E-2"/>
  </r>
  <r>
    <n v="2019"/>
    <x v="2"/>
    <n v="1"/>
    <x v="17"/>
    <n v="0"/>
    <n v="28500"/>
    <n v="0"/>
  </r>
  <r>
    <n v="2019"/>
    <x v="2"/>
    <n v="1"/>
    <x v="18"/>
    <n v="0"/>
    <n v="28500"/>
    <n v="0"/>
  </r>
  <r>
    <n v="2019"/>
    <x v="2"/>
    <n v="1"/>
    <x v="19"/>
    <n v="0"/>
    <n v="28500"/>
    <n v="0"/>
  </r>
  <r>
    <n v="2019"/>
    <x v="2"/>
    <n v="1"/>
    <x v="20"/>
    <n v="0"/>
    <n v="28500"/>
    <n v="0"/>
  </r>
  <r>
    <n v="2019"/>
    <x v="2"/>
    <n v="1"/>
    <x v="21"/>
    <n v="0"/>
    <n v="28500"/>
    <n v="0"/>
  </r>
  <r>
    <n v="2019"/>
    <x v="2"/>
    <n v="1"/>
    <x v="22"/>
    <n v="0"/>
    <n v="28500"/>
    <n v="0"/>
  </r>
  <r>
    <n v="2019"/>
    <x v="2"/>
    <n v="1"/>
    <x v="23"/>
    <n v="0"/>
    <n v="28500"/>
    <n v="0"/>
  </r>
  <r>
    <n v="2019"/>
    <x v="2"/>
    <n v="2"/>
    <x v="0"/>
    <n v="0"/>
    <n v="28500"/>
    <n v="0"/>
  </r>
  <r>
    <n v="2019"/>
    <x v="2"/>
    <n v="2"/>
    <x v="1"/>
    <n v="0"/>
    <n v="28500"/>
    <n v="0"/>
  </r>
  <r>
    <n v="2019"/>
    <x v="2"/>
    <n v="2"/>
    <x v="2"/>
    <n v="0"/>
    <n v="28500"/>
    <n v="0"/>
  </r>
  <r>
    <n v="2019"/>
    <x v="2"/>
    <n v="2"/>
    <x v="3"/>
    <n v="0"/>
    <n v="28500"/>
    <n v="0"/>
  </r>
  <r>
    <n v="2019"/>
    <x v="2"/>
    <n v="2"/>
    <x v="4"/>
    <n v="0"/>
    <n v="28500"/>
    <n v="0"/>
  </r>
  <r>
    <n v="2019"/>
    <x v="2"/>
    <n v="2"/>
    <x v="5"/>
    <n v="0"/>
    <n v="28500"/>
    <n v="0"/>
  </r>
  <r>
    <n v="2019"/>
    <x v="2"/>
    <n v="2"/>
    <x v="6"/>
    <n v="0"/>
    <n v="28500"/>
    <n v="0"/>
  </r>
  <r>
    <n v="2019"/>
    <x v="2"/>
    <n v="2"/>
    <x v="7"/>
    <n v="293"/>
    <n v="28500"/>
    <n v="1.0280701754385965E-2"/>
  </r>
  <r>
    <n v="2019"/>
    <x v="2"/>
    <n v="2"/>
    <x v="8"/>
    <n v="3322"/>
    <n v="28500"/>
    <n v="0.11656140350877194"/>
  </r>
  <r>
    <n v="2019"/>
    <x v="2"/>
    <n v="2"/>
    <x v="9"/>
    <n v="3612"/>
    <n v="28500"/>
    <n v="0.12673684210526315"/>
  </r>
  <r>
    <n v="2019"/>
    <x v="2"/>
    <n v="2"/>
    <x v="10"/>
    <n v="3195"/>
    <n v="28500"/>
    <n v="0.11210526315789474"/>
  </r>
  <r>
    <n v="2019"/>
    <x v="2"/>
    <n v="2"/>
    <x v="11"/>
    <n v="3807"/>
    <n v="28500"/>
    <n v="0.13357894736842105"/>
  </r>
  <r>
    <n v="2019"/>
    <x v="2"/>
    <n v="2"/>
    <x v="12"/>
    <n v="6166"/>
    <n v="28500"/>
    <n v="0.21635087719298246"/>
  </r>
  <r>
    <n v="2019"/>
    <x v="2"/>
    <n v="2"/>
    <x v="13"/>
    <n v="11519.5"/>
    <n v="28500"/>
    <n v="0.40419298245614033"/>
  </r>
  <r>
    <n v="2019"/>
    <x v="2"/>
    <n v="2"/>
    <x v="14"/>
    <n v="23203.5"/>
    <n v="28500"/>
    <n v="0.81415789473684208"/>
  </r>
  <r>
    <n v="2019"/>
    <x v="2"/>
    <n v="2"/>
    <x v="15"/>
    <n v="11260"/>
    <n v="28500"/>
    <n v="0.3950877192982456"/>
  </r>
  <r>
    <n v="2019"/>
    <x v="2"/>
    <n v="2"/>
    <x v="16"/>
    <n v="1670"/>
    <n v="28500"/>
    <n v="5.8596491228070174E-2"/>
  </r>
  <r>
    <n v="2019"/>
    <x v="2"/>
    <n v="2"/>
    <x v="17"/>
    <n v="0"/>
    <n v="28500"/>
    <n v="0"/>
  </r>
  <r>
    <n v="2019"/>
    <x v="2"/>
    <n v="2"/>
    <x v="18"/>
    <n v="0"/>
    <n v="28500"/>
    <n v="0"/>
  </r>
  <r>
    <n v="2019"/>
    <x v="2"/>
    <n v="2"/>
    <x v="19"/>
    <n v="0"/>
    <n v="28500"/>
    <n v="0"/>
  </r>
  <r>
    <n v="2019"/>
    <x v="2"/>
    <n v="2"/>
    <x v="20"/>
    <n v="0"/>
    <n v="28500"/>
    <n v="0"/>
  </r>
  <r>
    <n v="2019"/>
    <x v="2"/>
    <n v="2"/>
    <x v="21"/>
    <n v="0"/>
    <n v="28500"/>
    <n v="0"/>
  </r>
  <r>
    <n v="2019"/>
    <x v="2"/>
    <n v="2"/>
    <x v="22"/>
    <n v="0"/>
    <n v="28500"/>
    <n v="0"/>
  </r>
  <r>
    <n v="2019"/>
    <x v="2"/>
    <n v="2"/>
    <x v="23"/>
    <n v="0"/>
    <n v="28500"/>
    <n v="0"/>
  </r>
  <r>
    <n v="2019"/>
    <x v="2"/>
    <n v="3"/>
    <x v="0"/>
    <n v="0"/>
    <n v="28500"/>
    <n v="0"/>
  </r>
  <r>
    <n v="2019"/>
    <x v="2"/>
    <n v="3"/>
    <x v="1"/>
    <n v="0"/>
    <n v="28500"/>
    <n v="0"/>
  </r>
  <r>
    <n v="2019"/>
    <x v="2"/>
    <n v="3"/>
    <x v="2"/>
    <n v="0"/>
    <n v="28500"/>
    <n v="0"/>
  </r>
  <r>
    <n v="2019"/>
    <x v="2"/>
    <n v="3"/>
    <x v="3"/>
    <n v="0"/>
    <n v="28500"/>
    <n v="0"/>
  </r>
  <r>
    <n v="2019"/>
    <x v="2"/>
    <n v="3"/>
    <x v="4"/>
    <n v="0"/>
    <n v="28500"/>
    <n v="0"/>
  </r>
  <r>
    <n v="2019"/>
    <x v="2"/>
    <n v="3"/>
    <x v="5"/>
    <n v="0"/>
    <n v="28500"/>
    <n v="0"/>
  </r>
  <r>
    <n v="2019"/>
    <x v="2"/>
    <n v="3"/>
    <x v="6"/>
    <n v="0"/>
    <n v="28500"/>
    <n v="0"/>
  </r>
  <r>
    <n v="2019"/>
    <x v="2"/>
    <n v="3"/>
    <x v="7"/>
    <n v="51.5"/>
    <n v="28500"/>
    <n v="1.8070175438596491E-3"/>
  </r>
  <r>
    <n v="2019"/>
    <x v="2"/>
    <n v="3"/>
    <x v="8"/>
    <n v="605.5"/>
    <n v="28500"/>
    <n v="2.124561403508772E-2"/>
  </r>
  <r>
    <n v="2019"/>
    <x v="2"/>
    <n v="3"/>
    <x v="9"/>
    <n v="1862"/>
    <n v="28500"/>
    <n v="6.5333333333333327E-2"/>
  </r>
  <r>
    <n v="2019"/>
    <x v="2"/>
    <n v="3"/>
    <x v="10"/>
    <n v="2383.5"/>
    <n v="28500"/>
    <n v="8.3631578947368418E-2"/>
  </r>
  <r>
    <n v="2019"/>
    <x v="2"/>
    <n v="3"/>
    <x v="11"/>
    <n v="2918.5"/>
    <n v="28500"/>
    <n v="0.10240350877192983"/>
  </r>
  <r>
    <n v="2019"/>
    <x v="2"/>
    <n v="3"/>
    <x v="12"/>
    <n v="1174.5"/>
    <n v="28500"/>
    <n v="4.1210526315789475E-2"/>
  </r>
  <r>
    <n v="2019"/>
    <x v="2"/>
    <n v="3"/>
    <x v="13"/>
    <n v="2418.5"/>
    <n v="28500"/>
    <n v="8.4859649122807024E-2"/>
  </r>
  <r>
    <n v="2019"/>
    <x v="2"/>
    <n v="3"/>
    <x v="14"/>
    <n v="4189"/>
    <n v="28500"/>
    <n v="0.14698245614035088"/>
  </r>
  <r>
    <n v="2019"/>
    <x v="2"/>
    <n v="3"/>
    <x v="15"/>
    <n v="5390"/>
    <n v="28500"/>
    <n v="0.18912280701754386"/>
  </r>
  <r>
    <n v="2019"/>
    <x v="2"/>
    <n v="3"/>
    <x v="16"/>
    <n v="632.5"/>
    <n v="28500"/>
    <n v="2.2192982456140351E-2"/>
  </r>
  <r>
    <n v="2019"/>
    <x v="2"/>
    <n v="3"/>
    <x v="17"/>
    <n v="0"/>
    <n v="28500"/>
    <n v="0"/>
  </r>
  <r>
    <n v="2019"/>
    <x v="2"/>
    <n v="3"/>
    <x v="18"/>
    <n v="0"/>
    <n v="28500"/>
    <n v="0"/>
  </r>
  <r>
    <n v="2019"/>
    <x v="2"/>
    <n v="3"/>
    <x v="19"/>
    <n v="0"/>
    <n v="28500"/>
    <n v="0"/>
  </r>
  <r>
    <n v="2019"/>
    <x v="2"/>
    <n v="3"/>
    <x v="20"/>
    <n v="0"/>
    <n v="28500"/>
    <n v="0"/>
  </r>
  <r>
    <n v="2019"/>
    <x v="2"/>
    <n v="3"/>
    <x v="21"/>
    <n v="0"/>
    <n v="28500"/>
    <n v="0"/>
  </r>
  <r>
    <n v="2019"/>
    <x v="2"/>
    <n v="3"/>
    <x v="22"/>
    <n v="0"/>
    <n v="28500"/>
    <n v="0"/>
  </r>
  <r>
    <n v="2019"/>
    <x v="2"/>
    <n v="3"/>
    <x v="23"/>
    <n v="0"/>
    <n v="28500"/>
    <n v="0"/>
  </r>
  <r>
    <n v="2019"/>
    <x v="2"/>
    <n v="4"/>
    <x v="0"/>
    <n v="0"/>
    <n v="28500"/>
    <n v="0"/>
  </r>
  <r>
    <n v="2019"/>
    <x v="2"/>
    <n v="4"/>
    <x v="1"/>
    <n v="0"/>
    <n v="28500"/>
    <n v="0"/>
  </r>
  <r>
    <n v="2019"/>
    <x v="2"/>
    <n v="4"/>
    <x v="2"/>
    <n v="0"/>
    <n v="28500"/>
    <n v="0"/>
  </r>
  <r>
    <n v="2019"/>
    <x v="2"/>
    <n v="4"/>
    <x v="3"/>
    <n v="0"/>
    <n v="28500"/>
    <n v="0"/>
  </r>
  <r>
    <n v="2019"/>
    <x v="2"/>
    <n v="4"/>
    <x v="4"/>
    <n v="0"/>
    <n v="28500"/>
    <n v="0"/>
  </r>
  <r>
    <n v="2019"/>
    <x v="2"/>
    <n v="4"/>
    <x v="5"/>
    <n v="0"/>
    <n v="28500"/>
    <n v="0"/>
  </r>
  <r>
    <n v="2019"/>
    <x v="2"/>
    <n v="4"/>
    <x v="6"/>
    <n v="0"/>
    <n v="28500"/>
    <n v="0"/>
  </r>
  <r>
    <n v="2019"/>
    <x v="2"/>
    <n v="4"/>
    <x v="7"/>
    <n v="228"/>
    <n v="28500"/>
    <n v="8.0000000000000002E-3"/>
  </r>
  <r>
    <n v="2019"/>
    <x v="2"/>
    <n v="4"/>
    <x v="8"/>
    <n v="3559"/>
    <n v="28500"/>
    <n v="0.12487719298245614"/>
  </r>
  <r>
    <n v="2019"/>
    <x v="2"/>
    <n v="4"/>
    <x v="9"/>
    <n v="10066"/>
    <n v="28500"/>
    <n v="0.35319298245614034"/>
  </r>
  <r>
    <n v="2019"/>
    <x v="2"/>
    <n v="4"/>
    <x v="10"/>
    <n v="14591.5"/>
    <n v="28500"/>
    <n v="0.51198245614035087"/>
  </r>
  <r>
    <n v="2019"/>
    <x v="2"/>
    <n v="4"/>
    <x v="11"/>
    <n v="24406"/>
    <n v="28500"/>
    <n v="0.85635087719298242"/>
  </r>
  <r>
    <n v="2019"/>
    <x v="2"/>
    <n v="4"/>
    <x v="12"/>
    <n v="17126"/>
    <n v="28500"/>
    <n v="0.6009122807017544"/>
  </r>
  <r>
    <n v="2019"/>
    <x v="2"/>
    <n v="4"/>
    <x v="13"/>
    <n v="19300.5"/>
    <n v="28500"/>
    <n v="0.67721052631578948"/>
  </r>
  <r>
    <n v="2019"/>
    <x v="2"/>
    <n v="4"/>
    <x v="14"/>
    <n v="7917.5"/>
    <n v="28500"/>
    <n v="0.27780701754385967"/>
  </r>
  <r>
    <n v="2019"/>
    <x v="2"/>
    <n v="4"/>
    <x v="15"/>
    <n v="23786.5"/>
    <n v="28500"/>
    <n v="0.83461403508771925"/>
  </r>
  <r>
    <n v="2019"/>
    <x v="2"/>
    <n v="4"/>
    <x v="16"/>
    <n v="711"/>
    <n v="28500"/>
    <n v="2.4947368421052631E-2"/>
  </r>
  <r>
    <n v="2019"/>
    <x v="2"/>
    <n v="4"/>
    <x v="17"/>
    <n v="822"/>
    <n v="28500"/>
    <n v="2.8842105263157895E-2"/>
  </r>
  <r>
    <n v="2019"/>
    <x v="2"/>
    <n v="4"/>
    <x v="18"/>
    <n v="0"/>
    <n v="28500"/>
    <n v="0"/>
  </r>
  <r>
    <n v="2019"/>
    <x v="2"/>
    <n v="4"/>
    <x v="19"/>
    <n v="0"/>
    <n v="28500"/>
    <n v="0"/>
  </r>
  <r>
    <n v="2019"/>
    <x v="2"/>
    <n v="4"/>
    <x v="20"/>
    <n v="0"/>
    <n v="28500"/>
    <n v="0"/>
  </r>
  <r>
    <n v="2019"/>
    <x v="2"/>
    <n v="4"/>
    <x v="21"/>
    <n v="0"/>
    <n v="28500"/>
    <n v="0"/>
  </r>
  <r>
    <n v="2019"/>
    <x v="2"/>
    <n v="4"/>
    <x v="22"/>
    <n v="0"/>
    <n v="28500"/>
    <n v="0"/>
  </r>
  <r>
    <n v="2019"/>
    <x v="2"/>
    <n v="4"/>
    <x v="23"/>
    <n v="0"/>
    <n v="28500"/>
    <n v="0"/>
  </r>
  <r>
    <n v="2019"/>
    <x v="2"/>
    <n v="5"/>
    <x v="0"/>
    <n v="0"/>
    <n v="28500"/>
    <n v="0"/>
  </r>
  <r>
    <n v="2019"/>
    <x v="2"/>
    <n v="5"/>
    <x v="1"/>
    <n v="0"/>
    <n v="28500"/>
    <n v="0"/>
  </r>
  <r>
    <n v="2019"/>
    <x v="2"/>
    <n v="5"/>
    <x v="2"/>
    <n v="0"/>
    <n v="28500"/>
    <n v="0"/>
  </r>
  <r>
    <n v="2019"/>
    <x v="2"/>
    <n v="5"/>
    <x v="3"/>
    <n v="0"/>
    <n v="28500"/>
    <n v="0"/>
  </r>
  <r>
    <n v="2019"/>
    <x v="2"/>
    <n v="5"/>
    <x v="4"/>
    <n v="0"/>
    <n v="28500"/>
    <n v="0"/>
  </r>
  <r>
    <n v="2019"/>
    <x v="2"/>
    <n v="5"/>
    <x v="5"/>
    <n v="0"/>
    <n v="28500"/>
    <n v="0"/>
  </r>
  <r>
    <n v="2019"/>
    <x v="2"/>
    <n v="5"/>
    <x v="6"/>
    <n v="0"/>
    <n v="28500"/>
    <n v="0"/>
  </r>
  <r>
    <n v="2019"/>
    <x v="2"/>
    <n v="5"/>
    <x v="7"/>
    <n v="959.5"/>
    <n v="28500"/>
    <n v="3.3666666666666664E-2"/>
  </r>
  <r>
    <n v="2019"/>
    <x v="2"/>
    <n v="5"/>
    <x v="8"/>
    <n v="15835.5"/>
    <n v="28500"/>
    <n v="0.55563157894736848"/>
  </r>
  <r>
    <n v="2019"/>
    <x v="2"/>
    <n v="5"/>
    <x v="9"/>
    <n v="27219.5"/>
    <n v="28500"/>
    <n v="0.95507017543859651"/>
  </r>
  <r>
    <n v="2019"/>
    <x v="2"/>
    <n v="5"/>
    <x v="10"/>
    <n v="34806.5"/>
    <n v="28500"/>
    <n v="1.2212807017543859"/>
  </r>
  <r>
    <n v="2019"/>
    <x v="2"/>
    <n v="5"/>
    <x v="11"/>
    <n v="36360"/>
    <n v="28500"/>
    <n v="1.2757894736842106"/>
  </r>
  <r>
    <n v="2019"/>
    <x v="2"/>
    <n v="5"/>
    <x v="12"/>
    <n v="25560.5"/>
    <n v="28500"/>
    <n v="0.89685964912280702"/>
  </r>
  <r>
    <n v="2019"/>
    <x v="2"/>
    <n v="5"/>
    <x v="13"/>
    <n v="20784.5"/>
    <n v="28500"/>
    <n v="0.72928070175438597"/>
  </r>
  <r>
    <n v="2019"/>
    <x v="2"/>
    <n v="5"/>
    <x v="14"/>
    <n v="18297.5"/>
    <n v="28500"/>
    <n v="0.64201754385964915"/>
  </r>
  <r>
    <n v="2019"/>
    <x v="2"/>
    <n v="5"/>
    <x v="15"/>
    <n v="19359"/>
    <n v="28500"/>
    <n v="0.67926315789473679"/>
  </r>
  <r>
    <n v="2019"/>
    <x v="2"/>
    <n v="5"/>
    <x v="16"/>
    <n v="6808"/>
    <n v="28500"/>
    <n v="0.23887719298245613"/>
  </r>
  <r>
    <n v="2019"/>
    <x v="2"/>
    <n v="5"/>
    <x v="17"/>
    <n v="304"/>
    <n v="28500"/>
    <n v="1.0666666666666666E-2"/>
  </r>
  <r>
    <n v="2019"/>
    <x v="2"/>
    <n v="5"/>
    <x v="18"/>
    <n v="0"/>
    <n v="28500"/>
    <n v="0"/>
  </r>
  <r>
    <n v="2019"/>
    <x v="2"/>
    <n v="5"/>
    <x v="19"/>
    <n v="0"/>
    <n v="28500"/>
    <n v="0"/>
  </r>
  <r>
    <n v="2019"/>
    <x v="2"/>
    <n v="5"/>
    <x v="20"/>
    <n v="0"/>
    <n v="28500"/>
    <n v="0"/>
  </r>
  <r>
    <n v="2019"/>
    <x v="2"/>
    <n v="5"/>
    <x v="21"/>
    <n v="0"/>
    <n v="28500"/>
    <n v="0"/>
  </r>
  <r>
    <n v="2019"/>
    <x v="2"/>
    <n v="5"/>
    <x v="22"/>
    <n v="0"/>
    <n v="28500"/>
    <n v="0"/>
  </r>
  <r>
    <n v="2019"/>
    <x v="2"/>
    <n v="5"/>
    <x v="23"/>
    <n v="0"/>
    <n v="28500"/>
    <n v="0"/>
  </r>
  <r>
    <n v="2019"/>
    <x v="2"/>
    <n v="6"/>
    <x v="0"/>
    <n v="0"/>
    <n v="28500"/>
    <n v="0"/>
  </r>
  <r>
    <n v="2019"/>
    <x v="2"/>
    <n v="6"/>
    <x v="1"/>
    <n v="0"/>
    <n v="28500"/>
    <n v="0"/>
  </r>
  <r>
    <n v="2019"/>
    <x v="2"/>
    <n v="6"/>
    <x v="2"/>
    <n v="0"/>
    <n v="28500"/>
    <n v="0"/>
  </r>
  <r>
    <n v="2019"/>
    <x v="2"/>
    <n v="6"/>
    <x v="3"/>
    <n v="0"/>
    <n v="28500"/>
    <n v="0"/>
  </r>
  <r>
    <n v="2019"/>
    <x v="2"/>
    <n v="6"/>
    <x v="4"/>
    <n v="0"/>
    <n v="28500"/>
    <n v="0"/>
  </r>
  <r>
    <n v="2019"/>
    <x v="2"/>
    <n v="6"/>
    <x v="5"/>
    <n v="0"/>
    <n v="28500"/>
    <n v="0"/>
  </r>
  <r>
    <n v="2019"/>
    <x v="2"/>
    <n v="6"/>
    <x v="6"/>
    <n v="0"/>
    <n v="28500"/>
    <n v="0"/>
  </r>
  <r>
    <n v="2019"/>
    <x v="2"/>
    <n v="6"/>
    <x v="7"/>
    <n v="32"/>
    <n v="28500"/>
    <n v="1.1228070175438596E-3"/>
  </r>
  <r>
    <n v="2019"/>
    <x v="2"/>
    <n v="6"/>
    <x v="8"/>
    <n v="2899"/>
    <n v="28500"/>
    <n v="0.10171929824561403"/>
  </r>
  <r>
    <n v="2019"/>
    <x v="2"/>
    <n v="6"/>
    <x v="9"/>
    <n v="3218"/>
    <n v="28500"/>
    <n v="0.11291228070175438"/>
  </r>
  <r>
    <n v="2019"/>
    <x v="2"/>
    <n v="6"/>
    <x v="10"/>
    <n v="7132.5"/>
    <n v="28500"/>
    <n v="0.25026315789473685"/>
  </r>
  <r>
    <n v="2019"/>
    <x v="2"/>
    <n v="6"/>
    <x v="11"/>
    <n v="6839"/>
    <n v="28500"/>
    <n v="0.23996491228070174"/>
  </r>
  <r>
    <n v="2019"/>
    <x v="2"/>
    <n v="6"/>
    <x v="12"/>
    <n v="4067"/>
    <n v="28500"/>
    <n v="0.14270175438596491"/>
  </r>
  <r>
    <n v="2019"/>
    <x v="2"/>
    <n v="6"/>
    <x v="13"/>
    <n v="10577.5"/>
    <n v="28500"/>
    <n v="0.37114035087719299"/>
  </r>
  <r>
    <n v="2019"/>
    <x v="2"/>
    <n v="6"/>
    <x v="14"/>
    <n v="3949.5"/>
    <n v="28500"/>
    <n v="0.13857894736842105"/>
  </r>
  <r>
    <n v="2019"/>
    <x v="2"/>
    <n v="6"/>
    <x v="15"/>
    <n v="3653"/>
    <n v="28500"/>
    <n v="0.12817543859649122"/>
  </r>
  <r>
    <n v="2019"/>
    <x v="2"/>
    <n v="6"/>
    <x v="16"/>
    <n v="2703.5"/>
    <n v="28500"/>
    <n v="9.4859649122807019E-2"/>
  </r>
  <r>
    <n v="2019"/>
    <x v="2"/>
    <n v="6"/>
    <x v="17"/>
    <n v="328.5"/>
    <n v="28500"/>
    <n v="1.1526315789473685E-2"/>
  </r>
  <r>
    <n v="2019"/>
    <x v="2"/>
    <n v="6"/>
    <x v="18"/>
    <n v="0"/>
    <n v="28500"/>
    <n v="0"/>
  </r>
  <r>
    <n v="2019"/>
    <x v="2"/>
    <n v="6"/>
    <x v="19"/>
    <n v="0"/>
    <n v="28500"/>
    <n v="0"/>
  </r>
  <r>
    <n v="2019"/>
    <x v="2"/>
    <n v="6"/>
    <x v="20"/>
    <n v="0"/>
    <n v="28500"/>
    <n v="0"/>
  </r>
  <r>
    <n v="2019"/>
    <x v="2"/>
    <n v="6"/>
    <x v="21"/>
    <n v="0"/>
    <n v="28500"/>
    <n v="0"/>
  </r>
  <r>
    <n v="2019"/>
    <x v="2"/>
    <n v="6"/>
    <x v="22"/>
    <n v="0"/>
    <n v="28500"/>
    <n v="0"/>
  </r>
  <r>
    <n v="2019"/>
    <x v="2"/>
    <n v="6"/>
    <x v="23"/>
    <n v="0"/>
    <n v="28500"/>
    <n v="0"/>
  </r>
  <r>
    <n v="2019"/>
    <x v="2"/>
    <n v="7"/>
    <x v="0"/>
    <n v="0"/>
    <n v="28500"/>
    <n v="0"/>
  </r>
  <r>
    <n v="2019"/>
    <x v="2"/>
    <n v="7"/>
    <x v="1"/>
    <n v="0"/>
    <n v="28500"/>
    <n v="0"/>
  </r>
  <r>
    <n v="2019"/>
    <x v="2"/>
    <n v="7"/>
    <x v="2"/>
    <n v="0"/>
    <n v="28500"/>
    <n v="0"/>
  </r>
  <r>
    <n v="2019"/>
    <x v="2"/>
    <n v="7"/>
    <x v="3"/>
    <n v="0"/>
    <n v="28500"/>
    <n v="0"/>
  </r>
  <r>
    <n v="2019"/>
    <x v="2"/>
    <n v="7"/>
    <x v="4"/>
    <n v="0"/>
    <n v="28500"/>
    <n v="0"/>
  </r>
  <r>
    <n v="2019"/>
    <x v="2"/>
    <n v="7"/>
    <x v="5"/>
    <n v="0"/>
    <n v="28500"/>
    <n v="0"/>
  </r>
  <r>
    <n v="2019"/>
    <x v="2"/>
    <n v="7"/>
    <x v="6"/>
    <n v="0"/>
    <n v="28500"/>
    <n v="0"/>
  </r>
  <r>
    <n v="2019"/>
    <x v="2"/>
    <n v="7"/>
    <x v="7"/>
    <n v="1169.5"/>
    <n v="28500"/>
    <n v="4.1035087719298244E-2"/>
  </r>
  <r>
    <n v="2019"/>
    <x v="2"/>
    <n v="7"/>
    <x v="8"/>
    <n v="16178.5"/>
    <n v="28500"/>
    <n v="0.56766666666666665"/>
  </r>
  <r>
    <n v="2019"/>
    <x v="2"/>
    <n v="7"/>
    <x v="9"/>
    <n v="27279.5"/>
    <n v="28500"/>
    <n v="0.95717543859649123"/>
  </r>
  <r>
    <n v="2019"/>
    <x v="2"/>
    <n v="7"/>
    <x v="10"/>
    <n v="11887.5"/>
    <n v="28500"/>
    <n v="0.41710526315789476"/>
  </r>
  <r>
    <n v="2019"/>
    <x v="2"/>
    <n v="7"/>
    <x v="11"/>
    <n v="35664"/>
    <n v="28500"/>
    <n v="1.2513684210526317"/>
  </r>
  <r>
    <n v="2019"/>
    <x v="2"/>
    <n v="7"/>
    <x v="12"/>
    <n v="17414"/>
    <n v="28500"/>
    <n v="0.61101754385964913"/>
  </r>
  <r>
    <n v="2019"/>
    <x v="2"/>
    <n v="7"/>
    <x v="13"/>
    <n v="32240"/>
    <n v="28500"/>
    <n v="1.1312280701754387"/>
  </r>
  <r>
    <n v="2019"/>
    <x v="2"/>
    <n v="7"/>
    <x v="14"/>
    <n v="14378.5"/>
    <n v="28500"/>
    <n v="0.50450877192982457"/>
  </r>
  <r>
    <n v="2019"/>
    <x v="2"/>
    <n v="7"/>
    <x v="15"/>
    <n v="11085.5"/>
    <n v="28500"/>
    <n v="0.38896491228070174"/>
  </r>
  <r>
    <n v="2019"/>
    <x v="2"/>
    <n v="7"/>
    <x v="16"/>
    <n v="6174"/>
    <n v="28500"/>
    <n v="0.21663157894736843"/>
  </r>
  <r>
    <n v="2019"/>
    <x v="2"/>
    <n v="7"/>
    <x v="17"/>
    <n v="472"/>
    <n v="28500"/>
    <n v="1.656140350877193E-2"/>
  </r>
  <r>
    <n v="2019"/>
    <x v="2"/>
    <n v="7"/>
    <x v="18"/>
    <n v="0"/>
    <n v="28500"/>
    <n v="0"/>
  </r>
  <r>
    <n v="2019"/>
    <x v="2"/>
    <n v="7"/>
    <x v="19"/>
    <n v="0"/>
    <n v="28500"/>
    <n v="0"/>
  </r>
  <r>
    <n v="2019"/>
    <x v="2"/>
    <n v="7"/>
    <x v="20"/>
    <n v="0"/>
    <n v="28500"/>
    <n v="0"/>
  </r>
  <r>
    <n v="2019"/>
    <x v="2"/>
    <n v="7"/>
    <x v="21"/>
    <n v="0"/>
    <n v="28500"/>
    <n v="0"/>
  </r>
  <r>
    <n v="2019"/>
    <x v="2"/>
    <n v="7"/>
    <x v="22"/>
    <n v="0"/>
    <n v="28500"/>
    <n v="0"/>
  </r>
  <r>
    <n v="2019"/>
    <x v="2"/>
    <n v="7"/>
    <x v="23"/>
    <n v="0"/>
    <n v="28500"/>
    <n v="0"/>
  </r>
  <r>
    <n v="2019"/>
    <x v="2"/>
    <n v="8"/>
    <x v="0"/>
    <n v="0"/>
    <n v="28500"/>
    <n v="0"/>
  </r>
  <r>
    <n v="2019"/>
    <x v="2"/>
    <n v="8"/>
    <x v="1"/>
    <n v="0"/>
    <n v="28500"/>
    <n v="0"/>
  </r>
  <r>
    <n v="2019"/>
    <x v="2"/>
    <n v="8"/>
    <x v="2"/>
    <n v="0"/>
    <n v="28500"/>
    <n v="0"/>
  </r>
  <r>
    <n v="2019"/>
    <x v="2"/>
    <n v="8"/>
    <x v="3"/>
    <n v="0"/>
    <n v="28500"/>
    <n v="0"/>
  </r>
  <r>
    <n v="2019"/>
    <x v="2"/>
    <n v="8"/>
    <x v="4"/>
    <n v="0"/>
    <n v="28500"/>
    <n v="0"/>
  </r>
  <r>
    <n v="2019"/>
    <x v="2"/>
    <n v="8"/>
    <x v="5"/>
    <n v="0"/>
    <n v="28500"/>
    <n v="0"/>
  </r>
  <r>
    <n v="2019"/>
    <x v="2"/>
    <n v="8"/>
    <x v="6"/>
    <n v="0"/>
    <n v="28500"/>
    <n v="0"/>
  </r>
  <r>
    <n v="2019"/>
    <x v="2"/>
    <n v="8"/>
    <x v="7"/>
    <n v="1263"/>
    <n v="28500"/>
    <n v="4.4315789473684211E-2"/>
  </r>
  <r>
    <n v="2019"/>
    <x v="2"/>
    <n v="8"/>
    <x v="8"/>
    <n v="12375"/>
    <n v="28500"/>
    <n v="0.43421052631578949"/>
  </r>
  <r>
    <n v="2019"/>
    <x v="2"/>
    <n v="8"/>
    <x v="9"/>
    <n v="22483"/>
    <n v="28500"/>
    <n v="0.78887719298245618"/>
  </r>
  <r>
    <n v="2019"/>
    <x v="2"/>
    <n v="8"/>
    <x v="10"/>
    <n v="30393"/>
    <n v="28500"/>
    <n v="1.0664210526315789"/>
  </r>
  <r>
    <n v="2019"/>
    <x v="2"/>
    <n v="8"/>
    <x v="11"/>
    <n v="20316.5"/>
    <n v="28500"/>
    <n v="0.71285964912280697"/>
  </r>
  <r>
    <n v="2019"/>
    <x v="2"/>
    <n v="8"/>
    <x v="12"/>
    <n v="6949"/>
    <n v="28500"/>
    <n v="0.24382456140350878"/>
  </r>
  <r>
    <n v="2019"/>
    <x v="2"/>
    <n v="8"/>
    <x v="13"/>
    <n v="5614.5"/>
    <n v="28500"/>
    <n v="0.19700000000000001"/>
  </r>
  <r>
    <n v="2019"/>
    <x v="2"/>
    <n v="8"/>
    <x v="14"/>
    <n v="5312"/>
    <n v="28500"/>
    <n v="0.18638596491228071"/>
  </r>
  <r>
    <n v="2019"/>
    <x v="2"/>
    <n v="8"/>
    <x v="15"/>
    <n v="2860.5"/>
    <n v="28500"/>
    <n v="0.10036842105263158"/>
  </r>
  <r>
    <n v="2019"/>
    <x v="2"/>
    <n v="8"/>
    <x v="16"/>
    <n v="2306.5"/>
    <n v="28500"/>
    <n v="8.0929824561403504E-2"/>
  </r>
  <r>
    <n v="2019"/>
    <x v="2"/>
    <n v="8"/>
    <x v="17"/>
    <n v="120.5"/>
    <n v="28500"/>
    <n v="4.2280701754385964E-3"/>
  </r>
  <r>
    <n v="2019"/>
    <x v="2"/>
    <n v="8"/>
    <x v="18"/>
    <n v="0"/>
    <n v="28500"/>
    <n v="0"/>
  </r>
  <r>
    <n v="2019"/>
    <x v="2"/>
    <n v="8"/>
    <x v="19"/>
    <n v="0"/>
    <n v="28500"/>
    <n v="0"/>
  </r>
  <r>
    <n v="2019"/>
    <x v="2"/>
    <n v="8"/>
    <x v="20"/>
    <n v="0"/>
    <n v="28500"/>
    <n v="0"/>
  </r>
  <r>
    <n v="2019"/>
    <x v="2"/>
    <n v="8"/>
    <x v="21"/>
    <n v="0"/>
    <n v="28500"/>
    <n v="0"/>
  </r>
  <r>
    <n v="2019"/>
    <x v="2"/>
    <n v="8"/>
    <x v="22"/>
    <n v="0"/>
    <n v="28500"/>
    <n v="0"/>
  </r>
  <r>
    <n v="2019"/>
    <x v="2"/>
    <n v="8"/>
    <x v="23"/>
    <n v="0"/>
    <n v="28500"/>
    <n v="0"/>
  </r>
  <r>
    <n v="2019"/>
    <x v="2"/>
    <n v="9"/>
    <x v="0"/>
    <n v="0"/>
    <n v="28500"/>
    <n v="0"/>
  </r>
  <r>
    <n v="2019"/>
    <x v="2"/>
    <n v="9"/>
    <x v="1"/>
    <n v="0"/>
    <n v="28500"/>
    <n v="0"/>
  </r>
  <r>
    <n v="2019"/>
    <x v="2"/>
    <n v="9"/>
    <x v="2"/>
    <n v="0"/>
    <n v="28500"/>
    <n v="0"/>
  </r>
  <r>
    <n v="2019"/>
    <x v="2"/>
    <n v="9"/>
    <x v="3"/>
    <n v="0"/>
    <n v="28500"/>
    <n v="0"/>
  </r>
  <r>
    <n v="2019"/>
    <x v="2"/>
    <n v="9"/>
    <x v="4"/>
    <n v="0"/>
    <n v="28500"/>
    <n v="0"/>
  </r>
  <r>
    <n v="2019"/>
    <x v="2"/>
    <n v="9"/>
    <x v="5"/>
    <n v="0"/>
    <n v="28500"/>
    <n v="0"/>
  </r>
  <r>
    <n v="2019"/>
    <x v="2"/>
    <n v="9"/>
    <x v="6"/>
    <n v="0"/>
    <n v="28500"/>
    <n v="0"/>
  </r>
  <r>
    <n v="2019"/>
    <x v="2"/>
    <n v="9"/>
    <x v="7"/>
    <n v="964.5"/>
    <n v="28500"/>
    <n v="3.3842105263157896E-2"/>
  </r>
  <r>
    <n v="2019"/>
    <x v="2"/>
    <n v="9"/>
    <x v="8"/>
    <n v="1598.5"/>
    <n v="28500"/>
    <n v="5.6087719298245617E-2"/>
  </r>
  <r>
    <n v="2019"/>
    <x v="2"/>
    <n v="9"/>
    <x v="9"/>
    <n v="27088.5"/>
    <n v="28500"/>
    <n v="0.95047368421052636"/>
  </r>
  <r>
    <n v="2019"/>
    <x v="2"/>
    <n v="9"/>
    <x v="10"/>
    <n v="4519.5"/>
    <n v="28500"/>
    <n v="0.15857894736842104"/>
  </r>
  <r>
    <n v="2019"/>
    <x v="2"/>
    <n v="9"/>
    <x v="11"/>
    <n v="18607"/>
    <n v="28500"/>
    <n v="0.65287719298245617"/>
  </r>
  <r>
    <n v="2019"/>
    <x v="2"/>
    <n v="9"/>
    <x v="12"/>
    <n v="35346.5"/>
    <n v="28500"/>
    <n v="1.2402280701754387"/>
  </r>
  <r>
    <n v="2019"/>
    <x v="2"/>
    <n v="9"/>
    <x v="13"/>
    <n v="32006.5"/>
    <n v="28500"/>
    <n v="1.1230350877192983"/>
  </r>
  <r>
    <n v="2019"/>
    <x v="2"/>
    <n v="9"/>
    <x v="14"/>
    <n v="26528.5"/>
    <n v="28500"/>
    <n v="0.93082456140350878"/>
  </r>
  <r>
    <n v="2019"/>
    <x v="2"/>
    <n v="9"/>
    <x v="15"/>
    <n v="15449"/>
    <n v="28500"/>
    <n v="0.54207017543859648"/>
  </r>
  <r>
    <n v="2019"/>
    <x v="2"/>
    <n v="9"/>
    <x v="16"/>
    <n v="5620.5"/>
    <n v="28500"/>
    <n v="0.19721052631578948"/>
  </r>
  <r>
    <n v="2019"/>
    <x v="2"/>
    <n v="9"/>
    <x v="17"/>
    <n v="728"/>
    <n v="28500"/>
    <n v="2.5543859649122806E-2"/>
  </r>
  <r>
    <n v="2019"/>
    <x v="2"/>
    <n v="9"/>
    <x v="18"/>
    <n v="0"/>
    <n v="28500"/>
    <n v="0"/>
  </r>
  <r>
    <n v="2019"/>
    <x v="2"/>
    <n v="9"/>
    <x v="19"/>
    <n v="0"/>
    <n v="28500"/>
    <n v="0"/>
  </r>
  <r>
    <n v="2019"/>
    <x v="2"/>
    <n v="9"/>
    <x v="20"/>
    <n v="0"/>
    <n v="28500"/>
    <n v="0"/>
  </r>
  <r>
    <n v="2019"/>
    <x v="2"/>
    <n v="9"/>
    <x v="21"/>
    <n v="0"/>
    <n v="28500"/>
    <n v="0"/>
  </r>
  <r>
    <n v="2019"/>
    <x v="2"/>
    <n v="9"/>
    <x v="22"/>
    <n v="0"/>
    <n v="28500"/>
    <n v="0"/>
  </r>
  <r>
    <n v="2019"/>
    <x v="2"/>
    <n v="9"/>
    <x v="23"/>
    <n v="0"/>
    <n v="28500"/>
    <n v="0"/>
  </r>
  <r>
    <n v="2019"/>
    <x v="2"/>
    <n v="10"/>
    <x v="0"/>
    <n v="0"/>
    <n v="28500"/>
    <n v="0"/>
  </r>
  <r>
    <n v="2019"/>
    <x v="2"/>
    <n v="10"/>
    <x v="1"/>
    <n v="0"/>
    <n v="28500"/>
    <n v="0"/>
  </r>
  <r>
    <n v="2019"/>
    <x v="2"/>
    <n v="10"/>
    <x v="2"/>
    <n v="0"/>
    <n v="28500"/>
    <n v="0"/>
  </r>
  <r>
    <n v="2019"/>
    <x v="2"/>
    <n v="10"/>
    <x v="3"/>
    <n v="0"/>
    <n v="28500"/>
    <n v="0"/>
  </r>
  <r>
    <n v="2019"/>
    <x v="2"/>
    <n v="10"/>
    <x v="4"/>
    <n v="0"/>
    <n v="28500"/>
    <n v="0"/>
  </r>
  <r>
    <n v="2019"/>
    <x v="2"/>
    <n v="10"/>
    <x v="5"/>
    <n v="0"/>
    <n v="28500"/>
    <n v="0"/>
  </r>
  <r>
    <n v="2019"/>
    <x v="2"/>
    <n v="10"/>
    <x v="6"/>
    <n v="0"/>
    <n v="28500"/>
    <n v="0"/>
  </r>
  <r>
    <n v="2019"/>
    <x v="2"/>
    <n v="10"/>
    <x v="7"/>
    <n v="2182.5"/>
    <n v="28500"/>
    <n v="7.6578947368421052E-2"/>
  </r>
  <r>
    <n v="2019"/>
    <x v="2"/>
    <n v="10"/>
    <x v="8"/>
    <n v="3226.5"/>
    <n v="28500"/>
    <n v="0.11321052631578947"/>
  </r>
  <r>
    <n v="2019"/>
    <x v="2"/>
    <n v="10"/>
    <x v="9"/>
    <n v="25370.5"/>
    <n v="28500"/>
    <n v="0.89019298245614031"/>
  </r>
  <r>
    <n v="2019"/>
    <x v="2"/>
    <n v="10"/>
    <x v="10"/>
    <n v="28938.5"/>
    <n v="28500"/>
    <n v="1.0153859649122807"/>
  </r>
  <r>
    <n v="2019"/>
    <x v="2"/>
    <n v="10"/>
    <x v="11"/>
    <n v="4297.5"/>
    <n v="28500"/>
    <n v="0.15078947368421053"/>
  </r>
  <r>
    <n v="2019"/>
    <x v="2"/>
    <n v="10"/>
    <x v="12"/>
    <n v="2297.5"/>
    <n v="28500"/>
    <n v="8.0614035087719305E-2"/>
  </r>
  <r>
    <n v="2019"/>
    <x v="2"/>
    <n v="10"/>
    <x v="13"/>
    <n v="38854.5"/>
    <n v="28500"/>
    <n v="1.3633157894736843"/>
  </r>
  <r>
    <n v="2019"/>
    <x v="2"/>
    <n v="10"/>
    <x v="14"/>
    <n v="35323.5"/>
    <n v="28500"/>
    <n v="1.239421052631579"/>
  </r>
  <r>
    <n v="2019"/>
    <x v="2"/>
    <n v="10"/>
    <x v="15"/>
    <n v="8921.5"/>
    <n v="28500"/>
    <n v="0.31303508771929822"/>
  </r>
  <r>
    <n v="2019"/>
    <x v="2"/>
    <n v="10"/>
    <x v="16"/>
    <n v="16281"/>
    <n v="28500"/>
    <n v="0.57126315789473681"/>
  </r>
  <r>
    <n v="2019"/>
    <x v="2"/>
    <n v="10"/>
    <x v="17"/>
    <n v="4338.5"/>
    <n v="28500"/>
    <n v="0.1522280701754386"/>
  </r>
  <r>
    <n v="2019"/>
    <x v="2"/>
    <n v="10"/>
    <x v="18"/>
    <n v="0"/>
    <n v="28500"/>
    <n v="0"/>
  </r>
  <r>
    <n v="2019"/>
    <x v="2"/>
    <n v="10"/>
    <x v="19"/>
    <n v="0"/>
    <n v="28500"/>
    <n v="0"/>
  </r>
  <r>
    <n v="2019"/>
    <x v="2"/>
    <n v="10"/>
    <x v="20"/>
    <n v="0"/>
    <n v="28500"/>
    <n v="0"/>
  </r>
  <r>
    <n v="2019"/>
    <x v="2"/>
    <n v="10"/>
    <x v="21"/>
    <n v="0"/>
    <n v="28500"/>
    <n v="0"/>
  </r>
  <r>
    <n v="2019"/>
    <x v="2"/>
    <n v="10"/>
    <x v="22"/>
    <n v="0"/>
    <n v="28500"/>
    <n v="0"/>
  </r>
  <r>
    <n v="2019"/>
    <x v="2"/>
    <n v="10"/>
    <x v="23"/>
    <n v="0"/>
    <n v="28500"/>
    <n v="0"/>
  </r>
  <r>
    <n v="2019"/>
    <x v="2"/>
    <n v="11"/>
    <x v="0"/>
    <n v="0"/>
    <n v="28500"/>
    <n v="0"/>
  </r>
  <r>
    <n v="2019"/>
    <x v="2"/>
    <n v="11"/>
    <x v="1"/>
    <n v="0"/>
    <n v="28500"/>
    <n v="0"/>
  </r>
  <r>
    <n v="2019"/>
    <x v="2"/>
    <n v="11"/>
    <x v="2"/>
    <n v="0"/>
    <n v="28500"/>
    <n v="0"/>
  </r>
  <r>
    <n v="2019"/>
    <x v="2"/>
    <n v="11"/>
    <x v="3"/>
    <n v="0"/>
    <n v="28500"/>
    <n v="0"/>
  </r>
  <r>
    <n v="2019"/>
    <x v="2"/>
    <n v="11"/>
    <x v="4"/>
    <n v="0"/>
    <n v="28500"/>
    <n v="0"/>
  </r>
  <r>
    <n v="2019"/>
    <x v="2"/>
    <n v="11"/>
    <x v="5"/>
    <n v="0"/>
    <n v="28500"/>
    <n v="0"/>
  </r>
  <r>
    <n v="2019"/>
    <x v="2"/>
    <n v="11"/>
    <x v="6"/>
    <n v="0"/>
    <n v="28500"/>
    <n v="0"/>
  </r>
  <r>
    <n v="2019"/>
    <x v="2"/>
    <n v="11"/>
    <x v="7"/>
    <n v="4931"/>
    <n v="28500"/>
    <n v="0.17301754385964913"/>
  </r>
  <r>
    <n v="2019"/>
    <x v="2"/>
    <n v="11"/>
    <x v="8"/>
    <n v="17677.5"/>
    <n v="28500"/>
    <n v="0.62026315789473685"/>
  </r>
  <r>
    <n v="2019"/>
    <x v="2"/>
    <n v="11"/>
    <x v="9"/>
    <n v="27430.5"/>
    <n v="28500"/>
    <n v="0.96247368421052637"/>
  </r>
  <r>
    <n v="2019"/>
    <x v="2"/>
    <n v="11"/>
    <x v="10"/>
    <n v="35076"/>
    <n v="28500"/>
    <n v="1.2307368421052631"/>
  </r>
  <r>
    <n v="2019"/>
    <x v="2"/>
    <n v="11"/>
    <x v="11"/>
    <n v="37785"/>
    <n v="28500"/>
    <n v="1.3257894736842106"/>
  </r>
  <r>
    <n v="2019"/>
    <x v="2"/>
    <n v="11"/>
    <x v="12"/>
    <n v="42733.5"/>
    <n v="28500"/>
    <n v="1.499421052631579"/>
  </r>
  <r>
    <n v="2019"/>
    <x v="2"/>
    <n v="11"/>
    <x v="13"/>
    <n v="38057"/>
    <n v="28500"/>
    <n v="1.3353333333333333"/>
  </r>
  <r>
    <n v="2019"/>
    <x v="2"/>
    <n v="11"/>
    <x v="14"/>
    <n v="25402.5"/>
    <n v="28500"/>
    <n v="0.89131578947368417"/>
  </r>
  <r>
    <n v="2019"/>
    <x v="2"/>
    <n v="11"/>
    <x v="15"/>
    <n v="24995.5"/>
    <n v="28500"/>
    <n v="0.87703508771929828"/>
  </r>
  <r>
    <n v="2019"/>
    <x v="2"/>
    <n v="11"/>
    <x v="16"/>
    <n v="17191"/>
    <n v="28500"/>
    <n v="0.60319298245614039"/>
  </r>
  <r>
    <n v="2019"/>
    <x v="2"/>
    <n v="11"/>
    <x v="17"/>
    <n v="2864"/>
    <n v="28500"/>
    <n v="0.10049122807017544"/>
  </r>
  <r>
    <n v="2019"/>
    <x v="2"/>
    <n v="11"/>
    <x v="18"/>
    <n v="0"/>
    <n v="28500"/>
    <n v="0"/>
  </r>
  <r>
    <n v="2019"/>
    <x v="2"/>
    <n v="11"/>
    <x v="19"/>
    <n v="0"/>
    <n v="28500"/>
    <n v="0"/>
  </r>
  <r>
    <n v="2019"/>
    <x v="2"/>
    <n v="11"/>
    <x v="20"/>
    <n v="0"/>
    <n v="28500"/>
    <n v="0"/>
  </r>
  <r>
    <n v="2019"/>
    <x v="2"/>
    <n v="11"/>
    <x v="21"/>
    <n v="0"/>
    <n v="28500"/>
    <n v="0"/>
  </r>
  <r>
    <n v="2019"/>
    <x v="2"/>
    <n v="11"/>
    <x v="22"/>
    <n v="0"/>
    <n v="28500"/>
    <n v="0"/>
  </r>
  <r>
    <n v="2019"/>
    <x v="2"/>
    <n v="11"/>
    <x v="23"/>
    <n v="0"/>
    <n v="28500"/>
    <n v="0"/>
  </r>
  <r>
    <n v="2019"/>
    <x v="2"/>
    <n v="12"/>
    <x v="0"/>
    <n v="0"/>
    <n v="28500"/>
    <n v="0"/>
  </r>
  <r>
    <n v="2019"/>
    <x v="2"/>
    <n v="12"/>
    <x v="1"/>
    <n v="0"/>
    <n v="28500"/>
    <n v="0"/>
  </r>
  <r>
    <n v="2019"/>
    <x v="2"/>
    <n v="12"/>
    <x v="2"/>
    <n v="0"/>
    <n v="28500"/>
    <n v="0"/>
  </r>
  <r>
    <n v="2019"/>
    <x v="2"/>
    <n v="12"/>
    <x v="3"/>
    <n v="0"/>
    <n v="28500"/>
    <n v="0"/>
  </r>
  <r>
    <n v="2019"/>
    <x v="2"/>
    <n v="12"/>
    <x v="4"/>
    <n v="0"/>
    <n v="28500"/>
    <n v="0"/>
  </r>
  <r>
    <n v="2019"/>
    <x v="2"/>
    <n v="12"/>
    <x v="5"/>
    <n v="0"/>
    <n v="28500"/>
    <n v="0"/>
  </r>
  <r>
    <n v="2019"/>
    <x v="2"/>
    <n v="12"/>
    <x v="6"/>
    <n v="0"/>
    <n v="28500"/>
    <n v="0"/>
  </r>
  <r>
    <n v="2019"/>
    <x v="2"/>
    <n v="12"/>
    <x v="7"/>
    <n v="223.5"/>
    <n v="28500"/>
    <n v="7.842105263157895E-3"/>
  </r>
  <r>
    <n v="2019"/>
    <x v="2"/>
    <n v="12"/>
    <x v="8"/>
    <n v="1299"/>
    <n v="28500"/>
    <n v="4.5578947368421052E-2"/>
  </r>
  <r>
    <n v="2019"/>
    <x v="2"/>
    <n v="12"/>
    <x v="9"/>
    <n v="2222"/>
    <n v="28500"/>
    <n v="7.7964912280701751E-2"/>
  </r>
  <r>
    <n v="2019"/>
    <x v="2"/>
    <n v="12"/>
    <x v="10"/>
    <n v="3733.5"/>
    <n v="28500"/>
    <n v="0.13100000000000001"/>
  </r>
  <r>
    <n v="2019"/>
    <x v="2"/>
    <n v="12"/>
    <x v="11"/>
    <n v="4885"/>
    <n v="28500"/>
    <n v="0.17140350877192984"/>
  </r>
  <r>
    <n v="2019"/>
    <x v="2"/>
    <n v="12"/>
    <x v="12"/>
    <n v="3887.5"/>
    <n v="28500"/>
    <n v="0.13640350877192983"/>
  </r>
  <r>
    <n v="2019"/>
    <x v="2"/>
    <n v="12"/>
    <x v="13"/>
    <n v="2829.5"/>
    <n v="28500"/>
    <n v="9.9280701754385969E-2"/>
  </r>
  <r>
    <n v="2019"/>
    <x v="2"/>
    <n v="12"/>
    <x v="14"/>
    <n v="2951"/>
    <n v="28500"/>
    <n v="0.10354385964912281"/>
  </r>
  <r>
    <n v="2019"/>
    <x v="2"/>
    <n v="12"/>
    <x v="15"/>
    <n v="1653"/>
    <n v="28500"/>
    <n v="5.8000000000000003E-2"/>
  </r>
  <r>
    <n v="2019"/>
    <x v="2"/>
    <n v="12"/>
    <x v="16"/>
    <n v="595"/>
    <n v="28500"/>
    <n v="2.087719298245614E-2"/>
  </r>
  <r>
    <n v="2019"/>
    <x v="2"/>
    <n v="12"/>
    <x v="17"/>
    <n v="1802"/>
    <n v="28500"/>
    <n v="6.3228070175438592E-2"/>
  </r>
  <r>
    <n v="2019"/>
    <x v="2"/>
    <n v="12"/>
    <x v="18"/>
    <n v="0"/>
    <n v="28500"/>
    <n v="0"/>
  </r>
  <r>
    <n v="2019"/>
    <x v="2"/>
    <n v="12"/>
    <x v="19"/>
    <n v="0"/>
    <n v="28500"/>
    <n v="0"/>
  </r>
  <r>
    <n v="2019"/>
    <x v="2"/>
    <n v="12"/>
    <x v="20"/>
    <n v="0"/>
    <n v="28500"/>
    <n v="0"/>
  </r>
  <r>
    <n v="2019"/>
    <x v="2"/>
    <n v="12"/>
    <x v="21"/>
    <n v="0"/>
    <n v="28500"/>
    <n v="0"/>
  </r>
  <r>
    <n v="2019"/>
    <x v="2"/>
    <n v="12"/>
    <x v="22"/>
    <n v="0"/>
    <n v="28500"/>
    <n v="0"/>
  </r>
  <r>
    <n v="2019"/>
    <x v="2"/>
    <n v="12"/>
    <x v="23"/>
    <n v="0"/>
    <n v="28500"/>
    <n v="0"/>
  </r>
  <r>
    <n v="2019"/>
    <x v="2"/>
    <n v="13"/>
    <x v="0"/>
    <n v="0"/>
    <n v="28500"/>
    <n v="0"/>
  </r>
  <r>
    <n v="2019"/>
    <x v="2"/>
    <n v="13"/>
    <x v="1"/>
    <n v="0"/>
    <n v="28500"/>
    <n v="0"/>
  </r>
  <r>
    <n v="2019"/>
    <x v="2"/>
    <n v="13"/>
    <x v="2"/>
    <n v="0"/>
    <n v="28500"/>
    <n v="0"/>
  </r>
  <r>
    <n v="2019"/>
    <x v="2"/>
    <n v="13"/>
    <x v="3"/>
    <n v="0"/>
    <n v="28500"/>
    <n v="0"/>
  </r>
  <r>
    <n v="2019"/>
    <x v="2"/>
    <n v="13"/>
    <x v="4"/>
    <n v="0"/>
    <n v="28500"/>
    <n v="0"/>
  </r>
  <r>
    <n v="2019"/>
    <x v="2"/>
    <n v="13"/>
    <x v="5"/>
    <n v="0"/>
    <n v="28500"/>
    <n v="0"/>
  </r>
  <r>
    <n v="2019"/>
    <x v="2"/>
    <n v="13"/>
    <x v="6"/>
    <n v="0"/>
    <n v="28500"/>
    <n v="0"/>
  </r>
  <r>
    <n v="2019"/>
    <x v="2"/>
    <n v="13"/>
    <x v="7"/>
    <n v="4448"/>
    <n v="28500"/>
    <n v="0.1560701754385965"/>
  </r>
  <r>
    <n v="2019"/>
    <x v="2"/>
    <n v="13"/>
    <x v="8"/>
    <n v="13947"/>
    <n v="28500"/>
    <n v="0.48936842105263156"/>
  </r>
  <r>
    <n v="2019"/>
    <x v="2"/>
    <n v="13"/>
    <x v="9"/>
    <n v="6582.5"/>
    <n v="28500"/>
    <n v="0.23096491228070176"/>
  </r>
  <r>
    <n v="2019"/>
    <x v="2"/>
    <n v="13"/>
    <x v="10"/>
    <n v="4524"/>
    <n v="28500"/>
    <n v="0.15873684210526315"/>
  </r>
  <r>
    <n v="2019"/>
    <x v="2"/>
    <n v="13"/>
    <x v="11"/>
    <n v="6405.5"/>
    <n v="28500"/>
    <n v="0.22475438596491229"/>
  </r>
  <r>
    <n v="2019"/>
    <x v="2"/>
    <n v="13"/>
    <x v="12"/>
    <n v="29944.5"/>
    <n v="28500"/>
    <n v="1.0506842105263159"/>
  </r>
  <r>
    <n v="2019"/>
    <x v="2"/>
    <n v="13"/>
    <x v="13"/>
    <n v="5254"/>
    <n v="28500"/>
    <n v="0.18435087719298246"/>
  </r>
  <r>
    <n v="2019"/>
    <x v="2"/>
    <n v="13"/>
    <x v="14"/>
    <n v="3002.5"/>
    <n v="28500"/>
    <n v="0.10535087719298246"/>
  </r>
  <r>
    <n v="2019"/>
    <x v="2"/>
    <n v="13"/>
    <x v="15"/>
    <n v="2426"/>
    <n v="28500"/>
    <n v="8.5122807017543864E-2"/>
  </r>
  <r>
    <n v="2019"/>
    <x v="2"/>
    <n v="13"/>
    <x v="16"/>
    <n v="4024.5"/>
    <n v="28500"/>
    <n v="0.14121052631578948"/>
  </r>
  <r>
    <n v="2019"/>
    <x v="2"/>
    <n v="13"/>
    <x v="17"/>
    <n v="1882"/>
    <n v="28500"/>
    <n v="6.6035087719298252E-2"/>
  </r>
  <r>
    <n v="2019"/>
    <x v="2"/>
    <n v="13"/>
    <x v="18"/>
    <n v="0"/>
    <n v="28500"/>
    <n v="0"/>
  </r>
  <r>
    <n v="2019"/>
    <x v="2"/>
    <n v="13"/>
    <x v="19"/>
    <n v="0"/>
    <n v="28500"/>
    <n v="0"/>
  </r>
  <r>
    <n v="2019"/>
    <x v="2"/>
    <n v="13"/>
    <x v="20"/>
    <n v="0"/>
    <n v="28500"/>
    <n v="0"/>
  </r>
  <r>
    <n v="2019"/>
    <x v="2"/>
    <n v="13"/>
    <x v="21"/>
    <n v="0"/>
    <n v="28500"/>
    <n v="0"/>
  </r>
  <r>
    <n v="2019"/>
    <x v="2"/>
    <n v="13"/>
    <x v="22"/>
    <n v="0"/>
    <n v="28500"/>
    <n v="0"/>
  </r>
  <r>
    <n v="2019"/>
    <x v="2"/>
    <n v="13"/>
    <x v="23"/>
    <n v="0"/>
    <n v="28500"/>
    <n v="0"/>
  </r>
  <r>
    <n v="2019"/>
    <x v="2"/>
    <n v="14"/>
    <x v="0"/>
    <n v="0"/>
    <n v="28500"/>
    <n v="0"/>
  </r>
  <r>
    <n v="2019"/>
    <x v="2"/>
    <n v="14"/>
    <x v="1"/>
    <n v="0"/>
    <n v="28500"/>
    <n v="0"/>
  </r>
  <r>
    <n v="2019"/>
    <x v="2"/>
    <n v="14"/>
    <x v="2"/>
    <n v="0"/>
    <n v="28500"/>
    <n v="0"/>
  </r>
  <r>
    <n v="2019"/>
    <x v="2"/>
    <n v="14"/>
    <x v="3"/>
    <n v="0"/>
    <n v="28500"/>
    <n v="0"/>
  </r>
  <r>
    <n v="2019"/>
    <x v="2"/>
    <n v="14"/>
    <x v="4"/>
    <n v="0"/>
    <n v="28500"/>
    <n v="0"/>
  </r>
  <r>
    <n v="2019"/>
    <x v="2"/>
    <n v="14"/>
    <x v="5"/>
    <n v="0"/>
    <n v="28500"/>
    <n v="0"/>
  </r>
  <r>
    <n v="2019"/>
    <x v="2"/>
    <n v="14"/>
    <x v="6"/>
    <n v="0"/>
    <n v="28500"/>
    <n v="0"/>
  </r>
  <r>
    <n v="2019"/>
    <x v="2"/>
    <n v="14"/>
    <x v="7"/>
    <n v="613.5"/>
    <n v="28500"/>
    <n v="2.1526315789473685E-2"/>
  </r>
  <r>
    <n v="2019"/>
    <x v="2"/>
    <n v="14"/>
    <x v="8"/>
    <n v="4600"/>
    <n v="28500"/>
    <n v="0.16140350877192983"/>
  </r>
  <r>
    <n v="2019"/>
    <x v="2"/>
    <n v="14"/>
    <x v="9"/>
    <n v="6579.5"/>
    <n v="28500"/>
    <n v="0.23085964912280701"/>
  </r>
  <r>
    <n v="2019"/>
    <x v="2"/>
    <n v="14"/>
    <x v="10"/>
    <n v="9886.5"/>
    <n v="28500"/>
    <n v="0.34689473684210526"/>
  </r>
  <r>
    <n v="2019"/>
    <x v="2"/>
    <n v="14"/>
    <x v="11"/>
    <n v="1927.5"/>
    <n v="28500"/>
    <n v="6.7631578947368418E-2"/>
  </r>
  <r>
    <n v="2019"/>
    <x v="2"/>
    <n v="14"/>
    <x v="12"/>
    <n v="6385.5"/>
    <n v="28500"/>
    <n v="0.22405263157894736"/>
  </r>
  <r>
    <n v="2019"/>
    <x v="2"/>
    <n v="14"/>
    <x v="13"/>
    <n v="0"/>
    <n v="28500"/>
    <n v="0"/>
  </r>
  <r>
    <n v="2019"/>
    <x v="2"/>
    <n v="14"/>
    <x v="14"/>
    <n v="26679.5"/>
    <n v="28500"/>
    <n v="0.93612280701754391"/>
  </r>
  <r>
    <n v="2019"/>
    <x v="2"/>
    <n v="14"/>
    <x v="15"/>
    <n v="5631.5"/>
    <n v="28500"/>
    <n v="0.19759649122807019"/>
  </r>
  <r>
    <n v="2019"/>
    <x v="2"/>
    <n v="14"/>
    <x v="16"/>
    <n v="14616.5"/>
    <n v="28500"/>
    <n v="0.51285964912280702"/>
  </r>
  <r>
    <n v="2019"/>
    <x v="2"/>
    <n v="14"/>
    <x v="17"/>
    <n v="4415.5"/>
    <n v="28500"/>
    <n v="0.1549298245614035"/>
  </r>
  <r>
    <n v="2019"/>
    <x v="2"/>
    <n v="14"/>
    <x v="18"/>
    <n v="0"/>
    <n v="28500"/>
    <n v="0"/>
  </r>
  <r>
    <n v="2019"/>
    <x v="2"/>
    <n v="14"/>
    <x v="19"/>
    <n v="0"/>
    <n v="28500"/>
    <n v="0"/>
  </r>
  <r>
    <n v="2019"/>
    <x v="2"/>
    <n v="14"/>
    <x v="20"/>
    <n v="0"/>
    <n v="28500"/>
    <n v="0"/>
  </r>
  <r>
    <n v="2019"/>
    <x v="2"/>
    <n v="14"/>
    <x v="21"/>
    <n v="0"/>
    <n v="28500"/>
    <n v="0"/>
  </r>
  <r>
    <n v="2019"/>
    <x v="2"/>
    <n v="14"/>
    <x v="22"/>
    <n v="0"/>
    <n v="28500"/>
    <n v="0"/>
  </r>
  <r>
    <n v="2019"/>
    <x v="2"/>
    <n v="14"/>
    <x v="23"/>
    <n v="0"/>
    <n v="28500"/>
    <n v="0"/>
  </r>
  <r>
    <n v="2019"/>
    <x v="2"/>
    <n v="15"/>
    <x v="0"/>
    <n v="0"/>
    <n v="28500"/>
    <n v="0"/>
  </r>
  <r>
    <n v="2019"/>
    <x v="2"/>
    <n v="15"/>
    <x v="1"/>
    <n v="0"/>
    <n v="28500"/>
    <n v="0"/>
  </r>
  <r>
    <n v="2019"/>
    <x v="2"/>
    <n v="15"/>
    <x v="2"/>
    <n v="0"/>
    <n v="28500"/>
    <n v="0"/>
  </r>
  <r>
    <n v="2019"/>
    <x v="2"/>
    <n v="15"/>
    <x v="3"/>
    <n v="0"/>
    <n v="28500"/>
    <n v="0"/>
  </r>
  <r>
    <n v="2019"/>
    <x v="2"/>
    <n v="15"/>
    <x v="4"/>
    <n v="0"/>
    <n v="28500"/>
    <n v="0"/>
  </r>
  <r>
    <n v="2019"/>
    <x v="2"/>
    <n v="15"/>
    <x v="5"/>
    <n v="0"/>
    <n v="28500"/>
    <n v="0"/>
  </r>
  <r>
    <n v="2019"/>
    <x v="2"/>
    <n v="15"/>
    <x v="6"/>
    <n v="0"/>
    <n v="28500"/>
    <n v="0"/>
  </r>
  <r>
    <n v="2019"/>
    <x v="2"/>
    <n v="15"/>
    <x v="7"/>
    <n v="666.5"/>
    <n v="28500"/>
    <n v="2.3385964912280701E-2"/>
  </r>
  <r>
    <n v="2019"/>
    <x v="2"/>
    <n v="15"/>
    <x v="8"/>
    <n v="3762"/>
    <n v="28500"/>
    <n v="0.13200000000000001"/>
  </r>
  <r>
    <n v="2019"/>
    <x v="2"/>
    <n v="15"/>
    <x v="9"/>
    <n v="5607"/>
    <n v="28500"/>
    <n v="0.19673684210526315"/>
  </r>
  <r>
    <n v="2019"/>
    <x v="2"/>
    <n v="15"/>
    <x v="10"/>
    <n v="15576.5"/>
    <n v="28500"/>
    <n v="0.54654385964912278"/>
  </r>
  <r>
    <n v="2019"/>
    <x v="2"/>
    <n v="15"/>
    <x v="11"/>
    <n v="6149"/>
    <n v="28500"/>
    <n v="0.21575438596491228"/>
  </r>
  <r>
    <n v="2019"/>
    <x v="2"/>
    <n v="15"/>
    <x v="12"/>
    <n v="3814.5"/>
    <n v="28500"/>
    <n v="0.1338421052631579"/>
  </r>
  <r>
    <n v="2019"/>
    <x v="2"/>
    <n v="15"/>
    <x v="13"/>
    <n v="5617.5"/>
    <n v="28500"/>
    <n v="0.19710526315789473"/>
  </r>
  <r>
    <n v="2019"/>
    <x v="2"/>
    <n v="15"/>
    <x v="14"/>
    <n v="5383"/>
    <n v="28500"/>
    <n v="0.18887719298245614"/>
  </r>
  <r>
    <n v="2019"/>
    <x v="2"/>
    <n v="15"/>
    <x v="15"/>
    <n v="3622.5"/>
    <n v="28500"/>
    <n v="0.12710526315789475"/>
  </r>
  <r>
    <n v="2019"/>
    <x v="2"/>
    <n v="15"/>
    <x v="16"/>
    <n v="6336"/>
    <n v="28500"/>
    <n v="0.22231578947368422"/>
  </r>
  <r>
    <n v="2019"/>
    <x v="2"/>
    <n v="15"/>
    <x v="17"/>
    <n v="1532"/>
    <n v="28500"/>
    <n v="5.3754385964912284E-2"/>
  </r>
  <r>
    <n v="2019"/>
    <x v="2"/>
    <n v="15"/>
    <x v="18"/>
    <n v="0"/>
    <n v="28500"/>
    <n v="0"/>
  </r>
  <r>
    <n v="2019"/>
    <x v="2"/>
    <n v="15"/>
    <x v="19"/>
    <n v="0"/>
    <n v="28500"/>
    <n v="0"/>
  </r>
  <r>
    <n v="2019"/>
    <x v="2"/>
    <n v="15"/>
    <x v="20"/>
    <n v="0"/>
    <n v="28500"/>
    <n v="0"/>
  </r>
  <r>
    <n v="2019"/>
    <x v="2"/>
    <n v="15"/>
    <x v="21"/>
    <n v="0"/>
    <n v="28500"/>
    <n v="0"/>
  </r>
  <r>
    <n v="2019"/>
    <x v="2"/>
    <n v="15"/>
    <x v="22"/>
    <n v="0"/>
    <n v="28500"/>
    <n v="0"/>
  </r>
  <r>
    <n v="2019"/>
    <x v="2"/>
    <n v="15"/>
    <x v="23"/>
    <n v="0"/>
    <n v="28500"/>
    <n v="0"/>
  </r>
  <r>
    <n v="2019"/>
    <x v="2"/>
    <n v="16"/>
    <x v="0"/>
    <n v="0"/>
    <n v="28500"/>
    <n v="0"/>
  </r>
  <r>
    <n v="2019"/>
    <x v="2"/>
    <n v="16"/>
    <x v="1"/>
    <n v="0"/>
    <n v="28500"/>
    <n v="0"/>
  </r>
  <r>
    <n v="2019"/>
    <x v="2"/>
    <n v="16"/>
    <x v="2"/>
    <n v="0"/>
    <n v="28500"/>
    <n v="0"/>
  </r>
  <r>
    <n v="2019"/>
    <x v="2"/>
    <n v="16"/>
    <x v="3"/>
    <n v="0"/>
    <n v="28500"/>
    <n v="0"/>
  </r>
  <r>
    <n v="2019"/>
    <x v="2"/>
    <n v="16"/>
    <x v="4"/>
    <n v="0"/>
    <n v="28500"/>
    <n v="0"/>
  </r>
  <r>
    <n v="2019"/>
    <x v="2"/>
    <n v="16"/>
    <x v="5"/>
    <n v="0"/>
    <n v="28500"/>
    <n v="0"/>
  </r>
  <r>
    <n v="2019"/>
    <x v="2"/>
    <n v="16"/>
    <x v="6"/>
    <n v="0"/>
    <n v="28500"/>
    <n v="0"/>
  </r>
  <r>
    <n v="2019"/>
    <x v="2"/>
    <n v="16"/>
    <x v="7"/>
    <n v="1038"/>
    <n v="28500"/>
    <n v="3.6421052631578944E-2"/>
  </r>
  <r>
    <n v="2019"/>
    <x v="2"/>
    <n v="16"/>
    <x v="8"/>
    <n v="1392.5"/>
    <n v="28500"/>
    <n v="4.885964912280702E-2"/>
  </r>
  <r>
    <n v="2019"/>
    <x v="2"/>
    <n v="16"/>
    <x v="9"/>
    <n v="2391.5"/>
    <n v="28500"/>
    <n v="8.3912280701754383E-2"/>
  </r>
  <r>
    <n v="2019"/>
    <x v="2"/>
    <n v="16"/>
    <x v="10"/>
    <n v="4012.5"/>
    <n v="28500"/>
    <n v="0.14078947368421052"/>
  </r>
  <r>
    <n v="2019"/>
    <x v="2"/>
    <n v="16"/>
    <x v="11"/>
    <n v="4441.5"/>
    <n v="28500"/>
    <n v="0.15584210526315789"/>
  </r>
  <r>
    <n v="2019"/>
    <x v="2"/>
    <n v="16"/>
    <x v="12"/>
    <n v="3653"/>
    <n v="28500"/>
    <n v="0.12817543859649122"/>
  </r>
  <r>
    <n v="2019"/>
    <x v="2"/>
    <n v="16"/>
    <x v="13"/>
    <n v="1820"/>
    <n v="28500"/>
    <n v="6.3859649122807019E-2"/>
  </r>
  <r>
    <n v="2019"/>
    <x v="2"/>
    <n v="16"/>
    <x v="14"/>
    <n v="3647"/>
    <n v="28500"/>
    <n v="0.12796491228070175"/>
  </r>
  <r>
    <n v="2019"/>
    <x v="2"/>
    <n v="16"/>
    <x v="15"/>
    <n v="2121"/>
    <n v="28500"/>
    <n v="7.4421052631578943E-2"/>
  </r>
  <r>
    <n v="2019"/>
    <x v="2"/>
    <n v="16"/>
    <x v="16"/>
    <n v="4307.5"/>
    <n v="28500"/>
    <n v="0.15114035087719299"/>
  </r>
  <r>
    <n v="2019"/>
    <x v="2"/>
    <n v="16"/>
    <x v="17"/>
    <n v="142.5"/>
    <n v="28500"/>
    <n v="5.0000000000000001E-3"/>
  </r>
  <r>
    <n v="2019"/>
    <x v="2"/>
    <n v="16"/>
    <x v="18"/>
    <n v="0"/>
    <n v="28500"/>
    <n v="0"/>
  </r>
  <r>
    <n v="2019"/>
    <x v="2"/>
    <n v="16"/>
    <x v="19"/>
    <n v="0"/>
    <n v="28500"/>
    <n v="0"/>
  </r>
  <r>
    <n v="2019"/>
    <x v="2"/>
    <n v="16"/>
    <x v="20"/>
    <n v="0"/>
    <n v="28500"/>
    <n v="0"/>
  </r>
  <r>
    <n v="2019"/>
    <x v="2"/>
    <n v="16"/>
    <x v="21"/>
    <n v="0"/>
    <n v="28500"/>
    <n v="0"/>
  </r>
  <r>
    <n v="2019"/>
    <x v="2"/>
    <n v="16"/>
    <x v="22"/>
    <n v="0"/>
    <n v="28500"/>
    <n v="0"/>
  </r>
  <r>
    <n v="2019"/>
    <x v="2"/>
    <n v="16"/>
    <x v="23"/>
    <n v="0"/>
    <n v="28500"/>
    <n v="0"/>
  </r>
  <r>
    <n v="2019"/>
    <x v="2"/>
    <n v="17"/>
    <x v="0"/>
    <n v="0"/>
    <n v="28500"/>
    <n v="0"/>
  </r>
  <r>
    <n v="2019"/>
    <x v="2"/>
    <n v="17"/>
    <x v="1"/>
    <n v="0"/>
    <n v="28500"/>
    <n v="0"/>
  </r>
  <r>
    <n v="2019"/>
    <x v="2"/>
    <n v="17"/>
    <x v="2"/>
    <n v="0"/>
    <n v="28500"/>
    <n v="0"/>
  </r>
  <r>
    <n v="2019"/>
    <x v="2"/>
    <n v="17"/>
    <x v="3"/>
    <n v="0"/>
    <n v="28500"/>
    <n v="0"/>
  </r>
  <r>
    <n v="2019"/>
    <x v="2"/>
    <n v="17"/>
    <x v="4"/>
    <n v="0"/>
    <n v="28500"/>
    <n v="0"/>
  </r>
  <r>
    <n v="2019"/>
    <x v="2"/>
    <n v="17"/>
    <x v="5"/>
    <n v="0"/>
    <n v="28500"/>
    <n v="0"/>
  </r>
  <r>
    <n v="2019"/>
    <x v="2"/>
    <n v="17"/>
    <x v="6"/>
    <n v="0"/>
    <n v="28500"/>
    <n v="0"/>
  </r>
  <r>
    <n v="2019"/>
    <x v="2"/>
    <n v="17"/>
    <x v="7"/>
    <n v="6455.5"/>
    <n v="28500"/>
    <n v="0.22650877192982455"/>
  </r>
  <r>
    <n v="2019"/>
    <x v="2"/>
    <n v="17"/>
    <x v="8"/>
    <n v="19307"/>
    <n v="28500"/>
    <n v="0.67743859649122806"/>
  </r>
  <r>
    <n v="2019"/>
    <x v="2"/>
    <n v="17"/>
    <x v="9"/>
    <n v="23006.5"/>
    <n v="28500"/>
    <n v="0.80724561403508777"/>
  </r>
  <r>
    <n v="2019"/>
    <x v="2"/>
    <n v="17"/>
    <x v="10"/>
    <n v="22660"/>
    <n v="28500"/>
    <n v="0.79508771929824562"/>
  </r>
  <r>
    <n v="2019"/>
    <x v="2"/>
    <n v="17"/>
    <x v="11"/>
    <n v="2776"/>
    <n v="28500"/>
    <n v="9.7403508771929825E-2"/>
  </r>
  <r>
    <n v="2019"/>
    <x v="2"/>
    <n v="17"/>
    <x v="12"/>
    <n v="42087.5"/>
    <n v="28500"/>
    <n v="1.4767543859649124"/>
  </r>
  <r>
    <n v="2019"/>
    <x v="2"/>
    <n v="17"/>
    <x v="13"/>
    <n v="30515"/>
    <n v="28500"/>
    <n v="1.0707017543859649"/>
  </r>
  <r>
    <n v="2019"/>
    <x v="2"/>
    <n v="17"/>
    <x v="14"/>
    <n v="21558"/>
    <n v="28500"/>
    <n v="0.75642105263157899"/>
  </r>
  <r>
    <n v="2019"/>
    <x v="2"/>
    <n v="17"/>
    <x v="15"/>
    <n v="23695"/>
    <n v="28500"/>
    <n v="0.83140350877192981"/>
  </r>
  <r>
    <n v="2019"/>
    <x v="2"/>
    <n v="17"/>
    <x v="16"/>
    <n v="2637.5"/>
    <n v="28500"/>
    <n v="9.2543859649122803E-2"/>
  </r>
  <r>
    <n v="2019"/>
    <x v="2"/>
    <n v="17"/>
    <x v="17"/>
    <n v="5507"/>
    <n v="28500"/>
    <n v="0.19322807017543861"/>
  </r>
  <r>
    <n v="2019"/>
    <x v="2"/>
    <n v="17"/>
    <x v="18"/>
    <n v="0"/>
    <n v="28500"/>
    <n v="0"/>
  </r>
  <r>
    <n v="2019"/>
    <x v="2"/>
    <n v="17"/>
    <x v="19"/>
    <n v="0"/>
    <n v="28500"/>
    <n v="0"/>
  </r>
  <r>
    <n v="2019"/>
    <x v="2"/>
    <n v="17"/>
    <x v="20"/>
    <n v="0"/>
    <n v="28500"/>
    <n v="0"/>
  </r>
  <r>
    <n v="2019"/>
    <x v="2"/>
    <n v="17"/>
    <x v="21"/>
    <n v="0"/>
    <n v="28500"/>
    <n v="0"/>
  </r>
  <r>
    <n v="2019"/>
    <x v="2"/>
    <n v="17"/>
    <x v="22"/>
    <n v="0"/>
    <n v="28500"/>
    <n v="0"/>
  </r>
  <r>
    <n v="2019"/>
    <x v="2"/>
    <n v="17"/>
    <x v="23"/>
    <n v="0"/>
    <n v="28500"/>
    <n v="0"/>
  </r>
  <r>
    <n v="2019"/>
    <x v="2"/>
    <n v="18"/>
    <x v="0"/>
    <n v="0"/>
    <n v="28500"/>
    <n v="0"/>
  </r>
  <r>
    <n v="2019"/>
    <x v="2"/>
    <n v="18"/>
    <x v="1"/>
    <n v="0"/>
    <n v="28500"/>
    <n v="0"/>
  </r>
  <r>
    <n v="2019"/>
    <x v="2"/>
    <n v="18"/>
    <x v="2"/>
    <n v="0"/>
    <n v="28500"/>
    <n v="0"/>
  </r>
  <r>
    <n v="2019"/>
    <x v="2"/>
    <n v="18"/>
    <x v="3"/>
    <n v="0"/>
    <n v="28500"/>
    <n v="0"/>
  </r>
  <r>
    <n v="2019"/>
    <x v="2"/>
    <n v="18"/>
    <x v="4"/>
    <n v="0"/>
    <n v="28500"/>
    <n v="0"/>
  </r>
  <r>
    <n v="2019"/>
    <x v="2"/>
    <n v="18"/>
    <x v="5"/>
    <n v="0"/>
    <n v="28500"/>
    <n v="0"/>
  </r>
  <r>
    <n v="2019"/>
    <x v="2"/>
    <n v="18"/>
    <x v="6"/>
    <n v="0"/>
    <n v="28500"/>
    <n v="0"/>
  </r>
  <r>
    <n v="2019"/>
    <x v="2"/>
    <n v="18"/>
    <x v="7"/>
    <n v="1385"/>
    <n v="28500"/>
    <n v="4.8596491228070172E-2"/>
  </r>
  <r>
    <n v="2019"/>
    <x v="2"/>
    <n v="18"/>
    <x v="8"/>
    <n v="15417"/>
    <n v="28500"/>
    <n v="0.54094736842105262"/>
  </r>
  <r>
    <n v="2019"/>
    <x v="2"/>
    <n v="18"/>
    <x v="9"/>
    <n v="21816"/>
    <n v="28500"/>
    <n v="0.76547368421052631"/>
  </r>
  <r>
    <n v="2019"/>
    <x v="2"/>
    <n v="18"/>
    <x v="10"/>
    <n v="10687.5"/>
    <n v="28500"/>
    <n v="0.375"/>
  </r>
  <r>
    <n v="2019"/>
    <x v="2"/>
    <n v="18"/>
    <x v="11"/>
    <n v="31919.5"/>
    <n v="28500"/>
    <n v="1.1199824561403509"/>
  </r>
  <r>
    <n v="2019"/>
    <x v="2"/>
    <n v="18"/>
    <x v="12"/>
    <n v="13307.5"/>
    <n v="28500"/>
    <n v="0.46692982456140353"/>
  </r>
  <r>
    <n v="2019"/>
    <x v="2"/>
    <n v="18"/>
    <x v="13"/>
    <n v="23659"/>
    <n v="28500"/>
    <n v="0.83014035087719296"/>
  </r>
  <r>
    <n v="2019"/>
    <x v="2"/>
    <n v="18"/>
    <x v="14"/>
    <n v="22591"/>
    <n v="28500"/>
    <n v="0.79266666666666663"/>
  </r>
  <r>
    <n v="2019"/>
    <x v="2"/>
    <n v="18"/>
    <x v="15"/>
    <n v="9732.5"/>
    <n v="28500"/>
    <n v="0.34149122807017546"/>
  </r>
  <r>
    <n v="2019"/>
    <x v="2"/>
    <n v="18"/>
    <x v="16"/>
    <n v="15814"/>
    <n v="28500"/>
    <n v="0.55487719298245619"/>
  </r>
  <r>
    <n v="2019"/>
    <x v="2"/>
    <n v="18"/>
    <x v="17"/>
    <n v="4869.5"/>
    <n v="28500"/>
    <n v="0.17085964912280702"/>
  </r>
  <r>
    <n v="2019"/>
    <x v="2"/>
    <n v="18"/>
    <x v="18"/>
    <n v="0"/>
    <n v="28500"/>
    <n v="0"/>
  </r>
  <r>
    <n v="2019"/>
    <x v="2"/>
    <n v="18"/>
    <x v="19"/>
    <n v="0"/>
    <n v="28500"/>
    <n v="0"/>
  </r>
  <r>
    <n v="2019"/>
    <x v="2"/>
    <n v="18"/>
    <x v="20"/>
    <n v="0"/>
    <n v="28500"/>
    <n v="0"/>
  </r>
  <r>
    <n v="2019"/>
    <x v="2"/>
    <n v="18"/>
    <x v="21"/>
    <n v="0"/>
    <n v="28500"/>
    <n v="0"/>
  </r>
  <r>
    <n v="2019"/>
    <x v="2"/>
    <n v="18"/>
    <x v="22"/>
    <n v="0"/>
    <n v="28500"/>
    <n v="0"/>
  </r>
  <r>
    <n v="2019"/>
    <x v="2"/>
    <n v="18"/>
    <x v="23"/>
    <n v="0"/>
    <n v="28500"/>
    <n v="0"/>
  </r>
  <r>
    <n v="2019"/>
    <x v="2"/>
    <n v="19"/>
    <x v="0"/>
    <n v="0"/>
    <n v="28500"/>
    <n v="0"/>
  </r>
  <r>
    <n v="2019"/>
    <x v="2"/>
    <n v="19"/>
    <x v="1"/>
    <n v="0"/>
    <n v="28500"/>
    <n v="0"/>
  </r>
  <r>
    <n v="2019"/>
    <x v="2"/>
    <n v="19"/>
    <x v="2"/>
    <n v="0"/>
    <n v="28500"/>
    <n v="0"/>
  </r>
  <r>
    <n v="2019"/>
    <x v="2"/>
    <n v="19"/>
    <x v="3"/>
    <n v="0"/>
    <n v="28500"/>
    <n v="0"/>
  </r>
  <r>
    <n v="2019"/>
    <x v="2"/>
    <n v="19"/>
    <x v="4"/>
    <n v="0"/>
    <n v="28500"/>
    <n v="0"/>
  </r>
  <r>
    <n v="2019"/>
    <x v="2"/>
    <n v="19"/>
    <x v="5"/>
    <n v="0"/>
    <n v="28500"/>
    <n v="0"/>
  </r>
  <r>
    <n v="2019"/>
    <x v="2"/>
    <n v="19"/>
    <x v="6"/>
    <n v="0"/>
    <n v="28500"/>
    <n v="0"/>
  </r>
  <r>
    <n v="2019"/>
    <x v="2"/>
    <n v="19"/>
    <x v="7"/>
    <n v="1903.5"/>
    <n v="28500"/>
    <n v="6.6789473684210524E-2"/>
  </r>
  <r>
    <n v="2019"/>
    <x v="2"/>
    <n v="19"/>
    <x v="8"/>
    <n v="4674.5"/>
    <n v="28500"/>
    <n v="0.16401754385964912"/>
  </r>
  <r>
    <n v="2019"/>
    <x v="2"/>
    <n v="19"/>
    <x v="9"/>
    <n v="22862"/>
    <n v="28500"/>
    <n v="0.80217543859649121"/>
  </r>
  <r>
    <n v="2019"/>
    <x v="2"/>
    <n v="19"/>
    <x v="10"/>
    <n v="8993.5"/>
    <n v="28500"/>
    <n v="0.31556140350877193"/>
  </r>
  <r>
    <n v="2019"/>
    <x v="2"/>
    <n v="19"/>
    <x v="11"/>
    <n v="18077"/>
    <n v="28500"/>
    <n v="0.634280701754386"/>
  </r>
  <r>
    <n v="2019"/>
    <x v="2"/>
    <n v="19"/>
    <x v="12"/>
    <n v="12540.5"/>
    <n v="28500"/>
    <n v="0.44001754385964914"/>
  </r>
  <r>
    <n v="2019"/>
    <x v="2"/>
    <n v="19"/>
    <x v="13"/>
    <n v="15694"/>
    <n v="28500"/>
    <n v="0.55066666666666664"/>
  </r>
  <r>
    <n v="2019"/>
    <x v="2"/>
    <n v="19"/>
    <x v="14"/>
    <n v="4129"/>
    <n v="28500"/>
    <n v="0.14487719298245613"/>
  </r>
  <r>
    <n v="2019"/>
    <x v="2"/>
    <n v="19"/>
    <x v="15"/>
    <n v="3892"/>
    <n v="28500"/>
    <n v="0.13656140350877194"/>
  </r>
  <r>
    <n v="2019"/>
    <x v="2"/>
    <n v="19"/>
    <x v="16"/>
    <n v="4657"/>
    <n v="28500"/>
    <n v="0.16340350877192983"/>
  </r>
  <r>
    <n v="2019"/>
    <x v="2"/>
    <n v="19"/>
    <x v="17"/>
    <n v="1157"/>
    <n v="28500"/>
    <n v="4.0596491228070172E-2"/>
  </r>
  <r>
    <n v="2019"/>
    <x v="2"/>
    <n v="19"/>
    <x v="18"/>
    <n v="0"/>
    <n v="28500"/>
    <n v="0"/>
  </r>
  <r>
    <n v="2019"/>
    <x v="2"/>
    <n v="19"/>
    <x v="19"/>
    <n v="0"/>
    <n v="28500"/>
    <n v="0"/>
  </r>
  <r>
    <n v="2019"/>
    <x v="2"/>
    <n v="19"/>
    <x v="20"/>
    <n v="0"/>
    <n v="28500"/>
    <n v="0"/>
  </r>
  <r>
    <n v="2019"/>
    <x v="2"/>
    <n v="19"/>
    <x v="21"/>
    <n v="0"/>
    <n v="28500"/>
    <n v="0"/>
  </r>
  <r>
    <n v="2019"/>
    <x v="2"/>
    <n v="19"/>
    <x v="22"/>
    <n v="0"/>
    <n v="28500"/>
    <n v="0"/>
  </r>
  <r>
    <n v="2019"/>
    <x v="2"/>
    <n v="19"/>
    <x v="23"/>
    <n v="0"/>
    <n v="28500"/>
    <n v="0"/>
  </r>
  <r>
    <n v="2019"/>
    <x v="2"/>
    <n v="20"/>
    <x v="0"/>
    <n v="0"/>
    <n v="28500"/>
    <n v="0"/>
  </r>
  <r>
    <n v="2019"/>
    <x v="2"/>
    <n v="20"/>
    <x v="1"/>
    <n v="0"/>
    <n v="28500"/>
    <n v="0"/>
  </r>
  <r>
    <n v="2019"/>
    <x v="2"/>
    <n v="20"/>
    <x v="2"/>
    <n v="0"/>
    <n v="28500"/>
    <n v="0"/>
  </r>
  <r>
    <n v="2019"/>
    <x v="2"/>
    <n v="20"/>
    <x v="3"/>
    <n v="0"/>
    <n v="28500"/>
    <n v="0"/>
  </r>
  <r>
    <n v="2019"/>
    <x v="2"/>
    <n v="20"/>
    <x v="4"/>
    <n v="0"/>
    <n v="28500"/>
    <n v="0"/>
  </r>
  <r>
    <n v="2019"/>
    <x v="2"/>
    <n v="20"/>
    <x v="5"/>
    <n v="0"/>
    <n v="28500"/>
    <n v="0"/>
  </r>
  <r>
    <n v="2019"/>
    <x v="2"/>
    <n v="20"/>
    <x v="6"/>
    <n v="0"/>
    <n v="28500"/>
    <n v="0"/>
  </r>
  <r>
    <n v="2019"/>
    <x v="2"/>
    <n v="20"/>
    <x v="7"/>
    <n v="3720.5"/>
    <n v="28500"/>
    <n v="0.1305438596491228"/>
  </r>
  <r>
    <n v="2019"/>
    <x v="2"/>
    <n v="20"/>
    <x v="8"/>
    <n v="6851.5"/>
    <n v="28500"/>
    <n v="0.24040350877192981"/>
  </r>
  <r>
    <n v="2019"/>
    <x v="2"/>
    <n v="20"/>
    <x v="9"/>
    <n v="3471.5"/>
    <n v="28500"/>
    <n v="0.12180701754385966"/>
  </r>
  <r>
    <n v="2019"/>
    <x v="2"/>
    <n v="20"/>
    <x v="10"/>
    <n v="5498.5"/>
    <n v="28500"/>
    <n v="0.19292982456140351"/>
  </r>
  <r>
    <n v="2019"/>
    <x v="2"/>
    <n v="20"/>
    <x v="11"/>
    <n v="3714"/>
    <n v="28500"/>
    <n v="0.13031578947368422"/>
  </r>
  <r>
    <n v="2019"/>
    <x v="2"/>
    <n v="20"/>
    <x v="12"/>
    <n v="3277"/>
    <n v="28500"/>
    <n v="0.11498245614035088"/>
  </r>
  <r>
    <n v="2019"/>
    <x v="2"/>
    <n v="20"/>
    <x v="13"/>
    <n v="4236"/>
    <n v="28500"/>
    <n v="0.14863157894736842"/>
  </r>
  <r>
    <n v="2019"/>
    <x v="2"/>
    <n v="20"/>
    <x v="14"/>
    <n v="5629"/>
    <n v="28500"/>
    <n v="0.19750877192982455"/>
  </r>
  <r>
    <n v="2019"/>
    <x v="2"/>
    <n v="20"/>
    <x v="15"/>
    <n v="4028.5"/>
    <n v="28500"/>
    <n v="0.14135087719298245"/>
  </r>
  <r>
    <n v="2019"/>
    <x v="2"/>
    <n v="20"/>
    <x v="16"/>
    <n v="3762"/>
    <n v="28500"/>
    <n v="0.13200000000000001"/>
  </r>
  <r>
    <n v="2019"/>
    <x v="2"/>
    <n v="20"/>
    <x v="17"/>
    <n v="1082"/>
    <n v="28500"/>
    <n v="3.7964912280701757E-2"/>
  </r>
  <r>
    <n v="2019"/>
    <x v="2"/>
    <n v="20"/>
    <x v="18"/>
    <n v="0"/>
    <n v="28500"/>
    <n v="0"/>
  </r>
  <r>
    <n v="2019"/>
    <x v="2"/>
    <n v="20"/>
    <x v="19"/>
    <n v="0"/>
    <n v="28500"/>
    <n v="0"/>
  </r>
  <r>
    <n v="2019"/>
    <x v="2"/>
    <n v="20"/>
    <x v="20"/>
    <n v="0"/>
    <n v="28500"/>
    <n v="0"/>
  </r>
  <r>
    <n v="2019"/>
    <x v="2"/>
    <n v="20"/>
    <x v="21"/>
    <n v="0"/>
    <n v="28500"/>
    <n v="0"/>
  </r>
  <r>
    <n v="2019"/>
    <x v="2"/>
    <n v="20"/>
    <x v="22"/>
    <n v="0"/>
    <n v="28500"/>
    <n v="0"/>
  </r>
  <r>
    <n v="2019"/>
    <x v="2"/>
    <n v="20"/>
    <x v="23"/>
    <n v="0"/>
    <n v="28500"/>
    <n v="0"/>
  </r>
  <r>
    <n v="2019"/>
    <x v="2"/>
    <n v="21"/>
    <x v="0"/>
    <n v="0"/>
    <n v="28500"/>
    <n v="0"/>
  </r>
  <r>
    <n v="2019"/>
    <x v="2"/>
    <n v="21"/>
    <x v="1"/>
    <n v="0"/>
    <n v="28500"/>
    <n v="0"/>
  </r>
  <r>
    <n v="2019"/>
    <x v="2"/>
    <n v="21"/>
    <x v="2"/>
    <n v="0"/>
    <n v="28500"/>
    <n v="0"/>
  </r>
  <r>
    <n v="2019"/>
    <x v="2"/>
    <n v="21"/>
    <x v="3"/>
    <n v="0"/>
    <n v="28500"/>
    <n v="0"/>
  </r>
  <r>
    <n v="2019"/>
    <x v="2"/>
    <n v="21"/>
    <x v="4"/>
    <n v="0"/>
    <n v="28500"/>
    <n v="0"/>
  </r>
  <r>
    <n v="2019"/>
    <x v="2"/>
    <n v="21"/>
    <x v="5"/>
    <n v="0"/>
    <n v="28500"/>
    <n v="0"/>
  </r>
  <r>
    <n v="2019"/>
    <x v="2"/>
    <n v="21"/>
    <x v="6"/>
    <n v="0"/>
    <n v="28500"/>
    <n v="0"/>
  </r>
  <r>
    <n v="2019"/>
    <x v="2"/>
    <n v="21"/>
    <x v="7"/>
    <n v="2790"/>
    <n v="28500"/>
    <n v="9.7894736842105257E-2"/>
  </r>
  <r>
    <n v="2019"/>
    <x v="2"/>
    <n v="21"/>
    <x v="8"/>
    <n v="5413"/>
    <n v="28500"/>
    <n v="0.1899298245614035"/>
  </r>
  <r>
    <n v="2019"/>
    <x v="2"/>
    <n v="21"/>
    <x v="9"/>
    <n v="8255"/>
    <n v="28500"/>
    <n v="0.28964912280701754"/>
  </r>
  <r>
    <n v="2019"/>
    <x v="2"/>
    <n v="21"/>
    <x v="10"/>
    <n v="11670.5"/>
    <n v="28500"/>
    <n v="0.40949122807017546"/>
  </r>
  <r>
    <n v="2019"/>
    <x v="2"/>
    <n v="21"/>
    <x v="11"/>
    <n v="9401.5"/>
    <n v="28500"/>
    <n v="0.32987719298245616"/>
  </r>
  <r>
    <n v="2019"/>
    <x v="2"/>
    <n v="21"/>
    <x v="12"/>
    <n v="5440.5"/>
    <n v="28500"/>
    <n v="0.19089473684210526"/>
  </r>
  <r>
    <n v="2019"/>
    <x v="2"/>
    <n v="21"/>
    <x v="13"/>
    <n v="3950.5"/>
    <n v="28500"/>
    <n v="0.1386140350877193"/>
  </r>
  <r>
    <n v="2019"/>
    <x v="2"/>
    <n v="21"/>
    <x v="14"/>
    <n v="6516"/>
    <n v="28500"/>
    <n v="0.22863157894736841"/>
  </r>
  <r>
    <n v="2019"/>
    <x v="2"/>
    <n v="21"/>
    <x v="15"/>
    <n v="7207"/>
    <n v="28500"/>
    <n v="0.25287719298245614"/>
  </r>
  <r>
    <n v="2019"/>
    <x v="2"/>
    <n v="21"/>
    <x v="16"/>
    <n v="4364.5"/>
    <n v="28500"/>
    <n v="0.15314035087719299"/>
  </r>
  <r>
    <n v="2019"/>
    <x v="2"/>
    <n v="21"/>
    <x v="17"/>
    <n v="1272.5"/>
    <n v="28500"/>
    <n v="4.4649122807017542E-2"/>
  </r>
  <r>
    <n v="2019"/>
    <x v="2"/>
    <n v="21"/>
    <x v="18"/>
    <n v="0"/>
    <n v="28500"/>
    <n v="0"/>
  </r>
  <r>
    <n v="2019"/>
    <x v="2"/>
    <n v="21"/>
    <x v="19"/>
    <n v="0"/>
    <n v="28500"/>
    <n v="0"/>
  </r>
  <r>
    <n v="2019"/>
    <x v="2"/>
    <n v="21"/>
    <x v="20"/>
    <n v="0"/>
    <n v="28500"/>
    <n v="0"/>
  </r>
  <r>
    <n v="2019"/>
    <x v="2"/>
    <n v="21"/>
    <x v="21"/>
    <n v="0"/>
    <n v="28500"/>
    <n v="0"/>
  </r>
  <r>
    <n v="2019"/>
    <x v="2"/>
    <n v="21"/>
    <x v="22"/>
    <n v="0"/>
    <n v="28500"/>
    <n v="0"/>
  </r>
  <r>
    <n v="2019"/>
    <x v="2"/>
    <n v="21"/>
    <x v="23"/>
    <n v="0"/>
    <n v="28500"/>
    <n v="0"/>
  </r>
  <r>
    <n v="2019"/>
    <x v="2"/>
    <n v="22"/>
    <x v="0"/>
    <n v="0"/>
    <n v="28500"/>
    <n v="0"/>
  </r>
  <r>
    <n v="2019"/>
    <x v="2"/>
    <n v="22"/>
    <x v="1"/>
    <n v="0"/>
    <n v="28500"/>
    <n v="0"/>
  </r>
  <r>
    <n v="2019"/>
    <x v="2"/>
    <n v="22"/>
    <x v="2"/>
    <n v="0"/>
    <n v="28500"/>
    <n v="0"/>
  </r>
  <r>
    <n v="2019"/>
    <x v="2"/>
    <n v="22"/>
    <x v="3"/>
    <n v="0"/>
    <n v="28500"/>
    <n v="0"/>
  </r>
  <r>
    <n v="2019"/>
    <x v="2"/>
    <n v="22"/>
    <x v="4"/>
    <n v="0"/>
    <n v="28500"/>
    <n v="0"/>
  </r>
  <r>
    <n v="2019"/>
    <x v="2"/>
    <n v="22"/>
    <x v="5"/>
    <n v="0"/>
    <n v="28500"/>
    <n v="0"/>
  </r>
  <r>
    <n v="2019"/>
    <x v="2"/>
    <n v="22"/>
    <x v="6"/>
    <n v="0"/>
    <n v="28500"/>
    <n v="0"/>
  </r>
  <r>
    <n v="2019"/>
    <x v="2"/>
    <n v="22"/>
    <x v="7"/>
    <n v="1851"/>
    <n v="28500"/>
    <n v="6.4947368421052629E-2"/>
  </r>
  <r>
    <n v="2019"/>
    <x v="2"/>
    <n v="22"/>
    <x v="8"/>
    <n v="3055"/>
    <n v="28500"/>
    <n v="0.10719298245614035"/>
  </r>
  <r>
    <n v="2019"/>
    <x v="2"/>
    <n v="22"/>
    <x v="9"/>
    <n v="2958.5"/>
    <n v="28500"/>
    <n v="0.10380701754385965"/>
  </r>
  <r>
    <n v="2019"/>
    <x v="2"/>
    <n v="22"/>
    <x v="10"/>
    <n v="2908.5"/>
    <n v="28500"/>
    <n v="0.10205263157894737"/>
  </r>
  <r>
    <n v="2019"/>
    <x v="2"/>
    <n v="22"/>
    <x v="11"/>
    <n v="3676"/>
    <n v="28500"/>
    <n v="0.12898245614035087"/>
  </r>
  <r>
    <n v="2019"/>
    <x v="2"/>
    <n v="22"/>
    <x v="12"/>
    <n v="3358.5"/>
    <n v="28500"/>
    <n v="0.1178421052631579"/>
  </r>
  <r>
    <n v="2019"/>
    <x v="2"/>
    <n v="22"/>
    <x v="13"/>
    <n v="3468.5"/>
    <n v="28500"/>
    <n v="0.12170175438596491"/>
  </r>
  <r>
    <n v="2019"/>
    <x v="2"/>
    <n v="22"/>
    <x v="14"/>
    <n v="2927.5"/>
    <n v="28500"/>
    <n v="0.10271929824561403"/>
  </r>
  <r>
    <n v="2019"/>
    <x v="2"/>
    <n v="22"/>
    <x v="15"/>
    <n v="2700"/>
    <n v="28500"/>
    <n v="9.4736842105263161E-2"/>
  </r>
  <r>
    <n v="2019"/>
    <x v="2"/>
    <n v="22"/>
    <x v="16"/>
    <n v="2441.5"/>
    <n v="28500"/>
    <n v="8.5666666666666669E-2"/>
  </r>
  <r>
    <n v="2019"/>
    <x v="2"/>
    <n v="22"/>
    <x v="17"/>
    <n v="1031"/>
    <n v="28500"/>
    <n v="3.6175438596491229E-2"/>
  </r>
  <r>
    <n v="2019"/>
    <x v="2"/>
    <n v="22"/>
    <x v="18"/>
    <n v="0"/>
    <n v="28500"/>
    <n v="0"/>
  </r>
  <r>
    <n v="2019"/>
    <x v="2"/>
    <n v="22"/>
    <x v="19"/>
    <n v="0"/>
    <n v="28500"/>
    <n v="0"/>
  </r>
  <r>
    <n v="2019"/>
    <x v="2"/>
    <n v="22"/>
    <x v="20"/>
    <n v="0"/>
    <n v="28500"/>
    <n v="0"/>
  </r>
  <r>
    <n v="2019"/>
    <x v="2"/>
    <n v="22"/>
    <x v="21"/>
    <n v="0"/>
    <n v="28500"/>
    <n v="0"/>
  </r>
  <r>
    <n v="2019"/>
    <x v="2"/>
    <n v="22"/>
    <x v="22"/>
    <n v="0"/>
    <n v="28500"/>
    <n v="0"/>
  </r>
  <r>
    <n v="2019"/>
    <x v="2"/>
    <n v="22"/>
    <x v="23"/>
    <n v="0"/>
    <n v="28500"/>
    <n v="0"/>
  </r>
  <r>
    <n v="2019"/>
    <x v="2"/>
    <n v="23"/>
    <x v="0"/>
    <n v="0"/>
    <n v="28500"/>
    <n v="0"/>
  </r>
  <r>
    <n v="2019"/>
    <x v="2"/>
    <n v="23"/>
    <x v="1"/>
    <n v="0"/>
    <n v="28500"/>
    <n v="0"/>
  </r>
  <r>
    <n v="2019"/>
    <x v="2"/>
    <n v="23"/>
    <x v="2"/>
    <n v="0"/>
    <n v="28500"/>
    <n v="0"/>
  </r>
  <r>
    <n v="2019"/>
    <x v="2"/>
    <n v="23"/>
    <x v="3"/>
    <n v="0"/>
    <n v="28500"/>
    <n v="0"/>
  </r>
  <r>
    <n v="2019"/>
    <x v="2"/>
    <n v="23"/>
    <x v="4"/>
    <n v="0"/>
    <n v="28500"/>
    <n v="0"/>
  </r>
  <r>
    <n v="2019"/>
    <x v="2"/>
    <n v="23"/>
    <x v="5"/>
    <n v="0"/>
    <n v="28500"/>
    <n v="0"/>
  </r>
  <r>
    <n v="2019"/>
    <x v="2"/>
    <n v="23"/>
    <x v="6"/>
    <n v="0"/>
    <n v="28500"/>
    <n v="0"/>
  </r>
  <r>
    <n v="2019"/>
    <x v="2"/>
    <n v="23"/>
    <x v="7"/>
    <n v="807"/>
    <n v="28500"/>
    <n v="2.8315789473684211E-2"/>
  </r>
  <r>
    <n v="2019"/>
    <x v="2"/>
    <n v="23"/>
    <x v="8"/>
    <n v="1042.5"/>
    <n v="28500"/>
    <n v="3.6578947368421051E-2"/>
  </r>
  <r>
    <n v="2019"/>
    <x v="2"/>
    <n v="23"/>
    <x v="9"/>
    <n v="7317.5"/>
    <n v="28500"/>
    <n v="0.25675438596491229"/>
  </r>
  <r>
    <n v="2019"/>
    <x v="2"/>
    <n v="23"/>
    <x v="10"/>
    <n v="9762"/>
    <n v="28500"/>
    <n v="0.34252631578947368"/>
  </r>
  <r>
    <n v="2019"/>
    <x v="2"/>
    <n v="23"/>
    <x v="11"/>
    <n v="15798"/>
    <n v="28500"/>
    <n v="0.55431578947368421"/>
  </r>
  <r>
    <n v="2019"/>
    <x v="2"/>
    <n v="23"/>
    <x v="12"/>
    <n v="19383"/>
    <n v="28500"/>
    <n v="0.68010526315789477"/>
  </r>
  <r>
    <n v="2019"/>
    <x v="2"/>
    <n v="23"/>
    <x v="13"/>
    <n v="15316.5"/>
    <n v="28500"/>
    <n v="0.53742105263157891"/>
  </r>
  <r>
    <n v="2019"/>
    <x v="2"/>
    <n v="23"/>
    <x v="14"/>
    <n v="9892"/>
    <n v="28500"/>
    <n v="0.34708771929824561"/>
  </r>
  <r>
    <n v="2019"/>
    <x v="2"/>
    <n v="23"/>
    <x v="15"/>
    <n v="11862.5"/>
    <n v="28500"/>
    <n v="0.41622807017543861"/>
  </r>
  <r>
    <n v="2019"/>
    <x v="2"/>
    <n v="23"/>
    <x v="16"/>
    <n v="10006"/>
    <n v="28500"/>
    <n v="0.35108771929824562"/>
  </r>
  <r>
    <n v="2019"/>
    <x v="2"/>
    <n v="23"/>
    <x v="17"/>
    <n v="3924"/>
    <n v="28500"/>
    <n v="0.1376842105263158"/>
  </r>
  <r>
    <n v="2019"/>
    <x v="2"/>
    <n v="23"/>
    <x v="18"/>
    <n v="0"/>
    <n v="28500"/>
    <n v="0"/>
  </r>
  <r>
    <n v="2019"/>
    <x v="2"/>
    <n v="23"/>
    <x v="19"/>
    <n v="0"/>
    <n v="28500"/>
    <n v="0"/>
  </r>
  <r>
    <n v="2019"/>
    <x v="2"/>
    <n v="23"/>
    <x v="20"/>
    <n v="0"/>
    <n v="28500"/>
    <n v="0"/>
  </r>
  <r>
    <n v="2019"/>
    <x v="2"/>
    <n v="23"/>
    <x v="21"/>
    <n v="0"/>
    <n v="28500"/>
    <n v="0"/>
  </r>
  <r>
    <n v="2019"/>
    <x v="2"/>
    <n v="23"/>
    <x v="22"/>
    <n v="0"/>
    <n v="28500"/>
    <n v="0"/>
  </r>
  <r>
    <n v="2019"/>
    <x v="2"/>
    <n v="23"/>
    <x v="23"/>
    <n v="0"/>
    <n v="28500"/>
    <n v="0"/>
  </r>
  <r>
    <n v="2019"/>
    <x v="2"/>
    <n v="24"/>
    <x v="0"/>
    <n v="0"/>
    <n v="28500"/>
    <n v="0"/>
  </r>
  <r>
    <n v="2019"/>
    <x v="2"/>
    <n v="24"/>
    <x v="1"/>
    <n v="0"/>
    <n v="28500"/>
    <n v="0"/>
  </r>
  <r>
    <n v="2019"/>
    <x v="2"/>
    <n v="24"/>
    <x v="2"/>
    <n v="0"/>
    <n v="28500"/>
    <n v="0"/>
  </r>
  <r>
    <n v="2019"/>
    <x v="2"/>
    <n v="24"/>
    <x v="3"/>
    <n v="0"/>
    <n v="28500"/>
    <n v="0"/>
  </r>
  <r>
    <n v="2019"/>
    <x v="2"/>
    <n v="24"/>
    <x v="4"/>
    <n v="0"/>
    <n v="28500"/>
    <n v="0"/>
  </r>
  <r>
    <n v="2019"/>
    <x v="2"/>
    <n v="24"/>
    <x v="5"/>
    <n v="0"/>
    <n v="28500"/>
    <n v="0"/>
  </r>
  <r>
    <n v="2019"/>
    <x v="2"/>
    <n v="24"/>
    <x v="6"/>
    <n v="0"/>
    <n v="28500"/>
    <n v="0"/>
  </r>
  <r>
    <n v="2019"/>
    <x v="2"/>
    <n v="24"/>
    <x v="7"/>
    <n v="6363.5"/>
    <n v="28500"/>
    <n v="0.22328070175438597"/>
  </r>
  <r>
    <n v="2019"/>
    <x v="2"/>
    <n v="24"/>
    <x v="8"/>
    <n v="19605.5"/>
    <n v="28500"/>
    <n v="0.68791228070175436"/>
  </r>
  <r>
    <n v="2019"/>
    <x v="2"/>
    <n v="24"/>
    <x v="9"/>
    <n v="29994"/>
    <n v="28500"/>
    <n v="1.0524210526315789"/>
  </r>
  <r>
    <n v="2019"/>
    <x v="2"/>
    <n v="24"/>
    <x v="10"/>
    <n v="36551"/>
    <n v="28500"/>
    <n v="1.2824912280701755"/>
  </r>
  <r>
    <n v="2019"/>
    <x v="2"/>
    <n v="24"/>
    <x v="11"/>
    <n v="41843.5"/>
    <n v="28500"/>
    <n v="1.4681929824561404"/>
  </r>
  <r>
    <n v="2019"/>
    <x v="2"/>
    <n v="24"/>
    <x v="12"/>
    <n v="43350.5"/>
    <n v="28500"/>
    <n v="1.5210701754385965"/>
  </r>
  <r>
    <n v="2019"/>
    <x v="2"/>
    <n v="24"/>
    <x v="13"/>
    <n v="41570"/>
    <n v="28500"/>
    <n v="1.4585964912280702"/>
  </r>
  <r>
    <n v="2019"/>
    <x v="2"/>
    <n v="24"/>
    <x v="14"/>
    <n v="35983"/>
    <n v="28500"/>
    <n v="1.262561403508772"/>
  </r>
  <r>
    <n v="2019"/>
    <x v="2"/>
    <n v="24"/>
    <x v="15"/>
    <n v="28990.5"/>
    <n v="28500"/>
    <n v="1.0172105263157896"/>
  </r>
  <r>
    <n v="2019"/>
    <x v="2"/>
    <n v="24"/>
    <x v="16"/>
    <n v="18225"/>
    <n v="28500"/>
    <n v="0.63947368421052631"/>
  </r>
  <r>
    <n v="2019"/>
    <x v="2"/>
    <n v="24"/>
    <x v="17"/>
    <n v="5520.5"/>
    <n v="28500"/>
    <n v="0.1937017543859649"/>
  </r>
  <r>
    <n v="2019"/>
    <x v="2"/>
    <n v="24"/>
    <x v="18"/>
    <n v="0"/>
    <n v="28500"/>
    <n v="0"/>
  </r>
  <r>
    <n v="2019"/>
    <x v="2"/>
    <n v="24"/>
    <x v="19"/>
    <n v="0"/>
    <n v="28500"/>
    <n v="0"/>
  </r>
  <r>
    <n v="2019"/>
    <x v="2"/>
    <n v="24"/>
    <x v="20"/>
    <n v="0"/>
    <n v="28500"/>
    <n v="0"/>
  </r>
  <r>
    <n v="2019"/>
    <x v="2"/>
    <n v="24"/>
    <x v="21"/>
    <n v="0"/>
    <n v="28500"/>
    <n v="0"/>
  </r>
  <r>
    <n v="2019"/>
    <x v="2"/>
    <n v="24"/>
    <x v="22"/>
    <n v="0"/>
    <n v="28500"/>
    <n v="0"/>
  </r>
  <r>
    <n v="2019"/>
    <x v="2"/>
    <n v="24"/>
    <x v="23"/>
    <n v="0"/>
    <n v="28500"/>
    <n v="0"/>
  </r>
  <r>
    <n v="2019"/>
    <x v="2"/>
    <n v="25"/>
    <x v="0"/>
    <n v="0"/>
    <n v="28500"/>
    <n v="0"/>
  </r>
  <r>
    <n v="2019"/>
    <x v="2"/>
    <n v="25"/>
    <x v="1"/>
    <n v="0"/>
    <n v="28500"/>
    <n v="0"/>
  </r>
  <r>
    <n v="2019"/>
    <x v="2"/>
    <n v="25"/>
    <x v="2"/>
    <n v="0"/>
    <n v="28500"/>
    <n v="0"/>
  </r>
  <r>
    <n v="2019"/>
    <x v="2"/>
    <n v="25"/>
    <x v="3"/>
    <n v="0"/>
    <n v="28500"/>
    <n v="0"/>
  </r>
  <r>
    <n v="2019"/>
    <x v="2"/>
    <n v="25"/>
    <x v="4"/>
    <n v="0"/>
    <n v="28500"/>
    <n v="0"/>
  </r>
  <r>
    <n v="2019"/>
    <x v="2"/>
    <n v="25"/>
    <x v="5"/>
    <n v="0"/>
    <n v="28500"/>
    <n v="0"/>
  </r>
  <r>
    <n v="2019"/>
    <x v="2"/>
    <n v="25"/>
    <x v="6"/>
    <n v="0"/>
    <n v="28500"/>
    <n v="0"/>
  </r>
  <r>
    <n v="2019"/>
    <x v="2"/>
    <n v="25"/>
    <x v="7"/>
    <n v="7905"/>
    <n v="28500"/>
    <n v="0.2773684210526316"/>
  </r>
  <r>
    <n v="2019"/>
    <x v="2"/>
    <n v="25"/>
    <x v="8"/>
    <n v="20236"/>
    <n v="28500"/>
    <n v="0.71003508771929824"/>
  </r>
  <r>
    <n v="2019"/>
    <x v="2"/>
    <n v="25"/>
    <x v="9"/>
    <n v="31659.5"/>
    <n v="28500"/>
    <n v="1.1108596491228071"/>
  </r>
  <r>
    <n v="2019"/>
    <x v="2"/>
    <n v="25"/>
    <x v="10"/>
    <n v="35751.5"/>
    <n v="28500"/>
    <n v="1.2544385964912281"/>
  </r>
  <r>
    <n v="2019"/>
    <x v="2"/>
    <n v="25"/>
    <x v="11"/>
    <n v="36992.5"/>
    <n v="28500"/>
    <n v="1.2979824561403508"/>
  </r>
  <r>
    <n v="2019"/>
    <x v="2"/>
    <n v="25"/>
    <x v="12"/>
    <n v="43403.5"/>
    <n v="28500"/>
    <n v="1.5229298245614036"/>
  </r>
  <r>
    <n v="2019"/>
    <x v="2"/>
    <n v="25"/>
    <x v="13"/>
    <n v="39921.5"/>
    <n v="28500"/>
    <n v="1.4007543859649123"/>
  </r>
  <r>
    <n v="2019"/>
    <x v="2"/>
    <n v="25"/>
    <x v="14"/>
    <n v="34112.5"/>
    <n v="28500"/>
    <n v="1.1969298245614035"/>
  </r>
  <r>
    <n v="2019"/>
    <x v="2"/>
    <n v="25"/>
    <x v="15"/>
    <n v="27426"/>
    <n v="28500"/>
    <n v="0.96231578947368424"/>
  </r>
  <r>
    <n v="2019"/>
    <x v="2"/>
    <n v="25"/>
    <x v="16"/>
    <n v="18632"/>
    <n v="28500"/>
    <n v="0.65375438596491231"/>
  </r>
  <r>
    <n v="2019"/>
    <x v="2"/>
    <n v="25"/>
    <x v="17"/>
    <n v="5921"/>
    <n v="28500"/>
    <n v="0.20775438596491227"/>
  </r>
  <r>
    <n v="2019"/>
    <x v="2"/>
    <n v="25"/>
    <x v="18"/>
    <n v="0"/>
    <n v="28500"/>
    <n v="0"/>
  </r>
  <r>
    <n v="2019"/>
    <x v="2"/>
    <n v="25"/>
    <x v="19"/>
    <n v="0"/>
    <n v="28500"/>
    <n v="0"/>
  </r>
  <r>
    <n v="2019"/>
    <x v="2"/>
    <n v="25"/>
    <x v="20"/>
    <n v="0"/>
    <n v="28500"/>
    <n v="0"/>
  </r>
  <r>
    <n v="2019"/>
    <x v="2"/>
    <n v="25"/>
    <x v="21"/>
    <n v="0"/>
    <n v="28500"/>
    <n v="0"/>
  </r>
  <r>
    <n v="2019"/>
    <x v="2"/>
    <n v="25"/>
    <x v="22"/>
    <n v="0"/>
    <n v="28500"/>
    <n v="0"/>
  </r>
  <r>
    <n v="2019"/>
    <x v="2"/>
    <n v="25"/>
    <x v="23"/>
    <n v="0"/>
    <n v="28500"/>
    <n v="0"/>
  </r>
  <r>
    <n v="2019"/>
    <x v="2"/>
    <n v="26"/>
    <x v="0"/>
    <n v="0"/>
    <n v="28500"/>
    <n v="0"/>
  </r>
  <r>
    <n v="2019"/>
    <x v="2"/>
    <n v="26"/>
    <x v="1"/>
    <n v="0"/>
    <n v="28500"/>
    <n v="0"/>
  </r>
  <r>
    <n v="2019"/>
    <x v="2"/>
    <n v="26"/>
    <x v="2"/>
    <n v="0"/>
    <n v="28500"/>
    <n v="0"/>
  </r>
  <r>
    <n v="2019"/>
    <x v="2"/>
    <n v="26"/>
    <x v="3"/>
    <n v="0"/>
    <n v="28500"/>
    <n v="0"/>
  </r>
  <r>
    <n v="2019"/>
    <x v="2"/>
    <n v="26"/>
    <x v="4"/>
    <n v="0"/>
    <n v="28500"/>
    <n v="0"/>
  </r>
  <r>
    <n v="2019"/>
    <x v="2"/>
    <n v="26"/>
    <x v="5"/>
    <n v="0"/>
    <n v="28500"/>
    <n v="0"/>
  </r>
  <r>
    <n v="2019"/>
    <x v="2"/>
    <n v="26"/>
    <x v="6"/>
    <n v="0"/>
    <n v="28500"/>
    <n v="0"/>
  </r>
  <r>
    <n v="2019"/>
    <x v="2"/>
    <n v="26"/>
    <x v="7"/>
    <n v="6930.5"/>
    <n v="28500"/>
    <n v="0.24317543859649124"/>
  </r>
  <r>
    <n v="2019"/>
    <x v="2"/>
    <n v="26"/>
    <x v="8"/>
    <n v="13353"/>
    <n v="28500"/>
    <n v="0.46852631578947368"/>
  </r>
  <r>
    <n v="2019"/>
    <x v="2"/>
    <n v="26"/>
    <x v="9"/>
    <n v="29475"/>
    <n v="28500"/>
    <n v="1.0342105263157895"/>
  </r>
  <r>
    <n v="2019"/>
    <x v="2"/>
    <n v="26"/>
    <x v="10"/>
    <n v="36464.5"/>
    <n v="28500"/>
    <n v="1.2794561403508773"/>
  </r>
  <r>
    <n v="2019"/>
    <x v="2"/>
    <n v="26"/>
    <x v="11"/>
    <n v="40237"/>
    <n v="28500"/>
    <n v="1.4118245614035088"/>
  </r>
  <r>
    <n v="2019"/>
    <x v="2"/>
    <n v="26"/>
    <x v="12"/>
    <n v="42598.5"/>
    <n v="28500"/>
    <n v="1.4946842105263158"/>
  </r>
  <r>
    <n v="2019"/>
    <x v="2"/>
    <n v="26"/>
    <x v="13"/>
    <n v="14754.5"/>
    <n v="28500"/>
    <n v="0.51770175438596489"/>
  </r>
  <r>
    <n v="2019"/>
    <x v="2"/>
    <n v="26"/>
    <x v="14"/>
    <n v="13261.5"/>
    <n v="28500"/>
    <n v="0.46531578947368424"/>
  </r>
  <r>
    <n v="2019"/>
    <x v="2"/>
    <n v="26"/>
    <x v="15"/>
    <n v="19602"/>
    <n v="28500"/>
    <n v="0.68778947368421051"/>
  </r>
  <r>
    <n v="2019"/>
    <x v="2"/>
    <n v="26"/>
    <x v="16"/>
    <n v="9320"/>
    <n v="28500"/>
    <n v="0.3270175438596491"/>
  </r>
  <r>
    <n v="2019"/>
    <x v="2"/>
    <n v="26"/>
    <x v="17"/>
    <n v="5546"/>
    <n v="28500"/>
    <n v="0.19459649122807018"/>
  </r>
  <r>
    <n v="2019"/>
    <x v="2"/>
    <n v="26"/>
    <x v="18"/>
    <n v="0"/>
    <n v="28500"/>
    <n v="0"/>
  </r>
  <r>
    <n v="2019"/>
    <x v="2"/>
    <n v="26"/>
    <x v="19"/>
    <n v="0"/>
    <n v="28500"/>
    <n v="0"/>
  </r>
  <r>
    <n v="2019"/>
    <x v="2"/>
    <n v="26"/>
    <x v="20"/>
    <n v="0"/>
    <n v="28500"/>
    <n v="0"/>
  </r>
  <r>
    <n v="2019"/>
    <x v="2"/>
    <n v="26"/>
    <x v="21"/>
    <n v="0"/>
    <n v="28500"/>
    <n v="0"/>
  </r>
  <r>
    <n v="2019"/>
    <x v="2"/>
    <n v="26"/>
    <x v="22"/>
    <n v="0"/>
    <n v="28500"/>
    <n v="0"/>
  </r>
  <r>
    <n v="2019"/>
    <x v="2"/>
    <n v="26"/>
    <x v="23"/>
    <n v="0"/>
    <n v="28500"/>
    <n v="0"/>
  </r>
  <r>
    <n v="2019"/>
    <x v="2"/>
    <n v="27"/>
    <x v="0"/>
    <n v="0"/>
    <n v="28500"/>
    <n v="0"/>
  </r>
  <r>
    <n v="2019"/>
    <x v="2"/>
    <n v="27"/>
    <x v="1"/>
    <n v="0"/>
    <n v="28500"/>
    <n v="0"/>
  </r>
  <r>
    <n v="2019"/>
    <x v="2"/>
    <n v="27"/>
    <x v="2"/>
    <n v="0"/>
    <n v="28500"/>
    <n v="0"/>
  </r>
  <r>
    <n v="2019"/>
    <x v="2"/>
    <n v="27"/>
    <x v="3"/>
    <n v="0"/>
    <n v="28500"/>
    <n v="0"/>
  </r>
  <r>
    <n v="2019"/>
    <x v="2"/>
    <n v="27"/>
    <x v="4"/>
    <n v="0"/>
    <n v="28500"/>
    <n v="0"/>
  </r>
  <r>
    <n v="2019"/>
    <x v="2"/>
    <n v="27"/>
    <x v="5"/>
    <n v="0"/>
    <n v="28500"/>
    <n v="0"/>
  </r>
  <r>
    <n v="2019"/>
    <x v="2"/>
    <n v="27"/>
    <x v="6"/>
    <n v="0"/>
    <n v="28500"/>
    <n v="0"/>
  </r>
  <r>
    <n v="2019"/>
    <x v="2"/>
    <n v="27"/>
    <x v="7"/>
    <n v="3925"/>
    <n v="28500"/>
    <n v="0.13771929824561405"/>
  </r>
  <r>
    <n v="2019"/>
    <x v="2"/>
    <n v="27"/>
    <x v="8"/>
    <n v="7344.5"/>
    <n v="28500"/>
    <n v="0.25770175438596493"/>
  </r>
  <r>
    <n v="2019"/>
    <x v="2"/>
    <n v="27"/>
    <x v="9"/>
    <n v="9285"/>
    <n v="28500"/>
    <n v="0.32578947368421052"/>
  </r>
  <r>
    <n v="2019"/>
    <x v="2"/>
    <n v="27"/>
    <x v="10"/>
    <n v="9114"/>
    <n v="28500"/>
    <n v="0.31978947368421051"/>
  </r>
  <r>
    <n v="2019"/>
    <x v="2"/>
    <n v="27"/>
    <x v="11"/>
    <n v="13035.5"/>
    <n v="28500"/>
    <n v="0.45738596491228073"/>
  </r>
  <r>
    <n v="2019"/>
    <x v="2"/>
    <n v="27"/>
    <x v="12"/>
    <n v="4474.5"/>
    <n v="28500"/>
    <n v="0.157"/>
  </r>
  <r>
    <n v="2019"/>
    <x v="2"/>
    <n v="27"/>
    <x v="13"/>
    <n v="5839.5"/>
    <n v="28500"/>
    <n v="0.20489473684210527"/>
  </r>
  <r>
    <n v="2019"/>
    <x v="2"/>
    <n v="27"/>
    <x v="14"/>
    <n v="4819.5"/>
    <n v="28500"/>
    <n v="0.16910526315789473"/>
  </r>
  <r>
    <n v="2019"/>
    <x v="2"/>
    <n v="27"/>
    <x v="15"/>
    <n v="10211"/>
    <n v="28500"/>
    <n v="0.35828070175438598"/>
  </r>
  <r>
    <n v="2019"/>
    <x v="2"/>
    <n v="27"/>
    <x v="16"/>
    <n v="8664"/>
    <n v="28500"/>
    <n v="0.30399999999999999"/>
  </r>
  <r>
    <n v="2019"/>
    <x v="2"/>
    <n v="27"/>
    <x v="17"/>
    <n v="3088"/>
    <n v="28500"/>
    <n v="0.10835087719298246"/>
  </r>
  <r>
    <n v="2019"/>
    <x v="2"/>
    <n v="27"/>
    <x v="18"/>
    <n v="0"/>
    <n v="28500"/>
    <n v="0"/>
  </r>
  <r>
    <n v="2019"/>
    <x v="2"/>
    <n v="27"/>
    <x v="19"/>
    <n v="0"/>
    <n v="28500"/>
    <n v="0"/>
  </r>
  <r>
    <n v="2019"/>
    <x v="2"/>
    <n v="27"/>
    <x v="20"/>
    <n v="0"/>
    <n v="28500"/>
    <n v="0"/>
  </r>
  <r>
    <n v="2019"/>
    <x v="2"/>
    <n v="27"/>
    <x v="21"/>
    <n v="0"/>
    <n v="28500"/>
    <n v="0"/>
  </r>
  <r>
    <n v="2019"/>
    <x v="2"/>
    <n v="27"/>
    <x v="22"/>
    <n v="0"/>
    <n v="28500"/>
    <n v="0"/>
  </r>
  <r>
    <n v="2019"/>
    <x v="2"/>
    <n v="27"/>
    <x v="23"/>
    <n v="0"/>
    <n v="28500"/>
    <n v="0"/>
  </r>
  <r>
    <n v="2019"/>
    <x v="2"/>
    <n v="28"/>
    <x v="0"/>
    <n v="0"/>
    <n v="28500"/>
    <n v="0"/>
  </r>
  <r>
    <n v="2019"/>
    <x v="2"/>
    <n v="28"/>
    <x v="1"/>
    <n v="0"/>
    <n v="28500"/>
    <n v="0"/>
  </r>
  <r>
    <n v="2019"/>
    <x v="2"/>
    <n v="28"/>
    <x v="2"/>
    <n v="0"/>
    <n v="28500"/>
    <n v="0"/>
  </r>
  <r>
    <n v="2019"/>
    <x v="2"/>
    <n v="28"/>
    <x v="3"/>
    <n v="0"/>
    <n v="28500"/>
    <n v="0"/>
  </r>
  <r>
    <n v="2019"/>
    <x v="2"/>
    <n v="28"/>
    <x v="4"/>
    <n v="0"/>
    <n v="28500"/>
    <n v="0"/>
  </r>
  <r>
    <n v="2019"/>
    <x v="2"/>
    <n v="28"/>
    <x v="5"/>
    <n v="0"/>
    <n v="28500"/>
    <n v="0"/>
  </r>
  <r>
    <n v="2019"/>
    <x v="2"/>
    <n v="28"/>
    <x v="6"/>
    <n v="0"/>
    <n v="28500"/>
    <n v="0"/>
  </r>
  <r>
    <n v="2019"/>
    <x v="2"/>
    <n v="28"/>
    <x v="7"/>
    <n v="2958"/>
    <n v="28500"/>
    <n v="0.10378947368421053"/>
  </r>
  <r>
    <n v="2019"/>
    <x v="2"/>
    <n v="28"/>
    <x v="8"/>
    <n v="5638"/>
    <n v="28500"/>
    <n v="0.19782456140350876"/>
  </r>
  <r>
    <n v="2019"/>
    <x v="2"/>
    <n v="28"/>
    <x v="9"/>
    <n v="6296"/>
    <n v="28500"/>
    <n v="0.22091228070175439"/>
  </r>
  <r>
    <n v="2019"/>
    <x v="2"/>
    <n v="28"/>
    <x v="10"/>
    <n v="11066"/>
    <n v="28500"/>
    <n v="0.38828070175438595"/>
  </r>
  <r>
    <n v="2019"/>
    <x v="2"/>
    <n v="28"/>
    <x v="11"/>
    <n v="24297"/>
    <n v="28500"/>
    <n v="0.85252631578947369"/>
  </r>
  <r>
    <n v="2019"/>
    <x v="2"/>
    <n v="28"/>
    <x v="12"/>
    <n v="21698"/>
    <n v="28500"/>
    <n v="0.76133333333333331"/>
  </r>
  <r>
    <n v="2019"/>
    <x v="2"/>
    <n v="28"/>
    <x v="13"/>
    <n v="25292"/>
    <n v="28500"/>
    <n v="0.88743859649122803"/>
  </r>
  <r>
    <n v="2019"/>
    <x v="2"/>
    <n v="28"/>
    <x v="14"/>
    <n v="30162"/>
    <n v="28500"/>
    <n v="1.0583157894736843"/>
  </r>
  <r>
    <n v="2019"/>
    <x v="2"/>
    <n v="28"/>
    <x v="15"/>
    <n v="26021"/>
    <n v="28500"/>
    <n v="0.91301754385964917"/>
  </r>
  <r>
    <n v="2019"/>
    <x v="2"/>
    <n v="28"/>
    <x v="16"/>
    <n v="17131"/>
    <n v="28500"/>
    <n v="0.60108771929824556"/>
  </r>
  <r>
    <n v="2019"/>
    <x v="2"/>
    <n v="28"/>
    <x v="17"/>
    <n v="5820"/>
    <n v="28500"/>
    <n v="0.20421052631578948"/>
  </r>
  <r>
    <n v="2019"/>
    <x v="2"/>
    <n v="28"/>
    <x v="18"/>
    <n v="0"/>
    <n v="28500"/>
    <n v="0"/>
  </r>
  <r>
    <n v="2019"/>
    <x v="2"/>
    <n v="28"/>
    <x v="19"/>
    <n v="0"/>
    <n v="28500"/>
    <n v="0"/>
  </r>
  <r>
    <n v="2019"/>
    <x v="2"/>
    <n v="28"/>
    <x v="20"/>
    <n v="0"/>
    <n v="28500"/>
    <n v="0"/>
  </r>
  <r>
    <n v="2019"/>
    <x v="2"/>
    <n v="28"/>
    <x v="21"/>
    <n v="0"/>
    <n v="28500"/>
    <n v="0"/>
  </r>
  <r>
    <n v="2019"/>
    <x v="2"/>
    <n v="28"/>
    <x v="22"/>
    <n v="0"/>
    <n v="28500"/>
    <n v="0"/>
  </r>
  <r>
    <n v="2019"/>
    <x v="2"/>
    <n v="28"/>
    <x v="23"/>
    <n v="0"/>
    <n v="28500"/>
    <n v="0"/>
  </r>
  <r>
    <n v="2019"/>
    <x v="2"/>
    <n v="29"/>
    <x v="0"/>
    <n v="0"/>
    <n v="28500"/>
    <n v="0"/>
  </r>
  <r>
    <n v="2019"/>
    <x v="2"/>
    <n v="29"/>
    <x v="1"/>
    <n v="0"/>
    <n v="28500"/>
    <n v="0"/>
  </r>
  <r>
    <n v="2019"/>
    <x v="2"/>
    <n v="29"/>
    <x v="2"/>
    <n v="0"/>
    <n v="28500"/>
    <n v="0"/>
  </r>
  <r>
    <n v="2019"/>
    <x v="2"/>
    <n v="29"/>
    <x v="3"/>
    <n v="0"/>
    <n v="28500"/>
    <n v="0"/>
  </r>
  <r>
    <n v="2019"/>
    <x v="2"/>
    <n v="29"/>
    <x v="4"/>
    <n v="0"/>
    <n v="28500"/>
    <n v="0"/>
  </r>
  <r>
    <n v="2019"/>
    <x v="2"/>
    <n v="29"/>
    <x v="5"/>
    <n v="0"/>
    <n v="28500"/>
    <n v="0"/>
  </r>
  <r>
    <n v="2019"/>
    <x v="2"/>
    <n v="29"/>
    <x v="6"/>
    <n v="203.5"/>
    <n v="28500"/>
    <n v="7.1403508771929825E-3"/>
  </r>
  <r>
    <n v="2019"/>
    <x v="2"/>
    <n v="29"/>
    <x v="7"/>
    <n v="8284"/>
    <n v="28500"/>
    <n v="0.29066666666666668"/>
  </r>
  <r>
    <n v="2019"/>
    <x v="2"/>
    <n v="29"/>
    <x v="8"/>
    <n v="19594.5"/>
    <n v="28500"/>
    <n v="0.68752631578947365"/>
  </r>
  <r>
    <n v="2019"/>
    <x v="2"/>
    <n v="29"/>
    <x v="9"/>
    <n v="29087.5"/>
    <n v="28500"/>
    <n v="1.0206140350877193"/>
  </r>
  <r>
    <n v="2019"/>
    <x v="2"/>
    <n v="29"/>
    <x v="10"/>
    <n v="36257"/>
    <n v="28500"/>
    <n v="1.2721754385964912"/>
  </r>
  <r>
    <n v="2019"/>
    <x v="2"/>
    <n v="29"/>
    <x v="11"/>
    <n v="39239"/>
    <n v="28500"/>
    <n v="1.3768070175438596"/>
  </r>
  <r>
    <n v="2019"/>
    <x v="2"/>
    <n v="29"/>
    <x v="12"/>
    <n v="41504.5"/>
    <n v="28500"/>
    <n v="1.456298245614035"/>
  </r>
  <r>
    <n v="2019"/>
    <x v="2"/>
    <n v="29"/>
    <x v="13"/>
    <n v="40252"/>
    <n v="28500"/>
    <n v="1.4123508771929825"/>
  </r>
  <r>
    <n v="2019"/>
    <x v="2"/>
    <n v="29"/>
    <x v="14"/>
    <n v="35399.5"/>
    <n v="28500"/>
    <n v="1.2420877192982456"/>
  </r>
  <r>
    <n v="2019"/>
    <x v="2"/>
    <n v="29"/>
    <x v="15"/>
    <n v="27294"/>
    <n v="28500"/>
    <n v="0.9576842105263158"/>
  </r>
  <r>
    <n v="2019"/>
    <x v="2"/>
    <n v="29"/>
    <x v="16"/>
    <n v="16396"/>
    <n v="28500"/>
    <n v="0.57529824561403509"/>
  </r>
  <r>
    <n v="2019"/>
    <x v="2"/>
    <n v="29"/>
    <x v="17"/>
    <n v="5739"/>
    <n v="28500"/>
    <n v="0.20136842105263159"/>
  </r>
  <r>
    <n v="2019"/>
    <x v="2"/>
    <n v="29"/>
    <x v="18"/>
    <n v="0"/>
    <n v="28500"/>
    <n v="0"/>
  </r>
  <r>
    <n v="2019"/>
    <x v="2"/>
    <n v="29"/>
    <x v="19"/>
    <n v="0"/>
    <n v="28500"/>
    <n v="0"/>
  </r>
  <r>
    <n v="2019"/>
    <x v="2"/>
    <n v="29"/>
    <x v="20"/>
    <n v="0"/>
    <n v="28500"/>
    <n v="0"/>
  </r>
  <r>
    <n v="2019"/>
    <x v="2"/>
    <n v="29"/>
    <x v="21"/>
    <n v="0"/>
    <n v="28500"/>
    <n v="0"/>
  </r>
  <r>
    <n v="2019"/>
    <x v="2"/>
    <n v="29"/>
    <x v="22"/>
    <n v="0"/>
    <n v="28500"/>
    <n v="0"/>
  </r>
  <r>
    <n v="2019"/>
    <x v="2"/>
    <n v="29"/>
    <x v="23"/>
    <n v="0"/>
    <n v="28500"/>
    <n v="0"/>
  </r>
  <r>
    <n v="2019"/>
    <x v="2"/>
    <n v="30"/>
    <x v="0"/>
    <n v="0"/>
    <n v="28500"/>
    <n v="0"/>
  </r>
  <r>
    <n v="2019"/>
    <x v="2"/>
    <n v="30"/>
    <x v="1"/>
    <n v="0"/>
    <n v="28500"/>
    <n v="0"/>
  </r>
  <r>
    <n v="2019"/>
    <x v="2"/>
    <n v="30"/>
    <x v="2"/>
    <n v="0"/>
    <n v="28500"/>
    <n v="0"/>
  </r>
  <r>
    <n v="2019"/>
    <x v="2"/>
    <n v="30"/>
    <x v="3"/>
    <n v="0"/>
    <n v="28500"/>
    <n v="0"/>
  </r>
  <r>
    <n v="2019"/>
    <x v="2"/>
    <n v="30"/>
    <x v="4"/>
    <n v="0"/>
    <n v="28500"/>
    <n v="0"/>
  </r>
  <r>
    <n v="2019"/>
    <x v="2"/>
    <n v="30"/>
    <x v="5"/>
    <n v="0"/>
    <n v="28500"/>
    <n v="0"/>
  </r>
  <r>
    <n v="2019"/>
    <x v="2"/>
    <n v="30"/>
    <x v="6"/>
    <n v="122.5"/>
    <n v="28500"/>
    <n v="4.2982456140350876E-3"/>
  </r>
  <r>
    <n v="2019"/>
    <x v="2"/>
    <n v="30"/>
    <x v="7"/>
    <n v="8002"/>
    <n v="28500"/>
    <n v="0.28077192982456139"/>
  </r>
  <r>
    <n v="2019"/>
    <x v="2"/>
    <n v="30"/>
    <x v="8"/>
    <n v="18703"/>
    <n v="28500"/>
    <n v="0.65624561403508774"/>
  </r>
  <r>
    <n v="2019"/>
    <x v="2"/>
    <n v="30"/>
    <x v="9"/>
    <n v="27969"/>
    <n v="28500"/>
    <n v="0.98136842105263156"/>
  </r>
  <r>
    <n v="2019"/>
    <x v="2"/>
    <n v="30"/>
    <x v="10"/>
    <n v="34872.5"/>
    <n v="28500"/>
    <n v="1.2235964912280701"/>
  </r>
  <r>
    <n v="2019"/>
    <x v="2"/>
    <n v="30"/>
    <x v="11"/>
    <n v="18254.5"/>
    <n v="28500"/>
    <n v="0.64050877192982458"/>
  </r>
  <r>
    <n v="2019"/>
    <x v="2"/>
    <n v="30"/>
    <x v="12"/>
    <n v="17455"/>
    <n v="28500"/>
    <n v="0.61245614035087714"/>
  </r>
  <r>
    <n v="2019"/>
    <x v="2"/>
    <n v="30"/>
    <x v="13"/>
    <n v="12303"/>
    <n v="28500"/>
    <n v="0.43168421052631578"/>
  </r>
  <r>
    <n v="2019"/>
    <x v="2"/>
    <n v="30"/>
    <x v="14"/>
    <n v="6368.5"/>
    <n v="28500"/>
    <n v="0.22345614035087719"/>
  </r>
  <r>
    <n v="2019"/>
    <x v="2"/>
    <n v="30"/>
    <x v="15"/>
    <n v="13958.5"/>
    <n v="28500"/>
    <n v="0.48977192982456141"/>
  </r>
  <r>
    <n v="2019"/>
    <x v="2"/>
    <n v="30"/>
    <x v="16"/>
    <n v="9946.5"/>
    <n v="28500"/>
    <n v="0.34899999999999998"/>
  </r>
  <r>
    <n v="2019"/>
    <x v="2"/>
    <n v="30"/>
    <x v="17"/>
    <n v="5310"/>
    <n v="28500"/>
    <n v="0.18631578947368421"/>
  </r>
  <r>
    <n v="2019"/>
    <x v="2"/>
    <n v="30"/>
    <x v="18"/>
    <n v="0"/>
    <n v="28500"/>
    <n v="0"/>
  </r>
  <r>
    <n v="2019"/>
    <x v="2"/>
    <n v="30"/>
    <x v="19"/>
    <n v="0"/>
    <n v="28500"/>
    <n v="0"/>
  </r>
  <r>
    <n v="2019"/>
    <x v="2"/>
    <n v="30"/>
    <x v="20"/>
    <n v="0"/>
    <n v="28500"/>
    <n v="0"/>
  </r>
  <r>
    <n v="2019"/>
    <x v="2"/>
    <n v="30"/>
    <x v="21"/>
    <n v="0"/>
    <n v="28500"/>
    <n v="0"/>
  </r>
  <r>
    <n v="2019"/>
    <x v="2"/>
    <n v="30"/>
    <x v="22"/>
    <n v="0"/>
    <n v="28500"/>
    <n v="0"/>
  </r>
  <r>
    <n v="2019"/>
    <x v="2"/>
    <n v="30"/>
    <x v="23"/>
    <n v="0"/>
    <n v="28500"/>
    <n v="0"/>
  </r>
  <r>
    <n v="2019"/>
    <x v="2"/>
    <n v="31"/>
    <x v="0"/>
    <n v="0"/>
    <n v="28500"/>
    <n v="0"/>
  </r>
  <r>
    <n v="2019"/>
    <x v="2"/>
    <n v="31"/>
    <x v="1"/>
    <n v="0"/>
    <n v="28500"/>
    <n v="0"/>
  </r>
  <r>
    <n v="2019"/>
    <x v="2"/>
    <n v="31"/>
    <x v="2"/>
    <n v="0"/>
    <n v="28500"/>
    <n v="0"/>
  </r>
  <r>
    <n v="2019"/>
    <x v="2"/>
    <n v="31"/>
    <x v="3"/>
    <n v="0"/>
    <n v="28500"/>
    <n v="0"/>
  </r>
  <r>
    <n v="2019"/>
    <x v="2"/>
    <n v="31"/>
    <x v="4"/>
    <n v="0"/>
    <n v="28500"/>
    <n v="0"/>
  </r>
  <r>
    <n v="2019"/>
    <x v="2"/>
    <n v="31"/>
    <x v="5"/>
    <n v="0"/>
    <n v="28500"/>
    <n v="0"/>
  </r>
  <r>
    <n v="2019"/>
    <x v="2"/>
    <n v="31"/>
    <x v="6"/>
    <n v="0"/>
    <n v="28500"/>
    <n v="0"/>
  </r>
  <r>
    <n v="2019"/>
    <x v="2"/>
    <n v="31"/>
    <x v="7"/>
    <n v="1979"/>
    <n v="28500"/>
    <n v="6.9438596491228063E-2"/>
  </r>
  <r>
    <n v="2019"/>
    <x v="2"/>
    <n v="31"/>
    <x v="8"/>
    <n v="1845.5"/>
    <n v="28500"/>
    <n v="6.4754385964912287E-2"/>
  </r>
  <r>
    <n v="2019"/>
    <x v="2"/>
    <n v="31"/>
    <x v="9"/>
    <n v="2942.5"/>
    <n v="28500"/>
    <n v="0.10324561403508772"/>
  </r>
  <r>
    <n v="2019"/>
    <x v="2"/>
    <n v="31"/>
    <x v="10"/>
    <n v="3716"/>
    <n v="28500"/>
    <n v="0.13038596491228069"/>
  </r>
  <r>
    <n v="2019"/>
    <x v="2"/>
    <n v="31"/>
    <x v="11"/>
    <n v="6414"/>
    <n v="28500"/>
    <n v="0.22505263157894737"/>
  </r>
  <r>
    <n v="2019"/>
    <x v="2"/>
    <n v="31"/>
    <x v="12"/>
    <n v="12421.5"/>
    <n v="28500"/>
    <n v="0.43584210526315792"/>
  </r>
  <r>
    <n v="2019"/>
    <x v="2"/>
    <n v="31"/>
    <x v="13"/>
    <n v="17547.5"/>
    <n v="28500"/>
    <n v="0.61570175438596486"/>
  </r>
  <r>
    <n v="2019"/>
    <x v="2"/>
    <n v="31"/>
    <x v="14"/>
    <n v="28249"/>
    <n v="28500"/>
    <n v="0.9911929824561404"/>
  </r>
  <r>
    <n v="2019"/>
    <x v="2"/>
    <n v="31"/>
    <x v="15"/>
    <n v="25964.5"/>
    <n v="28500"/>
    <n v="0.9110350877192982"/>
  </r>
  <r>
    <n v="2019"/>
    <x v="2"/>
    <n v="31"/>
    <x v="16"/>
    <n v="16640.5"/>
    <n v="28500"/>
    <n v="0.58387719298245611"/>
  </r>
  <r>
    <n v="2019"/>
    <x v="2"/>
    <n v="31"/>
    <x v="17"/>
    <n v="5944"/>
    <n v="28500"/>
    <n v="0.20856140350877192"/>
  </r>
  <r>
    <n v="2019"/>
    <x v="2"/>
    <n v="31"/>
    <x v="18"/>
    <n v="0"/>
    <n v="28500"/>
    <n v="0"/>
  </r>
  <r>
    <n v="2019"/>
    <x v="2"/>
    <n v="31"/>
    <x v="19"/>
    <n v="0"/>
    <n v="28500"/>
    <n v="0"/>
  </r>
  <r>
    <n v="2019"/>
    <x v="2"/>
    <n v="31"/>
    <x v="20"/>
    <n v="0"/>
    <n v="28500"/>
    <n v="0"/>
  </r>
  <r>
    <n v="2019"/>
    <x v="2"/>
    <n v="31"/>
    <x v="21"/>
    <n v="0"/>
    <n v="28500"/>
    <n v="0"/>
  </r>
  <r>
    <n v="2019"/>
    <x v="2"/>
    <n v="31"/>
    <x v="22"/>
    <n v="0"/>
    <n v="28500"/>
    <n v="0"/>
  </r>
  <r>
    <n v="2019"/>
    <x v="2"/>
    <n v="31"/>
    <x v="23"/>
    <n v="0"/>
    <n v="28500"/>
    <n v="0"/>
  </r>
  <r>
    <n v="2019"/>
    <x v="3"/>
    <n v="1"/>
    <x v="0"/>
    <n v="0"/>
    <n v="28500"/>
    <n v="0"/>
  </r>
  <r>
    <n v="2019"/>
    <x v="3"/>
    <n v="1"/>
    <x v="1"/>
    <n v="0"/>
    <n v="28500"/>
    <n v="0"/>
  </r>
  <r>
    <n v="2019"/>
    <x v="3"/>
    <n v="1"/>
    <x v="2"/>
    <n v="0"/>
    <n v="28500"/>
    <n v="0"/>
  </r>
  <r>
    <n v="2019"/>
    <x v="3"/>
    <n v="1"/>
    <x v="3"/>
    <n v="0"/>
    <n v="28500"/>
    <n v="0"/>
  </r>
  <r>
    <n v="2019"/>
    <x v="3"/>
    <n v="1"/>
    <x v="4"/>
    <n v="0"/>
    <n v="28500"/>
    <n v="0"/>
  </r>
  <r>
    <n v="2019"/>
    <x v="3"/>
    <n v="1"/>
    <x v="5"/>
    <n v="0"/>
    <n v="28500"/>
    <n v="0"/>
  </r>
  <r>
    <n v="2019"/>
    <x v="3"/>
    <n v="1"/>
    <x v="6"/>
    <n v="312.5"/>
    <n v="28500"/>
    <n v="1.0964912280701754E-2"/>
  </r>
  <r>
    <n v="2019"/>
    <x v="3"/>
    <n v="1"/>
    <x v="7"/>
    <n v="8047"/>
    <n v="28500"/>
    <n v="0.28235087719298246"/>
  </r>
  <r>
    <n v="2019"/>
    <x v="3"/>
    <n v="1"/>
    <x v="8"/>
    <n v="18576.5"/>
    <n v="28500"/>
    <n v="0.65180701754385961"/>
  </r>
  <r>
    <n v="2019"/>
    <x v="3"/>
    <n v="1"/>
    <x v="9"/>
    <n v="29966"/>
    <n v="28500"/>
    <n v="1.0514385964912281"/>
  </r>
  <r>
    <n v="2019"/>
    <x v="3"/>
    <n v="1"/>
    <x v="10"/>
    <n v="37115.5"/>
    <n v="28500"/>
    <n v="1.3022982456140351"/>
  </r>
  <r>
    <n v="2019"/>
    <x v="3"/>
    <n v="1"/>
    <x v="11"/>
    <n v="41110"/>
    <n v="28500"/>
    <n v="1.4424561403508771"/>
  </r>
  <r>
    <n v="2019"/>
    <x v="3"/>
    <n v="1"/>
    <x v="12"/>
    <n v="42336"/>
    <n v="28500"/>
    <n v="1.4854736842105263"/>
  </r>
  <r>
    <n v="2019"/>
    <x v="3"/>
    <n v="1"/>
    <x v="13"/>
    <n v="41324.5"/>
    <n v="28500"/>
    <n v="1.4499824561403509"/>
  </r>
  <r>
    <n v="2019"/>
    <x v="3"/>
    <n v="1"/>
    <x v="14"/>
    <n v="35370"/>
    <n v="28500"/>
    <n v="1.2410526315789474"/>
  </r>
  <r>
    <n v="2019"/>
    <x v="3"/>
    <n v="1"/>
    <x v="15"/>
    <n v="26722.5"/>
    <n v="28500"/>
    <n v="0.93763157894736837"/>
  </r>
  <r>
    <n v="2019"/>
    <x v="3"/>
    <n v="1"/>
    <x v="16"/>
    <n v="15210"/>
    <n v="28500"/>
    <n v="0.53368421052631576"/>
  </r>
  <r>
    <n v="2019"/>
    <x v="3"/>
    <n v="1"/>
    <x v="17"/>
    <n v="4903.5"/>
    <n v="28500"/>
    <n v="0.17205263157894737"/>
  </r>
  <r>
    <n v="2019"/>
    <x v="3"/>
    <n v="1"/>
    <x v="18"/>
    <n v="0"/>
    <n v="28500"/>
    <n v="0"/>
  </r>
  <r>
    <n v="2019"/>
    <x v="3"/>
    <n v="1"/>
    <x v="19"/>
    <n v="0"/>
    <n v="28500"/>
    <n v="0"/>
  </r>
  <r>
    <n v="2019"/>
    <x v="3"/>
    <n v="1"/>
    <x v="20"/>
    <n v="0"/>
    <n v="28500"/>
    <n v="0"/>
  </r>
  <r>
    <n v="2019"/>
    <x v="3"/>
    <n v="1"/>
    <x v="21"/>
    <n v="0"/>
    <n v="28500"/>
    <n v="0"/>
  </r>
  <r>
    <n v="2019"/>
    <x v="3"/>
    <n v="1"/>
    <x v="22"/>
    <n v="0"/>
    <n v="28500"/>
    <n v="0"/>
  </r>
  <r>
    <n v="2019"/>
    <x v="3"/>
    <n v="1"/>
    <x v="23"/>
    <n v="0"/>
    <n v="28500"/>
    <n v="0"/>
  </r>
  <r>
    <n v="2019"/>
    <x v="3"/>
    <n v="2"/>
    <x v="0"/>
    <n v="0"/>
    <n v="28500"/>
    <n v="0"/>
  </r>
  <r>
    <n v="2019"/>
    <x v="3"/>
    <n v="2"/>
    <x v="1"/>
    <n v="0"/>
    <n v="28500"/>
    <n v="0"/>
  </r>
  <r>
    <n v="2019"/>
    <x v="3"/>
    <n v="2"/>
    <x v="2"/>
    <n v="0"/>
    <n v="28500"/>
    <n v="0"/>
  </r>
  <r>
    <n v="2019"/>
    <x v="3"/>
    <n v="2"/>
    <x v="3"/>
    <n v="0"/>
    <n v="28500"/>
    <n v="0"/>
  </r>
  <r>
    <n v="2019"/>
    <x v="3"/>
    <n v="2"/>
    <x v="4"/>
    <n v="0"/>
    <n v="28500"/>
    <n v="0"/>
  </r>
  <r>
    <n v="2019"/>
    <x v="3"/>
    <n v="2"/>
    <x v="5"/>
    <n v="0"/>
    <n v="28500"/>
    <n v="0"/>
  </r>
  <r>
    <n v="2019"/>
    <x v="3"/>
    <n v="2"/>
    <x v="6"/>
    <n v="100.5"/>
    <n v="28500"/>
    <n v="3.5263157894736843E-3"/>
  </r>
  <r>
    <n v="2019"/>
    <x v="3"/>
    <n v="2"/>
    <x v="7"/>
    <n v="721.5"/>
    <n v="28500"/>
    <n v="2.5315789473684212E-2"/>
  </r>
  <r>
    <n v="2019"/>
    <x v="3"/>
    <n v="2"/>
    <x v="8"/>
    <n v="1519"/>
    <n v="28500"/>
    <n v="5.3298245614035088E-2"/>
  </r>
  <r>
    <n v="2019"/>
    <x v="3"/>
    <n v="2"/>
    <x v="9"/>
    <n v="6773"/>
    <n v="28500"/>
    <n v="0.23764912280701755"/>
  </r>
  <r>
    <n v="2019"/>
    <x v="3"/>
    <n v="2"/>
    <x v="10"/>
    <n v="6742"/>
    <n v="28500"/>
    <n v="0.23656140350877192"/>
  </r>
  <r>
    <n v="2019"/>
    <x v="3"/>
    <n v="2"/>
    <x v="11"/>
    <n v="2291"/>
    <n v="28500"/>
    <n v="8.03859649122807E-2"/>
  </r>
  <r>
    <n v="2019"/>
    <x v="3"/>
    <n v="2"/>
    <x v="12"/>
    <n v="4863.5"/>
    <n v="28500"/>
    <n v="0.17064912280701755"/>
  </r>
  <r>
    <n v="2019"/>
    <x v="3"/>
    <n v="2"/>
    <x v="13"/>
    <n v="10727.5"/>
    <n v="28500"/>
    <n v="0.37640350877192985"/>
  </r>
  <r>
    <n v="2019"/>
    <x v="3"/>
    <n v="2"/>
    <x v="14"/>
    <n v="12825"/>
    <n v="28500"/>
    <n v="0.45"/>
  </r>
  <r>
    <n v="2019"/>
    <x v="3"/>
    <n v="2"/>
    <x v="15"/>
    <n v="17018.5"/>
    <n v="28500"/>
    <n v="0.59714035087719297"/>
  </r>
  <r>
    <n v="2019"/>
    <x v="3"/>
    <n v="2"/>
    <x v="16"/>
    <n v="646"/>
    <n v="28500"/>
    <n v="2.2666666666666668E-2"/>
  </r>
  <r>
    <n v="2019"/>
    <x v="3"/>
    <n v="2"/>
    <x v="17"/>
    <n v="6198"/>
    <n v="28500"/>
    <n v="0.21747368421052632"/>
  </r>
  <r>
    <n v="2019"/>
    <x v="3"/>
    <n v="2"/>
    <x v="18"/>
    <n v="60"/>
    <n v="28500"/>
    <n v="2.1052631578947368E-3"/>
  </r>
  <r>
    <n v="2019"/>
    <x v="3"/>
    <n v="2"/>
    <x v="19"/>
    <n v="0"/>
    <n v="28500"/>
    <n v="0"/>
  </r>
  <r>
    <n v="2019"/>
    <x v="3"/>
    <n v="2"/>
    <x v="20"/>
    <n v="0"/>
    <n v="28500"/>
    <n v="0"/>
  </r>
  <r>
    <n v="2019"/>
    <x v="3"/>
    <n v="2"/>
    <x v="21"/>
    <n v="0"/>
    <n v="28500"/>
    <n v="0"/>
  </r>
  <r>
    <n v="2019"/>
    <x v="3"/>
    <n v="2"/>
    <x v="22"/>
    <n v="0"/>
    <n v="28500"/>
    <n v="0"/>
  </r>
  <r>
    <n v="2019"/>
    <x v="3"/>
    <n v="2"/>
    <x v="23"/>
    <n v="0"/>
    <n v="28500"/>
    <n v="0"/>
  </r>
  <r>
    <n v="2019"/>
    <x v="3"/>
    <n v="3"/>
    <x v="0"/>
    <n v="0"/>
    <n v="28500"/>
    <n v="0"/>
  </r>
  <r>
    <n v="2019"/>
    <x v="3"/>
    <n v="3"/>
    <x v="1"/>
    <n v="0"/>
    <n v="28500"/>
    <n v="0"/>
  </r>
  <r>
    <n v="2019"/>
    <x v="3"/>
    <n v="3"/>
    <x v="2"/>
    <n v="0"/>
    <n v="28500"/>
    <n v="0"/>
  </r>
  <r>
    <n v="2019"/>
    <x v="3"/>
    <n v="3"/>
    <x v="3"/>
    <n v="0"/>
    <n v="28500"/>
    <n v="0"/>
  </r>
  <r>
    <n v="2019"/>
    <x v="3"/>
    <n v="3"/>
    <x v="4"/>
    <n v="0"/>
    <n v="28500"/>
    <n v="0"/>
  </r>
  <r>
    <n v="2019"/>
    <x v="3"/>
    <n v="3"/>
    <x v="5"/>
    <n v="0"/>
    <n v="28500"/>
    <n v="0"/>
  </r>
  <r>
    <n v="2019"/>
    <x v="3"/>
    <n v="3"/>
    <x v="6"/>
    <n v="601"/>
    <n v="28500"/>
    <n v="2.1087719298245614E-2"/>
  </r>
  <r>
    <n v="2019"/>
    <x v="3"/>
    <n v="3"/>
    <x v="7"/>
    <n v="7664.5"/>
    <n v="28500"/>
    <n v="0.26892982456140352"/>
  </r>
  <r>
    <n v="2019"/>
    <x v="3"/>
    <n v="3"/>
    <x v="8"/>
    <n v="18636"/>
    <n v="28500"/>
    <n v="0.65389473684210531"/>
  </r>
  <r>
    <n v="2019"/>
    <x v="3"/>
    <n v="3"/>
    <x v="9"/>
    <n v="17909"/>
    <n v="28500"/>
    <n v="0.62838596491228071"/>
  </r>
  <r>
    <n v="2019"/>
    <x v="3"/>
    <n v="3"/>
    <x v="10"/>
    <n v="12344"/>
    <n v="28500"/>
    <n v="0.43312280701754385"/>
  </r>
  <r>
    <n v="2019"/>
    <x v="3"/>
    <n v="3"/>
    <x v="11"/>
    <n v="19947.5"/>
    <n v="28500"/>
    <n v="0.69991228070175437"/>
  </r>
  <r>
    <n v="2019"/>
    <x v="3"/>
    <n v="3"/>
    <x v="12"/>
    <n v="29935"/>
    <n v="28500"/>
    <n v="1.0503508771929824"/>
  </r>
  <r>
    <n v="2019"/>
    <x v="3"/>
    <n v="3"/>
    <x v="13"/>
    <n v="7933.5"/>
    <n v="28500"/>
    <n v="0.2783684210526316"/>
  </r>
  <r>
    <n v="2019"/>
    <x v="3"/>
    <n v="3"/>
    <x v="14"/>
    <n v="9399.5"/>
    <n v="28500"/>
    <n v="0.32980701754385966"/>
  </r>
  <r>
    <n v="2019"/>
    <x v="3"/>
    <n v="3"/>
    <x v="15"/>
    <n v="1082"/>
    <n v="28500"/>
    <n v="3.7964912280701757E-2"/>
  </r>
  <r>
    <n v="2019"/>
    <x v="3"/>
    <n v="3"/>
    <x v="16"/>
    <n v="10964.5"/>
    <n v="28500"/>
    <n v="0.38471929824561402"/>
  </r>
  <r>
    <n v="2019"/>
    <x v="3"/>
    <n v="3"/>
    <x v="17"/>
    <n v="6774"/>
    <n v="28500"/>
    <n v="0.23768421052631578"/>
  </r>
  <r>
    <n v="2019"/>
    <x v="3"/>
    <n v="3"/>
    <x v="18"/>
    <n v="148"/>
    <n v="28500"/>
    <n v="5.1929824561403508E-3"/>
  </r>
  <r>
    <n v="2019"/>
    <x v="3"/>
    <n v="3"/>
    <x v="19"/>
    <n v="0"/>
    <n v="28500"/>
    <n v="0"/>
  </r>
  <r>
    <n v="2019"/>
    <x v="3"/>
    <n v="3"/>
    <x v="20"/>
    <n v="0"/>
    <n v="28500"/>
    <n v="0"/>
  </r>
  <r>
    <n v="2019"/>
    <x v="3"/>
    <n v="3"/>
    <x v="21"/>
    <n v="0"/>
    <n v="28500"/>
    <n v="0"/>
  </r>
  <r>
    <n v="2019"/>
    <x v="3"/>
    <n v="3"/>
    <x v="22"/>
    <n v="0"/>
    <n v="28500"/>
    <n v="0"/>
  </r>
  <r>
    <n v="2019"/>
    <x v="3"/>
    <n v="3"/>
    <x v="23"/>
    <n v="0"/>
    <n v="28500"/>
    <n v="0"/>
  </r>
  <r>
    <n v="2019"/>
    <x v="3"/>
    <n v="4"/>
    <x v="0"/>
    <n v="0"/>
    <n v="28500"/>
    <n v="0"/>
  </r>
  <r>
    <n v="2019"/>
    <x v="3"/>
    <n v="4"/>
    <x v="1"/>
    <n v="0"/>
    <n v="28500"/>
    <n v="0"/>
  </r>
  <r>
    <n v="2019"/>
    <x v="3"/>
    <n v="4"/>
    <x v="2"/>
    <n v="0"/>
    <n v="28500"/>
    <n v="0"/>
  </r>
  <r>
    <n v="2019"/>
    <x v="3"/>
    <n v="4"/>
    <x v="3"/>
    <n v="0"/>
    <n v="28500"/>
    <n v="0"/>
  </r>
  <r>
    <n v="2019"/>
    <x v="3"/>
    <n v="4"/>
    <x v="4"/>
    <n v="0"/>
    <n v="28500"/>
    <n v="0"/>
  </r>
  <r>
    <n v="2019"/>
    <x v="3"/>
    <n v="4"/>
    <x v="5"/>
    <n v="0"/>
    <n v="28500"/>
    <n v="0"/>
  </r>
  <r>
    <n v="2019"/>
    <x v="3"/>
    <n v="4"/>
    <x v="6"/>
    <n v="536"/>
    <n v="28500"/>
    <n v="1.8807017543859651E-2"/>
  </r>
  <r>
    <n v="2019"/>
    <x v="3"/>
    <n v="4"/>
    <x v="7"/>
    <n v="10027.5"/>
    <n v="28500"/>
    <n v="0.3518421052631579"/>
  </r>
  <r>
    <n v="2019"/>
    <x v="3"/>
    <n v="4"/>
    <x v="8"/>
    <n v="16045.5"/>
    <n v="28500"/>
    <n v="0.56299999999999994"/>
  </r>
  <r>
    <n v="2019"/>
    <x v="3"/>
    <n v="4"/>
    <x v="9"/>
    <n v="3801"/>
    <n v="28500"/>
    <n v="0.13336842105263158"/>
  </r>
  <r>
    <n v="2019"/>
    <x v="3"/>
    <n v="4"/>
    <x v="10"/>
    <n v="33847"/>
    <n v="28500"/>
    <n v="1.1876140350877193"/>
  </r>
  <r>
    <n v="2019"/>
    <x v="3"/>
    <n v="4"/>
    <x v="11"/>
    <n v="19507.5"/>
    <n v="28500"/>
    <n v="0.68447368421052635"/>
  </r>
  <r>
    <n v="2019"/>
    <x v="3"/>
    <n v="4"/>
    <x v="12"/>
    <n v="19220"/>
    <n v="28500"/>
    <n v="0.67438596491228076"/>
  </r>
  <r>
    <n v="2019"/>
    <x v="3"/>
    <n v="4"/>
    <x v="13"/>
    <n v="4795"/>
    <n v="28500"/>
    <n v="0.16824561403508773"/>
  </r>
  <r>
    <n v="2019"/>
    <x v="3"/>
    <n v="4"/>
    <x v="14"/>
    <n v="5316.5"/>
    <n v="28500"/>
    <n v="0.18654385964912282"/>
  </r>
  <r>
    <n v="2019"/>
    <x v="3"/>
    <n v="4"/>
    <x v="15"/>
    <n v="18563"/>
    <n v="28500"/>
    <n v="0.65133333333333332"/>
  </r>
  <r>
    <n v="2019"/>
    <x v="3"/>
    <n v="4"/>
    <x v="16"/>
    <n v="3263.5"/>
    <n v="28500"/>
    <n v="0.11450877192982456"/>
  </r>
  <r>
    <n v="2019"/>
    <x v="3"/>
    <n v="4"/>
    <x v="17"/>
    <n v="4749"/>
    <n v="28500"/>
    <n v="0.16663157894736841"/>
  </r>
  <r>
    <n v="2019"/>
    <x v="3"/>
    <n v="4"/>
    <x v="18"/>
    <n v="39.5"/>
    <n v="28500"/>
    <n v="1.3859649122807017E-3"/>
  </r>
  <r>
    <n v="2019"/>
    <x v="3"/>
    <n v="4"/>
    <x v="19"/>
    <n v="0"/>
    <n v="28500"/>
    <n v="0"/>
  </r>
  <r>
    <n v="2019"/>
    <x v="3"/>
    <n v="4"/>
    <x v="20"/>
    <n v="0"/>
    <n v="28500"/>
    <n v="0"/>
  </r>
  <r>
    <n v="2019"/>
    <x v="3"/>
    <n v="4"/>
    <x v="21"/>
    <n v="0"/>
    <n v="28500"/>
    <n v="0"/>
  </r>
  <r>
    <n v="2019"/>
    <x v="3"/>
    <n v="4"/>
    <x v="22"/>
    <n v="0"/>
    <n v="28500"/>
    <n v="0"/>
  </r>
  <r>
    <n v="2019"/>
    <x v="3"/>
    <n v="4"/>
    <x v="23"/>
    <n v="0"/>
    <n v="28500"/>
    <n v="0"/>
  </r>
  <r>
    <n v="2019"/>
    <x v="3"/>
    <n v="5"/>
    <x v="0"/>
    <n v="0"/>
    <n v="28500"/>
    <n v="0"/>
  </r>
  <r>
    <n v="2019"/>
    <x v="3"/>
    <n v="5"/>
    <x v="1"/>
    <n v="0"/>
    <n v="28500"/>
    <n v="0"/>
  </r>
  <r>
    <n v="2019"/>
    <x v="3"/>
    <n v="5"/>
    <x v="2"/>
    <n v="0"/>
    <n v="28500"/>
    <n v="0"/>
  </r>
  <r>
    <n v="2019"/>
    <x v="3"/>
    <n v="5"/>
    <x v="3"/>
    <n v="0"/>
    <n v="28500"/>
    <n v="0"/>
  </r>
  <r>
    <n v="2019"/>
    <x v="3"/>
    <n v="5"/>
    <x v="4"/>
    <n v="0"/>
    <n v="28500"/>
    <n v="0"/>
  </r>
  <r>
    <n v="2019"/>
    <x v="3"/>
    <n v="5"/>
    <x v="5"/>
    <n v="0"/>
    <n v="28500"/>
    <n v="0"/>
  </r>
  <r>
    <n v="2019"/>
    <x v="3"/>
    <n v="5"/>
    <x v="6"/>
    <n v="281.5"/>
    <n v="28500"/>
    <n v="9.8771929824561407E-3"/>
  </r>
  <r>
    <n v="2019"/>
    <x v="3"/>
    <n v="5"/>
    <x v="7"/>
    <n v="9713.5"/>
    <n v="28500"/>
    <n v="0.34082456140350875"/>
  </r>
  <r>
    <n v="2019"/>
    <x v="3"/>
    <n v="5"/>
    <x v="8"/>
    <n v="13116"/>
    <n v="28500"/>
    <n v="0.46021052631578946"/>
  </r>
  <r>
    <n v="2019"/>
    <x v="3"/>
    <n v="5"/>
    <x v="9"/>
    <n v="10960"/>
    <n v="28500"/>
    <n v="0.38456140350877194"/>
  </r>
  <r>
    <n v="2019"/>
    <x v="3"/>
    <n v="5"/>
    <x v="10"/>
    <n v="20014.5"/>
    <n v="28500"/>
    <n v="0.70226315789473681"/>
  </r>
  <r>
    <n v="2019"/>
    <x v="3"/>
    <n v="5"/>
    <x v="11"/>
    <n v="33524"/>
    <n v="28500"/>
    <n v="1.1762807017543859"/>
  </r>
  <r>
    <n v="2019"/>
    <x v="3"/>
    <n v="5"/>
    <x v="12"/>
    <n v="29831"/>
    <n v="28500"/>
    <n v="1.0467017543859649"/>
  </r>
  <r>
    <n v="2019"/>
    <x v="3"/>
    <n v="5"/>
    <x v="13"/>
    <n v="29253.5"/>
    <n v="28500"/>
    <n v="1.0264385964912282"/>
  </r>
  <r>
    <n v="2019"/>
    <x v="3"/>
    <n v="5"/>
    <x v="14"/>
    <n v="9575"/>
    <n v="28500"/>
    <n v="0.33596491228070174"/>
  </r>
  <r>
    <n v="2019"/>
    <x v="3"/>
    <n v="5"/>
    <x v="15"/>
    <n v="9789"/>
    <n v="28500"/>
    <n v="0.34347368421052632"/>
  </r>
  <r>
    <n v="2019"/>
    <x v="3"/>
    <n v="5"/>
    <x v="16"/>
    <n v="5421.5"/>
    <n v="28500"/>
    <n v="0.19022807017543861"/>
  </r>
  <r>
    <n v="2019"/>
    <x v="3"/>
    <n v="5"/>
    <x v="17"/>
    <n v="1744.5"/>
    <n v="28500"/>
    <n v="6.1210526315789472E-2"/>
  </r>
  <r>
    <n v="2019"/>
    <x v="3"/>
    <n v="5"/>
    <x v="18"/>
    <n v="21"/>
    <n v="28500"/>
    <n v="7.3684210526315792E-4"/>
  </r>
  <r>
    <n v="2019"/>
    <x v="3"/>
    <n v="5"/>
    <x v="19"/>
    <n v="0"/>
    <n v="28500"/>
    <n v="0"/>
  </r>
  <r>
    <n v="2019"/>
    <x v="3"/>
    <n v="5"/>
    <x v="20"/>
    <n v="0"/>
    <n v="28500"/>
    <n v="0"/>
  </r>
  <r>
    <n v="2019"/>
    <x v="3"/>
    <n v="5"/>
    <x v="21"/>
    <n v="0"/>
    <n v="28500"/>
    <n v="0"/>
  </r>
  <r>
    <n v="2019"/>
    <x v="3"/>
    <n v="5"/>
    <x v="22"/>
    <n v="0"/>
    <n v="28500"/>
    <n v="0"/>
  </r>
  <r>
    <n v="2019"/>
    <x v="3"/>
    <n v="5"/>
    <x v="23"/>
    <n v="0"/>
    <n v="28500"/>
    <n v="0"/>
  </r>
  <r>
    <n v="2019"/>
    <x v="3"/>
    <n v="6"/>
    <x v="0"/>
    <n v="0"/>
    <n v="28500"/>
    <n v="0"/>
  </r>
  <r>
    <n v="2019"/>
    <x v="3"/>
    <n v="6"/>
    <x v="1"/>
    <n v="0"/>
    <n v="28500"/>
    <n v="0"/>
  </r>
  <r>
    <n v="2019"/>
    <x v="3"/>
    <n v="6"/>
    <x v="2"/>
    <n v="0"/>
    <n v="28500"/>
    <n v="0"/>
  </r>
  <r>
    <n v="2019"/>
    <x v="3"/>
    <n v="6"/>
    <x v="3"/>
    <n v="0"/>
    <n v="28500"/>
    <n v="0"/>
  </r>
  <r>
    <n v="2019"/>
    <x v="3"/>
    <n v="6"/>
    <x v="4"/>
    <n v="0"/>
    <n v="28500"/>
    <n v="0"/>
  </r>
  <r>
    <n v="2019"/>
    <x v="3"/>
    <n v="6"/>
    <x v="5"/>
    <n v="0"/>
    <n v="28500"/>
    <n v="0"/>
  </r>
  <r>
    <n v="2019"/>
    <x v="3"/>
    <n v="6"/>
    <x v="6"/>
    <n v="0"/>
    <n v="28500"/>
    <n v="0"/>
  </r>
  <r>
    <n v="2019"/>
    <x v="3"/>
    <n v="6"/>
    <x v="7"/>
    <n v="4884.5"/>
    <n v="28500"/>
    <n v="0.1713859649122807"/>
  </r>
  <r>
    <n v="2019"/>
    <x v="3"/>
    <n v="6"/>
    <x v="8"/>
    <n v="4246.5"/>
    <n v="28500"/>
    <n v="0.14899999999999999"/>
  </r>
  <r>
    <n v="2019"/>
    <x v="3"/>
    <n v="6"/>
    <x v="9"/>
    <n v="4624"/>
    <n v="28500"/>
    <n v="0.16224561403508772"/>
  </r>
  <r>
    <n v="2019"/>
    <x v="3"/>
    <n v="6"/>
    <x v="10"/>
    <n v="4015"/>
    <n v="28500"/>
    <n v="0.14087719298245613"/>
  </r>
  <r>
    <n v="2019"/>
    <x v="3"/>
    <n v="6"/>
    <x v="11"/>
    <n v="3070.5"/>
    <n v="28500"/>
    <n v="0.10773684210526316"/>
  </r>
  <r>
    <n v="2019"/>
    <x v="3"/>
    <n v="6"/>
    <x v="12"/>
    <n v="3413.5"/>
    <n v="28500"/>
    <n v="0.1197719298245614"/>
  </r>
  <r>
    <n v="2019"/>
    <x v="3"/>
    <n v="6"/>
    <x v="13"/>
    <n v="3025.5"/>
    <n v="28500"/>
    <n v="0.1061578947368421"/>
  </r>
  <r>
    <n v="2019"/>
    <x v="3"/>
    <n v="6"/>
    <x v="14"/>
    <n v="3026.5"/>
    <n v="28500"/>
    <n v="0.10619298245614035"/>
  </r>
  <r>
    <n v="2019"/>
    <x v="3"/>
    <n v="6"/>
    <x v="15"/>
    <n v="7353"/>
    <n v="28500"/>
    <n v="0.25800000000000001"/>
  </r>
  <r>
    <n v="2019"/>
    <x v="3"/>
    <n v="6"/>
    <x v="16"/>
    <n v="6178.5"/>
    <n v="28500"/>
    <n v="0.21678947368421053"/>
  </r>
  <r>
    <n v="2019"/>
    <x v="3"/>
    <n v="6"/>
    <x v="17"/>
    <n v="1074"/>
    <n v="28500"/>
    <n v="3.7684210526315792E-2"/>
  </r>
  <r>
    <n v="2019"/>
    <x v="3"/>
    <n v="6"/>
    <x v="18"/>
    <n v="0"/>
    <n v="28500"/>
    <n v="0"/>
  </r>
  <r>
    <n v="2019"/>
    <x v="3"/>
    <n v="6"/>
    <x v="19"/>
    <n v="0"/>
    <n v="28500"/>
    <n v="0"/>
  </r>
  <r>
    <n v="2019"/>
    <x v="3"/>
    <n v="6"/>
    <x v="20"/>
    <n v="0"/>
    <n v="28500"/>
    <n v="0"/>
  </r>
  <r>
    <n v="2019"/>
    <x v="3"/>
    <n v="6"/>
    <x v="21"/>
    <n v="0"/>
    <n v="28500"/>
    <n v="0"/>
  </r>
  <r>
    <n v="2019"/>
    <x v="3"/>
    <n v="6"/>
    <x v="22"/>
    <n v="0"/>
    <n v="28500"/>
    <n v="0"/>
  </r>
  <r>
    <n v="2019"/>
    <x v="3"/>
    <n v="6"/>
    <x v="23"/>
    <n v="0"/>
    <n v="28500"/>
    <n v="0"/>
  </r>
  <r>
    <n v="2019"/>
    <x v="3"/>
    <n v="7"/>
    <x v="0"/>
    <n v="0"/>
    <n v="28500"/>
    <n v="0"/>
  </r>
  <r>
    <n v="2019"/>
    <x v="3"/>
    <n v="7"/>
    <x v="1"/>
    <n v="0"/>
    <n v="28500"/>
    <n v="0"/>
  </r>
  <r>
    <n v="2019"/>
    <x v="3"/>
    <n v="7"/>
    <x v="2"/>
    <n v="0"/>
    <n v="28500"/>
    <n v="0"/>
  </r>
  <r>
    <n v="2019"/>
    <x v="3"/>
    <n v="7"/>
    <x v="3"/>
    <n v="0"/>
    <n v="28500"/>
    <n v="0"/>
  </r>
  <r>
    <n v="2019"/>
    <x v="3"/>
    <n v="7"/>
    <x v="4"/>
    <n v="0"/>
    <n v="28500"/>
    <n v="0"/>
  </r>
  <r>
    <n v="2019"/>
    <x v="3"/>
    <n v="7"/>
    <x v="5"/>
    <n v="0"/>
    <n v="28500"/>
    <n v="0"/>
  </r>
  <r>
    <n v="2019"/>
    <x v="3"/>
    <n v="7"/>
    <x v="6"/>
    <n v="368.5"/>
    <n v="28500"/>
    <n v="1.2929824561403508E-2"/>
  </r>
  <r>
    <n v="2019"/>
    <x v="3"/>
    <n v="7"/>
    <x v="7"/>
    <n v="2393"/>
    <n v="28500"/>
    <n v="8.3964912280701756E-2"/>
  </r>
  <r>
    <n v="2019"/>
    <x v="3"/>
    <n v="7"/>
    <x v="8"/>
    <n v="3334.5"/>
    <n v="28500"/>
    <n v="0.11700000000000001"/>
  </r>
  <r>
    <n v="2019"/>
    <x v="3"/>
    <n v="7"/>
    <x v="9"/>
    <n v="5975"/>
    <n v="28500"/>
    <n v="0.20964912280701756"/>
  </r>
  <r>
    <n v="2019"/>
    <x v="3"/>
    <n v="7"/>
    <x v="10"/>
    <n v="6220.5"/>
    <n v="28500"/>
    <n v="0.21826315789473685"/>
  </r>
  <r>
    <n v="2019"/>
    <x v="3"/>
    <n v="7"/>
    <x v="11"/>
    <n v="5556.5"/>
    <n v="28500"/>
    <n v="0.19496491228070176"/>
  </r>
  <r>
    <n v="2019"/>
    <x v="3"/>
    <n v="7"/>
    <x v="12"/>
    <n v="4218.5"/>
    <n v="28500"/>
    <n v="0.14801754385964913"/>
  </r>
  <r>
    <n v="2019"/>
    <x v="3"/>
    <n v="7"/>
    <x v="13"/>
    <n v="4827.5"/>
    <n v="28500"/>
    <n v="0.1693859649122807"/>
  </r>
  <r>
    <n v="2019"/>
    <x v="3"/>
    <n v="7"/>
    <x v="14"/>
    <n v="4820"/>
    <n v="28500"/>
    <n v="0.16912280701754387"/>
  </r>
  <r>
    <n v="2019"/>
    <x v="3"/>
    <n v="7"/>
    <x v="15"/>
    <n v="12766"/>
    <n v="28500"/>
    <n v="0.44792982456140351"/>
  </r>
  <r>
    <n v="2019"/>
    <x v="3"/>
    <n v="7"/>
    <x v="16"/>
    <n v="6493"/>
    <n v="28500"/>
    <n v="0.22782456140350876"/>
  </r>
  <r>
    <n v="2019"/>
    <x v="3"/>
    <n v="7"/>
    <x v="17"/>
    <n v="3995.5"/>
    <n v="28500"/>
    <n v="0.14019298245614034"/>
  </r>
  <r>
    <n v="2019"/>
    <x v="3"/>
    <n v="7"/>
    <x v="18"/>
    <n v="20"/>
    <n v="28500"/>
    <n v="7.0175438596491223E-4"/>
  </r>
  <r>
    <n v="2019"/>
    <x v="3"/>
    <n v="7"/>
    <x v="19"/>
    <n v="0"/>
    <n v="28500"/>
    <n v="0"/>
  </r>
  <r>
    <n v="2019"/>
    <x v="3"/>
    <n v="7"/>
    <x v="20"/>
    <n v="0"/>
    <n v="28500"/>
    <n v="0"/>
  </r>
  <r>
    <n v="2019"/>
    <x v="3"/>
    <n v="7"/>
    <x v="21"/>
    <n v="0"/>
    <n v="28500"/>
    <n v="0"/>
  </r>
  <r>
    <n v="2019"/>
    <x v="3"/>
    <n v="7"/>
    <x v="22"/>
    <n v="0"/>
    <n v="28500"/>
    <n v="0"/>
  </r>
  <r>
    <n v="2019"/>
    <x v="3"/>
    <n v="7"/>
    <x v="23"/>
    <n v="0"/>
    <n v="28500"/>
    <n v="0"/>
  </r>
  <r>
    <n v="2019"/>
    <x v="3"/>
    <n v="8"/>
    <x v="0"/>
    <n v="0"/>
    <n v="28500"/>
    <n v="0"/>
  </r>
  <r>
    <n v="2019"/>
    <x v="3"/>
    <n v="8"/>
    <x v="1"/>
    <n v="0"/>
    <n v="28500"/>
    <n v="0"/>
  </r>
  <r>
    <n v="2019"/>
    <x v="3"/>
    <n v="8"/>
    <x v="2"/>
    <n v="0"/>
    <n v="28500"/>
    <n v="0"/>
  </r>
  <r>
    <n v="2019"/>
    <x v="3"/>
    <n v="8"/>
    <x v="3"/>
    <n v="0"/>
    <n v="28500"/>
    <n v="0"/>
  </r>
  <r>
    <n v="2019"/>
    <x v="3"/>
    <n v="8"/>
    <x v="4"/>
    <n v="0"/>
    <n v="28500"/>
    <n v="0"/>
  </r>
  <r>
    <n v="2019"/>
    <x v="3"/>
    <n v="8"/>
    <x v="5"/>
    <n v="0"/>
    <n v="28500"/>
    <n v="0"/>
  </r>
  <r>
    <n v="2019"/>
    <x v="3"/>
    <n v="8"/>
    <x v="6"/>
    <n v="1267"/>
    <n v="28500"/>
    <n v="4.4456140350877194E-2"/>
  </r>
  <r>
    <n v="2019"/>
    <x v="3"/>
    <n v="8"/>
    <x v="7"/>
    <n v="4113.5"/>
    <n v="28500"/>
    <n v="0.14433333333333334"/>
  </r>
  <r>
    <n v="2019"/>
    <x v="3"/>
    <n v="8"/>
    <x v="8"/>
    <n v="7315.5"/>
    <n v="28500"/>
    <n v="0.25668421052631579"/>
  </r>
  <r>
    <n v="2019"/>
    <x v="3"/>
    <n v="8"/>
    <x v="9"/>
    <n v="3435"/>
    <n v="28500"/>
    <n v="0.12052631578947369"/>
  </r>
  <r>
    <n v="2019"/>
    <x v="3"/>
    <n v="8"/>
    <x v="10"/>
    <n v="16345.5"/>
    <n v="28500"/>
    <n v="0.57352631578947366"/>
  </r>
  <r>
    <n v="2019"/>
    <x v="3"/>
    <n v="8"/>
    <x v="11"/>
    <n v="14932"/>
    <n v="28500"/>
    <n v="0.52392982456140347"/>
  </r>
  <r>
    <n v="2019"/>
    <x v="3"/>
    <n v="8"/>
    <x v="12"/>
    <n v="18865"/>
    <n v="28500"/>
    <n v="0.66192982456140348"/>
  </r>
  <r>
    <n v="2019"/>
    <x v="3"/>
    <n v="8"/>
    <x v="13"/>
    <n v="29702.5"/>
    <n v="28500"/>
    <n v="1.0421929824561404"/>
  </r>
  <r>
    <n v="2019"/>
    <x v="3"/>
    <n v="8"/>
    <x v="14"/>
    <n v="25414"/>
    <n v="28500"/>
    <n v="0.89171929824561402"/>
  </r>
  <r>
    <n v="2019"/>
    <x v="3"/>
    <n v="8"/>
    <x v="15"/>
    <n v="20571.5"/>
    <n v="28500"/>
    <n v="0.72180701754385967"/>
  </r>
  <r>
    <n v="2019"/>
    <x v="3"/>
    <n v="8"/>
    <x v="16"/>
    <n v="16085.5"/>
    <n v="28500"/>
    <n v="0.5644035087719298"/>
  </r>
  <r>
    <n v="2019"/>
    <x v="3"/>
    <n v="8"/>
    <x v="17"/>
    <n v="4617.5"/>
    <n v="28500"/>
    <n v="0.16201754385964912"/>
  </r>
  <r>
    <n v="2019"/>
    <x v="3"/>
    <n v="8"/>
    <x v="18"/>
    <n v="0"/>
    <n v="28500"/>
    <n v="0"/>
  </r>
  <r>
    <n v="2019"/>
    <x v="3"/>
    <n v="8"/>
    <x v="19"/>
    <n v="0"/>
    <n v="28500"/>
    <n v="0"/>
  </r>
  <r>
    <n v="2019"/>
    <x v="3"/>
    <n v="8"/>
    <x v="20"/>
    <n v="0"/>
    <n v="28500"/>
    <n v="0"/>
  </r>
  <r>
    <n v="2019"/>
    <x v="3"/>
    <n v="8"/>
    <x v="21"/>
    <n v="0"/>
    <n v="28500"/>
    <n v="0"/>
  </r>
  <r>
    <n v="2019"/>
    <x v="3"/>
    <n v="8"/>
    <x v="22"/>
    <n v="0"/>
    <n v="28500"/>
    <n v="0"/>
  </r>
  <r>
    <n v="2019"/>
    <x v="3"/>
    <n v="8"/>
    <x v="23"/>
    <n v="0"/>
    <n v="28500"/>
    <n v="0"/>
  </r>
  <r>
    <n v="2019"/>
    <x v="3"/>
    <n v="9"/>
    <x v="0"/>
    <n v="0"/>
    <n v="28500"/>
    <n v="0"/>
  </r>
  <r>
    <n v="2019"/>
    <x v="3"/>
    <n v="9"/>
    <x v="1"/>
    <n v="0"/>
    <n v="28500"/>
    <n v="0"/>
  </r>
  <r>
    <n v="2019"/>
    <x v="3"/>
    <n v="9"/>
    <x v="2"/>
    <n v="0"/>
    <n v="28500"/>
    <n v="0"/>
  </r>
  <r>
    <n v="2019"/>
    <x v="3"/>
    <n v="9"/>
    <x v="3"/>
    <n v="0"/>
    <n v="28500"/>
    <n v="0"/>
  </r>
  <r>
    <n v="2019"/>
    <x v="3"/>
    <n v="9"/>
    <x v="4"/>
    <n v="0"/>
    <n v="28500"/>
    <n v="0"/>
  </r>
  <r>
    <n v="2019"/>
    <x v="3"/>
    <n v="9"/>
    <x v="5"/>
    <n v="0"/>
    <n v="28500"/>
    <n v="0"/>
  </r>
  <r>
    <n v="2019"/>
    <x v="3"/>
    <n v="9"/>
    <x v="6"/>
    <n v="222.5"/>
    <n v="28500"/>
    <n v="7.8070175438596495E-3"/>
  </r>
  <r>
    <n v="2019"/>
    <x v="3"/>
    <n v="9"/>
    <x v="7"/>
    <n v="1153"/>
    <n v="28500"/>
    <n v="4.045614035087719E-2"/>
  </r>
  <r>
    <n v="2019"/>
    <x v="3"/>
    <n v="9"/>
    <x v="8"/>
    <n v="3283.5"/>
    <n v="28500"/>
    <n v="0.11521052631578947"/>
  </r>
  <r>
    <n v="2019"/>
    <x v="3"/>
    <n v="9"/>
    <x v="9"/>
    <n v="2849.5"/>
    <n v="28500"/>
    <n v="9.9982456140350881E-2"/>
  </r>
  <r>
    <n v="2019"/>
    <x v="3"/>
    <n v="9"/>
    <x v="10"/>
    <n v="2505.5"/>
    <n v="28500"/>
    <n v="8.7912280701754386E-2"/>
  </r>
  <r>
    <n v="2019"/>
    <x v="3"/>
    <n v="9"/>
    <x v="11"/>
    <n v="2388"/>
    <n v="28500"/>
    <n v="8.3789473684210525E-2"/>
  </r>
  <r>
    <n v="2019"/>
    <x v="3"/>
    <n v="9"/>
    <x v="12"/>
    <n v="7815"/>
    <n v="28500"/>
    <n v="0.27421052631578946"/>
  </r>
  <r>
    <n v="2019"/>
    <x v="3"/>
    <n v="9"/>
    <x v="13"/>
    <n v="5581"/>
    <n v="28500"/>
    <n v="0.19582456140350876"/>
  </r>
  <r>
    <n v="2019"/>
    <x v="3"/>
    <n v="9"/>
    <x v="14"/>
    <n v="11469"/>
    <n v="28500"/>
    <n v="0.40242105263157896"/>
  </r>
  <r>
    <n v="2019"/>
    <x v="3"/>
    <n v="9"/>
    <x v="15"/>
    <n v="8099.5"/>
    <n v="28500"/>
    <n v="0.28419298245614033"/>
  </r>
  <r>
    <n v="2019"/>
    <x v="3"/>
    <n v="9"/>
    <x v="16"/>
    <n v="5959.5"/>
    <n v="28500"/>
    <n v="0.20910526315789474"/>
  </r>
  <r>
    <n v="2019"/>
    <x v="3"/>
    <n v="9"/>
    <x v="17"/>
    <n v="3484.5"/>
    <n v="28500"/>
    <n v="0.12226315789473684"/>
  </r>
  <r>
    <n v="2019"/>
    <x v="3"/>
    <n v="9"/>
    <x v="18"/>
    <n v="5"/>
    <n v="28500"/>
    <n v="1.7543859649122806E-4"/>
  </r>
  <r>
    <n v="2019"/>
    <x v="3"/>
    <n v="9"/>
    <x v="19"/>
    <n v="0"/>
    <n v="28500"/>
    <n v="0"/>
  </r>
  <r>
    <n v="2019"/>
    <x v="3"/>
    <n v="9"/>
    <x v="20"/>
    <n v="0"/>
    <n v="28500"/>
    <n v="0"/>
  </r>
  <r>
    <n v="2019"/>
    <x v="3"/>
    <n v="9"/>
    <x v="21"/>
    <n v="0"/>
    <n v="28500"/>
    <n v="0"/>
  </r>
  <r>
    <n v="2019"/>
    <x v="3"/>
    <n v="9"/>
    <x v="22"/>
    <n v="0"/>
    <n v="28500"/>
    <n v="0"/>
  </r>
  <r>
    <n v="2019"/>
    <x v="3"/>
    <n v="9"/>
    <x v="23"/>
    <n v="0"/>
    <n v="28500"/>
    <n v="0"/>
  </r>
  <r>
    <n v="2019"/>
    <x v="3"/>
    <n v="10"/>
    <x v="0"/>
    <n v="0"/>
    <n v="28500"/>
    <n v="0"/>
  </r>
  <r>
    <n v="2019"/>
    <x v="3"/>
    <n v="10"/>
    <x v="1"/>
    <n v="0"/>
    <n v="28500"/>
    <n v="0"/>
  </r>
  <r>
    <n v="2019"/>
    <x v="3"/>
    <n v="10"/>
    <x v="2"/>
    <n v="0"/>
    <n v="28500"/>
    <n v="0"/>
  </r>
  <r>
    <n v="2019"/>
    <x v="3"/>
    <n v="10"/>
    <x v="3"/>
    <n v="0"/>
    <n v="28500"/>
    <n v="0"/>
  </r>
  <r>
    <n v="2019"/>
    <x v="3"/>
    <n v="10"/>
    <x v="4"/>
    <n v="0"/>
    <n v="28500"/>
    <n v="0"/>
  </r>
  <r>
    <n v="2019"/>
    <x v="3"/>
    <n v="10"/>
    <x v="5"/>
    <n v="0"/>
    <n v="28500"/>
    <n v="0"/>
  </r>
  <r>
    <n v="2019"/>
    <x v="3"/>
    <n v="10"/>
    <x v="6"/>
    <n v="589.5"/>
    <n v="28500"/>
    <n v="2.0684210526315791E-2"/>
  </r>
  <r>
    <n v="2019"/>
    <x v="3"/>
    <n v="10"/>
    <x v="7"/>
    <n v="4868.5"/>
    <n v="28500"/>
    <n v="0.17082456140350877"/>
  </r>
  <r>
    <n v="2019"/>
    <x v="3"/>
    <n v="10"/>
    <x v="8"/>
    <n v="11696.5"/>
    <n v="28500"/>
    <n v="0.41040350877192983"/>
  </r>
  <r>
    <n v="2019"/>
    <x v="3"/>
    <n v="10"/>
    <x v="9"/>
    <n v="26068.5"/>
    <n v="28500"/>
    <n v="0.91468421052631577"/>
  </r>
  <r>
    <n v="2019"/>
    <x v="3"/>
    <n v="10"/>
    <x v="10"/>
    <n v="35313.5"/>
    <n v="28500"/>
    <n v="1.2390701754385964"/>
  </r>
  <r>
    <n v="2019"/>
    <x v="3"/>
    <n v="10"/>
    <x v="11"/>
    <n v="44556"/>
    <n v="28500"/>
    <n v="1.5633684210526315"/>
  </r>
  <r>
    <n v="2019"/>
    <x v="3"/>
    <n v="10"/>
    <x v="12"/>
    <n v="45241.5"/>
    <n v="28500"/>
    <n v="1.5874210526315788"/>
  </r>
  <r>
    <n v="2019"/>
    <x v="3"/>
    <n v="10"/>
    <x v="13"/>
    <n v="43138.5"/>
    <n v="28500"/>
    <n v="1.5136315789473684"/>
  </r>
  <r>
    <n v="2019"/>
    <x v="3"/>
    <n v="10"/>
    <x v="14"/>
    <n v="38512"/>
    <n v="28500"/>
    <n v="1.351298245614035"/>
  </r>
  <r>
    <n v="2019"/>
    <x v="3"/>
    <n v="10"/>
    <x v="15"/>
    <n v="30947.5"/>
    <n v="28500"/>
    <n v="1.0858771929824562"/>
  </r>
  <r>
    <n v="2019"/>
    <x v="3"/>
    <n v="10"/>
    <x v="16"/>
    <n v="19987"/>
    <n v="28500"/>
    <n v="0.70129824561403509"/>
  </r>
  <r>
    <n v="2019"/>
    <x v="3"/>
    <n v="10"/>
    <x v="17"/>
    <n v="7592.5"/>
    <n v="28500"/>
    <n v="0.26640350877192981"/>
  </r>
  <r>
    <n v="2019"/>
    <x v="3"/>
    <n v="10"/>
    <x v="18"/>
    <n v="461"/>
    <n v="28500"/>
    <n v="1.6175438596491228E-2"/>
  </r>
  <r>
    <n v="2019"/>
    <x v="3"/>
    <n v="10"/>
    <x v="19"/>
    <n v="0"/>
    <n v="28500"/>
    <n v="0"/>
  </r>
  <r>
    <n v="2019"/>
    <x v="3"/>
    <n v="10"/>
    <x v="20"/>
    <n v="0"/>
    <n v="28500"/>
    <n v="0"/>
  </r>
  <r>
    <n v="2019"/>
    <x v="3"/>
    <n v="10"/>
    <x v="21"/>
    <n v="0"/>
    <n v="28500"/>
    <n v="0"/>
  </r>
  <r>
    <n v="2019"/>
    <x v="3"/>
    <n v="10"/>
    <x v="22"/>
    <n v="0"/>
    <n v="28500"/>
    <n v="0"/>
  </r>
  <r>
    <n v="2019"/>
    <x v="3"/>
    <n v="10"/>
    <x v="23"/>
    <n v="0"/>
    <n v="28500"/>
    <n v="0"/>
  </r>
  <r>
    <n v="2019"/>
    <x v="3"/>
    <n v="11"/>
    <x v="0"/>
    <n v="0"/>
    <n v="28500"/>
    <n v="0"/>
  </r>
  <r>
    <n v="2019"/>
    <x v="3"/>
    <n v="11"/>
    <x v="1"/>
    <n v="0"/>
    <n v="28500"/>
    <n v="0"/>
  </r>
  <r>
    <n v="2019"/>
    <x v="3"/>
    <n v="11"/>
    <x v="2"/>
    <n v="0"/>
    <n v="28500"/>
    <n v="0"/>
  </r>
  <r>
    <n v="2019"/>
    <x v="3"/>
    <n v="11"/>
    <x v="3"/>
    <n v="0"/>
    <n v="28500"/>
    <n v="0"/>
  </r>
  <r>
    <n v="2019"/>
    <x v="3"/>
    <n v="11"/>
    <x v="4"/>
    <n v="0"/>
    <n v="28500"/>
    <n v="0"/>
  </r>
  <r>
    <n v="2019"/>
    <x v="3"/>
    <n v="11"/>
    <x v="5"/>
    <n v="0"/>
    <n v="28500"/>
    <n v="0"/>
  </r>
  <r>
    <n v="2019"/>
    <x v="3"/>
    <n v="11"/>
    <x v="6"/>
    <n v="1487"/>
    <n v="28500"/>
    <n v="5.2175438596491229E-2"/>
  </r>
  <r>
    <n v="2019"/>
    <x v="3"/>
    <n v="11"/>
    <x v="7"/>
    <n v="10834"/>
    <n v="28500"/>
    <n v="0.380140350877193"/>
  </r>
  <r>
    <n v="2019"/>
    <x v="3"/>
    <n v="11"/>
    <x v="8"/>
    <n v="19951.5"/>
    <n v="28500"/>
    <n v="0.70005263157894737"/>
  </r>
  <r>
    <n v="2019"/>
    <x v="3"/>
    <n v="11"/>
    <x v="9"/>
    <n v="23560.5"/>
    <n v="28500"/>
    <n v="0.8266842105263158"/>
  </r>
  <r>
    <n v="2019"/>
    <x v="3"/>
    <n v="11"/>
    <x v="10"/>
    <n v="16976.5"/>
    <n v="28500"/>
    <n v="0.59566666666666668"/>
  </r>
  <r>
    <n v="2019"/>
    <x v="3"/>
    <n v="11"/>
    <x v="11"/>
    <n v="23283.5"/>
    <n v="28500"/>
    <n v="0.81696491228070178"/>
  </r>
  <r>
    <n v="2019"/>
    <x v="3"/>
    <n v="11"/>
    <x v="12"/>
    <n v="32232.5"/>
    <n v="28500"/>
    <n v="1.1309649122807017"/>
  </r>
  <r>
    <n v="2019"/>
    <x v="3"/>
    <n v="11"/>
    <x v="13"/>
    <n v="37239.5"/>
    <n v="28500"/>
    <n v="1.3066491228070176"/>
  </r>
  <r>
    <n v="2019"/>
    <x v="3"/>
    <n v="11"/>
    <x v="14"/>
    <n v="35797.5"/>
    <n v="28500"/>
    <n v="1.2560526315789473"/>
  </r>
  <r>
    <n v="2019"/>
    <x v="3"/>
    <n v="11"/>
    <x v="15"/>
    <n v="30033"/>
    <n v="28500"/>
    <n v="1.0537894736842106"/>
  </r>
  <r>
    <n v="2019"/>
    <x v="3"/>
    <n v="11"/>
    <x v="16"/>
    <n v="19586"/>
    <n v="28500"/>
    <n v="0.68722807017543863"/>
  </r>
  <r>
    <n v="2019"/>
    <x v="3"/>
    <n v="11"/>
    <x v="17"/>
    <n v="7494"/>
    <n v="28500"/>
    <n v="0.26294736842105265"/>
  </r>
  <r>
    <n v="2019"/>
    <x v="3"/>
    <n v="11"/>
    <x v="18"/>
    <n v="516.5"/>
    <n v="28500"/>
    <n v="1.812280701754386E-2"/>
  </r>
  <r>
    <n v="2019"/>
    <x v="3"/>
    <n v="11"/>
    <x v="19"/>
    <n v="0"/>
    <n v="28500"/>
    <n v="0"/>
  </r>
  <r>
    <n v="2019"/>
    <x v="3"/>
    <n v="11"/>
    <x v="20"/>
    <n v="0"/>
    <n v="28500"/>
    <n v="0"/>
  </r>
  <r>
    <n v="2019"/>
    <x v="3"/>
    <n v="11"/>
    <x v="21"/>
    <n v="0"/>
    <n v="28500"/>
    <n v="0"/>
  </r>
  <r>
    <n v="2019"/>
    <x v="3"/>
    <n v="11"/>
    <x v="22"/>
    <n v="0"/>
    <n v="28500"/>
    <n v="0"/>
  </r>
  <r>
    <n v="2019"/>
    <x v="3"/>
    <n v="11"/>
    <x v="23"/>
    <n v="0"/>
    <n v="28500"/>
    <n v="0"/>
  </r>
  <r>
    <n v="2019"/>
    <x v="3"/>
    <n v="12"/>
    <x v="0"/>
    <n v="0"/>
    <n v="28500"/>
    <n v="0"/>
  </r>
  <r>
    <n v="2019"/>
    <x v="3"/>
    <n v="12"/>
    <x v="1"/>
    <n v="0"/>
    <n v="28500"/>
    <n v="0"/>
  </r>
  <r>
    <n v="2019"/>
    <x v="3"/>
    <n v="12"/>
    <x v="2"/>
    <n v="0"/>
    <n v="28500"/>
    <n v="0"/>
  </r>
  <r>
    <n v="2019"/>
    <x v="3"/>
    <n v="12"/>
    <x v="3"/>
    <n v="0"/>
    <n v="28500"/>
    <n v="0"/>
  </r>
  <r>
    <n v="2019"/>
    <x v="3"/>
    <n v="12"/>
    <x v="4"/>
    <n v="0"/>
    <n v="28500"/>
    <n v="0"/>
  </r>
  <r>
    <n v="2019"/>
    <x v="3"/>
    <n v="12"/>
    <x v="5"/>
    <n v="0"/>
    <n v="28500"/>
    <n v="0"/>
  </r>
  <r>
    <n v="2019"/>
    <x v="3"/>
    <n v="12"/>
    <x v="6"/>
    <n v="1716"/>
    <n v="28500"/>
    <n v="6.0210526315789471E-2"/>
  </r>
  <r>
    <n v="2019"/>
    <x v="3"/>
    <n v="12"/>
    <x v="7"/>
    <n v="8074.5"/>
    <n v="28500"/>
    <n v="0.28331578947368419"/>
  </r>
  <r>
    <n v="2019"/>
    <x v="3"/>
    <n v="12"/>
    <x v="8"/>
    <n v="16154"/>
    <n v="28500"/>
    <n v="0.56680701754385965"/>
  </r>
  <r>
    <n v="2019"/>
    <x v="3"/>
    <n v="12"/>
    <x v="9"/>
    <n v="31543"/>
    <n v="28500"/>
    <n v="1.1067719298245613"/>
  </r>
  <r>
    <n v="2019"/>
    <x v="3"/>
    <n v="12"/>
    <x v="10"/>
    <n v="16602.5"/>
    <n v="28500"/>
    <n v="0.58254385964912281"/>
  </r>
  <r>
    <n v="2019"/>
    <x v="3"/>
    <n v="12"/>
    <x v="11"/>
    <n v="5479"/>
    <n v="28500"/>
    <n v="0.19224561403508772"/>
  </r>
  <r>
    <n v="2019"/>
    <x v="3"/>
    <n v="12"/>
    <x v="12"/>
    <n v="0"/>
    <n v="28500"/>
    <n v="0"/>
  </r>
  <r>
    <n v="2019"/>
    <x v="3"/>
    <n v="12"/>
    <x v="13"/>
    <n v="12490.5"/>
    <n v="28500"/>
    <n v="0.43826315789473685"/>
  </r>
  <r>
    <n v="2019"/>
    <x v="3"/>
    <n v="12"/>
    <x v="14"/>
    <n v="5460"/>
    <n v="28500"/>
    <n v="0.19157894736842104"/>
  </r>
  <r>
    <n v="2019"/>
    <x v="3"/>
    <n v="12"/>
    <x v="15"/>
    <n v="5375.5"/>
    <n v="28500"/>
    <n v="0.18861403508771929"/>
  </r>
  <r>
    <n v="2019"/>
    <x v="3"/>
    <n v="12"/>
    <x v="16"/>
    <n v="6476.5"/>
    <n v="28500"/>
    <n v="0.22724561403508772"/>
  </r>
  <r>
    <n v="2019"/>
    <x v="3"/>
    <n v="12"/>
    <x v="17"/>
    <n v="3131"/>
    <n v="28500"/>
    <n v="0.10985964912280702"/>
  </r>
  <r>
    <n v="2019"/>
    <x v="3"/>
    <n v="12"/>
    <x v="18"/>
    <n v="193"/>
    <n v="28500"/>
    <n v="6.7719298245614038E-3"/>
  </r>
  <r>
    <n v="2019"/>
    <x v="3"/>
    <n v="12"/>
    <x v="19"/>
    <n v="0"/>
    <n v="28500"/>
    <n v="0"/>
  </r>
  <r>
    <n v="2019"/>
    <x v="3"/>
    <n v="12"/>
    <x v="20"/>
    <n v="0"/>
    <n v="28500"/>
    <n v="0"/>
  </r>
  <r>
    <n v="2019"/>
    <x v="3"/>
    <n v="12"/>
    <x v="21"/>
    <n v="0"/>
    <n v="28500"/>
    <n v="0"/>
  </r>
  <r>
    <n v="2019"/>
    <x v="3"/>
    <n v="12"/>
    <x v="22"/>
    <n v="0"/>
    <n v="28500"/>
    <n v="0"/>
  </r>
  <r>
    <n v="2019"/>
    <x v="3"/>
    <n v="12"/>
    <x v="23"/>
    <n v="0"/>
    <n v="28500"/>
    <n v="0"/>
  </r>
  <r>
    <n v="2019"/>
    <x v="3"/>
    <n v="13"/>
    <x v="0"/>
    <n v="0"/>
    <n v="28500"/>
    <n v="0"/>
  </r>
  <r>
    <n v="2019"/>
    <x v="3"/>
    <n v="13"/>
    <x v="1"/>
    <n v="0"/>
    <n v="28500"/>
    <n v="0"/>
  </r>
  <r>
    <n v="2019"/>
    <x v="3"/>
    <n v="13"/>
    <x v="2"/>
    <n v="0"/>
    <n v="28500"/>
    <n v="0"/>
  </r>
  <r>
    <n v="2019"/>
    <x v="3"/>
    <n v="13"/>
    <x v="3"/>
    <n v="0"/>
    <n v="28500"/>
    <n v="0"/>
  </r>
  <r>
    <n v="2019"/>
    <x v="3"/>
    <n v="13"/>
    <x v="4"/>
    <n v="0"/>
    <n v="28500"/>
    <n v="0"/>
  </r>
  <r>
    <n v="2019"/>
    <x v="3"/>
    <n v="13"/>
    <x v="5"/>
    <n v="0"/>
    <n v="28500"/>
    <n v="0"/>
  </r>
  <r>
    <n v="2019"/>
    <x v="3"/>
    <n v="13"/>
    <x v="6"/>
    <n v="1746.5"/>
    <n v="28500"/>
    <n v="6.1280701754385963E-2"/>
  </r>
  <r>
    <n v="2019"/>
    <x v="3"/>
    <n v="13"/>
    <x v="7"/>
    <n v="2976"/>
    <n v="28500"/>
    <n v="0.10442105263157894"/>
  </r>
  <r>
    <n v="2019"/>
    <x v="3"/>
    <n v="13"/>
    <x v="8"/>
    <n v="4226.5"/>
    <n v="28500"/>
    <n v="0.1482982456140351"/>
  </r>
  <r>
    <n v="2019"/>
    <x v="3"/>
    <n v="13"/>
    <x v="9"/>
    <n v="15108.5"/>
    <n v="28500"/>
    <n v="0.53012280701754388"/>
  </r>
  <r>
    <n v="2019"/>
    <x v="3"/>
    <n v="13"/>
    <x v="10"/>
    <n v="8393"/>
    <n v="28500"/>
    <n v="0.29449122807017541"/>
  </r>
  <r>
    <n v="2019"/>
    <x v="3"/>
    <n v="13"/>
    <x v="11"/>
    <n v="14106.5"/>
    <n v="28500"/>
    <n v="0.49496491228070177"/>
  </r>
  <r>
    <n v="2019"/>
    <x v="3"/>
    <n v="13"/>
    <x v="12"/>
    <n v="10328.5"/>
    <n v="28500"/>
    <n v="0.36240350877192984"/>
  </r>
  <r>
    <n v="2019"/>
    <x v="3"/>
    <n v="13"/>
    <x v="13"/>
    <n v="33977"/>
    <n v="28500"/>
    <n v="1.1921754385964913"/>
  </r>
  <r>
    <n v="2019"/>
    <x v="3"/>
    <n v="13"/>
    <x v="14"/>
    <n v="23998"/>
    <n v="28500"/>
    <n v="0.84203508771929825"/>
  </r>
  <r>
    <n v="2019"/>
    <x v="3"/>
    <n v="13"/>
    <x v="15"/>
    <n v="27711.5"/>
    <n v="28500"/>
    <n v="0.97233333333333338"/>
  </r>
  <r>
    <n v="2019"/>
    <x v="3"/>
    <n v="13"/>
    <x v="16"/>
    <n v="15805.5"/>
    <n v="28500"/>
    <n v="0.55457894736842106"/>
  </r>
  <r>
    <n v="2019"/>
    <x v="3"/>
    <n v="13"/>
    <x v="17"/>
    <n v="7155.5"/>
    <n v="28500"/>
    <n v="0.2510701754385965"/>
  </r>
  <r>
    <n v="2019"/>
    <x v="3"/>
    <n v="13"/>
    <x v="18"/>
    <n v="550.5"/>
    <n v="28500"/>
    <n v="1.931578947368421E-2"/>
  </r>
  <r>
    <n v="2019"/>
    <x v="3"/>
    <n v="13"/>
    <x v="19"/>
    <n v="0"/>
    <n v="28500"/>
    <n v="0"/>
  </r>
  <r>
    <n v="2019"/>
    <x v="3"/>
    <n v="13"/>
    <x v="20"/>
    <n v="0"/>
    <n v="28500"/>
    <n v="0"/>
  </r>
  <r>
    <n v="2019"/>
    <x v="3"/>
    <n v="13"/>
    <x v="21"/>
    <n v="0"/>
    <n v="28500"/>
    <n v="0"/>
  </r>
  <r>
    <n v="2019"/>
    <x v="3"/>
    <n v="13"/>
    <x v="22"/>
    <n v="0"/>
    <n v="28500"/>
    <n v="0"/>
  </r>
  <r>
    <n v="2019"/>
    <x v="3"/>
    <n v="13"/>
    <x v="23"/>
    <n v="0"/>
    <n v="28500"/>
    <n v="0"/>
  </r>
  <r>
    <n v="2019"/>
    <x v="3"/>
    <n v="14"/>
    <x v="0"/>
    <n v="0"/>
    <n v="28500"/>
    <n v="0"/>
  </r>
  <r>
    <n v="2019"/>
    <x v="3"/>
    <n v="14"/>
    <x v="1"/>
    <n v="0"/>
    <n v="28500"/>
    <n v="0"/>
  </r>
  <r>
    <n v="2019"/>
    <x v="3"/>
    <n v="14"/>
    <x v="2"/>
    <n v="0"/>
    <n v="28500"/>
    <n v="0"/>
  </r>
  <r>
    <n v="2019"/>
    <x v="3"/>
    <n v="14"/>
    <x v="3"/>
    <n v="0"/>
    <n v="28500"/>
    <n v="0"/>
  </r>
  <r>
    <n v="2019"/>
    <x v="3"/>
    <n v="14"/>
    <x v="4"/>
    <n v="0"/>
    <n v="28500"/>
    <n v="0"/>
  </r>
  <r>
    <n v="2019"/>
    <x v="3"/>
    <n v="14"/>
    <x v="5"/>
    <n v="0"/>
    <n v="28500"/>
    <n v="0"/>
  </r>
  <r>
    <n v="2019"/>
    <x v="3"/>
    <n v="14"/>
    <x v="6"/>
    <n v="1474.5"/>
    <n v="28500"/>
    <n v="5.1736842105263157E-2"/>
  </r>
  <r>
    <n v="2019"/>
    <x v="3"/>
    <n v="14"/>
    <x v="7"/>
    <n v="3178.5"/>
    <n v="28500"/>
    <n v="0.11152631578947368"/>
  </r>
  <r>
    <n v="2019"/>
    <x v="3"/>
    <n v="14"/>
    <x v="8"/>
    <n v="23173.5"/>
    <n v="28500"/>
    <n v="0.81310526315789478"/>
  </r>
  <r>
    <n v="2019"/>
    <x v="3"/>
    <n v="14"/>
    <x v="9"/>
    <n v="25619"/>
    <n v="28500"/>
    <n v="0.89891228070175444"/>
  </r>
  <r>
    <n v="2019"/>
    <x v="3"/>
    <n v="14"/>
    <x v="10"/>
    <n v="25660"/>
    <n v="28500"/>
    <n v="0.90035087719298246"/>
  </r>
  <r>
    <n v="2019"/>
    <x v="3"/>
    <n v="14"/>
    <x v="11"/>
    <n v="24100"/>
    <n v="28500"/>
    <n v="0.84561403508771926"/>
  </r>
  <r>
    <n v="2019"/>
    <x v="3"/>
    <n v="14"/>
    <x v="12"/>
    <n v="24669.5"/>
    <n v="28500"/>
    <n v="0.86559649122807014"/>
  </r>
  <r>
    <n v="2019"/>
    <x v="3"/>
    <n v="14"/>
    <x v="13"/>
    <n v="25685.5"/>
    <n v="28500"/>
    <n v="0.90124561403508774"/>
  </r>
  <r>
    <n v="2019"/>
    <x v="3"/>
    <n v="14"/>
    <x v="14"/>
    <n v="15926.5"/>
    <n v="28500"/>
    <n v="0.55882456140350878"/>
  </r>
  <r>
    <n v="2019"/>
    <x v="3"/>
    <n v="14"/>
    <x v="15"/>
    <n v="21514.5"/>
    <n v="28500"/>
    <n v="0.75489473684210529"/>
  </r>
  <r>
    <n v="2019"/>
    <x v="3"/>
    <n v="14"/>
    <x v="16"/>
    <n v="12042"/>
    <n v="28500"/>
    <n v="0.42252631578947369"/>
  </r>
  <r>
    <n v="2019"/>
    <x v="3"/>
    <n v="14"/>
    <x v="17"/>
    <n v="5865"/>
    <n v="28500"/>
    <n v="0.20578947368421052"/>
  </r>
  <r>
    <n v="2019"/>
    <x v="3"/>
    <n v="14"/>
    <x v="18"/>
    <n v="729.5"/>
    <n v="28500"/>
    <n v="2.5596491228070176E-2"/>
  </r>
  <r>
    <n v="2019"/>
    <x v="3"/>
    <n v="14"/>
    <x v="19"/>
    <n v="0"/>
    <n v="28500"/>
    <n v="0"/>
  </r>
  <r>
    <n v="2019"/>
    <x v="3"/>
    <n v="14"/>
    <x v="20"/>
    <n v="0"/>
    <n v="28500"/>
    <n v="0"/>
  </r>
  <r>
    <n v="2019"/>
    <x v="3"/>
    <n v="14"/>
    <x v="21"/>
    <n v="0"/>
    <n v="28500"/>
    <n v="0"/>
  </r>
  <r>
    <n v="2019"/>
    <x v="3"/>
    <n v="14"/>
    <x v="22"/>
    <n v="0"/>
    <n v="28500"/>
    <n v="0"/>
  </r>
  <r>
    <n v="2019"/>
    <x v="3"/>
    <n v="14"/>
    <x v="23"/>
    <n v="0"/>
    <n v="28500"/>
    <n v="0"/>
  </r>
  <r>
    <n v="2019"/>
    <x v="3"/>
    <n v="15"/>
    <x v="0"/>
    <n v="0"/>
    <n v="28500"/>
    <n v="0"/>
  </r>
  <r>
    <n v="2019"/>
    <x v="3"/>
    <n v="15"/>
    <x v="1"/>
    <n v="0"/>
    <n v="28500"/>
    <n v="0"/>
  </r>
  <r>
    <n v="2019"/>
    <x v="3"/>
    <n v="15"/>
    <x v="2"/>
    <n v="0"/>
    <n v="28500"/>
    <n v="0"/>
  </r>
  <r>
    <n v="2019"/>
    <x v="3"/>
    <n v="15"/>
    <x v="3"/>
    <n v="0"/>
    <n v="28500"/>
    <n v="0"/>
  </r>
  <r>
    <n v="2019"/>
    <x v="3"/>
    <n v="15"/>
    <x v="4"/>
    <n v="0"/>
    <n v="28500"/>
    <n v="0"/>
  </r>
  <r>
    <n v="2019"/>
    <x v="3"/>
    <n v="15"/>
    <x v="5"/>
    <n v="0"/>
    <n v="28500"/>
    <n v="0"/>
  </r>
  <r>
    <n v="2019"/>
    <x v="3"/>
    <n v="15"/>
    <x v="6"/>
    <n v="1742.5"/>
    <n v="28500"/>
    <n v="6.1140350877192981E-2"/>
  </r>
  <r>
    <n v="2019"/>
    <x v="3"/>
    <n v="15"/>
    <x v="7"/>
    <n v="11403.5"/>
    <n v="28500"/>
    <n v="0.40012280701754388"/>
  </r>
  <r>
    <n v="2019"/>
    <x v="3"/>
    <n v="15"/>
    <x v="8"/>
    <n v="20101"/>
    <n v="28500"/>
    <n v="0.70529824561403509"/>
  </r>
  <r>
    <n v="2019"/>
    <x v="3"/>
    <n v="15"/>
    <x v="9"/>
    <n v="32491"/>
    <n v="28500"/>
    <n v="1.1400350877192982"/>
  </r>
  <r>
    <n v="2019"/>
    <x v="3"/>
    <n v="15"/>
    <x v="10"/>
    <n v="39212.5"/>
    <n v="28500"/>
    <n v="1.375877192982456"/>
  </r>
  <r>
    <n v="2019"/>
    <x v="3"/>
    <n v="15"/>
    <x v="11"/>
    <n v="43266.5"/>
    <n v="28500"/>
    <n v="1.5181228070175439"/>
  </r>
  <r>
    <n v="2019"/>
    <x v="3"/>
    <n v="15"/>
    <x v="12"/>
    <n v="43837"/>
    <n v="28500"/>
    <n v="1.5381403508771929"/>
  </r>
  <r>
    <n v="2019"/>
    <x v="3"/>
    <n v="15"/>
    <x v="13"/>
    <n v="40175"/>
    <n v="28500"/>
    <n v="1.4096491228070176"/>
  </r>
  <r>
    <n v="2019"/>
    <x v="3"/>
    <n v="15"/>
    <x v="14"/>
    <n v="31597.5"/>
    <n v="28500"/>
    <n v="1.1086842105263157"/>
  </r>
  <r>
    <n v="2019"/>
    <x v="3"/>
    <n v="15"/>
    <x v="15"/>
    <n v="27416"/>
    <n v="28500"/>
    <n v="0.9619649122807018"/>
  </r>
  <r>
    <n v="2019"/>
    <x v="3"/>
    <n v="15"/>
    <x v="16"/>
    <n v="17412.5"/>
    <n v="28500"/>
    <n v="0.61096491228070171"/>
  </r>
  <r>
    <n v="2019"/>
    <x v="3"/>
    <n v="15"/>
    <x v="17"/>
    <n v="6825.5"/>
    <n v="28500"/>
    <n v="0.23949122807017545"/>
  </r>
  <r>
    <n v="2019"/>
    <x v="3"/>
    <n v="15"/>
    <x v="18"/>
    <n v="717"/>
    <n v="28500"/>
    <n v="2.5157894736842105E-2"/>
  </r>
  <r>
    <n v="2019"/>
    <x v="3"/>
    <n v="15"/>
    <x v="19"/>
    <n v="0"/>
    <n v="28500"/>
    <n v="0"/>
  </r>
  <r>
    <n v="2019"/>
    <x v="3"/>
    <n v="15"/>
    <x v="20"/>
    <n v="0"/>
    <n v="28500"/>
    <n v="0"/>
  </r>
  <r>
    <n v="2019"/>
    <x v="3"/>
    <n v="15"/>
    <x v="21"/>
    <n v="0"/>
    <n v="28500"/>
    <n v="0"/>
  </r>
  <r>
    <n v="2019"/>
    <x v="3"/>
    <n v="15"/>
    <x v="22"/>
    <n v="0"/>
    <n v="28500"/>
    <n v="0"/>
  </r>
  <r>
    <n v="2019"/>
    <x v="3"/>
    <n v="15"/>
    <x v="23"/>
    <n v="0"/>
    <n v="28500"/>
    <n v="0"/>
  </r>
  <r>
    <n v="2019"/>
    <x v="3"/>
    <n v="16"/>
    <x v="0"/>
    <n v="0"/>
    <n v="28500"/>
    <n v="0"/>
  </r>
  <r>
    <n v="2019"/>
    <x v="3"/>
    <n v="16"/>
    <x v="1"/>
    <n v="0"/>
    <n v="28500"/>
    <n v="0"/>
  </r>
  <r>
    <n v="2019"/>
    <x v="3"/>
    <n v="16"/>
    <x v="2"/>
    <n v="0"/>
    <n v="28500"/>
    <n v="0"/>
  </r>
  <r>
    <n v="2019"/>
    <x v="3"/>
    <n v="16"/>
    <x v="3"/>
    <n v="0"/>
    <n v="28500"/>
    <n v="0"/>
  </r>
  <r>
    <n v="2019"/>
    <x v="3"/>
    <n v="16"/>
    <x v="4"/>
    <n v="0"/>
    <n v="28500"/>
    <n v="0"/>
  </r>
  <r>
    <n v="2019"/>
    <x v="3"/>
    <n v="16"/>
    <x v="5"/>
    <n v="0"/>
    <n v="28500"/>
    <n v="0"/>
  </r>
  <r>
    <n v="2019"/>
    <x v="3"/>
    <n v="16"/>
    <x v="6"/>
    <n v="615"/>
    <n v="28500"/>
    <n v="2.1578947368421052E-2"/>
  </r>
  <r>
    <n v="2019"/>
    <x v="3"/>
    <n v="16"/>
    <x v="7"/>
    <n v="6876"/>
    <n v="28500"/>
    <n v="0.24126315789473685"/>
  </r>
  <r>
    <n v="2019"/>
    <x v="3"/>
    <n v="16"/>
    <x v="8"/>
    <n v="12717.5"/>
    <n v="28500"/>
    <n v="0.44622807017543858"/>
  </r>
  <r>
    <n v="2019"/>
    <x v="3"/>
    <n v="16"/>
    <x v="9"/>
    <n v="15138"/>
    <n v="28500"/>
    <n v="0.53115789473684205"/>
  </r>
  <r>
    <n v="2019"/>
    <x v="3"/>
    <n v="16"/>
    <x v="10"/>
    <n v="10551.5"/>
    <n v="28500"/>
    <n v="0.37022807017543857"/>
  </r>
  <r>
    <n v="2019"/>
    <x v="3"/>
    <n v="16"/>
    <x v="11"/>
    <n v="15655.5"/>
    <n v="28500"/>
    <n v="0.5493157894736842"/>
  </r>
  <r>
    <n v="2019"/>
    <x v="3"/>
    <n v="16"/>
    <x v="12"/>
    <n v="19756"/>
    <n v="28500"/>
    <n v="0.69319298245614036"/>
  </r>
  <r>
    <n v="2019"/>
    <x v="3"/>
    <n v="16"/>
    <x v="13"/>
    <n v="16779.5"/>
    <n v="28500"/>
    <n v="0.58875438596491225"/>
  </r>
  <r>
    <n v="2019"/>
    <x v="3"/>
    <n v="16"/>
    <x v="14"/>
    <n v="20704"/>
    <n v="28500"/>
    <n v="0.72645614035087724"/>
  </r>
  <r>
    <n v="2019"/>
    <x v="3"/>
    <n v="16"/>
    <x v="15"/>
    <n v="9994"/>
    <n v="28500"/>
    <n v="0.35066666666666668"/>
  </r>
  <r>
    <n v="2019"/>
    <x v="3"/>
    <n v="16"/>
    <x v="16"/>
    <n v="10784"/>
    <n v="28500"/>
    <n v="0.37838596491228071"/>
  </r>
  <r>
    <n v="2019"/>
    <x v="3"/>
    <n v="16"/>
    <x v="17"/>
    <n v="1192.5"/>
    <n v="28500"/>
    <n v="4.1842105263157896E-2"/>
  </r>
  <r>
    <n v="2019"/>
    <x v="3"/>
    <n v="16"/>
    <x v="18"/>
    <n v="590"/>
    <n v="28500"/>
    <n v="2.0701754385964912E-2"/>
  </r>
  <r>
    <n v="2019"/>
    <x v="3"/>
    <n v="16"/>
    <x v="19"/>
    <n v="0"/>
    <n v="28500"/>
    <n v="0"/>
  </r>
  <r>
    <n v="2019"/>
    <x v="3"/>
    <n v="16"/>
    <x v="20"/>
    <n v="0"/>
    <n v="28500"/>
    <n v="0"/>
  </r>
  <r>
    <n v="2019"/>
    <x v="3"/>
    <n v="16"/>
    <x v="21"/>
    <n v="0"/>
    <n v="28500"/>
    <n v="0"/>
  </r>
  <r>
    <n v="2019"/>
    <x v="3"/>
    <n v="16"/>
    <x v="22"/>
    <n v="0"/>
    <n v="28500"/>
    <n v="0"/>
  </r>
  <r>
    <n v="2019"/>
    <x v="3"/>
    <n v="16"/>
    <x v="23"/>
    <n v="0"/>
    <n v="28500"/>
    <n v="0"/>
  </r>
  <r>
    <n v="2019"/>
    <x v="3"/>
    <n v="17"/>
    <x v="0"/>
    <n v="0"/>
    <n v="28500"/>
    <n v="0"/>
  </r>
  <r>
    <n v="2019"/>
    <x v="3"/>
    <n v="17"/>
    <x v="1"/>
    <n v="0"/>
    <n v="28500"/>
    <n v="0"/>
  </r>
  <r>
    <n v="2019"/>
    <x v="3"/>
    <n v="17"/>
    <x v="2"/>
    <n v="0"/>
    <n v="28500"/>
    <n v="0"/>
  </r>
  <r>
    <n v="2019"/>
    <x v="3"/>
    <n v="17"/>
    <x v="3"/>
    <n v="0"/>
    <n v="28500"/>
    <n v="0"/>
  </r>
  <r>
    <n v="2019"/>
    <x v="3"/>
    <n v="17"/>
    <x v="4"/>
    <n v="0"/>
    <n v="28500"/>
    <n v="0"/>
  </r>
  <r>
    <n v="2019"/>
    <x v="3"/>
    <n v="17"/>
    <x v="5"/>
    <n v="0"/>
    <n v="28500"/>
    <n v="0"/>
  </r>
  <r>
    <n v="2019"/>
    <x v="3"/>
    <n v="17"/>
    <x v="6"/>
    <n v="2113"/>
    <n v="28500"/>
    <n v="7.4140350877192979E-2"/>
  </r>
  <r>
    <n v="2019"/>
    <x v="3"/>
    <n v="17"/>
    <x v="7"/>
    <n v="11014"/>
    <n v="28500"/>
    <n v="0.38645614035087722"/>
  </r>
  <r>
    <n v="2019"/>
    <x v="3"/>
    <n v="17"/>
    <x v="8"/>
    <n v="19843"/>
    <n v="28500"/>
    <n v="0.69624561403508767"/>
  </r>
  <r>
    <n v="2019"/>
    <x v="3"/>
    <n v="17"/>
    <x v="9"/>
    <n v="29365.5"/>
    <n v="28500"/>
    <n v="1.0303684210526316"/>
  </r>
  <r>
    <n v="2019"/>
    <x v="3"/>
    <n v="17"/>
    <x v="10"/>
    <n v="34879"/>
    <n v="28500"/>
    <n v="1.2238245614035088"/>
  </r>
  <r>
    <n v="2019"/>
    <x v="3"/>
    <n v="17"/>
    <x v="11"/>
    <n v="37635.5"/>
    <n v="28500"/>
    <n v="1.3205438596491228"/>
  </r>
  <r>
    <n v="2019"/>
    <x v="3"/>
    <n v="17"/>
    <x v="12"/>
    <n v="36454.5"/>
    <n v="28500"/>
    <n v="1.2791052631578947"/>
  </r>
  <r>
    <n v="2019"/>
    <x v="3"/>
    <n v="17"/>
    <x v="13"/>
    <n v="22963.5"/>
    <n v="28500"/>
    <n v="0.8057368421052632"/>
  </r>
  <r>
    <n v="2019"/>
    <x v="3"/>
    <n v="17"/>
    <x v="14"/>
    <n v="23557"/>
    <n v="28500"/>
    <n v="0.82656140350877194"/>
  </r>
  <r>
    <n v="2019"/>
    <x v="3"/>
    <n v="17"/>
    <x v="15"/>
    <n v="17757.5"/>
    <n v="28500"/>
    <n v="0.62307017543859644"/>
  </r>
  <r>
    <n v="2019"/>
    <x v="3"/>
    <n v="17"/>
    <x v="16"/>
    <n v="13988"/>
    <n v="28500"/>
    <n v="0.49080701754385964"/>
  </r>
  <r>
    <n v="2019"/>
    <x v="3"/>
    <n v="17"/>
    <x v="17"/>
    <n v="6671.5"/>
    <n v="28500"/>
    <n v="0.23408771929824562"/>
  </r>
  <r>
    <n v="2019"/>
    <x v="3"/>
    <n v="17"/>
    <x v="18"/>
    <n v="793"/>
    <n v="28500"/>
    <n v="2.7824561403508773E-2"/>
  </r>
  <r>
    <n v="2019"/>
    <x v="3"/>
    <n v="17"/>
    <x v="19"/>
    <n v="0"/>
    <n v="28500"/>
    <n v="0"/>
  </r>
  <r>
    <n v="2019"/>
    <x v="3"/>
    <n v="17"/>
    <x v="20"/>
    <n v="0"/>
    <n v="28500"/>
    <n v="0"/>
  </r>
  <r>
    <n v="2019"/>
    <x v="3"/>
    <n v="17"/>
    <x v="21"/>
    <n v="0"/>
    <n v="28500"/>
    <n v="0"/>
  </r>
  <r>
    <n v="2019"/>
    <x v="3"/>
    <n v="17"/>
    <x v="22"/>
    <n v="0"/>
    <n v="28500"/>
    <n v="0"/>
  </r>
  <r>
    <n v="2019"/>
    <x v="3"/>
    <n v="17"/>
    <x v="23"/>
    <n v="0"/>
    <n v="28500"/>
    <n v="0"/>
  </r>
  <r>
    <n v="2019"/>
    <x v="3"/>
    <n v="18"/>
    <x v="0"/>
    <n v="0"/>
    <n v="28500"/>
    <n v="0"/>
  </r>
  <r>
    <n v="2019"/>
    <x v="3"/>
    <n v="18"/>
    <x v="1"/>
    <n v="0"/>
    <n v="28500"/>
    <n v="0"/>
  </r>
  <r>
    <n v="2019"/>
    <x v="3"/>
    <n v="18"/>
    <x v="2"/>
    <n v="0"/>
    <n v="28500"/>
    <n v="0"/>
  </r>
  <r>
    <n v="2019"/>
    <x v="3"/>
    <n v="18"/>
    <x v="3"/>
    <n v="0"/>
    <n v="28500"/>
    <n v="0"/>
  </r>
  <r>
    <n v="2019"/>
    <x v="3"/>
    <n v="18"/>
    <x v="4"/>
    <n v="0"/>
    <n v="28500"/>
    <n v="0"/>
  </r>
  <r>
    <n v="2019"/>
    <x v="3"/>
    <n v="18"/>
    <x v="5"/>
    <n v="0"/>
    <n v="28500"/>
    <n v="0"/>
  </r>
  <r>
    <n v="2019"/>
    <x v="3"/>
    <n v="18"/>
    <x v="6"/>
    <n v="2100"/>
    <n v="28500"/>
    <n v="7.3684210526315783E-2"/>
  </r>
  <r>
    <n v="2019"/>
    <x v="3"/>
    <n v="18"/>
    <x v="7"/>
    <n v="5503"/>
    <n v="28500"/>
    <n v="0.19308771929824561"/>
  </r>
  <r>
    <n v="2019"/>
    <x v="3"/>
    <n v="18"/>
    <x v="8"/>
    <n v="17951.5"/>
    <n v="28500"/>
    <n v="0.62987719298245615"/>
  </r>
  <r>
    <n v="2019"/>
    <x v="3"/>
    <n v="18"/>
    <x v="9"/>
    <n v="23333.5"/>
    <n v="28500"/>
    <n v="0.81871929824561407"/>
  </r>
  <r>
    <n v="2019"/>
    <x v="3"/>
    <n v="18"/>
    <x v="10"/>
    <n v="35684"/>
    <n v="28500"/>
    <n v="1.2520701754385966"/>
  </r>
  <r>
    <n v="2019"/>
    <x v="3"/>
    <n v="18"/>
    <x v="11"/>
    <n v="38870"/>
    <n v="28500"/>
    <n v="1.363859649122807"/>
  </r>
  <r>
    <n v="2019"/>
    <x v="3"/>
    <n v="18"/>
    <x v="12"/>
    <n v="39826"/>
    <n v="28500"/>
    <n v="1.3974035087719299"/>
  </r>
  <r>
    <n v="2019"/>
    <x v="3"/>
    <n v="18"/>
    <x v="13"/>
    <n v="39689.5"/>
    <n v="28500"/>
    <n v="1.3926140350877192"/>
  </r>
  <r>
    <n v="2019"/>
    <x v="3"/>
    <n v="18"/>
    <x v="14"/>
    <n v="28534.5"/>
    <n v="28500"/>
    <n v="1.0012105263157896"/>
  </r>
  <r>
    <n v="2019"/>
    <x v="3"/>
    <n v="18"/>
    <x v="15"/>
    <n v="19714"/>
    <n v="28500"/>
    <n v="0.69171929824561407"/>
  </r>
  <r>
    <n v="2019"/>
    <x v="3"/>
    <n v="18"/>
    <x v="16"/>
    <n v="15602"/>
    <n v="28500"/>
    <n v="0.54743859649122806"/>
  </r>
  <r>
    <n v="2019"/>
    <x v="3"/>
    <n v="18"/>
    <x v="17"/>
    <n v="7360.5"/>
    <n v="28500"/>
    <n v="0.25826315789473686"/>
  </r>
  <r>
    <n v="2019"/>
    <x v="3"/>
    <n v="18"/>
    <x v="18"/>
    <n v="879.5"/>
    <n v="28500"/>
    <n v="3.0859649122807017E-2"/>
  </r>
  <r>
    <n v="2019"/>
    <x v="3"/>
    <n v="18"/>
    <x v="19"/>
    <n v="0"/>
    <n v="28500"/>
    <n v="0"/>
  </r>
  <r>
    <n v="2019"/>
    <x v="3"/>
    <n v="18"/>
    <x v="20"/>
    <n v="0"/>
    <n v="28500"/>
    <n v="0"/>
  </r>
  <r>
    <n v="2019"/>
    <x v="3"/>
    <n v="18"/>
    <x v="21"/>
    <n v="0"/>
    <n v="28500"/>
    <n v="0"/>
  </r>
  <r>
    <n v="2019"/>
    <x v="3"/>
    <n v="18"/>
    <x v="22"/>
    <n v="0"/>
    <n v="28500"/>
    <n v="0"/>
  </r>
  <r>
    <n v="2019"/>
    <x v="3"/>
    <n v="18"/>
    <x v="23"/>
    <n v="0"/>
    <n v="28500"/>
    <n v="0"/>
  </r>
  <r>
    <n v="2019"/>
    <x v="3"/>
    <n v="19"/>
    <x v="0"/>
    <n v="0"/>
    <n v="28500"/>
    <n v="0"/>
  </r>
  <r>
    <n v="2019"/>
    <x v="3"/>
    <n v="19"/>
    <x v="1"/>
    <n v="0"/>
    <n v="28500"/>
    <n v="0"/>
  </r>
  <r>
    <n v="2019"/>
    <x v="3"/>
    <n v="19"/>
    <x v="2"/>
    <n v="0"/>
    <n v="28500"/>
    <n v="0"/>
  </r>
  <r>
    <n v="2019"/>
    <x v="3"/>
    <n v="19"/>
    <x v="3"/>
    <n v="0"/>
    <n v="28500"/>
    <n v="0"/>
  </r>
  <r>
    <n v="2019"/>
    <x v="3"/>
    <n v="19"/>
    <x v="4"/>
    <n v="0"/>
    <n v="28500"/>
    <n v="0"/>
  </r>
  <r>
    <n v="2019"/>
    <x v="3"/>
    <n v="19"/>
    <x v="5"/>
    <n v="0"/>
    <n v="28500"/>
    <n v="0"/>
  </r>
  <r>
    <n v="2019"/>
    <x v="3"/>
    <n v="19"/>
    <x v="6"/>
    <n v="2106"/>
    <n v="28500"/>
    <n v="7.3894736842105263E-2"/>
  </r>
  <r>
    <n v="2019"/>
    <x v="3"/>
    <n v="19"/>
    <x v="7"/>
    <n v="11695.5"/>
    <n v="28500"/>
    <n v="0.4103684210526316"/>
  </r>
  <r>
    <n v="2019"/>
    <x v="3"/>
    <n v="19"/>
    <x v="8"/>
    <n v="22754.5"/>
    <n v="28500"/>
    <n v="0.79840350877192978"/>
  </r>
  <r>
    <n v="2019"/>
    <x v="3"/>
    <n v="19"/>
    <x v="9"/>
    <n v="30483.5"/>
    <n v="28500"/>
    <n v="1.0695964912280702"/>
  </r>
  <r>
    <n v="2019"/>
    <x v="3"/>
    <n v="19"/>
    <x v="10"/>
    <n v="37806.5"/>
    <n v="28500"/>
    <n v="1.3265438596491228"/>
  </r>
  <r>
    <n v="2019"/>
    <x v="3"/>
    <n v="19"/>
    <x v="11"/>
    <n v="41281"/>
    <n v="28500"/>
    <n v="1.4484561403508771"/>
  </r>
  <r>
    <n v="2019"/>
    <x v="3"/>
    <n v="19"/>
    <x v="12"/>
    <n v="41745.5"/>
    <n v="28500"/>
    <n v="1.4647543859649124"/>
  </r>
  <r>
    <n v="2019"/>
    <x v="3"/>
    <n v="19"/>
    <x v="13"/>
    <n v="39721.5"/>
    <n v="28500"/>
    <n v="1.3937368421052632"/>
  </r>
  <r>
    <n v="2019"/>
    <x v="3"/>
    <n v="19"/>
    <x v="14"/>
    <n v="35457.5"/>
    <n v="28500"/>
    <n v="1.2441228070175439"/>
  </r>
  <r>
    <n v="2019"/>
    <x v="3"/>
    <n v="19"/>
    <x v="15"/>
    <n v="28729.5"/>
    <n v="28500"/>
    <n v="1.0080526315789473"/>
  </r>
  <r>
    <n v="2019"/>
    <x v="3"/>
    <n v="19"/>
    <x v="16"/>
    <n v="18350.5"/>
    <n v="28500"/>
    <n v="0.64387719298245616"/>
  </r>
  <r>
    <n v="2019"/>
    <x v="3"/>
    <n v="19"/>
    <x v="17"/>
    <n v="7359"/>
    <n v="28500"/>
    <n v="0.25821052631578945"/>
  </r>
  <r>
    <n v="2019"/>
    <x v="3"/>
    <n v="19"/>
    <x v="18"/>
    <n v="752.5"/>
    <n v="28500"/>
    <n v="2.6403508771929825E-2"/>
  </r>
  <r>
    <n v="2019"/>
    <x v="3"/>
    <n v="19"/>
    <x v="19"/>
    <n v="0"/>
    <n v="28500"/>
    <n v="0"/>
  </r>
  <r>
    <n v="2019"/>
    <x v="3"/>
    <n v="19"/>
    <x v="20"/>
    <n v="0"/>
    <n v="28500"/>
    <n v="0"/>
  </r>
  <r>
    <n v="2019"/>
    <x v="3"/>
    <n v="19"/>
    <x v="21"/>
    <n v="0"/>
    <n v="28500"/>
    <n v="0"/>
  </r>
  <r>
    <n v="2019"/>
    <x v="3"/>
    <n v="19"/>
    <x v="22"/>
    <n v="0"/>
    <n v="28500"/>
    <n v="0"/>
  </r>
  <r>
    <n v="2019"/>
    <x v="3"/>
    <n v="19"/>
    <x v="23"/>
    <n v="0"/>
    <n v="28500"/>
    <n v="0"/>
  </r>
  <r>
    <n v="2019"/>
    <x v="3"/>
    <n v="20"/>
    <x v="0"/>
    <n v="0"/>
    <n v="28500"/>
    <n v="0"/>
  </r>
  <r>
    <n v="2019"/>
    <x v="3"/>
    <n v="20"/>
    <x v="1"/>
    <n v="0"/>
    <n v="28500"/>
    <n v="0"/>
  </r>
  <r>
    <n v="2019"/>
    <x v="3"/>
    <n v="20"/>
    <x v="2"/>
    <n v="0"/>
    <n v="28500"/>
    <n v="0"/>
  </r>
  <r>
    <n v="2019"/>
    <x v="3"/>
    <n v="20"/>
    <x v="3"/>
    <n v="0"/>
    <n v="28500"/>
    <n v="0"/>
  </r>
  <r>
    <n v="2019"/>
    <x v="3"/>
    <n v="20"/>
    <x v="4"/>
    <n v="0"/>
    <n v="28500"/>
    <n v="0"/>
  </r>
  <r>
    <n v="2019"/>
    <x v="3"/>
    <n v="20"/>
    <x v="5"/>
    <n v="0"/>
    <n v="28500"/>
    <n v="0"/>
  </r>
  <r>
    <n v="2019"/>
    <x v="3"/>
    <n v="20"/>
    <x v="6"/>
    <n v="2382.5"/>
    <n v="28500"/>
    <n v="8.3596491228070169E-2"/>
  </r>
  <r>
    <n v="2019"/>
    <x v="3"/>
    <n v="20"/>
    <x v="7"/>
    <n v="12503"/>
    <n v="28500"/>
    <n v="0.43870175438596493"/>
  </r>
  <r>
    <n v="2019"/>
    <x v="3"/>
    <n v="20"/>
    <x v="8"/>
    <n v="22865"/>
    <n v="28500"/>
    <n v="0.80228070175438593"/>
  </r>
  <r>
    <n v="2019"/>
    <x v="3"/>
    <n v="20"/>
    <x v="9"/>
    <n v="31977"/>
    <n v="28500"/>
    <n v="1.1220000000000001"/>
  </r>
  <r>
    <n v="2019"/>
    <x v="3"/>
    <n v="20"/>
    <x v="10"/>
    <n v="38213.5"/>
    <n v="28500"/>
    <n v="1.3408245614035088"/>
  </r>
  <r>
    <n v="2019"/>
    <x v="3"/>
    <n v="20"/>
    <x v="11"/>
    <n v="41571.5"/>
    <n v="28500"/>
    <n v="1.4586491228070175"/>
  </r>
  <r>
    <n v="2019"/>
    <x v="3"/>
    <n v="20"/>
    <x v="12"/>
    <n v="42239.5"/>
    <n v="28500"/>
    <n v="1.4820877192982456"/>
  </r>
  <r>
    <n v="2019"/>
    <x v="3"/>
    <n v="20"/>
    <x v="13"/>
    <n v="40247"/>
    <n v="28500"/>
    <n v="1.4121754385964913"/>
  </r>
  <r>
    <n v="2019"/>
    <x v="3"/>
    <n v="20"/>
    <x v="14"/>
    <n v="35310.5"/>
    <n v="28500"/>
    <n v="1.2389649122807018"/>
  </r>
  <r>
    <n v="2019"/>
    <x v="3"/>
    <n v="20"/>
    <x v="15"/>
    <n v="28593"/>
    <n v="28500"/>
    <n v="1.0032631578947369"/>
  </r>
  <r>
    <n v="2019"/>
    <x v="3"/>
    <n v="20"/>
    <x v="16"/>
    <n v="18325.5"/>
    <n v="28500"/>
    <n v="0.64300000000000002"/>
  </r>
  <r>
    <n v="2019"/>
    <x v="3"/>
    <n v="20"/>
    <x v="17"/>
    <n v="7378"/>
    <n v="28500"/>
    <n v="0.25887719298245615"/>
  </r>
  <r>
    <n v="2019"/>
    <x v="3"/>
    <n v="20"/>
    <x v="18"/>
    <n v="718.5"/>
    <n v="28500"/>
    <n v="2.5210526315789475E-2"/>
  </r>
  <r>
    <n v="2019"/>
    <x v="3"/>
    <n v="20"/>
    <x v="19"/>
    <n v="0"/>
    <n v="28500"/>
    <n v="0"/>
  </r>
  <r>
    <n v="2019"/>
    <x v="3"/>
    <n v="20"/>
    <x v="20"/>
    <n v="0"/>
    <n v="28500"/>
    <n v="0"/>
  </r>
  <r>
    <n v="2019"/>
    <x v="3"/>
    <n v="20"/>
    <x v="21"/>
    <n v="0"/>
    <n v="28500"/>
    <n v="0"/>
  </r>
  <r>
    <n v="2019"/>
    <x v="3"/>
    <n v="20"/>
    <x v="22"/>
    <n v="0"/>
    <n v="28500"/>
    <n v="0"/>
  </r>
  <r>
    <n v="2019"/>
    <x v="3"/>
    <n v="20"/>
    <x v="23"/>
    <n v="0"/>
    <n v="28500"/>
    <n v="0"/>
  </r>
  <r>
    <n v="2019"/>
    <x v="3"/>
    <n v="21"/>
    <x v="0"/>
    <n v="0"/>
    <n v="28500"/>
    <n v="0"/>
  </r>
  <r>
    <n v="2019"/>
    <x v="3"/>
    <n v="21"/>
    <x v="1"/>
    <n v="0"/>
    <n v="28500"/>
    <n v="0"/>
  </r>
  <r>
    <n v="2019"/>
    <x v="3"/>
    <n v="21"/>
    <x v="2"/>
    <n v="0"/>
    <n v="28500"/>
    <n v="0"/>
  </r>
  <r>
    <n v="2019"/>
    <x v="3"/>
    <n v="21"/>
    <x v="3"/>
    <n v="0"/>
    <n v="28500"/>
    <n v="0"/>
  </r>
  <r>
    <n v="2019"/>
    <x v="3"/>
    <n v="21"/>
    <x v="4"/>
    <n v="0"/>
    <n v="28500"/>
    <n v="0"/>
  </r>
  <r>
    <n v="2019"/>
    <x v="3"/>
    <n v="21"/>
    <x v="5"/>
    <n v="0"/>
    <n v="28500"/>
    <n v="0"/>
  </r>
  <r>
    <n v="2019"/>
    <x v="3"/>
    <n v="21"/>
    <x v="6"/>
    <n v="2425"/>
    <n v="28500"/>
    <n v="8.5087719298245615E-2"/>
  </r>
  <r>
    <n v="2019"/>
    <x v="3"/>
    <n v="21"/>
    <x v="7"/>
    <n v="12583"/>
    <n v="28500"/>
    <n v="0.44150877192982457"/>
  </r>
  <r>
    <n v="2019"/>
    <x v="3"/>
    <n v="21"/>
    <x v="8"/>
    <n v="22858.5"/>
    <n v="28500"/>
    <n v="0.80205263157894735"/>
  </r>
  <r>
    <n v="2019"/>
    <x v="3"/>
    <n v="21"/>
    <x v="9"/>
    <n v="31676"/>
    <n v="28500"/>
    <n v="1.1114385964912281"/>
  </r>
  <r>
    <n v="2019"/>
    <x v="3"/>
    <n v="21"/>
    <x v="10"/>
    <n v="37815"/>
    <n v="28500"/>
    <n v="1.3268421052631578"/>
  </r>
  <r>
    <n v="2019"/>
    <x v="3"/>
    <n v="21"/>
    <x v="11"/>
    <n v="40902"/>
    <n v="28500"/>
    <n v="1.4351578947368422"/>
  </r>
  <r>
    <n v="2019"/>
    <x v="3"/>
    <n v="21"/>
    <x v="12"/>
    <n v="41900.5"/>
    <n v="28500"/>
    <n v="1.4701929824561404"/>
  </r>
  <r>
    <n v="2019"/>
    <x v="3"/>
    <n v="21"/>
    <x v="13"/>
    <n v="39811.5"/>
    <n v="28500"/>
    <n v="1.3968947368421052"/>
  </r>
  <r>
    <n v="2019"/>
    <x v="3"/>
    <n v="21"/>
    <x v="14"/>
    <n v="34972"/>
    <n v="28500"/>
    <n v="1.2270877192982457"/>
  </r>
  <r>
    <n v="2019"/>
    <x v="3"/>
    <n v="21"/>
    <x v="15"/>
    <n v="27430.5"/>
    <n v="28500"/>
    <n v="0.96247368421052637"/>
  </r>
  <r>
    <n v="2019"/>
    <x v="3"/>
    <n v="21"/>
    <x v="16"/>
    <n v="18132"/>
    <n v="28500"/>
    <n v="0.63621052631578945"/>
  </r>
  <r>
    <n v="2019"/>
    <x v="3"/>
    <n v="21"/>
    <x v="17"/>
    <n v="7432.5"/>
    <n v="28500"/>
    <n v="0.26078947368421052"/>
  </r>
  <r>
    <n v="2019"/>
    <x v="3"/>
    <n v="21"/>
    <x v="18"/>
    <n v="870"/>
    <n v="28500"/>
    <n v="3.0526315789473683E-2"/>
  </r>
  <r>
    <n v="2019"/>
    <x v="3"/>
    <n v="21"/>
    <x v="19"/>
    <n v="0"/>
    <n v="28500"/>
    <n v="0"/>
  </r>
  <r>
    <n v="2019"/>
    <x v="3"/>
    <n v="21"/>
    <x v="20"/>
    <n v="0"/>
    <n v="28500"/>
    <n v="0"/>
  </r>
  <r>
    <n v="2019"/>
    <x v="3"/>
    <n v="21"/>
    <x v="21"/>
    <n v="0"/>
    <n v="28500"/>
    <n v="0"/>
  </r>
  <r>
    <n v="2019"/>
    <x v="3"/>
    <n v="21"/>
    <x v="22"/>
    <n v="0"/>
    <n v="28500"/>
    <n v="0"/>
  </r>
  <r>
    <n v="2019"/>
    <x v="3"/>
    <n v="21"/>
    <x v="23"/>
    <n v="0"/>
    <n v="28500"/>
    <n v="0"/>
  </r>
  <r>
    <n v="2019"/>
    <x v="3"/>
    <n v="22"/>
    <x v="0"/>
    <n v="0"/>
    <n v="28500"/>
    <n v="0"/>
  </r>
  <r>
    <n v="2019"/>
    <x v="3"/>
    <n v="22"/>
    <x v="1"/>
    <n v="0"/>
    <n v="28500"/>
    <n v="0"/>
  </r>
  <r>
    <n v="2019"/>
    <x v="3"/>
    <n v="22"/>
    <x v="2"/>
    <n v="0"/>
    <n v="28500"/>
    <n v="0"/>
  </r>
  <r>
    <n v="2019"/>
    <x v="3"/>
    <n v="22"/>
    <x v="3"/>
    <n v="0"/>
    <n v="28500"/>
    <n v="0"/>
  </r>
  <r>
    <n v="2019"/>
    <x v="3"/>
    <n v="22"/>
    <x v="4"/>
    <n v="0"/>
    <n v="28500"/>
    <n v="0"/>
  </r>
  <r>
    <n v="2019"/>
    <x v="3"/>
    <n v="22"/>
    <x v="5"/>
    <n v="0"/>
    <n v="28500"/>
    <n v="0"/>
  </r>
  <r>
    <n v="2019"/>
    <x v="3"/>
    <n v="22"/>
    <x v="6"/>
    <n v="1706.5"/>
    <n v="28500"/>
    <n v="5.987719298245614E-2"/>
  </r>
  <r>
    <n v="2019"/>
    <x v="3"/>
    <n v="22"/>
    <x v="7"/>
    <n v="11235"/>
    <n v="28500"/>
    <n v="0.39421052631578946"/>
  </r>
  <r>
    <n v="2019"/>
    <x v="3"/>
    <n v="22"/>
    <x v="8"/>
    <n v="15943"/>
    <n v="28500"/>
    <n v="0.55940350877192979"/>
  </r>
  <r>
    <n v="2019"/>
    <x v="3"/>
    <n v="22"/>
    <x v="9"/>
    <n v="28521.5"/>
    <n v="28500"/>
    <n v="1.0007543859649122"/>
  </r>
  <r>
    <n v="2019"/>
    <x v="3"/>
    <n v="22"/>
    <x v="10"/>
    <n v="33470"/>
    <n v="28500"/>
    <n v="1.1743859649122808"/>
  </r>
  <r>
    <n v="2019"/>
    <x v="3"/>
    <n v="22"/>
    <x v="11"/>
    <n v="40181"/>
    <n v="28500"/>
    <n v="1.409859649122807"/>
  </r>
  <r>
    <n v="2019"/>
    <x v="3"/>
    <n v="22"/>
    <x v="12"/>
    <n v="40850"/>
    <n v="28500"/>
    <n v="1.4333333333333333"/>
  </r>
  <r>
    <n v="2019"/>
    <x v="3"/>
    <n v="22"/>
    <x v="13"/>
    <n v="34846"/>
    <n v="28500"/>
    <n v="1.2226666666666666"/>
  </r>
  <r>
    <n v="2019"/>
    <x v="3"/>
    <n v="22"/>
    <x v="14"/>
    <n v="31591.5"/>
    <n v="28500"/>
    <n v="1.1084736842105263"/>
  </r>
  <r>
    <n v="2019"/>
    <x v="3"/>
    <n v="22"/>
    <x v="15"/>
    <n v="25785.5"/>
    <n v="28500"/>
    <n v="0.90475438596491231"/>
  </r>
  <r>
    <n v="2019"/>
    <x v="3"/>
    <n v="22"/>
    <x v="16"/>
    <n v="10396.5"/>
    <n v="28500"/>
    <n v="0.36478947368421055"/>
  </r>
  <r>
    <n v="2019"/>
    <x v="3"/>
    <n v="22"/>
    <x v="17"/>
    <n v="3299.5"/>
    <n v="28500"/>
    <n v="0.1157719298245614"/>
  </r>
  <r>
    <n v="2019"/>
    <x v="3"/>
    <n v="22"/>
    <x v="18"/>
    <n v="802"/>
    <n v="28500"/>
    <n v="2.8140350877192983E-2"/>
  </r>
  <r>
    <n v="2019"/>
    <x v="3"/>
    <n v="22"/>
    <x v="19"/>
    <n v="0"/>
    <n v="28500"/>
    <n v="0"/>
  </r>
  <r>
    <n v="2019"/>
    <x v="3"/>
    <n v="22"/>
    <x v="20"/>
    <n v="0"/>
    <n v="28500"/>
    <n v="0"/>
  </r>
  <r>
    <n v="2019"/>
    <x v="3"/>
    <n v="22"/>
    <x v="21"/>
    <n v="0"/>
    <n v="28500"/>
    <n v="0"/>
  </r>
  <r>
    <n v="2019"/>
    <x v="3"/>
    <n v="22"/>
    <x v="22"/>
    <n v="0"/>
    <n v="28500"/>
    <n v="0"/>
  </r>
  <r>
    <n v="2019"/>
    <x v="3"/>
    <n v="22"/>
    <x v="23"/>
    <n v="0"/>
    <n v="28500"/>
    <n v="0"/>
  </r>
  <r>
    <n v="2019"/>
    <x v="3"/>
    <n v="23"/>
    <x v="0"/>
    <n v="0"/>
    <n v="28500"/>
    <n v="0"/>
  </r>
  <r>
    <n v="2019"/>
    <x v="3"/>
    <n v="23"/>
    <x v="1"/>
    <n v="0"/>
    <n v="28500"/>
    <n v="0"/>
  </r>
  <r>
    <n v="2019"/>
    <x v="3"/>
    <n v="23"/>
    <x v="2"/>
    <n v="0"/>
    <n v="28500"/>
    <n v="0"/>
  </r>
  <r>
    <n v="2019"/>
    <x v="3"/>
    <n v="23"/>
    <x v="3"/>
    <n v="0"/>
    <n v="28500"/>
    <n v="0"/>
  </r>
  <r>
    <n v="2019"/>
    <x v="3"/>
    <n v="23"/>
    <x v="4"/>
    <n v="0"/>
    <n v="28500"/>
    <n v="0"/>
  </r>
  <r>
    <n v="2019"/>
    <x v="3"/>
    <n v="23"/>
    <x v="5"/>
    <n v="0"/>
    <n v="28500"/>
    <n v="0"/>
  </r>
  <r>
    <n v="2019"/>
    <x v="3"/>
    <n v="23"/>
    <x v="6"/>
    <n v="2153.5"/>
    <n v="28500"/>
    <n v="7.5561403508771927E-2"/>
  </r>
  <r>
    <n v="2019"/>
    <x v="3"/>
    <n v="23"/>
    <x v="7"/>
    <n v="7518"/>
    <n v="28500"/>
    <n v="0.26378947368421052"/>
  </r>
  <r>
    <n v="2019"/>
    <x v="3"/>
    <n v="23"/>
    <x v="8"/>
    <n v="10714"/>
    <n v="28500"/>
    <n v="0.3759298245614035"/>
  </r>
  <r>
    <n v="2019"/>
    <x v="3"/>
    <n v="23"/>
    <x v="9"/>
    <n v="16138"/>
    <n v="28500"/>
    <n v="0.56624561403508777"/>
  </r>
  <r>
    <n v="2019"/>
    <x v="3"/>
    <n v="23"/>
    <x v="10"/>
    <n v="18107.5"/>
    <n v="28500"/>
    <n v="0.63535087719298244"/>
  </r>
  <r>
    <n v="2019"/>
    <x v="3"/>
    <n v="23"/>
    <x v="11"/>
    <n v="24989.5"/>
    <n v="28500"/>
    <n v="0.87682456140350873"/>
  </r>
  <r>
    <n v="2019"/>
    <x v="3"/>
    <n v="23"/>
    <x v="12"/>
    <n v="22473"/>
    <n v="28500"/>
    <n v="0.78852631578947363"/>
  </r>
  <r>
    <n v="2019"/>
    <x v="3"/>
    <n v="23"/>
    <x v="13"/>
    <n v="18768"/>
    <n v="28500"/>
    <n v="0.65852631578947374"/>
  </r>
  <r>
    <n v="2019"/>
    <x v="3"/>
    <n v="23"/>
    <x v="14"/>
    <n v="13496.5"/>
    <n v="28500"/>
    <n v="0.47356140350877191"/>
  </r>
  <r>
    <n v="2019"/>
    <x v="3"/>
    <n v="23"/>
    <x v="15"/>
    <n v="13728"/>
    <n v="28500"/>
    <n v="0.48168421052631577"/>
  </r>
  <r>
    <n v="2019"/>
    <x v="3"/>
    <n v="23"/>
    <x v="16"/>
    <n v="1936"/>
    <n v="28500"/>
    <n v="6.7929824561403507E-2"/>
  </r>
  <r>
    <n v="2019"/>
    <x v="3"/>
    <n v="23"/>
    <x v="17"/>
    <n v="3981"/>
    <n v="28500"/>
    <n v="0.1396842105263158"/>
  </r>
  <r>
    <n v="2019"/>
    <x v="3"/>
    <n v="23"/>
    <x v="18"/>
    <n v="1156.5"/>
    <n v="28500"/>
    <n v="4.0578947368421055E-2"/>
  </r>
  <r>
    <n v="2019"/>
    <x v="3"/>
    <n v="23"/>
    <x v="19"/>
    <n v="0"/>
    <n v="28500"/>
    <n v="0"/>
  </r>
  <r>
    <n v="2019"/>
    <x v="3"/>
    <n v="23"/>
    <x v="20"/>
    <n v="0"/>
    <n v="28500"/>
    <n v="0"/>
  </r>
  <r>
    <n v="2019"/>
    <x v="3"/>
    <n v="23"/>
    <x v="21"/>
    <n v="0"/>
    <n v="28500"/>
    <n v="0"/>
  </r>
  <r>
    <n v="2019"/>
    <x v="3"/>
    <n v="23"/>
    <x v="22"/>
    <n v="0"/>
    <n v="28500"/>
    <n v="0"/>
  </r>
  <r>
    <n v="2019"/>
    <x v="3"/>
    <n v="23"/>
    <x v="23"/>
    <n v="0"/>
    <n v="28500"/>
    <n v="0"/>
  </r>
  <r>
    <n v="2019"/>
    <x v="3"/>
    <n v="24"/>
    <x v="0"/>
    <n v="0"/>
    <n v="28500"/>
    <n v="0"/>
  </r>
  <r>
    <n v="2019"/>
    <x v="3"/>
    <n v="24"/>
    <x v="1"/>
    <n v="0"/>
    <n v="28500"/>
    <n v="0"/>
  </r>
  <r>
    <n v="2019"/>
    <x v="3"/>
    <n v="24"/>
    <x v="2"/>
    <n v="0"/>
    <n v="28500"/>
    <n v="0"/>
  </r>
  <r>
    <n v="2019"/>
    <x v="3"/>
    <n v="24"/>
    <x v="3"/>
    <n v="0"/>
    <n v="28500"/>
    <n v="0"/>
  </r>
  <r>
    <n v="2019"/>
    <x v="3"/>
    <n v="24"/>
    <x v="4"/>
    <n v="0"/>
    <n v="28500"/>
    <n v="0"/>
  </r>
  <r>
    <n v="2019"/>
    <x v="3"/>
    <n v="24"/>
    <x v="5"/>
    <n v="0"/>
    <n v="28500"/>
    <n v="0"/>
  </r>
  <r>
    <n v="2019"/>
    <x v="3"/>
    <n v="24"/>
    <x v="6"/>
    <n v="2670"/>
    <n v="28500"/>
    <n v="9.3684210526315786E-2"/>
  </r>
  <r>
    <n v="2019"/>
    <x v="3"/>
    <n v="24"/>
    <x v="7"/>
    <n v="10753.5"/>
    <n v="28500"/>
    <n v="0.37731578947368422"/>
  </r>
  <r>
    <n v="2019"/>
    <x v="3"/>
    <n v="24"/>
    <x v="8"/>
    <n v="13431.5"/>
    <n v="28500"/>
    <n v="0.47128070175438597"/>
  </r>
  <r>
    <n v="2019"/>
    <x v="3"/>
    <n v="24"/>
    <x v="9"/>
    <n v="11654.5"/>
    <n v="28500"/>
    <n v="0.40892982456140353"/>
  </r>
  <r>
    <n v="2019"/>
    <x v="3"/>
    <n v="24"/>
    <x v="10"/>
    <n v="2676"/>
    <n v="28500"/>
    <n v="9.3894736842105267E-2"/>
  </r>
  <r>
    <n v="2019"/>
    <x v="3"/>
    <n v="24"/>
    <x v="11"/>
    <n v="3252.5"/>
    <n v="28500"/>
    <n v="0.11412280701754386"/>
  </r>
  <r>
    <n v="2019"/>
    <x v="3"/>
    <n v="24"/>
    <x v="12"/>
    <n v="20543"/>
    <n v="28500"/>
    <n v="0.72080701754385967"/>
  </r>
  <r>
    <n v="2019"/>
    <x v="3"/>
    <n v="24"/>
    <x v="13"/>
    <n v="11669"/>
    <n v="28500"/>
    <n v="0.40943859649122805"/>
  </r>
  <r>
    <n v="2019"/>
    <x v="3"/>
    <n v="24"/>
    <x v="14"/>
    <n v="10321.5"/>
    <n v="28500"/>
    <n v="0.36215789473684212"/>
  </r>
  <r>
    <n v="2019"/>
    <x v="3"/>
    <n v="24"/>
    <x v="15"/>
    <n v="23205.5"/>
    <n v="28500"/>
    <n v="0.81422807017543863"/>
  </r>
  <r>
    <n v="2019"/>
    <x v="3"/>
    <n v="24"/>
    <x v="16"/>
    <n v="15952.5"/>
    <n v="28500"/>
    <n v="0.5597368421052632"/>
  </r>
  <r>
    <n v="2019"/>
    <x v="3"/>
    <n v="24"/>
    <x v="17"/>
    <n v="7094"/>
    <n v="28500"/>
    <n v="0.24891228070175439"/>
  </r>
  <r>
    <n v="2019"/>
    <x v="3"/>
    <n v="24"/>
    <x v="18"/>
    <n v="1143"/>
    <n v="28500"/>
    <n v="4.0105263157894734E-2"/>
  </r>
  <r>
    <n v="2019"/>
    <x v="3"/>
    <n v="24"/>
    <x v="19"/>
    <n v="0"/>
    <n v="28500"/>
    <n v="0"/>
  </r>
  <r>
    <n v="2019"/>
    <x v="3"/>
    <n v="24"/>
    <x v="20"/>
    <n v="0"/>
    <n v="28500"/>
    <n v="0"/>
  </r>
  <r>
    <n v="2019"/>
    <x v="3"/>
    <n v="24"/>
    <x v="21"/>
    <n v="0"/>
    <n v="28500"/>
    <n v="0"/>
  </r>
  <r>
    <n v="2019"/>
    <x v="3"/>
    <n v="24"/>
    <x v="22"/>
    <n v="0"/>
    <n v="28500"/>
    <n v="0"/>
  </r>
  <r>
    <n v="2019"/>
    <x v="3"/>
    <n v="24"/>
    <x v="23"/>
    <n v="0"/>
    <n v="28500"/>
    <n v="0"/>
  </r>
  <r>
    <n v="2019"/>
    <x v="3"/>
    <n v="25"/>
    <x v="0"/>
    <n v="0"/>
    <n v="28500"/>
    <n v="0"/>
  </r>
  <r>
    <n v="2019"/>
    <x v="3"/>
    <n v="25"/>
    <x v="1"/>
    <n v="0"/>
    <n v="28500"/>
    <n v="0"/>
  </r>
  <r>
    <n v="2019"/>
    <x v="3"/>
    <n v="25"/>
    <x v="2"/>
    <n v="0"/>
    <n v="28500"/>
    <n v="0"/>
  </r>
  <r>
    <n v="2019"/>
    <x v="3"/>
    <n v="25"/>
    <x v="3"/>
    <n v="0"/>
    <n v="28500"/>
    <n v="0"/>
  </r>
  <r>
    <n v="2019"/>
    <x v="3"/>
    <n v="25"/>
    <x v="4"/>
    <n v="0"/>
    <n v="28500"/>
    <n v="0"/>
  </r>
  <r>
    <n v="2019"/>
    <x v="3"/>
    <n v="25"/>
    <x v="5"/>
    <n v="0"/>
    <n v="28500"/>
    <n v="0"/>
  </r>
  <r>
    <n v="2019"/>
    <x v="3"/>
    <n v="25"/>
    <x v="6"/>
    <n v="3012"/>
    <n v="28500"/>
    <n v="0.10568421052631578"/>
  </r>
  <r>
    <n v="2019"/>
    <x v="3"/>
    <n v="25"/>
    <x v="7"/>
    <n v="4043"/>
    <n v="28500"/>
    <n v="0.14185964912280702"/>
  </r>
  <r>
    <n v="2019"/>
    <x v="3"/>
    <n v="25"/>
    <x v="8"/>
    <n v="12402"/>
    <n v="28500"/>
    <n v="0.43515789473684213"/>
  </r>
  <r>
    <n v="2019"/>
    <x v="3"/>
    <n v="25"/>
    <x v="9"/>
    <n v="8097.5"/>
    <n v="28500"/>
    <n v="0.28412280701754383"/>
  </r>
  <r>
    <n v="2019"/>
    <x v="3"/>
    <n v="25"/>
    <x v="10"/>
    <n v="24549.5"/>
    <n v="28500"/>
    <n v="0.8613859649122807"/>
  </r>
  <r>
    <n v="2019"/>
    <x v="3"/>
    <n v="25"/>
    <x v="11"/>
    <n v="25505"/>
    <n v="28500"/>
    <n v="0.89491228070175444"/>
  </r>
  <r>
    <n v="2019"/>
    <x v="3"/>
    <n v="25"/>
    <x v="12"/>
    <n v="26312.5"/>
    <n v="28500"/>
    <n v="0.92324561403508776"/>
  </r>
  <r>
    <n v="2019"/>
    <x v="3"/>
    <n v="25"/>
    <x v="13"/>
    <n v="31813"/>
    <n v="28500"/>
    <n v="1.1162456140350878"/>
  </r>
  <r>
    <n v="2019"/>
    <x v="3"/>
    <n v="25"/>
    <x v="14"/>
    <n v="24729"/>
    <n v="28500"/>
    <n v="0.86768421052631584"/>
  </r>
  <r>
    <n v="2019"/>
    <x v="3"/>
    <n v="25"/>
    <x v="15"/>
    <n v="13753"/>
    <n v="28500"/>
    <n v="0.48256140350877191"/>
  </r>
  <r>
    <n v="2019"/>
    <x v="3"/>
    <n v="25"/>
    <x v="16"/>
    <n v="18577.5"/>
    <n v="28500"/>
    <n v="0.65184210526315789"/>
  </r>
  <r>
    <n v="2019"/>
    <x v="3"/>
    <n v="25"/>
    <x v="17"/>
    <n v="7726.5"/>
    <n v="28500"/>
    <n v="0.27110526315789474"/>
  </r>
  <r>
    <n v="2019"/>
    <x v="3"/>
    <n v="25"/>
    <x v="18"/>
    <n v="889.5"/>
    <n v="28500"/>
    <n v="3.1210526315789473E-2"/>
  </r>
  <r>
    <n v="2019"/>
    <x v="3"/>
    <n v="25"/>
    <x v="19"/>
    <n v="0"/>
    <n v="28500"/>
    <n v="0"/>
  </r>
  <r>
    <n v="2019"/>
    <x v="3"/>
    <n v="25"/>
    <x v="20"/>
    <n v="0"/>
    <n v="28500"/>
    <n v="0"/>
  </r>
  <r>
    <n v="2019"/>
    <x v="3"/>
    <n v="25"/>
    <x v="21"/>
    <n v="0"/>
    <n v="28500"/>
    <n v="0"/>
  </r>
  <r>
    <n v="2019"/>
    <x v="3"/>
    <n v="25"/>
    <x v="22"/>
    <n v="0"/>
    <n v="28500"/>
    <n v="0"/>
  </r>
  <r>
    <n v="2019"/>
    <x v="3"/>
    <n v="25"/>
    <x v="23"/>
    <n v="0"/>
    <n v="28500"/>
    <n v="0"/>
  </r>
  <r>
    <n v="2019"/>
    <x v="3"/>
    <n v="26"/>
    <x v="0"/>
    <n v="0"/>
    <n v="28500"/>
    <n v="0"/>
  </r>
  <r>
    <n v="2019"/>
    <x v="3"/>
    <n v="26"/>
    <x v="1"/>
    <n v="0"/>
    <n v="28500"/>
    <n v="0"/>
  </r>
  <r>
    <n v="2019"/>
    <x v="3"/>
    <n v="26"/>
    <x v="2"/>
    <n v="0"/>
    <n v="28500"/>
    <n v="0"/>
  </r>
  <r>
    <n v="2019"/>
    <x v="3"/>
    <n v="26"/>
    <x v="3"/>
    <n v="0"/>
    <n v="28500"/>
    <n v="0"/>
  </r>
  <r>
    <n v="2019"/>
    <x v="3"/>
    <n v="26"/>
    <x v="4"/>
    <n v="0"/>
    <n v="28500"/>
    <n v="0"/>
  </r>
  <r>
    <n v="2019"/>
    <x v="3"/>
    <n v="26"/>
    <x v="5"/>
    <n v="122.5"/>
    <n v="28500"/>
    <n v="4.2982456140350876E-3"/>
  </r>
  <r>
    <n v="2019"/>
    <x v="3"/>
    <n v="26"/>
    <x v="6"/>
    <n v="2738.5"/>
    <n v="28500"/>
    <n v="9.6087719298245611E-2"/>
  </r>
  <r>
    <n v="2019"/>
    <x v="3"/>
    <n v="26"/>
    <x v="7"/>
    <n v="8700.5"/>
    <n v="28500"/>
    <n v="0.30528070175438599"/>
  </r>
  <r>
    <n v="2019"/>
    <x v="3"/>
    <n v="26"/>
    <x v="8"/>
    <n v="21294.5"/>
    <n v="28500"/>
    <n v="0.74717543859649127"/>
  </r>
  <r>
    <n v="2019"/>
    <x v="3"/>
    <n v="26"/>
    <x v="9"/>
    <n v="15931"/>
    <n v="28500"/>
    <n v="0.55898245614035091"/>
  </r>
  <r>
    <n v="2019"/>
    <x v="3"/>
    <n v="26"/>
    <x v="10"/>
    <n v="16497"/>
    <n v="28500"/>
    <n v="0.57884210526315794"/>
  </r>
  <r>
    <n v="2019"/>
    <x v="3"/>
    <n v="26"/>
    <x v="11"/>
    <n v="22522"/>
    <n v="28500"/>
    <n v="0.79024561403508775"/>
  </r>
  <r>
    <n v="2019"/>
    <x v="3"/>
    <n v="26"/>
    <x v="12"/>
    <n v="32686.5"/>
    <n v="28500"/>
    <n v="1.1468947368421052"/>
  </r>
  <r>
    <n v="2019"/>
    <x v="3"/>
    <n v="26"/>
    <x v="13"/>
    <n v="33424.5"/>
    <n v="28500"/>
    <n v="1.1727894736842106"/>
  </r>
  <r>
    <n v="2019"/>
    <x v="3"/>
    <n v="26"/>
    <x v="14"/>
    <n v="34718"/>
    <n v="28500"/>
    <n v="1.2181754385964911"/>
  </r>
  <r>
    <n v="2019"/>
    <x v="3"/>
    <n v="26"/>
    <x v="15"/>
    <n v="16102"/>
    <n v="28500"/>
    <n v="0.56498245614035092"/>
  </r>
  <r>
    <n v="2019"/>
    <x v="3"/>
    <n v="26"/>
    <x v="16"/>
    <n v="8737"/>
    <n v="28500"/>
    <n v="0.30656140350877192"/>
  </r>
  <r>
    <n v="2019"/>
    <x v="3"/>
    <n v="26"/>
    <x v="17"/>
    <n v="5268"/>
    <n v="28500"/>
    <n v="0.18484210526315789"/>
  </r>
  <r>
    <n v="2019"/>
    <x v="3"/>
    <n v="26"/>
    <x v="18"/>
    <n v="1377.5"/>
    <n v="28500"/>
    <n v="4.8333333333333332E-2"/>
  </r>
  <r>
    <n v="2019"/>
    <x v="3"/>
    <n v="26"/>
    <x v="19"/>
    <n v="0"/>
    <n v="28500"/>
    <n v="0"/>
  </r>
  <r>
    <n v="2019"/>
    <x v="3"/>
    <n v="26"/>
    <x v="20"/>
    <n v="0"/>
    <n v="28500"/>
    <n v="0"/>
  </r>
  <r>
    <n v="2019"/>
    <x v="3"/>
    <n v="26"/>
    <x v="21"/>
    <n v="0"/>
    <n v="28500"/>
    <n v="0"/>
  </r>
  <r>
    <n v="2019"/>
    <x v="3"/>
    <n v="26"/>
    <x v="22"/>
    <n v="0"/>
    <n v="28500"/>
    <n v="0"/>
  </r>
  <r>
    <n v="2019"/>
    <x v="3"/>
    <n v="26"/>
    <x v="23"/>
    <n v="0"/>
    <n v="28500"/>
    <n v="0"/>
  </r>
  <r>
    <n v="2019"/>
    <x v="3"/>
    <n v="27"/>
    <x v="0"/>
    <n v="0"/>
    <n v="28500"/>
    <n v="0"/>
  </r>
  <r>
    <n v="2019"/>
    <x v="3"/>
    <n v="27"/>
    <x v="1"/>
    <n v="0"/>
    <n v="28500"/>
    <n v="0"/>
  </r>
  <r>
    <n v="2019"/>
    <x v="3"/>
    <n v="27"/>
    <x v="2"/>
    <n v="0"/>
    <n v="28500"/>
    <n v="0"/>
  </r>
  <r>
    <n v="2019"/>
    <x v="3"/>
    <n v="27"/>
    <x v="3"/>
    <n v="0"/>
    <n v="28500"/>
    <n v="0"/>
  </r>
  <r>
    <n v="2019"/>
    <x v="3"/>
    <n v="27"/>
    <x v="4"/>
    <n v="0"/>
    <n v="28500"/>
    <n v="0"/>
  </r>
  <r>
    <n v="2019"/>
    <x v="3"/>
    <n v="27"/>
    <x v="5"/>
    <n v="59"/>
    <n v="28500"/>
    <n v="2.0701754385964912E-3"/>
  </r>
  <r>
    <n v="2019"/>
    <x v="3"/>
    <n v="27"/>
    <x v="6"/>
    <n v="457.5"/>
    <n v="28500"/>
    <n v="1.6052631578947367E-2"/>
  </r>
  <r>
    <n v="2019"/>
    <x v="3"/>
    <n v="27"/>
    <x v="7"/>
    <n v="4913.5"/>
    <n v="28500"/>
    <n v="0.17240350877192984"/>
  </r>
  <r>
    <n v="2019"/>
    <x v="3"/>
    <n v="27"/>
    <x v="8"/>
    <n v="10314"/>
    <n v="28500"/>
    <n v="0.36189473684210527"/>
  </r>
  <r>
    <n v="2019"/>
    <x v="3"/>
    <n v="27"/>
    <x v="9"/>
    <n v="7231"/>
    <n v="28500"/>
    <n v="0.25371929824561401"/>
  </r>
  <r>
    <n v="2019"/>
    <x v="3"/>
    <n v="27"/>
    <x v="10"/>
    <n v="13120.5"/>
    <n v="28500"/>
    <n v="0.46036842105263159"/>
  </r>
  <r>
    <n v="2019"/>
    <x v="3"/>
    <n v="27"/>
    <x v="11"/>
    <n v="13062.5"/>
    <n v="28500"/>
    <n v="0.45833333333333331"/>
  </r>
  <r>
    <n v="2019"/>
    <x v="3"/>
    <n v="27"/>
    <x v="12"/>
    <n v="7692"/>
    <n v="28500"/>
    <n v="0.26989473684210524"/>
  </r>
  <r>
    <n v="2019"/>
    <x v="3"/>
    <n v="27"/>
    <x v="13"/>
    <n v="18144"/>
    <n v="28500"/>
    <n v="0.63663157894736844"/>
  </r>
  <r>
    <n v="2019"/>
    <x v="3"/>
    <n v="27"/>
    <x v="14"/>
    <n v="5187.5"/>
    <n v="28500"/>
    <n v="0.18201754385964913"/>
  </r>
  <r>
    <n v="2019"/>
    <x v="3"/>
    <n v="27"/>
    <x v="15"/>
    <n v="11761.5"/>
    <n v="28500"/>
    <n v="0.41268421052631576"/>
  </r>
  <r>
    <n v="2019"/>
    <x v="3"/>
    <n v="27"/>
    <x v="16"/>
    <n v="4596"/>
    <n v="28500"/>
    <n v="0.16126315789473683"/>
  </r>
  <r>
    <n v="2019"/>
    <x v="3"/>
    <n v="27"/>
    <x v="17"/>
    <n v="5686.5"/>
    <n v="28500"/>
    <n v="0.19952631578947369"/>
  </r>
  <r>
    <n v="2019"/>
    <x v="3"/>
    <n v="27"/>
    <x v="18"/>
    <n v="1127.5"/>
    <n v="28500"/>
    <n v="3.9561403508771929E-2"/>
  </r>
  <r>
    <n v="2019"/>
    <x v="3"/>
    <n v="27"/>
    <x v="19"/>
    <n v="0"/>
    <n v="28500"/>
    <n v="0"/>
  </r>
  <r>
    <n v="2019"/>
    <x v="3"/>
    <n v="27"/>
    <x v="20"/>
    <n v="0"/>
    <n v="28500"/>
    <n v="0"/>
  </r>
  <r>
    <n v="2019"/>
    <x v="3"/>
    <n v="27"/>
    <x v="21"/>
    <n v="0"/>
    <n v="28500"/>
    <n v="0"/>
  </r>
  <r>
    <n v="2019"/>
    <x v="3"/>
    <n v="27"/>
    <x v="22"/>
    <n v="0"/>
    <n v="28500"/>
    <n v="0"/>
  </r>
  <r>
    <n v="2019"/>
    <x v="3"/>
    <n v="27"/>
    <x v="23"/>
    <n v="0"/>
    <n v="28500"/>
    <n v="0"/>
  </r>
  <r>
    <n v="2019"/>
    <x v="3"/>
    <n v="28"/>
    <x v="0"/>
    <n v="0"/>
    <n v="28500"/>
    <n v="0"/>
  </r>
  <r>
    <n v="2019"/>
    <x v="3"/>
    <n v="28"/>
    <x v="1"/>
    <n v="0"/>
    <n v="28500"/>
    <n v="0"/>
  </r>
  <r>
    <n v="2019"/>
    <x v="3"/>
    <n v="28"/>
    <x v="2"/>
    <n v="0"/>
    <n v="28500"/>
    <n v="0"/>
  </r>
  <r>
    <n v="2019"/>
    <x v="3"/>
    <n v="28"/>
    <x v="3"/>
    <n v="0"/>
    <n v="28500"/>
    <n v="0"/>
  </r>
  <r>
    <n v="2019"/>
    <x v="3"/>
    <n v="28"/>
    <x v="4"/>
    <n v="0"/>
    <n v="28500"/>
    <n v="0"/>
  </r>
  <r>
    <n v="2019"/>
    <x v="3"/>
    <n v="28"/>
    <x v="5"/>
    <n v="59.5"/>
    <n v="28500"/>
    <n v="2.087719298245614E-3"/>
  </r>
  <r>
    <n v="2019"/>
    <x v="3"/>
    <n v="28"/>
    <x v="6"/>
    <n v="2258"/>
    <n v="28500"/>
    <n v="7.9228070175438592E-2"/>
  </r>
  <r>
    <n v="2019"/>
    <x v="3"/>
    <n v="28"/>
    <x v="7"/>
    <n v="9153"/>
    <n v="28500"/>
    <n v="0.32115789473684209"/>
  </r>
  <r>
    <n v="2019"/>
    <x v="3"/>
    <n v="28"/>
    <x v="8"/>
    <n v="12170.5"/>
    <n v="28500"/>
    <n v="0.42703508771929827"/>
  </r>
  <r>
    <n v="2019"/>
    <x v="3"/>
    <n v="28"/>
    <x v="9"/>
    <n v="8972.5"/>
    <n v="28500"/>
    <n v="0.31482456140350878"/>
  </r>
  <r>
    <n v="2019"/>
    <x v="3"/>
    <n v="28"/>
    <x v="10"/>
    <n v="5068.5"/>
    <n v="28500"/>
    <n v="0.17784210526315788"/>
  </r>
  <r>
    <n v="2019"/>
    <x v="3"/>
    <n v="28"/>
    <x v="11"/>
    <n v="9608"/>
    <n v="28500"/>
    <n v="0.33712280701754388"/>
  </r>
  <r>
    <n v="2019"/>
    <x v="3"/>
    <n v="28"/>
    <x v="12"/>
    <n v="6380"/>
    <n v="28500"/>
    <n v="0.22385964912280701"/>
  </r>
  <r>
    <n v="2019"/>
    <x v="3"/>
    <n v="28"/>
    <x v="13"/>
    <n v="7932.5"/>
    <n v="28500"/>
    <n v="0.27833333333333332"/>
  </r>
  <r>
    <n v="2019"/>
    <x v="3"/>
    <n v="28"/>
    <x v="14"/>
    <n v="20415"/>
    <n v="28500"/>
    <n v="0.71631578947368424"/>
  </r>
  <r>
    <n v="2019"/>
    <x v="3"/>
    <n v="28"/>
    <x v="15"/>
    <n v="5100"/>
    <n v="28500"/>
    <n v="0.17894736842105263"/>
  </r>
  <r>
    <n v="2019"/>
    <x v="3"/>
    <n v="28"/>
    <x v="16"/>
    <n v="10832.5"/>
    <n v="28500"/>
    <n v="0.38008771929824564"/>
  </r>
  <r>
    <n v="2019"/>
    <x v="3"/>
    <n v="28"/>
    <x v="17"/>
    <n v="2393.5"/>
    <n v="28500"/>
    <n v="8.3982456140350881E-2"/>
  </r>
  <r>
    <n v="2019"/>
    <x v="3"/>
    <n v="28"/>
    <x v="18"/>
    <n v="1050.5"/>
    <n v="28500"/>
    <n v="3.6859649122807016E-2"/>
  </r>
  <r>
    <n v="2019"/>
    <x v="3"/>
    <n v="28"/>
    <x v="19"/>
    <n v="0"/>
    <n v="28500"/>
    <n v="0"/>
  </r>
  <r>
    <n v="2019"/>
    <x v="3"/>
    <n v="28"/>
    <x v="20"/>
    <n v="0"/>
    <n v="28500"/>
    <n v="0"/>
  </r>
  <r>
    <n v="2019"/>
    <x v="3"/>
    <n v="28"/>
    <x v="21"/>
    <n v="0"/>
    <n v="28500"/>
    <n v="0"/>
  </r>
  <r>
    <n v="2019"/>
    <x v="3"/>
    <n v="28"/>
    <x v="22"/>
    <n v="0"/>
    <n v="28500"/>
    <n v="0"/>
  </r>
  <r>
    <n v="2019"/>
    <x v="3"/>
    <n v="28"/>
    <x v="23"/>
    <n v="0"/>
    <n v="28500"/>
    <n v="0"/>
  </r>
  <r>
    <n v="2019"/>
    <x v="3"/>
    <n v="29"/>
    <x v="0"/>
    <n v="0"/>
    <n v="28500"/>
    <n v="0"/>
  </r>
  <r>
    <n v="2019"/>
    <x v="3"/>
    <n v="29"/>
    <x v="1"/>
    <n v="0"/>
    <n v="28500"/>
    <n v="0"/>
  </r>
  <r>
    <n v="2019"/>
    <x v="3"/>
    <n v="29"/>
    <x v="2"/>
    <n v="0"/>
    <n v="28500"/>
    <n v="0"/>
  </r>
  <r>
    <n v="2019"/>
    <x v="3"/>
    <n v="29"/>
    <x v="3"/>
    <n v="0"/>
    <n v="28500"/>
    <n v="0"/>
  </r>
  <r>
    <n v="2019"/>
    <x v="3"/>
    <n v="29"/>
    <x v="4"/>
    <n v="0"/>
    <n v="28500"/>
    <n v="0"/>
  </r>
  <r>
    <n v="2019"/>
    <x v="3"/>
    <n v="29"/>
    <x v="5"/>
    <n v="82"/>
    <n v="28500"/>
    <n v="2.8771929824561405E-3"/>
  </r>
  <r>
    <n v="2019"/>
    <x v="3"/>
    <n v="29"/>
    <x v="6"/>
    <n v="2762.5"/>
    <n v="28500"/>
    <n v="9.6929824561403505E-2"/>
  </r>
  <r>
    <n v="2019"/>
    <x v="3"/>
    <n v="29"/>
    <x v="7"/>
    <n v="7425.5"/>
    <n v="28500"/>
    <n v="0.2605438596491228"/>
  </r>
  <r>
    <n v="2019"/>
    <x v="3"/>
    <n v="29"/>
    <x v="8"/>
    <n v="10333.5"/>
    <n v="28500"/>
    <n v="0.36257894736842106"/>
  </r>
  <r>
    <n v="2019"/>
    <x v="3"/>
    <n v="29"/>
    <x v="9"/>
    <n v="19653.5"/>
    <n v="28500"/>
    <n v="0.68959649122807021"/>
  </r>
  <r>
    <n v="2019"/>
    <x v="3"/>
    <n v="29"/>
    <x v="10"/>
    <n v="12275.5"/>
    <n v="28500"/>
    <n v="0.43071929824561406"/>
  </r>
  <r>
    <n v="2019"/>
    <x v="3"/>
    <n v="29"/>
    <x v="11"/>
    <n v="17023"/>
    <n v="28500"/>
    <n v="0.59729824561403511"/>
  </r>
  <r>
    <n v="2019"/>
    <x v="3"/>
    <n v="29"/>
    <x v="12"/>
    <n v="21065"/>
    <n v="28500"/>
    <n v="0.73912280701754385"/>
  </r>
  <r>
    <n v="2019"/>
    <x v="3"/>
    <n v="29"/>
    <x v="13"/>
    <n v="21974.5"/>
    <n v="28500"/>
    <n v="0.7710350877192983"/>
  </r>
  <r>
    <n v="2019"/>
    <x v="3"/>
    <n v="29"/>
    <x v="14"/>
    <n v="11726.5"/>
    <n v="28500"/>
    <n v="0.41145614035087719"/>
  </r>
  <r>
    <n v="2019"/>
    <x v="3"/>
    <n v="29"/>
    <x v="15"/>
    <n v="7596"/>
    <n v="28500"/>
    <n v="0.26652631578947367"/>
  </r>
  <r>
    <n v="2019"/>
    <x v="3"/>
    <n v="29"/>
    <x v="16"/>
    <n v="15190.5"/>
    <n v="28500"/>
    <n v="0.53300000000000003"/>
  </r>
  <r>
    <n v="2019"/>
    <x v="3"/>
    <n v="29"/>
    <x v="17"/>
    <n v="4545.5"/>
    <n v="28500"/>
    <n v="0.15949122807017543"/>
  </r>
  <r>
    <n v="2019"/>
    <x v="3"/>
    <n v="29"/>
    <x v="18"/>
    <n v="1503"/>
    <n v="28500"/>
    <n v="5.2736842105263158E-2"/>
  </r>
  <r>
    <n v="2019"/>
    <x v="3"/>
    <n v="29"/>
    <x v="19"/>
    <n v="0"/>
    <n v="28500"/>
    <n v="0"/>
  </r>
  <r>
    <n v="2019"/>
    <x v="3"/>
    <n v="29"/>
    <x v="20"/>
    <n v="0"/>
    <n v="28500"/>
    <n v="0"/>
  </r>
  <r>
    <n v="2019"/>
    <x v="3"/>
    <n v="29"/>
    <x v="21"/>
    <n v="0"/>
    <n v="28500"/>
    <n v="0"/>
  </r>
  <r>
    <n v="2019"/>
    <x v="3"/>
    <n v="29"/>
    <x v="22"/>
    <n v="0"/>
    <n v="28500"/>
    <n v="0"/>
  </r>
  <r>
    <n v="2019"/>
    <x v="3"/>
    <n v="29"/>
    <x v="23"/>
    <n v="0"/>
    <n v="28500"/>
    <n v="0"/>
  </r>
  <r>
    <n v="2019"/>
    <x v="3"/>
    <n v="30"/>
    <x v="0"/>
    <n v="0"/>
    <n v="28500"/>
    <n v="0"/>
  </r>
  <r>
    <n v="2019"/>
    <x v="3"/>
    <n v="30"/>
    <x v="1"/>
    <n v="0"/>
    <n v="28500"/>
    <n v="0"/>
  </r>
  <r>
    <n v="2019"/>
    <x v="3"/>
    <n v="30"/>
    <x v="2"/>
    <n v="0"/>
    <n v="28500"/>
    <n v="0"/>
  </r>
  <r>
    <n v="2019"/>
    <x v="3"/>
    <n v="30"/>
    <x v="3"/>
    <n v="0"/>
    <n v="28500"/>
    <n v="0"/>
  </r>
  <r>
    <n v="2019"/>
    <x v="3"/>
    <n v="30"/>
    <x v="4"/>
    <n v="0"/>
    <n v="28500"/>
    <n v="0"/>
  </r>
  <r>
    <n v="2019"/>
    <x v="3"/>
    <n v="30"/>
    <x v="5"/>
    <n v="323.5"/>
    <n v="28500"/>
    <n v="1.1350877192982457E-2"/>
  </r>
  <r>
    <n v="2019"/>
    <x v="3"/>
    <n v="30"/>
    <x v="6"/>
    <n v="3092"/>
    <n v="28500"/>
    <n v="0.10849122807017544"/>
  </r>
  <r>
    <n v="2019"/>
    <x v="3"/>
    <n v="30"/>
    <x v="7"/>
    <n v="7157"/>
    <n v="28500"/>
    <n v="0.25112280701754386"/>
  </r>
  <r>
    <n v="2019"/>
    <x v="3"/>
    <n v="30"/>
    <x v="8"/>
    <n v="10614"/>
    <n v="28500"/>
    <n v="0.37242105263157893"/>
  </r>
  <r>
    <n v="2019"/>
    <x v="3"/>
    <n v="30"/>
    <x v="9"/>
    <n v="20698.5"/>
    <n v="28500"/>
    <n v="0.72626315789473683"/>
  </r>
  <r>
    <n v="2019"/>
    <x v="3"/>
    <n v="30"/>
    <x v="10"/>
    <n v="25116.5"/>
    <n v="28500"/>
    <n v="0.881280701754386"/>
  </r>
  <r>
    <n v="2019"/>
    <x v="3"/>
    <n v="30"/>
    <x v="11"/>
    <n v="28663"/>
    <n v="28500"/>
    <n v="1.005719298245614"/>
  </r>
  <r>
    <n v="2019"/>
    <x v="3"/>
    <n v="30"/>
    <x v="12"/>
    <n v="34658"/>
    <n v="28500"/>
    <n v="1.2160701754385965"/>
  </r>
  <r>
    <n v="2019"/>
    <x v="3"/>
    <n v="30"/>
    <x v="13"/>
    <n v="31386.5"/>
    <n v="28500"/>
    <n v="1.101280701754386"/>
  </r>
  <r>
    <n v="2019"/>
    <x v="3"/>
    <n v="30"/>
    <x v="14"/>
    <n v="30018.5"/>
    <n v="28500"/>
    <n v="1.0532807017543859"/>
  </r>
  <r>
    <n v="2019"/>
    <x v="3"/>
    <n v="30"/>
    <x v="15"/>
    <n v="24225.5"/>
    <n v="28500"/>
    <n v="0.85001754385964912"/>
  </r>
  <r>
    <n v="2019"/>
    <x v="3"/>
    <n v="30"/>
    <x v="16"/>
    <n v="16669.5"/>
    <n v="28500"/>
    <n v="0.58489473684210525"/>
  </r>
  <r>
    <n v="2019"/>
    <x v="3"/>
    <n v="30"/>
    <x v="17"/>
    <n v="7512.5"/>
    <n v="28500"/>
    <n v="0.26359649122807016"/>
  </r>
  <r>
    <n v="2019"/>
    <x v="3"/>
    <n v="30"/>
    <x v="18"/>
    <n v="1394"/>
    <n v="28500"/>
    <n v="4.8912280701754386E-2"/>
  </r>
  <r>
    <n v="2019"/>
    <x v="3"/>
    <n v="30"/>
    <x v="19"/>
    <n v="0"/>
    <n v="28500"/>
    <n v="0"/>
  </r>
  <r>
    <n v="2019"/>
    <x v="3"/>
    <n v="30"/>
    <x v="20"/>
    <n v="0"/>
    <n v="28500"/>
    <n v="0"/>
  </r>
  <r>
    <n v="2019"/>
    <x v="3"/>
    <n v="30"/>
    <x v="21"/>
    <n v="0"/>
    <n v="28500"/>
    <n v="0"/>
  </r>
  <r>
    <n v="2019"/>
    <x v="3"/>
    <n v="30"/>
    <x v="22"/>
    <n v="0"/>
    <n v="28500"/>
    <n v="0"/>
  </r>
  <r>
    <n v="2019"/>
    <x v="3"/>
    <n v="30"/>
    <x v="23"/>
    <n v="0"/>
    <n v="28500"/>
    <n v="0"/>
  </r>
  <r>
    <n v="2019"/>
    <x v="4"/>
    <n v="1"/>
    <x v="0"/>
    <n v="0"/>
    <n v="28500"/>
    <n v="0"/>
  </r>
  <r>
    <n v="2019"/>
    <x v="4"/>
    <n v="1"/>
    <x v="1"/>
    <n v="0"/>
    <n v="28500"/>
    <n v="0"/>
  </r>
  <r>
    <n v="2019"/>
    <x v="4"/>
    <n v="1"/>
    <x v="2"/>
    <n v="0"/>
    <n v="28500"/>
    <n v="0"/>
  </r>
  <r>
    <n v="2019"/>
    <x v="4"/>
    <n v="1"/>
    <x v="3"/>
    <n v="0"/>
    <n v="28500"/>
    <n v="0"/>
  </r>
  <r>
    <n v="2019"/>
    <x v="4"/>
    <n v="1"/>
    <x v="4"/>
    <n v="0"/>
    <n v="28500"/>
    <n v="0"/>
  </r>
  <r>
    <n v="2019"/>
    <x v="4"/>
    <n v="1"/>
    <x v="5"/>
    <n v="0"/>
    <n v="28500"/>
    <n v="0"/>
  </r>
  <r>
    <n v="2019"/>
    <x v="4"/>
    <n v="1"/>
    <x v="6"/>
    <n v="2564.5"/>
    <n v="28500"/>
    <n v="8.9982456140350872E-2"/>
  </r>
  <r>
    <n v="2019"/>
    <x v="4"/>
    <n v="1"/>
    <x v="7"/>
    <n v="5321"/>
    <n v="28500"/>
    <n v="0.18670175438596492"/>
  </r>
  <r>
    <n v="2019"/>
    <x v="4"/>
    <n v="1"/>
    <x v="8"/>
    <n v="9357"/>
    <n v="28500"/>
    <n v="0.32831578947368423"/>
  </r>
  <r>
    <n v="2019"/>
    <x v="4"/>
    <n v="1"/>
    <x v="9"/>
    <n v="29711"/>
    <n v="28500"/>
    <n v="1.0424912280701755"/>
  </r>
  <r>
    <n v="2019"/>
    <x v="4"/>
    <n v="1"/>
    <x v="10"/>
    <n v="27312"/>
    <n v="28500"/>
    <n v="0.95831578947368423"/>
  </r>
  <r>
    <n v="2019"/>
    <x v="4"/>
    <n v="1"/>
    <x v="11"/>
    <n v="23230"/>
    <n v="28500"/>
    <n v="0.81508771929824564"/>
  </r>
  <r>
    <n v="2019"/>
    <x v="4"/>
    <n v="1"/>
    <x v="12"/>
    <n v="17209.5"/>
    <n v="28500"/>
    <n v="0.60384210526315785"/>
  </r>
  <r>
    <n v="2019"/>
    <x v="4"/>
    <n v="1"/>
    <x v="13"/>
    <n v="18090.5"/>
    <n v="28500"/>
    <n v="0.63475438596491229"/>
  </r>
  <r>
    <n v="2019"/>
    <x v="4"/>
    <n v="1"/>
    <x v="14"/>
    <n v="22626"/>
    <n v="28500"/>
    <n v="0.79389473684210521"/>
  </r>
  <r>
    <n v="2019"/>
    <x v="4"/>
    <n v="1"/>
    <x v="15"/>
    <n v="7309"/>
    <n v="28500"/>
    <n v="0.25645614035087722"/>
  </r>
  <r>
    <n v="2019"/>
    <x v="4"/>
    <n v="1"/>
    <x v="16"/>
    <n v="5521"/>
    <n v="28500"/>
    <n v="0.19371929824561404"/>
  </r>
  <r>
    <n v="2019"/>
    <x v="4"/>
    <n v="1"/>
    <x v="17"/>
    <n v="2619.5"/>
    <n v="28500"/>
    <n v="9.191228070175439E-2"/>
  </r>
  <r>
    <n v="2019"/>
    <x v="4"/>
    <n v="1"/>
    <x v="18"/>
    <n v="55"/>
    <n v="28500"/>
    <n v="1.9298245614035089E-3"/>
  </r>
  <r>
    <n v="2019"/>
    <x v="4"/>
    <n v="1"/>
    <x v="19"/>
    <n v="0"/>
    <n v="28500"/>
    <n v="0"/>
  </r>
  <r>
    <n v="2019"/>
    <x v="4"/>
    <n v="1"/>
    <x v="20"/>
    <n v="0"/>
    <n v="28500"/>
    <n v="0"/>
  </r>
  <r>
    <n v="2019"/>
    <x v="4"/>
    <n v="1"/>
    <x v="21"/>
    <n v="0"/>
    <n v="28500"/>
    <n v="0"/>
  </r>
  <r>
    <n v="2019"/>
    <x v="4"/>
    <n v="1"/>
    <x v="22"/>
    <n v="0"/>
    <n v="28500"/>
    <n v="0"/>
  </r>
  <r>
    <n v="2019"/>
    <x v="4"/>
    <n v="1"/>
    <x v="23"/>
    <n v="0"/>
    <n v="28500"/>
    <n v="0"/>
  </r>
  <r>
    <n v="2019"/>
    <x v="4"/>
    <n v="2"/>
    <x v="0"/>
    <n v="0"/>
    <n v="28500"/>
    <n v="0"/>
  </r>
  <r>
    <n v="2019"/>
    <x v="4"/>
    <n v="2"/>
    <x v="1"/>
    <n v="0"/>
    <n v="28500"/>
    <n v="0"/>
  </r>
  <r>
    <n v="2019"/>
    <x v="4"/>
    <n v="2"/>
    <x v="2"/>
    <n v="0"/>
    <n v="28500"/>
    <n v="0"/>
  </r>
  <r>
    <n v="2019"/>
    <x v="4"/>
    <n v="2"/>
    <x v="3"/>
    <n v="0"/>
    <n v="28500"/>
    <n v="0"/>
  </r>
  <r>
    <n v="2019"/>
    <x v="4"/>
    <n v="2"/>
    <x v="4"/>
    <n v="0"/>
    <n v="28500"/>
    <n v="0"/>
  </r>
  <r>
    <n v="2019"/>
    <x v="4"/>
    <n v="2"/>
    <x v="5"/>
    <n v="0"/>
    <n v="28500"/>
    <n v="0"/>
  </r>
  <r>
    <n v="2019"/>
    <x v="4"/>
    <n v="2"/>
    <x v="6"/>
    <n v="3656"/>
    <n v="28500"/>
    <n v="0.12828070175438597"/>
  </r>
  <r>
    <n v="2019"/>
    <x v="4"/>
    <n v="2"/>
    <x v="7"/>
    <n v="13172.5"/>
    <n v="28500"/>
    <n v="0.46219298245614038"/>
  </r>
  <r>
    <n v="2019"/>
    <x v="4"/>
    <n v="2"/>
    <x v="8"/>
    <n v="22429"/>
    <n v="28500"/>
    <n v="0.78698245614035089"/>
  </r>
  <r>
    <n v="2019"/>
    <x v="4"/>
    <n v="2"/>
    <x v="9"/>
    <n v="28960"/>
    <n v="28500"/>
    <n v="1.0161403508771929"/>
  </r>
  <r>
    <n v="2019"/>
    <x v="4"/>
    <n v="2"/>
    <x v="10"/>
    <n v="23091"/>
    <n v="28500"/>
    <n v="0.81021052631578949"/>
  </r>
  <r>
    <n v="2019"/>
    <x v="4"/>
    <n v="2"/>
    <x v="11"/>
    <n v="9909"/>
    <n v="28500"/>
    <n v="0.34768421052631576"/>
  </r>
  <r>
    <n v="2019"/>
    <x v="4"/>
    <n v="2"/>
    <x v="12"/>
    <n v="5866.5"/>
    <n v="28500"/>
    <n v="0.20584210526315788"/>
  </r>
  <r>
    <n v="2019"/>
    <x v="4"/>
    <n v="2"/>
    <x v="13"/>
    <n v="22898"/>
    <n v="28500"/>
    <n v="0.80343859649122806"/>
  </r>
  <r>
    <n v="2019"/>
    <x v="4"/>
    <n v="2"/>
    <x v="14"/>
    <n v="12743.5"/>
    <n v="28500"/>
    <n v="0.447140350877193"/>
  </r>
  <r>
    <n v="2019"/>
    <x v="4"/>
    <n v="2"/>
    <x v="15"/>
    <n v="4880"/>
    <n v="28500"/>
    <n v="0.17122807017543859"/>
  </r>
  <r>
    <n v="2019"/>
    <x v="4"/>
    <n v="2"/>
    <x v="16"/>
    <n v="4228"/>
    <n v="28500"/>
    <n v="0.14835087719298246"/>
  </r>
  <r>
    <n v="2019"/>
    <x v="4"/>
    <n v="2"/>
    <x v="17"/>
    <n v="1473.5"/>
    <n v="28500"/>
    <n v="5.1701754385964915E-2"/>
  </r>
  <r>
    <n v="2019"/>
    <x v="4"/>
    <n v="2"/>
    <x v="18"/>
    <n v="118.5"/>
    <n v="28500"/>
    <n v="4.1578947368421052E-3"/>
  </r>
  <r>
    <n v="2019"/>
    <x v="4"/>
    <n v="2"/>
    <x v="19"/>
    <n v="0"/>
    <n v="28500"/>
    <n v="0"/>
  </r>
  <r>
    <n v="2019"/>
    <x v="4"/>
    <n v="2"/>
    <x v="20"/>
    <n v="0"/>
    <n v="28500"/>
    <n v="0"/>
  </r>
  <r>
    <n v="2019"/>
    <x v="4"/>
    <n v="2"/>
    <x v="21"/>
    <n v="0"/>
    <n v="28500"/>
    <n v="0"/>
  </r>
  <r>
    <n v="2019"/>
    <x v="4"/>
    <n v="2"/>
    <x v="22"/>
    <n v="0"/>
    <n v="28500"/>
    <n v="0"/>
  </r>
  <r>
    <n v="2019"/>
    <x v="4"/>
    <n v="2"/>
    <x v="23"/>
    <n v="0"/>
    <n v="28500"/>
    <n v="0"/>
  </r>
  <r>
    <n v="2019"/>
    <x v="4"/>
    <n v="3"/>
    <x v="0"/>
    <n v="0"/>
    <n v="28500"/>
    <n v="0"/>
  </r>
  <r>
    <n v="2019"/>
    <x v="4"/>
    <n v="3"/>
    <x v="1"/>
    <n v="0"/>
    <n v="28500"/>
    <n v="0"/>
  </r>
  <r>
    <n v="2019"/>
    <x v="4"/>
    <n v="3"/>
    <x v="2"/>
    <n v="0"/>
    <n v="28500"/>
    <n v="0"/>
  </r>
  <r>
    <n v="2019"/>
    <x v="4"/>
    <n v="3"/>
    <x v="3"/>
    <n v="0"/>
    <n v="28500"/>
    <n v="0"/>
  </r>
  <r>
    <n v="2019"/>
    <x v="4"/>
    <n v="3"/>
    <x v="4"/>
    <n v="0"/>
    <n v="28500"/>
    <n v="0"/>
  </r>
  <r>
    <n v="2019"/>
    <x v="4"/>
    <n v="3"/>
    <x v="5"/>
    <n v="436.5"/>
    <n v="28500"/>
    <n v="1.531578947368421E-2"/>
  </r>
  <r>
    <n v="2019"/>
    <x v="4"/>
    <n v="3"/>
    <x v="6"/>
    <n v="3784"/>
    <n v="28500"/>
    <n v="0.1327719298245614"/>
  </r>
  <r>
    <n v="2019"/>
    <x v="4"/>
    <n v="3"/>
    <x v="7"/>
    <n v="5194"/>
    <n v="28500"/>
    <n v="0.18224561403508771"/>
  </r>
  <r>
    <n v="2019"/>
    <x v="4"/>
    <n v="3"/>
    <x v="8"/>
    <n v="5080"/>
    <n v="28500"/>
    <n v="0.17824561403508771"/>
  </r>
  <r>
    <n v="2019"/>
    <x v="4"/>
    <n v="3"/>
    <x v="9"/>
    <n v="6434.5"/>
    <n v="28500"/>
    <n v="0.2257719298245614"/>
  </r>
  <r>
    <n v="2019"/>
    <x v="4"/>
    <n v="3"/>
    <x v="10"/>
    <n v="5025"/>
    <n v="28500"/>
    <n v="0.1763157894736842"/>
  </r>
  <r>
    <n v="2019"/>
    <x v="4"/>
    <n v="3"/>
    <x v="11"/>
    <n v="10587.5"/>
    <n v="28500"/>
    <n v="0.37149122807017543"/>
  </r>
  <r>
    <n v="2019"/>
    <x v="4"/>
    <n v="3"/>
    <x v="12"/>
    <n v="24051"/>
    <n v="28500"/>
    <n v="0.84389473684210525"/>
  </r>
  <r>
    <n v="2019"/>
    <x v="4"/>
    <n v="3"/>
    <x v="13"/>
    <n v="18569.5"/>
    <n v="28500"/>
    <n v="0.6515614035087719"/>
  </r>
  <r>
    <n v="2019"/>
    <x v="4"/>
    <n v="3"/>
    <x v="14"/>
    <n v="13620.5"/>
    <n v="28500"/>
    <n v="0.4779122807017544"/>
  </r>
  <r>
    <n v="2019"/>
    <x v="4"/>
    <n v="3"/>
    <x v="15"/>
    <n v="7874"/>
    <n v="28500"/>
    <n v="0.27628070175438596"/>
  </r>
  <r>
    <n v="2019"/>
    <x v="4"/>
    <n v="3"/>
    <x v="16"/>
    <n v="8280"/>
    <n v="28500"/>
    <n v="0.29052631578947369"/>
  </r>
  <r>
    <n v="2019"/>
    <x v="4"/>
    <n v="3"/>
    <x v="17"/>
    <n v="4250"/>
    <n v="28500"/>
    <n v="0.14912280701754385"/>
  </r>
  <r>
    <n v="2019"/>
    <x v="4"/>
    <n v="3"/>
    <x v="18"/>
    <n v="622"/>
    <n v="28500"/>
    <n v="2.1824561403508771E-2"/>
  </r>
  <r>
    <n v="2019"/>
    <x v="4"/>
    <n v="3"/>
    <x v="19"/>
    <n v="0"/>
    <n v="28500"/>
    <n v="0"/>
  </r>
  <r>
    <n v="2019"/>
    <x v="4"/>
    <n v="3"/>
    <x v="20"/>
    <n v="0"/>
    <n v="28500"/>
    <n v="0"/>
  </r>
  <r>
    <n v="2019"/>
    <x v="4"/>
    <n v="3"/>
    <x v="21"/>
    <n v="0"/>
    <n v="28500"/>
    <n v="0"/>
  </r>
  <r>
    <n v="2019"/>
    <x v="4"/>
    <n v="3"/>
    <x v="22"/>
    <n v="0"/>
    <n v="28500"/>
    <n v="0"/>
  </r>
  <r>
    <n v="2019"/>
    <x v="4"/>
    <n v="3"/>
    <x v="23"/>
    <n v="0"/>
    <n v="28500"/>
    <n v="0"/>
  </r>
  <r>
    <n v="2019"/>
    <x v="4"/>
    <n v="4"/>
    <x v="0"/>
    <n v="0"/>
    <n v="28500"/>
    <n v="0"/>
  </r>
  <r>
    <n v="2019"/>
    <x v="4"/>
    <n v="4"/>
    <x v="1"/>
    <n v="0"/>
    <n v="28500"/>
    <n v="0"/>
  </r>
  <r>
    <n v="2019"/>
    <x v="4"/>
    <n v="4"/>
    <x v="2"/>
    <n v="0"/>
    <n v="28500"/>
    <n v="0"/>
  </r>
  <r>
    <n v="2019"/>
    <x v="4"/>
    <n v="4"/>
    <x v="3"/>
    <n v="0"/>
    <n v="28500"/>
    <n v="0"/>
  </r>
  <r>
    <n v="2019"/>
    <x v="4"/>
    <n v="4"/>
    <x v="4"/>
    <n v="0"/>
    <n v="28500"/>
    <n v="0"/>
  </r>
  <r>
    <n v="2019"/>
    <x v="4"/>
    <n v="4"/>
    <x v="5"/>
    <n v="382"/>
    <n v="28500"/>
    <n v="1.3403508771929825E-2"/>
  </r>
  <r>
    <n v="2019"/>
    <x v="4"/>
    <n v="4"/>
    <x v="6"/>
    <n v="3776"/>
    <n v="28500"/>
    <n v="0.13249122807017544"/>
  </r>
  <r>
    <n v="2019"/>
    <x v="4"/>
    <n v="4"/>
    <x v="7"/>
    <n v="14560"/>
    <n v="28500"/>
    <n v="0.51087719298245615"/>
  </r>
  <r>
    <n v="2019"/>
    <x v="4"/>
    <n v="4"/>
    <x v="8"/>
    <n v="22891"/>
    <n v="28500"/>
    <n v="0.80319298245614035"/>
  </r>
  <r>
    <n v="2019"/>
    <x v="4"/>
    <n v="4"/>
    <x v="9"/>
    <n v="26519"/>
    <n v="28500"/>
    <n v="0.93049122807017548"/>
  </r>
  <r>
    <n v="2019"/>
    <x v="4"/>
    <n v="4"/>
    <x v="10"/>
    <n v="35592.5"/>
    <n v="28500"/>
    <n v="1.248859649122807"/>
  </r>
  <r>
    <n v="2019"/>
    <x v="4"/>
    <n v="4"/>
    <x v="11"/>
    <n v="35364.5"/>
    <n v="28500"/>
    <n v="1.240859649122807"/>
  </r>
  <r>
    <n v="2019"/>
    <x v="4"/>
    <n v="4"/>
    <x v="12"/>
    <n v="18985"/>
    <n v="28500"/>
    <n v="0.66614035087719303"/>
  </r>
  <r>
    <n v="2019"/>
    <x v="4"/>
    <n v="4"/>
    <x v="13"/>
    <n v="35803.5"/>
    <n v="28500"/>
    <n v="1.2562631578947367"/>
  </r>
  <r>
    <n v="2019"/>
    <x v="4"/>
    <n v="4"/>
    <x v="14"/>
    <n v="29458"/>
    <n v="28500"/>
    <n v="1.0336140350877192"/>
  </r>
  <r>
    <n v="2019"/>
    <x v="4"/>
    <n v="4"/>
    <x v="15"/>
    <n v="14534.5"/>
    <n v="28500"/>
    <n v="0.50998245614035087"/>
  </r>
  <r>
    <n v="2019"/>
    <x v="4"/>
    <n v="4"/>
    <x v="16"/>
    <n v="18938"/>
    <n v="28500"/>
    <n v="0.66449122807017547"/>
  </r>
  <r>
    <n v="2019"/>
    <x v="4"/>
    <n v="4"/>
    <x v="17"/>
    <n v="6967"/>
    <n v="28500"/>
    <n v="0.2444561403508772"/>
  </r>
  <r>
    <n v="2019"/>
    <x v="4"/>
    <n v="4"/>
    <x v="18"/>
    <n v="1370.5"/>
    <n v="28500"/>
    <n v="4.8087719298245617E-2"/>
  </r>
  <r>
    <n v="2019"/>
    <x v="4"/>
    <n v="4"/>
    <x v="19"/>
    <n v="0"/>
    <n v="28500"/>
    <n v="0"/>
  </r>
  <r>
    <n v="2019"/>
    <x v="4"/>
    <n v="4"/>
    <x v="20"/>
    <n v="0"/>
    <n v="28500"/>
    <n v="0"/>
  </r>
  <r>
    <n v="2019"/>
    <x v="4"/>
    <n v="4"/>
    <x v="21"/>
    <n v="0"/>
    <n v="28500"/>
    <n v="0"/>
  </r>
  <r>
    <n v="2019"/>
    <x v="4"/>
    <n v="4"/>
    <x v="22"/>
    <n v="0"/>
    <n v="28500"/>
    <n v="0"/>
  </r>
  <r>
    <n v="2019"/>
    <x v="4"/>
    <n v="4"/>
    <x v="23"/>
    <n v="0"/>
    <n v="28500"/>
    <n v="0"/>
  </r>
  <r>
    <n v="2019"/>
    <x v="4"/>
    <n v="5"/>
    <x v="0"/>
    <n v="0"/>
    <n v="28500"/>
    <n v="0"/>
  </r>
  <r>
    <n v="2019"/>
    <x v="4"/>
    <n v="5"/>
    <x v="1"/>
    <n v="0"/>
    <n v="28500"/>
    <n v="0"/>
  </r>
  <r>
    <n v="2019"/>
    <x v="4"/>
    <n v="5"/>
    <x v="2"/>
    <n v="0"/>
    <n v="28500"/>
    <n v="0"/>
  </r>
  <r>
    <n v="2019"/>
    <x v="4"/>
    <n v="5"/>
    <x v="3"/>
    <n v="0"/>
    <n v="28500"/>
    <n v="0"/>
  </r>
  <r>
    <n v="2019"/>
    <x v="4"/>
    <n v="5"/>
    <x v="4"/>
    <n v="0"/>
    <n v="28500"/>
    <n v="0"/>
  </r>
  <r>
    <n v="2019"/>
    <x v="4"/>
    <n v="5"/>
    <x v="5"/>
    <n v="620.5"/>
    <n v="28500"/>
    <n v="2.1771929824561404E-2"/>
  </r>
  <r>
    <n v="2019"/>
    <x v="4"/>
    <n v="5"/>
    <x v="6"/>
    <n v="3514.5"/>
    <n v="28500"/>
    <n v="0.12331578947368421"/>
  </r>
  <r>
    <n v="2019"/>
    <x v="4"/>
    <n v="5"/>
    <x v="7"/>
    <n v="14556.5"/>
    <n v="28500"/>
    <n v="0.51075438596491229"/>
  </r>
  <r>
    <n v="2019"/>
    <x v="4"/>
    <n v="5"/>
    <x v="8"/>
    <n v="25326"/>
    <n v="28500"/>
    <n v="0.88863157894736844"/>
  </r>
  <r>
    <n v="2019"/>
    <x v="4"/>
    <n v="5"/>
    <x v="9"/>
    <n v="24840.5"/>
    <n v="28500"/>
    <n v="0.87159649122807015"/>
  </r>
  <r>
    <n v="2019"/>
    <x v="4"/>
    <n v="5"/>
    <x v="10"/>
    <n v="21896"/>
    <n v="28500"/>
    <n v="0.76828070175438601"/>
  </r>
  <r>
    <n v="2019"/>
    <x v="4"/>
    <n v="5"/>
    <x v="11"/>
    <n v="14200"/>
    <n v="28500"/>
    <n v="0.49824561403508771"/>
  </r>
  <r>
    <n v="2019"/>
    <x v="4"/>
    <n v="5"/>
    <x v="12"/>
    <n v="17883.5"/>
    <n v="28500"/>
    <n v="0.62749122807017543"/>
  </r>
  <r>
    <n v="2019"/>
    <x v="4"/>
    <n v="5"/>
    <x v="13"/>
    <n v="13452"/>
    <n v="28500"/>
    <n v="0.47199999999999998"/>
  </r>
  <r>
    <n v="2019"/>
    <x v="4"/>
    <n v="5"/>
    <x v="14"/>
    <n v="7215"/>
    <n v="28500"/>
    <n v="0.25315789473684208"/>
  </r>
  <r>
    <n v="2019"/>
    <x v="4"/>
    <n v="5"/>
    <x v="15"/>
    <n v="13435.5"/>
    <n v="28500"/>
    <n v="0.47142105263157896"/>
  </r>
  <r>
    <n v="2019"/>
    <x v="4"/>
    <n v="5"/>
    <x v="16"/>
    <n v="13129.5"/>
    <n v="28500"/>
    <n v="0.46068421052631581"/>
  </r>
  <r>
    <n v="2019"/>
    <x v="4"/>
    <n v="5"/>
    <x v="17"/>
    <n v="8168"/>
    <n v="28500"/>
    <n v="0.28659649122807018"/>
  </r>
  <r>
    <n v="2019"/>
    <x v="4"/>
    <n v="5"/>
    <x v="18"/>
    <n v="1415.5"/>
    <n v="28500"/>
    <n v="4.9666666666666665E-2"/>
  </r>
  <r>
    <n v="2019"/>
    <x v="4"/>
    <n v="5"/>
    <x v="19"/>
    <n v="0"/>
    <n v="28500"/>
    <n v="0"/>
  </r>
  <r>
    <n v="2019"/>
    <x v="4"/>
    <n v="5"/>
    <x v="20"/>
    <n v="0"/>
    <n v="28500"/>
    <n v="0"/>
  </r>
  <r>
    <n v="2019"/>
    <x v="4"/>
    <n v="5"/>
    <x v="21"/>
    <n v="0"/>
    <n v="28500"/>
    <n v="0"/>
  </r>
  <r>
    <n v="2019"/>
    <x v="4"/>
    <n v="5"/>
    <x v="22"/>
    <n v="0"/>
    <n v="28500"/>
    <n v="0"/>
  </r>
  <r>
    <n v="2019"/>
    <x v="4"/>
    <n v="5"/>
    <x v="23"/>
    <n v="0"/>
    <n v="28500"/>
    <n v="0"/>
  </r>
  <r>
    <n v="2019"/>
    <x v="4"/>
    <n v="6"/>
    <x v="0"/>
    <n v="0"/>
    <n v="28500"/>
    <n v="0"/>
  </r>
  <r>
    <n v="2019"/>
    <x v="4"/>
    <n v="6"/>
    <x v="1"/>
    <n v="0"/>
    <n v="28500"/>
    <n v="0"/>
  </r>
  <r>
    <n v="2019"/>
    <x v="4"/>
    <n v="6"/>
    <x v="2"/>
    <n v="0"/>
    <n v="28500"/>
    <n v="0"/>
  </r>
  <r>
    <n v="2019"/>
    <x v="4"/>
    <n v="6"/>
    <x v="3"/>
    <n v="0"/>
    <n v="28500"/>
    <n v="0"/>
  </r>
  <r>
    <n v="2019"/>
    <x v="4"/>
    <n v="6"/>
    <x v="4"/>
    <n v="0"/>
    <n v="28500"/>
    <n v="0"/>
  </r>
  <r>
    <n v="2019"/>
    <x v="4"/>
    <n v="6"/>
    <x v="5"/>
    <n v="705.5"/>
    <n v="28500"/>
    <n v="2.4754385964912282E-2"/>
  </r>
  <r>
    <n v="2019"/>
    <x v="4"/>
    <n v="6"/>
    <x v="6"/>
    <n v="3270"/>
    <n v="28500"/>
    <n v="0.11473684210526315"/>
  </r>
  <r>
    <n v="2019"/>
    <x v="4"/>
    <n v="6"/>
    <x v="7"/>
    <n v="12700.5"/>
    <n v="28500"/>
    <n v="0.44563157894736843"/>
  </r>
  <r>
    <n v="2019"/>
    <x v="4"/>
    <n v="6"/>
    <x v="8"/>
    <n v="17556.5"/>
    <n v="28500"/>
    <n v="0.61601754385964913"/>
  </r>
  <r>
    <n v="2019"/>
    <x v="4"/>
    <n v="6"/>
    <x v="9"/>
    <n v="13940"/>
    <n v="28500"/>
    <n v="0.48912280701754385"/>
  </r>
  <r>
    <n v="2019"/>
    <x v="4"/>
    <n v="6"/>
    <x v="10"/>
    <n v="10373"/>
    <n v="28500"/>
    <n v="0.36396491228070177"/>
  </r>
  <r>
    <n v="2019"/>
    <x v="4"/>
    <n v="6"/>
    <x v="11"/>
    <n v="14342"/>
    <n v="28500"/>
    <n v="0.50322807017543858"/>
  </r>
  <r>
    <n v="2019"/>
    <x v="4"/>
    <n v="6"/>
    <x v="12"/>
    <n v="14166"/>
    <n v="28500"/>
    <n v="0.49705263157894736"/>
  </r>
  <r>
    <n v="2019"/>
    <x v="4"/>
    <n v="6"/>
    <x v="13"/>
    <n v="10154"/>
    <n v="28500"/>
    <n v="0.35628070175438598"/>
  </r>
  <r>
    <n v="2019"/>
    <x v="4"/>
    <n v="6"/>
    <x v="14"/>
    <n v="14345"/>
    <n v="28500"/>
    <n v="0.5033333333333333"/>
  </r>
  <r>
    <n v="2019"/>
    <x v="4"/>
    <n v="6"/>
    <x v="15"/>
    <n v="17941"/>
    <n v="28500"/>
    <n v="0.62950877192982457"/>
  </r>
  <r>
    <n v="2019"/>
    <x v="4"/>
    <n v="6"/>
    <x v="16"/>
    <n v="12191"/>
    <n v="28500"/>
    <n v="0.42775438596491228"/>
  </r>
  <r>
    <n v="2019"/>
    <x v="4"/>
    <n v="6"/>
    <x v="17"/>
    <n v="5792.5"/>
    <n v="28500"/>
    <n v="0.20324561403508773"/>
  </r>
  <r>
    <n v="2019"/>
    <x v="4"/>
    <n v="6"/>
    <x v="18"/>
    <n v="1985"/>
    <n v="28500"/>
    <n v="6.9649122807017544E-2"/>
  </r>
  <r>
    <n v="2019"/>
    <x v="4"/>
    <n v="6"/>
    <x v="19"/>
    <n v="0"/>
    <n v="28500"/>
    <n v="0"/>
  </r>
  <r>
    <n v="2019"/>
    <x v="4"/>
    <n v="6"/>
    <x v="20"/>
    <n v="0"/>
    <n v="28500"/>
    <n v="0"/>
  </r>
  <r>
    <n v="2019"/>
    <x v="4"/>
    <n v="6"/>
    <x v="21"/>
    <n v="0"/>
    <n v="28500"/>
    <n v="0"/>
  </r>
  <r>
    <n v="2019"/>
    <x v="4"/>
    <n v="6"/>
    <x v="22"/>
    <n v="0"/>
    <n v="28500"/>
    <n v="0"/>
  </r>
  <r>
    <n v="2019"/>
    <x v="4"/>
    <n v="6"/>
    <x v="23"/>
    <n v="0"/>
    <n v="28500"/>
    <n v="0"/>
  </r>
  <r>
    <n v="2019"/>
    <x v="4"/>
    <n v="7"/>
    <x v="0"/>
    <n v="0"/>
    <n v="28500"/>
    <n v="0"/>
  </r>
  <r>
    <n v="2019"/>
    <x v="4"/>
    <n v="7"/>
    <x v="1"/>
    <n v="0"/>
    <n v="28500"/>
    <n v="0"/>
  </r>
  <r>
    <n v="2019"/>
    <x v="4"/>
    <n v="7"/>
    <x v="2"/>
    <n v="0"/>
    <n v="28500"/>
    <n v="0"/>
  </r>
  <r>
    <n v="2019"/>
    <x v="4"/>
    <n v="7"/>
    <x v="3"/>
    <n v="0"/>
    <n v="28500"/>
    <n v="0"/>
  </r>
  <r>
    <n v="2019"/>
    <x v="4"/>
    <n v="7"/>
    <x v="4"/>
    <n v="0"/>
    <n v="28500"/>
    <n v="0"/>
  </r>
  <r>
    <n v="2019"/>
    <x v="4"/>
    <n v="7"/>
    <x v="5"/>
    <n v="800.5"/>
    <n v="28500"/>
    <n v="2.8087719298245613E-2"/>
  </r>
  <r>
    <n v="2019"/>
    <x v="4"/>
    <n v="7"/>
    <x v="6"/>
    <n v="3992.5"/>
    <n v="28500"/>
    <n v="0.14008771929824562"/>
  </r>
  <r>
    <n v="2019"/>
    <x v="4"/>
    <n v="7"/>
    <x v="7"/>
    <n v="11776"/>
    <n v="28500"/>
    <n v="0.41319298245614033"/>
  </r>
  <r>
    <n v="2019"/>
    <x v="4"/>
    <n v="7"/>
    <x v="8"/>
    <n v="21783"/>
    <n v="28500"/>
    <n v="0.76431578947368417"/>
  </r>
  <r>
    <n v="2019"/>
    <x v="4"/>
    <n v="7"/>
    <x v="9"/>
    <n v="30505"/>
    <n v="28500"/>
    <n v="1.0703508771929824"/>
  </r>
  <r>
    <n v="2019"/>
    <x v="4"/>
    <n v="7"/>
    <x v="10"/>
    <n v="30330.5"/>
    <n v="28500"/>
    <n v="1.0642280701754385"/>
  </r>
  <r>
    <n v="2019"/>
    <x v="4"/>
    <n v="7"/>
    <x v="11"/>
    <n v="26606"/>
    <n v="28500"/>
    <n v="0.93354385964912279"/>
  </r>
  <r>
    <n v="2019"/>
    <x v="4"/>
    <n v="7"/>
    <x v="12"/>
    <n v="26540.5"/>
    <n v="28500"/>
    <n v="0.93124561403508777"/>
  </r>
  <r>
    <n v="2019"/>
    <x v="4"/>
    <n v="7"/>
    <x v="13"/>
    <n v="16688"/>
    <n v="28500"/>
    <n v="0.58554385964912281"/>
  </r>
  <r>
    <n v="2019"/>
    <x v="4"/>
    <n v="7"/>
    <x v="14"/>
    <n v="15600.5"/>
    <n v="28500"/>
    <n v="0.54738596491228075"/>
  </r>
  <r>
    <n v="2019"/>
    <x v="4"/>
    <n v="7"/>
    <x v="15"/>
    <n v="22218.5"/>
    <n v="28500"/>
    <n v="0.77959649122807018"/>
  </r>
  <r>
    <n v="2019"/>
    <x v="4"/>
    <n v="7"/>
    <x v="16"/>
    <n v="12425"/>
    <n v="28500"/>
    <n v="0.43596491228070178"/>
  </r>
  <r>
    <n v="2019"/>
    <x v="4"/>
    <n v="7"/>
    <x v="17"/>
    <n v="6898"/>
    <n v="28500"/>
    <n v="0.24203508771929824"/>
  </r>
  <r>
    <n v="2019"/>
    <x v="4"/>
    <n v="7"/>
    <x v="18"/>
    <n v="1903"/>
    <n v="28500"/>
    <n v="6.6771929824561399E-2"/>
  </r>
  <r>
    <n v="2019"/>
    <x v="4"/>
    <n v="7"/>
    <x v="19"/>
    <n v="0"/>
    <n v="28500"/>
    <n v="0"/>
  </r>
  <r>
    <n v="2019"/>
    <x v="4"/>
    <n v="7"/>
    <x v="20"/>
    <n v="0"/>
    <n v="28500"/>
    <n v="0"/>
  </r>
  <r>
    <n v="2019"/>
    <x v="4"/>
    <n v="7"/>
    <x v="21"/>
    <n v="0"/>
    <n v="28500"/>
    <n v="0"/>
  </r>
  <r>
    <n v="2019"/>
    <x v="4"/>
    <n v="7"/>
    <x v="22"/>
    <n v="0"/>
    <n v="28500"/>
    <n v="0"/>
  </r>
  <r>
    <n v="2019"/>
    <x v="4"/>
    <n v="7"/>
    <x v="23"/>
    <n v="0"/>
    <n v="28500"/>
    <n v="0"/>
  </r>
  <r>
    <n v="2019"/>
    <x v="4"/>
    <n v="8"/>
    <x v="0"/>
    <n v="0"/>
    <n v="28500"/>
    <n v="0"/>
  </r>
  <r>
    <n v="2019"/>
    <x v="4"/>
    <n v="8"/>
    <x v="1"/>
    <n v="0"/>
    <n v="28500"/>
    <n v="0"/>
  </r>
  <r>
    <n v="2019"/>
    <x v="4"/>
    <n v="8"/>
    <x v="2"/>
    <n v="0"/>
    <n v="28500"/>
    <n v="0"/>
  </r>
  <r>
    <n v="2019"/>
    <x v="4"/>
    <n v="8"/>
    <x v="3"/>
    <n v="0"/>
    <n v="28500"/>
    <n v="0"/>
  </r>
  <r>
    <n v="2019"/>
    <x v="4"/>
    <n v="8"/>
    <x v="4"/>
    <n v="0"/>
    <n v="28500"/>
    <n v="0"/>
  </r>
  <r>
    <n v="2019"/>
    <x v="4"/>
    <n v="8"/>
    <x v="5"/>
    <n v="0"/>
    <n v="28500"/>
    <n v="0"/>
  </r>
  <r>
    <n v="2019"/>
    <x v="4"/>
    <n v="8"/>
    <x v="6"/>
    <n v="4069.5"/>
    <n v="28500"/>
    <n v="0.14278947368421052"/>
  </r>
  <r>
    <n v="2019"/>
    <x v="4"/>
    <n v="8"/>
    <x v="7"/>
    <n v="5493.5"/>
    <n v="28500"/>
    <n v="0.19275438596491229"/>
  </r>
  <r>
    <n v="2019"/>
    <x v="4"/>
    <n v="8"/>
    <x v="8"/>
    <n v="1833"/>
    <n v="28500"/>
    <n v="6.4315789473684215E-2"/>
  </r>
  <r>
    <n v="2019"/>
    <x v="4"/>
    <n v="8"/>
    <x v="9"/>
    <n v="3775.5"/>
    <n v="28500"/>
    <n v="0.13247368421052633"/>
  </r>
  <r>
    <n v="2019"/>
    <x v="4"/>
    <n v="8"/>
    <x v="10"/>
    <n v="3252"/>
    <n v="28500"/>
    <n v="0.11410526315789474"/>
  </r>
  <r>
    <n v="2019"/>
    <x v="4"/>
    <n v="8"/>
    <x v="11"/>
    <n v="7231"/>
    <n v="28500"/>
    <n v="0.25371929824561401"/>
  </r>
  <r>
    <n v="2019"/>
    <x v="4"/>
    <n v="8"/>
    <x v="12"/>
    <n v="22706"/>
    <n v="28500"/>
    <n v="0.79670175438596491"/>
  </r>
  <r>
    <n v="2019"/>
    <x v="4"/>
    <n v="8"/>
    <x v="13"/>
    <n v="31996.5"/>
    <n v="28500"/>
    <n v="1.1226842105263157"/>
  </r>
  <r>
    <n v="2019"/>
    <x v="4"/>
    <n v="8"/>
    <x v="14"/>
    <n v="25947"/>
    <n v="28500"/>
    <n v="0.91042105263157891"/>
  </r>
  <r>
    <n v="2019"/>
    <x v="4"/>
    <n v="8"/>
    <x v="15"/>
    <n v="23936"/>
    <n v="28500"/>
    <n v="0.83985964912280697"/>
  </r>
  <r>
    <n v="2019"/>
    <x v="4"/>
    <n v="8"/>
    <x v="16"/>
    <n v="16092"/>
    <n v="28500"/>
    <n v="0.56463157894736837"/>
  </r>
  <r>
    <n v="2019"/>
    <x v="4"/>
    <n v="8"/>
    <x v="17"/>
    <n v="7113.5"/>
    <n v="28500"/>
    <n v="0.24959649122807018"/>
  </r>
  <r>
    <n v="2019"/>
    <x v="4"/>
    <n v="8"/>
    <x v="18"/>
    <n v="984"/>
    <n v="28500"/>
    <n v="3.4526315789473683E-2"/>
  </r>
  <r>
    <n v="2019"/>
    <x v="4"/>
    <n v="8"/>
    <x v="19"/>
    <n v="0"/>
    <n v="28500"/>
    <n v="0"/>
  </r>
  <r>
    <n v="2019"/>
    <x v="4"/>
    <n v="8"/>
    <x v="20"/>
    <n v="0"/>
    <n v="28500"/>
    <n v="0"/>
  </r>
  <r>
    <n v="2019"/>
    <x v="4"/>
    <n v="8"/>
    <x v="21"/>
    <n v="0"/>
    <n v="28500"/>
    <n v="0"/>
  </r>
  <r>
    <n v="2019"/>
    <x v="4"/>
    <n v="8"/>
    <x v="22"/>
    <n v="0"/>
    <n v="28500"/>
    <n v="0"/>
  </r>
  <r>
    <n v="2019"/>
    <x v="4"/>
    <n v="8"/>
    <x v="23"/>
    <n v="0"/>
    <n v="28500"/>
    <n v="0"/>
  </r>
  <r>
    <n v="2019"/>
    <x v="4"/>
    <n v="9"/>
    <x v="0"/>
    <n v="0"/>
    <n v="28500"/>
    <n v="0"/>
  </r>
  <r>
    <n v="2019"/>
    <x v="4"/>
    <n v="9"/>
    <x v="1"/>
    <n v="0"/>
    <n v="28500"/>
    <n v="0"/>
  </r>
  <r>
    <n v="2019"/>
    <x v="4"/>
    <n v="9"/>
    <x v="2"/>
    <n v="0"/>
    <n v="28500"/>
    <n v="0"/>
  </r>
  <r>
    <n v="2019"/>
    <x v="4"/>
    <n v="9"/>
    <x v="3"/>
    <n v="0"/>
    <n v="28500"/>
    <n v="0"/>
  </r>
  <r>
    <n v="2019"/>
    <x v="4"/>
    <n v="9"/>
    <x v="4"/>
    <n v="0"/>
    <n v="28500"/>
    <n v="0"/>
  </r>
  <r>
    <n v="2019"/>
    <x v="4"/>
    <n v="9"/>
    <x v="5"/>
    <n v="791"/>
    <n v="28500"/>
    <n v="2.7754385964912281E-2"/>
  </r>
  <r>
    <n v="2019"/>
    <x v="4"/>
    <n v="9"/>
    <x v="6"/>
    <n v="3394"/>
    <n v="28500"/>
    <n v="0.11908771929824562"/>
  </r>
  <r>
    <n v="2019"/>
    <x v="4"/>
    <n v="9"/>
    <x v="7"/>
    <n v="13611.5"/>
    <n v="28500"/>
    <n v="0.47759649122807019"/>
  </r>
  <r>
    <n v="2019"/>
    <x v="4"/>
    <n v="9"/>
    <x v="8"/>
    <n v="17539.5"/>
    <n v="28500"/>
    <n v="0.61542105263157898"/>
  </r>
  <r>
    <n v="2019"/>
    <x v="4"/>
    <n v="9"/>
    <x v="9"/>
    <n v="19596.5"/>
    <n v="28500"/>
    <n v="0.68759649122807021"/>
  </r>
  <r>
    <n v="2019"/>
    <x v="4"/>
    <n v="9"/>
    <x v="10"/>
    <n v="16424.5"/>
    <n v="28500"/>
    <n v="0.57629824561403509"/>
  </r>
  <r>
    <n v="2019"/>
    <x v="4"/>
    <n v="9"/>
    <x v="11"/>
    <n v="34346.5"/>
    <n v="28500"/>
    <n v="1.205140350877193"/>
  </r>
  <r>
    <n v="2019"/>
    <x v="4"/>
    <n v="9"/>
    <x v="12"/>
    <n v="4727"/>
    <n v="28500"/>
    <n v="0.16585964912280701"/>
  </r>
  <r>
    <n v="2019"/>
    <x v="4"/>
    <n v="9"/>
    <x v="13"/>
    <n v="2489.5"/>
    <n v="28500"/>
    <n v="8.7350877192982457E-2"/>
  </r>
  <r>
    <n v="2019"/>
    <x v="4"/>
    <n v="9"/>
    <x v="14"/>
    <n v="6295.5"/>
    <n v="28500"/>
    <n v="0.22089473684210525"/>
  </r>
  <r>
    <n v="2019"/>
    <x v="4"/>
    <n v="9"/>
    <x v="15"/>
    <n v="6451.5"/>
    <n v="28500"/>
    <n v="0.22636842105263158"/>
  </r>
  <r>
    <n v="2019"/>
    <x v="4"/>
    <n v="9"/>
    <x v="16"/>
    <n v="3022"/>
    <n v="28500"/>
    <n v="0.10603508771929825"/>
  </r>
  <r>
    <n v="2019"/>
    <x v="4"/>
    <n v="9"/>
    <x v="17"/>
    <n v="2810.5"/>
    <n v="28500"/>
    <n v="9.8614035087719293E-2"/>
  </r>
  <r>
    <n v="2019"/>
    <x v="4"/>
    <n v="9"/>
    <x v="18"/>
    <n v="119"/>
    <n v="28500"/>
    <n v="4.175438596491228E-3"/>
  </r>
  <r>
    <n v="2019"/>
    <x v="4"/>
    <n v="9"/>
    <x v="19"/>
    <n v="0"/>
    <n v="28500"/>
    <n v="0"/>
  </r>
  <r>
    <n v="2019"/>
    <x v="4"/>
    <n v="9"/>
    <x v="20"/>
    <n v="0"/>
    <n v="28500"/>
    <n v="0"/>
  </r>
  <r>
    <n v="2019"/>
    <x v="4"/>
    <n v="9"/>
    <x v="21"/>
    <n v="0"/>
    <n v="28500"/>
    <n v="0"/>
  </r>
  <r>
    <n v="2019"/>
    <x v="4"/>
    <n v="9"/>
    <x v="22"/>
    <n v="0"/>
    <n v="28500"/>
    <n v="0"/>
  </r>
  <r>
    <n v="2019"/>
    <x v="4"/>
    <n v="9"/>
    <x v="23"/>
    <n v="0"/>
    <n v="28500"/>
    <n v="0"/>
  </r>
  <r>
    <n v="2019"/>
    <x v="4"/>
    <n v="10"/>
    <x v="0"/>
    <n v="0"/>
    <n v="28500"/>
    <n v="0"/>
  </r>
  <r>
    <n v="2019"/>
    <x v="4"/>
    <n v="10"/>
    <x v="1"/>
    <n v="0"/>
    <n v="28500"/>
    <n v="0"/>
  </r>
  <r>
    <n v="2019"/>
    <x v="4"/>
    <n v="10"/>
    <x v="2"/>
    <n v="0"/>
    <n v="28500"/>
    <n v="0"/>
  </r>
  <r>
    <n v="2019"/>
    <x v="4"/>
    <n v="10"/>
    <x v="3"/>
    <n v="0"/>
    <n v="28500"/>
    <n v="0"/>
  </r>
  <r>
    <n v="2019"/>
    <x v="4"/>
    <n v="10"/>
    <x v="4"/>
    <n v="0"/>
    <n v="28500"/>
    <n v="0"/>
  </r>
  <r>
    <n v="2019"/>
    <x v="4"/>
    <n v="10"/>
    <x v="5"/>
    <n v="194"/>
    <n v="28500"/>
    <n v="6.8070175438596494E-3"/>
  </r>
  <r>
    <n v="2019"/>
    <x v="4"/>
    <n v="10"/>
    <x v="6"/>
    <n v="3759.5"/>
    <n v="28500"/>
    <n v="0.1319122807017544"/>
  </r>
  <r>
    <n v="2019"/>
    <x v="4"/>
    <n v="10"/>
    <x v="7"/>
    <n v="6222"/>
    <n v="28500"/>
    <n v="0.21831578947368421"/>
  </r>
  <r>
    <n v="2019"/>
    <x v="4"/>
    <n v="10"/>
    <x v="8"/>
    <n v="12014"/>
    <n v="28500"/>
    <n v="0.42154385964912283"/>
  </r>
  <r>
    <n v="2019"/>
    <x v="4"/>
    <n v="10"/>
    <x v="9"/>
    <n v="26048"/>
    <n v="28500"/>
    <n v="0.91396491228070176"/>
  </r>
  <r>
    <n v="2019"/>
    <x v="4"/>
    <n v="10"/>
    <x v="10"/>
    <n v="22922.5"/>
    <n v="28500"/>
    <n v="0.80429824561403507"/>
  </r>
  <r>
    <n v="2019"/>
    <x v="4"/>
    <n v="10"/>
    <x v="11"/>
    <n v="26300.5"/>
    <n v="28500"/>
    <n v="0.92282456140350877"/>
  </r>
  <r>
    <n v="2019"/>
    <x v="4"/>
    <n v="10"/>
    <x v="12"/>
    <n v="9439"/>
    <n v="28500"/>
    <n v="0.33119298245614037"/>
  </r>
  <r>
    <n v="2019"/>
    <x v="4"/>
    <n v="10"/>
    <x v="13"/>
    <n v="9894.5"/>
    <n v="28500"/>
    <n v="0.34717543859649125"/>
  </r>
  <r>
    <n v="2019"/>
    <x v="4"/>
    <n v="10"/>
    <x v="14"/>
    <n v="28987.5"/>
    <n v="28500"/>
    <n v="1.0171052631578947"/>
  </r>
  <r>
    <n v="2019"/>
    <x v="4"/>
    <n v="10"/>
    <x v="15"/>
    <n v="27034.5"/>
    <n v="28500"/>
    <n v="0.94857894736842108"/>
  </r>
  <r>
    <n v="2019"/>
    <x v="4"/>
    <n v="10"/>
    <x v="16"/>
    <n v="15114"/>
    <n v="28500"/>
    <n v="0.53031578947368418"/>
  </r>
  <r>
    <n v="2019"/>
    <x v="4"/>
    <n v="10"/>
    <x v="17"/>
    <n v="7176"/>
    <n v="28500"/>
    <n v="0.25178947368421051"/>
  </r>
  <r>
    <n v="2019"/>
    <x v="4"/>
    <n v="10"/>
    <x v="18"/>
    <n v="1504"/>
    <n v="28500"/>
    <n v="5.27719298245614E-2"/>
  </r>
  <r>
    <n v="2019"/>
    <x v="4"/>
    <n v="10"/>
    <x v="19"/>
    <n v="20.5"/>
    <n v="28500"/>
    <n v="7.1929824561403513E-4"/>
  </r>
  <r>
    <n v="2019"/>
    <x v="4"/>
    <n v="10"/>
    <x v="20"/>
    <n v="0"/>
    <n v="28500"/>
    <n v="0"/>
  </r>
  <r>
    <n v="2019"/>
    <x v="4"/>
    <n v="10"/>
    <x v="21"/>
    <n v="0"/>
    <n v="28500"/>
    <n v="0"/>
  </r>
  <r>
    <n v="2019"/>
    <x v="4"/>
    <n v="10"/>
    <x v="22"/>
    <n v="0"/>
    <n v="28500"/>
    <n v="0"/>
  </r>
  <r>
    <n v="2019"/>
    <x v="4"/>
    <n v="10"/>
    <x v="23"/>
    <n v="0"/>
    <n v="28500"/>
    <n v="0"/>
  </r>
  <r>
    <n v="2019"/>
    <x v="4"/>
    <n v="11"/>
    <x v="0"/>
    <n v="0"/>
    <n v="28500"/>
    <n v="0"/>
  </r>
  <r>
    <n v="2019"/>
    <x v="4"/>
    <n v="11"/>
    <x v="1"/>
    <n v="0"/>
    <n v="28500"/>
    <n v="0"/>
  </r>
  <r>
    <n v="2019"/>
    <x v="4"/>
    <n v="11"/>
    <x v="2"/>
    <n v="0"/>
    <n v="28500"/>
    <n v="0"/>
  </r>
  <r>
    <n v="2019"/>
    <x v="4"/>
    <n v="11"/>
    <x v="3"/>
    <n v="0"/>
    <n v="28500"/>
    <n v="0"/>
  </r>
  <r>
    <n v="2019"/>
    <x v="4"/>
    <n v="11"/>
    <x v="4"/>
    <n v="0"/>
    <n v="28500"/>
    <n v="0"/>
  </r>
  <r>
    <n v="2019"/>
    <x v="4"/>
    <n v="11"/>
    <x v="5"/>
    <n v="674"/>
    <n v="28500"/>
    <n v="2.3649122807017545E-2"/>
  </r>
  <r>
    <n v="2019"/>
    <x v="4"/>
    <n v="11"/>
    <x v="6"/>
    <n v="4004.5"/>
    <n v="28500"/>
    <n v="0.14050877192982456"/>
  </r>
  <r>
    <n v="2019"/>
    <x v="4"/>
    <n v="11"/>
    <x v="7"/>
    <n v="2473"/>
    <n v="28500"/>
    <n v="8.6771929824561403E-2"/>
  </r>
  <r>
    <n v="2019"/>
    <x v="4"/>
    <n v="11"/>
    <x v="8"/>
    <n v="2915"/>
    <n v="28500"/>
    <n v="0.10228070175438596"/>
  </r>
  <r>
    <n v="2019"/>
    <x v="4"/>
    <n v="11"/>
    <x v="9"/>
    <n v="3901.5"/>
    <n v="28500"/>
    <n v="0.13689473684210526"/>
  </r>
  <r>
    <n v="2019"/>
    <x v="4"/>
    <n v="11"/>
    <x v="10"/>
    <n v="16118"/>
    <n v="28500"/>
    <n v="0.56554385964912279"/>
  </r>
  <r>
    <n v="2019"/>
    <x v="4"/>
    <n v="11"/>
    <x v="11"/>
    <n v="19731.5"/>
    <n v="28500"/>
    <n v="0.69233333333333336"/>
  </r>
  <r>
    <n v="2019"/>
    <x v="4"/>
    <n v="11"/>
    <x v="12"/>
    <n v="8731.5"/>
    <n v="28500"/>
    <n v="0.30636842105263157"/>
  </r>
  <r>
    <n v="2019"/>
    <x v="4"/>
    <n v="11"/>
    <x v="13"/>
    <n v="23509"/>
    <n v="28500"/>
    <n v="0.8248771929824561"/>
  </r>
  <r>
    <n v="2019"/>
    <x v="4"/>
    <n v="11"/>
    <x v="14"/>
    <n v="23520"/>
    <n v="28500"/>
    <n v="0.82526315789473681"/>
  </r>
  <r>
    <n v="2019"/>
    <x v="4"/>
    <n v="11"/>
    <x v="15"/>
    <n v="11240.5"/>
    <n v="28500"/>
    <n v="0.39440350877192981"/>
  </r>
  <r>
    <n v="2019"/>
    <x v="4"/>
    <n v="11"/>
    <x v="16"/>
    <n v="13791"/>
    <n v="28500"/>
    <n v="0.48389473684210527"/>
  </r>
  <r>
    <n v="2019"/>
    <x v="4"/>
    <n v="11"/>
    <x v="17"/>
    <n v="8364"/>
    <n v="28500"/>
    <n v="0.29347368421052633"/>
  </r>
  <r>
    <n v="2019"/>
    <x v="4"/>
    <n v="11"/>
    <x v="18"/>
    <n v="1672.5"/>
    <n v="28500"/>
    <n v="5.868421052631579E-2"/>
  </r>
  <r>
    <n v="2019"/>
    <x v="4"/>
    <n v="11"/>
    <x v="19"/>
    <n v="0"/>
    <n v="28500"/>
    <n v="0"/>
  </r>
  <r>
    <n v="2019"/>
    <x v="4"/>
    <n v="11"/>
    <x v="20"/>
    <n v="0"/>
    <n v="28500"/>
    <n v="0"/>
  </r>
  <r>
    <n v="2019"/>
    <x v="4"/>
    <n v="11"/>
    <x v="21"/>
    <n v="0"/>
    <n v="28500"/>
    <n v="0"/>
  </r>
  <r>
    <n v="2019"/>
    <x v="4"/>
    <n v="11"/>
    <x v="22"/>
    <n v="0"/>
    <n v="28500"/>
    <n v="0"/>
  </r>
  <r>
    <n v="2019"/>
    <x v="4"/>
    <n v="11"/>
    <x v="23"/>
    <n v="0"/>
    <n v="28500"/>
    <n v="0"/>
  </r>
  <r>
    <n v="2019"/>
    <x v="4"/>
    <n v="12"/>
    <x v="0"/>
    <n v="0"/>
    <n v="28500"/>
    <n v="0"/>
  </r>
  <r>
    <n v="2019"/>
    <x v="4"/>
    <n v="12"/>
    <x v="1"/>
    <n v="0"/>
    <n v="28500"/>
    <n v="0"/>
  </r>
  <r>
    <n v="2019"/>
    <x v="4"/>
    <n v="12"/>
    <x v="2"/>
    <n v="0"/>
    <n v="28500"/>
    <n v="0"/>
  </r>
  <r>
    <n v="2019"/>
    <x v="4"/>
    <n v="12"/>
    <x v="3"/>
    <n v="0"/>
    <n v="28500"/>
    <n v="0"/>
  </r>
  <r>
    <n v="2019"/>
    <x v="4"/>
    <n v="12"/>
    <x v="4"/>
    <n v="0"/>
    <n v="28500"/>
    <n v="0"/>
  </r>
  <r>
    <n v="2019"/>
    <x v="4"/>
    <n v="12"/>
    <x v="5"/>
    <n v="1089.5"/>
    <n v="28500"/>
    <n v="3.8228070175438597E-2"/>
  </r>
  <r>
    <n v="2019"/>
    <x v="4"/>
    <n v="12"/>
    <x v="6"/>
    <n v="3655"/>
    <n v="28500"/>
    <n v="0.12824561403508772"/>
  </r>
  <r>
    <n v="2019"/>
    <x v="4"/>
    <n v="12"/>
    <x v="7"/>
    <n v="14102"/>
    <n v="28500"/>
    <n v="0.49480701754385964"/>
  </r>
  <r>
    <n v="2019"/>
    <x v="4"/>
    <n v="12"/>
    <x v="8"/>
    <n v="24566.5"/>
    <n v="28500"/>
    <n v="0.86198245614035085"/>
  </r>
  <r>
    <n v="2019"/>
    <x v="4"/>
    <n v="12"/>
    <x v="9"/>
    <n v="33538.5"/>
    <n v="28500"/>
    <n v="1.1767894736842106"/>
  </r>
  <r>
    <n v="2019"/>
    <x v="4"/>
    <n v="12"/>
    <x v="10"/>
    <n v="38412"/>
    <n v="28500"/>
    <n v="1.3477894736842104"/>
  </r>
  <r>
    <n v="2019"/>
    <x v="4"/>
    <n v="12"/>
    <x v="11"/>
    <n v="41201.5"/>
    <n v="28500"/>
    <n v="1.4456666666666667"/>
  </r>
  <r>
    <n v="2019"/>
    <x v="4"/>
    <n v="12"/>
    <x v="12"/>
    <n v="37018.5"/>
    <n v="28500"/>
    <n v="1.2988947368421053"/>
  </r>
  <r>
    <n v="2019"/>
    <x v="4"/>
    <n v="12"/>
    <x v="13"/>
    <n v="27179"/>
    <n v="28500"/>
    <n v="0.95364912280701752"/>
  </r>
  <r>
    <n v="2019"/>
    <x v="4"/>
    <n v="12"/>
    <x v="14"/>
    <n v="23441.5"/>
    <n v="28500"/>
    <n v="0.82250877192982452"/>
  </r>
  <r>
    <n v="2019"/>
    <x v="4"/>
    <n v="12"/>
    <x v="15"/>
    <n v="19951"/>
    <n v="28500"/>
    <n v="0.70003508771929823"/>
  </r>
  <r>
    <n v="2019"/>
    <x v="4"/>
    <n v="12"/>
    <x v="16"/>
    <n v="19231"/>
    <n v="28500"/>
    <n v="0.67477192982456136"/>
  </r>
  <r>
    <n v="2019"/>
    <x v="4"/>
    <n v="12"/>
    <x v="17"/>
    <n v="8296"/>
    <n v="28500"/>
    <n v="0.29108771929824562"/>
  </r>
  <r>
    <n v="2019"/>
    <x v="4"/>
    <n v="12"/>
    <x v="18"/>
    <n v="1059"/>
    <n v="28500"/>
    <n v="3.7157894736842105E-2"/>
  </r>
  <r>
    <n v="2019"/>
    <x v="4"/>
    <n v="12"/>
    <x v="19"/>
    <n v="57"/>
    <n v="28500"/>
    <n v="2E-3"/>
  </r>
  <r>
    <n v="2019"/>
    <x v="4"/>
    <n v="12"/>
    <x v="20"/>
    <n v="0"/>
    <n v="28500"/>
    <n v="0"/>
  </r>
  <r>
    <n v="2019"/>
    <x v="4"/>
    <n v="12"/>
    <x v="21"/>
    <n v="0"/>
    <n v="28500"/>
    <n v="0"/>
  </r>
  <r>
    <n v="2019"/>
    <x v="4"/>
    <n v="12"/>
    <x v="22"/>
    <n v="0"/>
    <n v="28500"/>
    <n v="0"/>
  </r>
  <r>
    <n v="2019"/>
    <x v="4"/>
    <n v="12"/>
    <x v="23"/>
    <n v="0"/>
    <n v="28500"/>
    <n v="0"/>
  </r>
  <r>
    <n v="2019"/>
    <x v="4"/>
    <n v="13"/>
    <x v="0"/>
    <n v="0"/>
    <n v="28500"/>
    <n v="0"/>
  </r>
  <r>
    <n v="2019"/>
    <x v="4"/>
    <n v="13"/>
    <x v="1"/>
    <n v="0"/>
    <n v="28500"/>
    <n v="0"/>
  </r>
  <r>
    <n v="2019"/>
    <x v="4"/>
    <n v="13"/>
    <x v="2"/>
    <n v="0"/>
    <n v="28500"/>
    <n v="0"/>
  </r>
  <r>
    <n v="2019"/>
    <x v="4"/>
    <n v="13"/>
    <x v="3"/>
    <n v="0"/>
    <n v="28500"/>
    <n v="0"/>
  </r>
  <r>
    <n v="2019"/>
    <x v="4"/>
    <n v="13"/>
    <x v="4"/>
    <n v="0"/>
    <n v="28500"/>
    <n v="0"/>
  </r>
  <r>
    <n v="2019"/>
    <x v="4"/>
    <n v="13"/>
    <x v="5"/>
    <n v="998.5"/>
    <n v="28500"/>
    <n v="3.5035087719298245E-2"/>
  </r>
  <r>
    <n v="2019"/>
    <x v="4"/>
    <n v="13"/>
    <x v="6"/>
    <n v="3723.5"/>
    <n v="28500"/>
    <n v="0.13064912280701754"/>
  </r>
  <r>
    <n v="2019"/>
    <x v="4"/>
    <n v="13"/>
    <x v="7"/>
    <n v="14153"/>
    <n v="28500"/>
    <n v="0.4965964912280702"/>
  </r>
  <r>
    <n v="2019"/>
    <x v="4"/>
    <n v="13"/>
    <x v="8"/>
    <n v="21662"/>
    <n v="28500"/>
    <n v="0.76007017543859645"/>
  </r>
  <r>
    <n v="2019"/>
    <x v="4"/>
    <n v="13"/>
    <x v="9"/>
    <n v="32302.5"/>
    <n v="28500"/>
    <n v="1.1334210526315789"/>
  </r>
  <r>
    <n v="2019"/>
    <x v="4"/>
    <n v="13"/>
    <x v="10"/>
    <n v="39168.5"/>
    <n v="28500"/>
    <n v="1.3743333333333334"/>
  </r>
  <r>
    <n v="2019"/>
    <x v="4"/>
    <n v="13"/>
    <x v="11"/>
    <n v="42280.5"/>
    <n v="28500"/>
    <n v="1.4835263157894736"/>
  </r>
  <r>
    <n v="2019"/>
    <x v="4"/>
    <n v="13"/>
    <x v="12"/>
    <n v="43132"/>
    <n v="28500"/>
    <n v="1.5134035087719298"/>
  </r>
  <r>
    <n v="2019"/>
    <x v="4"/>
    <n v="13"/>
    <x v="13"/>
    <n v="41294.5"/>
    <n v="28500"/>
    <n v="1.4489298245614035"/>
  </r>
  <r>
    <n v="2019"/>
    <x v="4"/>
    <n v="13"/>
    <x v="14"/>
    <n v="35974"/>
    <n v="28500"/>
    <n v="1.2622456140350877"/>
  </r>
  <r>
    <n v="2019"/>
    <x v="4"/>
    <n v="13"/>
    <x v="15"/>
    <n v="28670.5"/>
    <n v="28500"/>
    <n v="1.005982456140351"/>
  </r>
  <r>
    <n v="2019"/>
    <x v="4"/>
    <n v="13"/>
    <x v="16"/>
    <n v="19715"/>
    <n v="28500"/>
    <n v="0.69175438596491223"/>
  </r>
  <r>
    <n v="2019"/>
    <x v="4"/>
    <n v="13"/>
    <x v="17"/>
    <n v="6334.5"/>
    <n v="28500"/>
    <n v="0.22226315789473683"/>
  </r>
  <r>
    <n v="2019"/>
    <x v="4"/>
    <n v="13"/>
    <x v="18"/>
    <n v="2313.5"/>
    <n v="28500"/>
    <n v="8.1175438596491234E-2"/>
  </r>
  <r>
    <n v="2019"/>
    <x v="4"/>
    <n v="13"/>
    <x v="19"/>
    <n v="98"/>
    <n v="28500"/>
    <n v="3.4385964912280703E-3"/>
  </r>
  <r>
    <n v="2019"/>
    <x v="4"/>
    <n v="13"/>
    <x v="20"/>
    <n v="0"/>
    <n v="28500"/>
    <n v="0"/>
  </r>
  <r>
    <n v="2019"/>
    <x v="4"/>
    <n v="13"/>
    <x v="21"/>
    <n v="0"/>
    <n v="28500"/>
    <n v="0"/>
  </r>
  <r>
    <n v="2019"/>
    <x v="4"/>
    <n v="13"/>
    <x v="22"/>
    <n v="0"/>
    <n v="28500"/>
    <n v="0"/>
  </r>
  <r>
    <n v="2019"/>
    <x v="4"/>
    <n v="13"/>
    <x v="23"/>
    <n v="0"/>
    <n v="28500"/>
    <n v="0"/>
  </r>
  <r>
    <n v="2019"/>
    <x v="4"/>
    <n v="14"/>
    <x v="0"/>
    <n v="0"/>
    <n v="28500"/>
    <n v="0"/>
  </r>
  <r>
    <n v="2019"/>
    <x v="4"/>
    <n v="14"/>
    <x v="1"/>
    <n v="0"/>
    <n v="28500"/>
    <n v="0"/>
  </r>
  <r>
    <n v="2019"/>
    <x v="4"/>
    <n v="14"/>
    <x v="2"/>
    <n v="0"/>
    <n v="28500"/>
    <n v="0"/>
  </r>
  <r>
    <n v="2019"/>
    <x v="4"/>
    <n v="14"/>
    <x v="3"/>
    <n v="0"/>
    <n v="28500"/>
    <n v="0"/>
  </r>
  <r>
    <n v="2019"/>
    <x v="4"/>
    <n v="14"/>
    <x v="4"/>
    <n v="0"/>
    <n v="28500"/>
    <n v="0"/>
  </r>
  <r>
    <n v="2019"/>
    <x v="4"/>
    <n v="14"/>
    <x v="5"/>
    <n v="1048.5"/>
    <n v="28500"/>
    <n v="3.6789473684210525E-2"/>
  </r>
  <r>
    <n v="2019"/>
    <x v="4"/>
    <n v="14"/>
    <x v="6"/>
    <n v="3857.5"/>
    <n v="28500"/>
    <n v="0.13535087719298244"/>
  </r>
  <r>
    <n v="2019"/>
    <x v="4"/>
    <n v="14"/>
    <x v="7"/>
    <n v="14196"/>
    <n v="28500"/>
    <n v="0.49810526315789472"/>
  </r>
  <r>
    <n v="2019"/>
    <x v="4"/>
    <n v="14"/>
    <x v="8"/>
    <n v="24721"/>
    <n v="28500"/>
    <n v="0.86740350877192984"/>
  </r>
  <r>
    <n v="2019"/>
    <x v="4"/>
    <n v="14"/>
    <x v="9"/>
    <n v="33179.5"/>
    <n v="28500"/>
    <n v="1.1641929824561403"/>
  </r>
  <r>
    <n v="2019"/>
    <x v="4"/>
    <n v="14"/>
    <x v="10"/>
    <n v="38763"/>
    <n v="28500"/>
    <n v="1.3601052631578947"/>
  </r>
  <r>
    <n v="2019"/>
    <x v="4"/>
    <n v="14"/>
    <x v="11"/>
    <n v="42321.5"/>
    <n v="28500"/>
    <n v="1.4849649122807018"/>
  </r>
  <r>
    <n v="2019"/>
    <x v="4"/>
    <n v="14"/>
    <x v="12"/>
    <n v="43000"/>
    <n v="28500"/>
    <n v="1.5087719298245614"/>
  </r>
  <r>
    <n v="2019"/>
    <x v="4"/>
    <n v="14"/>
    <x v="13"/>
    <n v="40955.5"/>
    <n v="28500"/>
    <n v="1.4370350877192983"/>
  </r>
  <r>
    <n v="2019"/>
    <x v="4"/>
    <n v="14"/>
    <x v="14"/>
    <n v="35720.5"/>
    <n v="28500"/>
    <n v="1.2533508771929824"/>
  </r>
  <r>
    <n v="2019"/>
    <x v="4"/>
    <n v="14"/>
    <x v="15"/>
    <n v="28817"/>
    <n v="28500"/>
    <n v="1.0111228070175438"/>
  </r>
  <r>
    <n v="2019"/>
    <x v="4"/>
    <n v="14"/>
    <x v="16"/>
    <n v="19399.5"/>
    <n v="28500"/>
    <n v="0.68068421052631578"/>
  </r>
  <r>
    <n v="2019"/>
    <x v="4"/>
    <n v="14"/>
    <x v="17"/>
    <n v="8514.5"/>
    <n v="28500"/>
    <n v="0.29875438596491227"/>
  </r>
  <r>
    <n v="2019"/>
    <x v="4"/>
    <n v="14"/>
    <x v="18"/>
    <n v="958"/>
    <n v="28500"/>
    <n v="3.3614035087719298E-2"/>
  </r>
  <r>
    <n v="2019"/>
    <x v="4"/>
    <n v="14"/>
    <x v="19"/>
    <n v="119"/>
    <n v="28500"/>
    <n v="4.175438596491228E-3"/>
  </r>
  <r>
    <n v="2019"/>
    <x v="4"/>
    <n v="14"/>
    <x v="20"/>
    <n v="0"/>
    <n v="28500"/>
    <n v="0"/>
  </r>
  <r>
    <n v="2019"/>
    <x v="4"/>
    <n v="14"/>
    <x v="21"/>
    <n v="0"/>
    <n v="28500"/>
    <n v="0"/>
  </r>
  <r>
    <n v="2019"/>
    <x v="4"/>
    <n v="14"/>
    <x v="22"/>
    <n v="0"/>
    <n v="28500"/>
    <n v="0"/>
  </r>
  <r>
    <n v="2019"/>
    <x v="4"/>
    <n v="14"/>
    <x v="23"/>
    <n v="0"/>
    <n v="28500"/>
    <n v="0"/>
  </r>
  <r>
    <n v="2019"/>
    <x v="4"/>
    <n v="15"/>
    <x v="0"/>
    <n v="0"/>
    <n v="28500"/>
    <n v="0"/>
  </r>
  <r>
    <n v="2019"/>
    <x v="4"/>
    <n v="15"/>
    <x v="1"/>
    <n v="0"/>
    <n v="28500"/>
    <n v="0"/>
  </r>
  <r>
    <n v="2019"/>
    <x v="4"/>
    <n v="15"/>
    <x v="2"/>
    <n v="0"/>
    <n v="28500"/>
    <n v="0"/>
  </r>
  <r>
    <n v="2019"/>
    <x v="4"/>
    <n v="15"/>
    <x v="3"/>
    <n v="0"/>
    <n v="28500"/>
    <n v="0"/>
  </r>
  <r>
    <n v="2019"/>
    <x v="4"/>
    <n v="15"/>
    <x v="4"/>
    <n v="0"/>
    <n v="28500"/>
    <n v="0"/>
  </r>
  <r>
    <n v="2019"/>
    <x v="4"/>
    <n v="15"/>
    <x v="5"/>
    <n v="1209"/>
    <n v="28500"/>
    <n v="4.242105263157895E-2"/>
  </r>
  <r>
    <n v="2019"/>
    <x v="4"/>
    <n v="15"/>
    <x v="6"/>
    <n v="4279"/>
    <n v="28500"/>
    <n v="0.15014035087719299"/>
  </r>
  <r>
    <n v="2019"/>
    <x v="4"/>
    <n v="15"/>
    <x v="7"/>
    <n v="13911"/>
    <n v="28500"/>
    <n v="0.48810526315789476"/>
  </r>
  <r>
    <n v="2019"/>
    <x v="4"/>
    <n v="15"/>
    <x v="8"/>
    <n v="24005"/>
    <n v="28500"/>
    <n v="0.84228070175438596"/>
  </r>
  <r>
    <n v="2019"/>
    <x v="4"/>
    <n v="15"/>
    <x v="9"/>
    <n v="32083"/>
    <n v="28500"/>
    <n v="1.1257192982456141"/>
  </r>
  <r>
    <n v="2019"/>
    <x v="4"/>
    <n v="15"/>
    <x v="10"/>
    <n v="36389.5"/>
    <n v="28500"/>
    <n v="1.2768245614035088"/>
  </r>
  <r>
    <n v="2019"/>
    <x v="4"/>
    <n v="15"/>
    <x v="11"/>
    <n v="39573"/>
    <n v="28500"/>
    <n v="1.3885263157894736"/>
  </r>
  <r>
    <n v="2019"/>
    <x v="4"/>
    <n v="15"/>
    <x v="12"/>
    <n v="40046"/>
    <n v="28500"/>
    <n v="1.4051228070175439"/>
  </r>
  <r>
    <n v="2019"/>
    <x v="4"/>
    <n v="15"/>
    <x v="13"/>
    <n v="38281.5"/>
    <n v="28500"/>
    <n v="1.3432105263157894"/>
  </r>
  <r>
    <n v="2019"/>
    <x v="4"/>
    <n v="15"/>
    <x v="14"/>
    <n v="32813"/>
    <n v="28500"/>
    <n v="1.1513333333333333"/>
  </r>
  <r>
    <n v="2019"/>
    <x v="4"/>
    <n v="15"/>
    <x v="15"/>
    <n v="25780.5"/>
    <n v="28500"/>
    <n v="0.90457894736842104"/>
  </r>
  <r>
    <n v="2019"/>
    <x v="4"/>
    <n v="15"/>
    <x v="16"/>
    <n v="16159"/>
    <n v="28500"/>
    <n v="0.56698245614035092"/>
  </r>
  <r>
    <n v="2019"/>
    <x v="4"/>
    <n v="15"/>
    <x v="17"/>
    <n v="8176"/>
    <n v="28500"/>
    <n v="0.28687719298245612"/>
  </r>
  <r>
    <n v="2019"/>
    <x v="4"/>
    <n v="15"/>
    <x v="18"/>
    <n v="977"/>
    <n v="28500"/>
    <n v="3.4280701754385967E-2"/>
  </r>
  <r>
    <n v="2019"/>
    <x v="4"/>
    <n v="15"/>
    <x v="19"/>
    <n v="4"/>
    <n v="28500"/>
    <n v="1.4035087719298245E-4"/>
  </r>
  <r>
    <n v="2019"/>
    <x v="4"/>
    <n v="15"/>
    <x v="20"/>
    <n v="0"/>
    <n v="28500"/>
    <n v="0"/>
  </r>
  <r>
    <n v="2019"/>
    <x v="4"/>
    <n v="15"/>
    <x v="21"/>
    <n v="0"/>
    <n v="28500"/>
    <n v="0"/>
  </r>
  <r>
    <n v="2019"/>
    <x v="4"/>
    <n v="15"/>
    <x v="22"/>
    <n v="0"/>
    <n v="28500"/>
    <n v="0"/>
  </r>
  <r>
    <n v="2019"/>
    <x v="4"/>
    <n v="15"/>
    <x v="23"/>
    <n v="0"/>
    <n v="28500"/>
    <n v="0"/>
  </r>
  <r>
    <n v="2019"/>
    <x v="4"/>
    <n v="16"/>
    <x v="0"/>
    <n v="0"/>
    <n v="28500"/>
    <n v="0"/>
  </r>
  <r>
    <n v="2019"/>
    <x v="4"/>
    <n v="16"/>
    <x v="1"/>
    <n v="0"/>
    <n v="28500"/>
    <n v="0"/>
  </r>
  <r>
    <n v="2019"/>
    <x v="4"/>
    <n v="16"/>
    <x v="2"/>
    <n v="0"/>
    <n v="28500"/>
    <n v="0"/>
  </r>
  <r>
    <n v="2019"/>
    <x v="4"/>
    <n v="16"/>
    <x v="3"/>
    <n v="0"/>
    <n v="28500"/>
    <n v="0"/>
  </r>
  <r>
    <n v="2019"/>
    <x v="4"/>
    <n v="16"/>
    <x v="4"/>
    <n v="0"/>
    <n v="28500"/>
    <n v="0"/>
  </r>
  <r>
    <n v="2019"/>
    <x v="4"/>
    <n v="16"/>
    <x v="5"/>
    <n v="1273.5"/>
    <n v="28500"/>
    <n v="4.4684210526315792E-2"/>
  </r>
  <r>
    <n v="2019"/>
    <x v="4"/>
    <n v="16"/>
    <x v="6"/>
    <n v="4061"/>
    <n v="28500"/>
    <n v="0.14249122807017545"/>
  </r>
  <r>
    <n v="2019"/>
    <x v="4"/>
    <n v="16"/>
    <x v="7"/>
    <n v="13672.5"/>
    <n v="28500"/>
    <n v="0.47973684210526318"/>
  </r>
  <r>
    <n v="2019"/>
    <x v="4"/>
    <n v="16"/>
    <x v="8"/>
    <n v="24319"/>
    <n v="28500"/>
    <n v="0.85329824561403511"/>
  </r>
  <r>
    <n v="2019"/>
    <x v="4"/>
    <n v="16"/>
    <x v="9"/>
    <n v="30941.5"/>
    <n v="28500"/>
    <n v="1.0856666666666666"/>
  </r>
  <r>
    <n v="2019"/>
    <x v="4"/>
    <n v="16"/>
    <x v="10"/>
    <n v="35528.5"/>
    <n v="28500"/>
    <n v="1.2466140350877193"/>
  </r>
  <r>
    <n v="2019"/>
    <x v="4"/>
    <n v="16"/>
    <x v="11"/>
    <n v="33575"/>
    <n v="28500"/>
    <n v="1.1780701754385965"/>
  </r>
  <r>
    <n v="2019"/>
    <x v="4"/>
    <n v="16"/>
    <x v="12"/>
    <n v="39323"/>
    <n v="28500"/>
    <n v="1.3797543859649122"/>
  </r>
  <r>
    <n v="2019"/>
    <x v="4"/>
    <n v="16"/>
    <x v="13"/>
    <n v="41259.5"/>
    <n v="28500"/>
    <n v="1.4477017543859649"/>
  </r>
  <r>
    <n v="2019"/>
    <x v="4"/>
    <n v="16"/>
    <x v="14"/>
    <n v="36215.5"/>
    <n v="28500"/>
    <n v="1.2707192982456141"/>
  </r>
  <r>
    <n v="2019"/>
    <x v="4"/>
    <n v="16"/>
    <x v="15"/>
    <n v="29353"/>
    <n v="28500"/>
    <n v="1.0299298245614035"/>
  </r>
  <r>
    <n v="2019"/>
    <x v="4"/>
    <n v="16"/>
    <x v="16"/>
    <n v="19800.5"/>
    <n v="28500"/>
    <n v="0.69475438596491224"/>
  </r>
  <r>
    <n v="2019"/>
    <x v="4"/>
    <n v="16"/>
    <x v="17"/>
    <n v="8688.5"/>
    <n v="28500"/>
    <n v="0.304859649122807"/>
  </r>
  <r>
    <n v="2019"/>
    <x v="4"/>
    <n v="16"/>
    <x v="18"/>
    <n v="1111"/>
    <n v="28500"/>
    <n v="3.8982456140350875E-2"/>
  </r>
  <r>
    <n v="2019"/>
    <x v="4"/>
    <n v="16"/>
    <x v="19"/>
    <n v="164"/>
    <n v="28500"/>
    <n v="5.754385964912281E-3"/>
  </r>
  <r>
    <n v="2019"/>
    <x v="4"/>
    <n v="16"/>
    <x v="20"/>
    <n v="0"/>
    <n v="28500"/>
    <n v="0"/>
  </r>
  <r>
    <n v="2019"/>
    <x v="4"/>
    <n v="16"/>
    <x v="21"/>
    <n v="0"/>
    <n v="28500"/>
    <n v="0"/>
  </r>
  <r>
    <n v="2019"/>
    <x v="4"/>
    <n v="16"/>
    <x v="22"/>
    <n v="0"/>
    <n v="28500"/>
    <n v="0"/>
  </r>
  <r>
    <n v="2019"/>
    <x v="4"/>
    <n v="16"/>
    <x v="23"/>
    <n v="0"/>
    <n v="28500"/>
    <n v="0"/>
  </r>
  <r>
    <n v="2019"/>
    <x v="4"/>
    <n v="17"/>
    <x v="0"/>
    <n v="0"/>
    <n v="28500"/>
    <n v="0"/>
  </r>
  <r>
    <n v="2019"/>
    <x v="4"/>
    <n v="17"/>
    <x v="1"/>
    <n v="0"/>
    <n v="28500"/>
    <n v="0"/>
  </r>
  <r>
    <n v="2019"/>
    <x v="4"/>
    <n v="17"/>
    <x v="2"/>
    <n v="0"/>
    <n v="28500"/>
    <n v="0"/>
  </r>
  <r>
    <n v="2019"/>
    <x v="4"/>
    <n v="17"/>
    <x v="3"/>
    <n v="0"/>
    <n v="28500"/>
    <n v="0"/>
  </r>
  <r>
    <n v="2019"/>
    <x v="4"/>
    <n v="17"/>
    <x v="4"/>
    <n v="0"/>
    <n v="28500"/>
    <n v="0"/>
  </r>
  <r>
    <n v="2019"/>
    <x v="4"/>
    <n v="17"/>
    <x v="5"/>
    <n v="454.5"/>
    <n v="28500"/>
    <n v="1.594736842105263E-2"/>
  </r>
  <r>
    <n v="2019"/>
    <x v="4"/>
    <n v="17"/>
    <x v="6"/>
    <n v="702"/>
    <n v="28500"/>
    <n v="2.4631578947368421E-2"/>
  </r>
  <r>
    <n v="2019"/>
    <x v="4"/>
    <n v="17"/>
    <x v="7"/>
    <n v="3726.5"/>
    <n v="28500"/>
    <n v="0.13075438596491229"/>
  </r>
  <r>
    <n v="2019"/>
    <x v="4"/>
    <n v="17"/>
    <x v="8"/>
    <n v="5566.5"/>
    <n v="28500"/>
    <n v="0.19531578947368422"/>
  </r>
  <r>
    <n v="2019"/>
    <x v="4"/>
    <n v="17"/>
    <x v="9"/>
    <n v="2628.5"/>
    <n v="28500"/>
    <n v="9.2228070175438603E-2"/>
  </r>
  <r>
    <n v="2019"/>
    <x v="4"/>
    <n v="17"/>
    <x v="10"/>
    <n v="4621"/>
    <n v="28500"/>
    <n v="0.16214035087719297"/>
  </r>
  <r>
    <n v="2019"/>
    <x v="4"/>
    <n v="17"/>
    <x v="11"/>
    <n v="8075.5"/>
    <n v="28500"/>
    <n v="0.28335087719298246"/>
  </r>
  <r>
    <n v="2019"/>
    <x v="4"/>
    <n v="17"/>
    <x v="12"/>
    <n v="3444.5"/>
    <n v="28500"/>
    <n v="0.12085964912280701"/>
  </r>
  <r>
    <n v="2019"/>
    <x v="4"/>
    <n v="17"/>
    <x v="13"/>
    <n v="3858.5"/>
    <n v="28500"/>
    <n v="0.13538596491228069"/>
  </r>
  <r>
    <n v="2019"/>
    <x v="4"/>
    <n v="17"/>
    <x v="14"/>
    <n v="3022.5"/>
    <n v="28500"/>
    <n v="0.10605263157894737"/>
  </r>
  <r>
    <n v="2019"/>
    <x v="4"/>
    <n v="17"/>
    <x v="15"/>
    <n v="4289.5"/>
    <n v="28500"/>
    <n v="0.15050877192982456"/>
  </r>
  <r>
    <n v="2019"/>
    <x v="4"/>
    <n v="17"/>
    <x v="16"/>
    <n v="2987"/>
    <n v="28500"/>
    <n v="0.10480701754385965"/>
  </r>
  <r>
    <n v="2019"/>
    <x v="4"/>
    <n v="17"/>
    <x v="17"/>
    <n v="1652.5"/>
    <n v="28500"/>
    <n v="5.7982456140350878E-2"/>
  </r>
  <r>
    <n v="2019"/>
    <x v="4"/>
    <n v="17"/>
    <x v="18"/>
    <n v="691.5"/>
    <n v="28500"/>
    <n v="2.4263157894736841E-2"/>
  </r>
  <r>
    <n v="2019"/>
    <x v="4"/>
    <n v="17"/>
    <x v="19"/>
    <n v="0"/>
    <n v="28500"/>
    <n v="0"/>
  </r>
  <r>
    <n v="2019"/>
    <x v="4"/>
    <n v="17"/>
    <x v="20"/>
    <n v="0"/>
    <n v="28500"/>
    <n v="0"/>
  </r>
  <r>
    <n v="2019"/>
    <x v="4"/>
    <n v="17"/>
    <x v="21"/>
    <n v="0"/>
    <n v="28500"/>
    <n v="0"/>
  </r>
  <r>
    <n v="2019"/>
    <x v="4"/>
    <n v="17"/>
    <x v="22"/>
    <n v="0"/>
    <n v="28500"/>
    <n v="0"/>
  </r>
  <r>
    <n v="2019"/>
    <x v="4"/>
    <n v="17"/>
    <x v="23"/>
    <n v="0"/>
    <n v="28500"/>
    <n v="0"/>
  </r>
  <r>
    <n v="2019"/>
    <x v="4"/>
    <n v="18"/>
    <x v="0"/>
    <n v="0"/>
    <n v="28500"/>
    <n v="0"/>
  </r>
  <r>
    <n v="2019"/>
    <x v="4"/>
    <n v="18"/>
    <x v="1"/>
    <n v="0"/>
    <n v="28500"/>
    <n v="0"/>
  </r>
  <r>
    <n v="2019"/>
    <x v="4"/>
    <n v="18"/>
    <x v="2"/>
    <n v="0"/>
    <n v="28500"/>
    <n v="0"/>
  </r>
  <r>
    <n v="2019"/>
    <x v="4"/>
    <n v="18"/>
    <x v="3"/>
    <n v="0"/>
    <n v="28500"/>
    <n v="0"/>
  </r>
  <r>
    <n v="2019"/>
    <x v="4"/>
    <n v="18"/>
    <x v="4"/>
    <n v="0"/>
    <n v="28500"/>
    <n v="0"/>
  </r>
  <r>
    <n v="2019"/>
    <x v="4"/>
    <n v="18"/>
    <x v="5"/>
    <n v="1128"/>
    <n v="28500"/>
    <n v="3.9578947368421054E-2"/>
  </r>
  <r>
    <n v="2019"/>
    <x v="4"/>
    <n v="18"/>
    <x v="6"/>
    <n v="4615"/>
    <n v="28500"/>
    <n v="0.16192982456140351"/>
  </r>
  <r>
    <n v="2019"/>
    <x v="4"/>
    <n v="18"/>
    <x v="7"/>
    <n v="8733.5"/>
    <n v="28500"/>
    <n v="0.30643859649122807"/>
  </r>
  <r>
    <n v="2019"/>
    <x v="4"/>
    <n v="18"/>
    <x v="8"/>
    <n v="15818"/>
    <n v="28500"/>
    <n v="0.55501754385964908"/>
  </r>
  <r>
    <n v="2019"/>
    <x v="4"/>
    <n v="18"/>
    <x v="9"/>
    <n v="10689.5"/>
    <n v="28500"/>
    <n v="0.3750701754385965"/>
  </r>
  <r>
    <n v="2019"/>
    <x v="4"/>
    <n v="18"/>
    <x v="10"/>
    <n v="3908"/>
    <n v="28500"/>
    <n v="0.13712280701754387"/>
  </r>
  <r>
    <n v="2019"/>
    <x v="4"/>
    <n v="18"/>
    <x v="11"/>
    <n v="7398"/>
    <n v="28500"/>
    <n v="0.25957894736842108"/>
  </r>
  <r>
    <n v="2019"/>
    <x v="4"/>
    <n v="18"/>
    <x v="12"/>
    <n v="17301"/>
    <n v="28500"/>
    <n v="0.6070526315789474"/>
  </r>
  <r>
    <n v="2019"/>
    <x v="4"/>
    <n v="18"/>
    <x v="13"/>
    <n v="17754.5"/>
    <n v="28500"/>
    <n v="0.62296491228070172"/>
  </r>
  <r>
    <n v="2019"/>
    <x v="4"/>
    <n v="18"/>
    <x v="14"/>
    <n v="3447.5"/>
    <n v="28500"/>
    <n v="0.12096491228070176"/>
  </r>
  <r>
    <n v="2019"/>
    <x v="4"/>
    <n v="18"/>
    <x v="15"/>
    <n v="8191.5"/>
    <n v="28500"/>
    <n v="0.28742105263157897"/>
  </r>
  <r>
    <n v="2019"/>
    <x v="4"/>
    <n v="18"/>
    <x v="16"/>
    <n v="3004"/>
    <n v="28500"/>
    <n v="0.10540350877192982"/>
  </r>
  <r>
    <n v="2019"/>
    <x v="4"/>
    <n v="18"/>
    <x v="17"/>
    <n v="5194"/>
    <n v="28500"/>
    <n v="0.18224561403508771"/>
  </r>
  <r>
    <n v="2019"/>
    <x v="4"/>
    <n v="18"/>
    <x v="18"/>
    <n v="616.5"/>
    <n v="28500"/>
    <n v="2.1631578947368422E-2"/>
  </r>
  <r>
    <n v="2019"/>
    <x v="4"/>
    <n v="18"/>
    <x v="19"/>
    <n v="0"/>
    <n v="28500"/>
    <n v="0"/>
  </r>
  <r>
    <n v="2019"/>
    <x v="4"/>
    <n v="18"/>
    <x v="20"/>
    <n v="0"/>
    <n v="28500"/>
    <n v="0"/>
  </r>
  <r>
    <n v="2019"/>
    <x v="4"/>
    <n v="18"/>
    <x v="21"/>
    <n v="0"/>
    <n v="28500"/>
    <n v="0"/>
  </r>
  <r>
    <n v="2019"/>
    <x v="4"/>
    <n v="18"/>
    <x v="22"/>
    <n v="0"/>
    <n v="28500"/>
    <n v="0"/>
  </r>
  <r>
    <n v="2019"/>
    <x v="4"/>
    <n v="18"/>
    <x v="23"/>
    <n v="0"/>
    <n v="28500"/>
    <n v="0"/>
  </r>
  <r>
    <n v="2019"/>
    <x v="4"/>
    <n v="19"/>
    <x v="0"/>
    <n v="0"/>
    <n v="28500"/>
    <n v="0"/>
  </r>
  <r>
    <n v="2019"/>
    <x v="4"/>
    <n v="19"/>
    <x v="1"/>
    <n v="0"/>
    <n v="28500"/>
    <n v="0"/>
  </r>
  <r>
    <n v="2019"/>
    <x v="4"/>
    <n v="19"/>
    <x v="2"/>
    <n v="0"/>
    <n v="28500"/>
    <n v="0"/>
  </r>
  <r>
    <n v="2019"/>
    <x v="4"/>
    <n v="19"/>
    <x v="3"/>
    <n v="0"/>
    <n v="28500"/>
    <n v="0"/>
  </r>
  <r>
    <n v="2019"/>
    <x v="4"/>
    <n v="19"/>
    <x v="4"/>
    <n v="0"/>
    <n v="28500"/>
    <n v="0"/>
  </r>
  <r>
    <n v="2019"/>
    <x v="4"/>
    <n v="19"/>
    <x v="5"/>
    <n v="749.5"/>
    <n v="28500"/>
    <n v="2.6298245614035088E-2"/>
  </r>
  <r>
    <n v="2019"/>
    <x v="4"/>
    <n v="19"/>
    <x v="6"/>
    <n v="1998.5"/>
    <n v="28500"/>
    <n v="7.0122807017543864E-2"/>
  </r>
  <r>
    <n v="2019"/>
    <x v="4"/>
    <n v="19"/>
    <x v="7"/>
    <n v="8739"/>
    <n v="28500"/>
    <n v="0.30663157894736842"/>
  </r>
  <r>
    <n v="2019"/>
    <x v="4"/>
    <n v="19"/>
    <x v="8"/>
    <n v="9317"/>
    <n v="28500"/>
    <n v="0.32691228070175438"/>
  </r>
  <r>
    <n v="2019"/>
    <x v="4"/>
    <n v="19"/>
    <x v="9"/>
    <n v="11600"/>
    <n v="28500"/>
    <n v="0.40701754385964911"/>
  </r>
  <r>
    <n v="2019"/>
    <x v="4"/>
    <n v="19"/>
    <x v="10"/>
    <n v="14495"/>
    <n v="28500"/>
    <n v="0.50859649122807016"/>
  </r>
  <r>
    <n v="2019"/>
    <x v="4"/>
    <n v="19"/>
    <x v="11"/>
    <n v="19475"/>
    <n v="28500"/>
    <n v="0.68333333333333335"/>
  </r>
  <r>
    <n v="2019"/>
    <x v="4"/>
    <n v="19"/>
    <x v="12"/>
    <n v="20656"/>
    <n v="28500"/>
    <n v="0.7247719298245614"/>
  </r>
  <r>
    <n v="2019"/>
    <x v="4"/>
    <n v="19"/>
    <x v="13"/>
    <n v="27849.5"/>
    <n v="28500"/>
    <n v="0.97717543859649125"/>
  </r>
  <r>
    <n v="2019"/>
    <x v="4"/>
    <n v="19"/>
    <x v="14"/>
    <n v="19988"/>
    <n v="28500"/>
    <n v="0.70133333333333336"/>
  </r>
  <r>
    <n v="2019"/>
    <x v="4"/>
    <n v="19"/>
    <x v="15"/>
    <n v="12417"/>
    <n v="28500"/>
    <n v="0.43568421052631578"/>
  </r>
  <r>
    <n v="2019"/>
    <x v="4"/>
    <n v="19"/>
    <x v="16"/>
    <n v="8350"/>
    <n v="28500"/>
    <n v="0.2929824561403509"/>
  </r>
  <r>
    <n v="2019"/>
    <x v="4"/>
    <n v="19"/>
    <x v="17"/>
    <n v="7172.5"/>
    <n v="28500"/>
    <n v="0.25166666666666665"/>
  </r>
  <r>
    <n v="2019"/>
    <x v="4"/>
    <n v="19"/>
    <x v="18"/>
    <n v="1655"/>
    <n v="28500"/>
    <n v="5.8070175438596494E-2"/>
  </r>
  <r>
    <n v="2019"/>
    <x v="4"/>
    <n v="19"/>
    <x v="19"/>
    <n v="3.5"/>
    <n v="28500"/>
    <n v="1.2280701754385965E-4"/>
  </r>
  <r>
    <n v="2019"/>
    <x v="4"/>
    <n v="19"/>
    <x v="20"/>
    <n v="0"/>
    <n v="28500"/>
    <n v="0"/>
  </r>
  <r>
    <n v="2019"/>
    <x v="4"/>
    <n v="19"/>
    <x v="21"/>
    <n v="0"/>
    <n v="28500"/>
    <n v="0"/>
  </r>
  <r>
    <n v="2019"/>
    <x v="4"/>
    <n v="19"/>
    <x v="22"/>
    <n v="0"/>
    <n v="28500"/>
    <n v="0"/>
  </r>
  <r>
    <n v="2019"/>
    <x v="4"/>
    <n v="19"/>
    <x v="23"/>
    <n v="0"/>
    <n v="28500"/>
    <n v="0"/>
  </r>
  <r>
    <n v="2019"/>
    <x v="4"/>
    <n v="20"/>
    <x v="0"/>
    <n v="0"/>
    <n v="28500"/>
    <n v="0"/>
  </r>
  <r>
    <n v="2019"/>
    <x v="4"/>
    <n v="20"/>
    <x v="1"/>
    <n v="0"/>
    <n v="28500"/>
    <n v="0"/>
  </r>
  <r>
    <n v="2019"/>
    <x v="4"/>
    <n v="20"/>
    <x v="2"/>
    <n v="0"/>
    <n v="28500"/>
    <n v="0"/>
  </r>
  <r>
    <n v="2019"/>
    <x v="4"/>
    <n v="20"/>
    <x v="3"/>
    <n v="0"/>
    <n v="28500"/>
    <n v="0"/>
  </r>
  <r>
    <n v="2019"/>
    <x v="4"/>
    <n v="20"/>
    <x v="4"/>
    <n v="0"/>
    <n v="28500"/>
    <n v="0"/>
  </r>
  <r>
    <n v="2019"/>
    <x v="4"/>
    <n v="20"/>
    <x v="5"/>
    <n v="1426.5"/>
    <n v="28500"/>
    <n v="5.0052631578947369E-2"/>
  </r>
  <r>
    <n v="2019"/>
    <x v="4"/>
    <n v="20"/>
    <x v="6"/>
    <n v="4046.5"/>
    <n v="28500"/>
    <n v="0.14198245614035088"/>
  </r>
  <r>
    <n v="2019"/>
    <x v="4"/>
    <n v="20"/>
    <x v="7"/>
    <n v="8341"/>
    <n v="28500"/>
    <n v="0.29266666666666669"/>
  </r>
  <r>
    <n v="2019"/>
    <x v="4"/>
    <n v="20"/>
    <x v="8"/>
    <n v="20590"/>
    <n v="28500"/>
    <n v="0.72245614035087724"/>
  </r>
  <r>
    <n v="2019"/>
    <x v="4"/>
    <n v="20"/>
    <x v="9"/>
    <n v="19302"/>
    <n v="28500"/>
    <n v="0.67726315789473679"/>
  </r>
  <r>
    <n v="2019"/>
    <x v="4"/>
    <n v="20"/>
    <x v="10"/>
    <n v="22688"/>
    <n v="28500"/>
    <n v="0.79607017543859648"/>
  </r>
  <r>
    <n v="2019"/>
    <x v="4"/>
    <n v="20"/>
    <x v="11"/>
    <n v="16186"/>
    <n v="28500"/>
    <n v="0.56792982456140351"/>
  </r>
  <r>
    <n v="2019"/>
    <x v="4"/>
    <n v="20"/>
    <x v="12"/>
    <n v="9891"/>
    <n v="28500"/>
    <n v="0.34705263157894739"/>
  </r>
  <r>
    <n v="2019"/>
    <x v="4"/>
    <n v="20"/>
    <x v="13"/>
    <n v="7336"/>
    <n v="28500"/>
    <n v="0.2574035087719298"/>
  </r>
  <r>
    <n v="2019"/>
    <x v="4"/>
    <n v="20"/>
    <x v="14"/>
    <n v="9234"/>
    <n v="28500"/>
    <n v="0.32400000000000001"/>
  </r>
  <r>
    <n v="2019"/>
    <x v="4"/>
    <n v="20"/>
    <x v="15"/>
    <n v="21757.5"/>
    <n v="28500"/>
    <n v="0.763421052631579"/>
  </r>
  <r>
    <n v="2019"/>
    <x v="4"/>
    <n v="20"/>
    <x v="16"/>
    <n v="11513.5"/>
    <n v="28500"/>
    <n v="0.40398245614035089"/>
  </r>
  <r>
    <n v="2019"/>
    <x v="4"/>
    <n v="20"/>
    <x v="17"/>
    <n v="2735"/>
    <n v="28500"/>
    <n v="9.5964912280701753E-2"/>
  </r>
  <r>
    <n v="2019"/>
    <x v="4"/>
    <n v="20"/>
    <x v="18"/>
    <n v="2442.5"/>
    <n v="28500"/>
    <n v="8.5701754385964918E-2"/>
  </r>
  <r>
    <n v="2019"/>
    <x v="4"/>
    <n v="20"/>
    <x v="19"/>
    <n v="93.5"/>
    <n v="28500"/>
    <n v="3.2807017543859647E-3"/>
  </r>
  <r>
    <n v="2019"/>
    <x v="4"/>
    <n v="20"/>
    <x v="20"/>
    <n v="0"/>
    <n v="28500"/>
    <n v="0"/>
  </r>
  <r>
    <n v="2019"/>
    <x v="4"/>
    <n v="20"/>
    <x v="21"/>
    <n v="0"/>
    <n v="28500"/>
    <n v="0"/>
  </r>
  <r>
    <n v="2019"/>
    <x v="4"/>
    <n v="20"/>
    <x v="22"/>
    <n v="0"/>
    <n v="28500"/>
    <n v="0"/>
  </r>
  <r>
    <n v="2019"/>
    <x v="4"/>
    <n v="20"/>
    <x v="23"/>
    <n v="0"/>
    <n v="28500"/>
    <n v="0"/>
  </r>
  <r>
    <n v="2019"/>
    <x v="4"/>
    <n v="21"/>
    <x v="0"/>
    <n v="0"/>
    <n v="28500"/>
    <n v="0"/>
  </r>
  <r>
    <n v="2019"/>
    <x v="4"/>
    <n v="21"/>
    <x v="1"/>
    <n v="0"/>
    <n v="28500"/>
    <n v="0"/>
  </r>
  <r>
    <n v="2019"/>
    <x v="4"/>
    <n v="21"/>
    <x v="2"/>
    <n v="0"/>
    <n v="28500"/>
    <n v="0"/>
  </r>
  <r>
    <n v="2019"/>
    <x v="4"/>
    <n v="21"/>
    <x v="3"/>
    <n v="0"/>
    <n v="28500"/>
    <n v="0"/>
  </r>
  <r>
    <n v="2019"/>
    <x v="4"/>
    <n v="21"/>
    <x v="4"/>
    <n v="0"/>
    <n v="28500"/>
    <n v="0"/>
  </r>
  <r>
    <n v="2019"/>
    <x v="4"/>
    <n v="21"/>
    <x v="5"/>
    <n v="1264.5"/>
    <n v="28500"/>
    <n v="4.4368421052631578E-2"/>
  </r>
  <r>
    <n v="2019"/>
    <x v="4"/>
    <n v="21"/>
    <x v="6"/>
    <n v="4387.5"/>
    <n v="28500"/>
    <n v="0.15394736842105264"/>
  </r>
  <r>
    <n v="2019"/>
    <x v="4"/>
    <n v="21"/>
    <x v="7"/>
    <n v="14270"/>
    <n v="28500"/>
    <n v="0.50070175438596487"/>
  </r>
  <r>
    <n v="2019"/>
    <x v="4"/>
    <n v="21"/>
    <x v="8"/>
    <n v="24132"/>
    <n v="28500"/>
    <n v="0.84673684210526312"/>
  </r>
  <r>
    <n v="2019"/>
    <x v="4"/>
    <n v="21"/>
    <x v="9"/>
    <n v="32417.5"/>
    <n v="28500"/>
    <n v="1.1374561403508772"/>
  </r>
  <r>
    <n v="2019"/>
    <x v="4"/>
    <n v="21"/>
    <x v="10"/>
    <n v="37937.5"/>
    <n v="28500"/>
    <n v="1.3311403508771931"/>
  </r>
  <r>
    <n v="2019"/>
    <x v="4"/>
    <n v="21"/>
    <x v="11"/>
    <n v="41003.5"/>
    <n v="28500"/>
    <n v="1.4387192982456141"/>
  </r>
  <r>
    <n v="2019"/>
    <x v="4"/>
    <n v="21"/>
    <x v="12"/>
    <n v="39744"/>
    <n v="28500"/>
    <n v="1.3945263157894736"/>
  </r>
  <r>
    <n v="2019"/>
    <x v="4"/>
    <n v="21"/>
    <x v="13"/>
    <n v="29401.5"/>
    <n v="28500"/>
    <n v="1.0316315789473685"/>
  </r>
  <r>
    <n v="2019"/>
    <x v="4"/>
    <n v="21"/>
    <x v="14"/>
    <n v="24783.5"/>
    <n v="28500"/>
    <n v="0.86959649122807015"/>
  </r>
  <r>
    <n v="2019"/>
    <x v="4"/>
    <n v="21"/>
    <x v="15"/>
    <n v="16856.5"/>
    <n v="28500"/>
    <n v="0.59145614035087724"/>
  </r>
  <r>
    <n v="2019"/>
    <x v="4"/>
    <n v="21"/>
    <x v="16"/>
    <n v="12554"/>
    <n v="28500"/>
    <n v="0.44049122807017543"/>
  </r>
  <r>
    <n v="2019"/>
    <x v="4"/>
    <n v="21"/>
    <x v="17"/>
    <n v="7157"/>
    <n v="28500"/>
    <n v="0.25112280701754386"/>
  </r>
  <r>
    <n v="2019"/>
    <x v="4"/>
    <n v="21"/>
    <x v="18"/>
    <n v="2768"/>
    <n v="28500"/>
    <n v="9.7122807017543861E-2"/>
  </r>
  <r>
    <n v="2019"/>
    <x v="4"/>
    <n v="21"/>
    <x v="19"/>
    <n v="181.5"/>
    <n v="28500"/>
    <n v="6.3684210526315788E-3"/>
  </r>
  <r>
    <n v="2019"/>
    <x v="4"/>
    <n v="21"/>
    <x v="20"/>
    <n v="0"/>
    <n v="28500"/>
    <n v="0"/>
  </r>
  <r>
    <n v="2019"/>
    <x v="4"/>
    <n v="21"/>
    <x v="21"/>
    <n v="0"/>
    <n v="28500"/>
    <n v="0"/>
  </r>
  <r>
    <n v="2019"/>
    <x v="4"/>
    <n v="21"/>
    <x v="22"/>
    <n v="0"/>
    <n v="28500"/>
    <n v="0"/>
  </r>
  <r>
    <n v="2019"/>
    <x v="4"/>
    <n v="21"/>
    <x v="23"/>
    <n v="0"/>
    <n v="28500"/>
    <n v="0"/>
  </r>
  <r>
    <n v="2019"/>
    <x v="4"/>
    <n v="22"/>
    <x v="0"/>
    <n v="0"/>
    <n v="28500"/>
    <n v="0"/>
  </r>
  <r>
    <n v="2019"/>
    <x v="4"/>
    <n v="22"/>
    <x v="1"/>
    <n v="0"/>
    <n v="28500"/>
    <n v="0"/>
  </r>
  <r>
    <n v="2019"/>
    <x v="4"/>
    <n v="22"/>
    <x v="2"/>
    <n v="0"/>
    <n v="28500"/>
    <n v="0"/>
  </r>
  <r>
    <n v="2019"/>
    <x v="4"/>
    <n v="22"/>
    <x v="3"/>
    <n v="0"/>
    <n v="28500"/>
    <n v="0"/>
  </r>
  <r>
    <n v="2019"/>
    <x v="4"/>
    <n v="22"/>
    <x v="4"/>
    <n v="0"/>
    <n v="28500"/>
    <n v="0"/>
  </r>
  <r>
    <n v="2019"/>
    <x v="4"/>
    <n v="22"/>
    <x v="5"/>
    <n v="214.5"/>
    <n v="28500"/>
    <n v="7.5263157894736839E-3"/>
  </r>
  <r>
    <n v="2019"/>
    <x v="4"/>
    <n v="22"/>
    <x v="6"/>
    <n v="3849.5"/>
    <n v="28500"/>
    <n v="0.13507017543859648"/>
  </r>
  <r>
    <n v="2019"/>
    <x v="4"/>
    <n v="22"/>
    <x v="7"/>
    <n v="7380"/>
    <n v="28500"/>
    <n v="0.25894736842105265"/>
  </r>
  <r>
    <n v="2019"/>
    <x v="4"/>
    <n v="22"/>
    <x v="8"/>
    <n v="20916.5"/>
    <n v="28500"/>
    <n v="0.7339122807017544"/>
  </r>
  <r>
    <n v="2019"/>
    <x v="4"/>
    <n v="22"/>
    <x v="9"/>
    <n v="26666"/>
    <n v="28500"/>
    <n v="0.93564912280701751"/>
  </r>
  <r>
    <n v="2019"/>
    <x v="4"/>
    <n v="22"/>
    <x v="10"/>
    <n v="30253.5"/>
    <n v="28500"/>
    <n v="1.0615263157894737"/>
  </r>
  <r>
    <n v="2019"/>
    <x v="4"/>
    <n v="22"/>
    <x v="11"/>
    <n v="29175"/>
    <n v="28500"/>
    <n v="1.0236842105263158"/>
  </r>
  <r>
    <n v="2019"/>
    <x v="4"/>
    <n v="22"/>
    <x v="12"/>
    <n v="22103.5"/>
    <n v="28500"/>
    <n v="0.7755614035087719"/>
  </r>
  <r>
    <n v="2019"/>
    <x v="4"/>
    <n v="22"/>
    <x v="13"/>
    <n v="19654"/>
    <n v="28500"/>
    <n v="0.68961403508771935"/>
  </r>
  <r>
    <n v="2019"/>
    <x v="4"/>
    <n v="22"/>
    <x v="14"/>
    <n v="30762.5"/>
    <n v="28500"/>
    <n v="1.0793859649122808"/>
  </r>
  <r>
    <n v="2019"/>
    <x v="4"/>
    <n v="22"/>
    <x v="15"/>
    <n v="26867.5"/>
    <n v="28500"/>
    <n v="0.94271929824561407"/>
  </r>
  <r>
    <n v="2019"/>
    <x v="4"/>
    <n v="22"/>
    <x v="16"/>
    <n v="18891.5"/>
    <n v="28500"/>
    <n v="0.66285964912280704"/>
  </r>
  <r>
    <n v="2019"/>
    <x v="4"/>
    <n v="22"/>
    <x v="17"/>
    <n v="8545"/>
    <n v="28500"/>
    <n v="0.29982456140350877"/>
  </r>
  <r>
    <n v="2019"/>
    <x v="4"/>
    <n v="22"/>
    <x v="18"/>
    <n v="1513.5"/>
    <n v="28500"/>
    <n v="5.3105263157894739E-2"/>
  </r>
  <r>
    <n v="2019"/>
    <x v="4"/>
    <n v="22"/>
    <x v="19"/>
    <n v="410.5"/>
    <n v="28500"/>
    <n v="1.4403508771929825E-2"/>
  </r>
  <r>
    <n v="2019"/>
    <x v="4"/>
    <n v="22"/>
    <x v="20"/>
    <n v="0"/>
    <n v="28500"/>
    <n v="0"/>
  </r>
  <r>
    <n v="2019"/>
    <x v="4"/>
    <n v="22"/>
    <x v="21"/>
    <n v="0"/>
    <n v="28500"/>
    <n v="0"/>
  </r>
  <r>
    <n v="2019"/>
    <x v="4"/>
    <n v="22"/>
    <x v="22"/>
    <n v="0"/>
    <n v="28500"/>
    <n v="0"/>
  </r>
  <r>
    <n v="2019"/>
    <x v="4"/>
    <n v="22"/>
    <x v="23"/>
    <n v="0"/>
    <n v="28500"/>
    <n v="0"/>
  </r>
  <r>
    <n v="2019"/>
    <x v="4"/>
    <n v="23"/>
    <x v="0"/>
    <n v="0"/>
    <n v="28500"/>
    <n v="0"/>
  </r>
  <r>
    <n v="2019"/>
    <x v="4"/>
    <n v="23"/>
    <x v="1"/>
    <n v="0"/>
    <n v="28500"/>
    <n v="0"/>
  </r>
  <r>
    <n v="2019"/>
    <x v="4"/>
    <n v="23"/>
    <x v="2"/>
    <n v="0"/>
    <n v="28500"/>
    <n v="0"/>
  </r>
  <r>
    <n v="2019"/>
    <x v="4"/>
    <n v="23"/>
    <x v="3"/>
    <n v="0"/>
    <n v="28500"/>
    <n v="0"/>
  </r>
  <r>
    <n v="2019"/>
    <x v="4"/>
    <n v="23"/>
    <x v="4"/>
    <n v="0"/>
    <n v="28500"/>
    <n v="0"/>
  </r>
  <r>
    <n v="2019"/>
    <x v="4"/>
    <n v="23"/>
    <x v="5"/>
    <n v="1033.5"/>
    <n v="28500"/>
    <n v="3.6263157894736844E-2"/>
  </r>
  <r>
    <n v="2019"/>
    <x v="4"/>
    <n v="23"/>
    <x v="6"/>
    <n v="3792"/>
    <n v="28500"/>
    <n v="0.13305263157894737"/>
  </r>
  <r>
    <n v="2019"/>
    <x v="4"/>
    <n v="23"/>
    <x v="7"/>
    <n v="13463"/>
    <n v="28500"/>
    <n v="0.47238596491228069"/>
  </r>
  <r>
    <n v="2019"/>
    <x v="4"/>
    <n v="23"/>
    <x v="8"/>
    <n v="18974.5"/>
    <n v="28500"/>
    <n v="0.66577192982456135"/>
  </r>
  <r>
    <n v="2019"/>
    <x v="4"/>
    <n v="23"/>
    <x v="9"/>
    <n v="29910.5"/>
    <n v="28500"/>
    <n v="1.0494912280701754"/>
  </r>
  <r>
    <n v="2019"/>
    <x v="4"/>
    <n v="23"/>
    <x v="10"/>
    <n v="36701.5"/>
    <n v="28500"/>
    <n v="1.2877719298245613"/>
  </r>
  <r>
    <n v="2019"/>
    <x v="4"/>
    <n v="23"/>
    <x v="11"/>
    <n v="39254"/>
    <n v="28500"/>
    <n v="1.3773333333333333"/>
  </r>
  <r>
    <n v="2019"/>
    <x v="4"/>
    <n v="23"/>
    <x v="12"/>
    <n v="36196.5"/>
    <n v="28500"/>
    <n v="1.2700526315789473"/>
  </r>
  <r>
    <n v="2019"/>
    <x v="4"/>
    <n v="23"/>
    <x v="13"/>
    <n v="34743"/>
    <n v="28500"/>
    <n v="1.2190526315789474"/>
  </r>
  <r>
    <n v="2019"/>
    <x v="4"/>
    <n v="23"/>
    <x v="14"/>
    <n v="30325"/>
    <n v="28500"/>
    <n v="1.0640350877192983"/>
  </r>
  <r>
    <n v="2019"/>
    <x v="4"/>
    <n v="23"/>
    <x v="15"/>
    <n v="26422.5"/>
    <n v="28500"/>
    <n v="0.92710526315789477"/>
  </r>
  <r>
    <n v="2019"/>
    <x v="4"/>
    <n v="23"/>
    <x v="16"/>
    <n v="14497"/>
    <n v="28500"/>
    <n v="0.50866666666666671"/>
  </r>
  <r>
    <n v="2019"/>
    <x v="4"/>
    <n v="23"/>
    <x v="17"/>
    <n v="8507.5"/>
    <n v="28500"/>
    <n v="0.29850877192982456"/>
  </r>
  <r>
    <n v="2019"/>
    <x v="4"/>
    <n v="23"/>
    <x v="18"/>
    <n v="1457.5"/>
    <n v="28500"/>
    <n v="5.1140350877192979E-2"/>
  </r>
  <r>
    <n v="2019"/>
    <x v="4"/>
    <n v="23"/>
    <x v="19"/>
    <n v="228"/>
    <n v="28500"/>
    <n v="8.0000000000000002E-3"/>
  </r>
  <r>
    <n v="2019"/>
    <x v="4"/>
    <n v="23"/>
    <x v="20"/>
    <n v="0"/>
    <n v="28500"/>
    <n v="0"/>
  </r>
  <r>
    <n v="2019"/>
    <x v="4"/>
    <n v="23"/>
    <x v="21"/>
    <n v="0"/>
    <n v="28500"/>
    <n v="0"/>
  </r>
  <r>
    <n v="2019"/>
    <x v="4"/>
    <n v="23"/>
    <x v="22"/>
    <n v="0"/>
    <n v="28500"/>
    <n v="0"/>
  </r>
  <r>
    <n v="2019"/>
    <x v="4"/>
    <n v="23"/>
    <x v="23"/>
    <n v="0"/>
    <n v="28500"/>
    <n v="0"/>
  </r>
  <r>
    <n v="2019"/>
    <x v="4"/>
    <n v="24"/>
    <x v="0"/>
    <n v="0"/>
    <n v="28500"/>
    <n v="0"/>
  </r>
  <r>
    <n v="2019"/>
    <x v="4"/>
    <n v="24"/>
    <x v="1"/>
    <n v="0"/>
    <n v="28500"/>
    <n v="0"/>
  </r>
  <r>
    <n v="2019"/>
    <x v="4"/>
    <n v="24"/>
    <x v="2"/>
    <n v="0"/>
    <n v="28500"/>
    <n v="0"/>
  </r>
  <r>
    <n v="2019"/>
    <x v="4"/>
    <n v="24"/>
    <x v="3"/>
    <n v="0"/>
    <n v="28500"/>
    <n v="0"/>
  </r>
  <r>
    <n v="2019"/>
    <x v="4"/>
    <n v="24"/>
    <x v="4"/>
    <n v="0"/>
    <n v="28500"/>
    <n v="0"/>
  </r>
  <r>
    <n v="2019"/>
    <x v="4"/>
    <n v="24"/>
    <x v="5"/>
    <n v="1187.5"/>
    <n v="28500"/>
    <n v="4.1666666666666664E-2"/>
  </r>
  <r>
    <n v="2019"/>
    <x v="4"/>
    <n v="24"/>
    <x v="6"/>
    <n v="4067"/>
    <n v="28500"/>
    <n v="0.14270175438596491"/>
  </r>
  <r>
    <n v="2019"/>
    <x v="4"/>
    <n v="24"/>
    <x v="7"/>
    <n v="13834.5"/>
    <n v="28500"/>
    <n v="0.48542105263157892"/>
  </r>
  <r>
    <n v="2019"/>
    <x v="4"/>
    <n v="24"/>
    <x v="8"/>
    <n v="23388.5"/>
    <n v="28500"/>
    <n v="0.82064912280701752"/>
  </r>
  <r>
    <n v="2019"/>
    <x v="4"/>
    <n v="24"/>
    <x v="9"/>
    <n v="31129"/>
    <n v="28500"/>
    <n v="1.0922456140350878"/>
  </r>
  <r>
    <n v="2019"/>
    <x v="4"/>
    <n v="24"/>
    <x v="10"/>
    <n v="35908"/>
    <n v="28500"/>
    <n v="1.2599298245614035"/>
  </r>
  <r>
    <n v="2019"/>
    <x v="4"/>
    <n v="24"/>
    <x v="11"/>
    <n v="25952"/>
    <n v="28500"/>
    <n v="0.91059649122807018"/>
  </r>
  <r>
    <n v="2019"/>
    <x v="4"/>
    <n v="24"/>
    <x v="12"/>
    <n v="30695"/>
    <n v="28500"/>
    <n v="1.0770175438596492"/>
  </r>
  <r>
    <n v="2019"/>
    <x v="4"/>
    <n v="24"/>
    <x v="13"/>
    <n v="22684"/>
    <n v="28500"/>
    <n v="0.79592982456140349"/>
  </r>
  <r>
    <n v="2019"/>
    <x v="4"/>
    <n v="24"/>
    <x v="14"/>
    <n v="0"/>
    <n v="28500"/>
    <n v="0"/>
  </r>
  <r>
    <n v="2019"/>
    <x v="4"/>
    <n v="24"/>
    <x v="15"/>
    <n v="3937.5"/>
    <n v="28500"/>
    <n v="0.13815789473684212"/>
  </r>
  <r>
    <n v="2019"/>
    <x v="4"/>
    <n v="24"/>
    <x v="16"/>
    <n v="5183"/>
    <n v="28500"/>
    <n v="0.18185964912280703"/>
  </r>
  <r>
    <n v="2019"/>
    <x v="4"/>
    <n v="24"/>
    <x v="17"/>
    <n v="2497"/>
    <n v="28500"/>
    <n v="8.7614035087719297E-2"/>
  </r>
  <r>
    <n v="2019"/>
    <x v="4"/>
    <n v="24"/>
    <x v="18"/>
    <n v="399"/>
    <n v="28500"/>
    <n v="1.4E-2"/>
  </r>
  <r>
    <n v="2019"/>
    <x v="4"/>
    <n v="24"/>
    <x v="19"/>
    <n v="92.5"/>
    <n v="28500"/>
    <n v="3.2456140350877192E-3"/>
  </r>
  <r>
    <n v="2019"/>
    <x v="4"/>
    <n v="24"/>
    <x v="20"/>
    <n v="0"/>
    <n v="28500"/>
    <n v="0"/>
  </r>
  <r>
    <n v="2019"/>
    <x v="4"/>
    <n v="24"/>
    <x v="21"/>
    <n v="0"/>
    <n v="28500"/>
    <n v="0"/>
  </r>
  <r>
    <n v="2019"/>
    <x v="4"/>
    <n v="24"/>
    <x v="22"/>
    <n v="0"/>
    <n v="28500"/>
    <n v="0"/>
  </r>
  <r>
    <n v="2019"/>
    <x v="4"/>
    <n v="24"/>
    <x v="23"/>
    <n v="0"/>
    <n v="28500"/>
    <n v="0"/>
  </r>
  <r>
    <n v="2019"/>
    <x v="4"/>
    <n v="25"/>
    <x v="0"/>
    <n v="0"/>
    <n v="28500"/>
    <n v="0"/>
  </r>
  <r>
    <n v="2019"/>
    <x v="4"/>
    <n v="25"/>
    <x v="1"/>
    <n v="0"/>
    <n v="28500"/>
    <n v="0"/>
  </r>
  <r>
    <n v="2019"/>
    <x v="4"/>
    <n v="25"/>
    <x v="2"/>
    <n v="0"/>
    <n v="28500"/>
    <n v="0"/>
  </r>
  <r>
    <n v="2019"/>
    <x v="4"/>
    <n v="25"/>
    <x v="3"/>
    <n v="0"/>
    <n v="28500"/>
    <n v="0"/>
  </r>
  <r>
    <n v="2019"/>
    <x v="4"/>
    <n v="25"/>
    <x v="4"/>
    <n v="0"/>
    <n v="28500"/>
    <n v="0"/>
  </r>
  <r>
    <n v="2019"/>
    <x v="4"/>
    <n v="25"/>
    <x v="5"/>
    <n v="1444.5"/>
    <n v="28500"/>
    <n v="5.068421052631579E-2"/>
  </r>
  <r>
    <n v="2019"/>
    <x v="4"/>
    <n v="25"/>
    <x v="6"/>
    <n v="4863.5"/>
    <n v="28500"/>
    <n v="0.17064912280701755"/>
  </r>
  <r>
    <n v="2019"/>
    <x v="4"/>
    <n v="25"/>
    <x v="7"/>
    <n v="7477.5"/>
    <n v="28500"/>
    <n v="0.26236842105263158"/>
  </r>
  <r>
    <n v="2019"/>
    <x v="4"/>
    <n v="25"/>
    <x v="8"/>
    <n v="3788.5"/>
    <n v="28500"/>
    <n v="0.13292982456140351"/>
  </r>
  <r>
    <n v="2019"/>
    <x v="4"/>
    <n v="25"/>
    <x v="9"/>
    <n v="24008"/>
    <n v="28500"/>
    <n v="0.84238596491228068"/>
  </r>
  <r>
    <n v="2019"/>
    <x v="4"/>
    <n v="25"/>
    <x v="10"/>
    <n v="20479"/>
    <n v="28500"/>
    <n v="0.71856140350877196"/>
  </r>
  <r>
    <n v="2019"/>
    <x v="4"/>
    <n v="25"/>
    <x v="11"/>
    <n v="8876.5"/>
    <n v="28500"/>
    <n v="0.31145614035087721"/>
  </r>
  <r>
    <n v="2019"/>
    <x v="4"/>
    <n v="25"/>
    <x v="12"/>
    <n v="35209"/>
    <n v="28500"/>
    <n v="1.2354035087719297"/>
  </r>
  <r>
    <n v="2019"/>
    <x v="4"/>
    <n v="25"/>
    <x v="13"/>
    <n v="33516.5"/>
    <n v="28500"/>
    <n v="1.1760175438596492"/>
  </r>
  <r>
    <n v="2019"/>
    <x v="4"/>
    <n v="25"/>
    <x v="14"/>
    <n v="23063.5"/>
    <n v="28500"/>
    <n v="0.80924561403508777"/>
  </r>
  <r>
    <n v="2019"/>
    <x v="4"/>
    <n v="25"/>
    <x v="15"/>
    <n v="21516"/>
    <n v="28500"/>
    <n v="0.75494736842105259"/>
  </r>
  <r>
    <n v="2019"/>
    <x v="4"/>
    <n v="25"/>
    <x v="16"/>
    <n v="12199"/>
    <n v="28500"/>
    <n v="0.42803508771929827"/>
  </r>
  <r>
    <n v="2019"/>
    <x v="4"/>
    <n v="25"/>
    <x v="17"/>
    <n v="8324"/>
    <n v="28500"/>
    <n v="0.29207017543859648"/>
  </r>
  <r>
    <n v="2019"/>
    <x v="4"/>
    <n v="25"/>
    <x v="18"/>
    <n v="2816"/>
    <n v="28500"/>
    <n v="9.8807017543859649E-2"/>
  </r>
  <r>
    <n v="2019"/>
    <x v="4"/>
    <n v="25"/>
    <x v="19"/>
    <n v="52.5"/>
    <n v="28500"/>
    <n v="1.8421052631578947E-3"/>
  </r>
  <r>
    <n v="2019"/>
    <x v="4"/>
    <n v="25"/>
    <x v="20"/>
    <n v="0"/>
    <n v="28500"/>
    <n v="0"/>
  </r>
  <r>
    <n v="2019"/>
    <x v="4"/>
    <n v="25"/>
    <x v="21"/>
    <n v="0"/>
    <n v="28500"/>
    <n v="0"/>
  </r>
  <r>
    <n v="2019"/>
    <x v="4"/>
    <n v="25"/>
    <x v="22"/>
    <n v="0"/>
    <n v="28500"/>
    <n v="0"/>
  </r>
  <r>
    <n v="2019"/>
    <x v="4"/>
    <n v="25"/>
    <x v="23"/>
    <n v="0"/>
    <n v="28500"/>
    <n v="0"/>
  </r>
  <r>
    <n v="2019"/>
    <x v="4"/>
    <n v="26"/>
    <x v="0"/>
    <n v="0"/>
    <n v="28500"/>
    <n v="0"/>
  </r>
  <r>
    <n v="2019"/>
    <x v="4"/>
    <n v="26"/>
    <x v="1"/>
    <n v="0"/>
    <n v="28500"/>
    <n v="0"/>
  </r>
  <r>
    <n v="2019"/>
    <x v="4"/>
    <n v="26"/>
    <x v="2"/>
    <n v="0"/>
    <n v="28500"/>
    <n v="0"/>
  </r>
  <r>
    <n v="2019"/>
    <x v="4"/>
    <n v="26"/>
    <x v="3"/>
    <n v="0"/>
    <n v="28500"/>
    <n v="0"/>
  </r>
  <r>
    <n v="2019"/>
    <x v="4"/>
    <n v="26"/>
    <x v="4"/>
    <n v="0"/>
    <n v="28500"/>
    <n v="0"/>
  </r>
  <r>
    <n v="2019"/>
    <x v="4"/>
    <n v="26"/>
    <x v="5"/>
    <n v="925"/>
    <n v="28500"/>
    <n v="3.245614035087719E-2"/>
  </r>
  <r>
    <n v="2019"/>
    <x v="4"/>
    <n v="26"/>
    <x v="6"/>
    <n v="4293.5"/>
    <n v="28500"/>
    <n v="0.15064912280701753"/>
  </r>
  <r>
    <n v="2019"/>
    <x v="4"/>
    <n v="26"/>
    <x v="7"/>
    <n v="11059"/>
    <n v="28500"/>
    <n v="0.38803508771929823"/>
  </r>
  <r>
    <n v="2019"/>
    <x v="4"/>
    <n v="26"/>
    <x v="8"/>
    <n v="19888.5"/>
    <n v="28500"/>
    <n v="0.69784210526315793"/>
  </r>
  <r>
    <n v="2019"/>
    <x v="4"/>
    <n v="26"/>
    <x v="9"/>
    <n v="29514.5"/>
    <n v="28500"/>
    <n v="1.0355964912280702"/>
  </r>
  <r>
    <n v="2019"/>
    <x v="4"/>
    <n v="26"/>
    <x v="10"/>
    <n v="31854"/>
    <n v="28500"/>
    <n v="1.1176842105263158"/>
  </r>
  <r>
    <n v="2019"/>
    <x v="4"/>
    <n v="26"/>
    <x v="11"/>
    <n v="38135"/>
    <n v="28500"/>
    <n v="1.3380701754385964"/>
  </r>
  <r>
    <n v="2019"/>
    <x v="4"/>
    <n v="26"/>
    <x v="12"/>
    <n v="20366"/>
    <n v="28500"/>
    <n v="0.71459649122807023"/>
  </r>
  <r>
    <n v="2019"/>
    <x v="4"/>
    <n v="26"/>
    <x v="13"/>
    <n v="13372"/>
    <n v="28500"/>
    <n v="0.46919298245614033"/>
  </r>
  <r>
    <n v="2019"/>
    <x v="4"/>
    <n v="26"/>
    <x v="14"/>
    <n v="6593"/>
    <n v="28500"/>
    <n v="0.23133333333333334"/>
  </r>
  <r>
    <n v="2019"/>
    <x v="4"/>
    <n v="26"/>
    <x v="15"/>
    <n v="4527"/>
    <n v="28500"/>
    <n v="0.1588421052631579"/>
  </r>
  <r>
    <n v="2019"/>
    <x v="4"/>
    <n v="26"/>
    <x v="16"/>
    <n v="4377.5"/>
    <n v="28500"/>
    <n v="0.15359649122807018"/>
  </r>
  <r>
    <n v="2019"/>
    <x v="4"/>
    <n v="26"/>
    <x v="17"/>
    <n v="1661.5"/>
    <n v="28500"/>
    <n v="5.8298245614035085E-2"/>
  </r>
  <r>
    <n v="2019"/>
    <x v="4"/>
    <n v="26"/>
    <x v="18"/>
    <n v="742.5"/>
    <n v="28500"/>
    <n v="2.6052631578947369E-2"/>
  </r>
  <r>
    <n v="2019"/>
    <x v="4"/>
    <n v="26"/>
    <x v="19"/>
    <n v="0"/>
    <n v="28500"/>
    <n v="0"/>
  </r>
  <r>
    <n v="2019"/>
    <x v="4"/>
    <n v="26"/>
    <x v="20"/>
    <n v="0"/>
    <n v="28500"/>
    <n v="0"/>
  </r>
  <r>
    <n v="2019"/>
    <x v="4"/>
    <n v="26"/>
    <x v="21"/>
    <n v="0"/>
    <n v="28500"/>
    <n v="0"/>
  </r>
  <r>
    <n v="2019"/>
    <x v="4"/>
    <n v="26"/>
    <x v="22"/>
    <n v="0"/>
    <n v="28500"/>
    <n v="0"/>
  </r>
  <r>
    <n v="2019"/>
    <x v="4"/>
    <n v="26"/>
    <x v="23"/>
    <n v="0"/>
    <n v="28500"/>
    <n v="0"/>
  </r>
  <r>
    <n v="2019"/>
    <x v="4"/>
    <n v="27"/>
    <x v="0"/>
    <n v="0"/>
    <n v="28500"/>
    <n v="0"/>
  </r>
  <r>
    <n v="2019"/>
    <x v="4"/>
    <n v="27"/>
    <x v="1"/>
    <n v="0"/>
    <n v="28500"/>
    <n v="0"/>
  </r>
  <r>
    <n v="2019"/>
    <x v="4"/>
    <n v="27"/>
    <x v="2"/>
    <n v="0"/>
    <n v="28500"/>
    <n v="0"/>
  </r>
  <r>
    <n v="2019"/>
    <x v="4"/>
    <n v="27"/>
    <x v="3"/>
    <n v="0"/>
    <n v="28500"/>
    <n v="0"/>
  </r>
  <r>
    <n v="2019"/>
    <x v="4"/>
    <n v="27"/>
    <x v="4"/>
    <n v="0"/>
    <n v="28500"/>
    <n v="0"/>
  </r>
  <r>
    <n v="2019"/>
    <x v="4"/>
    <n v="27"/>
    <x v="5"/>
    <n v="1358"/>
    <n v="28500"/>
    <n v="4.7649122807017545E-2"/>
  </r>
  <r>
    <n v="2019"/>
    <x v="4"/>
    <n v="27"/>
    <x v="6"/>
    <n v="4486"/>
    <n v="28500"/>
    <n v="0.15740350877192982"/>
  </r>
  <r>
    <n v="2019"/>
    <x v="4"/>
    <n v="27"/>
    <x v="7"/>
    <n v="11614"/>
    <n v="28500"/>
    <n v="0.40750877192982454"/>
  </r>
  <r>
    <n v="2019"/>
    <x v="4"/>
    <n v="27"/>
    <x v="8"/>
    <n v="3753"/>
    <n v="28500"/>
    <n v="0.13168421052631579"/>
  </r>
  <r>
    <n v="2019"/>
    <x v="4"/>
    <n v="27"/>
    <x v="9"/>
    <n v="27339"/>
    <n v="28500"/>
    <n v="0.95926315789473682"/>
  </r>
  <r>
    <n v="2019"/>
    <x v="4"/>
    <n v="27"/>
    <x v="10"/>
    <n v="32603"/>
    <n v="28500"/>
    <n v="1.1439649122807019"/>
  </r>
  <r>
    <n v="2019"/>
    <x v="4"/>
    <n v="27"/>
    <x v="11"/>
    <n v="20409"/>
    <n v="28500"/>
    <n v="0.71610526315789469"/>
  </r>
  <r>
    <n v="2019"/>
    <x v="4"/>
    <n v="27"/>
    <x v="12"/>
    <n v="32133"/>
    <n v="28500"/>
    <n v="1.1274736842105264"/>
  </r>
  <r>
    <n v="2019"/>
    <x v="4"/>
    <n v="27"/>
    <x v="13"/>
    <n v="3385"/>
    <n v="28500"/>
    <n v="0.1187719298245614"/>
  </r>
  <r>
    <n v="2019"/>
    <x v="4"/>
    <n v="27"/>
    <x v="14"/>
    <n v="7105.5"/>
    <n v="28500"/>
    <n v="0.24931578947368421"/>
  </r>
  <r>
    <n v="2019"/>
    <x v="4"/>
    <n v="27"/>
    <x v="15"/>
    <n v="16286"/>
    <n v="28500"/>
    <n v="0.57143859649122808"/>
  </r>
  <r>
    <n v="2019"/>
    <x v="4"/>
    <n v="27"/>
    <x v="16"/>
    <n v="9548.5"/>
    <n v="28500"/>
    <n v="0.33503508771929824"/>
  </r>
  <r>
    <n v="2019"/>
    <x v="4"/>
    <n v="27"/>
    <x v="17"/>
    <n v="679"/>
    <n v="28500"/>
    <n v="2.3824561403508773E-2"/>
  </r>
  <r>
    <n v="2019"/>
    <x v="4"/>
    <n v="27"/>
    <x v="18"/>
    <n v="1317.5"/>
    <n v="28500"/>
    <n v="4.6228070175438597E-2"/>
  </r>
  <r>
    <n v="2019"/>
    <x v="4"/>
    <n v="27"/>
    <x v="19"/>
    <n v="115.5"/>
    <n v="28500"/>
    <n v="4.0526315789473685E-3"/>
  </r>
  <r>
    <n v="2019"/>
    <x v="4"/>
    <n v="27"/>
    <x v="20"/>
    <n v="0"/>
    <n v="28500"/>
    <n v="0"/>
  </r>
  <r>
    <n v="2019"/>
    <x v="4"/>
    <n v="27"/>
    <x v="21"/>
    <n v="0"/>
    <n v="28500"/>
    <n v="0"/>
  </r>
  <r>
    <n v="2019"/>
    <x v="4"/>
    <n v="27"/>
    <x v="22"/>
    <n v="0"/>
    <n v="28500"/>
    <n v="0"/>
  </r>
  <r>
    <n v="2019"/>
    <x v="4"/>
    <n v="27"/>
    <x v="23"/>
    <n v="0"/>
    <n v="28500"/>
    <n v="0"/>
  </r>
  <r>
    <n v="2019"/>
    <x v="4"/>
    <n v="28"/>
    <x v="0"/>
    <n v="0"/>
    <n v="28500"/>
    <n v="0"/>
  </r>
  <r>
    <n v="2019"/>
    <x v="4"/>
    <n v="28"/>
    <x v="1"/>
    <n v="0"/>
    <n v="28500"/>
    <n v="0"/>
  </r>
  <r>
    <n v="2019"/>
    <x v="4"/>
    <n v="28"/>
    <x v="2"/>
    <n v="0"/>
    <n v="28500"/>
    <n v="0"/>
  </r>
  <r>
    <n v="2019"/>
    <x v="4"/>
    <n v="28"/>
    <x v="3"/>
    <n v="0"/>
    <n v="28500"/>
    <n v="0"/>
  </r>
  <r>
    <n v="2019"/>
    <x v="4"/>
    <n v="28"/>
    <x v="4"/>
    <n v="0"/>
    <n v="28500"/>
    <n v="0"/>
  </r>
  <r>
    <n v="2019"/>
    <x v="4"/>
    <n v="28"/>
    <x v="5"/>
    <n v="1701.5"/>
    <n v="28500"/>
    <n v="5.9701754385964916E-2"/>
  </r>
  <r>
    <n v="2019"/>
    <x v="4"/>
    <n v="28"/>
    <x v="6"/>
    <n v="4990.5"/>
    <n v="28500"/>
    <n v="0.17510526315789474"/>
  </r>
  <r>
    <n v="2019"/>
    <x v="4"/>
    <n v="28"/>
    <x v="7"/>
    <n v="9778"/>
    <n v="28500"/>
    <n v="0.34308771929824561"/>
  </r>
  <r>
    <n v="2019"/>
    <x v="4"/>
    <n v="28"/>
    <x v="8"/>
    <n v="16217.5"/>
    <n v="28500"/>
    <n v="0.56903508771929823"/>
  </r>
  <r>
    <n v="2019"/>
    <x v="4"/>
    <n v="28"/>
    <x v="9"/>
    <n v="15706"/>
    <n v="28500"/>
    <n v="0.55108771929824563"/>
  </r>
  <r>
    <n v="2019"/>
    <x v="4"/>
    <n v="28"/>
    <x v="10"/>
    <n v="2820.5"/>
    <n v="28500"/>
    <n v="9.8964912280701756E-2"/>
  </r>
  <r>
    <n v="2019"/>
    <x v="4"/>
    <n v="28"/>
    <x v="11"/>
    <n v="3987.5"/>
    <n v="28500"/>
    <n v="0.13991228070175438"/>
  </r>
  <r>
    <n v="2019"/>
    <x v="4"/>
    <n v="28"/>
    <x v="12"/>
    <n v="28218.5"/>
    <n v="28500"/>
    <n v="0.99012280701754385"/>
  </r>
  <r>
    <n v="2019"/>
    <x v="4"/>
    <n v="28"/>
    <x v="13"/>
    <n v="18560.5"/>
    <n v="28500"/>
    <n v="0.65124561403508774"/>
  </r>
  <r>
    <n v="2019"/>
    <x v="4"/>
    <n v="28"/>
    <x v="14"/>
    <n v="6483.5"/>
    <n v="28500"/>
    <n v="0.22749122807017544"/>
  </r>
  <r>
    <n v="2019"/>
    <x v="4"/>
    <n v="28"/>
    <x v="15"/>
    <n v="4268.5"/>
    <n v="28500"/>
    <n v="0.14977192982456142"/>
  </r>
  <r>
    <n v="2019"/>
    <x v="4"/>
    <n v="28"/>
    <x v="16"/>
    <n v="9074.5"/>
    <n v="28500"/>
    <n v="0.3184035087719298"/>
  </r>
  <r>
    <n v="2019"/>
    <x v="4"/>
    <n v="28"/>
    <x v="17"/>
    <n v="5663.5"/>
    <n v="28500"/>
    <n v="0.19871929824561405"/>
  </r>
  <r>
    <n v="2019"/>
    <x v="4"/>
    <n v="28"/>
    <x v="18"/>
    <n v="3000"/>
    <n v="28500"/>
    <n v="0.10526315789473684"/>
  </r>
  <r>
    <n v="2019"/>
    <x v="4"/>
    <n v="28"/>
    <x v="19"/>
    <n v="706"/>
    <n v="28500"/>
    <n v="2.4771929824561403E-2"/>
  </r>
  <r>
    <n v="2019"/>
    <x v="4"/>
    <n v="28"/>
    <x v="20"/>
    <n v="0"/>
    <n v="28500"/>
    <n v="0"/>
  </r>
  <r>
    <n v="2019"/>
    <x v="4"/>
    <n v="28"/>
    <x v="21"/>
    <n v="0"/>
    <n v="28500"/>
    <n v="0"/>
  </r>
  <r>
    <n v="2019"/>
    <x v="4"/>
    <n v="28"/>
    <x v="22"/>
    <n v="0"/>
    <n v="28500"/>
    <n v="0"/>
  </r>
  <r>
    <n v="2019"/>
    <x v="4"/>
    <n v="28"/>
    <x v="23"/>
    <n v="0"/>
    <n v="28500"/>
    <n v="0"/>
  </r>
  <r>
    <n v="2019"/>
    <x v="4"/>
    <n v="29"/>
    <x v="0"/>
    <n v="0"/>
    <n v="28500"/>
    <n v="0"/>
  </r>
  <r>
    <n v="2019"/>
    <x v="4"/>
    <n v="29"/>
    <x v="1"/>
    <n v="0"/>
    <n v="28500"/>
    <n v="0"/>
  </r>
  <r>
    <n v="2019"/>
    <x v="4"/>
    <n v="29"/>
    <x v="2"/>
    <n v="0"/>
    <n v="28500"/>
    <n v="0"/>
  </r>
  <r>
    <n v="2019"/>
    <x v="4"/>
    <n v="29"/>
    <x v="3"/>
    <n v="0"/>
    <n v="28500"/>
    <n v="0"/>
  </r>
  <r>
    <n v="2019"/>
    <x v="4"/>
    <n v="29"/>
    <x v="4"/>
    <n v="0"/>
    <n v="28500"/>
    <n v="0"/>
  </r>
  <r>
    <n v="2019"/>
    <x v="4"/>
    <n v="29"/>
    <x v="5"/>
    <n v="1494.5"/>
    <n v="28500"/>
    <n v="5.2438596491228069E-2"/>
  </r>
  <r>
    <n v="2019"/>
    <x v="4"/>
    <n v="29"/>
    <x v="6"/>
    <n v="4322.5"/>
    <n v="28500"/>
    <n v="0.15166666666666667"/>
  </r>
  <r>
    <n v="2019"/>
    <x v="4"/>
    <n v="29"/>
    <x v="7"/>
    <n v="7989.5"/>
    <n v="28500"/>
    <n v="0.28033333333333332"/>
  </r>
  <r>
    <n v="2019"/>
    <x v="4"/>
    <n v="29"/>
    <x v="8"/>
    <n v="12538"/>
    <n v="28500"/>
    <n v="0.4399298245614035"/>
  </r>
  <r>
    <n v="2019"/>
    <x v="4"/>
    <n v="29"/>
    <x v="9"/>
    <n v="22722"/>
    <n v="28500"/>
    <n v="0.7972631578947369"/>
  </r>
  <r>
    <n v="2019"/>
    <x v="4"/>
    <n v="29"/>
    <x v="10"/>
    <n v="12946.5"/>
    <n v="28500"/>
    <n v="0.45426315789473687"/>
  </r>
  <r>
    <n v="2019"/>
    <x v="4"/>
    <n v="29"/>
    <x v="11"/>
    <n v="21832.5"/>
    <n v="28500"/>
    <n v="0.76605263157894732"/>
  </r>
  <r>
    <n v="2019"/>
    <x v="4"/>
    <n v="29"/>
    <x v="12"/>
    <n v="19987"/>
    <n v="28500"/>
    <n v="0.70129824561403509"/>
  </r>
  <r>
    <n v="2019"/>
    <x v="4"/>
    <n v="29"/>
    <x v="13"/>
    <n v="8281"/>
    <n v="28500"/>
    <n v="0.29056140350877191"/>
  </r>
  <r>
    <n v="2019"/>
    <x v="4"/>
    <n v="29"/>
    <x v="14"/>
    <n v="7457.5"/>
    <n v="28500"/>
    <n v="0.26166666666666666"/>
  </r>
  <r>
    <n v="2019"/>
    <x v="4"/>
    <n v="29"/>
    <x v="15"/>
    <n v="3368"/>
    <n v="28500"/>
    <n v="0.11817543859649123"/>
  </r>
  <r>
    <n v="2019"/>
    <x v="4"/>
    <n v="29"/>
    <x v="16"/>
    <n v="2578.5"/>
    <n v="28500"/>
    <n v="9.0473684210526317E-2"/>
  </r>
  <r>
    <n v="2019"/>
    <x v="4"/>
    <n v="29"/>
    <x v="17"/>
    <n v="920"/>
    <n v="28500"/>
    <n v="3.2280701754385965E-2"/>
  </r>
  <r>
    <n v="2019"/>
    <x v="4"/>
    <n v="29"/>
    <x v="18"/>
    <n v="323.5"/>
    <n v="28500"/>
    <n v="1.1350877192982457E-2"/>
  </r>
  <r>
    <n v="2019"/>
    <x v="4"/>
    <n v="29"/>
    <x v="19"/>
    <n v="37"/>
    <n v="28500"/>
    <n v="1.2982456140350877E-3"/>
  </r>
  <r>
    <n v="2019"/>
    <x v="4"/>
    <n v="29"/>
    <x v="20"/>
    <n v="0"/>
    <n v="28500"/>
    <n v="0"/>
  </r>
  <r>
    <n v="2019"/>
    <x v="4"/>
    <n v="29"/>
    <x v="21"/>
    <n v="0"/>
    <n v="28500"/>
    <n v="0"/>
  </r>
  <r>
    <n v="2019"/>
    <x v="4"/>
    <n v="29"/>
    <x v="22"/>
    <n v="0"/>
    <n v="28500"/>
    <n v="0"/>
  </r>
  <r>
    <n v="2019"/>
    <x v="4"/>
    <n v="29"/>
    <x v="23"/>
    <n v="0"/>
    <n v="28500"/>
    <n v="0"/>
  </r>
  <r>
    <n v="2019"/>
    <x v="4"/>
    <n v="30"/>
    <x v="0"/>
    <n v="0"/>
    <n v="28500"/>
    <n v="0"/>
  </r>
  <r>
    <n v="2019"/>
    <x v="4"/>
    <n v="30"/>
    <x v="1"/>
    <n v="0"/>
    <n v="28500"/>
    <n v="0"/>
  </r>
  <r>
    <n v="2019"/>
    <x v="4"/>
    <n v="30"/>
    <x v="2"/>
    <n v="0"/>
    <n v="28500"/>
    <n v="0"/>
  </r>
  <r>
    <n v="2019"/>
    <x v="4"/>
    <n v="30"/>
    <x v="3"/>
    <n v="0"/>
    <n v="28500"/>
    <n v="0"/>
  </r>
  <r>
    <n v="2019"/>
    <x v="4"/>
    <n v="30"/>
    <x v="4"/>
    <n v="0"/>
    <n v="28500"/>
    <n v="0"/>
  </r>
  <r>
    <n v="2019"/>
    <x v="4"/>
    <n v="30"/>
    <x v="5"/>
    <n v="1268"/>
    <n v="28500"/>
    <n v="4.4491228070175436E-2"/>
  </r>
  <r>
    <n v="2019"/>
    <x v="4"/>
    <n v="30"/>
    <x v="6"/>
    <n v="5017.5"/>
    <n v="28500"/>
    <n v="0.17605263157894738"/>
  </r>
  <r>
    <n v="2019"/>
    <x v="4"/>
    <n v="30"/>
    <x v="7"/>
    <n v="13312"/>
    <n v="28500"/>
    <n v="0.46708771929824561"/>
  </r>
  <r>
    <n v="2019"/>
    <x v="4"/>
    <n v="30"/>
    <x v="8"/>
    <n v="23186"/>
    <n v="28500"/>
    <n v="0.81354385964912279"/>
  </r>
  <r>
    <n v="2019"/>
    <x v="4"/>
    <n v="30"/>
    <x v="9"/>
    <n v="15450.5"/>
    <n v="28500"/>
    <n v="0.5421228070175439"/>
  </r>
  <r>
    <n v="2019"/>
    <x v="4"/>
    <n v="30"/>
    <x v="10"/>
    <n v="30848"/>
    <n v="28500"/>
    <n v="1.0823859649122807"/>
  </r>
  <r>
    <n v="2019"/>
    <x v="4"/>
    <n v="30"/>
    <x v="11"/>
    <n v="16206.5"/>
    <n v="28500"/>
    <n v="0.56864912280701752"/>
  </r>
  <r>
    <n v="2019"/>
    <x v="4"/>
    <n v="30"/>
    <x v="12"/>
    <n v="6939.5"/>
    <n v="28500"/>
    <n v="0.24349122807017543"/>
  </r>
  <r>
    <n v="2019"/>
    <x v="4"/>
    <n v="30"/>
    <x v="13"/>
    <n v="18995.5"/>
    <n v="28500"/>
    <n v="0.66650877192982461"/>
  </r>
  <r>
    <n v="2019"/>
    <x v="4"/>
    <n v="30"/>
    <x v="14"/>
    <n v="4974"/>
    <n v="28500"/>
    <n v="0.1745263157894737"/>
  </r>
  <r>
    <n v="2019"/>
    <x v="4"/>
    <n v="30"/>
    <x v="15"/>
    <n v="8015"/>
    <n v="28500"/>
    <n v="0.2812280701754386"/>
  </r>
  <r>
    <n v="2019"/>
    <x v="4"/>
    <n v="30"/>
    <x v="16"/>
    <n v="8968"/>
    <n v="28500"/>
    <n v="0.31466666666666665"/>
  </r>
  <r>
    <n v="2019"/>
    <x v="4"/>
    <n v="30"/>
    <x v="17"/>
    <n v="3020.5"/>
    <n v="28500"/>
    <n v="0.10598245614035087"/>
  </r>
  <r>
    <n v="2019"/>
    <x v="4"/>
    <n v="30"/>
    <x v="18"/>
    <n v="2360"/>
    <n v="28500"/>
    <n v="8.2807017543859648E-2"/>
  </r>
  <r>
    <n v="2019"/>
    <x v="4"/>
    <n v="30"/>
    <x v="19"/>
    <n v="430.5"/>
    <n v="28500"/>
    <n v="1.5105263157894736E-2"/>
  </r>
  <r>
    <n v="2019"/>
    <x v="4"/>
    <n v="30"/>
    <x v="20"/>
    <n v="0"/>
    <n v="28500"/>
    <n v="0"/>
  </r>
  <r>
    <n v="2019"/>
    <x v="4"/>
    <n v="30"/>
    <x v="21"/>
    <n v="0"/>
    <n v="28500"/>
    <n v="0"/>
  </r>
  <r>
    <n v="2019"/>
    <x v="4"/>
    <n v="30"/>
    <x v="22"/>
    <n v="0"/>
    <n v="28500"/>
    <n v="0"/>
  </r>
  <r>
    <n v="2019"/>
    <x v="4"/>
    <n v="30"/>
    <x v="23"/>
    <n v="0"/>
    <n v="28500"/>
    <n v="0"/>
  </r>
  <r>
    <n v="2019"/>
    <x v="4"/>
    <n v="31"/>
    <x v="0"/>
    <n v="0"/>
    <n v="28500"/>
    <n v="0"/>
  </r>
  <r>
    <n v="2019"/>
    <x v="4"/>
    <n v="31"/>
    <x v="1"/>
    <n v="0"/>
    <n v="28500"/>
    <n v="0"/>
  </r>
  <r>
    <n v="2019"/>
    <x v="4"/>
    <n v="31"/>
    <x v="2"/>
    <n v="0"/>
    <n v="28500"/>
    <n v="0"/>
  </r>
  <r>
    <n v="2019"/>
    <x v="4"/>
    <n v="31"/>
    <x v="3"/>
    <n v="0"/>
    <n v="28500"/>
    <n v="0"/>
  </r>
  <r>
    <n v="2019"/>
    <x v="4"/>
    <n v="31"/>
    <x v="4"/>
    <n v="0"/>
    <n v="28500"/>
    <n v="0"/>
  </r>
  <r>
    <n v="2019"/>
    <x v="4"/>
    <n v="31"/>
    <x v="5"/>
    <n v="590.5"/>
    <n v="28500"/>
    <n v="2.0719298245614037E-2"/>
  </r>
  <r>
    <n v="2019"/>
    <x v="4"/>
    <n v="31"/>
    <x v="6"/>
    <n v="2639.5"/>
    <n v="28500"/>
    <n v="9.2614035087719301E-2"/>
  </r>
  <r>
    <n v="2019"/>
    <x v="4"/>
    <n v="31"/>
    <x v="7"/>
    <n v="3143.5"/>
    <n v="28500"/>
    <n v="0.11029824561403509"/>
  </r>
  <r>
    <n v="2019"/>
    <x v="4"/>
    <n v="31"/>
    <x v="8"/>
    <n v="9725"/>
    <n v="28500"/>
    <n v="0.3412280701754386"/>
  </r>
  <r>
    <n v="2019"/>
    <x v="4"/>
    <n v="31"/>
    <x v="9"/>
    <n v="12622"/>
    <n v="28500"/>
    <n v="0.44287719298245615"/>
  </r>
  <r>
    <n v="2019"/>
    <x v="4"/>
    <n v="31"/>
    <x v="10"/>
    <n v="5492"/>
    <n v="28500"/>
    <n v="0.1927017543859649"/>
  </r>
  <r>
    <n v="2019"/>
    <x v="4"/>
    <n v="31"/>
    <x v="11"/>
    <n v="11638.5"/>
    <n v="28500"/>
    <n v="0.4083684210526316"/>
  </r>
  <r>
    <n v="2019"/>
    <x v="4"/>
    <n v="31"/>
    <x v="12"/>
    <n v="4896"/>
    <n v="28500"/>
    <n v="0.17178947368421052"/>
  </r>
  <r>
    <n v="2019"/>
    <x v="4"/>
    <n v="31"/>
    <x v="13"/>
    <n v="4582"/>
    <n v="28500"/>
    <n v="0.1607719298245614"/>
  </r>
  <r>
    <n v="2019"/>
    <x v="4"/>
    <n v="31"/>
    <x v="14"/>
    <n v="5899.5"/>
    <n v="28500"/>
    <n v="0.20699999999999999"/>
  </r>
  <r>
    <n v="2019"/>
    <x v="4"/>
    <n v="31"/>
    <x v="15"/>
    <n v="12279.5"/>
    <n v="28500"/>
    <n v="0.430859649122807"/>
  </r>
  <r>
    <n v="2019"/>
    <x v="4"/>
    <n v="31"/>
    <x v="16"/>
    <n v="12468.5"/>
    <n v="28500"/>
    <n v="0.43749122807017543"/>
  </r>
  <r>
    <n v="2019"/>
    <x v="4"/>
    <n v="31"/>
    <x v="17"/>
    <n v="8870"/>
    <n v="28500"/>
    <n v="0.31122807017543858"/>
  </r>
  <r>
    <n v="2019"/>
    <x v="4"/>
    <n v="31"/>
    <x v="18"/>
    <n v="2853"/>
    <n v="28500"/>
    <n v="0.10010526315789474"/>
  </r>
  <r>
    <n v="2019"/>
    <x v="4"/>
    <n v="31"/>
    <x v="19"/>
    <n v="750"/>
    <n v="28500"/>
    <n v="2.6315789473684209E-2"/>
  </r>
  <r>
    <n v="2019"/>
    <x v="4"/>
    <n v="31"/>
    <x v="20"/>
    <n v="0"/>
    <n v="28500"/>
    <n v="0"/>
  </r>
  <r>
    <n v="2019"/>
    <x v="4"/>
    <n v="31"/>
    <x v="21"/>
    <n v="0"/>
    <n v="28500"/>
    <n v="0"/>
  </r>
  <r>
    <n v="2019"/>
    <x v="4"/>
    <n v="31"/>
    <x v="22"/>
    <n v="0"/>
    <n v="28500"/>
    <n v="0"/>
  </r>
  <r>
    <n v="2019"/>
    <x v="4"/>
    <n v="31"/>
    <x v="23"/>
    <n v="0"/>
    <n v="28500"/>
    <n v="0"/>
  </r>
  <r>
    <n v="2019"/>
    <x v="5"/>
    <n v="1"/>
    <x v="0"/>
    <n v="0"/>
    <n v="28500"/>
    <n v="0"/>
  </r>
  <r>
    <n v="2019"/>
    <x v="5"/>
    <n v="1"/>
    <x v="1"/>
    <n v="0"/>
    <n v="28500"/>
    <n v="0"/>
  </r>
  <r>
    <n v="2019"/>
    <x v="5"/>
    <n v="1"/>
    <x v="2"/>
    <n v="0"/>
    <n v="28500"/>
    <n v="0"/>
  </r>
  <r>
    <n v="2019"/>
    <x v="5"/>
    <n v="1"/>
    <x v="3"/>
    <n v="0"/>
    <n v="28500"/>
    <n v="0"/>
  </r>
  <r>
    <n v="2019"/>
    <x v="5"/>
    <n v="1"/>
    <x v="4"/>
    <n v="0"/>
    <n v="28500"/>
    <n v="0"/>
  </r>
  <r>
    <n v="2019"/>
    <x v="5"/>
    <n v="1"/>
    <x v="5"/>
    <n v="1616"/>
    <n v="28500"/>
    <n v="5.6701754385964913E-2"/>
  </r>
  <r>
    <n v="2019"/>
    <x v="5"/>
    <n v="1"/>
    <x v="6"/>
    <n v="4027"/>
    <n v="28500"/>
    <n v="0.14129824561403509"/>
  </r>
  <r>
    <n v="2019"/>
    <x v="5"/>
    <n v="1"/>
    <x v="7"/>
    <n v="13696"/>
    <n v="28500"/>
    <n v="0.48056140350877191"/>
  </r>
  <r>
    <n v="2019"/>
    <x v="5"/>
    <n v="1"/>
    <x v="8"/>
    <n v="22639.5"/>
    <n v="28500"/>
    <n v="0.79436842105263161"/>
  </r>
  <r>
    <n v="2019"/>
    <x v="5"/>
    <n v="1"/>
    <x v="9"/>
    <n v="30342"/>
    <n v="28500"/>
    <n v="1.0646315789473684"/>
  </r>
  <r>
    <n v="2019"/>
    <x v="5"/>
    <n v="1"/>
    <x v="10"/>
    <n v="36024"/>
    <n v="28500"/>
    <n v="1.264"/>
  </r>
  <r>
    <n v="2019"/>
    <x v="5"/>
    <n v="1"/>
    <x v="11"/>
    <n v="38864"/>
    <n v="28500"/>
    <n v="1.3636491228070176"/>
  </r>
  <r>
    <n v="2019"/>
    <x v="5"/>
    <n v="1"/>
    <x v="12"/>
    <n v="38181"/>
    <n v="28500"/>
    <n v="1.3396842105263158"/>
  </r>
  <r>
    <n v="2019"/>
    <x v="5"/>
    <n v="1"/>
    <x v="13"/>
    <n v="34782.5"/>
    <n v="28500"/>
    <n v="1.2204385964912281"/>
  </r>
  <r>
    <n v="2019"/>
    <x v="5"/>
    <n v="1"/>
    <x v="14"/>
    <n v="29365.5"/>
    <n v="28500"/>
    <n v="1.0303684210526316"/>
  </r>
  <r>
    <n v="2019"/>
    <x v="5"/>
    <n v="1"/>
    <x v="15"/>
    <n v="23689.5"/>
    <n v="28500"/>
    <n v="0.83121052631578951"/>
  </r>
  <r>
    <n v="2019"/>
    <x v="5"/>
    <n v="1"/>
    <x v="16"/>
    <n v="11599"/>
    <n v="28500"/>
    <n v="0.40698245614035089"/>
  </r>
  <r>
    <n v="2019"/>
    <x v="5"/>
    <n v="1"/>
    <x v="17"/>
    <n v="8199"/>
    <n v="28500"/>
    <n v="0.28768421052631576"/>
  </r>
  <r>
    <n v="2019"/>
    <x v="5"/>
    <n v="1"/>
    <x v="18"/>
    <n v="1228"/>
    <n v="28500"/>
    <n v="4.3087719298245612E-2"/>
  </r>
  <r>
    <n v="2019"/>
    <x v="5"/>
    <n v="1"/>
    <x v="19"/>
    <n v="675.5"/>
    <n v="28500"/>
    <n v="2.3701754385964911E-2"/>
  </r>
  <r>
    <n v="2019"/>
    <x v="5"/>
    <n v="1"/>
    <x v="20"/>
    <n v="0"/>
    <n v="28500"/>
    <n v="0"/>
  </r>
  <r>
    <n v="2019"/>
    <x v="5"/>
    <n v="1"/>
    <x v="21"/>
    <n v="0"/>
    <n v="28500"/>
    <n v="0"/>
  </r>
  <r>
    <n v="2019"/>
    <x v="5"/>
    <n v="1"/>
    <x v="22"/>
    <n v="0"/>
    <n v="28500"/>
    <n v="0"/>
  </r>
  <r>
    <n v="2019"/>
    <x v="5"/>
    <n v="1"/>
    <x v="23"/>
    <n v="0"/>
    <n v="28500"/>
    <n v="0"/>
  </r>
  <r>
    <n v="2019"/>
    <x v="5"/>
    <n v="2"/>
    <x v="0"/>
    <n v="0"/>
    <n v="28500"/>
    <n v="0"/>
  </r>
  <r>
    <n v="2019"/>
    <x v="5"/>
    <n v="2"/>
    <x v="1"/>
    <n v="0"/>
    <n v="28500"/>
    <n v="0"/>
  </r>
  <r>
    <n v="2019"/>
    <x v="5"/>
    <n v="2"/>
    <x v="2"/>
    <n v="0"/>
    <n v="28500"/>
    <n v="0"/>
  </r>
  <r>
    <n v="2019"/>
    <x v="5"/>
    <n v="2"/>
    <x v="3"/>
    <n v="0"/>
    <n v="28500"/>
    <n v="0"/>
  </r>
  <r>
    <n v="2019"/>
    <x v="5"/>
    <n v="2"/>
    <x v="4"/>
    <n v="0"/>
    <n v="28500"/>
    <n v="0"/>
  </r>
  <r>
    <n v="2019"/>
    <x v="5"/>
    <n v="2"/>
    <x v="5"/>
    <n v="1244.5"/>
    <n v="28500"/>
    <n v="4.3666666666666666E-2"/>
  </r>
  <r>
    <n v="2019"/>
    <x v="5"/>
    <n v="2"/>
    <x v="6"/>
    <n v="5045"/>
    <n v="28500"/>
    <n v="0.17701754385964913"/>
  </r>
  <r>
    <n v="2019"/>
    <x v="5"/>
    <n v="2"/>
    <x v="7"/>
    <n v="10495.5"/>
    <n v="28500"/>
    <n v="0.36826315789473685"/>
  </r>
  <r>
    <n v="2019"/>
    <x v="5"/>
    <n v="2"/>
    <x v="8"/>
    <n v="18310"/>
    <n v="28500"/>
    <n v="0.64245614035087717"/>
  </r>
  <r>
    <n v="2019"/>
    <x v="5"/>
    <n v="2"/>
    <x v="9"/>
    <n v="22962.5"/>
    <n v="28500"/>
    <n v="0.80570175438596492"/>
  </r>
  <r>
    <n v="2019"/>
    <x v="5"/>
    <n v="2"/>
    <x v="10"/>
    <n v="23146"/>
    <n v="28500"/>
    <n v="0.81214035087719294"/>
  </r>
  <r>
    <n v="2019"/>
    <x v="5"/>
    <n v="2"/>
    <x v="11"/>
    <n v="31792.5"/>
    <n v="28500"/>
    <n v="1.1155263157894737"/>
  </r>
  <r>
    <n v="2019"/>
    <x v="5"/>
    <n v="2"/>
    <x v="12"/>
    <n v="37319"/>
    <n v="28500"/>
    <n v="1.3094385964912281"/>
  </r>
  <r>
    <n v="2019"/>
    <x v="5"/>
    <n v="2"/>
    <x v="13"/>
    <n v="38463.5"/>
    <n v="28500"/>
    <n v="1.3495964912280702"/>
  </r>
  <r>
    <n v="2019"/>
    <x v="5"/>
    <n v="2"/>
    <x v="14"/>
    <n v="21016"/>
    <n v="28500"/>
    <n v="0.73740350877192984"/>
  </r>
  <r>
    <n v="2019"/>
    <x v="5"/>
    <n v="2"/>
    <x v="15"/>
    <n v="20103.5"/>
    <n v="28500"/>
    <n v="0.70538596491228067"/>
  </r>
  <r>
    <n v="2019"/>
    <x v="5"/>
    <n v="2"/>
    <x v="16"/>
    <n v="18756.5"/>
    <n v="28500"/>
    <n v="0.65812280701754389"/>
  </r>
  <r>
    <n v="2019"/>
    <x v="5"/>
    <n v="2"/>
    <x v="17"/>
    <n v="4152"/>
    <n v="28500"/>
    <n v="0.14568421052631578"/>
  </r>
  <r>
    <n v="2019"/>
    <x v="5"/>
    <n v="2"/>
    <x v="18"/>
    <n v="2703"/>
    <n v="28500"/>
    <n v="9.4842105263157894E-2"/>
  </r>
  <r>
    <n v="2019"/>
    <x v="5"/>
    <n v="2"/>
    <x v="19"/>
    <n v="18.5"/>
    <n v="28500"/>
    <n v="6.4912280701754385E-4"/>
  </r>
  <r>
    <n v="2019"/>
    <x v="5"/>
    <n v="2"/>
    <x v="20"/>
    <n v="0"/>
    <n v="28500"/>
    <n v="0"/>
  </r>
  <r>
    <n v="2019"/>
    <x v="5"/>
    <n v="2"/>
    <x v="21"/>
    <n v="0"/>
    <n v="28500"/>
    <n v="0"/>
  </r>
  <r>
    <n v="2019"/>
    <x v="5"/>
    <n v="2"/>
    <x v="22"/>
    <n v="0"/>
    <n v="28500"/>
    <n v="0"/>
  </r>
  <r>
    <n v="2019"/>
    <x v="5"/>
    <n v="2"/>
    <x v="23"/>
    <n v="0"/>
    <n v="28500"/>
    <n v="0"/>
  </r>
  <r>
    <n v="2019"/>
    <x v="5"/>
    <n v="3"/>
    <x v="0"/>
    <n v="0"/>
    <n v="28500"/>
    <n v="0"/>
  </r>
  <r>
    <n v="2019"/>
    <x v="5"/>
    <n v="3"/>
    <x v="1"/>
    <n v="0"/>
    <n v="28500"/>
    <n v="0"/>
  </r>
  <r>
    <n v="2019"/>
    <x v="5"/>
    <n v="3"/>
    <x v="2"/>
    <n v="0"/>
    <n v="28500"/>
    <n v="0"/>
  </r>
  <r>
    <n v="2019"/>
    <x v="5"/>
    <n v="3"/>
    <x v="3"/>
    <n v="0"/>
    <n v="28500"/>
    <n v="0"/>
  </r>
  <r>
    <n v="2019"/>
    <x v="5"/>
    <n v="3"/>
    <x v="4"/>
    <n v="0"/>
    <n v="28500"/>
    <n v="0"/>
  </r>
  <r>
    <n v="2019"/>
    <x v="5"/>
    <n v="3"/>
    <x v="5"/>
    <n v="1574.5"/>
    <n v="28500"/>
    <n v="5.5245614035087716E-2"/>
  </r>
  <r>
    <n v="2019"/>
    <x v="5"/>
    <n v="3"/>
    <x v="6"/>
    <n v="4723"/>
    <n v="28500"/>
    <n v="0.16571929824561404"/>
  </r>
  <r>
    <n v="2019"/>
    <x v="5"/>
    <n v="3"/>
    <x v="7"/>
    <n v="13403.5"/>
    <n v="28500"/>
    <n v="0.4702982456140351"/>
  </r>
  <r>
    <n v="2019"/>
    <x v="5"/>
    <n v="3"/>
    <x v="8"/>
    <n v="21825.5"/>
    <n v="28500"/>
    <n v="0.7658070175438596"/>
  </r>
  <r>
    <n v="2019"/>
    <x v="5"/>
    <n v="3"/>
    <x v="9"/>
    <n v="26302.5"/>
    <n v="28500"/>
    <n v="0.92289473684210521"/>
  </r>
  <r>
    <n v="2019"/>
    <x v="5"/>
    <n v="3"/>
    <x v="10"/>
    <n v="21773.5"/>
    <n v="28500"/>
    <n v="0.76398245614035087"/>
  </r>
  <r>
    <n v="2019"/>
    <x v="5"/>
    <n v="3"/>
    <x v="11"/>
    <n v="13925"/>
    <n v="28500"/>
    <n v="0.4885964912280702"/>
  </r>
  <r>
    <n v="2019"/>
    <x v="5"/>
    <n v="3"/>
    <x v="12"/>
    <n v="10458.5"/>
    <n v="28500"/>
    <n v="0.36696491228070177"/>
  </r>
  <r>
    <n v="2019"/>
    <x v="5"/>
    <n v="3"/>
    <x v="13"/>
    <n v="34956"/>
    <n v="28500"/>
    <n v="1.2265263157894737"/>
  </r>
  <r>
    <n v="2019"/>
    <x v="5"/>
    <n v="3"/>
    <x v="14"/>
    <n v="9540"/>
    <n v="28500"/>
    <n v="0.33473684210526317"/>
  </r>
  <r>
    <n v="2019"/>
    <x v="5"/>
    <n v="3"/>
    <x v="15"/>
    <n v="23366"/>
    <n v="28500"/>
    <n v="0.81985964912280707"/>
  </r>
  <r>
    <n v="2019"/>
    <x v="5"/>
    <n v="3"/>
    <x v="16"/>
    <n v="18303"/>
    <n v="28500"/>
    <n v="0.64221052631578945"/>
  </r>
  <r>
    <n v="2019"/>
    <x v="5"/>
    <n v="3"/>
    <x v="17"/>
    <n v="9244"/>
    <n v="28500"/>
    <n v="0.32435087719298245"/>
  </r>
  <r>
    <n v="2019"/>
    <x v="5"/>
    <n v="3"/>
    <x v="18"/>
    <n v="2349.5"/>
    <n v="28500"/>
    <n v="8.2438596491228075E-2"/>
  </r>
  <r>
    <n v="2019"/>
    <x v="5"/>
    <n v="3"/>
    <x v="19"/>
    <n v="876"/>
    <n v="28500"/>
    <n v="3.073684210526316E-2"/>
  </r>
  <r>
    <n v="2019"/>
    <x v="5"/>
    <n v="3"/>
    <x v="20"/>
    <n v="0"/>
    <n v="28500"/>
    <n v="0"/>
  </r>
  <r>
    <n v="2019"/>
    <x v="5"/>
    <n v="3"/>
    <x v="21"/>
    <n v="0"/>
    <n v="28500"/>
    <n v="0"/>
  </r>
  <r>
    <n v="2019"/>
    <x v="5"/>
    <n v="3"/>
    <x v="22"/>
    <n v="0"/>
    <n v="28500"/>
    <n v="0"/>
  </r>
  <r>
    <n v="2019"/>
    <x v="5"/>
    <n v="3"/>
    <x v="23"/>
    <n v="0"/>
    <n v="28500"/>
    <n v="0"/>
  </r>
  <r>
    <n v="2019"/>
    <x v="5"/>
    <n v="4"/>
    <x v="0"/>
    <n v="0"/>
    <n v="28500"/>
    <n v="0"/>
  </r>
  <r>
    <n v="2019"/>
    <x v="5"/>
    <n v="4"/>
    <x v="1"/>
    <n v="0"/>
    <n v="28500"/>
    <n v="0"/>
  </r>
  <r>
    <n v="2019"/>
    <x v="5"/>
    <n v="4"/>
    <x v="2"/>
    <n v="0"/>
    <n v="28500"/>
    <n v="0"/>
  </r>
  <r>
    <n v="2019"/>
    <x v="5"/>
    <n v="4"/>
    <x v="3"/>
    <n v="0"/>
    <n v="28500"/>
    <n v="0"/>
  </r>
  <r>
    <n v="2019"/>
    <x v="5"/>
    <n v="4"/>
    <x v="4"/>
    <n v="0"/>
    <n v="28500"/>
    <n v="0"/>
  </r>
  <r>
    <n v="2019"/>
    <x v="5"/>
    <n v="4"/>
    <x v="5"/>
    <n v="1418.5"/>
    <n v="28500"/>
    <n v="4.9771929824561405E-2"/>
  </r>
  <r>
    <n v="2019"/>
    <x v="5"/>
    <n v="4"/>
    <x v="6"/>
    <n v="4080.5"/>
    <n v="28500"/>
    <n v="0.14317543859649123"/>
  </r>
  <r>
    <n v="2019"/>
    <x v="5"/>
    <n v="4"/>
    <x v="7"/>
    <n v="7248"/>
    <n v="28500"/>
    <n v="0.25431578947368422"/>
  </r>
  <r>
    <n v="2019"/>
    <x v="5"/>
    <n v="4"/>
    <x v="8"/>
    <n v="3989.5"/>
    <n v="28500"/>
    <n v="0.13998245614035087"/>
  </r>
  <r>
    <n v="2019"/>
    <x v="5"/>
    <n v="4"/>
    <x v="9"/>
    <n v="6187"/>
    <n v="28500"/>
    <n v="0.21708771929824561"/>
  </r>
  <r>
    <n v="2019"/>
    <x v="5"/>
    <n v="4"/>
    <x v="10"/>
    <n v="6952.5"/>
    <n v="28500"/>
    <n v="0.24394736842105263"/>
  </r>
  <r>
    <n v="2019"/>
    <x v="5"/>
    <n v="4"/>
    <x v="11"/>
    <n v="4104.5"/>
    <n v="28500"/>
    <n v="0.14401754385964913"/>
  </r>
  <r>
    <n v="2019"/>
    <x v="5"/>
    <n v="4"/>
    <x v="12"/>
    <n v="4904.5"/>
    <n v="28500"/>
    <n v="0.17208771929824562"/>
  </r>
  <r>
    <n v="2019"/>
    <x v="5"/>
    <n v="4"/>
    <x v="13"/>
    <n v="2675"/>
    <n v="28500"/>
    <n v="9.3859649122807018E-2"/>
  </r>
  <r>
    <n v="2019"/>
    <x v="5"/>
    <n v="4"/>
    <x v="14"/>
    <n v="5152.5"/>
    <n v="28500"/>
    <n v="0.18078947368421053"/>
  </r>
  <r>
    <n v="2019"/>
    <x v="5"/>
    <n v="4"/>
    <x v="15"/>
    <n v="2015"/>
    <n v="28500"/>
    <n v="7.0701754385964918E-2"/>
  </r>
  <r>
    <n v="2019"/>
    <x v="5"/>
    <n v="4"/>
    <x v="16"/>
    <n v="5418.5"/>
    <n v="28500"/>
    <n v="0.19012280701754386"/>
  </r>
  <r>
    <n v="2019"/>
    <x v="5"/>
    <n v="4"/>
    <x v="17"/>
    <n v="4849"/>
    <n v="28500"/>
    <n v="0.17014035087719298"/>
  </r>
  <r>
    <n v="2019"/>
    <x v="5"/>
    <n v="4"/>
    <x v="18"/>
    <n v="2643.5"/>
    <n v="28500"/>
    <n v="9.2754385964912284E-2"/>
  </r>
  <r>
    <n v="2019"/>
    <x v="5"/>
    <n v="4"/>
    <x v="19"/>
    <n v="876.5"/>
    <n v="28500"/>
    <n v="3.0754385964912281E-2"/>
  </r>
  <r>
    <n v="2019"/>
    <x v="5"/>
    <n v="4"/>
    <x v="20"/>
    <n v="0"/>
    <n v="28500"/>
    <n v="0"/>
  </r>
  <r>
    <n v="2019"/>
    <x v="5"/>
    <n v="4"/>
    <x v="21"/>
    <n v="0"/>
    <n v="28500"/>
    <n v="0"/>
  </r>
  <r>
    <n v="2019"/>
    <x v="5"/>
    <n v="4"/>
    <x v="22"/>
    <n v="0"/>
    <n v="28500"/>
    <n v="0"/>
  </r>
  <r>
    <n v="2019"/>
    <x v="5"/>
    <n v="4"/>
    <x v="23"/>
    <n v="0"/>
    <n v="28500"/>
    <n v="0"/>
  </r>
  <r>
    <n v="2019"/>
    <x v="5"/>
    <n v="5"/>
    <x v="0"/>
    <n v="0"/>
    <n v="28500"/>
    <n v="0"/>
  </r>
  <r>
    <n v="2019"/>
    <x v="5"/>
    <n v="5"/>
    <x v="1"/>
    <n v="0"/>
    <n v="28500"/>
    <n v="0"/>
  </r>
  <r>
    <n v="2019"/>
    <x v="5"/>
    <n v="5"/>
    <x v="2"/>
    <n v="0"/>
    <n v="28500"/>
    <n v="0"/>
  </r>
  <r>
    <n v="2019"/>
    <x v="5"/>
    <n v="5"/>
    <x v="3"/>
    <n v="0"/>
    <n v="28500"/>
    <n v="0"/>
  </r>
  <r>
    <n v="2019"/>
    <x v="5"/>
    <n v="5"/>
    <x v="4"/>
    <n v="0"/>
    <n v="28500"/>
    <n v="0"/>
  </r>
  <r>
    <n v="2019"/>
    <x v="5"/>
    <n v="5"/>
    <x v="5"/>
    <n v="1575.5"/>
    <n v="28500"/>
    <n v="5.5280701754385965E-2"/>
  </r>
  <r>
    <n v="2019"/>
    <x v="5"/>
    <n v="5"/>
    <x v="6"/>
    <n v="5087"/>
    <n v="28500"/>
    <n v="0.17849122807017545"/>
  </r>
  <r>
    <n v="2019"/>
    <x v="5"/>
    <n v="5"/>
    <x v="7"/>
    <n v="13635.5"/>
    <n v="28500"/>
    <n v="0.47843859649122805"/>
  </r>
  <r>
    <n v="2019"/>
    <x v="5"/>
    <n v="5"/>
    <x v="8"/>
    <n v="19616.5"/>
    <n v="28500"/>
    <n v="0.68829824561403508"/>
  </r>
  <r>
    <n v="2019"/>
    <x v="5"/>
    <n v="5"/>
    <x v="9"/>
    <n v="24457"/>
    <n v="28500"/>
    <n v="0.85814035087719298"/>
  </r>
  <r>
    <n v="2019"/>
    <x v="5"/>
    <n v="5"/>
    <x v="10"/>
    <n v="23551.5"/>
    <n v="28500"/>
    <n v="0.82636842105263153"/>
  </r>
  <r>
    <n v="2019"/>
    <x v="5"/>
    <n v="5"/>
    <x v="11"/>
    <n v="22419"/>
    <n v="28500"/>
    <n v="0.78663157894736846"/>
  </r>
  <r>
    <n v="2019"/>
    <x v="5"/>
    <n v="5"/>
    <x v="12"/>
    <n v="19231"/>
    <n v="28500"/>
    <n v="0.67477192982456136"/>
  </r>
  <r>
    <n v="2019"/>
    <x v="5"/>
    <n v="5"/>
    <x v="13"/>
    <n v="5805"/>
    <n v="28500"/>
    <n v="0.2036842105263158"/>
  </r>
  <r>
    <n v="2019"/>
    <x v="5"/>
    <n v="5"/>
    <x v="14"/>
    <n v="10091.5"/>
    <n v="28500"/>
    <n v="0.35408771929824562"/>
  </r>
  <r>
    <n v="2019"/>
    <x v="5"/>
    <n v="5"/>
    <x v="15"/>
    <n v="7061.5"/>
    <n v="28500"/>
    <n v="0.24777192982456139"/>
  </r>
  <r>
    <n v="2019"/>
    <x v="5"/>
    <n v="5"/>
    <x v="16"/>
    <n v="3340.5"/>
    <n v="28500"/>
    <n v="0.11721052631578947"/>
  </r>
  <r>
    <n v="2019"/>
    <x v="5"/>
    <n v="5"/>
    <x v="17"/>
    <n v="5575.5"/>
    <n v="28500"/>
    <n v="0.19563157894736843"/>
  </r>
  <r>
    <n v="2019"/>
    <x v="5"/>
    <n v="5"/>
    <x v="18"/>
    <n v="2771"/>
    <n v="28500"/>
    <n v="9.7228070175438594E-2"/>
  </r>
  <r>
    <n v="2019"/>
    <x v="5"/>
    <n v="5"/>
    <x v="19"/>
    <n v="37"/>
    <n v="28500"/>
    <n v="1.2982456140350877E-3"/>
  </r>
  <r>
    <n v="2019"/>
    <x v="5"/>
    <n v="5"/>
    <x v="20"/>
    <n v="0"/>
    <n v="28500"/>
    <n v="0"/>
  </r>
  <r>
    <n v="2019"/>
    <x v="5"/>
    <n v="5"/>
    <x v="21"/>
    <n v="0"/>
    <n v="28500"/>
    <n v="0"/>
  </r>
  <r>
    <n v="2019"/>
    <x v="5"/>
    <n v="5"/>
    <x v="22"/>
    <n v="0"/>
    <n v="28500"/>
    <n v="0"/>
  </r>
  <r>
    <n v="2019"/>
    <x v="5"/>
    <n v="5"/>
    <x v="23"/>
    <n v="0"/>
    <n v="28500"/>
    <n v="0"/>
  </r>
  <r>
    <n v="2019"/>
    <x v="5"/>
    <n v="6"/>
    <x v="0"/>
    <n v="0"/>
    <n v="28500"/>
    <n v="0"/>
  </r>
  <r>
    <n v="2019"/>
    <x v="5"/>
    <n v="6"/>
    <x v="1"/>
    <n v="0"/>
    <n v="28500"/>
    <n v="0"/>
  </r>
  <r>
    <n v="2019"/>
    <x v="5"/>
    <n v="6"/>
    <x v="2"/>
    <n v="0"/>
    <n v="28500"/>
    <n v="0"/>
  </r>
  <r>
    <n v="2019"/>
    <x v="5"/>
    <n v="6"/>
    <x v="3"/>
    <n v="0"/>
    <n v="28500"/>
    <n v="0"/>
  </r>
  <r>
    <n v="2019"/>
    <x v="5"/>
    <n v="6"/>
    <x v="4"/>
    <n v="0"/>
    <n v="28500"/>
    <n v="0"/>
  </r>
  <r>
    <n v="2019"/>
    <x v="5"/>
    <n v="6"/>
    <x v="5"/>
    <n v="2001.5"/>
    <n v="28500"/>
    <n v="7.0228070175438598E-2"/>
  </r>
  <r>
    <n v="2019"/>
    <x v="5"/>
    <n v="6"/>
    <x v="6"/>
    <n v="4136"/>
    <n v="28500"/>
    <n v="0.14512280701754385"/>
  </r>
  <r>
    <n v="2019"/>
    <x v="5"/>
    <n v="6"/>
    <x v="7"/>
    <n v="14247.5"/>
    <n v="28500"/>
    <n v="0.49991228070175436"/>
  </r>
  <r>
    <n v="2019"/>
    <x v="5"/>
    <n v="6"/>
    <x v="8"/>
    <n v="23847"/>
    <n v="28500"/>
    <n v="0.83673684210526311"/>
  </r>
  <r>
    <n v="2019"/>
    <x v="5"/>
    <n v="6"/>
    <x v="9"/>
    <n v="23102"/>
    <n v="28500"/>
    <n v="0.8105964912280702"/>
  </r>
  <r>
    <n v="2019"/>
    <x v="5"/>
    <n v="6"/>
    <x v="10"/>
    <n v="16545"/>
    <n v="28500"/>
    <n v="0.58052631578947367"/>
  </r>
  <r>
    <n v="2019"/>
    <x v="5"/>
    <n v="6"/>
    <x v="11"/>
    <n v="14868"/>
    <n v="28500"/>
    <n v="0.52168421052631575"/>
  </r>
  <r>
    <n v="2019"/>
    <x v="5"/>
    <n v="6"/>
    <x v="12"/>
    <n v="42274"/>
    <n v="28500"/>
    <n v="1.4832982456140351"/>
  </r>
  <r>
    <n v="2019"/>
    <x v="5"/>
    <n v="6"/>
    <x v="13"/>
    <n v="39733"/>
    <n v="28500"/>
    <n v="1.394140350877193"/>
  </r>
  <r>
    <n v="2019"/>
    <x v="5"/>
    <n v="6"/>
    <x v="14"/>
    <n v="34604"/>
    <n v="28500"/>
    <n v="1.2141754385964911"/>
  </r>
  <r>
    <n v="2019"/>
    <x v="5"/>
    <n v="6"/>
    <x v="15"/>
    <n v="29744"/>
    <n v="28500"/>
    <n v="1.0436491228070175"/>
  </r>
  <r>
    <n v="2019"/>
    <x v="5"/>
    <n v="6"/>
    <x v="16"/>
    <n v="20036"/>
    <n v="28500"/>
    <n v="0.7030175438596491"/>
  </r>
  <r>
    <n v="2019"/>
    <x v="5"/>
    <n v="6"/>
    <x v="17"/>
    <n v="9510"/>
    <n v="28500"/>
    <n v="0.33368421052631581"/>
  </r>
  <r>
    <n v="2019"/>
    <x v="5"/>
    <n v="6"/>
    <x v="18"/>
    <n v="2058.5"/>
    <n v="28500"/>
    <n v="7.22280701754386E-2"/>
  </r>
  <r>
    <n v="2019"/>
    <x v="5"/>
    <n v="6"/>
    <x v="19"/>
    <n v="941.5"/>
    <n v="28500"/>
    <n v="3.3035087719298244E-2"/>
  </r>
  <r>
    <n v="2019"/>
    <x v="5"/>
    <n v="6"/>
    <x v="20"/>
    <n v="0"/>
    <n v="28500"/>
    <n v="0"/>
  </r>
  <r>
    <n v="2019"/>
    <x v="5"/>
    <n v="6"/>
    <x v="21"/>
    <n v="0"/>
    <n v="28500"/>
    <n v="0"/>
  </r>
  <r>
    <n v="2019"/>
    <x v="5"/>
    <n v="6"/>
    <x v="22"/>
    <n v="0"/>
    <n v="28500"/>
    <n v="0"/>
  </r>
  <r>
    <n v="2019"/>
    <x v="5"/>
    <n v="6"/>
    <x v="23"/>
    <n v="0"/>
    <n v="28500"/>
    <n v="0"/>
  </r>
  <r>
    <n v="2019"/>
    <x v="5"/>
    <n v="7"/>
    <x v="0"/>
    <n v="0"/>
    <n v="28500"/>
    <n v="0"/>
  </r>
  <r>
    <n v="2019"/>
    <x v="5"/>
    <n v="7"/>
    <x v="1"/>
    <n v="0"/>
    <n v="28500"/>
    <n v="0"/>
  </r>
  <r>
    <n v="2019"/>
    <x v="5"/>
    <n v="7"/>
    <x v="2"/>
    <n v="0"/>
    <n v="28500"/>
    <n v="0"/>
  </r>
  <r>
    <n v="2019"/>
    <x v="5"/>
    <n v="7"/>
    <x v="3"/>
    <n v="0"/>
    <n v="28500"/>
    <n v="0"/>
  </r>
  <r>
    <n v="2019"/>
    <x v="5"/>
    <n v="7"/>
    <x v="4"/>
    <n v="0"/>
    <n v="28500"/>
    <n v="0"/>
  </r>
  <r>
    <n v="2019"/>
    <x v="5"/>
    <n v="7"/>
    <x v="5"/>
    <n v="140"/>
    <n v="28500"/>
    <n v="4.9122807017543861E-3"/>
  </r>
  <r>
    <n v="2019"/>
    <x v="5"/>
    <n v="7"/>
    <x v="6"/>
    <n v="597.5"/>
    <n v="28500"/>
    <n v="2.0964912280701756E-2"/>
  </r>
  <r>
    <n v="2019"/>
    <x v="5"/>
    <n v="7"/>
    <x v="7"/>
    <n v="1612"/>
    <n v="28500"/>
    <n v="5.6561403508771931E-2"/>
  </r>
  <r>
    <n v="2019"/>
    <x v="5"/>
    <n v="7"/>
    <x v="8"/>
    <n v="5027"/>
    <n v="28500"/>
    <n v="0.1763859649122807"/>
  </r>
  <r>
    <n v="2019"/>
    <x v="5"/>
    <n v="7"/>
    <x v="9"/>
    <n v="5699"/>
    <n v="28500"/>
    <n v="0.19996491228070176"/>
  </r>
  <r>
    <n v="2019"/>
    <x v="5"/>
    <n v="7"/>
    <x v="10"/>
    <n v="4638"/>
    <n v="28500"/>
    <n v="0.16273684210526315"/>
  </r>
  <r>
    <n v="2019"/>
    <x v="5"/>
    <n v="7"/>
    <x v="11"/>
    <n v="2677.5"/>
    <n v="28500"/>
    <n v="9.3947368421052627E-2"/>
  </r>
  <r>
    <n v="2019"/>
    <x v="5"/>
    <n v="7"/>
    <x v="12"/>
    <n v="7239"/>
    <n v="28500"/>
    <n v="0.254"/>
  </r>
  <r>
    <n v="2019"/>
    <x v="5"/>
    <n v="7"/>
    <x v="13"/>
    <n v="8926.5"/>
    <n v="28500"/>
    <n v="0.31321052631578949"/>
  </r>
  <r>
    <n v="2019"/>
    <x v="5"/>
    <n v="7"/>
    <x v="14"/>
    <n v="13509"/>
    <n v="28500"/>
    <n v="0.47399999999999998"/>
  </r>
  <r>
    <n v="2019"/>
    <x v="5"/>
    <n v="7"/>
    <x v="15"/>
    <n v="18443.5"/>
    <n v="28500"/>
    <n v="0.64714035087719302"/>
  </r>
  <r>
    <n v="2019"/>
    <x v="5"/>
    <n v="7"/>
    <x v="16"/>
    <n v="4000"/>
    <n v="28500"/>
    <n v="0.14035087719298245"/>
  </r>
  <r>
    <n v="2019"/>
    <x v="5"/>
    <n v="7"/>
    <x v="17"/>
    <n v="6204"/>
    <n v="28500"/>
    <n v="0.21768421052631579"/>
  </r>
  <r>
    <n v="2019"/>
    <x v="5"/>
    <n v="7"/>
    <x v="18"/>
    <n v="1046"/>
    <n v="28500"/>
    <n v="3.6701754385964909E-2"/>
  </r>
  <r>
    <n v="2019"/>
    <x v="5"/>
    <n v="7"/>
    <x v="19"/>
    <n v="823.5"/>
    <n v="28500"/>
    <n v="2.8894736842105265E-2"/>
  </r>
  <r>
    <n v="2019"/>
    <x v="5"/>
    <n v="7"/>
    <x v="20"/>
    <n v="0"/>
    <n v="28500"/>
    <n v="0"/>
  </r>
  <r>
    <n v="2019"/>
    <x v="5"/>
    <n v="7"/>
    <x v="21"/>
    <n v="0"/>
    <n v="28500"/>
    <n v="0"/>
  </r>
  <r>
    <n v="2019"/>
    <x v="5"/>
    <n v="7"/>
    <x v="22"/>
    <n v="0"/>
    <n v="28500"/>
    <n v="0"/>
  </r>
  <r>
    <n v="2019"/>
    <x v="5"/>
    <n v="7"/>
    <x v="23"/>
    <n v="0"/>
    <n v="28500"/>
    <n v="0"/>
  </r>
  <r>
    <n v="2019"/>
    <x v="5"/>
    <n v="8"/>
    <x v="0"/>
    <n v="0"/>
    <n v="28500"/>
    <n v="0"/>
  </r>
  <r>
    <n v="2019"/>
    <x v="5"/>
    <n v="8"/>
    <x v="1"/>
    <n v="0"/>
    <n v="28500"/>
    <n v="0"/>
  </r>
  <r>
    <n v="2019"/>
    <x v="5"/>
    <n v="8"/>
    <x v="2"/>
    <n v="0"/>
    <n v="28500"/>
    <n v="0"/>
  </r>
  <r>
    <n v="2019"/>
    <x v="5"/>
    <n v="8"/>
    <x v="3"/>
    <n v="0"/>
    <n v="28500"/>
    <n v="0"/>
  </r>
  <r>
    <n v="2019"/>
    <x v="5"/>
    <n v="8"/>
    <x v="4"/>
    <n v="0"/>
    <n v="28500"/>
    <n v="0"/>
  </r>
  <r>
    <n v="2019"/>
    <x v="5"/>
    <n v="8"/>
    <x v="5"/>
    <n v="537"/>
    <n v="28500"/>
    <n v="1.8842105263157896E-2"/>
  </r>
  <r>
    <n v="2019"/>
    <x v="5"/>
    <n v="8"/>
    <x v="6"/>
    <n v="477"/>
    <n v="28500"/>
    <n v="1.6736842105263158E-2"/>
  </r>
  <r>
    <n v="2019"/>
    <x v="5"/>
    <n v="8"/>
    <x v="7"/>
    <n v="7862"/>
    <n v="28500"/>
    <n v="0.27585964912280703"/>
  </r>
  <r>
    <n v="2019"/>
    <x v="5"/>
    <n v="8"/>
    <x v="8"/>
    <n v="10130.5"/>
    <n v="28500"/>
    <n v="0.35545614035087719"/>
  </r>
  <r>
    <n v="2019"/>
    <x v="5"/>
    <n v="8"/>
    <x v="9"/>
    <n v="8823.5"/>
    <n v="28500"/>
    <n v="0.3095964912280702"/>
  </r>
  <r>
    <n v="2019"/>
    <x v="5"/>
    <n v="8"/>
    <x v="10"/>
    <n v="14487"/>
    <n v="28500"/>
    <n v="0.50831578947368417"/>
  </r>
  <r>
    <n v="2019"/>
    <x v="5"/>
    <n v="8"/>
    <x v="11"/>
    <n v="23598.5"/>
    <n v="28500"/>
    <n v="0.8280175438596491"/>
  </r>
  <r>
    <n v="2019"/>
    <x v="5"/>
    <n v="8"/>
    <x v="12"/>
    <n v="36354.5"/>
    <n v="28500"/>
    <n v="1.2755964912280702"/>
  </r>
  <r>
    <n v="2019"/>
    <x v="5"/>
    <n v="8"/>
    <x v="13"/>
    <n v="30591"/>
    <n v="28500"/>
    <n v="1.0733684210526315"/>
  </r>
  <r>
    <n v="2019"/>
    <x v="5"/>
    <n v="8"/>
    <x v="14"/>
    <n v="20178.5"/>
    <n v="28500"/>
    <n v="0.7080175438596491"/>
  </r>
  <r>
    <n v="2019"/>
    <x v="5"/>
    <n v="8"/>
    <x v="15"/>
    <n v="28046"/>
    <n v="28500"/>
    <n v="0.98407017543859654"/>
  </r>
  <r>
    <n v="2019"/>
    <x v="5"/>
    <n v="8"/>
    <x v="16"/>
    <n v="15625.5"/>
    <n v="28500"/>
    <n v="0.5482631578947369"/>
  </r>
  <r>
    <n v="2019"/>
    <x v="5"/>
    <n v="8"/>
    <x v="17"/>
    <n v="5842"/>
    <n v="28500"/>
    <n v="0.20498245614035088"/>
  </r>
  <r>
    <n v="2019"/>
    <x v="5"/>
    <n v="8"/>
    <x v="18"/>
    <n v="1477"/>
    <n v="28500"/>
    <n v="5.1824561403508773E-2"/>
  </r>
  <r>
    <n v="2019"/>
    <x v="5"/>
    <n v="8"/>
    <x v="19"/>
    <n v="761.5"/>
    <n v="28500"/>
    <n v="2.6719298245614035E-2"/>
  </r>
  <r>
    <n v="2019"/>
    <x v="5"/>
    <n v="8"/>
    <x v="20"/>
    <n v="0"/>
    <n v="28500"/>
    <n v="0"/>
  </r>
  <r>
    <n v="2019"/>
    <x v="5"/>
    <n v="8"/>
    <x v="21"/>
    <n v="0"/>
    <n v="28500"/>
    <n v="0"/>
  </r>
  <r>
    <n v="2019"/>
    <x v="5"/>
    <n v="8"/>
    <x v="22"/>
    <n v="0"/>
    <n v="28500"/>
    <n v="0"/>
  </r>
  <r>
    <n v="2019"/>
    <x v="5"/>
    <n v="8"/>
    <x v="23"/>
    <n v="0"/>
    <n v="28500"/>
    <n v="0"/>
  </r>
  <r>
    <n v="2019"/>
    <x v="5"/>
    <n v="9"/>
    <x v="0"/>
    <n v="0"/>
    <n v="28500"/>
    <n v="0"/>
  </r>
  <r>
    <n v="2019"/>
    <x v="5"/>
    <n v="9"/>
    <x v="1"/>
    <n v="0"/>
    <n v="28500"/>
    <n v="0"/>
  </r>
  <r>
    <n v="2019"/>
    <x v="5"/>
    <n v="9"/>
    <x v="2"/>
    <n v="0"/>
    <n v="28500"/>
    <n v="0"/>
  </r>
  <r>
    <n v="2019"/>
    <x v="5"/>
    <n v="9"/>
    <x v="3"/>
    <n v="0"/>
    <n v="28500"/>
    <n v="0"/>
  </r>
  <r>
    <n v="2019"/>
    <x v="5"/>
    <n v="9"/>
    <x v="4"/>
    <n v="58"/>
    <n v="28500"/>
    <n v="2.0350877192982456E-3"/>
  </r>
  <r>
    <n v="2019"/>
    <x v="5"/>
    <n v="9"/>
    <x v="5"/>
    <n v="2002.5"/>
    <n v="28500"/>
    <n v="7.0263157894736847E-2"/>
  </r>
  <r>
    <n v="2019"/>
    <x v="5"/>
    <n v="9"/>
    <x v="6"/>
    <n v="4628"/>
    <n v="28500"/>
    <n v="0.16238596491228069"/>
  </r>
  <r>
    <n v="2019"/>
    <x v="5"/>
    <n v="9"/>
    <x v="7"/>
    <n v="13586"/>
    <n v="28500"/>
    <n v="0.4767017543859649"/>
  </r>
  <r>
    <n v="2019"/>
    <x v="5"/>
    <n v="9"/>
    <x v="8"/>
    <n v="20467"/>
    <n v="28500"/>
    <n v="0.71814035087719297"/>
  </r>
  <r>
    <n v="2019"/>
    <x v="5"/>
    <n v="9"/>
    <x v="9"/>
    <n v="27202"/>
    <n v="28500"/>
    <n v="0.95445614035087722"/>
  </r>
  <r>
    <n v="2019"/>
    <x v="5"/>
    <n v="9"/>
    <x v="10"/>
    <n v="31323"/>
    <n v="28500"/>
    <n v="1.0990526315789473"/>
  </r>
  <r>
    <n v="2019"/>
    <x v="5"/>
    <n v="9"/>
    <x v="11"/>
    <n v="30132"/>
    <n v="28500"/>
    <n v="1.0572631578947369"/>
  </r>
  <r>
    <n v="2019"/>
    <x v="5"/>
    <n v="9"/>
    <x v="12"/>
    <n v="26485.5"/>
    <n v="28500"/>
    <n v="0.92931578947368421"/>
  </r>
  <r>
    <n v="2019"/>
    <x v="5"/>
    <n v="9"/>
    <x v="13"/>
    <n v="11286.5"/>
    <n v="28500"/>
    <n v="0.3960175438596491"/>
  </r>
  <r>
    <n v="2019"/>
    <x v="5"/>
    <n v="9"/>
    <x v="14"/>
    <n v="9363"/>
    <n v="28500"/>
    <n v="0.32852631578947367"/>
  </r>
  <r>
    <n v="2019"/>
    <x v="5"/>
    <n v="9"/>
    <x v="15"/>
    <n v="13013"/>
    <n v="28500"/>
    <n v="0.45659649122807017"/>
  </r>
  <r>
    <n v="2019"/>
    <x v="5"/>
    <n v="9"/>
    <x v="16"/>
    <n v="13704"/>
    <n v="28500"/>
    <n v="0.4808421052631579"/>
  </r>
  <r>
    <n v="2019"/>
    <x v="5"/>
    <n v="9"/>
    <x v="17"/>
    <n v="4019"/>
    <n v="28500"/>
    <n v="0.14101754385964912"/>
  </r>
  <r>
    <n v="2019"/>
    <x v="5"/>
    <n v="9"/>
    <x v="18"/>
    <n v="2345"/>
    <n v="28500"/>
    <n v="8.2280701754385968E-2"/>
  </r>
  <r>
    <n v="2019"/>
    <x v="5"/>
    <n v="9"/>
    <x v="19"/>
    <n v="1061"/>
    <n v="28500"/>
    <n v="3.7228070175438596E-2"/>
  </r>
  <r>
    <n v="2019"/>
    <x v="5"/>
    <n v="9"/>
    <x v="20"/>
    <n v="0"/>
    <n v="28500"/>
    <n v="0"/>
  </r>
  <r>
    <n v="2019"/>
    <x v="5"/>
    <n v="9"/>
    <x v="21"/>
    <n v="0"/>
    <n v="28500"/>
    <n v="0"/>
  </r>
  <r>
    <n v="2019"/>
    <x v="5"/>
    <n v="9"/>
    <x v="22"/>
    <n v="0"/>
    <n v="28500"/>
    <n v="0"/>
  </r>
  <r>
    <n v="2019"/>
    <x v="5"/>
    <n v="9"/>
    <x v="23"/>
    <n v="0"/>
    <n v="28500"/>
    <n v="0"/>
  </r>
  <r>
    <n v="2019"/>
    <x v="5"/>
    <n v="10"/>
    <x v="0"/>
    <n v="0"/>
    <n v="28500"/>
    <n v="0"/>
  </r>
  <r>
    <n v="2019"/>
    <x v="5"/>
    <n v="10"/>
    <x v="1"/>
    <n v="0"/>
    <n v="28500"/>
    <n v="0"/>
  </r>
  <r>
    <n v="2019"/>
    <x v="5"/>
    <n v="10"/>
    <x v="2"/>
    <n v="0"/>
    <n v="28500"/>
    <n v="0"/>
  </r>
  <r>
    <n v="2019"/>
    <x v="5"/>
    <n v="10"/>
    <x v="3"/>
    <n v="0"/>
    <n v="28500"/>
    <n v="0"/>
  </r>
  <r>
    <n v="2019"/>
    <x v="5"/>
    <n v="10"/>
    <x v="4"/>
    <n v="0"/>
    <n v="28500"/>
    <n v="0"/>
  </r>
  <r>
    <n v="2019"/>
    <x v="5"/>
    <n v="10"/>
    <x v="5"/>
    <n v="929"/>
    <n v="28500"/>
    <n v="3.2596491228070172E-2"/>
  </r>
  <r>
    <n v="2019"/>
    <x v="5"/>
    <n v="10"/>
    <x v="6"/>
    <n v="475"/>
    <n v="28500"/>
    <n v="1.6666666666666666E-2"/>
  </r>
  <r>
    <n v="2019"/>
    <x v="5"/>
    <n v="10"/>
    <x v="7"/>
    <n v="1947"/>
    <n v="28500"/>
    <n v="6.8315789473684205E-2"/>
  </r>
  <r>
    <n v="2019"/>
    <x v="5"/>
    <n v="10"/>
    <x v="8"/>
    <n v="3033.5"/>
    <n v="28500"/>
    <n v="0.10643859649122807"/>
  </r>
  <r>
    <n v="2019"/>
    <x v="5"/>
    <n v="10"/>
    <x v="9"/>
    <n v="3497"/>
    <n v="28500"/>
    <n v="0.12270175438596491"/>
  </r>
  <r>
    <n v="2019"/>
    <x v="5"/>
    <n v="10"/>
    <x v="10"/>
    <n v="2965"/>
    <n v="28500"/>
    <n v="0.10403508771929824"/>
  </r>
  <r>
    <n v="2019"/>
    <x v="5"/>
    <n v="10"/>
    <x v="11"/>
    <n v="2662"/>
    <n v="28500"/>
    <n v="9.3403508771929822E-2"/>
  </r>
  <r>
    <n v="2019"/>
    <x v="5"/>
    <n v="10"/>
    <x v="12"/>
    <n v="2700.5"/>
    <n v="28500"/>
    <n v="9.4754385964912285E-2"/>
  </r>
  <r>
    <n v="2019"/>
    <x v="5"/>
    <n v="10"/>
    <x v="13"/>
    <n v="2284.5"/>
    <n v="28500"/>
    <n v="8.0157894736842109E-2"/>
  </r>
  <r>
    <n v="2019"/>
    <x v="5"/>
    <n v="10"/>
    <x v="14"/>
    <n v="4625"/>
    <n v="28500"/>
    <n v="0.16228070175438597"/>
  </r>
  <r>
    <n v="2019"/>
    <x v="5"/>
    <n v="10"/>
    <x v="15"/>
    <n v="2697.5"/>
    <n v="28500"/>
    <n v="9.4649122807017538E-2"/>
  </r>
  <r>
    <n v="2019"/>
    <x v="5"/>
    <n v="10"/>
    <x v="16"/>
    <n v="1878.5"/>
    <n v="28500"/>
    <n v="6.591228070175438E-2"/>
  </r>
  <r>
    <n v="2019"/>
    <x v="5"/>
    <n v="10"/>
    <x v="17"/>
    <n v="759.5"/>
    <n v="28500"/>
    <n v="2.6649122807017544E-2"/>
  </r>
  <r>
    <n v="2019"/>
    <x v="5"/>
    <n v="10"/>
    <x v="18"/>
    <n v="3357"/>
    <n v="28500"/>
    <n v="0.11778947368421053"/>
  </r>
  <r>
    <n v="2019"/>
    <x v="5"/>
    <n v="10"/>
    <x v="19"/>
    <n v="314"/>
    <n v="28500"/>
    <n v="1.1017543859649122E-2"/>
  </r>
  <r>
    <n v="2019"/>
    <x v="5"/>
    <n v="10"/>
    <x v="20"/>
    <n v="0"/>
    <n v="28500"/>
    <n v="0"/>
  </r>
  <r>
    <n v="2019"/>
    <x v="5"/>
    <n v="10"/>
    <x v="21"/>
    <n v="0"/>
    <n v="28500"/>
    <n v="0"/>
  </r>
  <r>
    <n v="2019"/>
    <x v="5"/>
    <n v="10"/>
    <x v="22"/>
    <n v="0"/>
    <n v="28500"/>
    <n v="0"/>
  </r>
  <r>
    <n v="2019"/>
    <x v="5"/>
    <n v="10"/>
    <x v="23"/>
    <n v="0"/>
    <n v="28500"/>
    <n v="0"/>
  </r>
  <r>
    <n v="2019"/>
    <x v="5"/>
    <n v="11"/>
    <x v="0"/>
    <n v="0"/>
    <n v="28500"/>
    <n v="0"/>
  </r>
  <r>
    <n v="2019"/>
    <x v="5"/>
    <n v="11"/>
    <x v="1"/>
    <n v="0"/>
    <n v="28500"/>
    <n v="0"/>
  </r>
  <r>
    <n v="2019"/>
    <x v="5"/>
    <n v="11"/>
    <x v="2"/>
    <n v="0"/>
    <n v="28500"/>
    <n v="0"/>
  </r>
  <r>
    <n v="2019"/>
    <x v="5"/>
    <n v="11"/>
    <x v="3"/>
    <n v="0"/>
    <n v="28500"/>
    <n v="0"/>
  </r>
  <r>
    <n v="2019"/>
    <x v="5"/>
    <n v="11"/>
    <x v="4"/>
    <n v="0"/>
    <n v="28500"/>
    <n v="0"/>
  </r>
  <r>
    <n v="2019"/>
    <x v="5"/>
    <n v="11"/>
    <x v="5"/>
    <n v="2019"/>
    <n v="28500"/>
    <n v="7.0842105263157901E-2"/>
  </r>
  <r>
    <n v="2019"/>
    <x v="5"/>
    <n v="11"/>
    <x v="6"/>
    <n v="3962.5"/>
    <n v="28500"/>
    <n v="0.13903508771929823"/>
  </r>
  <r>
    <n v="2019"/>
    <x v="5"/>
    <n v="11"/>
    <x v="7"/>
    <n v="14077.5"/>
    <n v="28500"/>
    <n v="0.49394736842105263"/>
  </r>
  <r>
    <n v="2019"/>
    <x v="5"/>
    <n v="11"/>
    <x v="8"/>
    <n v="19996.5"/>
    <n v="28500"/>
    <n v="0.70163157894736838"/>
  </r>
  <r>
    <n v="2019"/>
    <x v="5"/>
    <n v="11"/>
    <x v="9"/>
    <n v="17518.5"/>
    <n v="28500"/>
    <n v="0.61468421052631583"/>
  </r>
  <r>
    <n v="2019"/>
    <x v="5"/>
    <n v="11"/>
    <x v="10"/>
    <n v="32455"/>
    <n v="28500"/>
    <n v="1.1387719298245613"/>
  </r>
  <r>
    <n v="2019"/>
    <x v="5"/>
    <n v="11"/>
    <x v="11"/>
    <n v="29506.5"/>
    <n v="28500"/>
    <n v="1.0353157894736842"/>
  </r>
  <r>
    <n v="2019"/>
    <x v="5"/>
    <n v="11"/>
    <x v="12"/>
    <n v="27828"/>
    <n v="28500"/>
    <n v="0.97642105263157897"/>
  </r>
  <r>
    <n v="2019"/>
    <x v="5"/>
    <n v="11"/>
    <x v="13"/>
    <n v="28260"/>
    <n v="28500"/>
    <n v="0.991578947368421"/>
  </r>
  <r>
    <n v="2019"/>
    <x v="5"/>
    <n v="11"/>
    <x v="14"/>
    <n v="21386"/>
    <n v="28500"/>
    <n v="0.75038596491228071"/>
  </r>
  <r>
    <n v="2019"/>
    <x v="5"/>
    <n v="11"/>
    <x v="15"/>
    <n v="14118.5"/>
    <n v="28500"/>
    <n v="0.49538596491228071"/>
  </r>
  <r>
    <n v="2019"/>
    <x v="5"/>
    <n v="11"/>
    <x v="16"/>
    <n v="14565.5"/>
    <n v="28500"/>
    <n v="0.51107017543859645"/>
  </r>
  <r>
    <n v="2019"/>
    <x v="5"/>
    <n v="11"/>
    <x v="17"/>
    <n v="3250.5"/>
    <n v="28500"/>
    <n v="0.11405263157894736"/>
  </r>
  <r>
    <n v="2019"/>
    <x v="5"/>
    <n v="11"/>
    <x v="18"/>
    <n v="3413"/>
    <n v="28500"/>
    <n v="0.11975438596491228"/>
  </r>
  <r>
    <n v="2019"/>
    <x v="5"/>
    <n v="11"/>
    <x v="19"/>
    <n v="1101.5"/>
    <n v="28500"/>
    <n v="3.8649122807017544E-2"/>
  </r>
  <r>
    <n v="2019"/>
    <x v="5"/>
    <n v="11"/>
    <x v="20"/>
    <n v="0"/>
    <n v="28500"/>
    <n v="0"/>
  </r>
  <r>
    <n v="2019"/>
    <x v="5"/>
    <n v="11"/>
    <x v="21"/>
    <n v="0"/>
    <n v="28500"/>
    <n v="0"/>
  </r>
  <r>
    <n v="2019"/>
    <x v="5"/>
    <n v="11"/>
    <x v="22"/>
    <n v="0"/>
    <n v="28500"/>
    <n v="0"/>
  </r>
  <r>
    <n v="2019"/>
    <x v="5"/>
    <n v="11"/>
    <x v="23"/>
    <n v="0"/>
    <n v="28500"/>
    <n v="0"/>
  </r>
  <r>
    <n v="2019"/>
    <x v="5"/>
    <n v="12"/>
    <x v="0"/>
    <n v="0"/>
    <n v="28500"/>
    <n v="0"/>
  </r>
  <r>
    <n v="2019"/>
    <x v="5"/>
    <n v="12"/>
    <x v="1"/>
    <n v="0"/>
    <n v="28500"/>
    <n v="0"/>
  </r>
  <r>
    <n v="2019"/>
    <x v="5"/>
    <n v="12"/>
    <x v="2"/>
    <n v="0"/>
    <n v="28500"/>
    <n v="0"/>
  </r>
  <r>
    <n v="2019"/>
    <x v="5"/>
    <n v="12"/>
    <x v="3"/>
    <n v="0"/>
    <n v="28500"/>
    <n v="0"/>
  </r>
  <r>
    <n v="2019"/>
    <x v="5"/>
    <n v="12"/>
    <x v="4"/>
    <n v="0"/>
    <n v="28500"/>
    <n v="0"/>
  </r>
  <r>
    <n v="2019"/>
    <x v="5"/>
    <n v="12"/>
    <x v="5"/>
    <n v="1885.5"/>
    <n v="28500"/>
    <n v="6.615789473684211E-2"/>
  </r>
  <r>
    <n v="2019"/>
    <x v="5"/>
    <n v="12"/>
    <x v="6"/>
    <n v="2892"/>
    <n v="28500"/>
    <n v="0.10147368421052631"/>
  </r>
  <r>
    <n v="2019"/>
    <x v="5"/>
    <n v="12"/>
    <x v="7"/>
    <n v="11194"/>
    <n v="28500"/>
    <n v="0.39277192982456138"/>
  </r>
  <r>
    <n v="2019"/>
    <x v="5"/>
    <n v="12"/>
    <x v="8"/>
    <n v="19828"/>
    <n v="28500"/>
    <n v="0.69571929824561407"/>
  </r>
  <r>
    <n v="2019"/>
    <x v="5"/>
    <n v="12"/>
    <x v="9"/>
    <n v="22326.5"/>
    <n v="28500"/>
    <n v="0.78338596491228074"/>
  </r>
  <r>
    <n v="2019"/>
    <x v="5"/>
    <n v="12"/>
    <x v="10"/>
    <n v="8823"/>
    <n v="28500"/>
    <n v="0.30957894736842106"/>
  </r>
  <r>
    <n v="2019"/>
    <x v="5"/>
    <n v="12"/>
    <x v="11"/>
    <n v="4928.5"/>
    <n v="28500"/>
    <n v="0.17292982456140352"/>
  </r>
  <r>
    <n v="2019"/>
    <x v="5"/>
    <n v="12"/>
    <x v="12"/>
    <n v="7298"/>
    <n v="28500"/>
    <n v="0.2560701754385965"/>
  </r>
  <r>
    <n v="2019"/>
    <x v="5"/>
    <n v="12"/>
    <x v="13"/>
    <n v="4819"/>
    <n v="28500"/>
    <n v="0.16908771929824562"/>
  </r>
  <r>
    <n v="2019"/>
    <x v="5"/>
    <n v="12"/>
    <x v="14"/>
    <n v="4006.5"/>
    <n v="28500"/>
    <n v="0.14057894736842105"/>
  </r>
  <r>
    <n v="2019"/>
    <x v="5"/>
    <n v="12"/>
    <x v="15"/>
    <n v="3163"/>
    <n v="28500"/>
    <n v="0.11098245614035088"/>
  </r>
  <r>
    <n v="2019"/>
    <x v="5"/>
    <n v="12"/>
    <x v="16"/>
    <n v="4577.5"/>
    <n v="28500"/>
    <n v="0.16061403508771929"/>
  </r>
  <r>
    <n v="2019"/>
    <x v="5"/>
    <n v="12"/>
    <x v="17"/>
    <n v="5641.5"/>
    <n v="28500"/>
    <n v="0.19794736842105262"/>
  </r>
  <r>
    <n v="2019"/>
    <x v="5"/>
    <n v="12"/>
    <x v="18"/>
    <n v="2185.5"/>
    <n v="28500"/>
    <n v="7.6684210526315785E-2"/>
  </r>
  <r>
    <n v="2019"/>
    <x v="5"/>
    <n v="12"/>
    <x v="19"/>
    <n v="981"/>
    <n v="28500"/>
    <n v="3.4421052631578949E-2"/>
  </r>
  <r>
    <n v="2019"/>
    <x v="5"/>
    <n v="12"/>
    <x v="20"/>
    <n v="0"/>
    <n v="28500"/>
    <n v="0"/>
  </r>
  <r>
    <n v="2019"/>
    <x v="5"/>
    <n v="12"/>
    <x v="21"/>
    <n v="0"/>
    <n v="28500"/>
    <n v="0"/>
  </r>
  <r>
    <n v="2019"/>
    <x v="5"/>
    <n v="12"/>
    <x v="22"/>
    <n v="0"/>
    <n v="28500"/>
    <n v="0"/>
  </r>
  <r>
    <n v="2019"/>
    <x v="5"/>
    <n v="12"/>
    <x v="23"/>
    <n v="0"/>
    <n v="28500"/>
    <n v="0"/>
  </r>
  <r>
    <n v="2019"/>
    <x v="5"/>
    <n v="13"/>
    <x v="0"/>
    <n v="0"/>
    <n v="28500"/>
    <n v="0"/>
  </r>
  <r>
    <n v="2019"/>
    <x v="5"/>
    <n v="13"/>
    <x v="1"/>
    <n v="0"/>
    <n v="28500"/>
    <n v="0"/>
  </r>
  <r>
    <n v="2019"/>
    <x v="5"/>
    <n v="13"/>
    <x v="2"/>
    <n v="0"/>
    <n v="28500"/>
    <n v="0"/>
  </r>
  <r>
    <n v="2019"/>
    <x v="5"/>
    <n v="13"/>
    <x v="3"/>
    <n v="0"/>
    <n v="28500"/>
    <n v="0"/>
  </r>
  <r>
    <n v="2019"/>
    <x v="5"/>
    <n v="13"/>
    <x v="4"/>
    <n v="0"/>
    <n v="28500"/>
    <n v="0"/>
  </r>
  <r>
    <n v="2019"/>
    <x v="5"/>
    <n v="13"/>
    <x v="5"/>
    <n v="479.5"/>
    <n v="28500"/>
    <n v="1.6824561403508773E-2"/>
  </r>
  <r>
    <n v="2019"/>
    <x v="5"/>
    <n v="13"/>
    <x v="6"/>
    <n v="4123.5"/>
    <n v="28500"/>
    <n v="0.14468421052631578"/>
  </r>
  <r>
    <n v="2019"/>
    <x v="5"/>
    <n v="13"/>
    <x v="7"/>
    <n v="5728.5"/>
    <n v="28500"/>
    <n v="0.20100000000000001"/>
  </r>
  <r>
    <n v="2019"/>
    <x v="5"/>
    <n v="13"/>
    <x v="8"/>
    <n v="12723"/>
    <n v="28500"/>
    <n v="0.44642105263157894"/>
  </r>
  <r>
    <n v="2019"/>
    <x v="5"/>
    <n v="13"/>
    <x v="9"/>
    <n v="20917.5"/>
    <n v="28500"/>
    <n v="0.73394736842105268"/>
  </r>
  <r>
    <n v="2019"/>
    <x v="5"/>
    <n v="13"/>
    <x v="10"/>
    <n v="16943.5"/>
    <n v="28500"/>
    <n v="0.59450877192982454"/>
  </r>
  <r>
    <n v="2019"/>
    <x v="5"/>
    <n v="13"/>
    <x v="11"/>
    <n v="19236"/>
    <n v="28500"/>
    <n v="0.67494736842105263"/>
  </r>
  <r>
    <n v="2019"/>
    <x v="5"/>
    <n v="13"/>
    <x v="12"/>
    <n v="10634"/>
    <n v="28500"/>
    <n v="0.37312280701754386"/>
  </r>
  <r>
    <n v="2019"/>
    <x v="5"/>
    <n v="13"/>
    <x v="13"/>
    <n v="4319"/>
    <n v="28500"/>
    <n v="0.15154385964912281"/>
  </r>
  <r>
    <n v="2019"/>
    <x v="5"/>
    <n v="13"/>
    <x v="14"/>
    <n v="7392.5"/>
    <n v="28500"/>
    <n v="0.25938596491228072"/>
  </r>
  <r>
    <n v="2019"/>
    <x v="5"/>
    <n v="13"/>
    <x v="15"/>
    <n v="10306"/>
    <n v="28500"/>
    <n v="0.36161403508771928"/>
  </r>
  <r>
    <n v="2019"/>
    <x v="5"/>
    <n v="13"/>
    <x v="16"/>
    <n v="6138.5"/>
    <n v="28500"/>
    <n v="0.21538596491228071"/>
  </r>
  <r>
    <n v="2019"/>
    <x v="5"/>
    <n v="13"/>
    <x v="17"/>
    <n v="6442.5"/>
    <n v="28500"/>
    <n v="0.22605263157894737"/>
  </r>
  <r>
    <n v="2019"/>
    <x v="5"/>
    <n v="13"/>
    <x v="18"/>
    <n v="920"/>
    <n v="28500"/>
    <n v="3.2280701754385965E-2"/>
  </r>
  <r>
    <n v="2019"/>
    <x v="5"/>
    <n v="13"/>
    <x v="19"/>
    <n v="4"/>
    <n v="28500"/>
    <n v="1.4035087719298245E-4"/>
  </r>
  <r>
    <n v="2019"/>
    <x v="5"/>
    <n v="13"/>
    <x v="20"/>
    <n v="0"/>
    <n v="28500"/>
    <n v="0"/>
  </r>
  <r>
    <n v="2019"/>
    <x v="5"/>
    <n v="13"/>
    <x v="21"/>
    <n v="0"/>
    <n v="28500"/>
    <n v="0"/>
  </r>
  <r>
    <n v="2019"/>
    <x v="5"/>
    <n v="13"/>
    <x v="22"/>
    <n v="0"/>
    <n v="28500"/>
    <n v="0"/>
  </r>
  <r>
    <n v="2019"/>
    <x v="5"/>
    <n v="13"/>
    <x v="23"/>
    <n v="0"/>
    <n v="28500"/>
    <n v="0"/>
  </r>
  <r>
    <n v="2019"/>
    <x v="5"/>
    <n v="14"/>
    <x v="0"/>
    <n v="0"/>
    <n v="28500"/>
    <n v="0"/>
  </r>
  <r>
    <n v="2019"/>
    <x v="5"/>
    <n v="14"/>
    <x v="1"/>
    <n v="0"/>
    <n v="28500"/>
    <n v="0"/>
  </r>
  <r>
    <n v="2019"/>
    <x v="5"/>
    <n v="14"/>
    <x v="2"/>
    <n v="0"/>
    <n v="28500"/>
    <n v="0"/>
  </r>
  <r>
    <n v="2019"/>
    <x v="5"/>
    <n v="14"/>
    <x v="3"/>
    <n v="0"/>
    <n v="28500"/>
    <n v="0"/>
  </r>
  <r>
    <n v="2019"/>
    <x v="5"/>
    <n v="14"/>
    <x v="4"/>
    <n v="0"/>
    <n v="28500"/>
    <n v="0"/>
  </r>
  <r>
    <n v="2019"/>
    <x v="5"/>
    <n v="14"/>
    <x v="5"/>
    <n v="1606.5"/>
    <n v="28500"/>
    <n v="5.6368421052631582E-2"/>
  </r>
  <r>
    <n v="2019"/>
    <x v="5"/>
    <n v="14"/>
    <x v="6"/>
    <n v="5252"/>
    <n v="28500"/>
    <n v="0.18428070175438596"/>
  </r>
  <r>
    <n v="2019"/>
    <x v="5"/>
    <n v="14"/>
    <x v="7"/>
    <n v="8567.5"/>
    <n v="28500"/>
    <n v="0.30061403508771928"/>
  </r>
  <r>
    <n v="2019"/>
    <x v="5"/>
    <n v="14"/>
    <x v="8"/>
    <n v="15144.5"/>
    <n v="28500"/>
    <n v="0.53138596491228074"/>
  </r>
  <r>
    <n v="2019"/>
    <x v="5"/>
    <n v="14"/>
    <x v="9"/>
    <n v="16938"/>
    <n v="28500"/>
    <n v="0.59431578947368424"/>
  </r>
  <r>
    <n v="2019"/>
    <x v="5"/>
    <n v="14"/>
    <x v="10"/>
    <n v="22041.5"/>
    <n v="28500"/>
    <n v="0.77338596491228073"/>
  </r>
  <r>
    <n v="2019"/>
    <x v="5"/>
    <n v="14"/>
    <x v="11"/>
    <n v="30531"/>
    <n v="28500"/>
    <n v="1.0712631578947369"/>
  </r>
  <r>
    <n v="2019"/>
    <x v="5"/>
    <n v="14"/>
    <x v="12"/>
    <n v="21215.5"/>
    <n v="28500"/>
    <n v="0.74440350877192984"/>
  </r>
  <r>
    <n v="2019"/>
    <x v="5"/>
    <n v="14"/>
    <x v="13"/>
    <n v="23389"/>
    <n v="28500"/>
    <n v="0.82066666666666666"/>
  </r>
  <r>
    <n v="2019"/>
    <x v="5"/>
    <n v="14"/>
    <x v="14"/>
    <n v="15439.5"/>
    <n v="28500"/>
    <n v="0.54173684210526318"/>
  </r>
  <r>
    <n v="2019"/>
    <x v="5"/>
    <n v="14"/>
    <x v="15"/>
    <n v="14555.5"/>
    <n v="28500"/>
    <n v="0.51071929824561402"/>
  </r>
  <r>
    <n v="2019"/>
    <x v="5"/>
    <n v="14"/>
    <x v="16"/>
    <n v="18795"/>
    <n v="28500"/>
    <n v="0.65947368421052632"/>
  </r>
  <r>
    <n v="2019"/>
    <x v="5"/>
    <n v="14"/>
    <x v="17"/>
    <n v="9674.5"/>
    <n v="28500"/>
    <n v="0.33945614035087718"/>
  </r>
  <r>
    <n v="2019"/>
    <x v="5"/>
    <n v="14"/>
    <x v="18"/>
    <n v="2835"/>
    <n v="28500"/>
    <n v="9.9473684210526311E-2"/>
  </r>
  <r>
    <n v="2019"/>
    <x v="5"/>
    <n v="14"/>
    <x v="19"/>
    <n v="907"/>
    <n v="28500"/>
    <n v="3.1824561403508769E-2"/>
  </r>
  <r>
    <n v="2019"/>
    <x v="5"/>
    <n v="14"/>
    <x v="20"/>
    <n v="0"/>
    <n v="28500"/>
    <n v="0"/>
  </r>
  <r>
    <n v="2019"/>
    <x v="5"/>
    <n v="14"/>
    <x v="21"/>
    <n v="0"/>
    <n v="28500"/>
    <n v="0"/>
  </r>
  <r>
    <n v="2019"/>
    <x v="5"/>
    <n v="14"/>
    <x v="22"/>
    <n v="0"/>
    <n v="28500"/>
    <n v="0"/>
  </r>
  <r>
    <n v="2019"/>
    <x v="5"/>
    <n v="14"/>
    <x v="23"/>
    <n v="0"/>
    <n v="28500"/>
    <n v="0"/>
  </r>
  <r>
    <n v="2019"/>
    <x v="5"/>
    <n v="15"/>
    <x v="0"/>
    <n v="0"/>
    <n v="28500"/>
    <n v="0"/>
  </r>
  <r>
    <n v="2019"/>
    <x v="5"/>
    <n v="15"/>
    <x v="1"/>
    <n v="0"/>
    <n v="28500"/>
    <n v="0"/>
  </r>
  <r>
    <n v="2019"/>
    <x v="5"/>
    <n v="15"/>
    <x v="2"/>
    <n v="0"/>
    <n v="28500"/>
    <n v="0"/>
  </r>
  <r>
    <n v="2019"/>
    <x v="5"/>
    <n v="15"/>
    <x v="3"/>
    <n v="0"/>
    <n v="28500"/>
    <n v="0"/>
  </r>
  <r>
    <n v="2019"/>
    <x v="5"/>
    <n v="15"/>
    <x v="4"/>
    <n v="141"/>
    <n v="28500"/>
    <n v="4.9473684210526317E-3"/>
  </r>
  <r>
    <n v="2019"/>
    <x v="5"/>
    <n v="15"/>
    <x v="5"/>
    <n v="1312"/>
    <n v="28500"/>
    <n v="4.6035087719298248E-2"/>
  </r>
  <r>
    <n v="2019"/>
    <x v="5"/>
    <n v="15"/>
    <x v="6"/>
    <n v="3921"/>
    <n v="28500"/>
    <n v="0.13757894736842105"/>
  </r>
  <r>
    <n v="2019"/>
    <x v="5"/>
    <n v="15"/>
    <x v="7"/>
    <n v="13687"/>
    <n v="28500"/>
    <n v="0.4802456140350877"/>
  </r>
  <r>
    <n v="2019"/>
    <x v="5"/>
    <n v="15"/>
    <x v="8"/>
    <n v="12685.5"/>
    <n v="28500"/>
    <n v="0.44510526315789473"/>
  </r>
  <r>
    <n v="2019"/>
    <x v="5"/>
    <n v="15"/>
    <x v="9"/>
    <n v="28702.5"/>
    <n v="28500"/>
    <n v="1.0071052631578947"/>
  </r>
  <r>
    <n v="2019"/>
    <x v="5"/>
    <n v="15"/>
    <x v="10"/>
    <n v="12543.5"/>
    <n v="28500"/>
    <n v="0.44012280701754386"/>
  </r>
  <r>
    <n v="2019"/>
    <x v="5"/>
    <n v="15"/>
    <x v="11"/>
    <n v="29695"/>
    <n v="28500"/>
    <n v="1.0419298245614035"/>
  </r>
  <r>
    <n v="2019"/>
    <x v="5"/>
    <n v="15"/>
    <x v="12"/>
    <n v="15984.5"/>
    <n v="28500"/>
    <n v="0.56085964912280706"/>
  </r>
  <r>
    <n v="2019"/>
    <x v="5"/>
    <n v="15"/>
    <x v="13"/>
    <n v="14610"/>
    <n v="28500"/>
    <n v="0.51263157894736844"/>
  </r>
  <r>
    <n v="2019"/>
    <x v="5"/>
    <n v="15"/>
    <x v="14"/>
    <n v="8130.5"/>
    <n v="28500"/>
    <n v="0.28528070175438597"/>
  </r>
  <r>
    <n v="2019"/>
    <x v="5"/>
    <n v="15"/>
    <x v="15"/>
    <n v="16761"/>
    <n v="28500"/>
    <n v="0.58810526315789469"/>
  </r>
  <r>
    <n v="2019"/>
    <x v="5"/>
    <n v="15"/>
    <x v="16"/>
    <n v="9083"/>
    <n v="28500"/>
    <n v="0.31870175438596493"/>
  </r>
  <r>
    <n v="2019"/>
    <x v="5"/>
    <n v="15"/>
    <x v="17"/>
    <n v="8236"/>
    <n v="28500"/>
    <n v="0.2889824561403509"/>
  </r>
  <r>
    <n v="2019"/>
    <x v="5"/>
    <n v="15"/>
    <x v="18"/>
    <n v="1146"/>
    <n v="28500"/>
    <n v="4.0210526315789474E-2"/>
  </r>
  <r>
    <n v="2019"/>
    <x v="5"/>
    <n v="15"/>
    <x v="19"/>
    <n v="1134"/>
    <n v="28500"/>
    <n v="3.9789473684210527E-2"/>
  </r>
  <r>
    <n v="2019"/>
    <x v="5"/>
    <n v="15"/>
    <x v="20"/>
    <n v="0"/>
    <n v="28500"/>
    <n v="0"/>
  </r>
  <r>
    <n v="2019"/>
    <x v="5"/>
    <n v="15"/>
    <x v="21"/>
    <n v="0"/>
    <n v="28500"/>
    <n v="0"/>
  </r>
  <r>
    <n v="2019"/>
    <x v="5"/>
    <n v="15"/>
    <x v="22"/>
    <n v="0"/>
    <n v="28500"/>
    <n v="0"/>
  </r>
  <r>
    <n v="2019"/>
    <x v="5"/>
    <n v="15"/>
    <x v="23"/>
    <n v="0"/>
    <n v="28500"/>
    <n v="0"/>
  </r>
  <r>
    <n v="2019"/>
    <x v="5"/>
    <n v="16"/>
    <x v="0"/>
    <n v="0"/>
    <n v="28500"/>
    <n v="0"/>
  </r>
  <r>
    <n v="2019"/>
    <x v="5"/>
    <n v="16"/>
    <x v="1"/>
    <n v="0"/>
    <n v="28500"/>
    <n v="0"/>
  </r>
  <r>
    <n v="2019"/>
    <x v="5"/>
    <n v="16"/>
    <x v="2"/>
    <n v="0"/>
    <n v="28500"/>
    <n v="0"/>
  </r>
  <r>
    <n v="2019"/>
    <x v="5"/>
    <n v="16"/>
    <x v="3"/>
    <n v="0"/>
    <n v="28500"/>
    <n v="0"/>
  </r>
  <r>
    <n v="2019"/>
    <x v="5"/>
    <n v="16"/>
    <x v="4"/>
    <n v="38.5"/>
    <n v="28500"/>
    <n v="1.3508771929824561E-3"/>
  </r>
  <r>
    <n v="2019"/>
    <x v="5"/>
    <n v="16"/>
    <x v="5"/>
    <n v="1448"/>
    <n v="28500"/>
    <n v="5.0807017543859648E-2"/>
  </r>
  <r>
    <n v="2019"/>
    <x v="5"/>
    <n v="16"/>
    <x v="6"/>
    <n v="5144.5"/>
    <n v="28500"/>
    <n v="0.18050877192982456"/>
  </r>
  <r>
    <n v="2019"/>
    <x v="5"/>
    <n v="16"/>
    <x v="7"/>
    <n v="11914"/>
    <n v="28500"/>
    <n v="0.41803508771929826"/>
  </r>
  <r>
    <n v="2019"/>
    <x v="5"/>
    <n v="16"/>
    <x v="8"/>
    <n v="11838"/>
    <n v="28500"/>
    <n v="0.41536842105263155"/>
  </r>
  <r>
    <n v="2019"/>
    <x v="5"/>
    <n v="16"/>
    <x v="9"/>
    <n v="6203.5"/>
    <n v="28500"/>
    <n v="0.21766666666666667"/>
  </r>
  <r>
    <n v="2019"/>
    <x v="5"/>
    <n v="16"/>
    <x v="10"/>
    <n v="11374"/>
    <n v="28500"/>
    <n v="0.3990877192982456"/>
  </r>
  <r>
    <n v="2019"/>
    <x v="5"/>
    <n v="16"/>
    <x v="11"/>
    <n v="18272"/>
    <n v="28500"/>
    <n v="0.64112280701754387"/>
  </r>
  <r>
    <n v="2019"/>
    <x v="5"/>
    <n v="16"/>
    <x v="12"/>
    <n v="31648"/>
    <n v="28500"/>
    <n v="1.1104561403508773"/>
  </r>
  <r>
    <n v="2019"/>
    <x v="5"/>
    <n v="16"/>
    <x v="13"/>
    <n v="21130"/>
    <n v="28500"/>
    <n v="0.74140350877192984"/>
  </r>
  <r>
    <n v="2019"/>
    <x v="5"/>
    <n v="16"/>
    <x v="14"/>
    <n v="12809.5"/>
    <n v="28500"/>
    <n v="0.44945614035087722"/>
  </r>
  <r>
    <n v="2019"/>
    <x v="5"/>
    <n v="16"/>
    <x v="15"/>
    <n v="10272.5"/>
    <n v="28500"/>
    <n v="0.36043859649122806"/>
  </r>
  <r>
    <n v="2019"/>
    <x v="5"/>
    <n v="16"/>
    <x v="16"/>
    <n v="13221.5"/>
    <n v="28500"/>
    <n v="0.46391228070175439"/>
  </r>
  <r>
    <n v="2019"/>
    <x v="5"/>
    <n v="16"/>
    <x v="17"/>
    <n v="9698"/>
    <n v="28500"/>
    <n v="0.34028070175438596"/>
  </r>
  <r>
    <n v="2019"/>
    <x v="5"/>
    <n v="16"/>
    <x v="18"/>
    <n v="3502"/>
    <n v="28500"/>
    <n v="0.12287719298245614"/>
  </r>
  <r>
    <n v="2019"/>
    <x v="5"/>
    <n v="16"/>
    <x v="19"/>
    <n v="905"/>
    <n v="28500"/>
    <n v="3.1754385964912278E-2"/>
  </r>
  <r>
    <n v="2019"/>
    <x v="5"/>
    <n v="16"/>
    <x v="20"/>
    <n v="0"/>
    <n v="28500"/>
    <n v="0"/>
  </r>
  <r>
    <n v="2019"/>
    <x v="5"/>
    <n v="16"/>
    <x v="21"/>
    <n v="0"/>
    <n v="28500"/>
    <n v="0"/>
  </r>
  <r>
    <n v="2019"/>
    <x v="5"/>
    <n v="16"/>
    <x v="22"/>
    <n v="0"/>
    <n v="28500"/>
    <n v="0"/>
  </r>
  <r>
    <n v="2019"/>
    <x v="5"/>
    <n v="16"/>
    <x v="23"/>
    <n v="0"/>
    <n v="28500"/>
    <n v="0"/>
  </r>
  <r>
    <n v="2019"/>
    <x v="5"/>
    <n v="17"/>
    <x v="0"/>
    <n v="0"/>
    <n v="28500"/>
    <n v="0"/>
  </r>
  <r>
    <n v="2019"/>
    <x v="5"/>
    <n v="17"/>
    <x v="1"/>
    <n v="0"/>
    <n v="28500"/>
    <n v="0"/>
  </r>
  <r>
    <n v="2019"/>
    <x v="5"/>
    <n v="17"/>
    <x v="2"/>
    <n v="0"/>
    <n v="28500"/>
    <n v="0"/>
  </r>
  <r>
    <n v="2019"/>
    <x v="5"/>
    <n v="17"/>
    <x v="3"/>
    <n v="0"/>
    <n v="28500"/>
    <n v="0"/>
  </r>
  <r>
    <n v="2019"/>
    <x v="5"/>
    <n v="17"/>
    <x v="4"/>
    <n v="76"/>
    <n v="28500"/>
    <n v="2.6666666666666666E-3"/>
  </r>
  <r>
    <n v="2019"/>
    <x v="5"/>
    <n v="17"/>
    <x v="5"/>
    <n v="1702"/>
    <n v="28500"/>
    <n v="5.9719298245614033E-2"/>
  </r>
  <r>
    <n v="2019"/>
    <x v="5"/>
    <n v="17"/>
    <x v="6"/>
    <n v="4538.5"/>
    <n v="28500"/>
    <n v="0.15924561403508772"/>
  </r>
  <r>
    <n v="2019"/>
    <x v="5"/>
    <n v="17"/>
    <x v="7"/>
    <n v="9884.5"/>
    <n v="28500"/>
    <n v="0.34682456140350876"/>
  </r>
  <r>
    <n v="2019"/>
    <x v="5"/>
    <n v="17"/>
    <x v="8"/>
    <n v="17723.5"/>
    <n v="28500"/>
    <n v="0.62187719298245614"/>
  </r>
  <r>
    <n v="2019"/>
    <x v="5"/>
    <n v="17"/>
    <x v="9"/>
    <n v="26363"/>
    <n v="28500"/>
    <n v="0.92501754385964907"/>
  </r>
  <r>
    <n v="2019"/>
    <x v="5"/>
    <n v="17"/>
    <x v="10"/>
    <n v="35576"/>
    <n v="28500"/>
    <n v="1.248280701754386"/>
  </r>
  <r>
    <n v="2019"/>
    <x v="5"/>
    <n v="17"/>
    <x v="11"/>
    <n v="38636"/>
    <n v="28500"/>
    <n v="1.3556491228070175"/>
  </r>
  <r>
    <n v="2019"/>
    <x v="5"/>
    <n v="17"/>
    <x v="12"/>
    <n v="41613.5"/>
    <n v="28500"/>
    <n v="1.4601228070175438"/>
  </r>
  <r>
    <n v="2019"/>
    <x v="5"/>
    <n v="17"/>
    <x v="13"/>
    <n v="38569.5"/>
    <n v="28500"/>
    <n v="1.3533157894736842"/>
  </r>
  <r>
    <n v="2019"/>
    <x v="5"/>
    <n v="17"/>
    <x v="14"/>
    <n v="35180.5"/>
    <n v="28500"/>
    <n v="1.2344035087719298"/>
  </r>
  <r>
    <n v="2019"/>
    <x v="5"/>
    <n v="17"/>
    <x v="15"/>
    <n v="28484.5"/>
    <n v="28500"/>
    <n v="0.99945614035087715"/>
  </r>
  <r>
    <n v="2019"/>
    <x v="5"/>
    <n v="17"/>
    <x v="16"/>
    <n v="19462.5"/>
    <n v="28500"/>
    <n v="0.68289473684210522"/>
  </r>
  <r>
    <n v="2019"/>
    <x v="5"/>
    <n v="17"/>
    <x v="17"/>
    <n v="5969"/>
    <n v="28500"/>
    <n v="0.20943859649122806"/>
  </r>
  <r>
    <n v="2019"/>
    <x v="5"/>
    <n v="17"/>
    <x v="18"/>
    <n v="707.5"/>
    <n v="28500"/>
    <n v="2.4824561403508773E-2"/>
  </r>
  <r>
    <n v="2019"/>
    <x v="5"/>
    <n v="17"/>
    <x v="19"/>
    <n v="606.5"/>
    <n v="28500"/>
    <n v="2.1280701754385966E-2"/>
  </r>
  <r>
    <n v="2019"/>
    <x v="5"/>
    <n v="17"/>
    <x v="20"/>
    <n v="0"/>
    <n v="28500"/>
    <n v="0"/>
  </r>
  <r>
    <n v="2019"/>
    <x v="5"/>
    <n v="17"/>
    <x v="21"/>
    <n v="0"/>
    <n v="28500"/>
    <n v="0"/>
  </r>
  <r>
    <n v="2019"/>
    <x v="5"/>
    <n v="17"/>
    <x v="22"/>
    <n v="0"/>
    <n v="28500"/>
    <n v="0"/>
  </r>
  <r>
    <n v="2019"/>
    <x v="5"/>
    <n v="17"/>
    <x v="23"/>
    <n v="0"/>
    <n v="28500"/>
    <n v="0"/>
  </r>
  <r>
    <n v="2019"/>
    <x v="5"/>
    <n v="18"/>
    <x v="0"/>
    <n v="0"/>
    <n v="28500"/>
    <n v="0"/>
  </r>
  <r>
    <n v="2019"/>
    <x v="5"/>
    <n v="18"/>
    <x v="1"/>
    <n v="0"/>
    <n v="28500"/>
    <n v="0"/>
  </r>
  <r>
    <n v="2019"/>
    <x v="5"/>
    <n v="18"/>
    <x v="2"/>
    <n v="0"/>
    <n v="28500"/>
    <n v="0"/>
  </r>
  <r>
    <n v="2019"/>
    <x v="5"/>
    <n v="18"/>
    <x v="3"/>
    <n v="0"/>
    <n v="28500"/>
    <n v="0"/>
  </r>
  <r>
    <n v="2019"/>
    <x v="5"/>
    <n v="18"/>
    <x v="4"/>
    <n v="0"/>
    <n v="28500"/>
    <n v="0"/>
  </r>
  <r>
    <n v="2019"/>
    <x v="5"/>
    <n v="18"/>
    <x v="5"/>
    <n v="1953"/>
    <n v="28500"/>
    <n v="6.8526315789473685E-2"/>
  </r>
  <r>
    <n v="2019"/>
    <x v="5"/>
    <n v="18"/>
    <x v="6"/>
    <n v="5107"/>
    <n v="28500"/>
    <n v="0.17919298245614035"/>
  </r>
  <r>
    <n v="2019"/>
    <x v="5"/>
    <n v="18"/>
    <x v="7"/>
    <n v="8246.5"/>
    <n v="28500"/>
    <n v="0.28935087719298247"/>
  </r>
  <r>
    <n v="2019"/>
    <x v="5"/>
    <n v="18"/>
    <x v="8"/>
    <n v="17513"/>
    <n v="28500"/>
    <n v="0.61449122807017542"/>
  </r>
  <r>
    <n v="2019"/>
    <x v="5"/>
    <n v="18"/>
    <x v="9"/>
    <n v="28743"/>
    <n v="28500"/>
    <n v="1.0085263157894737"/>
  </r>
  <r>
    <n v="2019"/>
    <x v="5"/>
    <n v="18"/>
    <x v="10"/>
    <n v="7757"/>
    <n v="28500"/>
    <n v="0.27217543859649124"/>
  </r>
  <r>
    <n v="2019"/>
    <x v="5"/>
    <n v="18"/>
    <x v="11"/>
    <n v="6215.5"/>
    <n v="28500"/>
    <n v="0.21808771929824561"/>
  </r>
  <r>
    <n v="2019"/>
    <x v="5"/>
    <n v="18"/>
    <x v="12"/>
    <n v="4060"/>
    <n v="28500"/>
    <n v="0.1424561403508772"/>
  </r>
  <r>
    <n v="2019"/>
    <x v="5"/>
    <n v="18"/>
    <x v="13"/>
    <n v="14343.5"/>
    <n v="28500"/>
    <n v="0.503280701754386"/>
  </r>
  <r>
    <n v="2019"/>
    <x v="5"/>
    <n v="18"/>
    <x v="14"/>
    <n v="11587"/>
    <n v="28500"/>
    <n v="0.40656140350877196"/>
  </r>
  <r>
    <n v="2019"/>
    <x v="5"/>
    <n v="18"/>
    <x v="15"/>
    <n v="4191"/>
    <n v="28500"/>
    <n v="0.14705263157894738"/>
  </r>
  <r>
    <n v="2019"/>
    <x v="5"/>
    <n v="18"/>
    <x v="16"/>
    <n v="2273"/>
    <n v="28500"/>
    <n v="7.9754385964912286E-2"/>
  </r>
  <r>
    <n v="2019"/>
    <x v="5"/>
    <n v="18"/>
    <x v="17"/>
    <n v="3718.5"/>
    <n v="28500"/>
    <n v="0.13047368421052633"/>
  </r>
  <r>
    <n v="2019"/>
    <x v="5"/>
    <n v="18"/>
    <x v="18"/>
    <n v="1540.5"/>
    <n v="28500"/>
    <n v="5.4052631578947366E-2"/>
  </r>
  <r>
    <n v="2019"/>
    <x v="5"/>
    <n v="18"/>
    <x v="19"/>
    <n v="871"/>
    <n v="28500"/>
    <n v="3.0561403508771928E-2"/>
  </r>
  <r>
    <n v="2019"/>
    <x v="5"/>
    <n v="18"/>
    <x v="20"/>
    <n v="0"/>
    <n v="28500"/>
    <n v="0"/>
  </r>
  <r>
    <n v="2019"/>
    <x v="5"/>
    <n v="18"/>
    <x v="21"/>
    <n v="0"/>
    <n v="28500"/>
    <n v="0"/>
  </r>
  <r>
    <n v="2019"/>
    <x v="5"/>
    <n v="18"/>
    <x v="22"/>
    <n v="0"/>
    <n v="28500"/>
    <n v="0"/>
  </r>
  <r>
    <n v="2019"/>
    <x v="5"/>
    <n v="18"/>
    <x v="23"/>
    <n v="0"/>
    <n v="28500"/>
    <n v="0"/>
  </r>
  <r>
    <n v="2019"/>
    <x v="5"/>
    <n v="19"/>
    <x v="0"/>
    <n v="0"/>
    <n v="28500"/>
    <n v="0"/>
  </r>
  <r>
    <n v="2019"/>
    <x v="5"/>
    <n v="19"/>
    <x v="1"/>
    <n v="0"/>
    <n v="28500"/>
    <n v="0"/>
  </r>
  <r>
    <n v="2019"/>
    <x v="5"/>
    <n v="19"/>
    <x v="2"/>
    <n v="0"/>
    <n v="28500"/>
    <n v="0"/>
  </r>
  <r>
    <n v="2019"/>
    <x v="5"/>
    <n v="19"/>
    <x v="3"/>
    <n v="0"/>
    <n v="28500"/>
    <n v="0"/>
  </r>
  <r>
    <n v="2019"/>
    <x v="5"/>
    <n v="19"/>
    <x v="4"/>
    <n v="0"/>
    <n v="28500"/>
    <n v="0"/>
  </r>
  <r>
    <n v="2019"/>
    <x v="5"/>
    <n v="19"/>
    <x v="5"/>
    <n v="954.5"/>
    <n v="28500"/>
    <n v="3.349122807017544E-2"/>
  </r>
  <r>
    <n v="2019"/>
    <x v="5"/>
    <n v="19"/>
    <x v="6"/>
    <n v="1222.5"/>
    <n v="28500"/>
    <n v="4.2894736842105263E-2"/>
  </r>
  <r>
    <n v="2019"/>
    <x v="5"/>
    <n v="19"/>
    <x v="7"/>
    <n v="2247.5"/>
    <n v="28500"/>
    <n v="7.8859649122807018E-2"/>
  </r>
  <r>
    <n v="2019"/>
    <x v="5"/>
    <n v="19"/>
    <x v="8"/>
    <n v="4283.5"/>
    <n v="28500"/>
    <n v="0.1502982456140351"/>
  </r>
  <r>
    <n v="2019"/>
    <x v="5"/>
    <n v="19"/>
    <x v="9"/>
    <n v="12659.5"/>
    <n v="28500"/>
    <n v="0.44419298245614036"/>
  </r>
  <r>
    <n v="2019"/>
    <x v="5"/>
    <n v="19"/>
    <x v="10"/>
    <n v="7038.5"/>
    <n v="28500"/>
    <n v="0.24696491228070175"/>
  </r>
  <r>
    <n v="2019"/>
    <x v="5"/>
    <n v="19"/>
    <x v="11"/>
    <n v="15618.5"/>
    <n v="28500"/>
    <n v="0.54801754385964907"/>
  </r>
  <r>
    <n v="2019"/>
    <x v="5"/>
    <n v="19"/>
    <x v="12"/>
    <n v="9759"/>
    <n v="28500"/>
    <n v="0.34242105263157896"/>
  </r>
  <r>
    <n v="2019"/>
    <x v="5"/>
    <n v="19"/>
    <x v="13"/>
    <n v="7797"/>
    <n v="28500"/>
    <n v="0.27357894736842103"/>
  </r>
  <r>
    <n v="2019"/>
    <x v="5"/>
    <n v="19"/>
    <x v="14"/>
    <n v="9333.5"/>
    <n v="28500"/>
    <n v="0.32749122807017544"/>
  </r>
  <r>
    <n v="2019"/>
    <x v="5"/>
    <n v="19"/>
    <x v="15"/>
    <n v="11596.5"/>
    <n v="28500"/>
    <n v="0.40689473684210525"/>
  </r>
  <r>
    <n v="2019"/>
    <x v="5"/>
    <n v="19"/>
    <x v="16"/>
    <n v="11790"/>
    <n v="28500"/>
    <n v="0.41368421052631577"/>
  </r>
  <r>
    <n v="2019"/>
    <x v="5"/>
    <n v="19"/>
    <x v="17"/>
    <n v="4334.5"/>
    <n v="28500"/>
    <n v="0.1520877192982456"/>
  </r>
  <r>
    <n v="2019"/>
    <x v="5"/>
    <n v="19"/>
    <x v="18"/>
    <n v="1092.5"/>
    <n v="28500"/>
    <n v="3.833333333333333E-2"/>
  </r>
  <r>
    <n v="2019"/>
    <x v="5"/>
    <n v="19"/>
    <x v="19"/>
    <n v="1054"/>
    <n v="28500"/>
    <n v="3.6982456140350881E-2"/>
  </r>
  <r>
    <n v="2019"/>
    <x v="5"/>
    <n v="19"/>
    <x v="20"/>
    <n v="0"/>
    <n v="28500"/>
    <n v="0"/>
  </r>
  <r>
    <n v="2019"/>
    <x v="5"/>
    <n v="19"/>
    <x v="21"/>
    <n v="0"/>
    <n v="28500"/>
    <n v="0"/>
  </r>
  <r>
    <n v="2019"/>
    <x v="5"/>
    <n v="19"/>
    <x v="22"/>
    <n v="0"/>
    <n v="28500"/>
    <n v="0"/>
  </r>
  <r>
    <n v="2019"/>
    <x v="5"/>
    <n v="19"/>
    <x v="23"/>
    <n v="0"/>
    <n v="28500"/>
    <n v="0"/>
  </r>
  <r>
    <n v="2019"/>
    <x v="5"/>
    <n v="20"/>
    <x v="0"/>
    <n v="0"/>
    <n v="28500"/>
    <n v="0"/>
  </r>
  <r>
    <n v="2019"/>
    <x v="5"/>
    <n v="20"/>
    <x v="1"/>
    <n v="0"/>
    <n v="28500"/>
    <n v="0"/>
  </r>
  <r>
    <n v="2019"/>
    <x v="5"/>
    <n v="20"/>
    <x v="2"/>
    <n v="0"/>
    <n v="28500"/>
    <n v="0"/>
  </r>
  <r>
    <n v="2019"/>
    <x v="5"/>
    <n v="20"/>
    <x v="3"/>
    <n v="0"/>
    <n v="28500"/>
    <n v="0"/>
  </r>
  <r>
    <n v="2019"/>
    <x v="5"/>
    <n v="20"/>
    <x v="4"/>
    <n v="0"/>
    <n v="28500"/>
    <n v="0"/>
  </r>
  <r>
    <n v="2019"/>
    <x v="5"/>
    <n v="20"/>
    <x v="5"/>
    <n v="1467"/>
    <n v="28500"/>
    <n v="5.1473684210526317E-2"/>
  </r>
  <r>
    <n v="2019"/>
    <x v="5"/>
    <n v="20"/>
    <x v="6"/>
    <n v="3961"/>
    <n v="28500"/>
    <n v="0.13898245614035087"/>
  </r>
  <r>
    <n v="2019"/>
    <x v="5"/>
    <n v="20"/>
    <x v="7"/>
    <n v="13634"/>
    <n v="28500"/>
    <n v="0.47838596491228069"/>
  </r>
  <r>
    <n v="2019"/>
    <x v="5"/>
    <n v="20"/>
    <x v="8"/>
    <n v="22936.5"/>
    <n v="28500"/>
    <n v="0.8047894736842105"/>
  </r>
  <r>
    <n v="2019"/>
    <x v="5"/>
    <n v="20"/>
    <x v="9"/>
    <n v="30158.5"/>
    <n v="28500"/>
    <n v="1.0581929824561402"/>
  </r>
  <r>
    <n v="2019"/>
    <x v="5"/>
    <n v="20"/>
    <x v="10"/>
    <n v="27547.5"/>
    <n v="28500"/>
    <n v="0.96657894736842109"/>
  </r>
  <r>
    <n v="2019"/>
    <x v="5"/>
    <n v="20"/>
    <x v="11"/>
    <n v="4253.5"/>
    <n v="28500"/>
    <n v="0.14924561403508771"/>
  </r>
  <r>
    <n v="2019"/>
    <x v="5"/>
    <n v="20"/>
    <x v="12"/>
    <n v="20003.5"/>
    <n v="28500"/>
    <n v="0.7018771929824561"/>
  </r>
  <r>
    <n v="2019"/>
    <x v="5"/>
    <n v="20"/>
    <x v="13"/>
    <n v="3528"/>
    <n v="28500"/>
    <n v="0.12378947368421053"/>
  </r>
  <r>
    <n v="2019"/>
    <x v="5"/>
    <n v="20"/>
    <x v="14"/>
    <n v="4897"/>
    <n v="28500"/>
    <n v="0.17182456140350877"/>
  </r>
  <r>
    <n v="2019"/>
    <x v="5"/>
    <n v="20"/>
    <x v="15"/>
    <n v="7755.5"/>
    <n v="28500"/>
    <n v="0.27212280701754388"/>
  </r>
  <r>
    <n v="2019"/>
    <x v="5"/>
    <n v="20"/>
    <x v="16"/>
    <n v="17631.5"/>
    <n v="28500"/>
    <n v="0.61864912280701756"/>
  </r>
  <r>
    <n v="2019"/>
    <x v="5"/>
    <n v="20"/>
    <x v="17"/>
    <n v="9346"/>
    <n v="28500"/>
    <n v="0.32792982456140352"/>
  </r>
  <r>
    <n v="2019"/>
    <x v="5"/>
    <n v="20"/>
    <x v="18"/>
    <n v="3417"/>
    <n v="28500"/>
    <n v="0.11989473684210526"/>
  </r>
  <r>
    <n v="2019"/>
    <x v="5"/>
    <n v="20"/>
    <x v="19"/>
    <n v="1188"/>
    <n v="28500"/>
    <n v="4.1684210526315789E-2"/>
  </r>
  <r>
    <n v="2019"/>
    <x v="5"/>
    <n v="20"/>
    <x v="20"/>
    <n v="0"/>
    <n v="28500"/>
    <n v="0"/>
  </r>
  <r>
    <n v="2019"/>
    <x v="5"/>
    <n v="20"/>
    <x v="21"/>
    <n v="0"/>
    <n v="28500"/>
    <n v="0"/>
  </r>
  <r>
    <n v="2019"/>
    <x v="5"/>
    <n v="20"/>
    <x v="22"/>
    <n v="0"/>
    <n v="28500"/>
    <n v="0"/>
  </r>
  <r>
    <n v="2019"/>
    <x v="5"/>
    <n v="20"/>
    <x v="23"/>
    <n v="0"/>
    <n v="28500"/>
    <n v="0"/>
  </r>
  <r>
    <n v="2019"/>
    <x v="5"/>
    <n v="21"/>
    <x v="0"/>
    <n v="0"/>
    <n v="28500"/>
    <n v="0"/>
  </r>
  <r>
    <n v="2019"/>
    <x v="5"/>
    <n v="21"/>
    <x v="1"/>
    <n v="0"/>
    <n v="28500"/>
    <n v="0"/>
  </r>
  <r>
    <n v="2019"/>
    <x v="5"/>
    <n v="21"/>
    <x v="2"/>
    <n v="0"/>
    <n v="28500"/>
    <n v="0"/>
  </r>
  <r>
    <n v="2019"/>
    <x v="5"/>
    <n v="21"/>
    <x v="3"/>
    <n v="0"/>
    <n v="28500"/>
    <n v="0"/>
  </r>
  <r>
    <n v="2019"/>
    <x v="5"/>
    <n v="21"/>
    <x v="4"/>
    <n v="77.5"/>
    <n v="28500"/>
    <n v="2.719298245614035E-3"/>
  </r>
  <r>
    <n v="2019"/>
    <x v="5"/>
    <n v="21"/>
    <x v="5"/>
    <n v="1623.5"/>
    <n v="28500"/>
    <n v="5.6964912280701753E-2"/>
  </r>
  <r>
    <n v="2019"/>
    <x v="5"/>
    <n v="21"/>
    <x v="6"/>
    <n v="3916"/>
    <n v="28500"/>
    <n v="0.13740350877192983"/>
  </r>
  <r>
    <n v="2019"/>
    <x v="5"/>
    <n v="21"/>
    <x v="7"/>
    <n v="13783"/>
    <n v="28500"/>
    <n v="0.48361403508771927"/>
  </r>
  <r>
    <n v="2019"/>
    <x v="5"/>
    <n v="21"/>
    <x v="8"/>
    <n v="22904.5"/>
    <n v="28500"/>
    <n v="0.80366666666666664"/>
  </r>
  <r>
    <n v="2019"/>
    <x v="5"/>
    <n v="21"/>
    <x v="9"/>
    <n v="30163"/>
    <n v="28500"/>
    <n v="1.0583508771929824"/>
  </r>
  <r>
    <n v="2019"/>
    <x v="5"/>
    <n v="21"/>
    <x v="10"/>
    <n v="28845"/>
    <n v="28500"/>
    <n v="1.0121052631578948"/>
  </r>
  <r>
    <n v="2019"/>
    <x v="5"/>
    <n v="21"/>
    <x v="11"/>
    <n v="24168"/>
    <n v="28500"/>
    <n v="0.84799999999999998"/>
  </r>
  <r>
    <n v="2019"/>
    <x v="5"/>
    <n v="21"/>
    <x v="12"/>
    <n v="34236"/>
    <n v="28500"/>
    <n v="1.2012631578947368"/>
  </r>
  <r>
    <n v="2019"/>
    <x v="5"/>
    <n v="21"/>
    <x v="13"/>
    <n v="32253"/>
    <n v="28500"/>
    <n v="1.1316842105263158"/>
  </r>
  <r>
    <n v="2019"/>
    <x v="5"/>
    <n v="21"/>
    <x v="14"/>
    <n v="24591.5"/>
    <n v="28500"/>
    <n v="0.86285964912280699"/>
  </r>
  <r>
    <n v="2019"/>
    <x v="5"/>
    <n v="21"/>
    <x v="15"/>
    <n v="19836.5"/>
    <n v="28500"/>
    <n v="0.69601754385964909"/>
  </r>
  <r>
    <n v="2019"/>
    <x v="5"/>
    <n v="21"/>
    <x v="16"/>
    <n v="12869"/>
    <n v="28500"/>
    <n v="0.4515438596491228"/>
  </r>
  <r>
    <n v="2019"/>
    <x v="5"/>
    <n v="21"/>
    <x v="17"/>
    <n v="4391"/>
    <n v="28500"/>
    <n v="0.1540701754385965"/>
  </r>
  <r>
    <n v="2019"/>
    <x v="5"/>
    <n v="21"/>
    <x v="18"/>
    <n v="1300"/>
    <n v="28500"/>
    <n v="4.5614035087719301E-2"/>
  </r>
  <r>
    <n v="2019"/>
    <x v="5"/>
    <n v="21"/>
    <x v="19"/>
    <n v="689.5"/>
    <n v="28500"/>
    <n v="2.4192982456140349E-2"/>
  </r>
  <r>
    <n v="2019"/>
    <x v="5"/>
    <n v="21"/>
    <x v="20"/>
    <n v="0"/>
    <n v="28500"/>
    <n v="0"/>
  </r>
  <r>
    <n v="2019"/>
    <x v="5"/>
    <n v="21"/>
    <x v="21"/>
    <n v="0"/>
    <n v="28500"/>
    <n v="0"/>
  </r>
  <r>
    <n v="2019"/>
    <x v="5"/>
    <n v="21"/>
    <x v="22"/>
    <n v="0"/>
    <n v="28500"/>
    <n v="0"/>
  </r>
  <r>
    <n v="2019"/>
    <x v="5"/>
    <n v="21"/>
    <x v="23"/>
    <n v="0"/>
    <n v="28500"/>
    <n v="0"/>
  </r>
  <r>
    <n v="2019"/>
    <x v="5"/>
    <n v="22"/>
    <x v="0"/>
    <n v="0"/>
    <n v="28500"/>
    <n v="0"/>
  </r>
  <r>
    <n v="2019"/>
    <x v="5"/>
    <n v="22"/>
    <x v="1"/>
    <n v="0"/>
    <n v="28500"/>
    <n v="0"/>
  </r>
  <r>
    <n v="2019"/>
    <x v="5"/>
    <n v="22"/>
    <x v="2"/>
    <n v="0"/>
    <n v="28500"/>
    <n v="0"/>
  </r>
  <r>
    <n v="2019"/>
    <x v="5"/>
    <n v="22"/>
    <x v="3"/>
    <n v="0"/>
    <n v="28500"/>
    <n v="0"/>
  </r>
  <r>
    <n v="2019"/>
    <x v="5"/>
    <n v="22"/>
    <x v="4"/>
    <n v="98.5"/>
    <n v="28500"/>
    <n v="3.4561403508771931E-3"/>
  </r>
  <r>
    <n v="2019"/>
    <x v="5"/>
    <n v="22"/>
    <x v="5"/>
    <n v="1514.5"/>
    <n v="28500"/>
    <n v="5.3140350877192981E-2"/>
  </r>
  <r>
    <n v="2019"/>
    <x v="5"/>
    <n v="22"/>
    <x v="6"/>
    <n v="3851"/>
    <n v="28500"/>
    <n v="0.13512280701754387"/>
  </r>
  <r>
    <n v="2019"/>
    <x v="5"/>
    <n v="22"/>
    <x v="7"/>
    <n v="13044"/>
    <n v="28500"/>
    <n v="0.4576842105263158"/>
  </r>
  <r>
    <n v="2019"/>
    <x v="5"/>
    <n v="22"/>
    <x v="8"/>
    <n v="22712.5"/>
    <n v="28500"/>
    <n v="0.79692982456140349"/>
  </r>
  <r>
    <n v="2019"/>
    <x v="5"/>
    <n v="22"/>
    <x v="9"/>
    <n v="31835"/>
    <n v="28500"/>
    <n v="1.117017543859649"/>
  </r>
  <r>
    <n v="2019"/>
    <x v="5"/>
    <n v="22"/>
    <x v="10"/>
    <n v="36003"/>
    <n v="28500"/>
    <n v="1.2632631578947369"/>
  </r>
  <r>
    <n v="2019"/>
    <x v="5"/>
    <n v="22"/>
    <x v="11"/>
    <n v="34356"/>
    <n v="28500"/>
    <n v="1.2054736842105263"/>
  </r>
  <r>
    <n v="2019"/>
    <x v="5"/>
    <n v="22"/>
    <x v="12"/>
    <n v="25544.5"/>
    <n v="28500"/>
    <n v="0.89629824561403504"/>
  </r>
  <r>
    <n v="2019"/>
    <x v="5"/>
    <n v="22"/>
    <x v="13"/>
    <n v="22613"/>
    <n v="28500"/>
    <n v="0.79343859649122805"/>
  </r>
  <r>
    <n v="2019"/>
    <x v="5"/>
    <n v="22"/>
    <x v="14"/>
    <n v="25368"/>
    <n v="28500"/>
    <n v="0.89010526315789473"/>
  </r>
  <r>
    <n v="2019"/>
    <x v="5"/>
    <n v="22"/>
    <x v="15"/>
    <n v="25990.5"/>
    <n v="28500"/>
    <n v="0.91194736842105262"/>
  </r>
  <r>
    <n v="2019"/>
    <x v="5"/>
    <n v="22"/>
    <x v="16"/>
    <n v="20177"/>
    <n v="28500"/>
    <n v="0.7079649122807018"/>
  </r>
  <r>
    <n v="2019"/>
    <x v="5"/>
    <n v="22"/>
    <x v="17"/>
    <n v="9989.5"/>
    <n v="28500"/>
    <n v="0.35050877192982455"/>
  </r>
  <r>
    <n v="2019"/>
    <x v="5"/>
    <n v="22"/>
    <x v="18"/>
    <n v="3321"/>
    <n v="28500"/>
    <n v="0.11652631578947369"/>
  </r>
  <r>
    <n v="2019"/>
    <x v="5"/>
    <n v="22"/>
    <x v="19"/>
    <n v="901.5"/>
    <n v="28500"/>
    <n v="3.163157894736842E-2"/>
  </r>
  <r>
    <n v="2019"/>
    <x v="5"/>
    <n v="22"/>
    <x v="20"/>
    <n v="0"/>
    <n v="28500"/>
    <n v="0"/>
  </r>
  <r>
    <n v="2019"/>
    <x v="5"/>
    <n v="22"/>
    <x v="21"/>
    <n v="0"/>
    <n v="28500"/>
    <n v="0"/>
  </r>
  <r>
    <n v="2019"/>
    <x v="5"/>
    <n v="22"/>
    <x v="22"/>
    <n v="0"/>
    <n v="28500"/>
    <n v="0"/>
  </r>
  <r>
    <n v="2019"/>
    <x v="5"/>
    <n v="22"/>
    <x v="23"/>
    <n v="0"/>
    <n v="28500"/>
    <n v="0"/>
  </r>
  <r>
    <n v="2019"/>
    <x v="5"/>
    <n v="23"/>
    <x v="0"/>
    <n v="0"/>
    <n v="28500"/>
    <n v="0"/>
  </r>
  <r>
    <n v="2019"/>
    <x v="5"/>
    <n v="23"/>
    <x v="1"/>
    <n v="0"/>
    <n v="28500"/>
    <n v="0"/>
  </r>
  <r>
    <n v="2019"/>
    <x v="5"/>
    <n v="23"/>
    <x v="2"/>
    <n v="0"/>
    <n v="28500"/>
    <n v="0"/>
  </r>
  <r>
    <n v="2019"/>
    <x v="5"/>
    <n v="23"/>
    <x v="3"/>
    <n v="0"/>
    <n v="28500"/>
    <n v="0"/>
  </r>
  <r>
    <n v="2019"/>
    <x v="5"/>
    <n v="23"/>
    <x v="4"/>
    <n v="37.5"/>
    <n v="28500"/>
    <n v="1.3157894736842105E-3"/>
  </r>
  <r>
    <n v="2019"/>
    <x v="5"/>
    <n v="23"/>
    <x v="5"/>
    <n v="645"/>
    <n v="28500"/>
    <n v="2.2631578947368423E-2"/>
  </r>
  <r>
    <n v="2019"/>
    <x v="5"/>
    <n v="23"/>
    <x v="6"/>
    <n v="3706"/>
    <n v="28500"/>
    <n v="0.13003508771929825"/>
  </r>
  <r>
    <n v="2019"/>
    <x v="5"/>
    <n v="23"/>
    <x v="7"/>
    <n v="8410.5"/>
    <n v="28500"/>
    <n v="0.29510526315789476"/>
  </r>
  <r>
    <n v="2019"/>
    <x v="5"/>
    <n v="23"/>
    <x v="8"/>
    <n v="15993"/>
    <n v="28500"/>
    <n v="0.56115789473684208"/>
  </r>
  <r>
    <n v="2019"/>
    <x v="5"/>
    <n v="23"/>
    <x v="9"/>
    <n v="13358"/>
    <n v="28500"/>
    <n v="0.4687017543859649"/>
  </r>
  <r>
    <n v="2019"/>
    <x v="5"/>
    <n v="23"/>
    <x v="10"/>
    <n v="24573.5"/>
    <n v="28500"/>
    <n v="0.86222807017543857"/>
  </r>
  <r>
    <n v="2019"/>
    <x v="5"/>
    <n v="23"/>
    <x v="11"/>
    <n v="18003"/>
    <n v="28500"/>
    <n v="0.63168421052631574"/>
  </r>
  <r>
    <n v="2019"/>
    <x v="5"/>
    <n v="23"/>
    <x v="12"/>
    <n v="22214.5"/>
    <n v="28500"/>
    <n v="0.77945614035087718"/>
  </r>
  <r>
    <n v="2019"/>
    <x v="5"/>
    <n v="23"/>
    <x v="13"/>
    <n v="13960.5"/>
    <n v="28500"/>
    <n v="0.48984210526315791"/>
  </r>
  <r>
    <n v="2019"/>
    <x v="5"/>
    <n v="23"/>
    <x v="14"/>
    <n v="19316"/>
    <n v="28500"/>
    <n v="0.67775438596491233"/>
  </r>
  <r>
    <n v="2019"/>
    <x v="5"/>
    <n v="23"/>
    <x v="15"/>
    <n v="4685"/>
    <n v="28500"/>
    <n v="0.16438596491228069"/>
  </r>
  <r>
    <n v="2019"/>
    <x v="5"/>
    <n v="23"/>
    <x v="16"/>
    <n v="2799"/>
    <n v="28500"/>
    <n v="9.821052631578947E-2"/>
  </r>
  <r>
    <n v="2019"/>
    <x v="5"/>
    <n v="23"/>
    <x v="17"/>
    <n v="1798"/>
    <n v="28500"/>
    <n v="6.3087719298245609E-2"/>
  </r>
  <r>
    <n v="2019"/>
    <x v="5"/>
    <n v="23"/>
    <x v="18"/>
    <n v="1419.5"/>
    <n v="28500"/>
    <n v="4.9807017543859647E-2"/>
  </r>
  <r>
    <n v="2019"/>
    <x v="5"/>
    <n v="23"/>
    <x v="19"/>
    <n v="71"/>
    <n v="28500"/>
    <n v="2.4912280701754387E-3"/>
  </r>
  <r>
    <n v="2019"/>
    <x v="5"/>
    <n v="23"/>
    <x v="20"/>
    <n v="0"/>
    <n v="28500"/>
    <n v="0"/>
  </r>
  <r>
    <n v="2019"/>
    <x v="5"/>
    <n v="23"/>
    <x v="21"/>
    <n v="0"/>
    <n v="28500"/>
    <n v="0"/>
  </r>
  <r>
    <n v="2019"/>
    <x v="5"/>
    <n v="23"/>
    <x v="22"/>
    <n v="0"/>
    <n v="28500"/>
    <n v="0"/>
  </r>
  <r>
    <n v="2019"/>
    <x v="5"/>
    <n v="23"/>
    <x v="23"/>
    <n v="0"/>
    <n v="28500"/>
    <n v="0"/>
  </r>
  <r>
    <n v="2019"/>
    <x v="5"/>
    <n v="24"/>
    <x v="0"/>
    <n v="0"/>
    <n v="28500"/>
    <n v="0"/>
  </r>
  <r>
    <n v="2019"/>
    <x v="5"/>
    <n v="24"/>
    <x v="1"/>
    <n v="0"/>
    <n v="28500"/>
    <n v="0"/>
  </r>
  <r>
    <n v="2019"/>
    <x v="5"/>
    <n v="24"/>
    <x v="2"/>
    <n v="0"/>
    <n v="28500"/>
    <n v="0"/>
  </r>
  <r>
    <n v="2019"/>
    <x v="5"/>
    <n v="24"/>
    <x v="3"/>
    <n v="0"/>
    <n v="28500"/>
    <n v="0"/>
  </r>
  <r>
    <n v="2019"/>
    <x v="5"/>
    <n v="24"/>
    <x v="4"/>
    <n v="53"/>
    <n v="28500"/>
    <n v="1.8596491228070175E-3"/>
  </r>
  <r>
    <n v="2019"/>
    <x v="5"/>
    <n v="24"/>
    <x v="5"/>
    <n v="1425.5"/>
    <n v="28500"/>
    <n v="5.001754385964912E-2"/>
  </r>
  <r>
    <n v="2019"/>
    <x v="5"/>
    <n v="24"/>
    <x v="6"/>
    <n v="1491.5"/>
    <n v="28500"/>
    <n v="5.2333333333333336E-2"/>
  </r>
  <r>
    <n v="2019"/>
    <x v="5"/>
    <n v="24"/>
    <x v="7"/>
    <n v="11648"/>
    <n v="28500"/>
    <n v="0.4087017543859649"/>
  </r>
  <r>
    <n v="2019"/>
    <x v="5"/>
    <n v="24"/>
    <x v="8"/>
    <n v="10189.5"/>
    <n v="28500"/>
    <n v="0.35752631578947369"/>
  </r>
  <r>
    <n v="2019"/>
    <x v="5"/>
    <n v="24"/>
    <x v="9"/>
    <n v="2941.5"/>
    <n v="28500"/>
    <n v="0.10321052631578947"/>
  </r>
  <r>
    <n v="2019"/>
    <x v="5"/>
    <n v="24"/>
    <x v="10"/>
    <n v="3529.5"/>
    <n v="28500"/>
    <n v="0.12384210526315789"/>
  </r>
  <r>
    <n v="2019"/>
    <x v="5"/>
    <n v="24"/>
    <x v="11"/>
    <n v="9704"/>
    <n v="28500"/>
    <n v="0.34049122807017546"/>
  </r>
  <r>
    <n v="2019"/>
    <x v="5"/>
    <n v="24"/>
    <x v="12"/>
    <n v="9386.5"/>
    <n v="28500"/>
    <n v="0.32935087719298245"/>
  </r>
  <r>
    <n v="2019"/>
    <x v="5"/>
    <n v="24"/>
    <x v="13"/>
    <n v="6779.5"/>
    <n v="28500"/>
    <n v="0.23787719298245613"/>
  </r>
  <r>
    <n v="2019"/>
    <x v="5"/>
    <n v="24"/>
    <x v="14"/>
    <n v="12096"/>
    <n v="28500"/>
    <n v="0.42442105263157892"/>
  </r>
  <r>
    <n v="2019"/>
    <x v="5"/>
    <n v="24"/>
    <x v="15"/>
    <n v="15860"/>
    <n v="28500"/>
    <n v="0.55649122807017548"/>
  </r>
  <r>
    <n v="2019"/>
    <x v="5"/>
    <n v="24"/>
    <x v="16"/>
    <n v="2587.5"/>
    <n v="28500"/>
    <n v="9.0789473684210531E-2"/>
  </r>
  <r>
    <n v="2019"/>
    <x v="5"/>
    <n v="24"/>
    <x v="17"/>
    <n v="1743.5"/>
    <n v="28500"/>
    <n v="6.117543859649123E-2"/>
  </r>
  <r>
    <n v="2019"/>
    <x v="5"/>
    <n v="24"/>
    <x v="18"/>
    <n v="1577.5"/>
    <n v="28500"/>
    <n v="5.5350877192982456E-2"/>
  </r>
  <r>
    <n v="2019"/>
    <x v="5"/>
    <n v="24"/>
    <x v="19"/>
    <n v="131.5"/>
    <n v="28500"/>
    <n v="4.6140350877192987E-3"/>
  </r>
  <r>
    <n v="2019"/>
    <x v="5"/>
    <n v="24"/>
    <x v="20"/>
    <n v="0"/>
    <n v="28500"/>
    <n v="0"/>
  </r>
  <r>
    <n v="2019"/>
    <x v="5"/>
    <n v="24"/>
    <x v="21"/>
    <n v="0"/>
    <n v="28500"/>
    <n v="0"/>
  </r>
  <r>
    <n v="2019"/>
    <x v="5"/>
    <n v="24"/>
    <x v="22"/>
    <n v="0"/>
    <n v="28500"/>
    <n v="0"/>
  </r>
  <r>
    <n v="2019"/>
    <x v="5"/>
    <n v="24"/>
    <x v="23"/>
    <n v="0"/>
    <n v="28500"/>
    <n v="0"/>
  </r>
  <r>
    <n v="2019"/>
    <x v="5"/>
    <n v="25"/>
    <x v="0"/>
    <n v="0"/>
    <n v="28500"/>
    <n v="0"/>
  </r>
  <r>
    <n v="2019"/>
    <x v="5"/>
    <n v="25"/>
    <x v="1"/>
    <n v="0"/>
    <n v="28500"/>
    <n v="0"/>
  </r>
  <r>
    <n v="2019"/>
    <x v="5"/>
    <n v="25"/>
    <x v="2"/>
    <n v="0"/>
    <n v="28500"/>
    <n v="0"/>
  </r>
  <r>
    <n v="2019"/>
    <x v="5"/>
    <n v="25"/>
    <x v="3"/>
    <n v="0"/>
    <n v="28500"/>
    <n v="0"/>
  </r>
  <r>
    <n v="2019"/>
    <x v="5"/>
    <n v="25"/>
    <x v="4"/>
    <n v="3"/>
    <n v="28500"/>
    <n v="1.0526315789473685E-4"/>
  </r>
  <r>
    <n v="2019"/>
    <x v="5"/>
    <n v="25"/>
    <x v="5"/>
    <n v="867"/>
    <n v="28500"/>
    <n v="3.0421052631578946E-2"/>
  </r>
  <r>
    <n v="2019"/>
    <x v="5"/>
    <n v="25"/>
    <x v="6"/>
    <n v="3064.5"/>
    <n v="28500"/>
    <n v="0.10752631578947368"/>
  </r>
  <r>
    <n v="2019"/>
    <x v="5"/>
    <n v="25"/>
    <x v="7"/>
    <n v="4458"/>
    <n v="28500"/>
    <n v="0.15642105263157896"/>
  </r>
  <r>
    <n v="2019"/>
    <x v="5"/>
    <n v="25"/>
    <x v="8"/>
    <n v="9971"/>
    <n v="28500"/>
    <n v="0.34985964912280704"/>
  </r>
  <r>
    <n v="2019"/>
    <x v="5"/>
    <n v="25"/>
    <x v="9"/>
    <n v="15981.5"/>
    <n v="28500"/>
    <n v="0.56075438596491223"/>
  </r>
  <r>
    <n v="2019"/>
    <x v="5"/>
    <n v="25"/>
    <x v="10"/>
    <n v="19136"/>
    <n v="28500"/>
    <n v="0.67143859649122806"/>
  </r>
  <r>
    <n v="2019"/>
    <x v="5"/>
    <n v="25"/>
    <x v="11"/>
    <n v="18986.5"/>
    <n v="28500"/>
    <n v="0.66619298245614034"/>
  </r>
  <r>
    <n v="2019"/>
    <x v="5"/>
    <n v="25"/>
    <x v="12"/>
    <n v="18433"/>
    <n v="28500"/>
    <n v="0.64677192982456144"/>
  </r>
  <r>
    <n v="2019"/>
    <x v="5"/>
    <n v="25"/>
    <x v="13"/>
    <n v="13637"/>
    <n v="28500"/>
    <n v="0.47849122807017541"/>
  </r>
  <r>
    <n v="2019"/>
    <x v="5"/>
    <n v="25"/>
    <x v="14"/>
    <n v="10253.5"/>
    <n v="28500"/>
    <n v="0.35977192982456141"/>
  </r>
  <r>
    <n v="2019"/>
    <x v="5"/>
    <n v="25"/>
    <x v="15"/>
    <n v="12541.5"/>
    <n v="28500"/>
    <n v="0.44005263157894736"/>
  </r>
  <r>
    <n v="2019"/>
    <x v="5"/>
    <n v="25"/>
    <x v="16"/>
    <n v="3763.5"/>
    <n v="28500"/>
    <n v="0.13205263157894737"/>
  </r>
  <r>
    <n v="2019"/>
    <x v="5"/>
    <n v="25"/>
    <x v="17"/>
    <n v="7415.5"/>
    <n v="28500"/>
    <n v="0.26019298245614036"/>
  </r>
  <r>
    <n v="2019"/>
    <x v="5"/>
    <n v="25"/>
    <x v="18"/>
    <n v="3450.5"/>
    <n v="28500"/>
    <n v="0.12107017543859649"/>
  </r>
  <r>
    <n v="2019"/>
    <x v="5"/>
    <n v="25"/>
    <x v="19"/>
    <n v="222.5"/>
    <n v="28500"/>
    <n v="7.8070175438596495E-3"/>
  </r>
  <r>
    <n v="2019"/>
    <x v="5"/>
    <n v="25"/>
    <x v="20"/>
    <n v="0"/>
    <n v="28500"/>
    <n v="0"/>
  </r>
  <r>
    <n v="2019"/>
    <x v="5"/>
    <n v="25"/>
    <x v="21"/>
    <n v="0"/>
    <n v="28500"/>
    <n v="0"/>
  </r>
  <r>
    <n v="2019"/>
    <x v="5"/>
    <n v="25"/>
    <x v="22"/>
    <n v="0"/>
    <n v="28500"/>
    <n v="0"/>
  </r>
  <r>
    <n v="2019"/>
    <x v="5"/>
    <n v="25"/>
    <x v="23"/>
    <n v="0"/>
    <n v="28500"/>
    <n v="0"/>
  </r>
  <r>
    <n v="2019"/>
    <x v="5"/>
    <n v="26"/>
    <x v="0"/>
    <n v="0"/>
    <n v="28500"/>
    <n v="0"/>
  </r>
  <r>
    <n v="2019"/>
    <x v="5"/>
    <n v="26"/>
    <x v="1"/>
    <n v="0"/>
    <n v="28500"/>
    <n v="0"/>
  </r>
  <r>
    <n v="2019"/>
    <x v="5"/>
    <n v="26"/>
    <x v="2"/>
    <n v="0"/>
    <n v="28500"/>
    <n v="0"/>
  </r>
  <r>
    <n v="2019"/>
    <x v="5"/>
    <n v="26"/>
    <x v="3"/>
    <n v="0"/>
    <n v="28500"/>
    <n v="0"/>
  </r>
  <r>
    <n v="2019"/>
    <x v="5"/>
    <n v="26"/>
    <x v="4"/>
    <n v="0"/>
    <n v="28500"/>
    <n v="0"/>
  </r>
  <r>
    <n v="2019"/>
    <x v="5"/>
    <n v="26"/>
    <x v="5"/>
    <n v="74.5"/>
    <n v="28500"/>
    <n v="2.6140350877192982E-3"/>
  </r>
  <r>
    <n v="2019"/>
    <x v="5"/>
    <n v="26"/>
    <x v="6"/>
    <n v="651"/>
    <n v="28500"/>
    <n v="2.2842105263157896E-2"/>
  </r>
  <r>
    <n v="2019"/>
    <x v="5"/>
    <n v="26"/>
    <x v="7"/>
    <n v="1210.5"/>
    <n v="28500"/>
    <n v="4.2473684210526316E-2"/>
  </r>
  <r>
    <n v="2019"/>
    <x v="5"/>
    <n v="26"/>
    <x v="8"/>
    <n v="3774.5"/>
    <n v="28500"/>
    <n v="0.13243859649122808"/>
  </r>
  <r>
    <n v="2019"/>
    <x v="5"/>
    <n v="26"/>
    <x v="9"/>
    <n v="4562"/>
    <n v="28500"/>
    <n v="0.1600701754385965"/>
  </r>
  <r>
    <n v="2019"/>
    <x v="5"/>
    <n v="26"/>
    <x v="10"/>
    <n v="5694.5"/>
    <n v="28500"/>
    <n v="0.19980701754385966"/>
  </r>
  <r>
    <n v="2019"/>
    <x v="5"/>
    <n v="26"/>
    <x v="11"/>
    <n v="9699"/>
    <n v="28500"/>
    <n v="0.34031578947368424"/>
  </r>
  <r>
    <n v="2019"/>
    <x v="5"/>
    <n v="26"/>
    <x v="12"/>
    <n v="17348.5"/>
    <n v="28500"/>
    <n v="0.60871929824561399"/>
  </r>
  <r>
    <n v="2019"/>
    <x v="5"/>
    <n v="26"/>
    <x v="13"/>
    <n v="30652"/>
    <n v="28500"/>
    <n v="1.0755087719298246"/>
  </r>
  <r>
    <n v="2019"/>
    <x v="5"/>
    <n v="26"/>
    <x v="14"/>
    <n v="30290.5"/>
    <n v="28500"/>
    <n v="1.0628245614035088"/>
  </r>
  <r>
    <n v="2019"/>
    <x v="5"/>
    <n v="26"/>
    <x v="15"/>
    <n v="20510"/>
    <n v="28500"/>
    <n v="0.71964912280701754"/>
  </r>
  <r>
    <n v="2019"/>
    <x v="5"/>
    <n v="26"/>
    <x v="16"/>
    <n v="11038"/>
    <n v="28500"/>
    <n v="0.38729824561403509"/>
  </r>
  <r>
    <n v="2019"/>
    <x v="5"/>
    <n v="26"/>
    <x v="17"/>
    <n v="5736"/>
    <n v="28500"/>
    <n v="0.20126315789473684"/>
  </r>
  <r>
    <n v="2019"/>
    <x v="5"/>
    <n v="26"/>
    <x v="18"/>
    <n v="2109.5"/>
    <n v="28500"/>
    <n v="7.4017543859649121E-2"/>
  </r>
  <r>
    <n v="2019"/>
    <x v="5"/>
    <n v="26"/>
    <x v="19"/>
    <n v="278"/>
    <n v="28500"/>
    <n v="9.7543859649122811E-3"/>
  </r>
  <r>
    <n v="2019"/>
    <x v="5"/>
    <n v="26"/>
    <x v="20"/>
    <n v="0"/>
    <n v="28500"/>
    <n v="0"/>
  </r>
  <r>
    <n v="2019"/>
    <x v="5"/>
    <n v="26"/>
    <x v="21"/>
    <n v="0"/>
    <n v="28500"/>
    <n v="0"/>
  </r>
  <r>
    <n v="2019"/>
    <x v="5"/>
    <n v="26"/>
    <x v="22"/>
    <n v="0"/>
    <n v="28500"/>
    <n v="0"/>
  </r>
  <r>
    <n v="2019"/>
    <x v="5"/>
    <n v="26"/>
    <x v="23"/>
    <n v="0"/>
    <n v="28500"/>
    <n v="0"/>
  </r>
  <r>
    <n v="2019"/>
    <x v="5"/>
    <n v="27"/>
    <x v="0"/>
    <n v="0"/>
    <n v="28500"/>
    <n v="0"/>
  </r>
  <r>
    <n v="2019"/>
    <x v="5"/>
    <n v="27"/>
    <x v="1"/>
    <n v="0"/>
    <n v="28500"/>
    <n v="0"/>
  </r>
  <r>
    <n v="2019"/>
    <x v="5"/>
    <n v="27"/>
    <x v="2"/>
    <n v="0"/>
    <n v="28500"/>
    <n v="0"/>
  </r>
  <r>
    <n v="2019"/>
    <x v="5"/>
    <n v="27"/>
    <x v="3"/>
    <n v="0"/>
    <n v="28500"/>
    <n v="0"/>
  </r>
  <r>
    <n v="2019"/>
    <x v="5"/>
    <n v="27"/>
    <x v="4"/>
    <n v="0"/>
    <n v="28500"/>
    <n v="0"/>
  </r>
  <r>
    <n v="2019"/>
    <x v="5"/>
    <n v="27"/>
    <x v="5"/>
    <n v="735"/>
    <n v="28500"/>
    <n v="2.5789473684210525E-2"/>
  </r>
  <r>
    <n v="2019"/>
    <x v="5"/>
    <n v="27"/>
    <x v="6"/>
    <n v="3931"/>
    <n v="28500"/>
    <n v="0.13792982456140351"/>
  </r>
  <r>
    <n v="2019"/>
    <x v="5"/>
    <n v="27"/>
    <x v="7"/>
    <n v="9586.5"/>
    <n v="28500"/>
    <n v="0.33636842105263159"/>
  </r>
  <r>
    <n v="2019"/>
    <x v="5"/>
    <n v="27"/>
    <x v="8"/>
    <n v="19662"/>
    <n v="28500"/>
    <n v="0.68989473684210523"/>
  </r>
  <r>
    <n v="2019"/>
    <x v="5"/>
    <n v="27"/>
    <x v="9"/>
    <n v="31359.5"/>
    <n v="28500"/>
    <n v="1.1003333333333334"/>
  </r>
  <r>
    <n v="2019"/>
    <x v="5"/>
    <n v="27"/>
    <x v="10"/>
    <n v="37223"/>
    <n v="28500"/>
    <n v="1.3060701754385964"/>
  </r>
  <r>
    <n v="2019"/>
    <x v="5"/>
    <n v="27"/>
    <x v="11"/>
    <n v="41182.5"/>
    <n v="28500"/>
    <n v="1.4450000000000001"/>
  </r>
  <r>
    <n v="2019"/>
    <x v="5"/>
    <n v="27"/>
    <x v="12"/>
    <n v="41454"/>
    <n v="28500"/>
    <n v="1.4545263157894737"/>
  </r>
  <r>
    <n v="2019"/>
    <x v="5"/>
    <n v="27"/>
    <x v="13"/>
    <n v="39492.5"/>
    <n v="28500"/>
    <n v="1.3857017543859649"/>
  </r>
  <r>
    <n v="2019"/>
    <x v="5"/>
    <n v="27"/>
    <x v="14"/>
    <n v="35299.5"/>
    <n v="28500"/>
    <n v="1.238578947368421"/>
  </r>
  <r>
    <n v="2019"/>
    <x v="5"/>
    <n v="27"/>
    <x v="15"/>
    <n v="28475.5"/>
    <n v="28500"/>
    <n v="0.999140350877193"/>
  </r>
  <r>
    <n v="2019"/>
    <x v="5"/>
    <n v="27"/>
    <x v="16"/>
    <n v="20010.5"/>
    <n v="28500"/>
    <n v="0.70212280701754382"/>
  </r>
  <r>
    <n v="2019"/>
    <x v="5"/>
    <n v="27"/>
    <x v="17"/>
    <n v="9174"/>
    <n v="28500"/>
    <n v="0.32189473684210529"/>
  </r>
  <r>
    <n v="2019"/>
    <x v="5"/>
    <n v="27"/>
    <x v="18"/>
    <n v="3706.5"/>
    <n v="28500"/>
    <n v="0.13005263157894736"/>
  </r>
  <r>
    <n v="2019"/>
    <x v="5"/>
    <n v="27"/>
    <x v="19"/>
    <n v="999"/>
    <n v="28500"/>
    <n v="3.505263157894737E-2"/>
  </r>
  <r>
    <n v="2019"/>
    <x v="5"/>
    <n v="27"/>
    <x v="20"/>
    <n v="0"/>
    <n v="28500"/>
    <n v="0"/>
  </r>
  <r>
    <n v="2019"/>
    <x v="5"/>
    <n v="27"/>
    <x v="21"/>
    <n v="0"/>
    <n v="28500"/>
    <n v="0"/>
  </r>
  <r>
    <n v="2019"/>
    <x v="5"/>
    <n v="27"/>
    <x v="22"/>
    <n v="0"/>
    <n v="28500"/>
    <n v="0"/>
  </r>
  <r>
    <n v="2019"/>
    <x v="5"/>
    <n v="27"/>
    <x v="23"/>
    <n v="0"/>
    <n v="28500"/>
    <n v="0"/>
  </r>
  <r>
    <n v="2019"/>
    <x v="5"/>
    <n v="28"/>
    <x v="0"/>
    <n v="0"/>
    <n v="28500"/>
    <n v="0"/>
  </r>
  <r>
    <n v="2019"/>
    <x v="5"/>
    <n v="28"/>
    <x v="1"/>
    <n v="0"/>
    <n v="28500"/>
    <n v="0"/>
  </r>
  <r>
    <n v="2019"/>
    <x v="5"/>
    <n v="28"/>
    <x v="2"/>
    <n v="0"/>
    <n v="28500"/>
    <n v="0"/>
  </r>
  <r>
    <n v="2019"/>
    <x v="5"/>
    <n v="28"/>
    <x v="3"/>
    <n v="0"/>
    <n v="28500"/>
    <n v="0"/>
  </r>
  <r>
    <n v="2019"/>
    <x v="5"/>
    <n v="28"/>
    <x v="4"/>
    <n v="0"/>
    <n v="28500"/>
    <n v="0"/>
  </r>
  <r>
    <n v="2019"/>
    <x v="5"/>
    <n v="28"/>
    <x v="5"/>
    <n v="1011.5"/>
    <n v="28500"/>
    <n v="3.5491228070175442E-2"/>
  </r>
  <r>
    <n v="2019"/>
    <x v="5"/>
    <n v="28"/>
    <x v="6"/>
    <n v="4191.5"/>
    <n v="28500"/>
    <n v="0.14707017543859649"/>
  </r>
  <r>
    <n v="2019"/>
    <x v="5"/>
    <n v="28"/>
    <x v="7"/>
    <n v="9429"/>
    <n v="28500"/>
    <n v="0.33084210526315788"/>
  </r>
  <r>
    <n v="2019"/>
    <x v="5"/>
    <n v="28"/>
    <x v="8"/>
    <n v="17250.5"/>
    <n v="28500"/>
    <n v="0.60528070175438597"/>
  </r>
  <r>
    <n v="2019"/>
    <x v="5"/>
    <n v="28"/>
    <x v="9"/>
    <n v="28476.5"/>
    <n v="28500"/>
    <n v="0.99917543859649127"/>
  </r>
  <r>
    <n v="2019"/>
    <x v="5"/>
    <n v="28"/>
    <x v="10"/>
    <n v="35998"/>
    <n v="28500"/>
    <n v="1.2630877192982457"/>
  </r>
  <r>
    <n v="2019"/>
    <x v="5"/>
    <n v="28"/>
    <x v="11"/>
    <n v="39701.5"/>
    <n v="28500"/>
    <n v="1.3930350877192983"/>
  </r>
  <r>
    <n v="2019"/>
    <x v="5"/>
    <n v="28"/>
    <x v="12"/>
    <n v="41051"/>
    <n v="28500"/>
    <n v="1.4403859649122808"/>
  </r>
  <r>
    <n v="2019"/>
    <x v="5"/>
    <n v="28"/>
    <x v="13"/>
    <n v="39020.5"/>
    <n v="28500"/>
    <n v="1.3691403508771929"/>
  </r>
  <r>
    <n v="2019"/>
    <x v="5"/>
    <n v="28"/>
    <x v="14"/>
    <n v="34639"/>
    <n v="28500"/>
    <n v="1.2154035087719299"/>
  </r>
  <r>
    <n v="2019"/>
    <x v="5"/>
    <n v="28"/>
    <x v="15"/>
    <n v="28420.5"/>
    <n v="28500"/>
    <n v="0.99721052631578944"/>
  </r>
  <r>
    <n v="2019"/>
    <x v="5"/>
    <n v="28"/>
    <x v="16"/>
    <n v="19857"/>
    <n v="28500"/>
    <n v="0.69673684210526321"/>
  </r>
  <r>
    <n v="2019"/>
    <x v="5"/>
    <n v="28"/>
    <x v="17"/>
    <n v="9704.5"/>
    <n v="28500"/>
    <n v="0.34050877192982454"/>
  </r>
  <r>
    <n v="2019"/>
    <x v="5"/>
    <n v="28"/>
    <x v="18"/>
    <n v="2687.5"/>
    <n v="28500"/>
    <n v="9.4298245614035089E-2"/>
  </r>
  <r>
    <n v="2019"/>
    <x v="5"/>
    <n v="28"/>
    <x v="19"/>
    <n v="1177.5"/>
    <n v="28500"/>
    <n v="4.1315789473684209E-2"/>
  </r>
  <r>
    <n v="2019"/>
    <x v="5"/>
    <n v="28"/>
    <x v="20"/>
    <n v="0"/>
    <n v="28500"/>
    <n v="0"/>
  </r>
  <r>
    <n v="2019"/>
    <x v="5"/>
    <n v="28"/>
    <x v="21"/>
    <n v="0"/>
    <n v="28500"/>
    <n v="0"/>
  </r>
  <r>
    <n v="2019"/>
    <x v="5"/>
    <n v="28"/>
    <x v="22"/>
    <n v="0"/>
    <n v="28500"/>
    <n v="0"/>
  </r>
  <r>
    <n v="2019"/>
    <x v="5"/>
    <n v="28"/>
    <x v="23"/>
    <n v="0"/>
    <n v="28500"/>
    <n v="0"/>
  </r>
  <r>
    <n v="2019"/>
    <x v="5"/>
    <n v="29"/>
    <x v="0"/>
    <n v="0"/>
    <n v="28500"/>
    <n v="0"/>
  </r>
  <r>
    <n v="2019"/>
    <x v="5"/>
    <n v="29"/>
    <x v="1"/>
    <n v="0"/>
    <n v="28500"/>
    <n v="0"/>
  </r>
  <r>
    <n v="2019"/>
    <x v="5"/>
    <n v="29"/>
    <x v="2"/>
    <n v="0"/>
    <n v="28500"/>
    <n v="0"/>
  </r>
  <r>
    <n v="2019"/>
    <x v="5"/>
    <n v="29"/>
    <x v="3"/>
    <n v="0"/>
    <n v="28500"/>
    <n v="0"/>
  </r>
  <r>
    <n v="2019"/>
    <x v="5"/>
    <n v="29"/>
    <x v="4"/>
    <n v="0"/>
    <n v="28500"/>
    <n v="0"/>
  </r>
  <r>
    <n v="2019"/>
    <x v="5"/>
    <n v="29"/>
    <x v="5"/>
    <n v="1580"/>
    <n v="28500"/>
    <n v="5.5438596491228072E-2"/>
  </r>
  <r>
    <n v="2019"/>
    <x v="5"/>
    <n v="29"/>
    <x v="6"/>
    <n v="4904.5"/>
    <n v="28500"/>
    <n v="0.17208771929824562"/>
  </r>
  <r>
    <n v="2019"/>
    <x v="5"/>
    <n v="29"/>
    <x v="7"/>
    <n v="12697.5"/>
    <n v="28500"/>
    <n v="0.44552631578947366"/>
  </r>
  <r>
    <n v="2019"/>
    <x v="5"/>
    <n v="29"/>
    <x v="8"/>
    <n v="22057"/>
    <n v="28500"/>
    <n v="0.77392982456140347"/>
  </r>
  <r>
    <n v="2019"/>
    <x v="5"/>
    <n v="29"/>
    <x v="9"/>
    <n v="29212.5"/>
    <n v="28500"/>
    <n v="1.0249999999999999"/>
  </r>
  <r>
    <n v="2019"/>
    <x v="5"/>
    <n v="29"/>
    <x v="10"/>
    <n v="35049.5"/>
    <n v="28500"/>
    <n v="1.2298070175438596"/>
  </r>
  <r>
    <n v="2019"/>
    <x v="5"/>
    <n v="29"/>
    <x v="11"/>
    <n v="37824"/>
    <n v="28500"/>
    <n v="1.3271578947368421"/>
  </r>
  <r>
    <n v="2019"/>
    <x v="5"/>
    <n v="29"/>
    <x v="12"/>
    <n v="39040"/>
    <n v="28500"/>
    <n v="1.3698245614035087"/>
  </r>
  <r>
    <n v="2019"/>
    <x v="5"/>
    <n v="29"/>
    <x v="13"/>
    <n v="37041.5"/>
    <n v="28500"/>
    <n v="1.2997017543859648"/>
  </r>
  <r>
    <n v="2019"/>
    <x v="5"/>
    <n v="29"/>
    <x v="14"/>
    <n v="32782"/>
    <n v="28500"/>
    <n v="1.1502456140350876"/>
  </r>
  <r>
    <n v="2019"/>
    <x v="5"/>
    <n v="29"/>
    <x v="15"/>
    <n v="27085.5"/>
    <n v="28500"/>
    <n v="0.95036842105263153"/>
  </r>
  <r>
    <n v="2019"/>
    <x v="5"/>
    <n v="29"/>
    <x v="16"/>
    <n v="19034"/>
    <n v="28500"/>
    <n v="0.66785964912280704"/>
  </r>
  <r>
    <n v="2019"/>
    <x v="5"/>
    <n v="29"/>
    <x v="17"/>
    <n v="9598.5"/>
    <n v="28500"/>
    <n v="0.33678947368421053"/>
  </r>
  <r>
    <n v="2019"/>
    <x v="5"/>
    <n v="29"/>
    <x v="18"/>
    <n v="2743.5"/>
    <n v="28500"/>
    <n v="9.6263157894736842E-2"/>
  </r>
  <r>
    <n v="2019"/>
    <x v="5"/>
    <n v="29"/>
    <x v="19"/>
    <n v="1061"/>
    <n v="28500"/>
    <n v="3.7228070175438596E-2"/>
  </r>
  <r>
    <n v="2019"/>
    <x v="5"/>
    <n v="29"/>
    <x v="20"/>
    <n v="0"/>
    <n v="28500"/>
    <n v="0"/>
  </r>
  <r>
    <n v="2019"/>
    <x v="5"/>
    <n v="29"/>
    <x v="21"/>
    <n v="0"/>
    <n v="28500"/>
    <n v="0"/>
  </r>
  <r>
    <n v="2019"/>
    <x v="5"/>
    <n v="29"/>
    <x v="22"/>
    <n v="0"/>
    <n v="28500"/>
    <n v="0"/>
  </r>
  <r>
    <n v="2019"/>
    <x v="5"/>
    <n v="29"/>
    <x v="23"/>
    <n v="0"/>
    <n v="28500"/>
    <n v="0"/>
  </r>
  <r>
    <n v="2019"/>
    <x v="5"/>
    <n v="30"/>
    <x v="0"/>
    <n v="0"/>
    <n v="28500"/>
    <n v="0"/>
  </r>
  <r>
    <n v="2019"/>
    <x v="5"/>
    <n v="30"/>
    <x v="1"/>
    <n v="0"/>
    <n v="28500"/>
    <n v="0"/>
  </r>
  <r>
    <n v="2019"/>
    <x v="5"/>
    <n v="30"/>
    <x v="2"/>
    <n v="0"/>
    <n v="28500"/>
    <n v="0"/>
  </r>
  <r>
    <n v="2019"/>
    <x v="5"/>
    <n v="30"/>
    <x v="3"/>
    <n v="0"/>
    <n v="28500"/>
    <n v="0"/>
  </r>
  <r>
    <n v="2019"/>
    <x v="5"/>
    <n v="30"/>
    <x v="4"/>
    <n v="0"/>
    <n v="28500"/>
    <n v="0"/>
  </r>
  <r>
    <n v="2019"/>
    <x v="5"/>
    <n v="30"/>
    <x v="5"/>
    <n v="1545.5"/>
    <n v="28500"/>
    <n v="5.4228070175438597E-2"/>
  </r>
  <r>
    <n v="2019"/>
    <x v="5"/>
    <n v="30"/>
    <x v="6"/>
    <n v="3814.5"/>
    <n v="28500"/>
    <n v="0.1338421052631579"/>
  </r>
  <r>
    <n v="2019"/>
    <x v="5"/>
    <n v="30"/>
    <x v="7"/>
    <n v="12810.5"/>
    <n v="28500"/>
    <n v="0.44949122807017544"/>
  </r>
  <r>
    <n v="2019"/>
    <x v="5"/>
    <n v="30"/>
    <x v="8"/>
    <n v="21951"/>
    <n v="28500"/>
    <n v="0.77021052631578946"/>
  </r>
  <r>
    <n v="2019"/>
    <x v="5"/>
    <n v="30"/>
    <x v="9"/>
    <n v="25243.5"/>
    <n v="28500"/>
    <n v="0.88573684210526316"/>
  </r>
  <r>
    <n v="2019"/>
    <x v="5"/>
    <n v="30"/>
    <x v="10"/>
    <n v="34436"/>
    <n v="28500"/>
    <n v="1.208280701754386"/>
  </r>
  <r>
    <n v="2019"/>
    <x v="5"/>
    <n v="30"/>
    <x v="11"/>
    <n v="38420"/>
    <n v="28500"/>
    <n v="1.3480701754385964"/>
  </r>
  <r>
    <n v="2019"/>
    <x v="5"/>
    <n v="30"/>
    <x v="12"/>
    <n v="33286.5"/>
    <n v="28500"/>
    <n v="1.1679473684210526"/>
  </r>
  <r>
    <n v="2019"/>
    <x v="5"/>
    <n v="30"/>
    <x v="13"/>
    <n v="36522.5"/>
    <n v="28500"/>
    <n v="1.2814912280701753"/>
  </r>
  <r>
    <n v="2019"/>
    <x v="5"/>
    <n v="30"/>
    <x v="14"/>
    <n v="24359"/>
    <n v="28500"/>
    <n v="0.85470175438596496"/>
  </r>
  <r>
    <n v="2019"/>
    <x v="5"/>
    <n v="30"/>
    <x v="15"/>
    <n v="21728.5"/>
    <n v="28500"/>
    <n v="0.76240350877192986"/>
  </r>
  <r>
    <n v="2019"/>
    <x v="5"/>
    <n v="30"/>
    <x v="16"/>
    <n v="16040"/>
    <n v="28500"/>
    <n v="0.56280701754385964"/>
  </r>
  <r>
    <n v="2019"/>
    <x v="5"/>
    <n v="30"/>
    <x v="17"/>
    <n v="9789"/>
    <n v="28500"/>
    <n v="0.34347368421052632"/>
  </r>
  <r>
    <n v="2019"/>
    <x v="5"/>
    <n v="30"/>
    <x v="18"/>
    <n v="3537"/>
    <n v="28500"/>
    <n v="0.12410526315789473"/>
  </r>
  <r>
    <n v="2019"/>
    <x v="5"/>
    <n v="30"/>
    <x v="19"/>
    <n v="1223"/>
    <n v="28500"/>
    <n v="4.2912280701754388E-2"/>
  </r>
  <r>
    <n v="2019"/>
    <x v="5"/>
    <n v="30"/>
    <x v="20"/>
    <n v="0"/>
    <n v="28500"/>
    <n v="0"/>
  </r>
  <r>
    <n v="2019"/>
    <x v="5"/>
    <n v="30"/>
    <x v="21"/>
    <n v="0"/>
    <n v="28500"/>
    <n v="0"/>
  </r>
  <r>
    <n v="2019"/>
    <x v="5"/>
    <n v="30"/>
    <x v="22"/>
    <n v="0"/>
    <n v="28500"/>
    <n v="0"/>
  </r>
  <r>
    <n v="2019"/>
    <x v="5"/>
    <n v="30"/>
    <x v="23"/>
    <n v="0"/>
    <n v="28500"/>
    <n v="0"/>
  </r>
  <r>
    <n v="2019"/>
    <x v="6"/>
    <n v="1"/>
    <x v="0"/>
    <n v="0"/>
    <n v="28500"/>
    <n v="0"/>
  </r>
  <r>
    <n v="2019"/>
    <x v="6"/>
    <n v="1"/>
    <x v="1"/>
    <n v="0"/>
    <n v="28500"/>
    <n v="0"/>
  </r>
  <r>
    <n v="2019"/>
    <x v="6"/>
    <n v="1"/>
    <x v="2"/>
    <n v="0"/>
    <n v="28500"/>
    <n v="0"/>
  </r>
  <r>
    <n v="2019"/>
    <x v="6"/>
    <n v="1"/>
    <x v="3"/>
    <n v="0"/>
    <n v="28500"/>
    <n v="0"/>
  </r>
  <r>
    <n v="2019"/>
    <x v="6"/>
    <n v="1"/>
    <x v="4"/>
    <n v="0"/>
    <n v="28500"/>
    <n v="0"/>
  </r>
  <r>
    <n v="2019"/>
    <x v="6"/>
    <n v="1"/>
    <x v="5"/>
    <n v="1395.5"/>
    <n v="28500"/>
    <n v="4.8964912280701753E-2"/>
  </r>
  <r>
    <n v="2019"/>
    <x v="6"/>
    <n v="1"/>
    <x v="6"/>
    <n v="3742.5"/>
    <n v="28500"/>
    <n v="0.13131578947368422"/>
  </r>
  <r>
    <n v="2019"/>
    <x v="6"/>
    <n v="1"/>
    <x v="7"/>
    <n v="12189"/>
    <n v="28500"/>
    <n v="0.42768421052631578"/>
  </r>
  <r>
    <n v="2019"/>
    <x v="6"/>
    <n v="1"/>
    <x v="8"/>
    <n v="16988"/>
    <n v="28500"/>
    <n v="0.59607017543859653"/>
  </r>
  <r>
    <n v="2019"/>
    <x v="6"/>
    <n v="1"/>
    <x v="9"/>
    <n v="30112"/>
    <n v="28500"/>
    <n v="1.056561403508772"/>
  </r>
  <r>
    <n v="2019"/>
    <x v="6"/>
    <n v="1"/>
    <x v="10"/>
    <n v="34341.5"/>
    <n v="28500"/>
    <n v="1.2049649122807018"/>
  </r>
  <r>
    <n v="2019"/>
    <x v="6"/>
    <n v="1"/>
    <x v="11"/>
    <n v="35460.5"/>
    <n v="28500"/>
    <n v="1.2442280701754387"/>
  </r>
  <r>
    <n v="2019"/>
    <x v="6"/>
    <n v="1"/>
    <x v="12"/>
    <n v="39815"/>
    <n v="28500"/>
    <n v="1.397017543859649"/>
  </r>
  <r>
    <n v="2019"/>
    <x v="6"/>
    <n v="1"/>
    <x v="13"/>
    <n v="37978.5"/>
    <n v="28500"/>
    <n v="1.3325789473684211"/>
  </r>
  <r>
    <n v="2019"/>
    <x v="6"/>
    <n v="1"/>
    <x v="14"/>
    <n v="34329"/>
    <n v="28500"/>
    <n v="1.2045263157894737"/>
  </r>
  <r>
    <n v="2019"/>
    <x v="6"/>
    <n v="1"/>
    <x v="15"/>
    <n v="23375.5"/>
    <n v="28500"/>
    <n v="0.82019298245614036"/>
  </r>
  <r>
    <n v="2019"/>
    <x v="6"/>
    <n v="1"/>
    <x v="16"/>
    <n v="7172.5"/>
    <n v="28500"/>
    <n v="0.25166666666666665"/>
  </r>
  <r>
    <n v="2019"/>
    <x v="6"/>
    <n v="1"/>
    <x v="17"/>
    <n v="4719"/>
    <n v="28500"/>
    <n v="0.16557894736842105"/>
  </r>
  <r>
    <n v="2019"/>
    <x v="6"/>
    <n v="1"/>
    <x v="18"/>
    <n v="3200.5"/>
    <n v="28500"/>
    <n v="0.11229824561403509"/>
  </r>
  <r>
    <n v="2019"/>
    <x v="6"/>
    <n v="1"/>
    <x v="19"/>
    <n v="951.5"/>
    <n v="28500"/>
    <n v="3.33859649122807E-2"/>
  </r>
  <r>
    <n v="2019"/>
    <x v="6"/>
    <n v="1"/>
    <x v="20"/>
    <n v="0"/>
    <n v="28500"/>
    <n v="0"/>
  </r>
  <r>
    <n v="2019"/>
    <x v="6"/>
    <n v="1"/>
    <x v="21"/>
    <n v="0"/>
    <n v="28500"/>
    <n v="0"/>
  </r>
  <r>
    <n v="2019"/>
    <x v="6"/>
    <n v="1"/>
    <x v="22"/>
    <n v="0"/>
    <n v="28500"/>
    <n v="0"/>
  </r>
  <r>
    <n v="2019"/>
    <x v="6"/>
    <n v="1"/>
    <x v="23"/>
    <n v="0"/>
    <n v="28500"/>
    <n v="0"/>
  </r>
  <r>
    <n v="2019"/>
    <x v="6"/>
    <n v="2"/>
    <x v="0"/>
    <n v="0"/>
    <n v="28500"/>
    <n v="0"/>
  </r>
  <r>
    <n v="2019"/>
    <x v="6"/>
    <n v="2"/>
    <x v="1"/>
    <n v="0"/>
    <n v="28500"/>
    <n v="0"/>
  </r>
  <r>
    <n v="2019"/>
    <x v="6"/>
    <n v="2"/>
    <x v="2"/>
    <n v="0"/>
    <n v="28500"/>
    <n v="0"/>
  </r>
  <r>
    <n v="2019"/>
    <x v="6"/>
    <n v="2"/>
    <x v="3"/>
    <n v="0"/>
    <n v="28500"/>
    <n v="0"/>
  </r>
  <r>
    <n v="2019"/>
    <x v="6"/>
    <n v="2"/>
    <x v="4"/>
    <n v="0"/>
    <n v="28500"/>
    <n v="0"/>
  </r>
  <r>
    <n v="2019"/>
    <x v="6"/>
    <n v="2"/>
    <x v="5"/>
    <n v="1411"/>
    <n v="28500"/>
    <n v="4.9508771929824565E-2"/>
  </r>
  <r>
    <n v="2019"/>
    <x v="6"/>
    <n v="2"/>
    <x v="6"/>
    <n v="3685.5"/>
    <n v="28500"/>
    <n v="0.12931578947368422"/>
  </r>
  <r>
    <n v="2019"/>
    <x v="6"/>
    <n v="2"/>
    <x v="7"/>
    <n v="13025"/>
    <n v="28500"/>
    <n v="0.4570175438596491"/>
  </r>
  <r>
    <n v="2019"/>
    <x v="6"/>
    <n v="2"/>
    <x v="8"/>
    <n v="22921.5"/>
    <n v="28500"/>
    <n v="0.80426315789473679"/>
  </r>
  <r>
    <n v="2019"/>
    <x v="6"/>
    <n v="2"/>
    <x v="9"/>
    <n v="28878"/>
    <n v="28500"/>
    <n v="1.0132631578947369"/>
  </r>
  <r>
    <n v="2019"/>
    <x v="6"/>
    <n v="2"/>
    <x v="10"/>
    <n v="18930"/>
    <n v="28500"/>
    <n v="0.66421052631578947"/>
  </r>
  <r>
    <n v="2019"/>
    <x v="6"/>
    <n v="2"/>
    <x v="11"/>
    <n v="22297"/>
    <n v="28500"/>
    <n v="0.78235087719298246"/>
  </r>
  <r>
    <n v="2019"/>
    <x v="6"/>
    <n v="2"/>
    <x v="12"/>
    <n v="22982"/>
    <n v="28500"/>
    <n v="0.80638596491228065"/>
  </r>
  <r>
    <n v="2019"/>
    <x v="6"/>
    <n v="2"/>
    <x v="13"/>
    <n v="16120"/>
    <n v="28500"/>
    <n v="0.56561403508771935"/>
  </r>
  <r>
    <n v="2019"/>
    <x v="6"/>
    <n v="2"/>
    <x v="14"/>
    <n v="19867"/>
    <n v="28500"/>
    <n v="0.69708771929824564"/>
  </r>
  <r>
    <n v="2019"/>
    <x v="6"/>
    <n v="2"/>
    <x v="15"/>
    <n v="15726.5"/>
    <n v="28500"/>
    <n v="0.55180701754385963"/>
  </r>
  <r>
    <n v="2019"/>
    <x v="6"/>
    <n v="2"/>
    <x v="16"/>
    <n v="9944.5"/>
    <n v="28500"/>
    <n v="0.34892982456140353"/>
  </r>
  <r>
    <n v="2019"/>
    <x v="6"/>
    <n v="2"/>
    <x v="17"/>
    <n v="8854.5"/>
    <n v="28500"/>
    <n v="0.31068421052631578"/>
  </r>
  <r>
    <n v="2019"/>
    <x v="6"/>
    <n v="2"/>
    <x v="18"/>
    <n v="3782.5"/>
    <n v="28500"/>
    <n v="0.13271929824561404"/>
  </r>
  <r>
    <n v="2019"/>
    <x v="6"/>
    <n v="2"/>
    <x v="19"/>
    <n v="1017"/>
    <n v="28500"/>
    <n v="3.568421052631579E-2"/>
  </r>
  <r>
    <n v="2019"/>
    <x v="6"/>
    <n v="2"/>
    <x v="20"/>
    <n v="0"/>
    <n v="28500"/>
    <n v="0"/>
  </r>
  <r>
    <n v="2019"/>
    <x v="6"/>
    <n v="2"/>
    <x v="21"/>
    <n v="0"/>
    <n v="28500"/>
    <n v="0"/>
  </r>
  <r>
    <n v="2019"/>
    <x v="6"/>
    <n v="2"/>
    <x v="22"/>
    <n v="0"/>
    <n v="28500"/>
    <n v="0"/>
  </r>
  <r>
    <n v="2019"/>
    <x v="6"/>
    <n v="2"/>
    <x v="23"/>
    <n v="0"/>
    <n v="28500"/>
    <n v="0"/>
  </r>
  <r>
    <n v="2019"/>
    <x v="6"/>
    <n v="3"/>
    <x v="0"/>
    <n v="0"/>
    <n v="28500"/>
    <n v="0"/>
  </r>
  <r>
    <n v="2019"/>
    <x v="6"/>
    <n v="3"/>
    <x v="1"/>
    <n v="0"/>
    <n v="28500"/>
    <n v="0"/>
  </r>
  <r>
    <n v="2019"/>
    <x v="6"/>
    <n v="3"/>
    <x v="2"/>
    <n v="0"/>
    <n v="28500"/>
    <n v="0"/>
  </r>
  <r>
    <n v="2019"/>
    <x v="6"/>
    <n v="3"/>
    <x v="3"/>
    <n v="0"/>
    <n v="28500"/>
    <n v="0"/>
  </r>
  <r>
    <n v="2019"/>
    <x v="6"/>
    <n v="3"/>
    <x v="4"/>
    <n v="0"/>
    <n v="28500"/>
    <n v="0"/>
  </r>
  <r>
    <n v="2019"/>
    <x v="6"/>
    <n v="3"/>
    <x v="5"/>
    <n v="1803.5"/>
    <n v="28500"/>
    <n v="6.3280701754385965E-2"/>
  </r>
  <r>
    <n v="2019"/>
    <x v="6"/>
    <n v="3"/>
    <x v="6"/>
    <n v="3762.5"/>
    <n v="28500"/>
    <n v="0.13201754385964912"/>
  </r>
  <r>
    <n v="2019"/>
    <x v="6"/>
    <n v="3"/>
    <x v="7"/>
    <n v="12690"/>
    <n v="28500"/>
    <n v="0.44526315789473686"/>
  </r>
  <r>
    <n v="2019"/>
    <x v="6"/>
    <n v="3"/>
    <x v="8"/>
    <n v="22399"/>
    <n v="28500"/>
    <n v="0.78592982456140348"/>
  </r>
  <r>
    <n v="2019"/>
    <x v="6"/>
    <n v="3"/>
    <x v="9"/>
    <n v="23474.5"/>
    <n v="28500"/>
    <n v="0.82366666666666666"/>
  </r>
  <r>
    <n v="2019"/>
    <x v="6"/>
    <n v="3"/>
    <x v="10"/>
    <n v="27910"/>
    <n v="28500"/>
    <n v="0.97929824561403511"/>
  </r>
  <r>
    <n v="2019"/>
    <x v="6"/>
    <n v="3"/>
    <x v="11"/>
    <n v="28690.5"/>
    <n v="28500"/>
    <n v="1.0066842105263158"/>
  </r>
  <r>
    <n v="2019"/>
    <x v="6"/>
    <n v="3"/>
    <x v="12"/>
    <n v="21585.5"/>
    <n v="28500"/>
    <n v="0.75738596491228072"/>
  </r>
  <r>
    <n v="2019"/>
    <x v="6"/>
    <n v="3"/>
    <x v="13"/>
    <n v="20342.5"/>
    <n v="28500"/>
    <n v="0.71377192982456139"/>
  </r>
  <r>
    <n v="2019"/>
    <x v="6"/>
    <n v="3"/>
    <x v="14"/>
    <n v="27885.5"/>
    <n v="28500"/>
    <n v="0.97843859649122811"/>
  </r>
  <r>
    <n v="2019"/>
    <x v="6"/>
    <n v="3"/>
    <x v="15"/>
    <n v="26650.5"/>
    <n v="28500"/>
    <n v="0.93510526315789477"/>
  </r>
  <r>
    <n v="2019"/>
    <x v="6"/>
    <n v="3"/>
    <x v="16"/>
    <n v="20415.5"/>
    <n v="28500"/>
    <n v="0.71633333333333338"/>
  </r>
  <r>
    <n v="2019"/>
    <x v="6"/>
    <n v="3"/>
    <x v="17"/>
    <n v="10213"/>
    <n v="28500"/>
    <n v="0.35835087719298248"/>
  </r>
  <r>
    <n v="2019"/>
    <x v="6"/>
    <n v="3"/>
    <x v="18"/>
    <n v="2196.5"/>
    <n v="28500"/>
    <n v="7.7070175438596497E-2"/>
  </r>
  <r>
    <n v="2019"/>
    <x v="6"/>
    <n v="3"/>
    <x v="19"/>
    <n v="867.5"/>
    <n v="28500"/>
    <n v="3.043859649122807E-2"/>
  </r>
  <r>
    <n v="2019"/>
    <x v="6"/>
    <n v="3"/>
    <x v="20"/>
    <n v="0"/>
    <n v="28500"/>
    <n v="0"/>
  </r>
  <r>
    <n v="2019"/>
    <x v="6"/>
    <n v="3"/>
    <x v="21"/>
    <n v="0"/>
    <n v="28500"/>
    <n v="0"/>
  </r>
  <r>
    <n v="2019"/>
    <x v="6"/>
    <n v="3"/>
    <x v="22"/>
    <n v="0"/>
    <n v="28500"/>
    <n v="0"/>
  </r>
  <r>
    <n v="2019"/>
    <x v="6"/>
    <n v="3"/>
    <x v="23"/>
    <n v="0"/>
    <n v="28500"/>
    <n v="0"/>
  </r>
  <r>
    <n v="2019"/>
    <x v="6"/>
    <n v="4"/>
    <x v="0"/>
    <n v="0"/>
    <n v="28500"/>
    <n v="0"/>
  </r>
  <r>
    <n v="2019"/>
    <x v="6"/>
    <n v="4"/>
    <x v="1"/>
    <n v="0"/>
    <n v="28500"/>
    <n v="0"/>
  </r>
  <r>
    <n v="2019"/>
    <x v="6"/>
    <n v="4"/>
    <x v="2"/>
    <n v="0"/>
    <n v="28500"/>
    <n v="0"/>
  </r>
  <r>
    <n v="2019"/>
    <x v="6"/>
    <n v="4"/>
    <x v="3"/>
    <n v="0"/>
    <n v="28500"/>
    <n v="0"/>
  </r>
  <r>
    <n v="2019"/>
    <x v="6"/>
    <n v="4"/>
    <x v="4"/>
    <n v="0"/>
    <n v="28500"/>
    <n v="0"/>
  </r>
  <r>
    <n v="2019"/>
    <x v="6"/>
    <n v="4"/>
    <x v="5"/>
    <n v="1349.5"/>
    <n v="28500"/>
    <n v="4.7350877192982456E-2"/>
  </r>
  <r>
    <n v="2019"/>
    <x v="6"/>
    <n v="4"/>
    <x v="6"/>
    <n v="3450"/>
    <n v="28500"/>
    <n v="0.12105263157894737"/>
  </r>
  <r>
    <n v="2019"/>
    <x v="6"/>
    <n v="4"/>
    <x v="7"/>
    <n v="12752"/>
    <n v="28500"/>
    <n v="0.44743859649122808"/>
  </r>
  <r>
    <n v="2019"/>
    <x v="6"/>
    <n v="4"/>
    <x v="8"/>
    <n v="22727.5"/>
    <n v="28500"/>
    <n v="0.7974561403508772"/>
  </r>
  <r>
    <n v="2019"/>
    <x v="6"/>
    <n v="4"/>
    <x v="9"/>
    <n v="30638.5"/>
    <n v="28500"/>
    <n v="1.0750350877192982"/>
  </r>
  <r>
    <n v="2019"/>
    <x v="6"/>
    <n v="4"/>
    <x v="10"/>
    <n v="35629"/>
    <n v="28500"/>
    <n v="1.2501403508771929"/>
  </r>
  <r>
    <n v="2019"/>
    <x v="6"/>
    <n v="4"/>
    <x v="11"/>
    <n v="37651.5"/>
    <n v="28500"/>
    <n v="1.3211052631578948"/>
  </r>
  <r>
    <n v="2019"/>
    <x v="6"/>
    <n v="4"/>
    <x v="12"/>
    <n v="37903"/>
    <n v="28500"/>
    <n v="1.3299298245614035"/>
  </r>
  <r>
    <n v="2019"/>
    <x v="6"/>
    <n v="4"/>
    <x v="13"/>
    <n v="37149.5"/>
    <n v="28500"/>
    <n v="1.3034912280701754"/>
  </r>
  <r>
    <n v="2019"/>
    <x v="6"/>
    <n v="4"/>
    <x v="14"/>
    <n v="32847"/>
    <n v="28500"/>
    <n v="1.1525263157894736"/>
  </r>
  <r>
    <n v="2019"/>
    <x v="6"/>
    <n v="4"/>
    <x v="15"/>
    <n v="27196"/>
    <n v="28500"/>
    <n v="0.95424561403508767"/>
  </r>
  <r>
    <n v="2019"/>
    <x v="6"/>
    <n v="4"/>
    <x v="16"/>
    <n v="17795.5"/>
    <n v="28500"/>
    <n v="0.62440350877192985"/>
  </r>
  <r>
    <n v="2019"/>
    <x v="6"/>
    <n v="4"/>
    <x v="17"/>
    <n v="9606"/>
    <n v="28500"/>
    <n v="0.33705263157894738"/>
  </r>
  <r>
    <n v="2019"/>
    <x v="6"/>
    <n v="4"/>
    <x v="18"/>
    <n v="3639"/>
    <n v="28500"/>
    <n v="0.12768421052631579"/>
  </r>
  <r>
    <n v="2019"/>
    <x v="6"/>
    <n v="4"/>
    <x v="19"/>
    <n v="449"/>
    <n v="28500"/>
    <n v="1.5754385964912281E-2"/>
  </r>
  <r>
    <n v="2019"/>
    <x v="6"/>
    <n v="4"/>
    <x v="20"/>
    <n v="0"/>
    <n v="28500"/>
    <n v="0"/>
  </r>
  <r>
    <n v="2019"/>
    <x v="6"/>
    <n v="4"/>
    <x v="21"/>
    <n v="0"/>
    <n v="28500"/>
    <n v="0"/>
  </r>
  <r>
    <n v="2019"/>
    <x v="6"/>
    <n v="4"/>
    <x v="22"/>
    <n v="0"/>
    <n v="28500"/>
    <n v="0"/>
  </r>
  <r>
    <n v="2019"/>
    <x v="6"/>
    <n v="4"/>
    <x v="23"/>
    <n v="0"/>
    <n v="28500"/>
    <n v="0"/>
  </r>
  <r>
    <n v="2019"/>
    <x v="6"/>
    <n v="5"/>
    <x v="0"/>
    <n v="0"/>
    <n v="28500"/>
    <n v="0"/>
  </r>
  <r>
    <n v="2019"/>
    <x v="6"/>
    <n v="5"/>
    <x v="1"/>
    <n v="0"/>
    <n v="28500"/>
    <n v="0"/>
  </r>
  <r>
    <n v="2019"/>
    <x v="6"/>
    <n v="5"/>
    <x v="2"/>
    <n v="0"/>
    <n v="28500"/>
    <n v="0"/>
  </r>
  <r>
    <n v="2019"/>
    <x v="6"/>
    <n v="5"/>
    <x v="3"/>
    <n v="0"/>
    <n v="28500"/>
    <n v="0"/>
  </r>
  <r>
    <n v="2019"/>
    <x v="6"/>
    <n v="5"/>
    <x v="4"/>
    <n v="0"/>
    <n v="28500"/>
    <n v="0"/>
  </r>
  <r>
    <n v="2019"/>
    <x v="6"/>
    <n v="5"/>
    <x v="5"/>
    <n v="1518.5"/>
    <n v="28500"/>
    <n v="5.3280701754385963E-2"/>
  </r>
  <r>
    <n v="2019"/>
    <x v="6"/>
    <n v="5"/>
    <x v="6"/>
    <n v="4341"/>
    <n v="28500"/>
    <n v="0.15231578947368421"/>
  </r>
  <r>
    <n v="2019"/>
    <x v="6"/>
    <n v="5"/>
    <x v="7"/>
    <n v="12404.5"/>
    <n v="28500"/>
    <n v="0.43524561403508771"/>
  </r>
  <r>
    <n v="2019"/>
    <x v="6"/>
    <n v="5"/>
    <x v="8"/>
    <n v="21425.5"/>
    <n v="28500"/>
    <n v="0.75177192982456142"/>
  </r>
  <r>
    <n v="2019"/>
    <x v="6"/>
    <n v="5"/>
    <x v="9"/>
    <n v="29196"/>
    <n v="28500"/>
    <n v="1.0244210526315789"/>
  </r>
  <r>
    <n v="2019"/>
    <x v="6"/>
    <n v="5"/>
    <x v="10"/>
    <n v="34378"/>
    <n v="28500"/>
    <n v="1.2062456140350877"/>
  </r>
  <r>
    <n v="2019"/>
    <x v="6"/>
    <n v="5"/>
    <x v="11"/>
    <n v="32139"/>
    <n v="28500"/>
    <n v="1.1276842105263158"/>
  </r>
  <r>
    <n v="2019"/>
    <x v="6"/>
    <n v="5"/>
    <x v="12"/>
    <n v="38504"/>
    <n v="28500"/>
    <n v="1.3510175438596492"/>
  </r>
  <r>
    <n v="2019"/>
    <x v="6"/>
    <n v="5"/>
    <x v="13"/>
    <n v="33001"/>
    <n v="28500"/>
    <n v="1.1579298245614036"/>
  </r>
  <r>
    <n v="2019"/>
    <x v="6"/>
    <n v="5"/>
    <x v="14"/>
    <n v="33635.5"/>
    <n v="28500"/>
    <n v="1.1801929824561403"/>
  </r>
  <r>
    <n v="2019"/>
    <x v="6"/>
    <n v="5"/>
    <x v="15"/>
    <n v="27325"/>
    <n v="28500"/>
    <n v="0.95877192982456139"/>
  </r>
  <r>
    <n v="2019"/>
    <x v="6"/>
    <n v="5"/>
    <x v="16"/>
    <n v="13566"/>
    <n v="28500"/>
    <n v="0.47599999999999998"/>
  </r>
  <r>
    <n v="2019"/>
    <x v="6"/>
    <n v="5"/>
    <x v="17"/>
    <n v="5732.5"/>
    <n v="28500"/>
    <n v="0.20114035087719298"/>
  </r>
  <r>
    <n v="2019"/>
    <x v="6"/>
    <n v="5"/>
    <x v="18"/>
    <n v="2784"/>
    <n v="28500"/>
    <n v="9.768421052631579E-2"/>
  </r>
  <r>
    <n v="2019"/>
    <x v="6"/>
    <n v="5"/>
    <x v="19"/>
    <n v="961.5"/>
    <n v="28500"/>
    <n v="3.3736842105263155E-2"/>
  </r>
  <r>
    <n v="2019"/>
    <x v="6"/>
    <n v="5"/>
    <x v="20"/>
    <n v="0"/>
    <n v="28500"/>
    <n v="0"/>
  </r>
  <r>
    <n v="2019"/>
    <x v="6"/>
    <n v="5"/>
    <x v="21"/>
    <n v="0"/>
    <n v="28500"/>
    <n v="0"/>
  </r>
  <r>
    <n v="2019"/>
    <x v="6"/>
    <n v="5"/>
    <x v="22"/>
    <n v="0"/>
    <n v="28500"/>
    <n v="0"/>
  </r>
  <r>
    <n v="2019"/>
    <x v="6"/>
    <n v="5"/>
    <x v="23"/>
    <n v="0"/>
    <n v="28500"/>
    <n v="0"/>
  </r>
  <r>
    <n v="2019"/>
    <x v="6"/>
    <n v="6"/>
    <x v="0"/>
    <n v="0"/>
    <n v="28500"/>
    <n v="0"/>
  </r>
  <r>
    <n v="2019"/>
    <x v="6"/>
    <n v="6"/>
    <x v="1"/>
    <n v="0"/>
    <n v="28500"/>
    <n v="0"/>
  </r>
  <r>
    <n v="2019"/>
    <x v="6"/>
    <n v="6"/>
    <x v="2"/>
    <n v="0"/>
    <n v="28500"/>
    <n v="0"/>
  </r>
  <r>
    <n v="2019"/>
    <x v="6"/>
    <n v="6"/>
    <x v="3"/>
    <n v="0"/>
    <n v="28500"/>
    <n v="0"/>
  </r>
  <r>
    <n v="2019"/>
    <x v="6"/>
    <n v="6"/>
    <x v="4"/>
    <n v="0"/>
    <n v="28500"/>
    <n v="0"/>
  </r>
  <r>
    <n v="2019"/>
    <x v="6"/>
    <n v="6"/>
    <x v="5"/>
    <n v="1683"/>
    <n v="28500"/>
    <n v="5.905263157894737E-2"/>
  </r>
  <r>
    <n v="2019"/>
    <x v="6"/>
    <n v="6"/>
    <x v="6"/>
    <n v="3367.5"/>
    <n v="28500"/>
    <n v="0.1181578947368421"/>
  </r>
  <r>
    <n v="2019"/>
    <x v="6"/>
    <n v="6"/>
    <x v="7"/>
    <n v="12134"/>
    <n v="28500"/>
    <n v="0.42575438596491227"/>
  </r>
  <r>
    <n v="2019"/>
    <x v="6"/>
    <n v="6"/>
    <x v="8"/>
    <n v="21913"/>
    <n v="28500"/>
    <n v="0.76887719298245616"/>
  </r>
  <r>
    <n v="2019"/>
    <x v="6"/>
    <n v="6"/>
    <x v="9"/>
    <n v="28352.5"/>
    <n v="28500"/>
    <n v="0.99482456140350872"/>
  </r>
  <r>
    <n v="2019"/>
    <x v="6"/>
    <n v="6"/>
    <x v="10"/>
    <n v="29297.5"/>
    <n v="28500"/>
    <n v="1.0279824561403508"/>
  </r>
  <r>
    <n v="2019"/>
    <x v="6"/>
    <n v="6"/>
    <x v="11"/>
    <n v="7469"/>
    <n v="28500"/>
    <n v="0.26207017543859651"/>
  </r>
  <r>
    <n v="2019"/>
    <x v="6"/>
    <n v="6"/>
    <x v="12"/>
    <n v="22799"/>
    <n v="28500"/>
    <n v="0.79996491228070177"/>
  </r>
  <r>
    <n v="2019"/>
    <x v="6"/>
    <n v="6"/>
    <x v="13"/>
    <n v="13378.5"/>
    <n v="28500"/>
    <n v="0.46942105263157896"/>
  </r>
  <r>
    <n v="2019"/>
    <x v="6"/>
    <n v="6"/>
    <x v="14"/>
    <n v="16279"/>
    <n v="28500"/>
    <n v="0.57119298245614036"/>
  </r>
  <r>
    <n v="2019"/>
    <x v="6"/>
    <n v="6"/>
    <x v="15"/>
    <n v="18467"/>
    <n v="28500"/>
    <n v="0.64796491228070174"/>
  </r>
  <r>
    <n v="2019"/>
    <x v="6"/>
    <n v="6"/>
    <x v="16"/>
    <n v="3138.5"/>
    <n v="28500"/>
    <n v="0.11012280701754386"/>
  </r>
  <r>
    <n v="2019"/>
    <x v="6"/>
    <n v="6"/>
    <x v="17"/>
    <n v="4550.5"/>
    <n v="28500"/>
    <n v="0.15966666666666668"/>
  </r>
  <r>
    <n v="2019"/>
    <x v="6"/>
    <n v="6"/>
    <x v="18"/>
    <n v="1396.5"/>
    <n v="28500"/>
    <n v="4.9000000000000002E-2"/>
  </r>
  <r>
    <n v="2019"/>
    <x v="6"/>
    <n v="6"/>
    <x v="19"/>
    <n v="18"/>
    <n v="28500"/>
    <n v="6.3157894736842106E-4"/>
  </r>
  <r>
    <n v="2019"/>
    <x v="6"/>
    <n v="6"/>
    <x v="20"/>
    <n v="0"/>
    <n v="28500"/>
    <n v="0"/>
  </r>
  <r>
    <n v="2019"/>
    <x v="6"/>
    <n v="6"/>
    <x v="21"/>
    <n v="0"/>
    <n v="28500"/>
    <n v="0"/>
  </r>
  <r>
    <n v="2019"/>
    <x v="6"/>
    <n v="6"/>
    <x v="22"/>
    <n v="0"/>
    <n v="28500"/>
    <n v="0"/>
  </r>
  <r>
    <n v="2019"/>
    <x v="6"/>
    <n v="6"/>
    <x v="23"/>
    <n v="0"/>
    <n v="28500"/>
    <n v="0"/>
  </r>
  <r>
    <n v="2019"/>
    <x v="6"/>
    <n v="7"/>
    <x v="0"/>
    <n v="0"/>
    <n v="28500"/>
    <n v="0"/>
  </r>
  <r>
    <n v="2019"/>
    <x v="6"/>
    <n v="7"/>
    <x v="1"/>
    <n v="0"/>
    <n v="28500"/>
    <n v="0"/>
  </r>
  <r>
    <n v="2019"/>
    <x v="6"/>
    <n v="7"/>
    <x v="2"/>
    <n v="0"/>
    <n v="28500"/>
    <n v="0"/>
  </r>
  <r>
    <n v="2019"/>
    <x v="6"/>
    <n v="7"/>
    <x v="3"/>
    <n v="0"/>
    <n v="28500"/>
    <n v="0"/>
  </r>
  <r>
    <n v="2019"/>
    <x v="6"/>
    <n v="7"/>
    <x v="4"/>
    <n v="0"/>
    <n v="28500"/>
    <n v="0"/>
  </r>
  <r>
    <n v="2019"/>
    <x v="6"/>
    <n v="7"/>
    <x v="5"/>
    <n v="183"/>
    <n v="28500"/>
    <n v="6.4210526315789471E-3"/>
  </r>
  <r>
    <n v="2019"/>
    <x v="6"/>
    <n v="7"/>
    <x v="6"/>
    <n v="911"/>
    <n v="28500"/>
    <n v="3.1964912280701752E-2"/>
  </r>
  <r>
    <n v="2019"/>
    <x v="6"/>
    <n v="7"/>
    <x v="7"/>
    <n v="3378.5"/>
    <n v="28500"/>
    <n v="0.11854385964912281"/>
  </r>
  <r>
    <n v="2019"/>
    <x v="6"/>
    <n v="7"/>
    <x v="8"/>
    <n v="5682.5"/>
    <n v="28500"/>
    <n v="0.19938596491228069"/>
  </r>
  <r>
    <n v="2019"/>
    <x v="6"/>
    <n v="7"/>
    <x v="9"/>
    <n v="6452.5"/>
    <n v="28500"/>
    <n v="0.22640350877192983"/>
  </r>
  <r>
    <n v="2019"/>
    <x v="6"/>
    <n v="7"/>
    <x v="10"/>
    <n v="5627"/>
    <n v="28500"/>
    <n v="0.19743859649122808"/>
  </r>
  <r>
    <n v="2019"/>
    <x v="6"/>
    <n v="7"/>
    <x v="11"/>
    <n v="9399.5"/>
    <n v="28500"/>
    <n v="0.32980701754385966"/>
  </r>
  <r>
    <n v="2019"/>
    <x v="6"/>
    <n v="7"/>
    <x v="12"/>
    <n v="3738"/>
    <n v="28500"/>
    <n v="0.13115789473684211"/>
  </r>
  <r>
    <n v="2019"/>
    <x v="6"/>
    <n v="7"/>
    <x v="13"/>
    <n v="10183.5"/>
    <n v="28500"/>
    <n v="0.3573157894736842"/>
  </r>
  <r>
    <n v="2019"/>
    <x v="6"/>
    <n v="7"/>
    <x v="14"/>
    <n v="23316"/>
    <n v="28500"/>
    <n v="0.81810526315789478"/>
  </r>
  <r>
    <n v="2019"/>
    <x v="6"/>
    <n v="7"/>
    <x v="15"/>
    <n v="23154"/>
    <n v="28500"/>
    <n v="0.81242105263157893"/>
  </r>
  <r>
    <n v="2019"/>
    <x v="6"/>
    <n v="7"/>
    <x v="16"/>
    <n v="18072.5"/>
    <n v="28500"/>
    <n v="0.63412280701754387"/>
  </r>
  <r>
    <n v="2019"/>
    <x v="6"/>
    <n v="7"/>
    <x v="17"/>
    <n v="8459.5"/>
    <n v="28500"/>
    <n v="0.29682456140350877"/>
  </r>
  <r>
    <n v="2019"/>
    <x v="6"/>
    <n v="7"/>
    <x v="18"/>
    <n v="3034"/>
    <n v="28500"/>
    <n v="0.10645614035087719"/>
  </r>
  <r>
    <n v="2019"/>
    <x v="6"/>
    <n v="7"/>
    <x v="19"/>
    <n v="228"/>
    <n v="28500"/>
    <n v="8.0000000000000002E-3"/>
  </r>
  <r>
    <n v="2019"/>
    <x v="6"/>
    <n v="7"/>
    <x v="20"/>
    <n v="0"/>
    <n v="28500"/>
    <n v="0"/>
  </r>
  <r>
    <n v="2019"/>
    <x v="6"/>
    <n v="7"/>
    <x v="21"/>
    <n v="0"/>
    <n v="28500"/>
    <n v="0"/>
  </r>
  <r>
    <n v="2019"/>
    <x v="6"/>
    <n v="7"/>
    <x v="22"/>
    <n v="0"/>
    <n v="28500"/>
    <n v="0"/>
  </r>
  <r>
    <n v="2019"/>
    <x v="6"/>
    <n v="7"/>
    <x v="23"/>
    <n v="0"/>
    <n v="28500"/>
    <n v="0"/>
  </r>
  <r>
    <n v="2019"/>
    <x v="6"/>
    <n v="8"/>
    <x v="0"/>
    <n v="0"/>
    <n v="28500"/>
    <n v="0"/>
  </r>
  <r>
    <n v="2019"/>
    <x v="6"/>
    <n v="8"/>
    <x v="1"/>
    <n v="0"/>
    <n v="28500"/>
    <n v="0"/>
  </r>
  <r>
    <n v="2019"/>
    <x v="6"/>
    <n v="8"/>
    <x v="2"/>
    <n v="0"/>
    <n v="28500"/>
    <n v="0"/>
  </r>
  <r>
    <n v="2019"/>
    <x v="6"/>
    <n v="8"/>
    <x v="3"/>
    <n v="0"/>
    <n v="28500"/>
    <n v="0"/>
  </r>
  <r>
    <n v="2019"/>
    <x v="6"/>
    <n v="8"/>
    <x v="4"/>
    <n v="0"/>
    <n v="28500"/>
    <n v="0"/>
  </r>
  <r>
    <n v="2019"/>
    <x v="6"/>
    <n v="8"/>
    <x v="5"/>
    <n v="140.5"/>
    <n v="28500"/>
    <n v="4.9298245614035089E-3"/>
  </r>
  <r>
    <n v="2019"/>
    <x v="6"/>
    <n v="8"/>
    <x v="6"/>
    <n v="3634"/>
    <n v="28500"/>
    <n v="0.12750877192982457"/>
  </r>
  <r>
    <n v="2019"/>
    <x v="6"/>
    <n v="8"/>
    <x v="7"/>
    <n v="10732.5"/>
    <n v="28500"/>
    <n v="0.37657894736842107"/>
  </r>
  <r>
    <n v="2019"/>
    <x v="6"/>
    <n v="8"/>
    <x v="8"/>
    <n v="18181.5"/>
    <n v="28500"/>
    <n v="0.6379473684210526"/>
  </r>
  <r>
    <n v="2019"/>
    <x v="6"/>
    <n v="8"/>
    <x v="9"/>
    <n v="23460"/>
    <n v="28500"/>
    <n v="0.82315789473684209"/>
  </r>
  <r>
    <n v="2019"/>
    <x v="6"/>
    <n v="8"/>
    <x v="10"/>
    <n v="21470.5"/>
    <n v="28500"/>
    <n v="0.75335087719298244"/>
  </r>
  <r>
    <n v="2019"/>
    <x v="6"/>
    <n v="8"/>
    <x v="11"/>
    <n v="22340.5"/>
    <n v="28500"/>
    <n v="0.78387719298245617"/>
  </r>
  <r>
    <n v="2019"/>
    <x v="6"/>
    <n v="8"/>
    <x v="12"/>
    <n v="24900"/>
    <n v="28500"/>
    <n v="0.87368421052631584"/>
  </r>
  <r>
    <n v="2019"/>
    <x v="6"/>
    <n v="8"/>
    <x v="13"/>
    <n v="20685.5"/>
    <n v="28500"/>
    <n v="0.72580701754385968"/>
  </r>
  <r>
    <n v="2019"/>
    <x v="6"/>
    <n v="8"/>
    <x v="14"/>
    <n v="22349"/>
    <n v="28500"/>
    <n v="0.78417543859649119"/>
  </r>
  <r>
    <n v="2019"/>
    <x v="6"/>
    <n v="8"/>
    <x v="15"/>
    <n v="21978"/>
    <n v="28500"/>
    <n v="0.77115789473684215"/>
  </r>
  <r>
    <n v="2019"/>
    <x v="6"/>
    <n v="8"/>
    <x v="16"/>
    <n v="12246.5"/>
    <n v="28500"/>
    <n v="0.42970175438596492"/>
  </r>
  <r>
    <n v="2019"/>
    <x v="6"/>
    <n v="8"/>
    <x v="17"/>
    <n v="7001.5"/>
    <n v="28500"/>
    <n v="0.24566666666666667"/>
  </r>
  <r>
    <n v="2019"/>
    <x v="6"/>
    <n v="8"/>
    <x v="18"/>
    <n v="3013.5"/>
    <n v="28500"/>
    <n v="0.10573684210526316"/>
  </r>
  <r>
    <n v="2019"/>
    <x v="6"/>
    <n v="8"/>
    <x v="19"/>
    <n v="203"/>
    <n v="28500"/>
    <n v="7.1228070175438597E-3"/>
  </r>
  <r>
    <n v="2019"/>
    <x v="6"/>
    <n v="8"/>
    <x v="20"/>
    <n v="0"/>
    <n v="28500"/>
    <n v="0"/>
  </r>
  <r>
    <n v="2019"/>
    <x v="6"/>
    <n v="8"/>
    <x v="21"/>
    <n v="0"/>
    <n v="28500"/>
    <n v="0"/>
  </r>
  <r>
    <n v="2019"/>
    <x v="6"/>
    <n v="8"/>
    <x v="22"/>
    <n v="0"/>
    <n v="28500"/>
    <n v="0"/>
  </r>
  <r>
    <n v="2019"/>
    <x v="6"/>
    <n v="8"/>
    <x v="23"/>
    <n v="0"/>
    <n v="28500"/>
    <n v="0"/>
  </r>
  <r>
    <n v="2019"/>
    <x v="6"/>
    <n v="9"/>
    <x v="0"/>
    <n v="0"/>
    <n v="28500"/>
    <n v="0"/>
  </r>
  <r>
    <n v="2019"/>
    <x v="6"/>
    <n v="9"/>
    <x v="1"/>
    <n v="0"/>
    <n v="28500"/>
    <n v="0"/>
  </r>
  <r>
    <n v="2019"/>
    <x v="6"/>
    <n v="9"/>
    <x v="2"/>
    <n v="0"/>
    <n v="28500"/>
    <n v="0"/>
  </r>
  <r>
    <n v="2019"/>
    <x v="6"/>
    <n v="9"/>
    <x v="3"/>
    <n v="0"/>
    <n v="28500"/>
    <n v="0"/>
  </r>
  <r>
    <n v="2019"/>
    <x v="6"/>
    <n v="9"/>
    <x v="4"/>
    <n v="0"/>
    <n v="28500"/>
    <n v="0"/>
  </r>
  <r>
    <n v="2019"/>
    <x v="6"/>
    <n v="9"/>
    <x v="5"/>
    <n v="184.5"/>
    <n v="28500"/>
    <n v="6.4736842105263155E-3"/>
  </r>
  <r>
    <n v="2019"/>
    <x v="6"/>
    <n v="9"/>
    <x v="6"/>
    <n v="1856"/>
    <n v="28500"/>
    <n v="6.512280701754386E-2"/>
  </r>
  <r>
    <n v="2019"/>
    <x v="6"/>
    <n v="9"/>
    <x v="7"/>
    <n v="4626"/>
    <n v="28500"/>
    <n v="0.16231578947368422"/>
  </r>
  <r>
    <n v="2019"/>
    <x v="6"/>
    <n v="9"/>
    <x v="8"/>
    <n v="6987"/>
    <n v="28500"/>
    <n v="0.2451578947368421"/>
  </r>
  <r>
    <n v="2019"/>
    <x v="6"/>
    <n v="9"/>
    <x v="9"/>
    <n v="12707.5"/>
    <n v="28500"/>
    <n v="0.44587719298245615"/>
  </r>
  <r>
    <n v="2019"/>
    <x v="6"/>
    <n v="9"/>
    <x v="10"/>
    <n v="14581"/>
    <n v="28500"/>
    <n v="0.5116140350877193"/>
  </r>
  <r>
    <n v="2019"/>
    <x v="6"/>
    <n v="9"/>
    <x v="11"/>
    <n v="30249.5"/>
    <n v="28500"/>
    <n v="1.0613859649122808"/>
  </r>
  <r>
    <n v="2019"/>
    <x v="6"/>
    <n v="9"/>
    <x v="12"/>
    <n v="18919.5"/>
    <n v="28500"/>
    <n v="0.6638421052631579"/>
  </r>
  <r>
    <n v="2019"/>
    <x v="6"/>
    <n v="9"/>
    <x v="13"/>
    <n v="5266.5"/>
    <n v="28500"/>
    <n v="0.18478947368421053"/>
  </r>
  <r>
    <n v="2019"/>
    <x v="6"/>
    <n v="9"/>
    <x v="14"/>
    <n v="31781.5"/>
    <n v="28500"/>
    <n v="1.1151403508771929"/>
  </r>
  <r>
    <n v="2019"/>
    <x v="6"/>
    <n v="9"/>
    <x v="15"/>
    <n v="12687"/>
    <n v="28500"/>
    <n v="0.44515789473684209"/>
  </r>
  <r>
    <n v="2019"/>
    <x v="6"/>
    <n v="9"/>
    <x v="16"/>
    <n v="8618"/>
    <n v="28500"/>
    <n v="0.3023859649122807"/>
  </r>
  <r>
    <n v="2019"/>
    <x v="6"/>
    <n v="9"/>
    <x v="17"/>
    <n v="5907.5"/>
    <n v="28500"/>
    <n v="0.20728070175438595"/>
  </r>
  <r>
    <n v="2019"/>
    <x v="6"/>
    <n v="9"/>
    <x v="18"/>
    <n v="2911.5"/>
    <n v="28500"/>
    <n v="0.1021578947368421"/>
  </r>
  <r>
    <n v="2019"/>
    <x v="6"/>
    <n v="9"/>
    <x v="19"/>
    <n v="947"/>
    <n v="28500"/>
    <n v="3.32280701754386E-2"/>
  </r>
  <r>
    <n v="2019"/>
    <x v="6"/>
    <n v="9"/>
    <x v="20"/>
    <n v="0"/>
    <n v="28500"/>
    <n v="0"/>
  </r>
  <r>
    <n v="2019"/>
    <x v="6"/>
    <n v="9"/>
    <x v="21"/>
    <n v="0"/>
    <n v="28500"/>
    <n v="0"/>
  </r>
  <r>
    <n v="2019"/>
    <x v="6"/>
    <n v="9"/>
    <x v="22"/>
    <n v="0"/>
    <n v="28500"/>
    <n v="0"/>
  </r>
  <r>
    <n v="2019"/>
    <x v="6"/>
    <n v="9"/>
    <x v="23"/>
    <n v="0"/>
    <n v="28500"/>
    <n v="0"/>
  </r>
  <r>
    <n v="2019"/>
    <x v="6"/>
    <n v="10"/>
    <x v="0"/>
    <n v="0"/>
    <n v="28500"/>
    <n v="0"/>
  </r>
  <r>
    <n v="2019"/>
    <x v="6"/>
    <n v="10"/>
    <x v="1"/>
    <n v="0"/>
    <n v="28500"/>
    <n v="0"/>
  </r>
  <r>
    <n v="2019"/>
    <x v="6"/>
    <n v="10"/>
    <x v="2"/>
    <n v="0"/>
    <n v="28500"/>
    <n v="0"/>
  </r>
  <r>
    <n v="2019"/>
    <x v="6"/>
    <n v="10"/>
    <x v="3"/>
    <n v="0"/>
    <n v="28500"/>
    <n v="0"/>
  </r>
  <r>
    <n v="2019"/>
    <x v="6"/>
    <n v="10"/>
    <x v="4"/>
    <n v="0"/>
    <n v="28500"/>
    <n v="0"/>
  </r>
  <r>
    <n v="2019"/>
    <x v="6"/>
    <n v="10"/>
    <x v="5"/>
    <n v="636"/>
    <n v="28500"/>
    <n v="2.2315789473684209E-2"/>
  </r>
  <r>
    <n v="2019"/>
    <x v="6"/>
    <n v="10"/>
    <x v="6"/>
    <n v="4404.5"/>
    <n v="28500"/>
    <n v="0.15454385964912282"/>
  </r>
  <r>
    <n v="2019"/>
    <x v="6"/>
    <n v="10"/>
    <x v="7"/>
    <n v="7609"/>
    <n v="28500"/>
    <n v="0.26698245614035088"/>
  </r>
  <r>
    <n v="2019"/>
    <x v="6"/>
    <n v="10"/>
    <x v="8"/>
    <n v="14039.5"/>
    <n v="28500"/>
    <n v="0.49261403508771928"/>
  </r>
  <r>
    <n v="2019"/>
    <x v="6"/>
    <n v="10"/>
    <x v="9"/>
    <n v="15894.5"/>
    <n v="28500"/>
    <n v="0.55770175438596492"/>
  </r>
  <r>
    <n v="2019"/>
    <x v="6"/>
    <n v="10"/>
    <x v="10"/>
    <n v="9370"/>
    <n v="28500"/>
    <n v="0.32877192982456138"/>
  </r>
  <r>
    <n v="2019"/>
    <x v="6"/>
    <n v="10"/>
    <x v="11"/>
    <n v="15218"/>
    <n v="28500"/>
    <n v="0.53396491228070175"/>
  </r>
  <r>
    <n v="2019"/>
    <x v="6"/>
    <n v="10"/>
    <x v="12"/>
    <n v="22999.5"/>
    <n v="28500"/>
    <n v="0.80700000000000005"/>
  </r>
  <r>
    <n v="2019"/>
    <x v="6"/>
    <n v="10"/>
    <x v="13"/>
    <n v="22825.5"/>
    <n v="28500"/>
    <n v="0.80089473684210521"/>
  </r>
  <r>
    <n v="2019"/>
    <x v="6"/>
    <n v="10"/>
    <x v="14"/>
    <n v="18206"/>
    <n v="28500"/>
    <n v="0.6388070175438596"/>
  </r>
  <r>
    <n v="2019"/>
    <x v="6"/>
    <n v="10"/>
    <x v="15"/>
    <n v="16416.5"/>
    <n v="28500"/>
    <n v="0.57601754385964909"/>
  </r>
  <r>
    <n v="2019"/>
    <x v="6"/>
    <n v="10"/>
    <x v="16"/>
    <n v="16261"/>
    <n v="28500"/>
    <n v="0.57056140350877194"/>
  </r>
  <r>
    <n v="2019"/>
    <x v="6"/>
    <n v="10"/>
    <x v="17"/>
    <n v="9593.5"/>
    <n v="28500"/>
    <n v="0.33661403508771931"/>
  </r>
  <r>
    <n v="2019"/>
    <x v="6"/>
    <n v="10"/>
    <x v="18"/>
    <n v="2095"/>
    <n v="28500"/>
    <n v="7.3508771929824565E-2"/>
  </r>
  <r>
    <n v="2019"/>
    <x v="6"/>
    <n v="10"/>
    <x v="19"/>
    <n v="1002"/>
    <n v="28500"/>
    <n v="3.5157894736842103E-2"/>
  </r>
  <r>
    <n v="2019"/>
    <x v="6"/>
    <n v="10"/>
    <x v="20"/>
    <n v="0"/>
    <n v="28500"/>
    <n v="0"/>
  </r>
  <r>
    <n v="2019"/>
    <x v="6"/>
    <n v="10"/>
    <x v="21"/>
    <n v="0"/>
    <n v="28500"/>
    <n v="0"/>
  </r>
  <r>
    <n v="2019"/>
    <x v="6"/>
    <n v="10"/>
    <x v="22"/>
    <n v="0"/>
    <n v="28500"/>
    <n v="0"/>
  </r>
  <r>
    <n v="2019"/>
    <x v="6"/>
    <n v="10"/>
    <x v="23"/>
    <n v="0"/>
    <n v="28500"/>
    <n v="0"/>
  </r>
  <r>
    <n v="2019"/>
    <x v="6"/>
    <n v="11"/>
    <x v="0"/>
    <n v="0"/>
    <n v="28500"/>
    <n v="0"/>
  </r>
  <r>
    <n v="2019"/>
    <x v="6"/>
    <n v="11"/>
    <x v="1"/>
    <n v="0"/>
    <n v="28500"/>
    <n v="0"/>
  </r>
  <r>
    <n v="2019"/>
    <x v="6"/>
    <n v="11"/>
    <x v="2"/>
    <n v="0"/>
    <n v="28500"/>
    <n v="0"/>
  </r>
  <r>
    <n v="2019"/>
    <x v="6"/>
    <n v="11"/>
    <x v="3"/>
    <n v="0"/>
    <n v="28500"/>
    <n v="0"/>
  </r>
  <r>
    <n v="2019"/>
    <x v="6"/>
    <n v="11"/>
    <x v="4"/>
    <n v="0"/>
    <n v="28500"/>
    <n v="0"/>
  </r>
  <r>
    <n v="2019"/>
    <x v="6"/>
    <n v="11"/>
    <x v="5"/>
    <n v="331.5"/>
    <n v="28500"/>
    <n v="1.1631578947368422E-2"/>
  </r>
  <r>
    <n v="2019"/>
    <x v="6"/>
    <n v="11"/>
    <x v="6"/>
    <n v="3475.5"/>
    <n v="28500"/>
    <n v="0.12194736842105264"/>
  </r>
  <r>
    <n v="2019"/>
    <x v="6"/>
    <n v="11"/>
    <x v="7"/>
    <n v="9894"/>
    <n v="28500"/>
    <n v="0.34715789473684211"/>
  </r>
  <r>
    <n v="2019"/>
    <x v="6"/>
    <n v="11"/>
    <x v="8"/>
    <n v="13544.5"/>
    <n v="28500"/>
    <n v="0.47524561403508769"/>
  </r>
  <r>
    <n v="2019"/>
    <x v="6"/>
    <n v="11"/>
    <x v="9"/>
    <n v="22822"/>
    <n v="28500"/>
    <n v="0.80077192982456136"/>
  </r>
  <r>
    <n v="2019"/>
    <x v="6"/>
    <n v="11"/>
    <x v="10"/>
    <n v="30223"/>
    <n v="28500"/>
    <n v="1.0604561403508772"/>
  </r>
  <r>
    <n v="2019"/>
    <x v="6"/>
    <n v="11"/>
    <x v="11"/>
    <n v="37067.5"/>
    <n v="28500"/>
    <n v="1.3006140350877193"/>
  </r>
  <r>
    <n v="2019"/>
    <x v="6"/>
    <n v="11"/>
    <x v="12"/>
    <n v="36836.5"/>
    <n v="28500"/>
    <n v="1.2925087719298245"/>
  </r>
  <r>
    <n v="2019"/>
    <x v="6"/>
    <n v="11"/>
    <x v="13"/>
    <n v="32283.5"/>
    <n v="28500"/>
    <n v="1.1327543859649123"/>
  </r>
  <r>
    <n v="2019"/>
    <x v="6"/>
    <n v="11"/>
    <x v="14"/>
    <n v="28143"/>
    <n v="28500"/>
    <n v="0.98747368421052628"/>
  </r>
  <r>
    <n v="2019"/>
    <x v="6"/>
    <n v="11"/>
    <x v="15"/>
    <n v="19140.5"/>
    <n v="28500"/>
    <n v="0.67159649122807019"/>
  </r>
  <r>
    <n v="2019"/>
    <x v="6"/>
    <n v="11"/>
    <x v="16"/>
    <n v="18838.5"/>
    <n v="28500"/>
    <n v="0.66100000000000003"/>
  </r>
  <r>
    <n v="2019"/>
    <x v="6"/>
    <n v="11"/>
    <x v="17"/>
    <n v="9430.5"/>
    <n v="28500"/>
    <n v="0.33089473684210524"/>
  </r>
  <r>
    <n v="2019"/>
    <x v="6"/>
    <n v="11"/>
    <x v="18"/>
    <n v="3118"/>
    <n v="28500"/>
    <n v="0.10940350877192982"/>
  </r>
  <r>
    <n v="2019"/>
    <x v="6"/>
    <n v="11"/>
    <x v="19"/>
    <n v="476.5"/>
    <n v="28500"/>
    <n v="1.6719298245614037E-2"/>
  </r>
  <r>
    <n v="2019"/>
    <x v="6"/>
    <n v="11"/>
    <x v="20"/>
    <n v="0"/>
    <n v="28500"/>
    <n v="0"/>
  </r>
  <r>
    <n v="2019"/>
    <x v="6"/>
    <n v="11"/>
    <x v="21"/>
    <n v="0"/>
    <n v="28500"/>
    <n v="0"/>
  </r>
  <r>
    <n v="2019"/>
    <x v="6"/>
    <n v="11"/>
    <x v="22"/>
    <n v="0"/>
    <n v="28500"/>
    <n v="0"/>
  </r>
  <r>
    <n v="2019"/>
    <x v="6"/>
    <n v="11"/>
    <x v="23"/>
    <n v="0"/>
    <n v="28500"/>
    <n v="0"/>
  </r>
  <r>
    <n v="2019"/>
    <x v="6"/>
    <n v="12"/>
    <x v="0"/>
    <n v="0"/>
    <n v="28500"/>
    <n v="0"/>
  </r>
  <r>
    <n v="2019"/>
    <x v="6"/>
    <n v="12"/>
    <x v="1"/>
    <n v="0"/>
    <n v="28500"/>
    <n v="0"/>
  </r>
  <r>
    <n v="2019"/>
    <x v="6"/>
    <n v="12"/>
    <x v="2"/>
    <n v="0"/>
    <n v="28500"/>
    <n v="0"/>
  </r>
  <r>
    <n v="2019"/>
    <x v="6"/>
    <n v="12"/>
    <x v="3"/>
    <n v="0"/>
    <n v="28500"/>
    <n v="0"/>
  </r>
  <r>
    <n v="2019"/>
    <x v="6"/>
    <n v="12"/>
    <x v="4"/>
    <n v="0"/>
    <n v="28500"/>
    <n v="0"/>
  </r>
  <r>
    <n v="2019"/>
    <x v="6"/>
    <n v="12"/>
    <x v="5"/>
    <n v="874.5"/>
    <n v="28500"/>
    <n v="3.068421052631579E-2"/>
  </r>
  <r>
    <n v="2019"/>
    <x v="6"/>
    <n v="12"/>
    <x v="6"/>
    <n v="4367"/>
    <n v="28500"/>
    <n v="0.1532280701754386"/>
  </r>
  <r>
    <n v="2019"/>
    <x v="6"/>
    <n v="12"/>
    <x v="7"/>
    <n v="11998"/>
    <n v="28500"/>
    <n v="0.4209824561403509"/>
  </r>
  <r>
    <n v="2019"/>
    <x v="6"/>
    <n v="12"/>
    <x v="8"/>
    <n v="21567.5"/>
    <n v="28500"/>
    <n v="0.75675438596491229"/>
  </r>
  <r>
    <n v="2019"/>
    <x v="6"/>
    <n v="12"/>
    <x v="9"/>
    <n v="20583"/>
    <n v="28500"/>
    <n v="0.72221052631578952"/>
  </r>
  <r>
    <n v="2019"/>
    <x v="6"/>
    <n v="12"/>
    <x v="10"/>
    <n v="20725"/>
    <n v="28500"/>
    <n v="0.72719298245614039"/>
  </r>
  <r>
    <n v="2019"/>
    <x v="6"/>
    <n v="12"/>
    <x v="11"/>
    <n v="28323"/>
    <n v="28500"/>
    <n v="0.99378947368421056"/>
  </r>
  <r>
    <n v="2019"/>
    <x v="6"/>
    <n v="12"/>
    <x v="12"/>
    <n v="34756.5"/>
    <n v="28500"/>
    <n v="1.2195263157894738"/>
  </r>
  <r>
    <n v="2019"/>
    <x v="6"/>
    <n v="12"/>
    <x v="13"/>
    <n v="9940"/>
    <n v="28500"/>
    <n v="0.3487719298245614"/>
  </r>
  <r>
    <n v="2019"/>
    <x v="6"/>
    <n v="12"/>
    <x v="14"/>
    <n v="15905"/>
    <n v="28500"/>
    <n v="0.55807017543859649"/>
  </r>
  <r>
    <n v="2019"/>
    <x v="6"/>
    <n v="12"/>
    <x v="15"/>
    <n v="11324.5"/>
    <n v="28500"/>
    <n v="0.39735087719298245"/>
  </r>
  <r>
    <n v="2019"/>
    <x v="6"/>
    <n v="12"/>
    <x v="16"/>
    <n v="16493.5"/>
    <n v="28500"/>
    <n v="0.57871929824561408"/>
  </r>
  <r>
    <n v="2019"/>
    <x v="6"/>
    <n v="12"/>
    <x v="17"/>
    <n v="9996"/>
    <n v="28500"/>
    <n v="0.35073684210526318"/>
  </r>
  <r>
    <n v="2019"/>
    <x v="6"/>
    <n v="12"/>
    <x v="18"/>
    <n v="2599.5"/>
    <n v="28500"/>
    <n v="9.1210526315789478E-2"/>
  </r>
  <r>
    <n v="2019"/>
    <x v="6"/>
    <n v="12"/>
    <x v="19"/>
    <n v="822.5"/>
    <n v="28500"/>
    <n v="2.8859649122807019E-2"/>
  </r>
  <r>
    <n v="2019"/>
    <x v="6"/>
    <n v="12"/>
    <x v="20"/>
    <n v="0"/>
    <n v="28500"/>
    <n v="0"/>
  </r>
  <r>
    <n v="2019"/>
    <x v="6"/>
    <n v="12"/>
    <x v="21"/>
    <n v="0"/>
    <n v="28500"/>
    <n v="0"/>
  </r>
  <r>
    <n v="2019"/>
    <x v="6"/>
    <n v="12"/>
    <x v="22"/>
    <n v="0"/>
    <n v="28500"/>
    <n v="0"/>
  </r>
  <r>
    <n v="2019"/>
    <x v="6"/>
    <n v="12"/>
    <x v="23"/>
    <n v="0"/>
    <n v="28500"/>
    <n v="0"/>
  </r>
  <r>
    <n v="2019"/>
    <x v="6"/>
    <n v="13"/>
    <x v="0"/>
    <n v="0"/>
    <n v="28500"/>
    <n v="0"/>
  </r>
  <r>
    <n v="2019"/>
    <x v="6"/>
    <n v="13"/>
    <x v="1"/>
    <n v="0"/>
    <n v="28500"/>
    <n v="0"/>
  </r>
  <r>
    <n v="2019"/>
    <x v="6"/>
    <n v="13"/>
    <x v="2"/>
    <n v="0"/>
    <n v="28500"/>
    <n v="0"/>
  </r>
  <r>
    <n v="2019"/>
    <x v="6"/>
    <n v="13"/>
    <x v="3"/>
    <n v="0"/>
    <n v="28500"/>
    <n v="0"/>
  </r>
  <r>
    <n v="2019"/>
    <x v="6"/>
    <n v="13"/>
    <x v="4"/>
    <n v="0"/>
    <n v="28500"/>
    <n v="0"/>
  </r>
  <r>
    <n v="2019"/>
    <x v="6"/>
    <n v="13"/>
    <x v="5"/>
    <n v="1327.5"/>
    <n v="28500"/>
    <n v="4.6578947368421053E-2"/>
  </r>
  <r>
    <n v="2019"/>
    <x v="6"/>
    <n v="13"/>
    <x v="6"/>
    <n v="4426"/>
    <n v="28500"/>
    <n v="0.15529824561403507"/>
  </r>
  <r>
    <n v="2019"/>
    <x v="6"/>
    <n v="13"/>
    <x v="7"/>
    <n v="10638"/>
    <n v="28500"/>
    <n v="0.37326315789473685"/>
  </r>
  <r>
    <n v="2019"/>
    <x v="6"/>
    <n v="13"/>
    <x v="8"/>
    <n v="14808.5"/>
    <n v="28500"/>
    <n v="0.51959649122807017"/>
  </r>
  <r>
    <n v="2019"/>
    <x v="6"/>
    <n v="13"/>
    <x v="9"/>
    <n v="25628"/>
    <n v="28500"/>
    <n v="0.8992280701754386"/>
  </r>
  <r>
    <n v="2019"/>
    <x v="6"/>
    <n v="13"/>
    <x v="10"/>
    <n v="16811"/>
    <n v="28500"/>
    <n v="0.58985964912280697"/>
  </r>
  <r>
    <n v="2019"/>
    <x v="6"/>
    <n v="13"/>
    <x v="11"/>
    <n v="14411.5"/>
    <n v="28500"/>
    <n v="0.50566666666666671"/>
  </r>
  <r>
    <n v="2019"/>
    <x v="6"/>
    <n v="13"/>
    <x v="12"/>
    <n v="14742"/>
    <n v="28500"/>
    <n v="0.51726315789473687"/>
  </r>
  <r>
    <n v="2019"/>
    <x v="6"/>
    <n v="13"/>
    <x v="13"/>
    <n v="15156"/>
    <n v="28500"/>
    <n v="0.53178947368421048"/>
  </r>
  <r>
    <n v="2019"/>
    <x v="6"/>
    <n v="13"/>
    <x v="14"/>
    <n v="13228.5"/>
    <n v="28500"/>
    <n v="0.4641578947368421"/>
  </r>
  <r>
    <n v="2019"/>
    <x v="6"/>
    <n v="13"/>
    <x v="15"/>
    <n v="15361"/>
    <n v="28500"/>
    <n v="0.5389824561403509"/>
  </r>
  <r>
    <n v="2019"/>
    <x v="6"/>
    <n v="13"/>
    <x v="16"/>
    <n v="11928"/>
    <n v="28500"/>
    <n v="0.41852631578947369"/>
  </r>
  <r>
    <n v="2019"/>
    <x v="6"/>
    <n v="13"/>
    <x v="17"/>
    <n v="8837.5"/>
    <n v="28500"/>
    <n v="0.31008771929824563"/>
  </r>
  <r>
    <n v="2019"/>
    <x v="6"/>
    <n v="13"/>
    <x v="18"/>
    <n v="3323"/>
    <n v="28500"/>
    <n v="0.11659649122807017"/>
  </r>
  <r>
    <n v="2019"/>
    <x v="6"/>
    <n v="13"/>
    <x v="19"/>
    <n v="402.5"/>
    <n v="28500"/>
    <n v="1.412280701754386E-2"/>
  </r>
  <r>
    <n v="2019"/>
    <x v="6"/>
    <n v="13"/>
    <x v="20"/>
    <n v="0"/>
    <n v="28500"/>
    <n v="0"/>
  </r>
  <r>
    <n v="2019"/>
    <x v="6"/>
    <n v="13"/>
    <x v="21"/>
    <n v="0"/>
    <n v="28500"/>
    <n v="0"/>
  </r>
  <r>
    <n v="2019"/>
    <x v="6"/>
    <n v="13"/>
    <x v="22"/>
    <n v="0"/>
    <n v="28500"/>
    <n v="0"/>
  </r>
  <r>
    <n v="2019"/>
    <x v="6"/>
    <n v="13"/>
    <x v="23"/>
    <n v="0"/>
    <n v="28500"/>
    <n v="0"/>
  </r>
  <r>
    <n v="2019"/>
    <x v="6"/>
    <n v="14"/>
    <x v="0"/>
    <n v="0"/>
    <n v="28500"/>
    <n v="0"/>
  </r>
  <r>
    <n v="2019"/>
    <x v="6"/>
    <n v="14"/>
    <x v="1"/>
    <n v="0"/>
    <n v="28500"/>
    <n v="0"/>
  </r>
  <r>
    <n v="2019"/>
    <x v="6"/>
    <n v="14"/>
    <x v="2"/>
    <n v="0"/>
    <n v="28500"/>
    <n v="0"/>
  </r>
  <r>
    <n v="2019"/>
    <x v="6"/>
    <n v="14"/>
    <x v="3"/>
    <n v="0"/>
    <n v="28500"/>
    <n v="0"/>
  </r>
  <r>
    <n v="2019"/>
    <x v="6"/>
    <n v="14"/>
    <x v="4"/>
    <n v="0"/>
    <n v="28500"/>
    <n v="0"/>
  </r>
  <r>
    <n v="2019"/>
    <x v="6"/>
    <n v="14"/>
    <x v="5"/>
    <n v="1424.5"/>
    <n v="28500"/>
    <n v="4.9982456140350878E-2"/>
  </r>
  <r>
    <n v="2019"/>
    <x v="6"/>
    <n v="14"/>
    <x v="6"/>
    <n v="3788"/>
    <n v="28500"/>
    <n v="0.1329122807017544"/>
  </r>
  <r>
    <n v="2019"/>
    <x v="6"/>
    <n v="14"/>
    <x v="7"/>
    <n v="6898"/>
    <n v="28500"/>
    <n v="0.24203508771929824"/>
  </r>
  <r>
    <n v="2019"/>
    <x v="6"/>
    <n v="14"/>
    <x v="8"/>
    <n v="6850"/>
    <n v="28500"/>
    <n v="0.24035087719298245"/>
  </r>
  <r>
    <n v="2019"/>
    <x v="6"/>
    <n v="14"/>
    <x v="9"/>
    <n v="21491"/>
    <n v="28500"/>
    <n v="0.75407017543859645"/>
  </r>
  <r>
    <n v="2019"/>
    <x v="6"/>
    <n v="14"/>
    <x v="10"/>
    <n v="15315.5"/>
    <n v="28500"/>
    <n v="0.53738596491228074"/>
  </r>
  <r>
    <n v="2019"/>
    <x v="6"/>
    <n v="14"/>
    <x v="11"/>
    <n v="19436.5"/>
    <n v="28500"/>
    <n v="0.68198245614035091"/>
  </r>
  <r>
    <n v="2019"/>
    <x v="6"/>
    <n v="14"/>
    <x v="12"/>
    <n v="26774.5"/>
    <n v="28500"/>
    <n v="0.93945614035087721"/>
  </r>
  <r>
    <n v="2019"/>
    <x v="6"/>
    <n v="14"/>
    <x v="13"/>
    <n v="10927.5"/>
    <n v="28500"/>
    <n v="0.38342105263157894"/>
  </r>
  <r>
    <n v="2019"/>
    <x v="6"/>
    <n v="14"/>
    <x v="14"/>
    <n v="8613.5"/>
    <n v="28500"/>
    <n v="0.30222807017543862"/>
  </r>
  <r>
    <n v="2019"/>
    <x v="6"/>
    <n v="14"/>
    <x v="15"/>
    <n v="22468.5"/>
    <n v="28500"/>
    <n v="0.78836842105263161"/>
  </r>
  <r>
    <n v="2019"/>
    <x v="6"/>
    <n v="14"/>
    <x v="16"/>
    <n v="9225"/>
    <n v="28500"/>
    <n v="0.3236842105263158"/>
  </r>
  <r>
    <n v="2019"/>
    <x v="6"/>
    <n v="14"/>
    <x v="17"/>
    <n v="10080"/>
    <n v="28500"/>
    <n v="0.35368421052631577"/>
  </r>
  <r>
    <n v="2019"/>
    <x v="6"/>
    <n v="14"/>
    <x v="18"/>
    <n v="2192"/>
    <n v="28500"/>
    <n v="7.691228070175439E-2"/>
  </r>
  <r>
    <n v="2019"/>
    <x v="6"/>
    <n v="14"/>
    <x v="19"/>
    <n v="571.5"/>
    <n v="28500"/>
    <n v="2.0052631578947367E-2"/>
  </r>
  <r>
    <n v="2019"/>
    <x v="6"/>
    <n v="14"/>
    <x v="20"/>
    <n v="0"/>
    <n v="28500"/>
    <n v="0"/>
  </r>
  <r>
    <n v="2019"/>
    <x v="6"/>
    <n v="14"/>
    <x v="21"/>
    <n v="0"/>
    <n v="28500"/>
    <n v="0"/>
  </r>
  <r>
    <n v="2019"/>
    <x v="6"/>
    <n v="14"/>
    <x v="22"/>
    <n v="0"/>
    <n v="28500"/>
    <n v="0"/>
  </r>
  <r>
    <n v="2019"/>
    <x v="6"/>
    <n v="14"/>
    <x v="23"/>
    <n v="0"/>
    <n v="28500"/>
    <n v="0"/>
  </r>
  <r>
    <n v="2019"/>
    <x v="6"/>
    <n v="15"/>
    <x v="0"/>
    <n v="0"/>
    <n v="28500"/>
    <n v="0"/>
  </r>
  <r>
    <n v="2019"/>
    <x v="6"/>
    <n v="15"/>
    <x v="1"/>
    <n v="0"/>
    <n v="28500"/>
    <n v="0"/>
  </r>
  <r>
    <n v="2019"/>
    <x v="6"/>
    <n v="15"/>
    <x v="2"/>
    <n v="0"/>
    <n v="28500"/>
    <n v="0"/>
  </r>
  <r>
    <n v="2019"/>
    <x v="6"/>
    <n v="15"/>
    <x v="3"/>
    <n v="0"/>
    <n v="28500"/>
    <n v="0"/>
  </r>
  <r>
    <n v="2019"/>
    <x v="6"/>
    <n v="15"/>
    <x v="4"/>
    <n v="0"/>
    <n v="28500"/>
    <n v="0"/>
  </r>
  <r>
    <n v="2019"/>
    <x v="6"/>
    <n v="15"/>
    <x v="5"/>
    <n v="706"/>
    <n v="28500"/>
    <n v="2.4771929824561403E-2"/>
  </r>
  <r>
    <n v="2019"/>
    <x v="6"/>
    <n v="15"/>
    <x v="6"/>
    <n v="3257.5"/>
    <n v="28500"/>
    <n v="0.11429824561403509"/>
  </r>
  <r>
    <n v="2019"/>
    <x v="6"/>
    <n v="15"/>
    <x v="7"/>
    <n v="5144.5"/>
    <n v="28500"/>
    <n v="0.18050877192982456"/>
  </r>
  <r>
    <n v="2019"/>
    <x v="6"/>
    <n v="15"/>
    <x v="8"/>
    <n v="5840"/>
    <n v="28500"/>
    <n v="0.20491228070175438"/>
  </r>
  <r>
    <n v="2019"/>
    <x v="6"/>
    <n v="15"/>
    <x v="9"/>
    <n v="8302.5"/>
    <n v="28500"/>
    <n v="0.29131578947368419"/>
  </r>
  <r>
    <n v="2019"/>
    <x v="6"/>
    <n v="15"/>
    <x v="10"/>
    <n v="12724.5"/>
    <n v="28500"/>
    <n v="0.4464736842105263"/>
  </r>
  <r>
    <n v="2019"/>
    <x v="6"/>
    <n v="15"/>
    <x v="11"/>
    <n v="21193"/>
    <n v="28500"/>
    <n v="0.74361403508771928"/>
  </r>
  <r>
    <n v="2019"/>
    <x v="6"/>
    <n v="15"/>
    <x v="12"/>
    <n v="17704"/>
    <n v="28500"/>
    <n v="0.6211929824561403"/>
  </r>
  <r>
    <n v="2019"/>
    <x v="6"/>
    <n v="15"/>
    <x v="13"/>
    <n v="15243"/>
    <n v="28500"/>
    <n v="0.5348421052631579"/>
  </r>
  <r>
    <n v="2019"/>
    <x v="6"/>
    <n v="15"/>
    <x v="14"/>
    <n v="15814.5"/>
    <n v="28500"/>
    <n v="0.55489473684210522"/>
  </r>
  <r>
    <n v="2019"/>
    <x v="6"/>
    <n v="15"/>
    <x v="15"/>
    <n v="23659"/>
    <n v="28500"/>
    <n v="0.83014035087719296"/>
  </r>
  <r>
    <n v="2019"/>
    <x v="6"/>
    <n v="15"/>
    <x v="16"/>
    <n v="18791"/>
    <n v="28500"/>
    <n v="0.65933333333333333"/>
  </r>
  <r>
    <n v="2019"/>
    <x v="6"/>
    <n v="15"/>
    <x v="17"/>
    <n v="9834.5"/>
    <n v="28500"/>
    <n v="0.34507017543859647"/>
  </r>
  <r>
    <n v="2019"/>
    <x v="6"/>
    <n v="15"/>
    <x v="18"/>
    <n v="3140"/>
    <n v="28500"/>
    <n v="0.11017543859649123"/>
  </r>
  <r>
    <n v="2019"/>
    <x v="6"/>
    <n v="15"/>
    <x v="19"/>
    <n v="831.5"/>
    <n v="28500"/>
    <n v="2.9175438596491229E-2"/>
  </r>
  <r>
    <n v="2019"/>
    <x v="6"/>
    <n v="15"/>
    <x v="20"/>
    <n v="0"/>
    <n v="28500"/>
    <n v="0"/>
  </r>
  <r>
    <n v="2019"/>
    <x v="6"/>
    <n v="15"/>
    <x v="21"/>
    <n v="0"/>
    <n v="28500"/>
    <n v="0"/>
  </r>
  <r>
    <n v="2019"/>
    <x v="6"/>
    <n v="15"/>
    <x v="22"/>
    <n v="0"/>
    <n v="28500"/>
    <n v="0"/>
  </r>
  <r>
    <n v="2019"/>
    <x v="6"/>
    <n v="15"/>
    <x v="23"/>
    <n v="0"/>
    <n v="28500"/>
    <n v="0"/>
  </r>
  <r>
    <n v="2019"/>
    <x v="6"/>
    <n v="16"/>
    <x v="0"/>
    <n v="0"/>
    <n v="28500"/>
    <n v="0"/>
  </r>
  <r>
    <n v="2019"/>
    <x v="6"/>
    <n v="16"/>
    <x v="1"/>
    <n v="0"/>
    <n v="28500"/>
    <n v="0"/>
  </r>
  <r>
    <n v="2019"/>
    <x v="6"/>
    <n v="16"/>
    <x v="2"/>
    <n v="0"/>
    <n v="28500"/>
    <n v="0"/>
  </r>
  <r>
    <n v="2019"/>
    <x v="6"/>
    <n v="16"/>
    <x v="3"/>
    <n v="0"/>
    <n v="28500"/>
    <n v="0"/>
  </r>
  <r>
    <n v="2019"/>
    <x v="6"/>
    <n v="16"/>
    <x v="4"/>
    <n v="0"/>
    <n v="28500"/>
    <n v="0"/>
  </r>
  <r>
    <n v="2019"/>
    <x v="6"/>
    <n v="16"/>
    <x v="5"/>
    <n v="1405"/>
    <n v="28500"/>
    <n v="4.9298245614035091E-2"/>
  </r>
  <r>
    <n v="2019"/>
    <x v="6"/>
    <n v="16"/>
    <x v="6"/>
    <n v="4096.5"/>
    <n v="28500"/>
    <n v="0.14373684210526316"/>
  </r>
  <r>
    <n v="2019"/>
    <x v="6"/>
    <n v="16"/>
    <x v="7"/>
    <n v="11748"/>
    <n v="28500"/>
    <n v="0.41221052631578947"/>
  </r>
  <r>
    <n v="2019"/>
    <x v="6"/>
    <n v="16"/>
    <x v="8"/>
    <n v="21976"/>
    <n v="28500"/>
    <n v="0.7710877192982456"/>
  </r>
  <r>
    <n v="2019"/>
    <x v="6"/>
    <n v="16"/>
    <x v="9"/>
    <n v="29433.5"/>
    <n v="28500"/>
    <n v="1.0327543859649122"/>
  </r>
  <r>
    <n v="2019"/>
    <x v="6"/>
    <n v="16"/>
    <x v="10"/>
    <n v="34182.5"/>
    <n v="28500"/>
    <n v="1.1993859649122807"/>
  </r>
  <r>
    <n v="2019"/>
    <x v="6"/>
    <n v="16"/>
    <x v="11"/>
    <n v="34474.5"/>
    <n v="28500"/>
    <n v="1.2096315789473684"/>
  </r>
  <r>
    <n v="2019"/>
    <x v="6"/>
    <n v="16"/>
    <x v="12"/>
    <n v="34168"/>
    <n v="28500"/>
    <n v="1.1988771929824562"/>
  </r>
  <r>
    <n v="2019"/>
    <x v="6"/>
    <n v="16"/>
    <x v="13"/>
    <n v="29533.5"/>
    <n v="28500"/>
    <n v="1.0362631578947368"/>
  </r>
  <r>
    <n v="2019"/>
    <x v="6"/>
    <n v="16"/>
    <x v="14"/>
    <n v="27254.5"/>
    <n v="28500"/>
    <n v="0.95629824561403509"/>
  </r>
  <r>
    <n v="2019"/>
    <x v="6"/>
    <n v="16"/>
    <x v="15"/>
    <n v="21797"/>
    <n v="28500"/>
    <n v="0.7648070175438596"/>
  </r>
  <r>
    <n v="2019"/>
    <x v="6"/>
    <n v="16"/>
    <x v="16"/>
    <n v="18013"/>
    <n v="28500"/>
    <n v="0.63203508771929828"/>
  </r>
  <r>
    <n v="2019"/>
    <x v="6"/>
    <n v="16"/>
    <x v="17"/>
    <n v="10038.5"/>
    <n v="28500"/>
    <n v="0.35222807017543861"/>
  </r>
  <r>
    <n v="2019"/>
    <x v="6"/>
    <n v="16"/>
    <x v="18"/>
    <n v="2181"/>
    <n v="28500"/>
    <n v="7.6526315789473678E-2"/>
  </r>
  <r>
    <n v="2019"/>
    <x v="6"/>
    <n v="16"/>
    <x v="19"/>
    <n v="940"/>
    <n v="28500"/>
    <n v="3.2982456140350877E-2"/>
  </r>
  <r>
    <n v="2019"/>
    <x v="6"/>
    <n v="16"/>
    <x v="20"/>
    <n v="0"/>
    <n v="28500"/>
    <n v="0"/>
  </r>
  <r>
    <n v="2019"/>
    <x v="6"/>
    <n v="16"/>
    <x v="21"/>
    <n v="0"/>
    <n v="28500"/>
    <n v="0"/>
  </r>
  <r>
    <n v="2019"/>
    <x v="6"/>
    <n v="16"/>
    <x v="22"/>
    <n v="0"/>
    <n v="28500"/>
    <n v="0"/>
  </r>
  <r>
    <n v="2019"/>
    <x v="6"/>
    <n v="16"/>
    <x v="23"/>
    <n v="0"/>
    <n v="28500"/>
    <n v="0"/>
  </r>
  <r>
    <n v="2019"/>
    <x v="6"/>
    <n v="17"/>
    <x v="0"/>
    <n v="0"/>
    <n v="28500"/>
    <n v="0"/>
  </r>
  <r>
    <n v="2019"/>
    <x v="6"/>
    <n v="17"/>
    <x v="1"/>
    <n v="0"/>
    <n v="28500"/>
    <n v="0"/>
  </r>
  <r>
    <n v="2019"/>
    <x v="6"/>
    <n v="17"/>
    <x v="2"/>
    <n v="0"/>
    <n v="28500"/>
    <n v="0"/>
  </r>
  <r>
    <n v="2019"/>
    <x v="6"/>
    <n v="17"/>
    <x v="3"/>
    <n v="0"/>
    <n v="28500"/>
    <n v="0"/>
  </r>
  <r>
    <n v="2019"/>
    <x v="6"/>
    <n v="17"/>
    <x v="4"/>
    <n v="0"/>
    <n v="28500"/>
    <n v="0"/>
  </r>
  <r>
    <n v="2019"/>
    <x v="6"/>
    <n v="17"/>
    <x v="5"/>
    <n v="1367.5"/>
    <n v="28500"/>
    <n v="4.7982456140350876E-2"/>
  </r>
  <r>
    <n v="2019"/>
    <x v="6"/>
    <n v="17"/>
    <x v="6"/>
    <n v="4021.5"/>
    <n v="28500"/>
    <n v="0.14110526315789473"/>
  </r>
  <r>
    <n v="2019"/>
    <x v="6"/>
    <n v="17"/>
    <x v="7"/>
    <n v="10684"/>
    <n v="28500"/>
    <n v="0.37487719298245614"/>
  </r>
  <r>
    <n v="2019"/>
    <x v="6"/>
    <n v="17"/>
    <x v="8"/>
    <n v="19194"/>
    <n v="28500"/>
    <n v="0.67347368421052634"/>
  </r>
  <r>
    <n v="2019"/>
    <x v="6"/>
    <n v="17"/>
    <x v="9"/>
    <n v="27992"/>
    <n v="28500"/>
    <n v="0.98217543859649126"/>
  </r>
  <r>
    <n v="2019"/>
    <x v="6"/>
    <n v="17"/>
    <x v="10"/>
    <n v="29607.5"/>
    <n v="28500"/>
    <n v="1.038859649122807"/>
  </r>
  <r>
    <n v="2019"/>
    <x v="6"/>
    <n v="17"/>
    <x v="11"/>
    <n v="32700"/>
    <n v="28500"/>
    <n v="1.1473684210526316"/>
  </r>
  <r>
    <n v="2019"/>
    <x v="6"/>
    <n v="17"/>
    <x v="12"/>
    <n v="27415"/>
    <n v="28500"/>
    <n v="0.96192982456140352"/>
  </r>
  <r>
    <n v="2019"/>
    <x v="6"/>
    <n v="17"/>
    <x v="13"/>
    <n v="21932"/>
    <n v="28500"/>
    <n v="0.76954385964912275"/>
  </r>
  <r>
    <n v="2019"/>
    <x v="6"/>
    <n v="17"/>
    <x v="14"/>
    <n v="19256"/>
    <n v="28500"/>
    <n v="0.6756491228070175"/>
  </r>
  <r>
    <n v="2019"/>
    <x v="6"/>
    <n v="17"/>
    <x v="15"/>
    <n v="7130.5"/>
    <n v="28500"/>
    <n v="0.25019298245614036"/>
  </r>
  <r>
    <n v="2019"/>
    <x v="6"/>
    <n v="17"/>
    <x v="16"/>
    <n v="9018"/>
    <n v="28500"/>
    <n v="0.31642105263157894"/>
  </r>
  <r>
    <n v="2019"/>
    <x v="6"/>
    <n v="17"/>
    <x v="17"/>
    <n v="2828"/>
    <n v="28500"/>
    <n v="9.9228070175438596E-2"/>
  </r>
  <r>
    <n v="2019"/>
    <x v="6"/>
    <n v="17"/>
    <x v="18"/>
    <n v="1656"/>
    <n v="28500"/>
    <n v="5.8105263157894736E-2"/>
  </r>
  <r>
    <n v="2019"/>
    <x v="6"/>
    <n v="17"/>
    <x v="19"/>
    <n v="2"/>
    <n v="28500"/>
    <n v="7.0175438596491223E-5"/>
  </r>
  <r>
    <n v="2019"/>
    <x v="6"/>
    <n v="17"/>
    <x v="20"/>
    <n v="0"/>
    <n v="28500"/>
    <n v="0"/>
  </r>
  <r>
    <n v="2019"/>
    <x v="6"/>
    <n v="17"/>
    <x v="21"/>
    <n v="0"/>
    <n v="28500"/>
    <n v="0"/>
  </r>
  <r>
    <n v="2019"/>
    <x v="6"/>
    <n v="17"/>
    <x v="22"/>
    <n v="0"/>
    <n v="28500"/>
    <n v="0"/>
  </r>
  <r>
    <n v="2019"/>
    <x v="6"/>
    <n v="17"/>
    <x v="23"/>
    <n v="0"/>
    <n v="28500"/>
    <n v="0"/>
  </r>
  <r>
    <n v="2019"/>
    <x v="6"/>
    <n v="18"/>
    <x v="0"/>
    <n v="0"/>
    <n v="28500"/>
    <n v="0"/>
  </r>
  <r>
    <n v="2019"/>
    <x v="6"/>
    <n v="18"/>
    <x v="1"/>
    <n v="0"/>
    <n v="28500"/>
    <n v="0"/>
  </r>
  <r>
    <n v="2019"/>
    <x v="6"/>
    <n v="18"/>
    <x v="2"/>
    <n v="0"/>
    <n v="28500"/>
    <n v="0"/>
  </r>
  <r>
    <n v="2019"/>
    <x v="6"/>
    <n v="18"/>
    <x v="3"/>
    <n v="0"/>
    <n v="28500"/>
    <n v="0"/>
  </r>
  <r>
    <n v="2019"/>
    <x v="6"/>
    <n v="18"/>
    <x v="4"/>
    <n v="0"/>
    <n v="28500"/>
    <n v="0"/>
  </r>
  <r>
    <n v="2019"/>
    <x v="6"/>
    <n v="18"/>
    <x v="5"/>
    <n v="54.5"/>
    <n v="28500"/>
    <n v="1.9122807017543859E-3"/>
  </r>
  <r>
    <n v="2019"/>
    <x v="6"/>
    <n v="18"/>
    <x v="6"/>
    <n v="2204.5"/>
    <n v="28500"/>
    <n v="7.7350877192982462E-2"/>
  </r>
  <r>
    <n v="2019"/>
    <x v="6"/>
    <n v="18"/>
    <x v="7"/>
    <n v="2453"/>
    <n v="28500"/>
    <n v="8.6070175438596491E-2"/>
  </r>
  <r>
    <n v="2019"/>
    <x v="6"/>
    <n v="18"/>
    <x v="8"/>
    <n v="2600"/>
    <n v="28500"/>
    <n v="9.1228070175438603E-2"/>
  </r>
  <r>
    <n v="2019"/>
    <x v="6"/>
    <n v="18"/>
    <x v="9"/>
    <n v="5589.5"/>
    <n v="28500"/>
    <n v="0.19612280701754387"/>
  </r>
  <r>
    <n v="2019"/>
    <x v="6"/>
    <n v="18"/>
    <x v="10"/>
    <n v="11855.5"/>
    <n v="28500"/>
    <n v="0.4159824561403509"/>
  </r>
  <r>
    <n v="2019"/>
    <x v="6"/>
    <n v="18"/>
    <x v="11"/>
    <n v="6910"/>
    <n v="28500"/>
    <n v="0.2424561403508772"/>
  </r>
  <r>
    <n v="2019"/>
    <x v="6"/>
    <n v="18"/>
    <x v="12"/>
    <n v="6187"/>
    <n v="28500"/>
    <n v="0.21708771929824561"/>
  </r>
  <r>
    <n v="2019"/>
    <x v="6"/>
    <n v="18"/>
    <x v="13"/>
    <n v="10835"/>
    <n v="28500"/>
    <n v="0.38017543859649122"/>
  </r>
  <r>
    <n v="2019"/>
    <x v="6"/>
    <n v="18"/>
    <x v="14"/>
    <n v="9966.5"/>
    <n v="28500"/>
    <n v="0.3497017543859649"/>
  </r>
  <r>
    <n v="2019"/>
    <x v="6"/>
    <n v="18"/>
    <x v="15"/>
    <n v="17635.5"/>
    <n v="28500"/>
    <n v="0.61878947368421056"/>
  </r>
  <r>
    <n v="2019"/>
    <x v="6"/>
    <n v="18"/>
    <x v="16"/>
    <n v="13176.5"/>
    <n v="28500"/>
    <n v="0.46233333333333332"/>
  </r>
  <r>
    <n v="2019"/>
    <x v="6"/>
    <n v="18"/>
    <x v="17"/>
    <n v="8035.5"/>
    <n v="28500"/>
    <n v="0.28194736842105261"/>
  </r>
  <r>
    <n v="2019"/>
    <x v="6"/>
    <n v="18"/>
    <x v="18"/>
    <n v="3319"/>
    <n v="28500"/>
    <n v="0.11645614035087719"/>
  </r>
  <r>
    <n v="2019"/>
    <x v="6"/>
    <n v="18"/>
    <x v="19"/>
    <n v="823"/>
    <n v="28500"/>
    <n v="2.887719298245614E-2"/>
  </r>
  <r>
    <n v="2019"/>
    <x v="6"/>
    <n v="18"/>
    <x v="20"/>
    <n v="0"/>
    <n v="28500"/>
    <n v="0"/>
  </r>
  <r>
    <n v="2019"/>
    <x v="6"/>
    <n v="18"/>
    <x v="21"/>
    <n v="0"/>
    <n v="28500"/>
    <n v="0"/>
  </r>
  <r>
    <n v="2019"/>
    <x v="6"/>
    <n v="18"/>
    <x v="22"/>
    <n v="0"/>
    <n v="28500"/>
    <n v="0"/>
  </r>
  <r>
    <n v="2019"/>
    <x v="6"/>
    <n v="18"/>
    <x v="23"/>
    <n v="0"/>
    <n v="28500"/>
    <n v="0"/>
  </r>
  <r>
    <n v="2019"/>
    <x v="6"/>
    <n v="19"/>
    <x v="0"/>
    <n v="0"/>
    <n v="28500"/>
    <n v="0"/>
  </r>
  <r>
    <n v="2019"/>
    <x v="6"/>
    <n v="19"/>
    <x v="1"/>
    <n v="0"/>
    <n v="28500"/>
    <n v="0"/>
  </r>
  <r>
    <n v="2019"/>
    <x v="6"/>
    <n v="19"/>
    <x v="2"/>
    <n v="0"/>
    <n v="28500"/>
    <n v="0"/>
  </r>
  <r>
    <n v="2019"/>
    <x v="6"/>
    <n v="19"/>
    <x v="3"/>
    <n v="0"/>
    <n v="28500"/>
    <n v="0"/>
  </r>
  <r>
    <n v="2019"/>
    <x v="6"/>
    <n v="19"/>
    <x v="4"/>
    <n v="0"/>
    <n v="28500"/>
    <n v="0"/>
  </r>
  <r>
    <n v="2019"/>
    <x v="6"/>
    <n v="19"/>
    <x v="5"/>
    <n v="1069.5"/>
    <n v="28500"/>
    <n v="3.7526315789473685E-2"/>
  </r>
  <r>
    <n v="2019"/>
    <x v="6"/>
    <n v="19"/>
    <x v="6"/>
    <n v="1076"/>
    <n v="28500"/>
    <n v="3.7754385964912283E-2"/>
  </r>
  <r>
    <n v="2019"/>
    <x v="6"/>
    <n v="19"/>
    <x v="7"/>
    <n v="5542"/>
    <n v="28500"/>
    <n v="0.19445614035087719"/>
  </r>
  <r>
    <n v="2019"/>
    <x v="6"/>
    <n v="19"/>
    <x v="8"/>
    <n v="6516"/>
    <n v="28500"/>
    <n v="0.22863157894736841"/>
  </r>
  <r>
    <n v="2019"/>
    <x v="6"/>
    <n v="19"/>
    <x v="9"/>
    <n v="14796"/>
    <n v="28500"/>
    <n v="0.51915789473684215"/>
  </r>
  <r>
    <n v="2019"/>
    <x v="6"/>
    <n v="19"/>
    <x v="10"/>
    <n v="6799"/>
    <n v="28500"/>
    <n v="0.23856140350877192"/>
  </r>
  <r>
    <n v="2019"/>
    <x v="6"/>
    <n v="19"/>
    <x v="11"/>
    <n v="15923.5"/>
    <n v="28500"/>
    <n v="0.55871929824561406"/>
  </r>
  <r>
    <n v="2019"/>
    <x v="6"/>
    <n v="19"/>
    <x v="12"/>
    <n v="3709"/>
    <n v="28500"/>
    <n v="0.13014035087719297"/>
  </r>
  <r>
    <n v="2019"/>
    <x v="6"/>
    <n v="19"/>
    <x v="13"/>
    <n v="5334.5"/>
    <n v="28500"/>
    <n v="0.18717543859649122"/>
  </r>
  <r>
    <n v="2019"/>
    <x v="6"/>
    <n v="19"/>
    <x v="14"/>
    <n v="9847"/>
    <n v="28500"/>
    <n v="0.34550877192982454"/>
  </r>
  <r>
    <n v="2019"/>
    <x v="6"/>
    <n v="19"/>
    <x v="15"/>
    <n v="2942"/>
    <n v="28500"/>
    <n v="0.1032280701754386"/>
  </r>
  <r>
    <n v="2019"/>
    <x v="6"/>
    <n v="19"/>
    <x v="16"/>
    <n v="8954"/>
    <n v="28500"/>
    <n v="0.31417543859649122"/>
  </r>
  <r>
    <n v="2019"/>
    <x v="6"/>
    <n v="19"/>
    <x v="17"/>
    <n v="1565"/>
    <n v="28500"/>
    <n v="5.4912280701754385E-2"/>
  </r>
  <r>
    <n v="2019"/>
    <x v="6"/>
    <n v="19"/>
    <x v="18"/>
    <n v="258.5"/>
    <n v="28500"/>
    <n v="9.0701754385964905E-3"/>
  </r>
  <r>
    <n v="2019"/>
    <x v="6"/>
    <n v="19"/>
    <x v="19"/>
    <n v="0"/>
    <n v="28500"/>
    <n v="0"/>
  </r>
  <r>
    <n v="2019"/>
    <x v="6"/>
    <n v="19"/>
    <x v="20"/>
    <n v="0"/>
    <n v="28500"/>
    <n v="0"/>
  </r>
  <r>
    <n v="2019"/>
    <x v="6"/>
    <n v="19"/>
    <x v="21"/>
    <n v="0"/>
    <n v="28500"/>
    <n v="0"/>
  </r>
  <r>
    <n v="2019"/>
    <x v="6"/>
    <n v="19"/>
    <x v="22"/>
    <n v="0"/>
    <n v="28500"/>
    <n v="0"/>
  </r>
  <r>
    <n v="2019"/>
    <x v="6"/>
    <n v="19"/>
    <x v="23"/>
    <n v="0"/>
    <n v="28500"/>
    <n v="0"/>
  </r>
  <r>
    <n v="2019"/>
    <x v="6"/>
    <n v="20"/>
    <x v="0"/>
    <n v="0"/>
    <n v="28500"/>
    <n v="0"/>
  </r>
  <r>
    <n v="2019"/>
    <x v="6"/>
    <n v="20"/>
    <x v="1"/>
    <n v="0"/>
    <n v="28500"/>
    <n v="0"/>
  </r>
  <r>
    <n v="2019"/>
    <x v="6"/>
    <n v="20"/>
    <x v="2"/>
    <n v="0"/>
    <n v="28500"/>
    <n v="0"/>
  </r>
  <r>
    <n v="2019"/>
    <x v="6"/>
    <n v="20"/>
    <x v="3"/>
    <n v="0"/>
    <n v="28500"/>
    <n v="0"/>
  </r>
  <r>
    <n v="2019"/>
    <x v="6"/>
    <n v="20"/>
    <x v="4"/>
    <n v="0"/>
    <n v="28500"/>
    <n v="0"/>
  </r>
  <r>
    <n v="2019"/>
    <x v="6"/>
    <n v="20"/>
    <x v="5"/>
    <n v="1150"/>
    <n v="28500"/>
    <n v="4.0350877192982457E-2"/>
  </r>
  <r>
    <n v="2019"/>
    <x v="6"/>
    <n v="20"/>
    <x v="6"/>
    <n v="3993"/>
    <n v="28500"/>
    <n v="0.14010526315789473"/>
  </r>
  <r>
    <n v="2019"/>
    <x v="6"/>
    <n v="20"/>
    <x v="7"/>
    <n v="1476.5"/>
    <n v="28500"/>
    <n v="5.1807017543859649E-2"/>
  </r>
  <r>
    <n v="2019"/>
    <x v="6"/>
    <n v="20"/>
    <x v="8"/>
    <n v="10318"/>
    <n v="28500"/>
    <n v="0.36203508771929827"/>
  </r>
  <r>
    <n v="2019"/>
    <x v="6"/>
    <n v="20"/>
    <x v="9"/>
    <n v="22462"/>
    <n v="28500"/>
    <n v="0.78814035087719303"/>
  </r>
  <r>
    <n v="2019"/>
    <x v="6"/>
    <n v="20"/>
    <x v="10"/>
    <n v="32386.5"/>
    <n v="28500"/>
    <n v="1.1363684210526315"/>
  </r>
  <r>
    <n v="2019"/>
    <x v="6"/>
    <n v="20"/>
    <x v="11"/>
    <n v="8017"/>
    <n v="28500"/>
    <n v="0.2812982456140351"/>
  </r>
  <r>
    <n v="2019"/>
    <x v="6"/>
    <n v="20"/>
    <x v="12"/>
    <n v="35852"/>
    <n v="28500"/>
    <n v="1.2579649122807017"/>
  </r>
  <r>
    <n v="2019"/>
    <x v="6"/>
    <n v="20"/>
    <x v="13"/>
    <n v="15098.5"/>
    <n v="28500"/>
    <n v="0.52977192982456145"/>
  </r>
  <r>
    <n v="2019"/>
    <x v="6"/>
    <n v="20"/>
    <x v="14"/>
    <n v="23811.5"/>
    <n v="28500"/>
    <n v="0.8354912280701754"/>
  </r>
  <r>
    <n v="2019"/>
    <x v="6"/>
    <n v="20"/>
    <x v="15"/>
    <n v="18085.5"/>
    <n v="28500"/>
    <n v="0.63457894736842102"/>
  </r>
  <r>
    <n v="2019"/>
    <x v="6"/>
    <n v="20"/>
    <x v="16"/>
    <n v="17377.5"/>
    <n v="28500"/>
    <n v="0.60973684210526313"/>
  </r>
  <r>
    <n v="2019"/>
    <x v="6"/>
    <n v="20"/>
    <x v="17"/>
    <n v="6686"/>
    <n v="28500"/>
    <n v="0.23459649122807016"/>
  </r>
  <r>
    <n v="2019"/>
    <x v="6"/>
    <n v="20"/>
    <x v="18"/>
    <n v="3249.5"/>
    <n v="28500"/>
    <n v="0.11401754385964913"/>
  </r>
  <r>
    <n v="2019"/>
    <x v="6"/>
    <n v="20"/>
    <x v="19"/>
    <n v="855"/>
    <n v="28500"/>
    <n v="0.03"/>
  </r>
  <r>
    <n v="2019"/>
    <x v="6"/>
    <n v="20"/>
    <x v="20"/>
    <n v="0"/>
    <n v="28500"/>
    <n v="0"/>
  </r>
  <r>
    <n v="2019"/>
    <x v="6"/>
    <n v="20"/>
    <x v="21"/>
    <n v="0"/>
    <n v="28500"/>
    <n v="0"/>
  </r>
  <r>
    <n v="2019"/>
    <x v="6"/>
    <n v="20"/>
    <x v="22"/>
    <n v="0"/>
    <n v="28500"/>
    <n v="0"/>
  </r>
  <r>
    <n v="2019"/>
    <x v="6"/>
    <n v="20"/>
    <x v="23"/>
    <n v="0"/>
    <n v="28500"/>
    <n v="0"/>
  </r>
  <r>
    <n v="2019"/>
    <x v="6"/>
    <n v="21"/>
    <x v="0"/>
    <n v="0"/>
    <n v="28500"/>
    <n v="0"/>
  </r>
  <r>
    <n v="2019"/>
    <x v="6"/>
    <n v="21"/>
    <x v="1"/>
    <n v="0"/>
    <n v="28500"/>
    <n v="0"/>
  </r>
  <r>
    <n v="2019"/>
    <x v="6"/>
    <n v="21"/>
    <x v="2"/>
    <n v="0"/>
    <n v="28500"/>
    <n v="0"/>
  </r>
  <r>
    <n v="2019"/>
    <x v="6"/>
    <n v="21"/>
    <x v="3"/>
    <n v="0"/>
    <n v="28500"/>
    <n v="0"/>
  </r>
  <r>
    <n v="2019"/>
    <x v="6"/>
    <n v="21"/>
    <x v="4"/>
    <n v="0"/>
    <n v="28500"/>
    <n v="0"/>
  </r>
  <r>
    <n v="2019"/>
    <x v="6"/>
    <n v="21"/>
    <x v="5"/>
    <n v="444.5"/>
    <n v="28500"/>
    <n v="1.5596491228070176E-2"/>
  </r>
  <r>
    <n v="2019"/>
    <x v="6"/>
    <n v="21"/>
    <x v="6"/>
    <n v="4022"/>
    <n v="28500"/>
    <n v="0.14112280701754387"/>
  </r>
  <r>
    <n v="2019"/>
    <x v="6"/>
    <n v="21"/>
    <x v="7"/>
    <n v="10935.5"/>
    <n v="28500"/>
    <n v="0.38370175438596493"/>
  </r>
  <r>
    <n v="2019"/>
    <x v="6"/>
    <n v="21"/>
    <x v="8"/>
    <n v="21034.5"/>
    <n v="28500"/>
    <n v="0.7380526315789474"/>
  </r>
  <r>
    <n v="2019"/>
    <x v="6"/>
    <n v="21"/>
    <x v="9"/>
    <n v="28271.5"/>
    <n v="28500"/>
    <n v="0.99198245614035085"/>
  </r>
  <r>
    <n v="2019"/>
    <x v="6"/>
    <n v="21"/>
    <x v="10"/>
    <n v="14280"/>
    <n v="28500"/>
    <n v="0.50105263157894742"/>
  </r>
  <r>
    <n v="2019"/>
    <x v="6"/>
    <n v="21"/>
    <x v="11"/>
    <n v="13979.5"/>
    <n v="28500"/>
    <n v="0.49050877192982456"/>
  </r>
  <r>
    <n v="2019"/>
    <x v="6"/>
    <n v="21"/>
    <x v="12"/>
    <n v="22484"/>
    <n v="28500"/>
    <n v="0.78891228070175434"/>
  </r>
  <r>
    <n v="2019"/>
    <x v="6"/>
    <n v="21"/>
    <x v="13"/>
    <n v="27577.5"/>
    <n v="28500"/>
    <n v="0.9676315789473684"/>
  </r>
  <r>
    <n v="2019"/>
    <x v="6"/>
    <n v="21"/>
    <x v="14"/>
    <n v="25206"/>
    <n v="28500"/>
    <n v="0.884421052631579"/>
  </r>
  <r>
    <n v="2019"/>
    <x v="6"/>
    <n v="21"/>
    <x v="15"/>
    <n v="15444.5"/>
    <n v="28500"/>
    <n v="0.54191228070175435"/>
  </r>
  <r>
    <n v="2019"/>
    <x v="6"/>
    <n v="21"/>
    <x v="16"/>
    <n v="10873"/>
    <n v="28500"/>
    <n v="0.38150877192982457"/>
  </r>
  <r>
    <n v="2019"/>
    <x v="6"/>
    <n v="21"/>
    <x v="17"/>
    <n v="6927.5"/>
    <n v="28500"/>
    <n v="0.24307017543859649"/>
  </r>
  <r>
    <n v="2019"/>
    <x v="6"/>
    <n v="21"/>
    <x v="18"/>
    <n v="3146"/>
    <n v="28500"/>
    <n v="0.1103859649122807"/>
  </r>
  <r>
    <n v="2019"/>
    <x v="6"/>
    <n v="21"/>
    <x v="19"/>
    <n v="654"/>
    <n v="28500"/>
    <n v="2.2947368421052633E-2"/>
  </r>
  <r>
    <n v="2019"/>
    <x v="6"/>
    <n v="21"/>
    <x v="20"/>
    <n v="0"/>
    <n v="28500"/>
    <n v="0"/>
  </r>
  <r>
    <n v="2019"/>
    <x v="6"/>
    <n v="21"/>
    <x v="21"/>
    <n v="0"/>
    <n v="28500"/>
    <n v="0"/>
  </r>
  <r>
    <n v="2019"/>
    <x v="6"/>
    <n v="21"/>
    <x v="22"/>
    <n v="0"/>
    <n v="28500"/>
    <n v="0"/>
  </r>
  <r>
    <n v="2019"/>
    <x v="6"/>
    <n v="21"/>
    <x v="23"/>
    <n v="0"/>
    <n v="28500"/>
    <n v="0"/>
  </r>
  <r>
    <n v="2019"/>
    <x v="6"/>
    <n v="22"/>
    <x v="0"/>
    <n v="0"/>
    <n v="28500"/>
    <n v="0"/>
  </r>
  <r>
    <n v="2019"/>
    <x v="6"/>
    <n v="22"/>
    <x v="1"/>
    <n v="0"/>
    <n v="28500"/>
    <n v="0"/>
  </r>
  <r>
    <n v="2019"/>
    <x v="6"/>
    <n v="22"/>
    <x v="2"/>
    <n v="0"/>
    <n v="28500"/>
    <n v="0"/>
  </r>
  <r>
    <n v="2019"/>
    <x v="6"/>
    <n v="22"/>
    <x v="3"/>
    <n v="0"/>
    <n v="28500"/>
    <n v="0"/>
  </r>
  <r>
    <n v="2019"/>
    <x v="6"/>
    <n v="22"/>
    <x v="4"/>
    <n v="0"/>
    <n v="28500"/>
    <n v="0"/>
  </r>
  <r>
    <n v="2019"/>
    <x v="6"/>
    <n v="22"/>
    <x v="5"/>
    <n v="1094"/>
    <n v="28500"/>
    <n v="3.8385964912280704E-2"/>
  </r>
  <r>
    <n v="2019"/>
    <x v="6"/>
    <n v="22"/>
    <x v="6"/>
    <n v="3055"/>
    <n v="28500"/>
    <n v="0.10719298245614035"/>
  </r>
  <r>
    <n v="2019"/>
    <x v="6"/>
    <n v="22"/>
    <x v="7"/>
    <n v="10130.5"/>
    <n v="28500"/>
    <n v="0.35545614035087719"/>
  </r>
  <r>
    <n v="2019"/>
    <x v="6"/>
    <n v="22"/>
    <x v="8"/>
    <n v="19421"/>
    <n v="28500"/>
    <n v="0.68143859649122807"/>
  </r>
  <r>
    <n v="2019"/>
    <x v="6"/>
    <n v="22"/>
    <x v="9"/>
    <n v="13777.5"/>
    <n v="28500"/>
    <n v="0.48342105263157897"/>
  </r>
  <r>
    <n v="2019"/>
    <x v="6"/>
    <n v="22"/>
    <x v="10"/>
    <n v="12011.5"/>
    <n v="28500"/>
    <n v="0.4214561403508772"/>
  </r>
  <r>
    <n v="2019"/>
    <x v="6"/>
    <n v="22"/>
    <x v="11"/>
    <n v="15335"/>
    <n v="28500"/>
    <n v="0.53807017543859648"/>
  </r>
  <r>
    <n v="2019"/>
    <x v="6"/>
    <n v="22"/>
    <x v="12"/>
    <n v="14631"/>
    <n v="28500"/>
    <n v="0.51336842105263158"/>
  </r>
  <r>
    <n v="2019"/>
    <x v="6"/>
    <n v="22"/>
    <x v="13"/>
    <n v="14102.5"/>
    <n v="28500"/>
    <n v="0.49482456140350878"/>
  </r>
  <r>
    <n v="2019"/>
    <x v="6"/>
    <n v="22"/>
    <x v="14"/>
    <n v="26883.5"/>
    <n v="28500"/>
    <n v="0.94328070175438594"/>
  </r>
  <r>
    <n v="2019"/>
    <x v="6"/>
    <n v="22"/>
    <x v="15"/>
    <n v="24906.5"/>
    <n v="28500"/>
    <n v="0.87391228070175442"/>
  </r>
  <r>
    <n v="2019"/>
    <x v="6"/>
    <n v="22"/>
    <x v="16"/>
    <n v="18833.5"/>
    <n v="28500"/>
    <n v="0.66082456140350876"/>
  </r>
  <r>
    <n v="2019"/>
    <x v="6"/>
    <n v="22"/>
    <x v="17"/>
    <n v="9414"/>
    <n v="28500"/>
    <n v="0.33031578947368423"/>
  </r>
  <r>
    <n v="2019"/>
    <x v="6"/>
    <n v="22"/>
    <x v="18"/>
    <n v="1830.5"/>
    <n v="28500"/>
    <n v="6.4228070175438592E-2"/>
  </r>
  <r>
    <n v="2019"/>
    <x v="6"/>
    <n v="22"/>
    <x v="19"/>
    <n v="727.5"/>
    <n v="28500"/>
    <n v="2.5526315789473685E-2"/>
  </r>
  <r>
    <n v="2019"/>
    <x v="6"/>
    <n v="22"/>
    <x v="20"/>
    <n v="0"/>
    <n v="28500"/>
    <n v="0"/>
  </r>
  <r>
    <n v="2019"/>
    <x v="6"/>
    <n v="22"/>
    <x v="21"/>
    <n v="0"/>
    <n v="28500"/>
    <n v="0"/>
  </r>
  <r>
    <n v="2019"/>
    <x v="6"/>
    <n v="22"/>
    <x v="22"/>
    <n v="0"/>
    <n v="28500"/>
    <n v="0"/>
  </r>
  <r>
    <n v="2019"/>
    <x v="6"/>
    <n v="22"/>
    <x v="23"/>
    <n v="0"/>
    <n v="28500"/>
    <n v="0"/>
  </r>
  <r>
    <n v="2019"/>
    <x v="6"/>
    <n v="23"/>
    <x v="0"/>
    <n v="0"/>
    <n v="28500"/>
    <n v="0"/>
  </r>
  <r>
    <n v="2019"/>
    <x v="6"/>
    <n v="23"/>
    <x v="1"/>
    <n v="0"/>
    <n v="28500"/>
    <n v="0"/>
  </r>
  <r>
    <n v="2019"/>
    <x v="6"/>
    <n v="23"/>
    <x v="2"/>
    <n v="0"/>
    <n v="28500"/>
    <n v="0"/>
  </r>
  <r>
    <n v="2019"/>
    <x v="6"/>
    <n v="23"/>
    <x v="3"/>
    <n v="0"/>
    <n v="28500"/>
    <n v="0"/>
  </r>
  <r>
    <n v="2019"/>
    <x v="6"/>
    <n v="23"/>
    <x v="4"/>
    <n v="0"/>
    <n v="28500"/>
    <n v="0"/>
  </r>
  <r>
    <n v="2019"/>
    <x v="6"/>
    <n v="23"/>
    <x v="5"/>
    <n v="1099"/>
    <n v="28500"/>
    <n v="3.8561403508771928E-2"/>
  </r>
  <r>
    <n v="2019"/>
    <x v="6"/>
    <n v="23"/>
    <x v="6"/>
    <n v="3098"/>
    <n v="28500"/>
    <n v="0.10870175438596491"/>
  </r>
  <r>
    <n v="2019"/>
    <x v="6"/>
    <n v="23"/>
    <x v="7"/>
    <n v="11524"/>
    <n v="28500"/>
    <n v="0.40435087719298246"/>
  </r>
  <r>
    <n v="2019"/>
    <x v="6"/>
    <n v="23"/>
    <x v="8"/>
    <n v="21063"/>
    <n v="28500"/>
    <n v="0.73905263157894741"/>
  </r>
  <r>
    <n v="2019"/>
    <x v="6"/>
    <n v="23"/>
    <x v="9"/>
    <n v="28946"/>
    <n v="28500"/>
    <n v="1.0156491228070175"/>
  </r>
  <r>
    <n v="2019"/>
    <x v="6"/>
    <n v="23"/>
    <x v="10"/>
    <n v="33958.5"/>
    <n v="28500"/>
    <n v="1.1915263157894738"/>
  </r>
  <r>
    <n v="2019"/>
    <x v="6"/>
    <n v="23"/>
    <x v="11"/>
    <n v="36940.5"/>
    <n v="28500"/>
    <n v="1.2961578947368422"/>
  </r>
  <r>
    <n v="2019"/>
    <x v="6"/>
    <n v="23"/>
    <x v="12"/>
    <n v="37915.5"/>
    <n v="28500"/>
    <n v="1.3303684210526316"/>
  </r>
  <r>
    <n v="2019"/>
    <x v="6"/>
    <n v="23"/>
    <x v="13"/>
    <n v="36339.5"/>
    <n v="28500"/>
    <n v="1.2750701754385965"/>
  </r>
  <r>
    <n v="2019"/>
    <x v="6"/>
    <n v="23"/>
    <x v="14"/>
    <n v="32849"/>
    <n v="28500"/>
    <n v="1.1525964912280702"/>
  </r>
  <r>
    <n v="2019"/>
    <x v="6"/>
    <n v="23"/>
    <x v="15"/>
    <n v="26392"/>
    <n v="28500"/>
    <n v="0.92603508771929821"/>
  </r>
  <r>
    <n v="2019"/>
    <x v="6"/>
    <n v="23"/>
    <x v="16"/>
    <n v="18479.5"/>
    <n v="28500"/>
    <n v="0.64840350877192987"/>
  </r>
  <r>
    <n v="2019"/>
    <x v="6"/>
    <n v="23"/>
    <x v="17"/>
    <n v="9470.5"/>
    <n v="28500"/>
    <n v="0.33229824561403509"/>
  </r>
  <r>
    <n v="2019"/>
    <x v="6"/>
    <n v="23"/>
    <x v="18"/>
    <n v="2417"/>
    <n v="28500"/>
    <n v="8.480701754385965E-2"/>
  </r>
  <r>
    <n v="2019"/>
    <x v="6"/>
    <n v="23"/>
    <x v="19"/>
    <n v="712.5"/>
    <n v="28500"/>
    <n v="2.5000000000000001E-2"/>
  </r>
  <r>
    <n v="2019"/>
    <x v="6"/>
    <n v="23"/>
    <x v="20"/>
    <n v="0"/>
    <n v="28500"/>
    <n v="0"/>
  </r>
  <r>
    <n v="2019"/>
    <x v="6"/>
    <n v="23"/>
    <x v="21"/>
    <n v="0"/>
    <n v="28500"/>
    <n v="0"/>
  </r>
  <r>
    <n v="2019"/>
    <x v="6"/>
    <n v="23"/>
    <x v="22"/>
    <n v="0"/>
    <n v="28500"/>
    <n v="0"/>
  </r>
  <r>
    <n v="2019"/>
    <x v="6"/>
    <n v="23"/>
    <x v="23"/>
    <n v="0"/>
    <n v="28500"/>
    <n v="0"/>
  </r>
  <r>
    <n v="2019"/>
    <x v="6"/>
    <n v="24"/>
    <x v="0"/>
    <n v="0"/>
    <n v="28500"/>
    <n v="0"/>
  </r>
  <r>
    <n v="2019"/>
    <x v="6"/>
    <n v="24"/>
    <x v="1"/>
    <n v="0"/>
    <n v="28500"/>
    <n v="0"/>
  </r>
  <r>
    <n v="2019"/>
    <x v="6"/>
    <n v="24"/>
    <x v="2"/>
    <n v="0"/>
    <n v="28500"/>
    <n v="0"/>
  </r>
  <r>
    <n v="2019"/>
    <x v="6"/>
    <n v="24"/>
    <x v="3"/>
    <n v="0"/>
    <n v="28500"/>
    <n v="0"/>
  </r>
  <r>
    <n v="2019"/>
    <x v="6"/>
    <n v="24"/>
    <x v="4"/>
    <n v="0"/>
    <n v="28500"/>
    <n v="0"/>
  </r>
  <r>
    <n v="2019"/>
    <x v="6"/>
    <n v="24"/>
    <x v="5"/>
    <n v="941.5"/>
    <n v="28500"/>
    <n v="3.3035087719298244E-2"/>
  </r>
  <r>
    <n v="2019"/>
    <x v="6"/>
    <n v="24"/>
    <x v="6"/>
    <n v="3732"/>
    <n v="28500"/>
    <n v="0.13094736842105262"/>
  </r>
  <r>
    <n v="2019"/>
    <x v="6"/>
    <n v="24"/>
    <x v="7"/>
    <n v="11123"/>
    <n v="28500"/>
    <n v="0.39028070175438595"/>
  </r>
  <r>
    <n v="2019"/>
    <x v="6"/>
    <n v="24"/>
    <x v="8"/>
    <n v="20607.5"/>
    <n v="28500"/>
    <n v="0.72307017543859653"/>
  </r>
  <r>
    <n v="2019"/>
    <x v="6"/>
    <n v="24"/>
    <x v="9"/>
    <n v="28561.5"/>
    <n v="28500"/>
    <n v="1.0021578947368421"/>
  </r>
  <r>
    <n v="2019"/>
    <x v="6"/>
    <n v="24"/>
    <x v="10"/>
    <n v="33787.5"/>
    <n v="28500"/>
    <n v="1.1855263157894738"/>
  </r>
  <r>
    <n v="2019"/>
    <x v="6"/>
    <n v="24"/>
    <x v="11"/>
    <n v="36598.5"/>
    <n v="28500"/>
    <n v="1.2841578947368422"/>
  </r>
  <r>
    <n v="2019"/>
    <x v="6"/>
    <n v="24"/>
    <x v="12"/>
    <n v="37683"/>
    <n v="28500"/>
    <n v="1.3222105263157895"/>
  </r>
  <r>
    <n v="2019"/>
    <x v="6"/>
    <n v="24"/>
    <x v="13"/>
    <n v="34201"/>
    <n v="28500"/>
    <n v="1.2000350877192982"/>
  </r>
  <r>
    <n v="2019"/>
    <x v="6"/>
    <n v="24"/>
    <x v="14"/>
    <n v="32319.5"/>
    <n v="28500"/>
    <n v="1.1340175438596491"/>
  </r>
  <r>
    <n v="2019"/>
    <x v="6"/>
    <n v="24"/>
    <x v="15"/>
    <n v="26856"/>
    <n v="28500"/>
    <n v="0.94231578947368422"/>
  </r>
  <r>
    <n v="2019"/>
    <x v="6"/>
    <n v="24"/>
    <x v="16"/>
    <n v="18587.5"/>
    <n v="28500"/>
    <n v="0.65219298245614032"/>
  </r>
  <r>
    <n v="2019"/>
    <x v="6"/>
    <n v="24"/>
    <x v="17"/>
    <n v="9521.5"/>
    <n v="28500"/>
    <n v="0.3340877192982456"/>
  </r>
  <r>
    <n v="2019"/>
    <x v="6"/>
    <n v="24"/>
    <x v="18"/>
    <n v="2668"/>
    <n v="28500"/>
    <n v="9.3614035087719302E-2"/>
  </r>
  <r>
    <n v="2019"/>
    <x v="6"/>
    <n v="24"/>
    <x v="19"/>
    <n v="631"/>
    <n v="28500"/>
    <n v="2.2140350877192981E-2"/>
  </r>
  <r>
    <n v="2019"/>
    <x v="6"/>
    <n v="24"/>
    <x v="20"/>
    <n v="0"/>
    <n v="28500"/>
    <n v="0"/>
  </r>
  <r>
    <n v="2019"/>
    <x v="6"/>
    <n v="24"/>
    <x v="21"/>
    <n v="0"/>
    <n v="28500"/>
    <n v="0"/>
  </r>
  <r>
    <n v="2019"/>
    <x v="6"/>
    <n v="24"/>
    <x v="22"/>
    <n v="0"/>
    <n v="28500"/>
    <n v="0"/>
  </r>
  <r>
    <n v="2019"/>
    <x v="6"/>
    <n v="24"/>
    <x v="23"/>
    <n v="0"/>
    <n v="28500"/>
    <n v="0"/>
  </r>
  <r>
    <n v="2019"/>
    <x v="6"/>
    <n v="25"/>
    <x v="0"/>
    <n v="0"/>
    <n v="28500"/>
    <n v="0"/>
  </r>
  <r>
    <n v="2019"/>
    <x v="6"/>
    <n v="25"/>
    <x v="1"/>
    <n v="0"/>
    <n v="28500"/>
    <n v="0"/>
  </r>
  <r>
    <n v="2019"/>
    <x v="6"/>
    <n v="25"/>
    <x v="2"/>
    <n v="0"/>
    <n v="28500"/>
    <n v="0"/>
  </r>
  <r>
    <n v="2019"/>
    <x v="6"/>
    <n v="25"/>
    <x v="3"/>
    <n v="0"/>
    <n v="28500"/>
    <n v="0"/>
  </r>
  <r>
    <n v="2019"/>
    <x v="6"/>
    <n v="25"/>
    <x v="4"/>
    <n v="0"/>
    <n v="28500"/>
    <n v="0"/>
  </r>
  <r>
    <n v="2019"/>
    <x v="6"/>
    <n v="25"/>
    <x v="5"/>
    <n v="972"/>
    <n v="28500"/>
    <n v="3.4105263157894736E-2"/>
  </r>
  <r>
    <n v="2019"/>
    <x v="6"/>
    <n v="25"/>
    <x v="6"/>
    <n v="3095"/>
    <n v="28500"/>
    <n v="0.10859649122807018"/>
  </r>
  <r>
    <n v="2019"/>
    <x v="6"/>
    <n v="25"/>
    <x v="7"/>
    <n v="10913.5"/>
    <n v="28500"/>
    <n v="0.38292982456140351"/>
  </r>
  <r>
    <n v="2019"/>
    <x v="6"/>
    <n v="25"/>
    <x v="8"/>
    <n v="20132.5"/>
    <n v="28500"/>
    <n v="0.70640350877192981"/>
  </r>
  <r>
    <n v="2019"/>
    <x v="6"/>
    <n v="25"/>
    <x v="9"/>
    <n v="27672.5"/>
    <n v="28500"/>
    <n v="0.97096491228070181"/>
  </r>
  <r>
    <n v="2019"/>
    <x v="6"/>
    <n v="25"/>
    <x v="10"/>
    <n v="32386"/>
    <n v="28500"/>
    <n v="1.1363508771929824"/>
  </r>
  <r>
    <n v="2019"/>
    <x v="6"/>
    <n v="25"/>
    <x v="11"/>
    <n v="34886.5"/>
    <n v="28500"/>
    <n v="1.2240877192982456"/>
  </r>
  <r>
    <n v="2019"/>
    <x v="6"/>
    <n v="25"/>
    <x v="12"/>
    <n v="36180.5"/>
    <n v="28500"/>
    <n v="1.2694912280701753"/>
  </r>
  <r>
    <n v="2019"/>
    <x v="6"/>
    <n v="25"/>
    <x v="13"/>
    <n v="17624"/>
    <n v="28500"/>
    <n v="0.61838596491228071"/>
  </r>
  <r>
    <n v="2019"/>
    <x v="6"/>
    <n v="25"/>
    <x v="14"/>
    <n v="6591.5"/>
    <n v="28500"/>
    <n v="0.23128070175438598"/>
  </r>
  <r>
    <n v="2019"/>
    <x v="6"/>
    <n v="25"/>
    <x v="15"/>
    <n v="20876.5"/>
    <n v="28500"/>
    <n v="0.73250877192982455"/>
  </r>
  <r>
    <n v="2019"/>
    <x v="6"/>
    <n v="25"/>
    <x v="16"/>
    <n v="10939"/>
    <n v="28500"/>
    <n v="0.38382456140350879"/>
  </r>
  <r>
    <n v="2019"/>
    <x v="6"/>
    <n v="25"/>
    <x v="17"/>
    <n v="2181"/>
    <n v="28500"/>
    <n v="7.6526315789473678E-2"/>
  </r>
  <r>
    <n v="2019"/>
    <x v="6"/>
    <n v="25"/>
    <x v="18"/>
    <n v="213"/>
    <n v="28500"/>
    <n v="7.4736842105263155E-3"/>
  </r>
  <r>
    <n v="2019"/>
    <x v="6"/>
    <n v="25"/>
    <x v="19"/>
    <n v="14"/>
    <n v="28500"/>
    <n v="4.9122807017543861E-4"/>
  </r>
  <r>
    <n v="2019"/>
    <x v="6"/>
    <n v="25"/>
    <x v="20"/>
    <n v="0"/>
    <n v="28500"/>
    <n v="0"/>
  </r>
  <r>
    <n v="2019"/>
    <x v="6"/>
    <n v="25"/>
    <x v="21"/>
    <n v="0"/>
    <n v="28500"/>
    <n v="0"/>
  </r>
  <r>
    <n v="2019"/>
    <x v="6"/>
    <n v="25"/>
    <x v="22"/>
    <n v="0"/>
    <n v="28500"/>
    <n v="0"/>
  </r>
  <r>
    <n v="2019"/>
    <x v="6"/>
    <n v="25"/>
    <x v="23"/>
    <n v="0"/>
    <n v="28500"/>
    <n v="0"/>
  </r>
  <r>
    <n v="2019"/>
    <x v="6"/>
    <n v="26"/>
    <x v="0"/>
    <n v="0"/>
    <n v="28500"/>
    <n v="0"/>
  </r>
  <r>
    <n v="2019"/>
    <x v="6"/>
    <n v="26"/>
    <x v="1"/>
    <n v="0"/>
    <n v="28500"/>
    <n v="0"/>
  </r>
  <r>
    <n v="2019"/>
    <x v="6"/>
    <n v="26"/>
    <x v="2"/>
    <n v="0"/>
    <n v="28500"/>
    <n v="0"/>
  </r>
  <r>
    <n v="2019"/>
    <x v="6"/>
    <n v="26"/>
    <x v="3"/>
    <n v="0"/>
    <n v="28500"/>
    <n v="0"/>
  </r>
  <r>
    <n v="2019"/>
    <x v="6"/>
    <n v="26"/>
    <x v="4"/>
    <n v="0"/>
    <n v="28500"/>
    <n v="0"/>
  </r>
  <r>
    <n v="2019"/>
    <x v="6"/>
    <n v="26"/>
    <x v="5"/>
    <n v="826"/>
    <n v="28500"/>
    <n v="2.8982456140350877E-2"/>
  </r>
  <r>
    <n v="2019"/>
    <x v="6"/>
    <n v="26"/>
    <x v="6"/>
    <n v="788"/>
    <n v="28500"/>
    <n v="2.7649122807017545E-2"/>
  </r>
  <r>
    <n v="2019"/>
    <x v="6"/>
    <n v="26"/>
    <x v="7"/>
    <n v="2042.5"/>
    <n v="28500"/>
    <n v="7.166666666666667E-2"/>
  </r>
  <r>
    <n v="2019"/>
    <x v="6"/>
    <n v="26"/>
    <x v="8"/>
    <n v="1137.5"/>
    <n v="28500"/>
    <n v="3.9912280701754385E-2"/>
  </r>
  <r>
    <n v="2019"/>
    <x v="6"/>
    <n v="26"/>
    <x v="9"/>
    <n v="13440"/>
    <n v="28500"/>
    <n v="0.47157894736842104"/>
  </r>
  <r>
    <n v="2019"/>
    <x v="6"/>
    <n v="26"/>
    <x v="10"/>
    <n v="1834"/>
    <n v="28500"/>
    <n v="6.435087719298245E-2"/>
  </r>
  <r>
    <n v="2019"/>
    <x v="6"/>
    <n v="26"/>
    <x v="11"/>
    <n v="3905.5"/>
    <n v="28500"/>
    <n v="0.13703508771929823"/>
  </r>
  <r>
    <n v="2019"/>
    <x v="6"/>
    <n v="26"/>
    <x v="12"/>
    <n v="3080"/>
    <n v="28500"/>
    <n v="0.1080701754385965"/>
  </r>
  <r>
    <n v="2019"/>
    <x v="6"/>
    <n v="26"/>
    <x v="13"/>
    <n v="18524.5"/>
    <n v="28500"/>
    <n v="0.64998245614035088"/>
  </r>
  <r>
    <n v="2019"/>
    <x v="6"/>
    <n v="26"/>
    <x v="14"/>
    <n v="20526.5"/>
    <n v="28500"/>
    <n v="0.72022807017543855"/>
  </r>
  <r>
    <n v="2019"/>
    <x v="6"/>
    <n v="26"/>
    <x v="15"/>
    <n v="18103.5"/>
    <n v="28500"/>
    <n v="0.63521052631578945"/>
  </r>
  <r>
    <n v="2019"/>
    <x v="6"/>
    <n v="26"/>
    <x v="16"/>
    <n v="12998"/>
    <n v="28500"/>
    <n v="0.45607017543859651"/>
  </r>
  <r>
    <n v="2019"/>
    <x v="6"/>
    <n v="26"/>
    <x v="17"/>
    <n v="2915"/>
    <n v="28500"/>
    <n v="0.10228070175438596"/>
  </r>
  <r>
    <n v="2019"/>
    <x v="6"/>
    <n v="26"/>
    <x v="18"/>
    <n v="685"/>
    <n v="28500"/>
    <n v="2.4035087719298246E-2"/>
  </r>
  <r>
    <n v="2019"/>
    <x v="6"/>
    <n v="26"/>
    <x v="19"/>
    <n v="368.5"/>
    <n v="28500"/>
    <n v="1.2929824561403508E-2"/>
  </r>
  <r>
    <n v="2019"/>
    <x v="6"/>
    <n v="26"/>
    <x v="20"/>
    <n v="0"/>
    <n v="28500"/>
    <n v="0"/>
  </r>
  <r>
    <n v="2019"/>
    <x v="6"/>
    <n v="26"/>
    <x v="21"/>
    <n v="0"/>
    <n v="28500"/>
    <n v="0"/>
  </r>
  <r>
    <n v="2019"/>
    <x v="6"/>
    <n v="26"/>
    <x v="22"/>
    <n v="0"/>
    <n v="28500"/>
    <n v="0"/>
  </r>
  <r>
    <n v="2019"/>
    <x v="6"/>
    <n v="26"/>
    <x v="23"/>
    <n v="0"/>
    <n v="28500"/>
    <n v="0"/>
  </r>
  <r>
    <n v="2019"/>
    <x v="6"/>
    <n v="27"/>
    <x v="0"/>
    <n v="0"/>
    <n v="28500"/>
    <n v="0"/>
  </r>
  <r>
    <n v="2019"/>
    <x v="6"/>
    <n v="27"/>
    <x v="1"/>
    <n v="0"/>
    <n v="28500"/>
    <n v="0"/>
  </r>
  <r>
    <n v="2019"/>
    <x v="6"/>
    <n v="27"/>
    <x v="2"/>
    <n v="0"/>
    <n v="28500"/>
    <n v="0"/>
  </r>
  <r>
    <n v="2019"/>
    <x v="6"/>
    <n v="27"/>
    <x v="3"/>
    <n v="0"/>
    <n v="28500"/>
    <n v="0"/>
  </r>
  <r>
    <n v="2019"/>
    <x v="6"/>
    <n v="27"/>
    <x v="4"/>
    <n v="0"/>
    <n v="28500"/>
    <n v="0"/>
  </r>
  <r>
    <n v="2019"/>
    <x v="6"/>
    <n v="27"/>
    <x v="5"/>
    <n v="18.5"/>
    <n v="28500"/>
    <n v="6.4912280701754385E-4"/>
  </r>
  <r>
    <n v="2019"/>
    <x v="6"/>
    <n v="27"/>
    <x v="6"/>
    <n v="1616.5"/>
    <n v="28500"/>
    <n v="5.6719298245614037E-2"/>
  </r>
  <r>
    <n v="2019"/>
    <x v="6"/>
    <n v="27"/>
    <x v="7"/>
    <n v="1134"/>
    <n v="28500"/>
    <n v="3.9789473684210527E-2"/>
  </r>
  <r>
    <n v="2019"/>
    <x v="6"/>
    <n v="27"/>
    <x v="8"/>
    <n v="1723.5"/>
    <n v="28500"/>
    <n v="6.0473684210526318E-2"/>
  </r>
  <r>
    <n v="2019"/>
    <x v="6"/>
    <n v="27"/>
    <x v="9"/>
    <n v="2444"/>
    <n v="28500"/>
    <n v="8.5754385964912277E-2"/>
  </r>
  <r>
    <n v="2019"/>
    <x v="6"/>
    <n v="27"/>
    <x v="10"/>
    <n v="4811.5"/>
    <n v="28500"/>
    <n v="0.16882456140350877"/>
  </r>
  <r>
    <n v="2019"/>
    <x v="6"/>
    <n v="27"/>
    <x v="11"/>
    <n v="4696"/>
    <n v="28500"/>
    <n v="0.1647719298245614"/>
  </r>
  <r>
    <n v="2019"/>
    <x v="6"/>
    <n v="27"/>
    <x v="12"/>
    <n v="6383"/>
    <n v="28500"/>
    <n v="0.22396491228070176"/>
  </r>
  <r>
    <n v="2019"/>
    <x v="6"/>
    <n v="27"/>
    <x v="13"/>
    <n v="7481.5"/>
    <n v="28500"/>
    <n v="0.26250877192982458"/>
  </r>
  <r>
    <n v="2019"/>
    <x v="6"/>
    <n v="27"/>
    <x v="14"/>
    <n v="3393"/>
    <n v="28500"/>
    <n v="0.11905263157894737"/>
  </r>
  <r>
    <n v="2019"/>
    <x v="6"/>
    <n v="27"/>
    <x v="15"/>
    <n v="6043"/>
    <n v="28500"/>
    <n v="0.21203508771929824"/>
  </r>
  <r>
    <n v="2019"/>
    <x v="6"/>
    <n v="27"/>
    <x v="16"/>
    <n v="2946.5"/>
    <n v="28500"/>
    <n v="0.10338596491228071"/>
  </r>
  <r>
    <n v="2019"/>
    <x v="6"/>
    <n v="27"/>
    <x v="17"/>
    <n v="3320.5"/>
    <n v="28500"/>
    <n v="0.11650877192982456"/>
  </r>
  <r>
    <n v="2019"/>
    <x v="6"/>
    <n v="27"/>
    <x v="18"/>
    <n v="1127.5"/>
    <n v="28500"/>
    <n v="3.9561403508771929E-2"/>
  </r>
  <r>
    <n v="2019"/>
    <x v="6"/>
    <n v="27"/>
    <x v="19"/>
    <n v="35.5"/>
    <n v="28500"/>
    <n v="1.2456140350877193E-3"/>
  </r>
  <r>
    <n v="2019"/>
    <x v="6"/>
    <n v="27"/>
    <x v="20"/>
    <n v="0"/>
    <n v="28500"/>
    <n v="0"/>
  </r>
  <r>
    <n v="2019"/>
    <x v="6"/>
    <n v="27"/>
    <x v="21"/>
    <n v="0"/>
    <n v="28500"/>
    <n v="0"/>
  </r>
  <r>
    <n v="2019"/>
    <x v="6"/>
    <n v="27"/>
    <x v="22"/>
    <n v="0"/>
    <n v="28500"/>
    <n v="0"/>
  </r>
  <r>
    <n v="2019"/>
    <x v="6"/>
    <n v="27"/>
    <x v="23"/>
    <n v="0"/>
    <n v="28500"/>
    <n v="0"/>
  </r>
  <r>
    <n v="2019"/>
    <x v="6"/>
    <n v="28"/>
    <x v="0"/>
    <n v="0"/>
    <n v="28500"/>
    <n v="0"/>
  </r>
  <r>
    <n v="2019"/>
    <x v="6"/>
    <n v="28"/>
    <x v="1"/>
    <n v="0"/>
    <n v="28500"/>
    <n v="0"/>
  </r>
  <r>
    <n v="2019"/>
    <x v="6"/>
    <n v="28"/>
    <x v="2"/>
    <n v="0"/>
    <n v="28500"/>
    <n v="0"/>
  </r>
  <r>
    <n v="2019"/>
    <x v="6"/>
    <n v="28"/>
    <x v="3"/>
    <n v="0"/>
    <n v="28500"/>
    <n v="0"/>
  </r>
  <r>
    <n v="2019"/>
    <x v="6"/>
    <n v="28"/>
    <x v="4"/>
    <n v="0"/>
    <n v="28500"/>
    <n v="0"/>
  </r>
  <r>
    <n v="2019"/>
    <x v="6"/>
    <n v="28"/>
    <x v="5"/>
    <n v="94.5"/>
    <n v="28500"/>
    <n v="3.3157894736842103E-3"/>
  </r>
  <r>
    <n v="2019"/>
    <x v="6"/>
    <n v="28"/>
    <x v="6"/>
    <n v="1247"/>
    <n v="28500"/>
    <n v="4.3754385964912282E-2"/>
  </r>
  <r>
    <n v="2019"/>
    <x v="6"/>
    <n v="28"/>
    <x v="7"/>
    <n v="3443"/>
    <n v="28500"/>
    <n v="0.12080701754385965"/>
  </r>
  <r>
    <n v="2019"/>
    <x v="6"/>
    <n v="28"/>
    <x v="8"/>
    <n v="5317"/>
    <n v="28500"/>
    <n v="0.18656140350877193"/>
  </r>
  <r>
    <n v="2019"/>
    <x v="6"/>
    <n v="28"/>
    <x v="9"/>
    <n v="7164.5"/>
    <n v="28500"/>
    <n v="0.25138596491228071"/>
  </r>
  <r>
    <n v="2019"/>
    <x v="6"/>
    <n v="28"/>
    <x v="10"/>
    <n v="5870"/>
    <n v="28500"/>
    <n v="0.20596491228070177"/>
  </r>
  <r>
    <n v="2019"/>
    <x v="6"/>
    <n v="28"/>
    <x v="11"/>
    <n v="9020"/>
    <n v="28500"/>
    <n v="0.31649122807017543"/>
  </r>
  <r>
    <n v="2019"/>
    <x v="6"/>
    <n v="28"/>
    <x v="12"/>
    <n v="11457.5"/>
    <n v="28500"/>
    <n v="0.40201754385964911"/>
  </r>
  <r>
    <n v="2019"/>
    <x v="6"/>
    <n v="28"/>
    <x v="13"/>
    <n v="24486.5"/>
    <n v="28500"/>
    <n v="0.85917543859649126"/>
  </r>
  <r>
    <n v="2019"/>
    <x v="6"/>
    <n v="28"/>
    <x v="14"/>
    <n v="21972.5"/>
    <n v="28500"/>
    <n v="0.77096491228070174"/>
  </r>
  <r>
    <n v="2019"/>
    <x v="6"/>
    <n v="28"/>
    <x v="15"/>
    <n v="7882"/>
    <n v="28500"/>
    <n v="0.27656140350877195"/>
  </r>
  <r>
    <n v="2019"/>
    <x v="6"/>
    <n v="28"/>
    <x v="16"/>
    <n v="9248"/>
    <n v="28500"/>
    <n v="0.32449122807017544"/>
  </r>
  <r>
    <n v="2019"/>
    <x v="6"/>
    <n v="28"/>
    <x v="17"/>
    <n v="7627"/>
    <n v="28500"/>
    <n v="0.2676140350877193"/>
  </r>
  <r>
    <n v="2019"/>
    <x v="6"/>
    <n v="28"/>
    <x v="18"/>
    <n v="2734.5"/>
    <n v="28500"/>
    <n v="9.5947368421052628E-2"/>
  </r>
  <r>
    <n v="2019"/>
    <x v="6"/>
    <n v="28"/>
    <x v="19"/>
    <n v="482"/>
    <n v="28500"/>
    <n v="1.6912280701754386E-2"/>
  </r>
  <r>
    <n v="2019"/>
    <x v="6"/>
    <n v="28"/>
    <x v="20"/>
    <n v="0"/>
    <n v="28500"/>
    <n v="0"/>
  </r>
  <r>
    <n v="2019"/>
    <x v="6"/>
    <n v="28"/>
    <x v="21"/>
    <n v="0"/>
    <n v="28500"/>
    <n v="0"/>
  </r>
  <r>
    <n v="2019"/>
    <x v="6"/>
    <n v="28"/>
    <x v="22"/>
    <n v="0"/>
    <n v="28500"/>
    <n v="0"/>
  </r>
  <r>
    <n v="2019"/>
    <x v="6"/>
    <n v="28"/>
    <x v="23"/>
    <n v="0"/>
    <n v="28500"/>
    <n v="0"/>
  </r>
  <r>
    <n v="2019"/>
    <x v="6"/>
    <n v="29"/>
    <x v="0"/>
    <n v="0"/>
    <n v="28500"/>
    <n v="0"/>
  </r>
  <r>
    <n v="2019"/>
    <x v="6"/>
    <n v="29"/>
    <x v="1"/>
    <n v="0"/>
    <n v="28500"/>
    <n v="0"/>
  </r>
  <r>
    <n v="2019"/>
    <x v="6"/>
    <n v="29"/>
    <x v="2"/>
    <n v="0"/>
    <n v="28500"/>
    <n v="0"/>
  </r>
  <r>
    <n v="2019"/>
    <x v="6"/>
    <n v="29"/>
    <x v="3"/>
    <n v="0"/>
    <n v="28500"/>
    <n v="0"/>
  </r>
  <r>
    <n v="2019"/>
    <x v="6"/>
    <n v="29"/>
    <x v="4"/>
    <n v="0"/>
    <n v="28500"/>
    <n v="0"/>
  </r>
  <r>
    <n v="2019"/>
    <x v="6"/>
    <n v="29"/>
    <x v="5"/>
    <n v="825"/>
    <n v="28500"/>
    <n v="2.8947368421052631E-2"/>
  </r>
  <r>
    <n v="2019"/>
    <x v="6"/>
    <n v="29"/>
    <x v="6"/>
    <n v="2742.5"/>
    <n v="28500"/>
    <n v="9.6228070175438593E-2"/>
  </r>
  <r>
    <n v="2019"/>
    <x v="6"/>
    <n v="29"/>
    <x v="7"/>
    <n v="11565.5"/>
    <n v="28500"/>
    <n v="0.40580701754385967"/>
  </r>
  <r>
    <n v="2019"/>
    <x v="6"/>
    <n v="29"/>
    <x v="8"/>
    <n v="21206"/>
    <n v="28500"/>
    <n v="0.74407017543859644"/>
  </r>
  <r>
    <n v="2019"/>
    <x v="6"/>
    <n v="29"/>
    <x v="9"/>
    <n v="29129.5"/>
    <n v="28500"/>
    <n v="1.0220877192982456"/>
  </r>
  <r>
    <n v="2019"/>
    <x v="6"/>
    <n v="29"/>
    <x v="10"/>
    <n v="34371.5"/>
    <n v="28500"/>
    <n v="1.2060175438596492"/>
  </r>
  <r>
    <n v="2019"/>
    <x v="6"/>
    <n v="29"/>
    <x v="11"/>
    <n v="37077"/>
    <n v="28500"/>
    <n v="1.3009473684210526"/>
  </r>
  <r>
    <n v="2019"/>
    <x v="6"/>
    <n v="29"/>
    <x v="12"/>
    <n v="33278"/>
    <n v="28500"/>
    <n v="1.1676491228070176"/>
  </r>
  <r>
    <n v="2019"/>
    <x v="6"/>
    <n v="29"/>
    <x v="13"/>
    <n v="35267.5"/>
    <n v="28500"/>
    <n v="1.2374561403508773"/>
  </r>
  <r>
    <n v="2019"/>
    <x v="6"/>
    <n v="29"/>
    <x v="14"/>
    <n v="34289"/>
    <n v="28500"/>
    <n v="1.2031228070175439"/>
  </r>
  <r>
    <n v="2019"/>
    <x v="6"/>
    <n v="29"/>
    <x v="15"/>
    <n v="26796.5"/>
    <n v="28500"/>
    <n v="0.94022807017543863"/>
  </r>
  <r>
    <n v="2019"/>
    <x v="6"/>
    <n v="29"/>
    <x v="16"/>
    <n v="14698.5"/>
    <n v="28500"/>
    <n v="0.51573684210526316"/>
  </r>
  <r>
    <n v="2019"/>
    <x v="6"/>
    <n v="29"/>
    <x v="17"/>
    <n v="9597"/>
    <n v="28500"/>
    <n v="0.33673684210526317"/>
  </r>
  <r>
    <n v="2019"/>
    <x v="6"/>
    <n v="29"/>
    <x v="18"/>
    <n v="2545.5"/>
    <n v="28500"/>
    <n v="8.931578947368421E-2"/>
  </r>
  <r>
    <n v="2019"/>
    <x v="6"/>
    <n v="29"/>
    <x v="19"/>
    <n v="560"/>
    <n v="28500"/>
    <n v="1.9649122807017545E-2"/>
  </r>
  <r>
    <n v="2019"/>
    <x v="6"/>
    <n v="29"/>
    <x v="20"/>
    <n v="0"/>
    <n v="28500"/>
    <n v="0"/>
  </r>
  <r>
    <n v="2019"/>
    <x v="6"/>
    <n v="29"/>
    <x v="21"/>
    <n v="0"/>
    <n v="28500"/>
    <n v="0"/>
  </r>
  <r>
    <n v="2019"/>
    <x v="6"/>
    <n v="29"/>
    <x v="22"/>
    <n v="0"/>
    <n v="28500"/>
    <n v="0"/>
  </r>
  <r>
    <n v="2019"/>
    <x v="6"/>
    <n v="29"/>
    <x v="23"/>
    <n v="0"/>
    <n v="28500"/>
    <n v="0"/>
  </r>
  <r>
    <n v="2019"/>
    <x v="6"/>
    <n v="30"/>
    <x v="0"/>
    <n v="0"/>
    <n v="28500"/>
    <n v="0"/>
  </r>
  <r>
    <n v="2019"/>
    <x v="6"/>
    <n v="30"/>
    <x v="1"/>
    <n v="0"/>
    <n v="28500"/>
    <n v="0"/>
  </r>
  <r>
    <n v="2019"/>
    <x v="6"/>
    <n v="30"/>
    <x v="2"/>
    <n v="0"/>
    <n v="28500"/>
    <n v="0"/>
  </r>
  <r>
    <n v="2019"/>
    <x v="6"/>
    <n v="30"/>
    <x v="3"/>
    <n v="0"/>
    <n v="28500"/>
    <n v="0"/>
  </r>
  <r>
    <n v="2019"/>
    <x v="6"/>
    <n v="30"/>
    <x v="4"/>
    <n v="0"/>
    <n v="28500"/>
    <n v="0"/>
  </r>
  <r>
    <n v="2019"/>
    <x v="6"/>
    <n v="30"/>
    <x v="5"/>
    <n v="811"/>
    <n v="28500"/>
    <n v="2.8456140350877193E-2"/>
  </r>
  <r>
    <n v="2019"/>
    <x v="6"/>
    <n v="30"/>
    <x v="6"/>
    <n v="3430"/>
    <n v="28500"/>
    <n v="0.12035087719298246"/>
  </r>
  <r>
    <n v="2019"/>
    <x v="6"/>
    <n v="30"/>
    <x v="7"/>
    <n v="7539"/>
    <n v="28500"/>
    <n v="0.26452631578947366"/>
  </r>
  <r>
    <n v="2019"/>
    <x v="6"/>
    <n v="30"/>
    <x v="8"/>
    <n v="5496"/>
    <n v="28500"/>
    <n v="0.1928421052631579"/>
  </r>
  <r>
    <n v="2019"/>
    <x v="6"/>
    <n v="30"/>
    <x v="9"/>
    <n v="3769.5"/>
    <n v="28500"/>
    <n v="0.13226315789473683"/>
  </r>
  <r>
    <n v="2019"/>
    <x v="6"/>
    <n v="30"/>
    <x v="10"/>
    <n v="3739"/>
    <n v="28500"/>
    <n v="0.13119298245614036"/>
  </r>
  <r>
    <n v="2019"/>
    <x v="6"/>
    <n v="30"/>
    <x v="11"/>
    <n v="3095"/>
    <n v="28500"/>
    <n v="0.10859649122807018"/>
  </r>
  <r>
    <n v="2019"/>
    <x v="6"/>
    <n v="30"/>
    <x v="12"/>
    <n v="5749"/>
    <n v="28500"/>
    <n v="0.20171929824561405"/>
  </r>
  <r>
    <n v="2019"/>
    <x v="6"/>
    <n v="30"/>
    <x v="13"/>
    <n v="4916.5"/>
    <n v="28500"/>
    <n v="0.17250877192982456"/>
  </r>
  <r>
    <n v="2019"/>
    <x v="6"/>
    <n v="30"/>
    <x v="14"/>
    <n v="8026"/>
    <n v="28500"/>
    <n v="0.28161403508771932"/>
  </r>
  <r>
    <n v="2019"/>
    <x v="6"/>
    <n v="30"/>
    <x v="15"/>
    <n v="5885.5"/>
    <n v="28500"/>
    <n v="0.20650877192982456"/>
  </r>
  <r>
    <n v="2019"/>
    <x v="6"/>
    <n v="30"/>
    <x v="16"/>
    <n v="4118"/>
    <n v="28500"/>
    <n v="0.14449122807017545"/>
  </r>
  <r>
    <n v="2019"/>
    <x v="6"/>
    <n v="30"/>
    <x v="17"/>
    <n v="7344.5"/>
    <n v="28500"/>
    <n v="0.25770175438596493"/>
  </r>
  <r>
    <n v="2019"/>
    <x v="6"/>
    <n v="30"/>
    <x v="18"/>
    <n v="2645"/>
    <n v="28500"/>
    <n v="9.2807017543859643E-2"/>
  </r>
  <r>
    <n v="2019"/>
    <x v="6"/>
    <n v="30"/>
    <x v="19"/>
    <n v="462"/>
    <n v="28500"/>
    <n v="1.6210526315789474E-2"/>
  </r>
  <r>
    <n v="2019"/>
    <x v="6"/>
    <n v="30"/>
    <x v="20"/>
    <n v="0"/>
    <n v="28500"/>
    <n v="0"/>
  </r>
  <r>
    <n v="2019"/>
    <x v="6"/>
    <n v="30"/>
    <x v="21"/>
    <n v="0"/>
    <n v="28500"/>
    <n v="0"/>
  </r>
  <r>
    <n v="2019"/>
    <x v="6"/>
    <n v="30"/>
    <x v="22"/>
    <n v="0"/>
    <n v="28500"/>
    <n v="0"/>
  </r>
  <r>
    <n v="2019"/>
    <x v="6"/>
    <n v="30"/>
    <x v="23"/>
    <n v="0"/>
    <n v="28500"/>
    <n v="0"/>
  </r>
  <r>
    <n v="2019"/>
    <x v="6"/>
    <n v="31"/>
    <x v="0"/>
    <n v="0"/>
    <n v="28500"/>
    <n v="0"/>
  </r>
  <r>
    <n v="2019"/>
    <x v="6"/>
    <n v="31"/>
    <x v="1"/>
    <n v="0"/>
    <n v="28500"/>
    <n v="0"/>
  </r>
  <r>
    <n v="2019"/>
    <x v="6"/>
    <n v="31"/>
    <x v="2"/>
    <n v="0"/>
    <n v="28500"/>
    <n v="0"/>
  </r>
  <r>
    <n v="2019"/>
    <x v="6"/>
    <n v="31"/>
    <x v="3"/>
    <n v="0"/>
    <n v="28500"/>
    <n v="0"/>
  </r>
  <r>
    <n v="2019"/>
    <x v="6"/>
    <n v="31"/>
    <x v="4"/>
    <n v="0"/>
    <n v="28500"/>
    <n v="0"/>
  </r>
  <r>
    <n v="2019"/>
    <x v="6"/>
    <n v="31"/>
    <x v="5"/>
    <n v="182.5"/>
    <n v="28500"/>
    <n v="6.4035087719298243E-3"/>
  </r>
  <r>
    <n v="2019"/>
    <x v="6"/>
    <n v="31"/>
    <x v="6"/>
    <n v="1313.5"/>
    <n v="28500"/>
    <n v="4.6087719298245615E-2"/>
  </r>
  <r>
    <n v="2019"/>
    <x v="6"/>
    <n v="31"/>
    <x v="7"/>
    <n v="2424"/>
    <n v="28500"/>
    <n v="8.5052631578947366E-2"/>
  </r>
  <r>
    <n v="2019"/>
    <x v="6"/>
    <n v="31"/>
    <x v="8"/>
    <n v="15753.5"/>
    <n v="28500"/>
    <n v="0.55275438596491233"/>
  </r>
  <r>
    <n v="2019"/>
    <x v="6"/>
    <n v="31"/>
    <x v="9"/>
    <n v="26536"/>
    <n v="28500"/>
    <n v="0.93108771929824563"/>
  </r>
  <r>
    <n v="2019"/>
    <x v="6"/>
    <n v="31"/>
    <x v="10"/>
    <n v="18587"/>
    <n v="28500"/>
    <n v="0.65217543859649119"/>
  </r>
  <r>
    <n v="2019"/>
    <x v="6"/>
    <n v="31"/>
    <x v="11"/>
    <n v="12960"/>
    <n v="28500"/>
    <n v="0.45473684210526316"/>
  </r>
  <r>
    <n v="2019"/>
    <x v="6"/>
    <n v="31"/>
    <x v="12"/>
    <n v="15873.5"/>
    <n v="28500"/>
    <n v="0.55696491228070177"/>
  </r>
  <r>
    <n v="2019"/>
    <x v="6"/>
    <n v="31"/>
    <x v="13"/>
    <n v="24217.5"/>
    <n v="28500"/>
    <n v="0.84973684210526312"/>
  </r>
  <r>
    <n v="2019"/>
    <x v="6"/>
    <n v="31"/>
    <x v="14"/>
    <n v="24748"/>
    <n v="28500"/>
    <n v="0.86835087719298243"/>
  </r>
  <r>
    <n v="2019"/>
    <x v="6"/>
    <n v="31"/>
    <x v="15"/>
    <n v="26076.5"/>
    <n v="28500"/>
    <n v="0.91496491228070176"/>
  </r>
  <r>
    <n v="2019"/>
    <x v="6"/>
    <n v="31"/>
    <x v="16"/>
    <n v="17205"/>
    <n v="28500"/>
    <n v="0.60368421052631582"/>
  </r>
  <r>
    <n v="2019"/>
    <x v="6"/>
    <n v="31"/>
    <x v="17"/>
    <n v="8418"/>
    <n v="28500"/>
    <n v="0.29536842105263156"/>
  </r>
  <r>
    <n v="2019"/>
    <x v="6"/>
    <n v="31"/>
    <x v="18"/>
    <n v="2694"/>
    <n v="28500"/>
    <n v="9.4526315789473681E-2"/>
  </r>
  <r>
    <n v="2019"/>
    <x v="6"/>
    <n v="31"/>
    <x v="19"/>
    <n v="483"/>
    <n v="28500"/>
    <n v="1.6947368421052631E-2"/>
  </r>
  <r>
    <n v="2019"/>
    <x v="6"/>
    <n v="31"/>
    <x v="20"/>
    <n v="0"/>
    <n v="28500"/>
    <n v="0"/>
  </r>
  <r>
    <n v="2019"/>
    <x v="6"/>
    <n v="31"/>
    <x v="21"/>
    <n v="0"/>
    <n v="28500"/>
    <n v="0"/>
  </r>
  <r>
    <n v="2019"/>
    <x v="6"/>
    <n v="31"/>
    <x v="22"/>
    <n v="0"/>
    <n v="28500"/>
    <n v="0"/>
  </r>
  <r>
    <n v="2019"/>
    <x v="6"/>
    <n v="31"/>
    <x v="23"/>
    <n v="0"/>
    <n v="28500"/>
    <n v="0"/>
  </r>
  <r>
    <n v="2019"/>
    <x v="7"/>
    <n v="1"/>
    <x v="0"/>
    <n v="0"/>
    <n v="28500"/>
    <n v="0"/>
  </r>
  <r>
    <n v="2019"/>
    <x v="7"/>
    <n v="1"/>
    <x v="1"/>
    <n v="0"/>
    <n v="28500"/>
    <n v="0"/>
  </r>
  <r>
    <n v="2019"/>
    <x v="7"/>
    <n v="1"/>
    <x v="2"/>
    <n v="0"/>
    <n v="28500"/>
    <n v="0"/>
  </r>
  <r>
    <n v="2019"/>
    <x v="7"/>
    <n v="1"/>
    <x v="3"/>
    <n v="0"/>
    <n v="28500"/>
    <n v="0"/>
  </r>
  <r>
    <n v="2019"/>
    <x v="7"/>
    <n v="1"/>
    <x v="4"/>
    <n v="0"/>
    <n v="28500"/>
    <n v="0"/>
  </r>
  <r>
    <n v="2019"/>
    <x v="7"/>
    <n v="1"/>
    <x v="5"/>
    <n v="727.5"/>
    <n v="28500"/>
    <n v="2.5526315789473685E-2"/>
  </r>
  <r>
    <n v="2019"/>
    <x v="7"/>
    <n v="1"/>
    <x v="6"/>
    <n v="3044"/>
    <n v="28500"/>
    <n v="0.10680701754385966"/>
  </r>
  <r>
    <n v="2019"/>
    <x v="7"/>
    <n v="1"/>
    <x v="7"/>
    <n v="8722.5"/>
    <n v="28500"/>
    <n v="0.30605263157894735"/>
  </r>
  <r>
    <n v="2019"/>
    <x v="7"/>
    <n v="1"/>
    <x v="8"/>
    <n v="12621.5"/>
    <n v="28500"/>
    <n v="0.44285964912280701"/>
  </r>
  <r>
    <n v="2019"/>
    <x v="7"/>
    <n v="1"/>
    <x v="9"/>
    <n v="15150"/>
    <n v="28500"/>
    <n v="0.53157894736842104"/>
  </r>
  <r>
    <n v="2019"/>
    <x v="7"/>
    <n v="1"/>
    <x v="10"/>
    <n v="8707"/>
    <n v="28500"/>
    <n v="0.30550877192982456"/>
  </r>
  <r>
    <n v="2019"/>
    <x v="7"/>
    <n v="1"/>
    <x v="11"/>
    <n v="7602"/>
    <n v="28500"/>
    <n v="0.26673684210526316"/>
  </r>
  <r>
    <n v="2019"/>
    <x v="7"/>
    <n v="1"/>
    <x v="12"/>
    <n v="28787.5"/>
    <n v="28500"/>
    <n v="1.0100877192982456"/>
  </r>
  <r>
    <n v="2019"/>
    <x v="7"/>
    <n v="1"/>
    <x v="13"/>
    <n v="23668.5"/>
    <n v="28500"/>
    <n v="0.83047368421052636"/>
  </r>
  <r>
    <n v="2019"/>
    <x v="7"/>
    <n v="1"/>
    <x v="14"/>
    <n v="27862"/>
    <n v="28500"/>
    <n v="0.97761403508771927"/>
  </r>
  <r>
    <n v="2019"/>
    <x v="7"/>
    <n v="1"/>
    <x v="15"/>
    <n v="20494"/>
    <n v="28500"/>
    <n v="0.71908771929824566"/>
  </r>
  <r>
    <n v="2019"/>
    <x v="7"/>
    <n v="1"/>
    <x v="16"/>
    <n v="17931.5"/>
    <n v="28500"/>
    <n v="0.62917543859649128"/>
  </r>
  <r>
    <n v="2019"/>
    <x v="7"/>
    <n v="1"/>
    <x v="17"/>
    <n v="7308.5"/>
    <n v="28500"/>
    <n v="0.25643859649122808"/>
  </r>
  <r>
    <n v="2019"/>
    <x v="7"/>
    <n v="1"/>
    <x v="18"/>
    <n v="2707"/>
    <n v="28500"/>
    <n v="9.4982456140350877E-2"/>
  </r>
  <r>
    <n v="2019"/>
    <x v="7"/>
    <n v="1"/>
    <x v="19"/>
    <n v="0"/>
    <n v="28500"/>
    <n v="0"/>
  </r>
  <r>
    <n v="2019"/>
    <x v="7"/>
    <n v="1"/>
    <x v="20"/>
    <n v="0"/>
    <n v="28500"/>
    <n v="0"/>
  </r>
  <r>
    <n v="2019"/>
    <x v="7"/>
    <n v="1"/>
    <x v="21"/>
    <n v="0"/>
    <n v="28500"/>
    <n v="0"/>
  </r>
  <r>
    <n v="2019"/>
    <x v="7"/>
    <n v="1"/>
    <x v="22"/>
    <n v="0"/>
    <n v="28500"/>
    <n v="0"/>
  </r>
  <r>
    <n v="2019"/>
    <x v="7"/>
    <n v="1"/>
    <x v="23"/>
    <n v="0"/>
    <n v="28500"/>
    <n v="0"/>
  </r>
  <r>
    <n v="2019"/>
    <x v="7"/>
    <n v="2"/>
    <x v="0"/>
    <n v="0"/>
    <n v="28500"/>
    <n v="0"/>
  </r>
  <r>
    <n v="2019"/>
    <x v="7"/>
    <n v="2"/>
    <x v="1"/>
    <n v="0"/>
    <n v="28500"/>
    <n v="0"/>
  </r>
  <r>
    <n v="2019"/>
    <x v="7"/>
    <n v="2"/>
    <x v="2"/>
    <n v="0"/>
    <n v="28500"/>
    <n v="0"/>
  </r>
  <r>
    <n v="2019"/>
    <x v="7"/>
    <n v="2"/>
    <x v="3"/>
    <n v="0"/>
    <n v="28500"/>
    <n v="0"/>
  </r>
  <r>
    <n v="2019"/>
    <x v="7"/>
    <n v="2"/>
    <x v="4"/>
    <n v="0"/>
    <n v="28500"/>
    <n v="0"/>
  </r>
  <r>
    <n v="2019"/>
    <x v="7"/>
    <n v="2"/>
    <x v="5"/>
    <n v="207"/>
    <n v="28500"/>
    <n v="7.263157894736842E-3"/>
  </r>
  <r>
    <n v="2019"/>
    <x v="7"/>
    <n v="2"/>
    <x v="6"/>
    <n v="2855.5"/>
    <n v="28500"/>
    <n v="0.10019298245614035"/>
  </r>
  <r>
    <n v="2019"/>
    <x v="7"/>
    <n v="2"/>
    <x v="7"/>
    <n v="4923"/>
    <n v="28500"/>
    <n v="0.17273684210526316"/>
  </r>
  <r>
    <n v="2019"/>
    <x v="7"/>
    <n v="2"/>
    <x v="8"/>
    <n v="6419"/>
    <n v="28500"/>
    <n v="0.22522807017543858"/>
  </r>
  <r>
    <n v="2019"/>
    <x v="7"/>
    <n v="2"/>
    <x v="9"/>
    <n v="15841.5"/>
    <n v="28500"/>
    <n v="0.55584210526315792"/>
  </r>
  <r>
    <n v="2019"/>
    <x v="7"/>
    <n v="2"/>
    <x v="10"/>
    <n v="16873"/>
    <n v="28500"/>
    <n v="0.59203508771929825"/>
  </r>
  <r>
    <n v="2019"/>
    <x v="7"/>
    <n v="2"/>
    <x v="11"/>
    <n v="28201.5"/>
    <n v="28500"/>
    <n v="0.9895263157894737"/>
  </r>
  <r>
    <n v="2019"/>
    <x v="7"/>
    <n v="2"/>
    <x v="12"/>
    <n v="35439.5"/>
    <n v="28500"/>
    <n v="1.2434912280701755"/>
  </r>
  <r>
    <n v="2019"/>
    <x v="7"/>
    <n v="2"/>
    <x v="13"/>
    <n v="8820"/>
    <n v="28500"/>
    <n v="0.30947368421052629"/>
  </r>
  <r>
    <n v="2019"/>
    <x v="7"/>
    <n v="2"/>
    <x v="14"/>
    <n v="28737.5"/>
    <n v="28500"/>
    <n v="1.0083333333333333"/>
  </r>
  <r>
    <n v="2019"/>
    <x v="7"/>
    <n v="2"/>
    <x v="15"/>
    <n v="26273.5"/>
    <n v="28500"/>
    <n v="0.92187719298245618"/>
  </r>
  <r>
    <n v="2019"/>
    <x v="7"/>
    <n v="2"/>
    <x v="16"/>
    <n v="1544.5"/>
    <n v="28500"/>
    <n v="5.4192982456140348E-2"/>
  </r>
  <r>
    <n v="2019"/>
    <x v="7"/>
    <n v="2"/>
    <x v="17"/>
    <n v="8603"/>
    <n v="28500"/>
    <n v="0.30185964912280699"/>
  </r>
  <r>
    <n v="2019"/>
    <x v="7"/>
    <n v="2"/>
    <x v="18"/>
    <n v="2672.5"/>
    <n v="28500"/>
    <n v="9.3771929824561409E-2"/>
  </r>
  <r>
    <n v="2019"/>
    <x v="7"/>
    <n v="2"/>
    <x v="19"/>
    <n v="373"/>
    <n v="28500"/>
    <n v="1.3087719298245613E-2"/>
  </r>
  <r>
    <n v="2019"/>
    <x v="7"/>
    <n v="2"/>
    <x v="20"/>
    <n v="0"/>
    <n v="28500"/>
    <n v="0"/>
  </r>
  <r>
    <n v="2019"/>
    <x v="7"/>
    <n v="2"/>
    <x v="21"/>
    <n v="0"/>
    <n v="28500"/>
    <n v="0"/>
  </r>
  <r>
    <n v="2019"/>
    <x v="7"/>
    <n v="2"/>
    <x v="22"/>
    <n v="0"/>
    <n v="28500"/>
    <n v="0"/>
  </r>
  <r>
    <n v="2019"/>
    <x v="7"/>
    <n v="2"/>
    <x v="23"/>
    <n v="0"/>
    <n v="28500"/>
    <n v="0"/>
  </r>
  <r>
    <n v="2019"/>
    <x v="7"/>
    <n v="3"/>
    <x v="0"/>
    <n v="0"/>
    <n v="28500"/>
    <n v="0"/>
  </r>
  <r>
    <n v="2019"/>
    <x v="7"/>
    <n v="3"/>
    <x v="1"/>
    <n v="0"/>
    <n v="28500"/>
    <n v="0"/>
  </r>
  <r>
    <n v="2019"/>
    <x v="7"/>
    <n v="3"/>
    <x v="2"/>
    <n v="0"/>
    <n v="28500"/>
    <n v="0"/>
  </r>
  <r>
    <n v="2019"/>
    <x v="7"/>
    <n v="3"/>
    <x v="3"/>
    <n v="0"/>
    <n v="28500"/>
    <n v="0"/>
  </r>
  <r>
    <n v="2019"/>
    <x v="7"/>
    <n v="3"/>
    <x v="4"/>
    <n v="0"/>
    <n v="28500"/>
    <n v="0"/>
  </r>
  <r>
    <n v="2019"/>
    <x v="7"/>
    <n v="3"/>
    <x v="5"/>
    <n v="472.5"/>
    <n v="28500"/>
    <n v="1.6578947368421054E-2"/>
  </r>
  <r>
    <n v="2019"/>
    <x v="7"/>
    <n v="3"/>
    <x v="6"/>
    <n v="3209.5"/>
    <n v="28500"/>
    <n v="0.11261403508771929"/>
  </r>
  <r>
    <n v="2019"/>
    <x v="7"/>
    <n v="3"/>
    <x v="7"/>
    <n v="10214.5"/>
    <n v="28500"/>
    <n v="0.35840350877192984"/>
  </r>
  <r>
    <n v="2019"/>
    <x v="7"/>
    <n v="3"/>
    <x v="8"/>
    <n v="13772.5"/>
    <n v="28500"/>
    <n v="0.4832456140350877"/>
  </r>
  <r>
    <n v="2019"/>
    <x v="7"/>
    <n v="3"/>
    <x v="9"/>
    <n v="20162"/>
    <n v="28500"/>
    <n v="0.70743859649122809"/>
  </r>
  <r>
    <n v="2019"/>
    <x v="7"/>
    <n v="3"/>
    <x v="10"/>
    <n v="24185"/>
    <n v="28500"/>
    <n v="0.84859649122807013"/>
  </r>
  <r>
    <n v="2019"/>
    <x v="7"/>
    <n v="3"/>
    <x v="11"/>
    <n v="24235"/>
    <n v="28500"/>
    <n v="0.85035087719298241"/>
  </r>
  <r>
    <n v="2019"/>
    <x v="7"/>
    <n v="3"/>
    <x v="12"/>
    <n v="20662.5"/>
    <n v="28500"/>
    <n v="0.72499999999999998"/>
  </r>
  <r>
    <n v="2019"/>
    <x v="7"/>
    <n v="3"/>
    <x v="13"/>
    <n v="16322"/>
    <n v="28500"/>
    <n v="0.57270175438596493"/>
  </r>
  <r>
    <n v="2019"/>
    <x v="7"/>
    <n v="3"/>
    <x v="14"/>
    <n v="11008.5"/>
    <n v="28500"/>
    <n v="0.38626315789473686"/>
  </r>
  <r>
    <n v="2019"/>
    <x v="7"/>
    <n v="3"/>
    <x v="15"/>
    <n v="9223.5"/>
    <n v="28500"/>
    <n v="0.32363157894736844"/>
  </r>
  <r>
    <n v="2019"/>
    <x v="7"/>
    <n v="3"/>
    <x v="16"/>
    <n v="4201"/>
    <n v="28500"/>
    <n v="0.14740350877192981"/>
  </r>
  <r>
    <n v="2019"/>
    <x v="7"/>
    <n v="3"/>
    <x v="17"/>
    <n v="3032.5"/>
    <n v="28500"/>
    <n v="0.10640350877192982"/>
  </r>
  <r>
    <n v="2019"/>
    <x v="7"/>
    <n v="3"/>
    <x v="18"/>
    <n v="1272"/>
    <n v="28500"/>
    <n v="4.4631578947368418E-2"/>
  </r>
  <r>
    <n v="2019"/>
    <x v="7"/>
    <n v="3"/>
    <x v="19"/>
    <n v="2"/>
    <n v="28500"/>
    <n v="7.0175438596491223E-5"/>
  </r>
  <r>
    <n v="2019"/>
    <x v="7"/>
    <n v="3"/>
    <x v="20"/>
    <n v="0"/>
    <n v="28500"/>
    <n v="0"/>
  </r>
  <r>
    <n v="2019"/>
    <x v="7"/>
    <n v="3"/>
    <x v="21"/>
    <n v="0"/>
    <n v="28500"/>
    <n v="0"/>
  </r>
  <r>
    <n v="2019"/>
    <x v="7"/>
    <n v="3"/>
    <x v="22"/>
    <n v="0"/>
    <n v="28500"/>
    <n v="0"/>
  </r>
  <r>
    <n v="2019"/>
    <x v="7"/>
    <n v="3"/>
    <x v="23"/>
    <n v="0"/>
    <n v="28500"/>
    <n v="0"/>
  </r>
  <r>
    <n v="2019"/>
    <x v="7"/>
    <n v="4"/>
    <x v="0"/>
    <n v="0"/>
    <n v="28500"/>
    <n v="0"/>
  </r>
  <r>
    <n v="2019"/>
    <x v="7"/>
    <n v="4"/>
    <x v="1"/>
    <n v="0"/>
    <n v="28500"/>
    <n v="0"/>
  </r>
  <r>
    <n v="2019"/>
    <x v="7"/>
    <n v="4"/>
    <x v="2"/>
    <n v="0"/>
    <n v="28500"/>
    <n v="0"/>
  </r>
  <r>
    <n v="2019"/>
    <x v="7"/>
    <n v="4"/>
    <x v="3"/>
    <n v="0"/>
    <n v="28500"/>
    <n v="0"/>
  </r>
  <r>
    <n v="2019"/>
    <x v="7"/>
    <n v="4"/>
    <x v="4"/>
    <n v="0"/>
    <n v="28500"/>
    <n v="0"/>
  </r>
  <r>
    <n v="2019"/>
    <x v="7"/>
    <n v="4"/>
    <x v="5"/>
    <n v="0"/>
    <n v="28500"/>
    <n v="0"/>
  </r>
  <r>
    <n v="2019"/>
    <x v="7"/>
    <n v="4"/>
    <x v="6"/>
    <n v="3213"/>
    <n v="28500"/>
    <n v="0.11273684210526316"/>
  </r>
  <r>
    <n v="2019"/>
    <x v="7"/>
    <n v="4"/>
    <x v="7"/>
    <n v="7074.5"/>
    <n v="28500"/>
    <n v="0.2482280701754386"/>
  </r>
  <r>
    <n v="2019"/>
    <x v="7"/>
    <n v="4"/>
    <x v="8"/>
    <n v="9556.5"/>
    <n v="28500"/>
    <n v="0.33531578947368423"/>
  </r>
  <r>
    <n v="2019"/>
    <x v="7"/>
    <n v="4"/>
    <x v="9"/>
    <n v="14511.5"/>
    <n v="28500"/>
    <n v="0.50917543859649128"/>
  </r>
  <r>
    <n v="2019"/>
    <x v="7"/>
    <n v="4"/>
    <x v="10"/>
    <n v="24900"/>
    <n v="28500"/>
    <n v="0.87368421052631584"/>
  </r>
  <r>
    <n v="2019"/>
    <x v="7"/>
    <n v="4"/>
    <x v="11"/>
    <n v="22370"/>
    <n v="28500"/>
    <n v="0.78491228070175434"/>
  </r>
  <r>
    <n v="2019"/>
    <x v="7"/>
    <n v="4"/>
    <x v="12"/>
    <n v="21499"/>
    <n v="28500"/>
    <n v="0.75435087719298244"/>
  </r>
  <r>
    <n v="2019"/>
    <x v="7"/>
    <n v="4"/>
    <x v="13"/>
    <n v="24299.5"/>
    <n v="28500"/>
    <n v="0.85261403508771927"/>
  </r>
  <r>
    <n v="2019"/>
    <x v="7"/>
    <n v="4"/>
    <x v="14"/>
    <n v="27840.5"/>
    <n v="28500"/>
    <n v="0.97685964912280698"/>
  </r>
  <r>
    <n v="2019"/>
    <x v="7"/>
    <n v="4"/>
    <x v="15"/>
    <n v="7476.5"/>
    <n v="28500"/>
    <n v="0.26233333333333331"/>
  </r>
  <r>
    <n v="2019"/>
    <x v="7"/>
    <n v="4"/>
    <x v="16"/>
    <n v="1572"/>
    <n v="28500"/>
    <n v="5.5157894736842107E-2"/>
  </r>
  <r>
    <n v="2019"/>
    <x v="7"/>
    <n v="4"/>
    <x v="17"/>
    <n v="1236.5"/>
    <n v="28500"/>
    <n v="4.3385964912280701E-2"/>
  </r>
  <r>
    <n v="2019"/>
    <x v="7"/>
    <n v="4"/>
    <x v="18"/>
    <n v="179.5"/>
    <n v="28500"/>
    <n v="6.2982456140350876E-3"/>
  </r>
  <r>
    <n v="2019"/>
    <x v="7"/>
    <n v="4"/>
    <x v="19"/>
    <n v="0"/>
    <n v="28500"/>
    <n v="0"/>
  </r>
  <r>
    <n v="2019"/>
    <x v="7"/>
    <n v="4"/>
    <x v="20"/>
    <n v="0"/>
    <n v="28500"/>
    <n v="0"/>
  </r>
  <r>
    <n v="2019"/>
    <x v="7"/>
    <n v="4"/>
    <x v="21"/>
    <n v="0"/>
    <n v="28500"/>
    <n v="0"/>
  </r>
  <r>
    <n v="2019"/>
    <x v="7"/>
    <n v="4"/>
    <x v="22"/>
    <n v="0"/>
    <n v="28500"/>
    <n v="0"/>
  </r>
  <r>
    <n v="2019"/>
    <x v="7"/>
    <n v="4"/>
    <x v="23"/>
    <n v="0"/>
    <n v="28500"/>
    <n v="0"/>
  </r>
  <r>
    <n v="2019"/>
    <x v="7"/>
    <n v="5"/>
    <x v="0"/>
    <n v="0"/>
    <n v="28500"/>
    <n v="0"/>
  </r>
  <r>
    <n v="2019"/>
    <x v="7"/>
    <n v="5"/>
    <x v="1"/>
    <n v="0"/>
    <n v="28500"/>
    <n v="0"/>
  </r>
  <r>
    <n v="2019"/>
    <x v="7"/>
    <n v="5"/>
    <x v="2"/>
    <n v="0"/>
    <n v="28500"/>
    <n v="0"/>
  </r>
  <r>
    <n v="2019"/>
    <x v="7"/>
    <n v="5"/>
    <x v="3"/>
    <n v="0"/>
    <n v="28500"/>
    <n v="0"/>
  </r>
  <r>
    <n v="2019"/>
    <x v="7"/>
    <n v="5"/>
    <x v="4"/>
    <n v="0"/>
    <n v="28500"/>
    <n v="0"/>
  </r>
  <r>
    <n v="2019"/>
    <x v="7"/>
    <n v="5"/>
    <x v="5"/>
    <n v="3.5"/>
    <n v="28500"/>
    <n v="1.2280701754385965E-4"/>
  </r>
  <r>
    <n v="2019"/>
    <x v="7"/>
    <n v="5"/>
    <x v="6"/>
    <n v="1697.5"/>
    <n v="28500"/>
    <n v="5.9561403508771933E-2"/>
  </r>
  <r>
    <n v="2019"/>
    <x v="7"/>
    <n v="5"/>
    <x v="7"/>
    <n v="9196.5"/>
    <n v="28500"/>
    <n v="0.3226842105263158"/>
  </r>
  <r>
    <n v="2019"/>
    <x v="7"/>
    <n v="5"/>
    <x v="8"/>
    <n v="9555"/>
    <n v="28500"/>
    <n v="0.33526315789473682"/>
  </r>
  <r>
    <n v="2019"/>
    <x v="7"/>
    <n v="5"/>
    <x v="9"/>
    <n v="4943.5"/>
    <n v="28500"/>
    <n v="0.1734561403508772"/>
  </r>
  <r>
    <n v="2019"/>
    <x v="7"/>
    <n v="5"/>
    <x v="10"/>
    <n v="4437"/>
    <n v="28500"/>
    <n v="0.15568421052631579"/>
  </r>
  <r>
    <n v="2019"/>
    <x v="7"/>
    <n v="5"/>
    <x v="11"/>
    <n v="23211.5"/>
    <n v="28500"/>
    <n v="0.81443859649122807"/>
  </r>
  <r>
    <n v="2019"/>
    <x v="7"/>
    <n v="5"/>
    <x v="12"/>
    <n v="31678.5"/>
    <n v="28500"/>
    <n v="1.1115263157894737"/>
  </r>
  <r>
    <n v="2019"/>
    <x v="7"/>
    <n v="5"/>
    <x v="13"/>
    <n v="30076.5"/>
    <n v="28500"/>
    <n v="1.0553157894736842"/>
  </r>
  <r>
    <n v="2019"/>
    <x v="7"/>
    <n v="5"/>
    <x v="14"/>
    <n v="20642.5"/>
    <n v="28500"/>
    <n v="0.72429824561403511"/>
  </r>
  <r>
    <n v="2019"/>
    <x v="7"/>
    <n v="5"/>
    <x v="15"/>
    <n v="20757"/>
    <n v="28500"/>
    <n v="0.72831578947368425"/>
  </r>
  <r>
    <n v="2019"/>
    <x v="7"/>
    <n v="5"/>
    <x v="16"/>
    <n v="13990.5"/>
    <n v="28500"/>
    <n v="0.49089473684210527"/>
  </r>
  <r>
    <n v="2019"/>
    <x v="7"/>
    <n v="5"/>
    <x v="17"/>
    <n v="9180"/>
    <n v="28500"/>
    <n v="0.32210526315789473"/>
  </r>
  <r>
    <n v="2019"/>
    <x v="7"/>
    <n v="5"/>
    <x v="18"/>
    <n v="1988"/>
    <n v="28500"/>
    <n v="6.9754385964912277E-2"/>
  </r>
  <r>
    <n v="2019"/>
    <x v="7"/>
    <n v="5"/>
    <x v="19"/>
    <n v="248"/>
    <n v="28500"/>
    <n v="8.7017543859649119E-3"/>
  </r>
  <r>
    <n v="2019"/>
    <x v="7"/>
    <n v="5"/>
    <x v="20"/>
    <n v="0"/>
    <n v="28500"/>
    <n v="0"/>
  </r>
  <r>
    <n v="2019"/>
    <x v="7"/>
    <n v="5"/>
    <x v="21"/>
    <n v="0"/>
    <n v="28500"/>
    <n v="0"/>
  </r>
  <r>
    <n v="2019"/>
    <x v="7"/>
    <n v="5"/>
    <x v="22"/>
    <n v="0"/>
    <n v="28500"/>
    <n v="0"/>
  </r>
  <r>
    <n v="2019"/>
    <x v="7"/>
    <n v="5"/>
    <x v="23"/>
    <n v="0"/>
    <n v="28500"/>
    <n v="0"/>
  </r>
  <r>
    <n v="2019"/>
    <x v="7"/>
    <n v="6"/>
    <x v="0"/>
    <n v="0"/>
    <n v="28500"/>
    <n v="0"/>
  </r>
  <r>
    <n v="2019"/>
    <x v="7"/>
    <n v="6"/>
    <x v="1"/>
    <n v="0"/>
    <n v="28500"/>
    <n v="0"/>
  </r>
  <r>
    <n v="2019"/>
    <x v="7"/>
    <n v="6"/>
    <x v="2"/>
    <n v="0"/>
    <n v="28500"/>
    <n v="0"/>
  </r>
  <r>
    <n v="2019"/>
    <x v="7"/>
    <n v="6"/>
    <x v="3"/>
    <n v="0"/>
    <n v="28500"/>
    <n v="0"/>
  </r>
  <r>
    <n v="2019"/>
    <x v="7"/>
    <n v="6"/>
    <x v="4"/>
    <n v="0"/>
    <n v="28500"/>
    <n v="0"/>
  </r>
  <r>
    <n v="2019"/>
    <x v="7"/>
    <n v="6"/>
    <x v="5"/>
    <n v="525.5"/>
    <n v="28500"/>
    <n v="1.843859649122807E-2"/>
  </r>
  <r>
    <n v="2019"/>
    <x v="7"/>
    <n v="6"/>
    <x v="6"/>
    <n v="2779"/>
    <n v="28500"/>
    <n v="9.7508771929824559E-2"/>
  </r>
  <r>
    <n v="2019"/>
    <x v="7"/>
    <n v="6"/>
    <x v="7"/>
    <n v="10948.5"/>
    <n v="28500"/>
    <n v="0.38415789473684209"/>
  </r>
  <r>
    <n v="2019"/>
    <x v="7"/>
    <n v="6"/>
    <x v="8"/>
    <n v="19303"/>
    <n v="28500"/>
    <n v="0.67729824561403507"/>
  </r>
  <r>
    <n v="2019"/>
    <x v="7"/>
    <n v="6"/>
    <x v="9"/>
    <n v="27467"/>
    <n v="28500"/>
    <n v="0.96375438596491225"/>
  </r>
  <r>
    <n v="2019"/>
    <x v="7"/>
    <n v="6"/>
    <x v="10"/>
    <n v="25917.5"/>
    <n v="28500"/>
    <n v="0.90938596491228074"/>
  </r>
  <r>
    <n v="2019"/>
    <x v="7"/>
    <n v="6"/>
    <x v="11"/>
    <n v="26656.5"/>
    <n v="28500"/>
    <n v="0.93531578947368421"/>
  </r>
  <r>
    <n v="2019"/>
    <x v="7"/>
    <n v="6"/>
    <x v="12"/>
    <n v="18427"/>
    <n v="28500"/>
    <n v="0.64656140350877189"/>
  </r>
  <r>
    <n v="2019"/>
    <x v="7"/>
    <n v="6"/>
    <x v="13"/>
    <n v="20981"/>
    <n v="28500"/>
    <n v="0.73617543859649126"/>
  </r>
  <r>
    <n v="2019"/>
    <x v="7"/>
    <n v="6"/>
    <x v="14"/>
    <n v="29299"/>
    <n v="28500"/>
    <n v="1.0280350877192983"/>
  </r>
  <r>
    <n v="2019"/>
    <x v="7"/>
    <n v="6"/>
    <x v="15"/>
    <n v="15350"/>
    <n v="28500"/>
    <n v="0.53859649122807018"/>
  </r>
  <r>
    <n v="2019"/>
    <x v="7"/>
    <n v="6"/>
    <x v="16"/>
    <n v="15580"/>
    <n v="28500"/>
    <n v="0.54666666666666663"/>
  </r>
  <r>
    <n v="2019"/>
    <x v="7"/>
    <n v="6"/>
    <x v="17"/>
    <n v="8774.5"/>
    <n v="28500"/>
    <n v="0.30787719298245614"/>
  </r>
  <r>
    <n v="2019"/>
    <x v="7"/>
    <n v="6"/>
    <x v="18"/>
    <n v="2239"/>
    <n v="28500"/>
    <n v="7.8561403508771929E-2"/>
  </r>
  <r>
    <n v="2019"/>
    <x v="7"/>
    <n v="6"/>
    <x v="19"/>
    <n v="202"/>
    <n v="28500"/>
    <n v="7.0877192982456141E-3"/>
  </r>
  <r>
    <n v="2019"/>
    <x v="7"/>
    <n v="6"/>
    <x v="20"/>
    <n v="0"/>
    <n v="28500"/>
    <n v="0"/>
  </r>
  <r>
    <n v="2019"/>
    <x v="7"/>
    <n v="6"/>
    <x v="21"/>
    <n v="0"/>
    <n v="28500"/>
    <n v="0"/>
  </r>
  <r>
    <n v="2019"/>
    <x v="7"/>
    <n v="6"/>
    <x v="22"/>
    <n v="0"/>
    <n v="28500"/>
    <n v="0"/>
  </r>
  <r>
    <n v="2019"/>
    <x v="7"/>
    <n v="6"/>
    <x v="23"/>
    <n v="0"/>
    <n v="28500"/>
    <n v="0"/>
  </r>
  <r>
    <n v="2019"/>
    <x v="7"/>
    <n v="7"/>
    <x v="0"/>
    <n v="0"/>
    <n v="28500"/>
    <n v="0"/>
  </r>
  <r>
    <n v="2019"/>
    <x v="7"/>
    <n v="7"/>
    <x v="1"/>
    <n v="0"/>
    <n v="28500"/>
    <n v="0"/>
  </r>
  <r>
    <n v="2019"/>
    <x v="7"/>
    <n v="7"/>
    <x v="2"/>
    <n v="0"/>
    <n v="28500"/>
    <n v="0"/>
  </r>
  <r>
    <n v="2019"/>
    <x v="7"/>
    <n v="7"/>
    <x v="3"/>
    <n v="0"/>
    <n v="28500"/>
    <n v="0"/>
  </r>
  <r>
    <n v="2019"/>
    <x v="7"/>
    <n v="7"/>
    <x v="4"/>
    <n v="0"/>
    <n v="28500"/>
    <n v="0"/>
  </r>
  <r>
    <n v="2019"/>
    <x v="7"/>
    <n v="7"/>
    <x v="5"/>
    <n v="497.5"/>
    <n v="28500"/>
    <n v="1.7456140350877194E-2"/>
  </r>
  <r>
    <n v="2019"/>
    <x v="7"/>
    <n v="7"/>
    <x v="6"/>
    <n v="3001"/>
    <n v="28500"/>
    <n v="0.10529824561403509"/>
  </r>
  <r>
    <n v="2019"/>
    <x v="7"/>
    <n v="7"/>
    <x v="7"/>
    <n v="10629"/>
    <n v="28500"/>
    <n v="0.37294736842105264"/>
  </r>
  <r>
    <n v="2019"/>
    <x v="7"/>
    <n v="7"/>
    <x v="8"/>
    <n v="19799.5"/>
    <n v="28500"/>
    <n v="0.69471929824561407"/>
  </r>
  <r>
    <n v="2019"/>
    <x v="7"/>
    <n v="7"/>
    <x v="9"/>
    <n v="15915.5"/>
    <n v="28500"/>
    <n v="0.55843859649122807"/>
  </r>
  <r>
    <n v="2019"/>
    <x v="7"/>
    <n v="7"/>
    <x v="10"/>
    <n v="28896"/>
    <n v="28500"/>
    <n v="1.0138947368421052"/>
  </r>
  <r>
    <n v="2019"/>
    <x v="7"/>
    <n v="7"/>
    <x v="11"/>
    <n v="20123"/>
    <n v="28500"/>
    <n v="0.70607017543859651"/>
  </r>
  <r>
    <n v="2019"/>
    <x v="7"/>
    <n v="7"/>
    <x v="12"/>
    <n v="32769"/>
    <n v="28500"/>
    <n v="1.1497894736842105"/>
  </r>
  <r>
    <n v="2019"/>
    <x v="7"/>
    <n v="7"/>
    <x v="13"/>
    <n v="3612.5"/>
    <n v="28500"/>
    <n v="0.12675438596491229"/>
  </r>
  <r>
    <n v="2019"/>
    <x v="7"/>
    <n v="7"/>
    <x v="14"/>
    <n v="29655.5"/>
    <n v="28500"/>
    <n v="1.0405438596491228"/>
  </r>
  <r>
    <n v="2019"/>
    <x v="7"/>
    <n v="7"/>
    <x v="15"/>
    <n v="14088"/>
    <n v="28500"/>
    <n v="0.49431578947368421"/>
  </r>
  <r>
    <n v="2019"/>
    <x v="7"/>
    <n v="7"/>
    <x v="16"/>
    <n v="14211"/>
    <n v="28500"/>
    <n v="0.49863157894736843"/>
  </r>
  <r>
    <n v="2019"/>
    <x v="7"/>
    <n v="7"/>
    <x v="17"/>
    <n v="6900"/>
    <n v="28500"/>
    <n v="0.24210526315789474"/>
  </r>
  <r>
    <n v="2019"/>
    <x v="7"/>
    <n v="7"/>
    <x v="18"/>
    <n v="1483"/>
    <n v="28500"/>
    <n v="5.2035087719298247E-2"/>
  </r>
  <r>
    <n v="2019"/>
    <x v="7"/>
    <n v="7"/>
    <x v="19"/>
    <n v="133"/>
    <n v="28500"/>
    <n v="4.6666666666666671E-3"/>
  </r>
  <r>
    <n v="2019"/>
    <x v="7"/>
    <n v="7"/>
    <x v="20"/>
    <n v="0"/>
    <n v="28500"/>
    <n v="0"/>
  </r>
  <r>
    <n v="2019"/>
    <x v="7"/>
    <n v="7"/>
    <x v="21"/>
    <n v="0"/>
    <n v="28500"/>
    <n v="0"/>
  </r>
  <r>
    <n v="2019"/>
    <x v="7"/>
    <n v="7"/>
    <x v="22"/>
    <n v="0"/>
    <n v="28500"/>
    <n v="0"/>
  </r>
  <r>
    <n v="2019"/>
    <x v="7"/>
    <n v="7"/>
    <x v="23"/>
    <n v="0"/>
    <n v="28500"/>
    <n v="0"/>
  </r>
  <r>
    <n v="2019"/>
    <x v="7"/>
    <n v="8"/>
    <x v="0"/>
    <n v="0"/>
    <n v="28500"/>
    <n v="0"/>
  </r>
  <r>
    <n v="2019"/>
    <x v="7"/>
    <n v="8"/>
    <x v="1"/>
    <n v="0"/>
    <n v="28500"/>
    <n v="0"/>
  </r>
  <r>
    <n v="2019"/>
    <x v="7"/>
    <n v="8"/>
    <x v="2"/>
    <n v="0"/>
    <n v="28500"/>
    <n v="0"/>
  </r>
  <r>
    <n v="2019"/>
    <x v="7"/>
    <n v="8"/>
    <x v="3"/>
    <n v="0"/>
    <n v="28500"/>
    <n v="0"/>
  </r>
  <r>
    <n v="2019"/>
    <x v="7"/>
    <n v="8"/>
    <x v="4"/>
    <n v="0"/>
    <n v="28500"/>
    <n v="0"/>
  </r>
  <r>
    <n v="2019"/>
    <x v="7"/>
    <n v="8"/>
    <x v="5"/>
    <n v="309.5"/>
    <n v="28500"/>
    <n v="1.0859649122807017E-2"/>
  </r>
  <r>
    <n v="2019"/>
    <x v="7"/>
    <n v="8"/>
    <x v="6"/>
    <n v="3022"/>
    <n v="28500"/>
    <n v="0.10603508771929825"/>
  </r>
  <r>
    <n v="2019"/>
    <x v="7"/>
    <n v="8"/>
    <x v="7"/>
    <n v="8405.5"/>
    <n v="28500"/>
    <n v="0.29492982456140349"/>
  </r>
  <r>
    <n v="2019"/>
    <x v="7"/>
    <n v="8"/>
    <x v="8"/>
    <n v="18788.5"/>
    <n v="28500"/>
    <n v="0.65924561403508775"/>
  </r>
  <r>
    <n v="2019"/>
    <x v="7"/>
    <n v="8"/>
    <x v="9"/>
    <n v="28350"/>
    <n v="28500"/>
    <n v="0.99473684210526314"/>
  </r>
  <r>
    <n v="2019"/>
    <x v="7"/>
    <n v="8"/>
    <x v="10"/>
    <n v="25553.5"/>
    <n v="28500"/>
    <n v="0.89661403508771931"/>
  </r>
  <r>
    <n v="2019"/>
    <x v="7"/>
    <n v="8"/>
    <x v="11"/>
    <n v="26068"/>
    <n v="28500"/>
    <n v="0.91466666666666663"/>
  </r>
  <r>
    <n v="2019"/>
    <x v="7"/>
    <n v="8"/>
    <x v="12"/>
    <n v="13322"/>
    <n v="28500"/>
    <n v="0.4674385964912281"/>
  </r>
  <r>
    <n v="2019"/>
    <x v="7"/>
    <n v="8"/>
    <x v="13"/>
    <n v="33455"/>
    <n v="28500"/>
    <n v="1.173859649122807"/>
  </r>
  <r>
    <n v="2019"/>
    <x v="7"/>
    <n v="8"/>
    <x v="14"/>
    <n v="26790"/>
    <n v="28500"/>
    <n v="0.94"/>
  </r>
  <r>
    <n v="2019"/>
    <x v="7"/>
    <n v="8"/>
    <x v="15"/>
    <n v="10081.5"/>
    <n v="28500"/>
    <n v="0.35373684210526318"/>
  </r>
  <r>
    <n v="2019"/>
    <x v="7"/>
    <n v="8"/>
    <x v="16"/>
    <n v="9515.5"/>
    <n v="28500"/>
    <n v="0.33387719298245616"/>
  </r>
  <r>
    <n v="2019"/>
    <x v="7"/>
    <n v="8"/>
    <x v="17"/>
    <n v="7572"/>
    <n v="28500"/>
    <n v="0.2656842105263158"/>
  </r>
  <r>
    <n v="2019"/>
    <x v="7"/>
    <n v="8"/>
    <x v="18"/>
    <n v="1907.5"/>
    <n v="28500"/>
    <n v="6.6929824561403506E-2"/>
  </r>
  <r>
    <n v="2019"/>
    <x v="7"/>
    <n v="8"/>
    <x v="19"/>
    <n v="90"/>
    <n v="28500"/>
    <n v="3.1578947368421052E-3"/>
  </r>
  <r>
    <n v="2019"/>
    <x v="7"/>
    <n v="8"/>
    <x v="20"/>
    <n v="0"/>
    <n v="28500"/>
    <n v="0"/>
  </r>
  <r>
    <n v="2019"/>
    <x v="7"/>
    <n v="8"/>
    <x v="21"/>
    <n v="0"/>
    <n v="28500"/>
    <n v="0"/>
  </r>
  <r>
    <n v="2019"/>
    <x v="7"/>
    <n v="8"/>
    <x v="22"/>
    <n v="0"/>
    <n v="28500"/>
    <n v="0"/>
  </r>
  <r>
    <n v="2019"/>
    <x v="7"/>
    <n v="8"/>
    <x v="23"/>
    <n v="0"/>
    <n v="28500"/>
    <n v="0"/>
  </r>
  <r>
    <n v="2019"/>
    <x v="7"/>
    <n v="9"/>
    <x v="0"/>
    <n v="0"/>
    <n v="28500"/>
    <n v="0"/>
  </r>
  <r>
    <n v="2019"/>
    <x v="7"/>
    <n v="9"/>
    <x v="1"/>
    <n v="0"/>
    <n v="28500"/>
    <n v="0"/>
  </r>
  <r>
    <n v="2019"/>
    <x v="7"/>
    <n v="9"/>
    <x v="2"/>
    <n v="0"/>
    <n v="28500"/>
    <n v="0"/>
  </r>
  <r>
    <n v="2019"/>
    <x v="7"/>
    <n v="9"/>
    <x v="3"/>
    <n v="0"/>
    <n v="28500"/>
    <n v="0"/>
  </r>
  <r>
    <n v="2019"/>
    <x v="7"/>
    <n v="9"/>
    <x v="4"/>
    <n v="0"/>
    <n v="28500"/>
    <n v="0"/>
  </r>
  <r>
    <n v="2019"/>
    <x v="7"/>
    <n v="9"/>
    <x v="5"/>
    <n v="202.5"/>
    <n v="28500"/>
    <n v="7.1052631578947369E-3"/>
  </r>
  <r>
    <n v="2019"/>
    <x v="7"/>
    <n v="9"/>
    <x v="6"/>
    <n v="1362"/>
    <n v="28500"/>
    <n v="4.7789473684210527E-2"/>
  </r>
  <r>
    <n v="2019"/>
    <x v="7"/>
    <n v="9"/>
    <x v="7"/>
    <n v="7512.5"/>
    <n v="28500"/>
    <n v="0.26359649122807016"/>
  </r>
  <r>
    <n v="2019"/>
    <x v="7"/>
    <n v="9"/>
    <x v="8"/>
    <n v="1525.5"/>
    <n v="28500"/>
    <n v="5.3526315789473686E-2"/>
  </r>
  <r>
    <n v="2019"/>
    <x v="7"/>
    <n v="9"/>
    <x v="9"/>
    <n v="12852.5"/>
    <n v="28500"/>
    <n v="0.45096491228070174"/>
  </r>
  <r>
    <n v="2019"/>
    <x v="7"/>
    <n v="9"/>
    <x v="10"/>
    <n v="21977.5"/>
    <n v="28500"/>
    <n v="0.77114035087719301"/>
  </r>
  <r>
    <n v="2019"/>
    <x v="7"/>
    <n v="9"/>
    <x v="11"/>
    <n v="29800"/>
    <n v="28500"/>
    <n v="1.0456140350877192"/>
  </r>
  <r>
    <n v="2019"/>
    <x v="7"/>
    <n v="9"/>
    <x v="12"/>
    <n v="31506.5"/>
    <n v="28500"/>
    <n v="1.1054912280701754"/>
  </r>
  <r>
    <n v="2019"/>
    <x v="7"/>
    <n v="9"/>
    <x v="13"/>
    <n v="14299"/>
    <n v="28500"/>
    <n v="0.50171929824561401"/>
  </r>
  <r>
    <n v="2019"/>
    <x v="7"/>
    <n v="9"/>
    <x v="14"/>
    <n v="22202"/>
    <n v="28500"/>
    <n v="0.77901754385964916"/>
  </r>
  <r>
    <n v="2019"/>
    <x v="7"/>
    <n v="9"/>
    <x v="15"/>
    <n v="11251"/>
    <n v="28500"/>
    <n v="0.39477192982456139"/>
  </r>
  <r>
    <n v="2019"/>
    <x v="7"/>
    <n v="9"/>
    <x v="16"/>
    <n v="12029.5"/>
    <n v="28500"/>
    <n v="0.42208771929824562"/>
  </r>
  <r>
    <n v="2019"/>
    <x v="7"/>
    <n v="9"/>
    <x v="17"/>
    <n v="6746.5"/>
    <n v="28500"/>
    <n v="0.23671929824561402"/>
  </r>
  <r>
    <n v="2019"/>
    <x v="7"/>
    <n v="9"/>
    <x v="18"/>
    <n v="2091"/>
    <n v="28500"/>
    <n v="7.3368421052631583E-2"/>
  </r>
  <r>
    <n v="2019"/>
    <x v="7"/>
    <n v="9"/>
    <x v="19"/>
    <n v="0"/>
    <n v="28500"/>
    <n v="0"/>
  </r>
  <r>
    <n v="2019"/>
    <x v="7"/>
    <n v="9"/>
    <x v="20"/>
    <n v="0"/>
    <n v="28500"/>
    <n v="0"/>
  </r>
  <r>
    <n v="2019"/>
    <x v="7"/>
    <n v="9"/>
    <x v="21"/>
    <n v="0"/>
    <n v="28500"/>
    <n v="0"/>
  </r>
  <r>
    <n v="2019"/>
    <x v="7"/>
    <n v="9"/>
    <x v="22"/>
    <n v="0"/>
    <n v="28500"/>
    <n v="0"/>
  </r>
  <r>
    <n v="2019"/>
    <x v="7"/>
    <n v="9"/>
    <x v="23"/>
    <n v="0"/>
    <n v="28500"/>
    <n v="0"/>
  </r>
  <r>
    <n v="2019"/>
    <x v="7"/>
    <n v="10"/>
    <x v="0"/>
    <n v="0"/>
    <n v="28500"/>
    <n v="0"/>
  </r>
  <r>
    <n v="2019"/>
    <x v="7"/>
    <n v="10"/>
    <x v="1"/>
    <n v="0"/>
    <n v="28500"/>
    <n v="0"/>
  </r>
  <r>
    <n v="2019"/>
    <x v="7"/>
    <n v="10"/>
    <x v="2"/>
    <n v="0"/>
    <n v="28500"/>
    <n v="0"/>
  </r>
  <r>
    <n v="2019"/>
    <x v="7"/>
    <n v="10"/>
    <x v="3"/>
    <n v="0"/>
    <n v="28500"/>
    <n v="0"/>
  </r>
  <r>
    <n v="2019"/>
    <x v="7"/>
    <n v="10"/>
    <x v="4"/>
    <n v="0"/>
    <n v="28500"/>
    <n v="0"/>
  </r>
  <r>
    <n v="2019"/>
    <x v="7"/>
    <n v="10"/>
    <x v="5"/>
    <n v="278.5"/>
    <n v="28500"/>
    <n v="9.7719298245614039E-3"/>
  </r>
  <r>
    <n v="2019"/>
    <x v="7"/>
    <n v="10"/>
    <x v="6"/>
    <n v="2540.5"/>
    <n v="28500"/>
    <n v="8.9140350877192978E-2"/>
  </r>
  <r>
    <n v="2019"/>
    <x v="7"/>
    <n v="10"/>
    <x v="7"/>
    <n v="3647.5"/>
    <n v="28500"/>
    <n v="0.12798245614035086"/>
  </r>
  <r>
    <n v="2019"/>
    <x v="7"/>
    <n v="10"/>
    <x v="8"/>
    <n v="11449"/>
    <n v="28500"/>
    <n v="0.40171929824561403"/>
  </r>
  <r>
    <n v="2019"/>
    <x v="7"/>
    <n v="10"/>
    <x v="9"/>
    <n v="19292.5"/>
    <n v="28500"/>
    <n v="0.67692982456140349"/>
  </r>
  <r>
    <n v="2019"/>
    <x v="7"/>
    <n v="10"/>
    <x v="10"/>
    <n v="5302.5"/>
    <n v="28500"/>
    <n v="0.18605263157894736"/>
  </r>
  <r>
    <n v="2019"/>
    <x v="7"/>
    <n v="10"/>
    <x v="11"/>
    <n v="36790.5"/>
    <n v="28500"/>
    <n v="1.2908947368421053"/>
  </r>
  <r>
    <n v="2019"/>
    <x v="7"/>
    <n v="10"/>
    <x v="12"/>
    <n v="27525"/>
    <n v="28500"/>
    <n v="0.96578947368421053"/>
  </r>
  <r>
    <n v="2019"/>
    <x v="7"/>
    <n v="10"/>
    <x v="13"/>
    <n v="35384"/>
    <n v="28500"/>
    <n v="1.2415438596491228"/>
  </r>
  <r>
    <n v="2019"/>
    <x v="7"/>
    <n v="10"/>
    <x v="14"/>
    <n v="22000.5"/>
    <n v="28500"/>
    <n v="0.7719473684210526"/>
  </r>
  <r>
    <n v="2019"/>
    <x v="7"/>
    <n v="10"/>
    <x v="15"/>
    <n v="19570.5"/>
    <n v="28500"/>
    <n v="0.68668421052631579"/>
  </r>
  <r>
    <n v="2019"/>
    <x v="7"/>
    <n v="10"/>
    <x v="16"/>
    <n v="18064.5"/>
    <n v="28500"/>
    <n v="0.63384210526315787"/>
  </r>
  <r>
    <n v="2019"/>
    <x v="7"/>
    <n v="10"/>
    <x v="17"/>
    <n v="8829.5"/>
    <n v="28500"/>
    <n v="0.30980701754385964"/>
  </r>
  <r>
    <n v="2019"/>
    <x v="7"/>
    <n v="10"/>
    <x v="18"/>
    <n v="1780.5"/>
    <n v="28500"/>
    <n v="6.2473684210526313E-2"/>
  </r>
  <r>
    <n v="2019"/>
    <x v="7"/>
    <n v="10"/>
    <x v="19"/>
    <n v="53.5"/>
    <n v="28500"/>
    <n v="1.8771929824561403E-3"/>
  </r>
  <r>
    <n v="2019"/>
    <x v="7"/>
    <n v="10"/>
    <x v="20"/>
    <n v="0"/>
    <n v="28500"/>
    <n v="0"/>
  </r>
  <r>
    <n v="2019"/>
    <x v="7"/>
    <n v="10"/>
    <x v="21"/>
    <n v="0"/>
    <n v="28500"/>
    <n v="0"/>
  </r>
  <r>
    <n v="2019"/>
    <x v="7"/>
    <n v="10"/>
    <x v="22"/>
    <n v="0"/>
    <n v="28500"/>
    <n v="0"/>
  </r>
  <r>
    <n v="2019"/>
    <x v="7"/>
    <n v="10"/>
    <x v="23"/>
    <n v="0"/>
    <n v="28500"/>
    <n v="0"/>
  </r>
  <r>
    <n v="2019"/>
    <x v="7"/>
    <n v="11"/>
    <x v="0"/>
    <n v="0"/>
    <n v="28500"/>
    <n v="0"/>
  </r>
  <r>
    <n v="2019"/>
    <x v="7"/>
    <n v="11"/>
    <x v="1"/>
    <n v="0"/>
    <n v="28500"/>
    <n v="0"/>
  </r>
  <r>
    <n v="2019"/>
    <x v="7"/>
    <n v="11"/>
    <x v="2"/>
    <n v="0"/>
    <n v="28500"/>
    <n v="0"/>
  </r>
  <r>
    <n v="2019"/>
    <x v="7"/>
    <n v="11"/>
    <x v="3"/>
    <n v="0"/>
    <n v="28500"/>
    <n v="0"/>
  </r>
  <r>
    <n v="2019"/>
    <x v="7"/>
    <n v="11"/>
    <x v="4"/>
    <n v="0"/>
    <n v="28500"/>
    <n v="0"/>
  </r>
  <r>
    <n v="2019"/>
    <x v="7"/>
    <n v="11"/>
    <x v="5"/>
    <n v="307.5"/>
    <n v="28500"/>
    <n v="1.0789473684210526E-2"/>
  </r>
  <r>
    <n v="2019"/>
    <x v="7"/>
    <n v="11"/>
    <x v="6"/>
    <n v="2228.5"/>
    <n v="28500"/>
    <n v="7.8192982456140356E-2"/>
  </r>
  <r>
    <n v="2019"/>
    <x v="7"/>
    <n v="11"/>
    <x v="7"/>
    <n v="10796"/>
    <n v="28500"/>
    <n v="0.37880701754385965"/>
  </r>
  <r>
    <n v="2019"/>
    <x v="7"/>
    <n v="11"/>
    <x v="8"/>
    <n v="14456.5"/>
    <n v="28500"/>
    <n v="0.50724561403508772"/>
  </r>
  <r>
    <n v="2019"/>
    <x v="7"/>
    <n v="11"/>
    <x v="9"/>
    <n v="23828.5"/>
    <n v="28500"/>
    <n v="0.83608771929824566"/>
  </r>
  <r>
    <n v="2019"/>
    <x v="7"/>
    <n v="11"/>
    <x v="10"/>
    <n v="23496.5"/>
    <n v="28500"/>
    <n v="0.82443859649122808"/>
  </r>
  <r>
    <n v="2019"/>
    <x v="7"/>
    <n v="11"/>
    <x v="11"/>
    <n v="28067"/>
    <n v="28500"/>
    <n v="0.98480701754385969"/>
  </r>
  <r>
    <n v="2019"/>
    <x v="7"/>
    <n v="11"/>
    <x v="12"/>
    <n v="32888"/>
    <n v="28500"/>
    <n v="1.1539649122807019"/>
  </r>
  <r>
    <n v="2019"/>
    <x v="7"/>
    <n v="11"/>
    <x v="13"/>
    <n v="24963.5"/>
    <n v="28500"/>
    <n v="0.87591228070175442"/>
  </r>
  <r>
    <n v="2019"/>
    <x v="7"/>
    <n v="11"/>
    <x v="14"/>
    <n v="24897"/>
    <n v="28500"/>
    <n v="0.87357894736842101"/>
  </r>
  <r>
    <n v="2019"/>
    <x v="7"/>
    <n v="11"/>
    <x v="15"/>
    <n v="15075.5"/>
    <n v="28500"/>
    <n v="0.52896491228070175"/>
  </r>
  <r>
    <n v="2019"/>
    <x v="7"/>
    <n v="11"/>
    <x v="16"/>
    <n v="7079.5"/>
    <n v="28500"/>
    <n v="0.24840350877192982"/>
  </r>
  <r>
    <n v="2019"/>
    <x v="7"/>
    <n v="11"/>
    <x v="17"/>
    <n v="2461.5"/>
    <n v="28500"/>
    <n v="8.636842105263158E-2"/>
  </r>
  <r>
    <n v="2019"/>
    <x v="7"/>
    <n v="11"/>
    <x v="18"/>
    <n v="1492.5"/>
    <n v="28500"/>
    <n v="5.2368421052631578E-2"/>
  </r>
  <r>
    <n v="2019"/>
    <x v="7"/>
    <n v="11"/>
    <x v="19"/>
    <n v="0"/>
    <n v="28500"/>
    <n v="0"/>
  </r>
  <r>
    <n v="2019"/>
    <x v="7"/>
    <n v="11"/>
    <x v="20"/>
    <n v="0"/>
    <n v="28500"/>
    <n v="0"/>
  </r>
  <r>
    <n v="2019"/>
    <x v="7"/>
    <n v="11"/>
    <x v="21"/>
    <n v="0"/>
    <n v="28500"/>
    <n v="0"/>
  </r>
  <r>
    <n v="2019"/>
    <x v="7"/>
    <n v="11"/>
    <x v="22"/>
    <n v="0"/>
    <n v="28500"/>
    <n v="0"/>
  </r>
  <r>
    <n v="2019"/>
    <x v="7"/>
    <n v="11"/>
    <x v="23"/>
    <n v="0"/>
    <n v="28500"/>
    <n v="0"/>
  </r>
  <r>
    <n v="2019"/>
    <x v="7"/>
    <n v="12"/>
    <x v="0"/>
    <n v="0"/>
    <n v="28500"/>
    <n v="0"/>
  </r>
  <r>
    <n v="2019"/>
    <x v="7"/>
    <n v="12"/>
    <x v="1"/>
    <n v="0"/>
    <n v="28500"/>
    <n v="0"/>
  </r>
  <r>
    <n v="2019"/>
    <x v="7"/>
    <n v="12"/>
    <x v="2"/>
    <n v="0"/>
    <n v="28500"/>
    <n v="0"/>
  </r>
  <r>
    <n v="2019"/>
    <x v="7"/>
    <n v="12"/>
    <x v="3"/>
    <n v="0"/>
    <n v="28500"/>
    <n v="0"/>
  </r>
  <r>
    <n v="2019"/>
    <x v="7"/>
    <n v="12"/>
    <x v="4"/>
    <n v="0"/>
    <n v="28500"/>
    <n v="0"/>
  </r>
  <r>
    <n v="2019"/>
    <x v="7"/>
    <n v="12"/>
    <x v="5"/>
    <n v="0"/>
    <n v="28500"/>
    <n v="0"/>
  </r>
  <r>
    <n v="2019"/>
    <x v="7"/>
    <n v="12"/>
    <x v="6"/>
    <n v="2476.5"/>
    <n v="28500"/>
    <n v="8.6894736842105261E-2"/>
  </r>
  <r>
    <n v="2019"/>
    <x v="7"/>
    <n v="12"/>
    <x v="7"/>
    <n v="5496"/>
    <n v="28500"/>
    <n v="0.1928421052631579"/>
  </r>
  <r>
    <n v="2019"/>
    <x v="7"/>
    <n v="12"/>
    <x v="8"/>
    <n v="8114.5"/>
    <n v="28500"/>
    <n v="0.28471929824561404"/>
  </r>
  <r>
    <n v="2019"/>
    <x v="7"/>
    <n v="12"/>
    <x v="9"/>
    <n v="15027.5"/>
    <n v="28500"/>
    <n v="0.52728070175438602"/>
  </r>
  <r>
    <n v="2019"/>
    <x v="7"/>
    <n v="12"/>
    <x v="10"/>
    <n v="2297.5"/>
    <n v="28500"/>
    <n v="8.0614035087719305E-2"/>
  </r>
  <r>
    <n v="2019"/>
    <x v="7"/>
    <n v="12"/>
    <x v="11"/>
    <n v="7898.5"/>
    <n v="28500"/>
    <n v="0.27714035087719296"/>
  </r>
  <r>
    <n v="2019"/>
    <x v="7"/>
    <n v="12"/>
    <x v="12"/>
    <n v="12667.5"/>
    <n v="28500"/>
    <n v="0.4444736842105263"/>
  </r>
  <r>
    <n v="2019"/>
    <x v="7"/>
    <n v="12"/>
    <x v="13"/>
    <n v="4691.5"/>
    <n v="28500"/>
    <n v="0.1646140350877193"/>
  </r>
  <r>
    <n v="2019"/>
    <x v="7"/>
    <n v="12"/>
    <x v="14"/>
    <n v="2075.5"/>
    <n v="28500"/>
    <n v="7.2824561403508778E-2"/>
  </r>
  <r>
    <n v="2019"/>
    <x v="7"/>
    <n v="12"/>
    <x v="15"/>
    <n v="23352"/>
    <n v="28500"/>
    <n v="0.81936842105263152"/>
  </r>
  <r>
    <n v="2019"/>
    <x v="7"/>
    <n v="12"/>
    <x v="16"/>
    <n v="3530.5"/>
    <n v="28500"/>
    <n v="0.12387719298245614"/>
  </r>
  <r>
    <n v="2019"/>
    <x v="7"/>
    <n v="12"/>
    <x v="17"/>
    <n v="2452.5"/>
    <n v="28500"/>
    <n v="8.6052631578947367E-2"/>
  </r>
  <r>
    <n v="2019"/>
    <x v="7"/>
    <n v="12"/>
    <x v="18"/>
    <n v="2082.5"/>
    <n v="28500"/>
    <n v="7.3070175438596494E-2"/>
  </r>
  <r>
    <n v="2019"/>
    <x v="7"/>
    <n v="12"/>
    <x v="19"/>
    <n v="0"/>
    <n v="28500"/>
    <n v="0"/>
  </r>
  <r>
    <n v="2019"/>
    <x v="7"/>
    <n v="12"/>
    <x v="20"/>
    <n v="0"/>
    <n v="28500"/>
    <n v="0"/>
  </r>
  <r>
    <n v="2019"/>
    <x v="7"/>
    <n v="12"/>
    <x v="21"/>
    <n v="0"/>
    <n v="28500"/>
    <n v="0"/>
  </r>
  <r>
    <n v="2019"/>
    <x v="7"/>
    <n v="12"/>
    <x v="22"/>
    <n v="0"/>
    <n v="28500"/>
    <n v="0"/>
  </r>
  <r>
    <n v="2019"/>
    <x v="7"/>
    <n v="12"/>
    <x v="23"/>
    <n v="0"/>
    <n v="28500"/>
    <n v="0"/>
  </r>
  <r>
    <n v="2019"/>
    <x v="7"/>
    <n v="13"/>
    <x v="0"/>
    <n v="0"/>
    <n v="28500"/>
    <n v="0"/>
  </r>
  <r>
    <n v="2019"/>
    <x v="7"/>
    <n v="13"/>
    <x v="1"/>
    <n v="0"/>
    <n v="28500"/>
    <n v="0"/>
  </r>
  <r>
    <n v="2019"/>
    <x v="7"/>
    <n v="13"/>
    <x v="2"/>
    <n v="0"/>
    <n v="28500"/>
    <n v="0"/>
  </r>
  <r>
    <n v="2019"/>
    <x v="7"/>
    <n v="13"/>
    <x v="3"/>
    <n v="0"/>
    <n v="28500"/>
    <n v="0"/>
  </r>
  <r>
    <n v="2019"/>
    <x v="7"/>
    <n v="13"/>
    <x v="4"/>
    <n v="0"/>
    <n v="28500"/>
    <n v="0"/>
  </r>
  <r>
    <n v="2019"/>
    <x v="7"/>
    <n v="13"/>
    <x v="5"/>
    <n v="236.5"/>
    <n v="28500"/>
    <n v="8.2982456140350876E-3"/>
  </r>
  <r>
    <n v="2019"/>
    <x v="7"/>
    <n v="13"/>
    <x v="6"/>
    <n v="992.5"/>
    <n v="28500"/>
    <n v="3.4824561403508772E-2"/>
  </r>
  <r>
    <n v="2019"/>
    <x v="7"/>
    <n v="13"/>
    <x v="7"/>
    <n v="7787.5"/>
    <n v="28500"/>
    <n v="0.27324561403508774"/>
  </r>
  <r>
    <n v="2019"/>
    <x v="7"/>
    <n v="13"/>
    <x v="8"/>
    <n v="17338"/>
    <n v="28500"/>
    <n v="0.60835087719298242"/>
  </r>
  <r>
    <n v="2019"/>
    <x v="7"/>
    <n v="13"/>
    <x v="9"/>
    <n v="30000"/>
    <n v="28500"/>
    <n v="1.0526315789473684"/>
  </r>
  <r>
    <n v="2019"/>
    <x v="7"/>
    <n v="13"/>
    <x v="10"/>
    <n v="34601"/>
    <n v="28500"/>
    <n v="1.2140701754385965"/>
  </r>
  <r>
    <n v="2019"/>
    <x v="7"/>
    <n v="13"/>
    <x v="11"/>
    <n v="32540"/>
    <n v="28500"/>
    <n v="1.1417543859649122"/>
  </r>
  <r>
    <n v="2019"/>
    <x v="7"/>
    <n v="13"/>
    <x v="12"/>
    <n v="23220"/>
    <n v="28500"/>
    <n v="0.8147368421052632"/>
  </r>
  <r>
    <n v="2019"/>
    <x v="7"/>
    <n v="13"/>
    <x v="13"/>
    <n v="37522.5"/>
    <n v="28500"/>
    <n v="1.3165789473684211"/>
  </r>
  <r>
    <n v="2019"/>
    <x v="7"/>
    <n v="13"/>
    <x v="14"/>
    <n v="33762"/>
    <n v="28500"/>
    <n v="1.1846315789473685"/>
  </r>
  <r>
    <n v="2019"/>
    <x v="7"/>
    <n v="13"/>
    <x v="15"/>
    <n v="26171.5"/>
    <n v="28500"/>
    <n v="0.91829824561403506"/>
  </r>
  <r>
    <n v="2019"/>
    <x v="7"/>
    <n v="13"/>
    <x v="16"/>
    <n v="12496"/>
    <n v="28500"/>
    <n v="0.43845614035087721"/>
  </r>
  <r>
    <n v="2019"/>
    <x v="7"/>
    <n v="13"/>
    <x v="17"/>
    <n v="8208.5"/>
    <n v="28500"/>
    <n v="0.28801754385964912"/>
  </r>
  <r>
    <n v="2019"/>
    <x v="7"/>
    <n v="13"/>
    <x v="18"/>
    <n v="1192"/>
    <n v="28500"/>
    <n v="4.1824561403508771E-2"/>
  </r>
  <r>
    <n v="2019"/>
    <x v="7"/>
    <n v="13"/>
    <x v="19"/>
    <n v="0"/>
    <n v="28500"/>
    <n v="0"/>
  </r>
  <r>
    <n v="2019"/>
    <x v="7"/>
    <n v="13"/>
    <x v="20"/>
    <n v="0"/>
    <n v="28500"/>
    <n v="0"/>
  </r>
  <r>
    <n v="2019"/>
    <x v="7"/>
    <n v="13"/>
    <x v="21"/>
    <n v="0"/>
    <n v="28500"/>
    <n v="0"/>
  </r>
  <r>
    <n v="2019"/>
    <x v="7"/>
    <n v="13"/>
    <x v="22"/>
    <n v="0"/>
    <n v="28500"/>
    <n v="0"/>
  </r>
  <r>
    <n v="2019"/>
    <x v="7"/>
    <n v="13"/>
    <x v="23"/>
    <n v="0"/>
    <n v="28500"/>
    <n v="0"/>
  </r>
  <r>
    <n v="2019"/>
    <x v="7"/>
    <n v="14"/>
    <x v="0"/>
    <n v="0"/>
    <n v="28500"/>
    <n v="0"/>
  </r>
  <r>
    <n v="2019"/>
    <x v="7"/>
    <n v="14"/>
    <x v="1"/>
    <n v="0"/>
    <n v="28500"/>
    <n v="0"/>
  </r>
  <r>
    <n v="2019"/>
    <x v="7"/>
    <n v="14"/>
    <x v="2"/>
    <n v="0"/>
    <n v="28500"/>
    <n v="0"/>
  </r>
  <r>
    <n v="2019"/>
    <x v="7"/>
    <n v="14"/>
    <x v="3"/>
    <n v="0"/>
    <n v="28500"/>
    <n v="0"/>
  </r>
  <r>
    <n v="2019"/>
    <x v="7"/>
    <n v="14"/>
    <x v="4"/>
    <n v="0"/>
    <n v="28500"/>
    <n v="0"/>
  </r>
  <r>
    <n v="2019"/>
    <x v="7"/>
    <n v="14"/>
    <x v="5"/>
    <n v="210"/>
    <n v="28500"/>
    <n v="7.3684210526315788E-3"/>
  </r>
  <r>
    <n v="2019"/>
    <x v="7"/>
    <n v="14"/>
    <x v="6"/>
    <n v="1541"/>
    <n v="28500"/>
    <n v="5.4070175438596491E-2"/>
  </r>
  <r>
    <n v="2019"/>
    <x v="7"/>
    <n v="14"/>
    <x v="7"/>
    <n v="3151"/>
    <n v="28500"/>
    <n v="0.11056140350877193"/>
  </r>
  <r>
    <n v="2019"/>
    <x v="7"/>
    <n v="14"/>
    <x v="8"/>
    <n v="1177.5"/>
    <n v="28500"/>
    <n v="4.1315789473684209E-2"/>
  </r>
  <r>
    <n v="2019"/>
    <x v="7"/>
    <n v="14"/>
    <x v="9"/>
    <n v="3789"/>
    <n v="28500"/>
    <n v="0.13294736842105262"/>
  </r>
  <r>
    <n v="2019"/>
    <x v="7"/>
    <n v="14"/>
    <x v="10"/>
    <n v="3371"/>
    <n v="28500"/>
    <n v="0.11828070175438596"/>
  </r>
  <r>
    <n v="2019"/>
    <x v="7"/>
    <n v="14"/>
    <x v="11"/>
    <n v="3175"/>
    <n v="28500"/>
    <n v="0.11140350877192982"/>
  </r>
  <r>
    <n v="2019"/>
    <x v="7"/>
    <n v="14"/>
    <x v="12"/>
    <n v="2054"/>
    <n v="28500"/>
    <n v="7.2070175438596493E-2"/>
  </r>
  <r>
    <n v="2019"/>
    <x v="7"/>
    <n v="14"/>
    <x v="13"/>
    <n v="3773.5"/>
    <n v="28500"/>
    <n v="0.13240350877192983"/>
  </r>
  <r>
    <n v="2019"/>
    <x v="7"/>
    <n v="14"/>
    <x v="14"/>
    <n v="1909.5"/>
    <n v="28500"/>
    <n v="6.7000000000000004E-2"/>
  </r>
  <r>
    <n v="2019"/>
    <x v="7"/>
    <n v="14"/>
    <x v="15"/>
    <n v="4881"/>
    <n v="28500"/>
    <n v="0.17126315789473684"/>
  </r>
  <r>
    <n v="2019"/>
    <x v="7"/>
    <n v="14"/>
    <x v="16"/>
    <n v="4881.5"/>
    <n v="28500"/>
    <n v="0.17128070175438598"/>
  </r>
  <r>
    <n v="2019"/>
    <x v="7"/>
    <n v="14"/>
    <x v="17"/>
    <n v="4675"/>
    <n v="28500"/>
    <n v="0.16403508771929826"/>
  </r>
  <r>
    <n v="2019"/>
    <x v="7"/>
    <n v="14"/>
    <x v="18"/>
    <n v="1169"/>
    <n v="28500"/>
    <n v="4.1017543859649126E-2"/>
  </r>
  <r>
    <n v="2019"/>
    <x v="7"/>
    <n v="14"/>
    <x v="19"/>
    <n v="0"/>
    <n v="28500"/>
    <n v="0"/>
  </r>
  <r>
    <n v="2019"/>
    <x v="7"/>
    <n v="14"/>
    <x v="20"/>
    <n v="0"/>
    <n v="28500"/>
    <n v="0"/>
  </r>
  <r>
    <n v="2019"/>
    <x v="7"/>
    <n v="14"/>
    <x v="21"/>
    <n v="0"/>
    <n v="28500"/>
    <n v="0"/>
  </r>
  <r>
    <n v="2019"/>
    <x v="7"/>
    <n v="14"/>
    <x v="22"/>
    <n v="0"/>
    <n v="28500"/>
    <n v="0"/>
  </r>
  <r>
    <n v="2019"/>
    <x v="7"/>
    <n v="14"/>
    <x v="23"/>
    <n v="0"/>
    <n v="28500"/>
    <n v="0"/>
  </r>
  <r>
    <n v="2019"/>
    <x v="7"/>
    <n v="15"/>
    <x v="0"/>
    <n v="0"/>
    <n v="28500"/>
    <n v="0"/>
  </r>
  <r>
    <n v="2019"/>
    <x v="7"/>
    <n v="15"/>
    <x v="1"/>
    <n v="0"/>
    <n v="28500"/>
    <n v="0"/>
  </r>
  <r>
    <n v="2019"/>
    <x v="7"/>
    <n v="15"/>
    <x v="2"/>
    <n v="0"/>
    <n v="28500"/>
    <n v="0"/>
  </r>
  <r>
    <n v="2019"/>
    <x v="7"/>
    <n v="15"/>
    <x v="3"/>
    <n v="0"/>
    <n v="28500"/>
    <n v="0"/>
  </r>
  <r>
    <n v="2019"/>
    <x v="7"/>
    <n v="15"/>
    <x v="4"/>
    <n v="0"/>
    <n v="28500"/>
    <n v="0"/>
  </r>
  <r>
    <n v="2019"/>
    <x v="7"/>
    <n v="15"/>
    <x v="5"/>
    <n v="116"/>
    <n v="28500"/>
    <n v="4.0701754385964913E-3"/>
  </r>
  <r>
    <n v="2019"/>
    <x v="7"/>
    <n v="15"/>
    <x v="6"/>
    <n v="2355.5"/>
    <n v="28500"/>
    <n v="8.2649122807017542E-2"/>
  </r>
  <r>
    <n v="2019"/>
    <x v="7"/>
    <n v="15"/>
    <x v="7"/>
    <n v="2992"/>
    <n v="28500"/>
    <n v="0.10498245614035087"/>
  </r>
  <r>
    <n v="2019"/>
    <x v="7"/>
    <n v="15"/>
    <x v="8"/>
    <n v="16519"/>
    <n v="28500"/>
    <n v="0.57961403508771925"/>
  </r>
  <r>
    <n v="2019"/>
    <x v="7"/>
    <n v="15"/>
    <x v="9"/>
    <n v="19950.5"/>
    <n v="28500"/>
    <n v="0.70001754385964909"/>
  </r>
  <r>
    <n v="2019"/>
    <x v="7"/>
    <n v="15"/>
    <x v="10"/>
    <n v="17063.5"/>
    <n v="28500"/>
    <n v="0.59871929824561398"/>
  </r>
  <r>
    <n v="2019"/>
    <x v="7"/>
    <n v="15"/>
    <x v="11"/>
    <n v="16232.5"/>
    <n v="28500"/>
    <n v="0.56956140350877194"/>
  </r>
  <r>
    <n v="2019"/>
    <x v="7"/>
    <n v="15"/>
    <x v="12"/>
    <n v="25743"/>
    <n v="28500"/>
    <n v="0.90326315789473688"/>
  </r>
  <r>
    <n v="2019"/>
    <x v="7"/>
    <n v="15"/>
    <x v="13"/>
    <n v="38256"/>
    <n v="28500"/>
    <n v="1.3423157894736841"/>
  </r>
  <r>
    <n v="2019"/>
    <x v="7"/>
    <n v="15"/>
    <x v="14"/>
    <n v="32171"/>
    <n v="28500"/>
    <n v="1.1288070175438596"/>
  </r>
  <r>
    <n v="2019"/>
    <x v="7"/>
    <n v="15"/>
    <x v="15"/>
    <n v="24682"/>
    <n v="28500"/>
    <n v="0.86603508771929827"/>
  </r>
  <r>
    <n v="2019"/>
    <x v="7"/>
    <n v="15"/>
    <x v="16"/>
    <n v="16972.5"/>
    <n v="28500"/>
    <n v="0.59552631578947368"/>
  </r>
  <r>
    <n v="2019"/>
    <x v="7"/>
    <n v="15"/>
    <x v="17"/>
    <n v="3105.5"/>
    <n v="28500"/>
    <n v="0.10896491228070175"/>
  </r>
  <r>
    <n v="2019"/>
    <x v="7"/>
    <n v="15"/>
    <x v="18"/>
    <n v="1088"/>
    <n v="28500"/>
    <n v="3.817543859649123E-2"/>
  </r>
  <r>
    <n v="2019"/>
    <x v="7"/>
    <n v="15"/>
    <x v="19"/>
    <n v="0"/>
    <n v="28500"/>
    <n v="0"/>
  </r>
  <r>
    <n v="2019"/>
    <x v="7"/>
    <n v="15"/>
    <x v="20"/>
    <n v="0"/>
    <n v="28500"/>
    <n v="0"/>
  </r>
  <r>
    <n v="2019"/>
    <x v="7"/>
    <n v="15"/>
    <x v="21"/>
    <n v="0"/>
    <n v="28500"/>
    <n v="0"/>
  </r>
  <r>
    <n v="2019"/>
    <x v="7"/>
    <n v="15"/>
    <x v="22"/>
    <n v="0"/>
    <n v="28500"/>
    <n v="0"/>
  </r>
  <r>
    <n v="2019"/>
    <x v="7"/>
    <n v="15"/>
    <x v="23"/>
    <n v="0"/>
    <n v="28500"/>
    <n v="0"/>
  </r>
  <r>
    <n v="2019"/>
    <x v="7"/>
    <n v="16"/>
    <x v="0"/>
    <n v="0"/>
    <n v="28500"/>
    <n v="0"/>
  </r>
  <r>
    <n v="2019"/>
    <x v="7"/>
    <n v="16"/>
    <x v="1"/>
    <n v="0"/>
    <n v="28500"/>
    <n v="0"/>
  </r>
  <r>
    <n v="2019"/>
    <x v="7"/>
    <n v="16"/>
    <x v="2"/>
    <n v="0"/>
    <n v="28500"/>
    <n v="0"/>
  </r>
  <r>
    <n v="2019"/>
    <x v="7"/>
    <n v="16"/>
    <x v="3"/>
    <n v="0"/>
    <n v="28500"/>
    <n v="0"/>
  </r>
  <r>
    <n v="2019"/>
    <x v="7"/>
    <n v="16"/>
    <x v="4"/>
    <n v="0"/>
    <n v="28500"/>
    <n v="0"/>
  </r>
  <r>
    <n v="2019"/>
    <x v="7"/>
    <n v="16"/>
    <x v="5"/>
    <n v="117.5"/>
    <n v="28500"/>
    <n v="4.1228070175438596E-3"/>
  </r>
  <r>
    <n v="2019"/>
    <x v="7"/>
    <n v="16"/>
    <x v="6"/>
    <n v="2529.5"/>
    <n v="28500"/>
    <n v="8.875438596491228E-2"/>
  </r>
  <r>
    <n v="2019"/>
    <x v="7"/>
    <n v="16"/>
    <x v="7"/>
    <n v="1280"/>
    <n v="28500"/>
    <n v="4.4912280701754383E-2"/>
  </r>
  <r>
    <n v="2019"/>
    <x v="7"/>
    <n v="16"/>
    <x v="8"/>
    <n v="5988"/>
    <n v="28500"/>
    <n v="0.21010526315789474"/>
  </r>
  <r>
    <n v="2019"/>
    <x v="7"/>
    <n v="16"/>
    <x v="9"/>
    <n v="2007"/>
    <n v="28500"/>
    <n v="7.0421052631578954E-2"/>
  </r>
  <r>
    <n v="2019"/>
    <x v="7"/>
    <n v="16"/>
    <x v="10"/>
    <n v="4511"/>
    <n v="28500"/>
    <n v="0.15828070175438597"/>
  </r>
  <r>
    <n v="2019"/>
    <x v="7"/>
    <n v="16"/>
    <x v="11"/>
    <n v="10218.5"/>
    <n v="28500"/>
    <n v="0.35854385964912283"/>
  </r>
  <r>
    <n v="2019"/>
    <x v="7"/>
    <n v="16"/>
    <x v="12"/>
    <n v="4478"/>
    <n v="28500"/>
    <n v="0.15712280701754386"/>
  </r>
  <r>
    <n v="2019"/>
    <x v="7"/>
    <n v="16"/>
    <x v="13"/>
    <n v="8878"/>
    <n v="28500"/>
    <n v="0.31150877192982457"/>
  </r>
  <r>
    <n v="2019"/>
    <x v="7"/>
    <n v="16"/>
    <x v="14"/>
    <n v="3417"/>
    <n v="28500"/>
    <n v="0.11989473684210526"/>
  </r>
  <r>
    <n v="2019"/>
    <x v="7"/>
    <n v="16"/>
    <x v="15"/>
    <n v="2452.5"/>
    <n v="28500"/>
    <n v="8.6052631578947367E-2"/>
  </r>
  <r>
    <n v="2019"/>
    <x v="7"/>
    <n v="16"/>
    <x v="16"/>
    <n v="2056"/>
    <n v="28500"/>
    <n v="7.2140350877192977E-2"/>
  </r>
  <r>
    <n v="2019"/>
    <x v="7"/>
    <n v="16"/>
    <x v="17"/>
    <n v="678"/>
    <n v="28500"/>
    <n v="2.3789473684210527E-2"/>
  </r>
  <r>
    <n v="2019"/>
    <x v="7"/>
    <n v="16"/>
    <x v="18"/>
    <n v="113"/>
    <n v="28500"/>
    <n v="3.9649122807017545E-3"/>
  </r>
  <r>
    <n v="2019"/>
    <x v="7"/>
    <n v="16"/>
    <x v="19"/>
    <n v="0"/>
    <n v="28500"/>
    <n v="0"/>
  </r>
  <r>
    <n v="2019"/>
    <x v="7"/>
    <n v="16"/>
    <x v="20"/>
    <n v="0"/>
    <n v="28500"/>
    <n v="0"/>
  </r>
  <r>
    <n v="2019"/>
    <x v="7"/>
    <n v="16"/>
    <x v="21"/>
    <n v="0"/>
    <n v="28500"/>
    <n v="0"/>
  </r>
  <r>
    <n v="2019"/>
    <x v="7"/>
    <n v="16"/>
    <x v="22"/>
    <n v="0"/>
    <n v="28500"/>
    <n v="0"/>
  </r>
  <r>
    <n v="2019"/>
    <x v="7"/>
    <n v="16"/>
    <x v="23"/>
    <n v="0"/>
    <n v="28500"/>
    <n v="0"/>
  </r>
  <r>
    <n v="2019"/>
    <x v="7"/>
    <n v="17"/>
    <x v="0"/>
    <n v="0"/>
    <n v="28500"/>
    <n v="0"/>
  </r>
  <r>
    <n v="2019"/>
    <x v="7"/>
    <n v="17"/>
    <x v="1"/>
    <n v="0"/>
    <n v="28500"/>
    <n v="0"/>
  </r>
  <r>
    <n v="2019"/>
    <x v="7"/>
    <n v="17"/>
    <x v="2"/>
    <n v="0"/>
    <n v="28500"/>
    <n v="0"/>
  </r>
  <r>
    <n v="2019"/>
    <x v="7"/>
    <n v="17"/>
    <x v="3"/>
    <n v="0"/>
    <n v="28500"/>
    <n v="0"/>
  </r>
  <r>
    <n v="2019"/>
    <x v="7"/>
    <n v="17"/>
    <x v="4"/>
    <n v="0"/>
    <n v="28500"/>
    <n v="0"/>
  </r>
  <r>
    <n v="2019"/>
    <x v="7"/>
    <n v="17"/>
    <x v="5"/>
    <n v="36"/>
    <n v="28500"/>
    <n v="1.2631578947368421E-3"/>
  </r>
  <r>
    <n v="2019"/>
    <x v="7"/>
    <n v="17"/>
    <x v="6"/>
    <n v="2400.5"/>
    <n v="28500"/>
    <n v="8.4228070175438596E-2"/>
  </r>
  <r>
    <n v="2019"/>
    <x v="7"/>
    <n v="17"/>
    <x v="7"/>
    <n v="10290.5"/>
    <n v="28500"/>
    <n v="0.36107017543859649"/>
  </r>
  <r>
    <n v="2019"/>
    <x v="7"/>
    <n v="17"/>
    <x v="8"/>
    <n v="8299"/>
    <n v="28500"/>
    <n v="0.29119298245614034"/>
  </r>
  <r>
    <n v="2019"/>
    <x v="7"/>
    <n v="17"/>
    <x v="9"/>
    <n v="7734.5"/>
    <n v="28500"/>
    <n v="0.27138596491228067"/>
  </r>
  <r>
    <n v="2019"/>
    <x v="7"/>
    <n v="17"/>
    <x v="10"/>
    <n v="11926.5"/>
    <n v="28500"/>
    <n v="0.41847368421052633"/>
  </r>
  <r>
    <n v="2019"/>
    <x v="7"/>
    <n v="17"/>
    <x v="11"/>
    <n v="26514"/>
    <n v="28500"/>
    <n v="0.93031578947368421"/>
  </r>
  <r>
    <n v="2019"/>
    <x v="7"/>
    <n v="17"/>
    <x v="12"/>
    <n v="20249"/>
    <n v="28500"/>
    <n v="0.7104912280701754"/>
  </r>
  <r>
    <n v="2019"/>
    <x v="7"/>
    <n v="17"/>
    <x v="13"/>
    <n v="15540.5"/>
    <n v="28500"/>
    <n v="0.54528070175438592"/>
  </r>
  <r>
    <n v="2019"/>
    <x v="7"/>
    <n v="17"/>
    <x v="14"/>
    <n v="23292"/>
    <n v="28500"/>
    <n v="0.8172631578947368"/>
  </r>
  <r>
    <n v="2019"/>
    <x v="7"/>
    <n v="17"/>
    <x v="15"/>
    <n v="25246.5"/>
    <n v="28500"/>
    <n v="0.88584210526315788"/>
  </r>
  <r>
    <n v="2019"/>
    <x v="7"/>
    <n v="17"/>
    <x v="16"/>
    <n v="7679"/>
    <n v="28500"/>
    <n v="0.26943859649122809"/>
  </r>
  <r>
    <n v="2019"/>
    <x v="7"/>
    <n v="17"/>
    <x v="17"/>
    <n v="1425.5"/>
    <n v="28500"/>
    <n v="5.001754385964912E-2"/>
  </r>
  <r>
    <n v="2019"/>
    <x v="7"/>
    <n v="17"/>
    <x v="18"/>
    <n v="699.5"/>
    <n v="28500"/>
    <n v="2.4543859649122805E-2"/>
  </r>
  <r>
    <n v="2019"/>
    <x v="7"/>
    <n v="17"/>
    <x v="19"/>
    <n v="0"/>
    <n v="28500"/>
    <n v="0"/>
  </r>
  <r>
    <n v="2019"/>
    <x v="7"/>
    <n v="17"/>
    <x v="20"/>
    <n v="0"/>
    <n v="28500"/>
    <n v="0"/>
  </r>
  <r>
    <n v="2019"/>
    <x v="7"/>
    <n v="17"/>
    <x v="21"/>
    <n v="0"/>
    <n v="28500"/>
    <n v="0"/>
  </r>
  <r>
    <n v="2019"/>
    <x v="7"/>
    <n v="17"/>
    <x v="22"/>
    <n v="0"/>
    <n v="28500"/>
    <n v="0"/>
  </r>
  <r>
    <n v="2019"/>
    <x v="7"/>
    <n v="17"/>
    <x v="23"/>
    <n v="0"/>
    <n v="28500"/>
    <n v="0"/>
  </r>
  <r>
    <n v="2019"/>
    <x v="7"/>
    <n v="18"/>
    <x v="0"/>
    <n v="0"/>
    <n v="28500"/>
    <n v="0"/>
  </r>
  <r>
    <n v="2019"/>
    <x v="7"/>
    <n v="18"/>
    <x v="1"/>
    <n v="0"/>
    <n v="28500"/>
    <n v="0"/>
  </r>
  <r>
    <n v="2019"/>
    <x v="7"/>
    <n v="18"/>
    <x v="2"/>
    <n v="0"/>
    <n v="28500"/>
    <n v="0"/>
  </r>
  <r>
    <n v="2019"/>
    <x v="7"/>
    <n v="18"/>
    <x v="3"/>
    <n v="0"/>
    <n v="28500"/>
    <n v="0"/>
  </r>
  <r>
    <n v="2019"/>
    <x v="7"/>
    <n v="18"/>
    <x v="4"/>
    <n v="0"/>
    <n v="28500"/>
    <n v="0"/>
  </r>
  <r>
    <n v="2019"/>
    <x v="7"/>
    <n v="18"/>
    <x v="5"/>
    <n v="0"/>
    <n v="28500"/>
    <n v="0"/>
  </r>
  <r>
    <n v="2019"/>
    <x v="7"/>
    <n v="18"/>
    <x v="6"/>
    <n v="2063.5"/>
    <n v="28500"/>
    <n v="7.2403508771929831E-2"/>
  </r>
  <r>
    <n v="2019"/>
    <x v="7"/>
    <n v="18"/>
    <x v="7"/>
    <n v="6632.5"/>
    <n v="28500"/>
    <n v="0.23271929824561405"/>
  </r>
  <r>
    <n v="2019"/>
    <x v="7"/>
    <n v="18"/>
    <x v="8"/>
    <n v="15877"/>
    <n v="28500"/>
    <n v="0.55708771929824563"/>
  </r>
  <r>
    <n v="2019"/>
    <x v="7"/>
    <n v="18"/>
    <x v="9"/>
    <n v="2501"/>
    <n v="28500"/>
    <n v="8.7754385964912279E-2"/>
  </r>
  <r>
    <n v="2019"/>
    <x v="7"/>
    <n v="18"/>
    <x v="10"/>
    <n v="4621"/>
    <n v="28500"/>
    <n v="0.16214035087719297"/>
  </r>
  <r>
    <n v="2019"/>
    <x v="7"/>
    <n v="18"/>
    <x v="11"/>
    <n v="20364.5"/>
    <n v="28500"/>
    <n v="0.71454385964912281"/>
  </r>
  <r>
    <n v="2019"/>
    <x v="7"/>
    <n v="18"/>
    <x v="12"/>
    <n v="15290.5"/>
    <n v="28500"/>
    <n v="0.5365087719298246"/>
  </r>
  <r>
    <n v="2019"/>
    <x v="7"/>
    <n v="18"/>
    <x v="13"/>
    <n v="36273"/>
    <n v="28500"/>
    <n v="1.2727368421052632"/>
  </r>
  <r>
    <n v="2019"/>
    <x v="7"/>
    <n v="18"/>
    <x v="14"/>
    <n v="24959.5"/>
    <n v="28500"/>
    <n v="0.87577192982456142"/>
  </r>
  <r>
    <n v="2019"/>
    <x v="7"/>
    <n v="18"/>
    <x v="15"/>
    <n v="4315"/>
    <n v="28500"/>
    <n v="0.15140350877192982"/>
  </r>
  <r>
    <n v="2019"/>
    <x v="7"/>
    <n v="18"/>
    <x v="16"/>
    <n v="18718"/>
    <n v="28500"/>
    <n v="0.65677192982456145"/>
  </r>
  <r>
    <n v="2019"/>
    <x v="7"/>
    <n v="18"/>
    <x v="17"/>
    <n v="6098.5"/>
    <n v="28500"/>
    <n v="0.21398245614035089"/>
  </r>
  <r>
    <n v="2019"/>
    <x v="7"/>
    <n v="18"/>
    <x v="18"/>
    <n v="1152"/>
    <n v="28500"/>
    <n v="4.0421052631578948E-2"/>
  </r>
  <r>
    <n v="2019"/>
    <x v="7"/>
    <n v="18"/>
    <x v="19"/>
    <n v="0"/>
    <n v="28500"/>
    <n v="0"/>
  </r>
  <r>
    <n v="2019"/>
    <x v="7"/>
    <n v="18"/>
    <x v="20"/>
    <n v="0"/>
    <n v="28500"/>
    <n v="0"/>
  </r>
  <r>
    <n v="2019"/>
    <x v="7"/>
    <n v="18"/>
    <x v="21"/>
    <n v="0"/>
    <n v="28500"/>
    <n v="0"/>
  </r>
  <r>
    <n v="2019"/>
    <x v="7"/>
    <n v="18"/>
    <x v="22"/>
    <n v="0"/>
    <n v="28500"/>
    <n v="0"/>
  </r>
  <r>
    <n v="2019"/>
    <x v="7"/>
    <n v="18"/>
    <x v="23"/>
    <n v="0"/>
    <n v="28500"/>
    <n v="0"/>
  </r>
  <r>
    <n v="2019"/>
    <x v="7"/>
    <n v="19"/>
    <x v="0"/>
    <n v="0"/>
    <n v="28500"/>
    <n v="0"/>
  </r>
  <r>
    <n v="2019"/>
    <x v="7"/>
    <n v="19"/>
    <x v="1"/>
    <n v="0"/>
    <n v="28500"/>
    <n v="0"/>
  </r>
  <r>
    <n v="2019"/>
    <x v="7"/>
    <n v="19"/>
    <x v="2"/>
    <n v="0"/>
    <n v="28500"/>
    <n v="0"/>
  </r>
  <r>
    <n v="2019"/>
    <x v="7"/>
    <n v="19"/>
    <x v="3"/>
    <n v="0"/>
    <n v="28500"/>
    <n v="0"/>
  </r>
  <r>
    <n v="2019"/>
    <x v="7"/>
    <n v="19"/>
    <x v="4"/>
    <n v="0"/>
    <n v="28500"/>
    <n v="0"/>
  </r>
  <r>
    <n v="2019"/>
    <x v="7"/>
    <n v="19"/>
    <x v="5"/>
    <n v="0"/>
    <n v="28500"/>
    <n v="0"/>
  </r>
  <r>
    <n v="2019"/>
    <x v="7"/>
    <n v="19"/>
    <x v="6"/>
    <n v="2452"/>
    <n v="28500"/>
    <n v="8.6035087719298242E-2"/>
  </r>
  <r>
    <n v="2019"/>
    <x v="7"/>
    <n v="19"/>
    <x v="7"/>
    <n v="8164.5"/>
    <n v="28500"/>
    <n v="0.28647368421052632"/>
  </r>
  <r>
    <n v="2019"/>
    <x v="7"/>
    <n v="19"/>
    <x v="8"/>
    <n v="20710.5"/>
    <n v="28500"/>
    <n v="0.72668421052631582"/>
  </r>
  <r>
    <n v="2019"/>
    <x v="7"/>
    <n v="19"/>
    <x v="9"/>
    <n v="24562"/>
    <n v="28500"/>
    <n v="0.86182456140350883"/>
  </r>
  <r>
    <n v="2019"/>
    <x v="7"/>
    <n v="19"/>
    <x v="10"/>
    <n v="30647"/>
    <n v="28500"/>
    <n v="1.0753333333333333"/>
  </r>
  <r>
    <n v="2019"/>
    <x v="7"/>
    <n v="19"/>
    <x v="11"/>
    <n v="21692.5"/>
    <n v="28500"/>
    <n v="0.76114035087719301"/>
  </r>
  <r>
    <n v="2019"/>
    <x v="7"/>
    <n v="19"/>
    <x v="12"/>
    <n v="19158"/>
    <n v="28500"/>
    <n v="0.67221052631578948"/>
  </r>
  <r>
    <n v="2019"/>
    <x v="7"/>
    <n v="19"/>
    <x v="13"/>
    <n v="1884.5"/>
    <n v="28500"/>
    <n v="6.6122807017543861E-2"/>
  </r>
  <r>
    <n v="2019"/>
    <x v="7"/>
    <n v="19"/>
    <x v="14"/>
    <n v="17394.5"/>
    <n v="28500"/>
    <n v="0.61033333333333328"/>
  </r>
  <r>
    <n v="2019"/>
    <x v="7"/>
    <n v="19"/>
    <x v="15"/>
    <n v="22450.5"/>
    <n v="28500"/>
    <n v="0.78773684210526318"/>
  </r>
  <r>
    <n v="2019"/>
    <x v="7"/>
    <n v="19"/>
    <x v="16"/>
    <n v="5380"/>
    <n v="28500"/>
    <n v="0.1887719298245614"/>
  </r>
  <r>
    <n v="2019"/>
    <x v="7"/>
    <n v="19"/>
    <x v="17"/>
    <n v="8187.5"/>
    <n v="28500"/>
    <n v="0.28728070175438597"/>
  </r>
  <r>
    <n v="2019"/>
    <x v="7"/>
    <n v="19"/>
    <x v="18"/>
    <n v="1184"/>
    <n v="28500"/>
    <n v="4.1543859649122807E-2"/>
  </r>
  <r>
    <n v="2019"/>
    <x v="7"/>
    <n v="19"/>
    <x v="19"/>
    <n v="0"/>
    <n v="28500"/>
    <n v="0"/>
  </r>
  <r>
    <n v="2019"/>
    <x v="7"/>
    <n v="19"/>
    <x v="20"/>
    <n v="0"/>
    <n v="28500"/>
    <n v="0"/>
  </r>
  <r>
    <n v="2019"/>
    <x v="7"/>
    <n v="19"/>
    <x v="21"/>
    <n v="0"/>
    <n v="28500"/>
    <n v="0"/>
  </r>
  <r>
    <n v="2019"/>
    <x v="7"/>
    <n v="19"/>
    <x v="22"/>
    <n v="0"/>
    <n v="28500"/>
    <n v="0"/>
  </r>
  <r>
    <n v="2019"/>
    <x v="7"/>
    <n v="19"/>
    <x v="23"/>
    <n v="0"/>
    <n v="28500"/>
    <n v="0"/>
  </r>
  <r>
    <n v="2019"/>
    <x v="7"/>
    <n v="20"/>
    <x v="0"/>
    <n v="0"/>
    <n v="28500"/>
    <n v="0"/>
  </r>
  <r>
    <n v="2019"/>
    <x v="7"/>
    <n v="20"/>
    <x v="1"/>
    <n v="0"/>
    <n v="28500"/>
    <n v="0"/>
  </r>
  <r>
    <n v="2019"/>
    <x v="7"/>
    <n v="20"/>
    <x v="2"/>
    <n v="0"/>
    <n v="28500"/>
    <n v="0"/>
  </r>
  <r>
    <n v="2019"/>
    <x v="7"/>
    <n v="20"/>
    <x v="3"/>
    <n v="0"/>
    <n v="28500"/>
    <n v="0"/>
  </r>
  <r>
    <n v="2019"/>
    <x v="7"/>
    <n v="20"/>
    <x v="4"/>
    <n v="0"/>
    <n v="28500"/>
    <n v="0"/>
  </r>
  <r>
    <n v="2019"/>
    <x v="7"/>
    <n v="20"/>
    <x v="5"/>
    <n v="0"/>
    <n v="28500"/>
    <n v="0"/>
  </r>
  <r>
    <n v="2019"/>
    <x v="7"/>
    <n v="20"/>
    <x v="6"/>
    <n v="2351.5"/>
    <n v="28500"/>
    <n v="8.2508771929824559E-2"/>
  </r>
  <r>
    <n v="2019"/>
    <x v="7"/>
    <n v="20"/>
    <x v="7"/>
    <n v="11058"/>
    <n v="28500"/>
    <n v="0.38800000000000001"/>
  </r>
  <r>
    <n v="2019"/>
    <x v="7"/>
    <n v="20"/>
    <x v="8"/>
    <n v="21486.5"/>
    <n v="28500"/>
    <n v="0.75391228070175442"/>
  </r>
  <r>
    <n v="2019"/>
    <x v="7"/>
    <n v="20"/>
    <x v="9"/>
    <n v="29373.5"/>
    <n v="28500"/>
    <n v="1.0306491228070176"/>
  </r>
  <r>
    <n v="2019"/>
    <x v="7"/>
    <n v="20"/>
    <x v="10"/>
    <n v="29584"/>
    <n v="28500"/>
    <n v="1.0380350877192983"/>
  </r>
  <r>
    <n v="2019"/>
    <x v="7"/>
    <n v="20"/>
    <x v="11"/>
    <n v="33738.5"/>
    <n v="28500"/>
    <n v="1.1838070175438598"/>
  </r>
  <r>
    <n v="2019"/>
    <x v="7"/>
    <n v="20"/>
    <x v="12"/>
    <n v="32821"/>
    <n v="28500"/>
    <n v="1.1516140350877193"/>
  </r>
  <r>
    <n v="2019"/>
    <x v="7"/>
    <n v="20"/>
    <x v="13"/>
    <n v="33351.5"/>
    <n v="28500"/>
    <n v="1.1702280701754386"/>
  </r>
  <r>
    <n v="2019"/>
    <x v="7"/>
    <n v="20"/>
    <x v="14"/>
    <n v="28526.5"/>
    <n v="28500"/>
    <n v="1.0009298245614036"/>
  </r>
  <r>
    <n v="2019"/>
    <x v="7"/>
    <n v="20"/>
    <x v="15"/>
    <n v="26574"/>
    <n v="28500"/>
    <n v="0.93242105263157893"/>
  </r>
  <r>
    <n v="2019"/>
    <x v="7"/>
    <n v="20"/>
    <x v="16"/>
    <n v="17597.5"/>
    <n v="28500"/>
    <n v="0.61745614035087715"/>
  </r>
  <r>
    <n v="2019"/>
    <x v="7"/>
    <n v="20"/>
    <x v="17"/>
    <n v="8157.5"/>
    <n v="28500"/>
    <n v="0.28622807017543861"/>
  </r>
  <r>
    <n v="2019"/>
    <x v="7"/>
    <n v="20"/>
    <x v="18"/>
    <n v="1284"/>
    <n v="28500"/>
    <n v="4.5052631578947365E-2"/>
  </r>
  <r>
    <n v="2019"/>
    <x v="7"/>
    <n v="20"/>
    <x v="19"/>
    <n v="0"/>
    <n v="28500"/>
    <n v="0"/>
  </r>
  <r>
    <n v="2019"/>
    <x v="7"/>
    <n v="20"/>
    <x v="20"/>
    <n v="0"/>
    <n v="28500"/>
    <n v="0"/>
  </r>
  <r>
    <n v="2019"/>
    <x v="7"/>
    <n v="20"/>
    <x v="21"/>
    <n v="0"/>
    <n v="28500"/>
    <n v="0"/>
  </r>
  <r>
    <n v="2019"/>
    <x v="7"/>
    <n v="20"/>
    <x v="22"/>
    <n v="0"/>
    <n v="28500"/>
    <n v="0"/>
  </r>
  <r>
    <n v="2019"/>
    <x v="7"/>
    <n v="20"/>
    <x v="23"/>
    <n v="0"/>
    <n v="28500"/>
    <n v="0"/>
  </r>
  <r>
    <n v="2019"/>
    <x v="7"/>
    <n v="21"/>
    <x v="0"/>
    <n v="0"/>
    <n v="28500"/>
    <n v="0"/>
  </r>
  <r>
    <n v="2019"/>
    <x v="7"/>
    <n v="21"/>
    <x v="1"/>
    <n v="0"/>
    <n v="28500"/>
    <n v="0"/>
  </r>
  <r>
    <n v="2019"/>
    <x v="7"/>
    <n v="21"/>
    <x v="2"/>
    <n v="0"/>
    <n v="28500"/>
    <n v="0"/>
  </r>
  <r>
    <n v="2019"/>
    <x v="7"/>
    <n v="21"/>
    <x v="3"/>
    <n v="0"/>
    <n v="28500"/>
    <n v="0"/>
  </r>
  <r>
    <n v="2019"/>
    <x v="7"/>
    <n v="21"/>
    <x v="4"/>
    <n v="0"/>
    <n v="28500"/>
    <n v="0"/>
  </r>
  <r>
    <n v="2019"/>
    <x v="7"/>
    <n v="21"/>
    <x v="5"/>
    <n v="0"/>
    <n v="28500"/>
    <n v="0"/>
  </r>
  <r>
    <n v="2019"/>
    <x v="7"/>
    <n v="21"/>
    <x v="6"/>
    <n v="2229.5"/>
    <n v="28500"/>
    <n v="7.8228070175438591E-2"/>
  </r>
  <r>
    <n v="2019"/>
    <x v="7"/>
    <n v="21"/>
    <x v="7"/>
    <n v="9563.5"/>
    <n v="28500"/>
    <n v="0.33556140350877195"/>
  </r>
  <r>
    <n v="2019"/>
    <x v="7"/>
    <n v="21"/>
    <x v="8"/>
    <n v="15201"/>
    <n v="28500"/>
    <n v="0.5333684210526316"/>
  </r>
  <r>
    <n v="2019"/>
    <x v="7"/>
    <n v="21"/>
    <x v="9"/>
    <n v="23658.5"/>
    <n v="28500"/>
    <n v="0.83012280701754382"/>
  </r>
  <r>
    <n v="2019"/>
    <x v="7"/>
    <n v="21"/>
    <x v="10"/>
    <n v="30812.5"/>
    <n v="28500"/>
    <n v="1.0811403508771931"/>
  </r>
  <r>
    <n v="2019"/>
    <x v="7"/>
    <n v="21"/>
    <x v="11"/>
    <n v="33066"/>
    <n v="28500"/>
    <n v="1.1602105263157896"/>
  </r>
  <r>
    <n v="2019"/>
    <x v="7"/>
    <n v="21"/>
    <x v="12"/>
    <n v="29735"/>
    <n v="28500"/>
    <n v="1.0433333333333332"/>
  </r>
  <r>
    <n v="2019"/>
    <x v="7"/>
    <n v="21"/>
    <x v="13"/>
    <n v="21353.5"/>
    <n v="28500"/>
    <n v="0.74924561403508771"/>
  </r>
  <r>
    <n v="2019"/>
    <x v="7"/>
    <n v="21"/>
    <x v="14"/>
    <n v="26178"/>
    <n v="28500"/>
    <n v="0.91852631578947364"/>
  </r>
  <r>
    <n v="2019"/>
    <x v="7"/>
    <n v="21"/>
    <x v="15"/>
    <n v="21312"/>
    <n v="28500"/>
    <n v="0.74778947368421056"/>
  </r>
  <r>
    <n v="2019"/>
    <x v="7"/>
    <n v="21"/>
    <x v="16"/>
    <n v="17510.5"/>
    <n v="28500"/>
    <n v="0.61440350877192984"/>
  </r>
  <r>
    <n v="2019"/>
    <x v="7"/>
    <n v="21"/>
    <x v="17"/>
    <n v="8022.5"/>
    <n v="28500"/>
    <n v="0.28149122807017546"/>
  </r>
  <r>
    <n v="2019"/>
    <x v="7"/>
    <n v="21"/>
    <x v="18"/>
    <n v="882.5"/>
    <n v="28500"/>
    <n v="3.0964912280701754E-2"/>
  </r>
  <r>
    <n v="2019"/>
    <x v="7"/>
    <n v="21"/>
    <x v="19"/>
    <n v="0"/>
    <n v="28500"/>
    <n v="0"/>
  </r>
  <r>
    <n v="2019"/>
    <x v="7"/>
    <n v="21"/>
    <x v="20"/>
    <n v="0"/>
    <n v="28500"/>
    <n v="0"/>
  </r>
  <r>
    <n v="2019"/>
    <x v="7"/>
    <n v="21"/>
    <x v="21"/>
    <n v="0"/>
    <n v="28500"/>
    <n v="0"/>
  </r>
  <r>
    <n v="2019"/>
    <x v="7"/>
    <n v="21"/>
    <x v="22"/>
    <n v="0"/>
    <n v="28500"/>
    <n v="0"/>
  </r>
  <r>
    <n v="2019"/>
    <x v="7"/>
    <n v="21"/>
    <x v="23"/>
    <n v="0"/>
    <n v="28500"/>
    <n v="0"/>
  </r>
  <r>
    <n v="2019"/>
    <x v="7"/>
    <n v="22"/>
    <x v="0"/>
    <n v="0"/>
    <n v="28500"/>
    <n v="0"/>
  </r>
  <r>
    <n v="2019"/>
    <x v="7"/>
    <n v="22"/>
    <x v="1"/>
    <n v="0"/>
    <n v="28500"/>
    <n v="0"/>
  </r>
  <r>
    <n v="2019"/>
    <x v="7"/>
    <n v="22"/>
    <x v="2"/>
    <n v="0"/>
    <n v="28500"/>
    <n v="0"/>
  </r>
  <r>
    <n v="2019"/>
    <x v="7"/>
    <n v="22"/>
    <x v="3"/>
    <n v="0"/>
    <n v="28500"/>
    <n v="0"/>
  </r>
  <r>
    <n v="2019"/>
    <x v="7"/>
    <n v="22"/>
    <x v="4"/>
    <n v="0"/>
    <n v="28500"/>
    <n v="0"/>
  </r>
  <r>
    <n v="2019"/>
    <x v="7"/>
    <n v="22"/>
    <x v="5"/>
    <n v="0"/>
    <n v="28500"/>
    <n v="0"/>
  </r>
  <r>
    <n v="2019"/>
    <x v="7"/>
    <n v="22"/>
    <x v="6"/>
    <n v="1967"/>
    <n v="28500"/>
    <n v="6.9017543859649116E-2"/>
  </r>
  <r>
    <n v="2019"/>
    <x v="7"/>
    <n v="22"/>
    <x v="7"/>
    <n v="10707"/>
    <n v="28500"/>
    <n v="0.37568421052631579"/>
  </r>
  <r>
    <n v="2019"/>
    <x v="7"/>
    <n v="22"/>
    <x v="8"/>
    <n v="20659.5"/>
    <n v="28500"/>
    <n v="0.72489473684210526"/>
  </r>
  <r>
    <n v="2019"/>
    <x v="7"/>
    <n v="22"/>
    <x v="9"/>
    <n v="28962"/>
    <n v="28500"/>
    <n v="1.0162105263157895"/>
  </r>
  <r>
    <n v="2019"/>
    <x v="7"/>
    <n v="22"/>
    <x v="10"/>
    <n v="34930.5"/>
    <n v="28500"/>
    <n v="1.2256315789473684"/>
  </r>
  <r>
    <n v="2019"/>
    <x v="7"/>
    <n v="22"/>
    <x v="11"/>
    <n v="37605.5"/>
    <n v="28500"/>
    <n v="1.3194912280701754"/>
  </r>
  <r>
    <n v="2019"/>
    <x v="7"/>
    <n v="22"/>
    <x v="12"/>
    <n v="37894.5"/>
    <n v="28500"/>
    <n v="1.3296315789473685"/>
  </r>
  <r>
    <n v="2019"/>
    <x v="7"/>
    <n v="22"/>
    <x v="13"/>
    <n v="38812"/>
    <n v="28500"/>
    <n v="1.3618245614035087"/>
  </r>
  <r>
    <n v="2019"/>
    <x v="7"/>
    <n v="22"/>
    <x v="14"/>
    <n v="32253"/>
    <n v="28500"/>
    <n v="1.1316842105263158"/>
  </r>
  <r>
    <n v="2019"/>
    <x v="7"/>
    <n v="22"/>
    <x v="15"/>
    <n v="27160.5"/>
    <n v="28500"/>
    <n v="0.95299999999999996"/>
  </r>
  <r>
    <n v="2019"/>
    <x v="7"/>
    <n v="22"/>
    <x v="16"/>
    <n v="18603"/>
    <n v="28500"/>
    <n v="0.65273684210526317"/>
  </r>
  <r>
    <n v="2019"/>
    <x v="7"/>
    <n v="22"/>
    <x v="17"/>
    <n v="7737"/>
    <n v="28500"/>
    <n v="0.27147368421052631"/>
  </r>
  <r>
    <n v="2019"/>
    <x v="7"/>
    <n v="22"/>
    <x v="18"/>
    <n v="857.5"/>
    <n v="28500"/>
    <n v="3.0087719298245615E-2"/>
  </r>
  <r>
    <n v="2019"/>
    <x v="7"/>
    <n v="22"/>
    <x v="19"/>
    <n v="0"/>
    <n v="28500"/>
    <n v="0"/>
  </r>
  <r>
    <n v="2019"/>
    <x v="7"/>
    <n v="22"/>
    <x v="20"/>
    <n v="0"/>
    <n v="28500"/>
    <n v="0"/>
  </r>
  <r>
    <n v="2019"/>
    <x v="7"/>
    <n v="22"/>
    <x v="21"/>
    <n v="0"/>
    <n v="28500"/>
    <n v="0"/>
  </r>
  <r>
    <n v="2019"/>
    <x v="7"/>
    <n v="22"/>
    <x v="22"/>
    <n v="0"/>
    <n v="28500"/>
    <n v="0"/>
  </r>
  <r>
    <n v="2019"/>
    <x v="7"/>
    <n v="22"/>
    <x v="23"/>
    <n v="0"/>
    <n v="28500"/>
    <n v="0"/>
  </r>
  <r>
    <n v="2019"/>
    <x v="7"/>
    <n v="23"/>
    <x v="0"/>
    <n v="0"/>
    <n v="28500"/>
    <n v="0"/>
  </r>
  <r>
    <n v="2019"/>
    <x v="7"/>
    <n v="23"/>
    <x v="1"/>
    <n v="0"/>
    <n v="28500"/>
    <n v="0"/>
  </r>
  <r>
    <n v="2019"/>
    <x v="7"/>
    <n v="23"/>
    <x v="2"/>
    <n v="0"/>
    <n v="28500"/>
    <n v="0"/>
  </r>
  <r>
    <n v="2019"/>
    <x v="7"/>
    <n v="23"/>
    <x v="3"/>
    <n v="0"/>
    <n v="28500"/>
    <n v="0"/>
  </r>
  <r>
    <n v="2019"/>
    <x v="7"/>
    <n v="23"/>
    <x v="4"/>
    <n v="0"/>
    <n v="28500"/>
    <n v="0"/>
  </r>
  <r>
    <n v="2019"/>
    <x v="7"/>
    <n v="23"/>
    <x v="5"/>
    <n v="0"/>
    <n v="28500"/>
    <n v="0"/>
  </r>
  <r>
    <n v="2019"/>
    <x v="7"/>
    <n v="23"/>
    <x v="6"/>
    <n v="2108.5"/>
    <n v="28500"/>
    <n v="7.3982456140350872E-2"/>
  </r>
  <r>
    <n v="2019"/>
    <x v="7"/>
    <n v="23"/>
    <x v="7"/>
    <n v="8002.5"/>
    <n v="28500"/>
    <n v="0.28078947368421053"/>
  </r>
  <r>
    <n v="2019"/>
    <x v="7"/>
    <n v="23"/>
    <x v="8"/>
    <n v="17410"/>
    <n v="28500"/>
    <n v="0.61087719298245613"/>
  </r>
  <r>
    <n v="2019"/>
    <x v="7"/>
    <n v="23"/>
    <x v="9"/>
    <n v="27617"/>
    <n v="28500"/>
    <n v="0.96901754385964911"/>
  </r>
  <r>
    <n v="2019"/>
    <x v="7"/>
    <n v="23"/>
    <x v="10"/>
    <n v="29381"/>
    <n v="28500"/>
    <n v="1.0309122807017543"/>
  </r>
  <r>
    <n v="2019"/>
    <x v="7"/>
    <n v="23"/>
    <x v="11"/>
    <n v="36294"/>
    <n v="28500"/>
    <n v="1.2734736842105263"/>
  </r>
  <r>
    <n v="2019"/>
    <x v="7"/>
    <n v="23"/>
    <x v="12"/>
    <n v="36746"/>
    <n v="28500"/>
    <n v="1.2893333333333334"/>
  </r>
  <r>
    <n v="2019"/>
    <x v="7"/>
    <n v="23"/>
    <x v="13"/>
    <n v="35994"/>
    <n v="28500"/>
    <n v="1.2629473684210526"/>
  </r>
  <r>
    <n v="2019"/>
    <x v="7"/>
    <n v="23"/>
    <x v="14"/>
    <n v="32304.5"/>
    <n v="28500"/>
    <n v="1.1334912280701754"/>
  </r>
  <r>
    <n v="2019"/>
    <x v="7"/>
    <n v="23"/>
    <x v="15"/>
    <n v="24812"/>
    <n v="28500"/>
    <n v="0.87059649122807015"/>
  </r>
  <r>
    <n v="2019"/>
    <x v="7"/>
    <n v="23"/>
    <x v="16"/>
    <n v="18034"/>
    <n v="28500"/>
    <n v="0.63277192982456143"/>
  </r>
  <r>
    <n v="2019"/>
    <x v="7"/>
    <n v="23"/>
    <x v="17"/>
    <n v="7385.5"/>
    <n v="28500"/>
    <n v="0.259140350877193"/>
  </r>
  <r>
    <n v="2019"/>
    <x v="7"/>
    <n v="23"/>
    <x v="18"/>
    <n v="869"/>
    <n v="28500"/>
    <n v="3.0491228070175437E-2"/>
  </r>
  <r>
    <n v="2019"/>
    <x v="7"/>
    <n v="23"/>
    <x v="19"/>
    <n v="0"/>
    <n v="28500"/>
    <n v="0"/>
  </r>
  <r>
    <n v="2019"/>
    <x v="7"/>
    <n v="23"/>
    <x v="20"/>
    <n v="0"/>
    <n v="28500"/>
    <n v="0"/>
  </r>
  <r>
    <n v="2019"/>
    <x v="7"/>
    <n v="23"/>
    <x v="21"/>
    <n v="0"/>
    <n v="28500"/>
    <n v="0"/>
  </r>
  <r>
    <n v="2019"/>
    <x v="7"/>
    <n v="23"/>
    <x v="22"/>
    <n v="0"/>
    <n v="28500"/>
    <n v="0"/>
  </r>
  <r>
    <n v="2019"/>
    <x v="7"/>
    <n v="23"/>
    <x v="23"/>
    <n v="0"/>
    <n v="28500"/>
    <n v="0"/>
  </r>
  <r>
    <n v="2019"/>
    <x v="7"/>
    <n v="24"/>
    <x v="0"/>
    <n v="0"/>
    <n v="28500"/>
    <n v="0"/>
  </r>
  <r>
    <n v="2019"/>
    <x v="7"/>
    <n v="24"/>
    <x v="1"/>
    <n v="0"/>
    <n v="28500"/>
    <n v="0"/>
  </r>
  <r>
    <n v="2019"/>
    <x v="7"/>
    <n v="24"/>
    <x v="2"/>
    <n v="0"/>
    <n v="28500"/>
    <n v="0"/>
  </r>
  <r>
    <n v="2019"/>
    <x v="7"/>
    <n v="24"/>
    <x v="3"/>
    <n v="0"/>
    <n v="28500"/>
    <n v="0"/>
  </r>
  <r>
    <n v="2019"/>
    <x v="7"/>
    <n v="24"/>
    <x v="4"/>
    <n v="0"/>
    <n v="28500"/>
    <n v="0"/>
  </r>
  <r>
    <n v="2019"/>
    <x v="7"/>
    <n v="24"/>
    <x v="5"/>
    <n v="0"/>
    <n v="28500"/>
    <n v="0"/>
  </r>
  <r>
    <n v="2019"/>
    <x v="7"/>
    <n v="24"/>
    <x v="6"/>
    <n v="2183.5"/>
    <n v="28500"/>
    <n v="7.6614035087719301E-2"/>
  </r>
  <r>
    <n v="2019"/>
    <x v="7"/>
    <n v="24"/>
    <x v="7"/>
    <n v="8589"/>
    <n v="28500"/>
    <n v="0.30136842105263156"/>
  </r>
  <r>
    <n v="2019"/>
    <x v="7"/>
    <n v="24"/>
    <x v="8"/>
    <n v="17571.5"/>
    <n v="28500"/>
    <n v="0.61654385964912284"/>
  </r>
  <r>
    <n v="2019"/>
    <x v="7"/>
    <n v="24"/>
    <x v="9"/>
    <n v="23303.5"/>
    <n v="28500"/>
    <n v="0.81766666666666665"/>
  </r>
  <r>
    <n v="2019"/>
    <x v="7"/>
    <n v="24"/>
    <x v="10"/>
    <n v="31760.5"/>
    <n v="28500"/>
    <n v="1.1144035087719297"/>
  </r>
  <r>
    <n v="2019"/>
    <x v="7"/>
    <n v="24"/>
    <x v="11"/>
    <n v="37034"/>
    <n v="28500"/>
    <n v="1.2994385964912281"/>
  </r>
  <r>
    <n v="2019"/>
    <x v="7"/>
    <n v="24"/>
    <x v="12"/>
    <n v="37354.5"/>
    <n v="28500"/>
    <n v="1.3106842105263159"/>
  </r>
  <r>
    <n v="2019"/>
    <x v="7"/>
    <n v="24"/>
    <x v="13"/>
    <n v="37345.5"/>
    <n v="28500"/>
    <n v="1.3103684210526316"/>
  </r>
  <r>
    <n v="2019"/>
    <x v="7"/>
    <n v="24"/>
    <x v="14"/>
    <n v="29115"/>
    <n v="28500"/>
    <n v="1.0215789473684211"/>
  </r>
  <r>
    <n v="2019"/>
    <x v="7"/>
    <n v="24"/>
    <x v="15"/>
    <n v="19591.5"/>
    <n v="28500"/>
    <n v="0.68742105263157893"/>
  </r>
  <r>
    <n v="2019"/>
    <x v="7"/>
    <n v="24"/>
    <x v="16"/>
    <n v="11349"/>
    <n v="28500"/>
    <n v="0.39821052631578946"/>
  </r>
  <r>
    <n v="2019"/>
    <x v="7"/>
    <n v="24"/>
    <x v="17"/>
    <n v="5670.5"/>
    <n v="28500"/>
    <n v="0.19896491228070176"/>
  </r>
  <r>
    <n v="2019"/>
    <x v="7"/>
    <n v="24"/>
    <x v="18"/>
    <n v="1141"/>
    <n v="28500"/>
    <n v="4.0035087719298243E-2"/>
  </r>
  <r>
    <n v="2019"/>
    <x v="7"/>
    <n v="24"/>
    <x v="19"/>
    <n v="0"/>
    <n v="28500"/>
    <n v="0"/>
  </r>
  <r>
    <n v="2019"/>
    <x v="7"/>
    <n v="24"/>
    <x v="20"/>
    <n v="0"/>
    <n v="28500"/>
    <n v="0"/>
  </r>
  <r>
    <n v="2019"/>
    <x v="7"/>
    <n v="24"/>
    <x v="21"/>
    <n v="0"/>
    <n v="28500"/>
    <n v="0"/>
  </r>
  <r>
    <n v="2019"/>
    <x v="7"/>
    <n v="24"/>
    <x v="22"/>
    <n v="0"/>
    <n v="28500"/>
    <n v="0"/>
  </r>
  <r>
    <n v="2019"/>
    <x v="7"/>
    <n v="24"/>
    <x v="23"/>
    <n v="0"/>
    <n v="28500"/>
    <n v="0"/>
  </r>
  <r>
    <n v="2019"/>
    <x v="7"/>
    <n v="25"/>
    <x v="0"/>
    <n v="0"/>
    <n v="28500"/>
    <n v="0"/>
  </r>
  <r>
    <n v="2019"/>
    <x v="7"/>
    <n v="25"/>
    <x v="1"/>
    <n v="0"/>
    <n v="28500"/>
    <n v="0"/>
  </r>
  <r>
    <n v="2019"/>
    <x v="7"/>
    <n v="25"/>
    <x v="2"/>
    <n v="0"/>
    <n v="28500"/>
    <n v="0"/>
  </r>
  <r>
    <n v="2019"/>
    <x v="7"/>
    <n v="25"/>
    <x v="3"/>
    <n v="0"/>
    <n v="28500"/>
    <n v="0"/>
  </r>
  <r>
    <n v="2019"/>
    <x v="7"/>
    <n v="25"/>
    <x v="4"/>
    <n v="0"/>
    <n v="28500"/>
    <n v="0"/>
  </r>
  <r>
    <n v="2019"/>
    <x v="7"/>
    <n v="25"/>
    <x v="5"/>
    <n v="0"/>
    <n v="28500"/>
    <n v="0"/>
  </r>
  <r>
    <n v="2019"/>
    <x v="7"/>
    <n v="25"/>
    <x v="6"/>
    <n v="266"/>
    <n v="28500"/>
    <n v="9.3333333333333341E-3"/>
  </r>
  <r>
    <n v="2019"/>
    <x v="7"/>
    <n v="25"/>
    <x v="7"/>
    <n v="7230.5"/>
    <n v="28500"/>
    <n v="0.25370175438596493"/>
  </r>
  <r>
    <n v="2019"/>
    <x v="7"/>
    <n v="25"/>
    <x v="8"/>
    <n v="19501.5"/>
    <n v="28500"/>
    <n v="0.6842631578947368"/>
  </r>
  <r>
    <n v="2019"/>
    <x v="7"/>
    <n v="25"/>
    <x v="9"/>
    <n v="27138.5"/>
    <n v="28500"/>
    <n v="0.95222807017543865"/>
  </r>
  <r>
    <n v="2019"/>
    <x v="7"/>
    <n v="25"/>
    <x v="10"/>
    <n v="33043.5"/>
    <n v="28500"/>
    <n v="1.1594210526315789"/>
  </r>
  <r>
    <n v="2019"/>
    <x v="7"/>
    <n v="25"/>
    <x v="11"/>
    <n v="36059"/>
    <n v="28500"/>
    <n v="1.2652280701754386"/>
  </r>
  <r>
    <n v="2019"/>
    <x v="7"/>
    <n v="25"/>
    <x v="12"/>
    <n v="31524.5"/>
    <n v="28500"/>
    <n v="1.106122807017544"/>
  </r>
  <r>
    <n v="2019"/>
    <x v="7"/>
    <n v="25"/>
    <x v="13"/>
    <n v="36730"/>
    <n v="28500"/>
    <n v="1.2887719298245615"/>
  </r>
  <r>
    <n v="2019"/>
    <x v="7"/>
    <n v="25"/>
    <x v="14"/>
    <n v="31762.5"/>
    <n v="28500"/>
    <n v="1.1144736842105263"/>
  </r>
  <r>
    <n v="2019"/>
    <x v="7"/>
    <n v="25"/>
    <x v="15"/>
    <n v="26146"/>
    <n v="28500"/>
    <n v="0.91740350877192978"/>
  </r>
  <r>
    <n v="2019"/>
    <x v="7"/>
    <n v="25"/>
    <x v="16"/>
    <n v="17357"/>
    <n v="28500"/>
    <n v="0.60901754385964912"/>
  </r>
  <r>
    <n v="2019"/>
    <x v="7"/>
    <n v="25"/>
    <x v="17"/>
    <n v="6896"/>
    <n v="28500"/>
    <n v="0.24196491228070174"/>
  </r>
  <r>
    <n v="2019"/>
    <x v="7"/>
    <n v="25"/>
    <x v="18"/>
    <n v="942"/>
    <n v="28500"/>
    <n v="3.3052631578947368E-2"/>
  </r>
  <r>
    <n v="2019"/>
    <x v="7"/>
    <n v="25"/>
    <x v="19"/>
    <n v="0"/>
    <n v="28500"/>
    <n v="0"/>
  </r>
  <r>
    <n v="2019"/>
    <x v="7"/>
    <n v="25"/>
    <x v="20"/>
    <n v="0"/>
    <n v="28500"/>
    <n v="0"/>
  </r>
  <r>
    <n v="2019"/>
    <x v="7"/>
    <n v="25"/>
    <x v="21"/>
    <n v="0"/>
    <n v="28500"/>
    <n v="0"/>
  </r>
  <r>
    <n v="2019"/>
    <x v="7"/>
    <n v="25"/>
    <x v="22"/>
    <n v="0"/>
    <n v="28500"/>
    <n v="0"/>
  </r>
  <r>
    <n v="2019"/>
    <x v="7"/>
    <n v="25"/>
    <x v="23"/>
    <n v="0"/>
    <n v="28500"/>
    <n v="0"/>
  </r>
  <r>
    <n v="2019"/>
    <x v="7"/>
    <n v="26"/>
    <x v="0"/>
    <n v="0"/>
    <n v="28500"/>
    <n v="0"/>
  </r>
  <r>
    <n v="2019"/>
    <x v="7"/>
    <n v="26"/>
    <x v="1"/>
    <n v="0"/>
    <n v="28500"/>
    <n v="0"/>
  </r>
  <r>
    <n v="2019"/>
    <x v="7"/>
    <n v="26"/>
    <x v="2"/>
    <n v="0"/>
    <n v="28500"/>
    <n v="0"/>
  </r>
  <r>
    <n v="2019"/>
    <x v="7"/>
    <n v="26"/>
    <x v="3"/>
    <n v="0"/>
    <n v="28500"/>
    <n v="0"/>
  </r>
  <r>
    <n v="2019"/>
    <x v="7"/>
    <n v="26"/>
    <x v="4"/>
    <n v="0"/>
    <n v="28500"/>
    <n v="0"/>
  </r>
  <r>
    <n v="2019"/>
    <x v="7"/>
    <n v="26"/>
    <x v="5"/>
    <n v="0"/>
    <n v="28500"/>
    <n v="0"/>
  </r>
  <r>
    <n v="2019"/>
    <x v="7"/>
    <n v="26"/>
    <x v="6"/>
    <n v="1847"/>
    <n v="28500"/>
    <n v="6.4807017543859646E-2"/>
  </r>
  <r>
    <n v="2019"/>
    <x v="7"/>
    <n v="26"/>
    <x v="7"/>
    <n v="10075.5"/>
    <n v="28500"/>
    <n v="0.35352631578947369"/>
  </r>
  <r>
    <n v="2019"/>
    <x v="7"/>
    <n v="26"/>
    <x v="8"/>
    <n v="19320.5"/>
    <n v="28500"/>
    <n v="0.67791228070175436"/>
  </r>
  <r>
    <n v="2019"/>
    <x v="7"/>
    <n v="26"/>
    <x v="9"/>
    <n v="26867"/>
    <n v="28500"/>
    <n v="0.94270175438596493"/>
  </r>
  <r>
    <n v="2019"/>
    <x v="7"/>
    <n v="26"/>
    <x v="10"/>
    <n v="32621.5"/>
    <n v="28500"/>
    <n v="1.1446140350877192"/>
  </r>
  <r>
    <n v="2019"/>
    <x v="7"/>
    <n v="26"/>
    <x v="11"/>
    <n v="35547"/>
    <n v="28500"/>
    <n v="1.2472631578947369"/>
  </r>
  <r>
    <n v="2019"/>
    <x v="7"/>
    <n v="26"/>
    <x v="12"/>
    <n v="37141.5"/>
    <n v="28500"/>
    <n v="1.3032105263157894"/>
  </r>
  <r>
    <n v="2019"/>
    <x v="7"/>
    <n v="26"/>
    <x v="13"/>
    <n v="36371.5"/>
    <n v="28500"/>
    <n v="1.2761929824561404"/>
  </r>
  <r>
    <n v="2019"/>
    <x v="7"/>
    <n v="26"/>
    <x v="14"/>
    <n v="31345.5"/>
    <n v="28500"/>
    <n v="1.099842105263158"/>
  </r>
  <r>
    <n v="2019"/>
    <x v="7"/>
    <n v="26"/>
    <x v="15"/>
    <n v="25441.5"/>
    <n v="28500"/>
    <n v="0.89268421052631575"/>
  </r>
  <r>
    <n v="2019"/>
    <x v="7"/>
    <n v="26"/>
    <x v="16"/>
    <n v="16441"/>
    <n v="28500"/>
    <n v="0.5768771929824561"/>
  </r>
  <r>
    <n v="2019"/>
    <x v="7"/>
    <n v="26"/>
    <x v="17"/>
    <n v="6801.5"/>
    <n v="28500"/>
    <n v="0.23864912280701756"/>
  </r>
  <r>
    <n v="2019"/>
    <x v="7"/>
    <n v="26"/>
    <x v="18"/>
    <n v="853.5"/>
    <n v="28500"/>
    <n v="2.9947368421052632E-2"/>
  </r>
  <r>
    <n v="2019"/>
    <x v="7"/>
    <n v="26"/>
    <x v="19"/>
    <n v="0"/>
    <n v="28500"/>
    <n v="0"/>
  </r>
  <r>
    <n v="2019"/>
    <x v="7"/>
    <n v="26"/>
    <x v="20"/>
    <n v="0"/>
    <n v="28500"/>
    <n v="0"/>
  </r>
  <r>
    <n v="2019"/>
    <x v="7"/>
    <n v="26"/>
    <x v="21"/>
    <n v="0"/>
    <n v="28500"/>
    <n v="0"/>
  </r>
  <r>
    <n v="2019"/>
    <x v="7"/>
    <n v="26"/>
    <x v="22"/>
    <n v="0"/>
    <n v="28500"/>
    <n v="0"/>
  </r>
  <r>
    <n v="2019"/>
    <x v="7"/>
    <n v="26"/>
    <x v="23"/>
    <n v="0"/>
    <n v="28500"/>
    <n v="0"/>
  </r>
  <r>
    <n v="2019"/>
    <x v="7"/>
    <n v="27"/>
    <x v="0"/>
    <n v="0"/>
    <n v="28500"/>
    <n v="0"/>
  </r>
  <r>
    <n v="2019"/>
    <x v="7"/>
    <n v="27"/>
    <x v="1"/>
    <n v="0"/>
    <n v="28500"/>
    <n v="0"/>
  </r>
  <r>
    <n v="2019"/>
    <x v="7"/>
    <n v="27"/>
    <x v="2"/>
    <n v="0"/>
    <n v="28500"/>
    <n v="0"/>
  </r>
  <r>
    <n v="2019"/>
    <x v="7"/>
    <n v="27"/>
    <x v="3"/>
    <n v="0"/>
    <n v="28500"/>
    <n v="0"/>
  </r>
  <r>
    <n v="2019"/>
    <x v="7"/>
    <n v="27"/>
    <x v="4"/>
    <n v="0"/>
    <n v="28500"/>
    <n v="0"/>
  </r>
  <r>
    <n v="2019"/>
    <x v="7"/>
    <n v="27"/>
    <x v="5"/>
    <n v="0"/>
    <n v="28500"/>
    <n v="0"/>
  </r>
  <r>
    <n v="2019"/>
    <x v="7"/>
    <n v="27"/>
    <x v="6"/>
    <n v="1887"/>
    <n v="28500"/>
    <n v="6.621052631578947E-2"/>
  </r>
  <r>
    <n v="2019"/>
    <x v="7"/>
    <n v="27"/>
    <x v="7"/>
    <n v="9632"/>
    <n v="28500"/>
    <n v="0.33796491228070175"/>
  </r>
  <r>
    <n v="2019"/>
    <x v="7"/>
    <n v="27"/>
    <x v="8"/>
    <n v="18429"/>
    <n v="28500"/>
    <n v="0.64663157894736845"/>
  </r>
  <r>
    <n v="2019"/>
    <x v="7"/>
    <n v="27"/>
    <x v="9"/>
    <n v="26021.5"/>
    <n v="28500"/>
    <n v="0.9130350877192982"/>
  </r>
  <r>
    <n v="2019"/>
    <x v="7"/>
    <n v="27"/>
    <x v="10"/>
    <n v="31417"/>
    <n v="28500"/>
    <n v="1.1023508771929824"/>
  </r>
  <r>
    <n v="2019"/>
    <x v="7"/>
    <n v="27"/>
    <x v="11"/>
    <n v="34483.5"/>
    <n v="28500"/>
    <n v="1.2099473684210527"/>
  </r>
  <r>
    <n v="2019"/>
    <x v="7"/>
    <n v="27"/>
    <x v="12"/>
    <n v="35952.5"/>
    <n v="28500"/>
    <n v="1.2614912280701753"/>
  </r>
  <r>
    <n v="2019"/>
    <x v="7"/>
    <n v="27"/>
    <x v="13"/>
    <n v="34751"/>
    <n v="28500"/>
    <n v="1.2193333333333334"/>
  </r>
  <r>
    <n v="2019"/>
    <x v="7"/>
    <n v="27"/>
    <x v="14"/>
    <n v="29663"/>
    <n v="28500"/>
    <n v="1.0408070175438597"/>
  </r>
  <r>
    <n v="2019"/>
    <x v="7"/>
    <n v="27"/>
    <x v="15"/>
    <n v="23791"/>
    <n v="28500"/>
    <n v="0.83477192982456139"/>
  </r>
  <r>
    <n v="2019"/>
    <x v="7"/>
    <n v="27"/>
    <x v="16"/>
    <n v="15729"/>
    <n v="28500"/>
    <n v="0.55189473684210522"/>
  </r>
  <r>
    <n v="2019"/>
    <x v="7"/>
    <n v="27"/>
    <x v="17"/>
    <n v="6486"/>
    <n v="28500"/>
    <n v="0.22757894736842105"/>
  </r>
  <r>
    <n v="2019"/>
    <x v="7"/>
    <n v="27"/>
    <x v="18"/>
    <n v="768"/>
    <n v="28500"/>
    <n v="2.6947368421052633E-2"/>
  </r>
  <r>
    <n v="2019"/>
    <x v="7"/>
    <n v="27"/>
    <x v="19"/>
    <n v="0"/>
    <n v="28500"/>
    <n v="0"/>
  </r>
  <r>
    <n v="2019"/>
    <x v="7"/>
    <n v="27"/>
    <x v="20"/>
    <n v="0"/>
    <n v="28500"/>
    <n v="0"/>
  </r>
  <r>
    <n v="2019"/>
    <x v="7"/>
    <n v="27"/>
    <x v="21"/>
    <n v="0"/>
    <n v="28500"/>
    <n v="0"/>
  </r>
  <r>
    <n v="2019"/>
    <x v="7"/>
    <n v="27"/>
    <x v="22"/>
    <n v="0"/>
    <n v="28500"/>
    <n v="0"/>
  </r>
  <r>
    <n v="2019"/>
    <x v="7"/>
    <n v="27"/>
    <x v="23"/>
    <n v="0"/>
    <n v="28500"/>
    <n v="0"/>
  </r>
  <r>
    <n v="2019"/>
    <x v="7"/>
    <n v="28"/>
    <x v="0"/>
    <n v="0"/>
    <n v="28500"/>
    <n v="0"/>
  </r>
  <r>
    <n v="2019"/>
    <x v="7"/>
    <n v="28"/>
    <x v="1"/>
    <n v="0"/>
    <n v="28500"/>
    <n v="0"/>
  </r>
  <r>
    <n v="2019"/>
    <x v="7"/>
    <n v="28"/>
    <x v="2"/>
    <n v="0"/>
    <n v="28500"/>
    <n v="0"/>
  </r>
  <r>
    <n v="2019"/>
    <x v="7"/>
    <n v="28"/>
    <x v="3"/>
    <n v="0"/>
    <n v="28500"/>
    <n v="0"/>
  </r>
  <r>
    <n v="2019"/>
    <x v="7"/>
    <n v="28"/>
    <x v="4"/>
    <n v="0"/>
    <n v="28500"/>
    <n v="0"/>
  </r>
  <r>
    <n v="2019"/>
    <x v="7"/>
    <n v="28"/>
    <x v="5"/>
    <n v="0"/>
    <n v="28500"/>
    <n v="0"/>
  </r>
  <r>
    <n v="2019"/>
    <x v="7"/>
    <n v="28"/>
    <x v="6"/>
    <n v="68"/>
    <n v="28500"/>
    <n v="2.3859649122807019E-3"/>
  </r>
  <r>
    <n v="2019"/>
    <x v="7"/>
    <n v="28"/>
    <x v="7"/>
    <n v="4143.5"/>
    <n v="28500"/>
    <n v="0.1453859649122807"/>
  </r>
  <r>
    <n v="2019"/>
    <x v="7"/>
    <n v="28"/>
    <x v="8"/>
    <n v="2381"/>
    <n v="28500"/>
    <n v="8.3543859649122809E-2"/>
  </r>
  <r>
    <n v="2019"/>
    <x v="7"/>
    <n v="28"/>
    <x v="9"/>
    <n v="9179"/>
    <n v="28500"/>
    <n v="0.32207017543859651"/>
  </r>
  <r>
    <n v="2019"/>
    <x v="7"/>
    <n v="28"/>
    <x v="10"/>
    <n v="16840"/>
    <n v="28500"/>
    <n v="0.59087719298245611"/>
  </r>
  <r>
    <n v="2019"/>
    <x v="7"/>
    <n v="28"/>
    <x v="11"/>
    <n v="37662"/>
    <n v="28500"/>
    <n v="1.3214736842105264"/>
  </r>
  <r>
    <n v="2019"/>
    <x v="7"/>
    <n v="28"/>
    <x v="12"/>
    <n v="38402.5"/>
    <n v="28500"/>
    <n v="1.3474561403508771"/>
  </r>
  <r>
    <n v="2019"/>
    <x v="7"/>
    <n v="28"/>
    <x v="13"/>
    <n v="30005"/>
    <n v="28500"/>
    <n v="1.0528070175438597"/>
  </r>
  <r>
    <n v="2019"/>
    <x v="7"/>
    <n v="28"/>
    <x v="14"/>
    <n v="28576"/>
    <n v="28500"/>
    <n v="1.0026666666666666"/>
  </r>
  <r>
    <n v="2019"/>
    <x v="7"/>
    <n v="28"/>
    <x v="15"/>
    <n v="6388"/>
    <n v="28500"/>
    <n v="0.22414035087719297"/>
  </r>
  <r>
    <n v="2019"/>
    <x v="7"/>
    <n v="28"/>
    <x v="16"/>
    <n v="7790.5"/>
    <n v="28500"/>
    <n v="0.27335087719298246"/>
  </r>
  <r>
    <n v="2019"/>
    <x v="7"/>
    <n v="28"/>
    <x v="17"/>
    <n v="3112"/>
    <n v="28500"/>
    <n v="0.10919298245614036"/>
  </r>
  <r>
    <n v="2019"/>
    <x v="7"/>
    <n v="28"/>
    <x v="18"/>
    <n v="482.5"/>
    <n v="28500"/>
    <n v="1.692982456140351E-2"/>
  </r>
  <r>
    <n v="2019"/>
    <x v="7"/>
    <n v="28"/>
    <x v="19"/>
    <n v="0"/>
    <n v="28500"/>
    <n v="0"/>
  </r>
  <r>
    <n v="2019"/>
    <x v="7"/>
    <n v="28"/>
    <x v="20"/>
    <n v="0"/>
    <n v="28500"/>
    <n v="0"/>
  </r>
  <r>
    <n v="2019"/>
    <x v="7"/>
    <n v="28"/>
    <x v="21"/>
    <n v="0"/>
    <n v="28500"/>
    <n v="0"/>
  </r>
  <r>
    <n v="2019"/>
    <x v="7"/>
    <n v="28"/>
    <x v="22"/>
    <n v="0"/>
    <n v="28500"/>
    <n v="0"/>
  </r>
  <r>
    <n v="2019"/>
    <x v="7"/>
    <n v="28"/>
    <x v="23"/>
    <n v="0"/>
    <n v="28500"/>
    <n v="0"/>
  </r>
  <r>
    <n v="2019"/>
    <x v="7"/>
    <n v="29"/>
    <x v="0"/>
    <n v="0"/>
    <n v="28500"/>
    <n v="0"/>
  </r>
  <r>
    <n v="2019"/>
    <x v="7"/>
    <n v="29"/>
    <x v="1"/>
    <n v="0"/>
    <n v="28500"/>
    <n v="0"/>
  </r>
  <r>
    <n v="2019"/>
    <x v="7"/>
    <n v="29"/>
    <x v="2"/>
    <n v="0"/>
    <n v="28500"/>
    <n v="0"/>
  </r>
  <r>
    <n v="2019"/>
    <x v="7"/>
    <n v="29"/>
    <x v="3"/>
    <n v="0"/>
    <n v="28500"/>
    <n v="0"/>
  </r>
  <r>
    <n v="2019"/>
    <x v="7"/>
    <n v="29"/>
    <x v="4"/>
    <n v="0"/>
    <n v="28500"/>
    <n v="0"/>
  </r>
  <r>
    <n v="2019"/>
    <x v="7"/>
    <n v="29"/>
    <x v="5"/>
    <n v="0"/>
    <n v="28500"/>
    <n v="0"/>
  </r>
  <r>
    <n v="2019"/>
    <x v="7"/>
    <n v="29"/>
    <x v="6"/>
    <n v="1616.5"/>
    <n v="28500"/>
    <n v="5.6719298245614037E-2"/>
  </r>
  <r>
    <n v="2019"/>
    <x v="7"/>
    <n v="29"/>
    <x v="7"/>
    <n v="9487.5"/>
    <n v="28500"/>
    <n v="0.33289473684210524"/>
  </r>
  <r>
    <n v="2019"/>
    <x v="7"/>
    <n v="29"/>
    <x v="8"/>
    <n v="21205.5"/>
    <n v="28500"/>
    <n v="0.74405263157894741"/>
  </r>
  <r>
    <n v="2019"/>
    <x v="7"/>
    <n v="29"/>
    <x v="9"/>
    <n v="29477.5"/>
    <n v="28500"/>
    <n v="1.0342982456140351"/>
  </r>
  <r>
    <n v="2019"/>
    <x v="7"/>
    <n v="29"/>
    <x v="10"/>
    <n v="35261"/>
    <n v="28500"/>
    <n v="1.2372280701754386"/>
  </r>
  <r>
    <n v="2019"/>
    <x v="7"/>
    <n v="29"/>
    <x v="11"/>
    <n v="38139"/>
    <n v="28500"/>
    <n v="1.3382105263157895"/>
  </r>
  <r>
    <n v="2019"/>
    <x v="7"/>
    <n v="29"/>
    <x v="12"/>
    <n v="39428"/>
    <n v="28500"/>
    <n v="1.3834385964912281"/>
  </r>
  <r>
    <n v="2019"/>
    <x v="7"/>
    <n v="29"/>
    <x v="13"/>
    <n v="37703"/>
    <n v="28500"/>
    <n v="1.3229122807017544"/>
  </r>
  <r>
    <n v="2019"/>
    <x v="7"/>
    <n v="29"/>
    <x v="14"/>
    <n v="28246"/>
    <n v="28500"/>
    <n v="0.99108771929824557"/>
  </r>
  <r>
    <n v="2019"/>
    <x v="7"/>
    <n v="29"/>
    <x v="15"/>
    <n v="11670.5"/>
    <n v="28500"/>
    <n v="0.40949122807017546"/>
  </r>
  <r>
    <n v="2019"/>
    <x v="7"/>
    <n v="29"/>
    <x v="16"/>
    <n v="17000"/>
    <n v="28500"/>
    <n v="0.59649122807017541"/>
  </r>
  <r>
    <n v="2019"/>
    <x v="7"/>
    <n v="29"/>
    <x v="17"/>
    <n v="6697.5"/>
    <n v="28500"/>
    <n v="0.23499999999999999"/>
  </r>
  <r>
    <n v="2019"/>
    <x v="7"/>
    <n v="29"/>
    <x v="18"/>
    <n v="594.5"/>
    <n v="28500"/>
    <n v="2.0859649122807019E-2"/>
  </r>
  <r>
    <n v="2019"/>
    <x v="7"/>
    <n v="29"/>
    <x v="19"/>
    <n v="0"/>
    <n v="28500"/>
    <n v="0"/>
  </r>
  <r>
    <n v="2019"/>
    <x v="7"/>
    <n v="29"/>
    <x v="20"/>
    <n v="0"/>
    <n v="28500"/>
    <n v="0"/>
  </r>
  <r>
    <n v="2019"/>
    <x v="7"/>
    <n v="29"/>
    <x v="21"/>
    <n v="0"/>
    <n v="28500"/>
    <n v="0"/>
  </r>
  <r>
    <n v="2019"/>
    <x v="7"/>
    <n v="29"/>
    <x v="22"/>
    <n v="0"/>
    <n v="28500"/>
    <n v="0"/>
  </r>
  <r>
    <n v="2019"/>
    <x v="7"/>
    <n v="29"/>
    <x v="23"/>
    <n v="0"/>
    <n v="28500"/>
    <n v="0"/>
  </r>
  <r>
    <n v="2019"/>
    <x v="7"/>
    <n v="30"/>
    <x v="0"/>
    <n v="0"/>
    <n v="28500"/>
    <n v="0"/>
  </r>
  <r>
    <n v="2019"/>
    <x v="7"/>
    <n v="30"/>
    <x v="1"/>
    <n v="0"/>
    <n v="28500"/>
    <n v="0"/>
  </r>
  <r>
    <n v="2019"/>
    <x v="7"/>
    <n v="30"/>
    <x v="2"/>
    <n v="0"/>
    <n v="28500"/>
    <n v="0"/>
  </r>
  <r>
    <n v="2019"/>
    <x v="7"/>
    <n v="30"/>
    <x v="3"/>
    <n v="0"/>
    <n v="28500"/>
    <n v="0"/>
  </r>
  <r>
    <n v="2019"/>
    <x v="7"/>
    <n v="30"/>
    <x v="4"/>
    <n v="0"/>
    <n v="28500"/>
    <n v="0"/>
  </r>
  <r>
    <n v="2019"/>
    <x v="7"/>
    <n v="30"/>
    <x v="5"/>
    <n v="0"/>
    <n v="28500"/>
    <n v="0"/>
  </r>
  <r>
    <n v="2019"/>
    <x v="7"/>
    <n v="30"/>
    <x v="6"/>
    <n v="1569"/>
    <n v="28500"/>
    <n v="5.5052631578947367E-2"/>
  </r>
  <r>
    <n v="2019"/>
    <x v="7"/>
    <n v="30"/>
    <x v="7"/>
    <n v="7780.5"/>
    <n v="28500"/>
    <n v="0.27300000000000002"/>
  </r>
  <r>
    <n v="2019"/>
    <x v="7"/>
    <n v="30"/>
    <x v="8"/>
    <n v="11638"/>
    <n v="28500"/>
    <n v="0.40835087719298246"/>
  </r>
  <r>
    <n v="2019"/>
    <x v="7"/>
    <n v="30"/>
    <x v="9"/>
    <n v="19264.5"/>
    <n v="28500"/>
    <n v="0.67594736842105263"/>
  </r>
  <r>
    <n v="2019"/>
    <x v="7"/>
    <n v="30"/>
    <x v="10"/>
    <n v="27501.5"/>
    <n v="28500"/>
    <n v="0.9649649122807018"/>
  </r>
  <r>
    <n v="2019"/>
    <x v="7"/>
    <n v="30"/>
    <x v="11"/>
    <n v="32322"/>
    <n v="28500"/>
    <n v="1.1341052631578947"/>
  </r>
  <r>
    <n v="2019"/>
    <x v="7"/>
    <n v="30"/>
    <x v="12"/>
    <n v="35241.5"/>
    <n v="28500"/>
    <n v="1.2365438596491227"/>
  </r>
  <r>
    <n v="2019"/>
    <x v="7"/>
    <n v="30"/>
    <x v="13"/>
    <n v="30528"/>
    <n v="28500"/>
    <n v="1.0711578947368421"/>
  </r>
  <r>
    <n v="2019"/>
    <x v="7"/>
    <n v="30"/>
    <x v="14"/>
    <n v="31829.5"/>
    <n v="28500"/>
    <n v="1.1168245614035088"/>
  </r>
  <r>
    <n v="2019"/>
    <x v="7"/>
    <n v="30"/>
    <x v="15"/>
    <n v="26130"/>
    <n v="28500"/>
    <n v="0.9168421052631579"/>
  </r>
  <r>
    <n v="2019"/>
    <x v="7"/>
    <n v="30"/>
    <x v="16"/>
    <n v="16477.5"/>
    <n v="28500"/>
    <n v="0.57815789473684209"/>
  </r>
  <r>
    <n v="2019"/>
    <x v="7"/>
    <n v="30"/>
    <x v="17"/>
    <n v="6600.5"/>
    <n v="28500"/>
    <n v="0.23159649122807019"/>
  </r>
  <r>
    <n v="2019"/>
    <x v="7"/>
    <n v="30"/>
    <x v="18"/>
    <n v="681"/>
    <n v="28500"/>
    <n v="2.3894736842105264E-2"/>
  </r>
  <r>
    <n v="2019"/>
    <x v="7"/>
    <n v="30"/>
    <x v="19"/>
    <n v="0"/>
    <n v="28500"/>
    <n v="0"/>
  </r>
  <r>
    <n v="2019"/>
    <x v="7"/>
    <n v="30"/>
    <x v="20"/>
    <n v="0"/>
    <n v="28500"/>
    <n v="0"/>
  </r>
  <r>
    <n v="2019"/>
    <x v="7"/>
    <n v="30"/>
    <x v="21"/>
    <n v="0"/>
    <n v="28500"/>
    <n v="0"/>
  </r>
  <r>
    <n v="2019"/>
    <x v="7"/>
    <n v="30"/>
    <x v="22"/>
    <n v="0"/>
    <n v="28500"/>
    <n v="0"/>
  </r>
  <r>
    <n v="2019"/>
    <x v="7"/>
    <n v="30"/>
    <x v="23"/>
    <n v="0"/>
    <n v="28500"/>
    <n v="0"/>
  </r>
  <r>
    <n v="2019"/>
    <x v="7"/>
    <n v="31"/>
    <x v="0"/>
    <n v="0"/>
    <n v="28500"/>
    <n v="0"/>
  </r>
  <r>
    <n v="2019"/>
    <x v="7"/>
    <n v="31"/>
    <x v="1"/>
    <n v="0"/>
    <n v="28500"/>
    <n v="0"/>
  </r>
  <r>
    <n v="2019"/>
    <x v="7"/>
    <n v="31"/>
    <x v="2"/>
    <n v="0"/>
    <n v="28500"/>
    <n v="0"/>
  </r>
  <r>
    <n v="2019"/>
    <x v="7"/>
    <n v="31"/>
    <x v="3"/>
    <n v="0"/>
    <n v="28500"/>
    <n v="0"/>
  </r>
  <r>
    <n v="2019"/>
    <x v="7"/>
    <n v="31"/>
    <x v="4"/>
    <n v="0"/>
    <n v="28500"/>
    <n v="0"/>
  </r>
  <r>
    <n v="2019"/>
    <x v="7"/>
    <n v="31"/>
    <x v="5"/>
    <n v="0"/>
    <n v="28500"/>
    <n v="0"/>
  </r>
  <r>
    <n v="2019"/>
    <x v="7"/>
    <n v="31"/>
    <x v="6"/>
    <n v="1626"/>
    <n v="28500"/>
    <n v="5.7052631578947369E-2"/>
  </r>
  <r>
    <n v="2019"/>
    <x v="7"/>
    <n v="31"/>
    <x v="7"/>
    <n v="10868.5"/>
    <n v="28500"/>
    <n v="0.38135087719298244"/>
  </r>
  <r>
    <n v="2019"/>
    <x v="7"/>
    <n v="31"/>
    <x v="8"/>
    <n v="17486"/>
    <n v="28500"/>
    <n v="0.61354385964912284"/>
  </r>
  <r>
    <n v="2019"/>
    <x v="7"/>
    <n v="31"/>
    <x v="9"/>
    <n v="26942"/>
    <n v="28500"/>
    <n v="0.94533333333333336"/>
  </r>
  <r>
    <n v="2019"/>
    <x v="7"/>
    <n v="31"/>
    <x v="10"/>
    <n v="31635.5"/>
    <n v="28500"/>
    <n v="1.1100175438596491"/>
  </r>
  <r>
    <n v="2019"/>
    <x v="7"/>
    <n v="31"/>
    <x v="11"/>
    <n v="26006"/>
    <n v="28500"/>
    <n v="0.91249122807017546"/>
  </r>
  <r>
    <n v="2019"/>
    <x v="7"/>
    <n v="31"/>
    <x v="12"/>
    <n v="39173.5"/>
    <n v="28500"/>
    <n v="1.3745087719298246"/>
  </r>
  <r>
    <n v="2019"/>
    <x v="7"/>
    <n v="31"/>
    <x v="13"/>
    <n v="26428"/>
    <n v="28500"/>
    <n v="0.92729824561403507"/>
  </r>
  <r>
    <n v="2019"/>
    <x v="7"/>
    <n v="31"/>
    <x v="14"/>
    <n v="11571"/>
    <n v="28500"/>
    <n v="0.40600000000000003"/>
  </r>
  <r>
    <n v="2019"/>
    <x v="7"/>
    <n v="31"/>
    <x v="15"/>
    <n v="9858.5"/>
    <n v="28500"/>
    <n v="0.34591228070175439"/>
  </r>
  <r>
    <n v="2019"/>
    <x v="7"/>
    <n v="31"/>
    <x v="16"/>
    <n v="3953.5"/>
    <n v="28500"/>
    <n v="0.13871929824561405"/>
  </r>
  <r>
    <n v="2019"/>
    <x v="7"/>
    <n v="31"/>
    <x v="17"/>
    <n v="545"/>
    <n v="28500"/>
    <n v="1.9122807017543861E-2"/>
  </r>
  <r>
    <n v="2019"/>
    <x v="7"/>
    <n v="31"/>
    <x v="18"/>
    <n v="598.5"/>
    <n v="28500"/>
    <n v="2.1000000000000001E-2"/>
  </r>
  <r>
    <n v="2019"/>
    <x v="7"/>
    <n v="31"/>
    <x v="19"/>
    <n v="0"/>
    <n v="28500"/>
    <n v="0"/>
  </r>
  <r>
    <n v="2019"/>
    <x v="7"/>
    <n v="31"/>
    <x v="20"/>
    <n v="0"/>
    <n v="28500"/>
    <n v="0"/>
  </r>
  <r>
    <n v="2019"/>
    <x v="7"/>
    <n v="31"/>
    <x v="21"/>
    <n v="0"/>
    <n v="28500"/>
    <n v="0"/>
  </r>
  <r>
    <n v="2019"/>
    <x v="7"/>
    <n v="31"/>
    <x v="22"/>
    <n v="0"/>
    <n v="28500"/>
    <n v="0"/>
  </r>
  <r>
    <n v="2019"/>
    <x v="7"/>
    <n v="31"/>
    <x v="23"/>
    <n v="0"/>
    <n v="28500"/>
    <n v="0"/>
  </r>
  <r>
    <n v="2019"/>
    <x v="8"/>
    <n v="1"/>
    <x v="0"/>
    <n v="0"/>
    <n v="28500"/>
    <n v="0"/>
  </r>
  <r>
    <n v="2019"/>
    <x v="8"/>
    <n v="1"/>
    <x v="1"/>
    <n v="0"/>
    <n v="28500"/>
    <n v="0"/>
  </r>
  <r>
    <n v="2019"/>
    <x v="8"/>
    <n v="1"/>
    <x v="2"/>
    <n v="0"/>
    <n v="28500"/>
    <n v="0"/>
  </r>
  <r>
    <n v="2019"/>
    <x v="8"/>
    <n v="1"/>
    <x v="3"/>
    <n v="0"/>
    <n v="28500"/>
    <n v="0"/>
  </r>
  <r>
    <n v="2019"/>
    <x v="8"/>
    <n v="1"/>
    <x v="4"/>
    <n v="0"/>
    <n v="28500"/>
    <n v="0"/>
  </r>
  <r>
    <n v="2019"/>
    <x v="8"/>
    <n v="1"/>
    <x v="5"/>
    <n v="0"/>
    <n v="28500"/>
    <n v="0"/>
  </r>
  <r>
    <n v="2019"/>
    <x v="8"/>
    <n v="1"/>
    <x v="6"/>
    <n v="217"/>
    <n v="28500"/>
    <n v="7.6140350877192979E-3"/>
  </r>
  <r>
    <n v="2019"/>
    <x v="8"/>
    <n v="1"/>
    <x v="7"/>
    <n v="10810.5"/>
    <n v="28500"/>
    <n v="0.37931578947368422"/>
  </r>
  <r>
    <n v="2019"/>
    <x v="8"/>
    <n v="1"/>
    <x v="8"/>
    <n v="21261"/>
    <n v="28500"/>
    <n v="0.746"/>
  </r>
  <r>
    <n v="2019"/>
    <x v="8"/>
    <n v="1"/>
    <x v="9"/>
    <n v="29626"/>
    <n v="28500"/>
    <n v="1.0395087719298246"/>
  </r>
  <r>
    <n v="2019"/>
    <x v="8"/>
    <n v="1"/>
    <x v="10"/>
    <n v="31329"/>
    <n v="28500"/>
    <n v="1.0992631578947369"/>
  </r>
  <r>
    <n v="2019"/>
    <x v="8"/>
    <n v="1"/>
    <x v="11"/>
    <n v="26197"/>
    <n v="28500"/>
    <n v="0.91919298245614034"/>
  </r>
  <r>
    <n v="2019"/>
    <x v="8"/>
    <n v="1"/>
    <x v="12"/>
    <n v="2615.5"/>
    <n v="28500"/>
    <n v="9.1771929824561407E-2"/>
  </r>
  <r>
    <n v="2019"/>
    <x v="8"/>
    <n v="1"/>
    <x v="13"/>
    <n v="26666"/>
    <n v="28500"/>
    <n v="0.93564912280701751"/>
  </r>
  <r>
    <n v="2019"/>
    <x v="8"/>
    <n v="1"/>
    <x v="14"/>
    <n v="25407"/>
    <n v="28500"/>
    <n v="0.89147368421052631"/>
  </r>
  <r>
    <n v="2019"/>
    <x v="8"/>
    <n v="1"/>
    <x v="15"/>
    <n v="14983.5"/>
    <n v="28500"/>
    <n v="0.52573684210526317"/>
  </r>
  <r>
    <n v="2019"/>
    <x v="8"/>
    <n v="1"/>
    <x v="16"/>
    <n v="15565"/>
    <n v="28500"/>
    <n v="0.54614035087719304"/>
  </r>
  <r>
    <n v="2019"/>
    <x v="8"/>
    <n v="1"/>
    <x v="17"/>
    <n v="6652.5"/>
    <n v="28500"/>
    <n v="0.23342105263157895"/>
  </r>
  <r>
    <n v="2019"/>
    <x v="8"/>
    <n v="1"/>
    <x v="18"/>
    <n v="252.5"/>
    <n v="28500"/>
    <n v="8.859649122807017E-3"/>
  </r>
  <r>
    <n v="2019"/>
    <x v="8"/>
    <n v="1"/>
    <x v="19"/>
    <n v="0"/>
    <n v="28500"/>
    <n v="0"/>
  </r>
  <r>
    <n v="2019"/>
    <x v="8"/>
    <n v="1"/>
    <x v="20"/>
    <n v="0"/>
    <n v="28500"/>
    <n v="0"/>
  </r>
  <r>
    <n v="2019"/>
    <x v="8"/>
    <n v="1"/>
    <x v="21"/>
    <n v="0"/>
    <n v="28500"/>
    <n v="0"/>
  </r>
  <r>
    <n v="2019"/>
    <x v="8"/>
    <n v="1"/>
    <x v="22"/>
    <n v="0"/>
    <n v="28500"/>
    <n v="0"/>
  </r>
  <r>
    <n v="2019"/>
    <x v="8"/>
    <n v="1"/>
    <x v="23"/>
    <n v="0"/>
    <n v="28500"/>
    <n v="0"/>
  </r>
  <r>
    <n v="2019"/>
    <x v="8"/>
    <n v="2"/>
    <x v="0"/>
    <n v="0"/>
    <n v="28500"/>
    <n v="0"/>
  </r>
  <r>
    <n v="2019"/>
    <x v="8"/>
    <n v="2"/>
    <x v="1"/>
    <n v="0"/>
    <n v="28500"/>
    <n v="0"/>
  </r>
  <r>
    <n v="2019"/>
    <x v="8"/>
    <n v="2"/>
    <x v="2"/>
    <n v="0"/>
    <n v="28500"/>
    <n v="0"/>
  </r>
  <r>
    <n v="2019"/>
    <x v="8"/>
    <n v="2"/>
    <x v="3"/>
    <n v="0"/>
    <n v="28500"/>
    <n v="0"/>
  </r>
  <r>
    <n v="2019"/>
    <x v="8"/>
    <n v="2"/>
    <x v="4"/>
    <n v="0"/>
    <n v="28500"/>
    <n v="0"/>
  </r>
  <r>
    <n v="2019"/>
    <x v="8"/>
    <n v="2"/>
    <x v="5"/>
    <n v="0"/>
    <n v="28500"/>
    <n v="0"/>
  </r>
  <r>
    <n v="2019"/>
    <x v="8"/>
    <n v="2"/>
    <x v="6"/>
    <n v="1579.5"/>
    <n v="28500"/>
    <n v="5.5421052631578947E-2"/>
  </r>
  <r>
    <n v="2019"/>
    <x v="8"/>
    <n v="2"/>
    <x v="7"/>
    <n v="9613"/>
    <n v="28500"/>
    <n v="0.3372982456140351"/>
  </r>
  <r>
    <n v="2019"/>
    <x v="8"/>
    <n v="2"/>
    <x v="8"/>
    <n v="18147.5"/>
    <n v="28500"/>
    <n v="0.6367543859649123"/>
  </r>
  <r>
    <n v="2019"/>
    <x v="8"/>
    <n v="2"/>
    <x v="9"/>
    <n v="29291"/>
    <n v="28500"/>
    <n v="1.0277543859649123"/>
  </r>
  <r>
    <n v="2019"/>
    <x v="8"/>
    <n v="2"/>
    <x v="10"/>
    <n v="34071.5"/>
    <n v="28500"/>
    <n v="1.1954912280701755"/>
  </r>
  <r>
    <n v="2019"/>
    <x v="8"/>
    <n v="2"/>
    <x v="11"/>
    <n v="28948.5"/>
    <n v="28500"/>
    <n v="1.015736842105263"/>
  </r>
  <r>
    <n v="2019"/>
    <x v="8"/>
    <n v="2"/>
    <x v="12"/>
    <n v="32507"/>
    <n v="28500"/>
    <n v="1.1405964912280702"/>
  </r>
  <r>
    <n v="2019"/>
    <x v="8"/>
    <n v="2"/>
    <x v="13"/>
    <n v="30909.5"/>
    <n v="28500"/>
    <n v="1.0845438596491228"/>
  </r>
  <r>
    <n v="2019"/>
    <x v="8"/>
    <n v="2"/>
    <x v="14"/>
    <n v="18829"/>
    <n v="28500"/>
    <n v="0.66066666666666662"/>
  </r>
  <r>
    <n v="2019"/>
    <x v="8"/>
    <n v="2"/>
    <x v="15"/>
    <n v="12245"/>
    <n v="28500"/>
    <n v="0.42964912280701756"/>
  </r>
  <r>
    <n v="2019"/>
    <x v="8"/>
    <n v="2"/>
    <x v="16"/>
    <n v="5194"/>
    <n v="28500"/>
    <n v="0.18224561403508771"/>
  </r>
  <r>
    <n v="2019"/>
    <x v="8"/>
    <n v="2"/>
    <x v="17"/>
    <n v="1991"/>
    <n v="28500"/>
    <n v="6.9859649122807024E-2"/>
  </r>
  <r>
    <n v="2019"/>
    <x v="8"/>
    <n v="2"/>
    <x v="18"/>
    <n v="459"/>
    <n v="28500"/>
    <n v="1.6105263157894737E-2"/>
  </r>
  <r>
    <n v="2019"/>
    <x v="8"/>
    <n v="2"/>
    <x v="19"/>
    <n v="0"/>
    <n v="28500"/>
    <n v="0"/>
  </r>
  <r>
    <n v="2019"/>
    <x v="8"/>
    <n v="2"/>
    <x v="20"/>
    <n v="0"/>
    <n v="28500"/>
    <n v="0"/>
  </r>
  <r>
    <n v="2019"/>
    <x v="8"/>
    <n v="2"/>
    <x v="21"/>
    <n v="0"/>
    <n v="28500"/>
    <n v="0"/>
  </r>
  <r>
    <n v="2019"/>
    <x v="8"/>
    <n v="2"/>
    <x v="22"/>
    <n v="0"/>
    <n v="28500"/>
    <n v="0"/>
  </r>
  <r>
    <n v="2019"/>
    <x v="8"/>
    <n v="2"/>
    <x v="23"/>
    <n v="0"/>
    <n v="28500"/>
    <n v="0"/>
  </r>
  <r>
    <n v="2019"/>
    <x v="8"/>
    <n v="3"/>
    <x v="0"/>
    <n v="0"/>
    <n v="28500"/>
    <n v="0"/>
  </r>
  <r>
    <n v="2019"/>
    <x v="8"/>
    <n v="3"/>
    <x v="1"/>
    <n v="0"/>
    <n v="28500"/>
    <n v="0"/>
  </r>
  <r>
    <n v="2019"/>
    <x v="8"/>
    <n v="3"/>
    <x v="2"/>
    <n v="0"/>
    <n v="28500"/>
    <n v="0"/>
  </r>
  <r>
    <n v="2019"/>
    <x v="8"/>
    <n v="3"/>
    <x v="3"/>
    <n v="0"/>
    <n v="28500"/>
    <n v="0"/>
  </r>
  <r>
    <n v="2019"/>
    <x v="8"/>
    <n v="3"/>
    <x v="4"/>
    <n v="0"/>
    <n v="28500"/>
    <n v="0"/>
  </r>
  <r>
    <n v="2019"/>
    <x v="8"/>
    <n v="3"/>
    <x v="5"/>
    <n v="0"/>
    <n v="28500"/>
    <n v="0"/>
  </r>
  <r>
    <n v="2019"/>
    <x v="8"/>
    <n v="3"/>
    <x v="6"/>
    <n v="1081"/>
    <n v="28500"/>
    <n v="3.7929824561403508E-2"/>
  </r>
  <r>
    <n v="2019"/>
    <x v="8"/>
    <n v="3"/>
    <x v="7"/>
    <n v="4003.5"/>
    <n v="28500"/>
    <n v="0.14047368421052631"/>
  </r>
  <r>
    <n v="2019"/>
    <x v="8"/>
    <n v="3"/>
    <x v="8"/>
    <n v="13411.5"/>
    <n v="28500"/>
    <n v="0.47057894736842104"/>
  </r>
  <r>
    <n v="2019"/>
    <x v="8"/>
    <n v="3"/>
    <x v="9"/>
    <n v="11691"/>
    <n v="28500"/>
    <n v="0.41021052631578947"/>
  </r>
  <r>
    <n v="2019"/>
    <x v="8"/>
    <n v="3"/>
    <x v="10"/>
    <n v="14384.5"/>
    <n v="28500"/>
    <n v="0.50471929824561401"/>
  </r>
  <r>
    <n v="2019"/>
    <x v="8"/>
    <n v="3"/>
    <x v="11"/>
    <n v="17214.5"/>
    <n v="28500"/>
    <n v="0.60401754385964912"/>
  </r>
  <r>
    <n v="2019"/>
    <x v="8"/>
    <n v="3"/>
    <x v="12"/>
    <n v="16386.5"/>
    <n v="28500"/>
    <n v="0.57496491228070179"/>
  </r>
  <r>
    <n v="2019"/>
    <x v="8"/>
    <n v="3"/>
    <x v="13"/>
    <n v="15253.5"/>
    <n v="28500"/>
    <n v="0.53521052631578947"/>
  </r>
  <r>
    <n v="2019"/>
    <x v="8"/>
    <n v="3"/>
    <x v="14"/>
    <n v="20955"/>
    <n v="28500"/>
    <n v="0.73526315789473684"/>
  </r>
  <r>
    <n v="2019"/>
    <x v="8"/>
    <n v="3"/>
    <x v="15"/>
    <n v="22118.5"/>
    <n v="28500"/>
    <n v="0.7760877192982456"/>
  </r>
  <r>
    <n v="2019"/>
    <x v="8"/>
    <n v="3"/>
    <x v="16"/>
    <n v="2262"/>
    <n v="28500"/>
    <n v="7.9368421052631574E-2"/>
  </r>
  <r>
    <n v="2019"/>
    <x v="8"/>
    <n v="3"/>
    <x v="17"/>
    <n v="2231.5"/>
    <n v="28500"/>
    <n v="7.8298245614035089E-2"/>
  </r>
  <r>
    <n v="2019"/>
    <x v="8"/>
    <n v="3"/>
    <x v="18"/>
    <n v="111.5"/>
    <n v="28500"/>
    <n v="3.9122807017543861E-3"/>
  </r>
  <r>
    <n v="2019"/>
    <x v="8"/>
    <n v="3"/>
    <x v="19"/>
    <n v="0"/>
    <n v="28500"/>
    <n v="0"/>
  </r>
  <r>
    <n v="2019"/>
    <x v="8"/>
    <n v="3"/>
    <x v="20"/>
    <n v="0"/>
    <n v="28500"/>
    <n v="0"/>
  </r>
  <r>
    <n v="2019"/>
    <x v="8"/>
    <n v="3"/>
    <x v="21"/>
    <n v="0"/>
    <n v="28500"/>
    <n v="0"/>
  </r>
  <r>
    <n v="2019"/>
    <x v="8"/>
    <n v="3"/>
    <x v="22"/>
    <n v="0"/>
    <n v="28500"/>
    <n v="0"/>
  </r>
  <r>
    <n v="2019"/>
    <x v="8"/>
    <n v="3"/>
    <x v="23"/>
    <n v="0"/>
    <n v="28500"/>
    <n v="0"/>
  </r>
  <r>
    <n v="2019"/>
    <x v="8"/>
    <n v="4"/>
    <x v="0"/>
    <n v="0"/>
    <n v="28500"/>
    <n v="0"/>
  </r>
  <r>
    <n v="2019"/>
    <x v="8"/>
    <n v="4"/>
    <x v="1"/>
    <n v="0"/>
    <n v="28500"/>
    <n v="0"/>
  </r>
  <r>
    <n v="2019"/>
    <x v="8"/>
    <n v="4"/>
    <x v="2"/>
    <n v="0"/>
    <n v="28500"/>
    <n v="0"/>
  </r>
  <r>
    <n v="2019"/>
    <x v="8"/>
    <n v="4"/>
    <x v="3"/>
    <n v="0"/>
    <n v="28500"/>
    <n v="0"/>
  </r>
  <r>
    <n v="2019"/>
    <x v="8"/>
    <n v="4"/>
    <x v="4"/>
    <n v="0"/>
    <n v="28500"/>
    <n v="0"/>
  </r>
  <r>
    <n v="2019"/>
    <x v="8"/>
    <n v="4"/>
    <x v="5"/>
    <n v="0"/>
    <n v="28500"/>
    <n v="0"/>
  </r>
  <r>
    <n v="2019"/>
    <x v="8"/>
    <n v="4"/>
    <x v="6"/>
    <n v="29.5"/>
    <n v="28500"/>
    <n v="1.0350877192982456E-3"/>
  </r>
  <r>
    <n v="2019"/>
    <x v="8"/>
    <n v="4"/>
    <x v="7"/>
    <n v="2175"/>
    <n v="28500"/>
    <n v="7.6315789473684212E-2"/>
  </r>
  <r>
    <n v="2019"/>
    <x v="8"/>
    <n v="4"/>
    <x v="8"/>
    <n v="4974.5"/>
    <n v="28500"/>
    <n v="0.17454385964912281"/>
  </r>
  <r>
    <n v="2019"/>
    <x v="8"/>
    <n v="4"/>
    <x v="9"/>
    <n v="9228"/>
    <n v="28500"/>
    <n v="0.32378947368421052"/>
  </r>
  <r>
    <n v="2019"/>
    <x v="8"/>
    <n v="4"/>
    <x v="10"/>
    <n v="21495.5"/>
    <n v="28500"/>
    <n v="0.75422807017543858"/>
  </r>
  <r>
    <n v="2019"/>
    <x v="8"/>
    <n v="4"/>
    <x v="11"/>
    <n v="19444.5"/>
    <n v="28500"/>
    <n v="0.68226315789473679"/>
  </r>
  <r>
    <n v="2019"/>
    <x v="8"/>
    <n v="4"/>
    <x v="12"/>
    <n v="35853.5"/>
    <n v="28500"/>
    <n v="1.258017543859649"/>
  </r>
  <r>
    <n v="2019"/>
    <x v="8"/>
    <n v="4"/>
    <x v="13"/>
    <n v="36865"/>
    <n v="28500"/>
    <n v="1.2935087719298246"/>
  </r>
  <r>
    <n v="2019"/>
    <x v="8"/>
    <n v="4"/>
    <x v="14"/>
    <n v="20580.5"/>
    <n v="28500"/>
    <n v="0.72212280701754383"/>
  </r>
  <r>
    <n v="2019"/>
    <x v="8"/>
    <n v="4"/>
    <x v="15"/>
    <n v="24614.5"/>
    <n v="28500"/>
    <n v="0.86366666666666669"/>
  </r>
  <r>
    <n v="2019"/>
    <x v="8"/>
    <n v="4"/>
    <x v="16"/>
    <n v="14238.5"/>
    <n v="28500"/>
    <n v="0.49959649122807015"/>
  </r>
  <r>
    <n v="2019"/>
    <x v="8"/>
    <n v="4"/>
    <x v="17"/>
    <n v="5976"/>
    <n v="28500"/>
    <n v="0.20968421052631578"/>
  </r>
  <r>
    <n v="2019"/>
    <x v="8"/>
    <n v="4"/>
    <x v="18"/>
    <n v="354"/>
    <n v="28500"/>
    <n v="1.2421052631578947E-2"/>
  </r>
  <r>
    <n v="2019"/>
    <x v="8"/>
    <n v="4"/>
    <x v="19"/>
    <n v="0"/>
    <n v="28500"/>
    <n v="0"/>
  </r>
  <r>
    <n v="2019"/>
    <x v="8"/>
    <n v="4"/>
    <x v="20"/>
    <n v="0"/>
    <n v="28500"/>
    <n v="0"/>
  </r>
  <r>
    <n v="2019"/>
    <x v="8"/>
    <n v="4"/>
    <x v="21"/>
    <n v="0"/>
    <n v="28500"/>
    <n v="0"/>
  </r>
  <r>
    <n v="2019"/>
    <x v="8"/>
    <n v="4"/>
    <x v="22"/>
    <n v="0"/>
    <n v="28500"/>
    <n v="0"/>
  </r>
  <r>
    <n v="2019"/>
    <x v="8"/>
    <n v="4"/>
    <x v="23"/>
    <n v="0"/>
    <n v="28500"/>
    <n v="0"/>
  </r>
  <r>
    <n v="2019"/>
    <x v="8"/>
    <n v="5"/>
    <x v="0"/>
    <n v="0"/>
    <n v="28500"/>
    <n v="0"/>
  </r>
  <r>
    <n v="2019"/>
    <x v="8"/>
    <n v="5"/>
    <x v="1"/>
    <n v="0"/>
    <n v="28500"/>
    <n v="0"/>
  </r>
  <r>
    <n v="2019"/>
    <x v="8"/>
    <n v="5"/>
    <x v="2"/>
    <n v="0"/>
    <n v="28500"/>
    <n v="0"/>
  </r>
  <r>
    <n v="2019"/>
    <x v="8"/>
    <n v="5"/>
    <x v="3"/>
    <n v="0"/>
    <n v="28500"/>
    <n v="0"/>
  </r>
  <r>
    <n v="2019"/>
    <x v="8"/>
    <n v="5"/>
    <x v="4"/>
    <n v="0"/>
    <n v="28500"/>
    <n v="0"/>
  </r>
  <r>
    <n v="2019"/>
    <x v="8"/>
    <n v="5"/>
    <x v="5"/>
    <n v="0"/>
    <n v="28500"/>
    <n v="0"/>
  </r>
  <r>
    <n v="2019"/>
    <x v="8"/>
    <n v="5"/>
    <x v="6"/>
    <n v="1506.5"/>
    <n v="28500"/>
    <n v="5.2859649122807016E-2"/>
  </r>
  <r>
    <n v="2019"/>
    <x v="8"/>
    <n v="5"/>
    <x v="7"/>
    <n v="10656"/>
    <n v="28500"/>
    <n v="0.37389473684210528"/>
  </r>
  <r>
    <n v="2019"/>
    <x v="8"/>
    <n v="5"/>
    <x v="8"/>
    <n v="21539.5"/>
    <n v="28500"/>
    <n v="0.75577192982456143"/>
  </r>
  <r>
    <n v="2019"/>
    <x v="8"/>
    <n v="5"/>
    <x v="9"/>
    <n v="22208.5"/>
    <n v="28500"/>
    <n v="0.77924561403508774"/>
  </r>
  <r>
    <n v="2019"/>
    <x v="8"/>
    <n v="5"/>
    <x v="10"/>
    <n v="17005.5"/>
    <n v="28500"/>
    <n v="0.59668421052631582"/>
  </r>
  <r>
    <n v="2019"/>
    <x v="8"/>
    <n v="5"/>
    <x v="11"/>
    <n v="37920"/>
    <n v="28500"/>
    <n v="1.3305263157894738"/>
  </r>
  <r>
    <n v="2019"/>
    <x v="8"/>
    <n v="5"/>
    <x v="12"/>
    <n v="39510"/>
    <n v="28500"/>
    <n v="1.3863157894736842"/>
  </r>
  <r>
    <n v="2019"/>
    <x v="8"/>
    <n v="5"/>
    <x v="13"/>
    <n v="34844.5"/>
    <n v="28500"/>
    <n v="1.2226140350877193"/>
  </r>
  <r>
    <n v="2019"/>
    <x v="8"/>
    <n v="5"/>
    <x v="14"/>
    <n v="20657"/>
    <n v="28500"/>
    <n v="0.72480701754385968"/>
  </r>
  <r>
    <n v="2019"/>
    <x v="8"/>
    <n v="5"/>
    <x v="15"/>
    <n v="19517.5"/>
    <n v="28500"/>
    <n v="0.68482456140350878"/>
  </r>
  <r>
    <n v="2019"/>
    <x v="8"/>
    <n v="5"/>
    <x v="16"/>
    <n v="13574.5"/>
    <n v="28500"/>
    <n v="0.47629824561403511"/>
  </r>
  <r>
    <n v="2019"/>
    <x v="8"/>
    <n v="5"/>
    <x v="17"/>
    <n v="5200.5"/>
    <n v="28500"/>
    <n v="0.18247368421052632"/>
  </r>
  <r>
    <n v="2019"/>
    <x v="8"/>
    <n v="5"/>
    <x v="18"/>
    <n v="205.5"/>
    <n v="28500"/>
    <n v="7.2105263157894737E-3"/>
  </r>
  <r>
    <n v="2019"/>
    <x v="8"/>
    <n v="5"/>
    <x v="19"/>
    <n v="0"/>
    <n v="28500"/>
    <n v="0"/>
  </r>
  <r>
    <n v="2019"/>
    <x v="8"/>
    <n v="5"/>
    <x v="20"/>
    <n v="0"/>
    <n v="28500"/>
    <n v="0"/>
  </r>
  <r>
    <n v="2019"/>
    <x v="8"/>
    <n v="5"/>
    <x v="21"/>
    <n v="0"/>
    <n v="28500"/>
    <n v="0"/>
  </r>
  <r>
    <n v="2019"/>
    <x v="8"/>
    <n v="5"/>
    <x v="22"/>
    <n v="0"/>
    <n v="28500"/>
    <n v="0"/>
  </r>
  <r>
    <n v="2019"/>
    <x v="8"/>
    <n v="5"/>
    <x v="23"/>
    <n v="0"/>
    <n v="28500"/>
    <n v="0"/>
  </r>
  <r>
    <n v="2019"/>
    <x v="8"/>
    <n v="6"/>
    <x v="0"/>
    <n v="0"/>
    <n v="28500"/>
    <n v="0"/>
  </r>
  <r>
    <n v="2019"/>
    <x v="8"/>
    <n v="6"/>
    <x v="1"/>
    <n v="0"/>
    <n v="28500"/>
    <n v="0"/>
  </r>
  <r>
    <n v="2019"/>
    <x v="8"/>
    <n v="6"/>
    <x v="2"/>
    <n v="0"/>
    <n v="28500"/>
    <n v="0"/>
  </r>
  <r>
    <n v="2019"/>
    <x v="8"/>
    <n v="6"/>
    <x v="3"/>
    <n v="0"/>
    <n v="28500"/>
    <n v="0"/>
  </r>
  <r>
    <n v="2019"/>
    <x v="8"/>
    <n v="6"/>
    <x v="4"/>
    <n v="0"/>
    <n v="28500"/>
    <n v="0"/>
  </r>
  <r>
    <n v="2019"/>
    <x v="8"/>
    <n v="6"/>
    <x v="5"/>
    <n v="0"/>
    <n v="28500"/>
    <n v="0"/>
  </r>
  <r>
    <n v="2019"/>
    <x v="8"/>
    <n v="6"/>
    <x v="6"/>
    <n v="1442.5"/>
    <n v="28500"/>
    <n v="5.0614035087719299E-2"/>
  </r>
  <r>
    <n v="2019"/>
    <x v="8"/>
    <n v="6"/>
    <x v="7"/>
    <n v="4250.5"/>
    <n v="28500"/>
    <n v="0.14914035087719299"/>
  </r>
  <r>
    <n v="2019"/>
    <x v="8"/>
    <n v="6"/>
    <x v="8"/>
    <n v="6619"/>
    <n v="28500"/>
    <n v="0.23224561403508773"/>
  </r>
  <r>
    <n v="2019"/>
    <x v="8"/>
    <n v="6"/>
    <x v="9"/>
    <n v="8624.5"/>
    <n v="28500"/>
    <n v="0.30261403508771928"/>
  </r>
  <r>
    <n v="2019"/>
    <x v="8"/>
    <n v="6"/>
    <x v="10"/>
    <n v="16209.5"/>
    <n v="28500"/>
    <n v="0.56875438596491223"/>
  </r>
  <r>
    <n v="2019"/>
    <x v="8"/>
    <n v="6"/>
    <x v="11"/>
    <n v="17417"/>
    <n v="28500"/>
    <n v="0.61112280701754385"/>
  </r>
  <r>
    <n v="2019"/>
    <x v="8"/>
    <n v="6"/>
    <x v="12"/>
    <n v="4172.5"/>
    <n v="28500"/>
    <n v="0.14640350877192981"/>
  </r>
  <r>
    <n v="2019"/>
    <x v="8"/>
    <n v="6"/>
    <x v="13"/>
    <n v="4335"/>
    <n v="28500"/>
    <n v="0.15210526315789474"/>
  </r>
  <r>
    <n v="2019"/>
    <x v="8"/>
    <n v="6"/>
    <x v="14"/>
    <n v="5961"/>
    <n v="28500"/>
    <n v="0.2091578947368421"/>
  </r>
  <r>
    <n v="2019"/>
    <x v="8"/>
    <n v="6"/>
    <x v="15"/>
    <n v="4610"/>
    <n v="28500"/>
    <n v="0.16175438596491229"/>
  </r>
  <r>
    <n v="2019"/>
    <x v="8"/>
    <n v="6"/>
    <x v="16"/>
    <n v="11145.5"/>
    <n v="28500"/>
    <n v="0.39107017543859651"/>
  </r>
  <r>
    <n v="2019"/>
    <x v="8"/>
    <n v="6"/>
    <x v="17"/>
    <n v="2197"/>
    <n v="28500"/>
    <n v="7.7087719298245608E-2"/>
  </r>
  <r>
    <n v="2019"/>
    <x v="8"/>
    <n v="6"/>
    <x v="18"/>
    <n v="0"/>
    <n v="28500"/>
    <n v="0"/>
  </r>
  <r>
    <n v="2019"/>
    <x v="8"/>
    <n v="6"/>
    <x v="19"/>
    <n v="0"/>
    <n v="28500"/>
    <n v="0"/>
  </r>
  <r>
    <n v="2019"/>
    <x v="8"/>
    <n v="6"/>
    <x v="20"/>
    <n v="0"/>
    <n v="28500"/>
    <n v="0"/>
  </r>
  <r>
    <n v="2019"/>
    <x v="8"/>
    <n v="6"/>
    <x v="21"/>
    <n v="0"/>
    <n v="28500"/>
    <n v="0"/>
  </r>
  <r>
    <n v="2019"/>
    <x v="8"/>
    <n v="6"/>
    <x v="22"/>
    <n v="0"/>
    <n v="28500"/>
    <n v="0"/>
  </r>
  <r>
    <n v="2019"/>
    <x v="8"/>
    <n v="6"/>
    <x v="23"/>
    <n v="0"/>
    <n v="28500"/>
    <n v="0"/>
  </r>
  <r>
    <n v="2019"/>
    <x v="8"/>
    <n v="7"/>
    <x v="0"/>
    <n v="0"/>
    <n v="28500"/>
    <n v="0"/>
  </r>
  <r>
    <n v="2019"/>
    <x v="8"/>
    <n v="7"/>
    <x v="1"/>
    <n v="0"/>
    <n v="28500"/>
    <n v="0"/>
  </r>
  <r>
    <n v="2019"/>
    <x v="8"/>
    <n v="7"/>
    <x v="2"/>
    <n v="0"/>
    <n v="28500"/>
    <n v="0"/>
  </r>
  <r>
    <n v="2019"/>
    <x v="8"/>
    <n v="7"/>
    <x v="3"/>
    <n v="0"/>
    <n v="28500"/>
    <n v="0"/>
  </r>
  <r>
    <n v="2019"/>
    <x v="8"/>
    <n v="7"/>
    <x v="4"/>
    <n v="0"/>
    <n v="28500"/>
    <n v="0"/>
  </r>
  <r>
    <n v="2019"/>
    <x v="8"/>
    <n v="7"/>
    <x v="5"/>
    <n v="0"/>
    <n v="28500"/>
    <n v="0"/>
  </r>
  <r>
    <n v="2019"/>
    <x v="8"/>
    <n v="7"/>
    <x v="6"/>
    <n v="1000.5"/>
    <n v="28500"/>
    <n v="3.5105263157894737E-2"/>
  </r>
  <r>
    <n v="2019"/>
    <x v="8"/>
    <n v="7"/>
    <x v="7"/>
    <n v="4819.5"/>
    <n v="28500"/>
    <n v="0.16910526315789473"/>
  </r>
  <r>
    <n v="2019"/>
    <x v="8"/>
    <n v="7"/>
    <x v="8"/>
    <n v="10626"/>
    <n v="28500"/>
    <n v="0.37284210526315792"/>
  </r>
  <r>
    <n v="2019"/>
    <x v="8"/>
    <n v="7"/>
    <x v="9"/>
    <n v="9868"/>
    <n v="28500"/>
    <n v="0.34624561403508775"/>
  </r>
  <r>
    <n v="2019"/>
    <x v="8"/>
    <n v="7"/>
    <x v="10"/>
    <n v="7261"/>
    <n v="28500"/>
    <n v="0.25477192982456143"/>
  </r>
  <r>
    <n v="2019"/>
    <x v="8"/>
    <n v="7"/>
    <x v="11"/>
    <n v="12160.5"/>
    <n v="28500"/>
    <n v="0.42668421052631578"/>
  </r>
  <r>
    <n v="2019"/>
    <x v="8"/>
    <n v="7"/>
    <x v="12"/>
    <n v="3878.5"/>
    <n v="28500"/>
    <n v="0.13608771929824562"/>
  </r>
  <r>
    <n v="2019"/>
    <x v="8"/>
    <n v="7"/>
    <x v="13"/>
    <n v="19701.5"/>
    <n v="28500"/>
    <n v="0.69128070175438594"/>
  </r>
  <r>
    <n v="2019"/>
    <x v="8"/>
    <n v="7"/>
    <x v="14"/>
    <n v="14374"/>
    <n v="28500"/>
    <n v="0.50435087719298244"/>
  </r>
  <r>
    <n v="2019"/>
    <x v="8"/>
    <n v="7"/>
    <x v="15"/>
    <n v="12362.5"/>
    <n v="28500"/>
    <n v="0.43377192982456142"/>
  </r>
  <r>
    <n v="2019"/>
    <x v="8"/>
    <n v="7"/>
    <x v="16"/>
    <n v="14778.5"/>
    <n v="28500"/>
    <n v="0.51854385964912286"/>
  </r>
  <r>
    <n v="2019"/>
    <x v="8"/>
    <n v="7"/>
    <x v="17"/>
    <n v="5457.5"/>
    <n v="28500"/>
    <n v="0.19149122807017543"/>
  </r>
  <r>
    <n v="2019"/>
    <x v="8"/>
    <n v="7"/>
    <x v="18"/>
    <n v="160"/>
    <n v="28500"/>
    <n v="5.6140350877192978E-3"/>
  </r>
  <r>
    <n v="2019"/>
    <x v="8"/>
    <n v="7"/>
    <x v="19"/>
    <n v="0"/>
    <n v="28500"/>
    <n v="0"/>
  </r>
  <r>
    <n v="2019"/>
    <x v="8"/>
    <n v="7"/>
    <x v="20"/>
    <n v="0"/>
    <n v="28500"/>
    <n v="0"/>
  </r>
  <r>
    <n v="2019"/>
    <x v="8"/>
    <n v="7"/>
    <x v="21"/>
    <n v="0"/>
    <n v="28500"/>
    <n v="0"/>
  </r>
  <r>
    <n v="2019"/>
    <x v="8"/>
    <n v="7"/>
    <x v="22"/>
    <n v="0"/>
    <n v="28500"/>
    <n v="0"/>
  </r>
  <r>
    <n v="2019"/>
    <x v="8"/>
    <n v="7"/>
    <x v="23"/>
    <n v="0"/>
    <n v="28500"/>
    <n v="0"/>
  </r>
  <r>
    <n v="2019"/>
    <x v="8"/>
    <n v="8"/>
    <x v="0"/>
    <n v="0"/>
    <n v="28500"/>
    <n v="0"/>
  </r>
  <r>
    <n v="2019"/>
    <x v="8"/>
    <n v="8"/>
    <x v="1"/>
    <n v="0"/>
    <n v="28500"/>
    <n v="0"/>
  </r>
  <r>
    <n v="2019"/>
    <x v="8"/>
    <n v="8"/>
    <x v="2"/>
    <n v="0"/>
    <n v="28500"/>
    <n v="0"/>
  </r>
  <r>
    <n v="2019"/>
    <x v="8"/>
    <n v="8"/>
    <x v="3"/>
    <n v="0"/>
    <n v="28500"/>
    <n v="0"/>
  </r>
  <r>
    <n v="2019"/>
    <x v="8"/>
    <n v="8"/>
    <x v="4"/>
    <n v="0"/>
    <n v="28500"/>
    <n v="0"/>
  </r>
  <r>
    <n v="2019"/>
    <x v="8"/>
    <n v="8"/>
    <x v="5"/>
    <n v="0"/>
    <n v="28500"/>
    <n v="0"/>
  </r>
  <r>
    <n v="2019"/>
    <x v="8"/>
    <n v="8"/>
    <x v="6"/>
    <n v="1394"/>
    <n v="28500"/>
    <n v="4.8912280701754386E-2"/>
  </r>
  <r>
    <n v="2019"/>
    <x v="8"/>
    <n v="8"/>
    <x v="7"/>
    <n v="10565.5"/>
    <n v="28500"/>
    <n v="0.37071929824561406"/>
  </r>
  <r>
    <n v="2019"/>
    <x v="8"/>
    <n v="8"/>
    <x v="8"/>
    <n v="21028"/>
    <n v="28500"/>
    <n v="0.73782456140350883"/>
  </r>
  <r>
    <n v="2019"/>
    <x v="8"/>
    <n v="8"/>
    <x v="9"/>
    <n v="25211"/>
    <n v="28500"/>
    <n v="0.88459649122807016"/>
  </r>
  <r>
    <n v="2019"/>
    <x v="8"/>
    <n v="8"/>
    <x v="10"/>
    <n v="32829.5"/>
    <n v="28500"/>
    <n v="1.1519122807017543"/>
  </r>
  <r>
    <n v="2019"/>
    <x v="8"/>
    <n v="8"/>
    <x v="11"/>
    <n v="27313"/>
    <n v="28500"/>
    <n v="0.95835087719298251"/>
  </r>
  <r>
    <n v="2019"/>
    <x v="8"/>
    <n v="8"/>
    <x v="12"/>
    <n v="36402"/>
    <n v="28500"/>
    <n v="1.2772631578947369"/>
  </r>
  <r>
    <n v="2019"/>
    <x v="8"/>
    <n v="8"/>
    <x v="13"/>
    <n v="35467.5"/>
    <n v="28500"/>
    <n v="1.2444736842105264"/>
  </r>
  <r>
    <n v="2019"/>
    <x v="8"/>
    <n v="8"/>
    <x v="14"/>
    <n v="24729"/>
    <n v="28500"/>
    <n v="0.86768421052631584"/>
  </r>
  <r>
    <n v="2019"/>
    <x v="8"/>
    <n v="8"/>
    <x v="15"/>
    <n v="22485.5"/>
    <n v="28500"/>
    <n v="0.78896491228070176"/>
  </r>
  <r>
    <n v="2019"/>
    <x v="8"/>
    <n v="8"/>
    <x v="16"/>
    <n v="15290"/>
    <n v="28500"/>
    <n v="0.53649122807017546"/>
  </r>
  <r>
    <n v="2019"/>
    <x v="8"/>
    <n v="8"/>
    <x v="17"/>
    <n v="5619"/>
    <n v="28500"/>
    <n v="0.19715789473684212"/>
  </r>
  <r>
    <n v="2019"/>
    <x v="8"/>
    <n v="8"/>
    <x v="18"/>
    <n v="73.5"/>
    <n v="28500"/>
    <n v="2.5789473684210526E-3"/>
  </r>
  <r>
    <n v="2019"/>
    <x v="8"/>
    <n v="8"/>
    <x v="19"/>
    <n v="0"/>
    <n v="28500"/>
    <n v="0"/>
  </r>
  <r>
    <n v="2019"/>
    <x v="8"/>
    <n v="8"/>
    <x v="20"/>
    <n v="0"/>
    <n v="28500"/>
    <n v="0"/>
  </r>
  <r>
    <n v="2019"/>
    <x v="8"/>
    <n v="8"/>
    <x v="21"/>
    <n v="0"/>
    <n v="28500"/>
    <n v="0"/>
  </r>
  <r>
    <n v="2019"/>
    <x v="8"/>
    <n v="8"/>
    <x v="22"/>
    <n v="0"/>
    <n v="28500"/>
    <n v="0"/>
  </r>
  <r>
    <n v="2019"/>
    <x v="8"/>
    <n v="8"/>
    <x v="23"/>
    <n v="0"/>
    <n v="28500"/>
    <n v="0"/>
  </r>
  <r>
    <n v="2019"/>
    <x v="8"/>
    <n v="9"/>
    <x v="0"/>
    <n v="0"/>
    <n v="28500"/>
    <n v="0"/>
  </r>
  <r>
    <n v="2019"/>
    <x v="8"/>
    <n v="9"/>
    <x v="1"/>
    <n v="0"/>
    <n v="28500"/>
    <n v="0"/>
  </r>
  <r>
    <n v="2019"/>
    <x v="8"/>
    <n v="9"/>
    <x v="2"/>
    <n v="0"/>
    <n v="28500"/>
    <n v="0"/>
  </r>
  <r>
    <n v="2019"/>
    <x v="8"/>
    <n v="9"/>
    <x v="3"/>
    <n v="0"/>
    <n v="28500"/>
    <n v="0"/>
  </r>
  <r>
    <n v="2019"/>
    <x v="8"/>
    <n v="9"/>
    <x v="4"/>
    <n v="0"/>
    <n v="28500"/>
    <n v="0"/>
  </r>
  <r>
    <n v="2019"/>
    <x v="8"/>
    <n v="9"/>
    <x v="5"/>
    <n v="0"/>
    <n v="28500"/>
    <n v="0"/>
  </r>
  <r>
    <n v="2019"/>
    <x v="8"/>
    <n v="9"/>
    <x v="6"/>
    <n v="94"/>
    <n v="28500"/>
    <n v="3.2982456140350875E-3"/>
  </r>
  <r>
    <n v="2019"/>
    <x v="8"/>
    <n v="9"/>
    <x v="7"/>
    <n v="1231.5"/>
    <n v="28500"/>
    <n v="4.3210526315789477E-2"/>
  </r>
  <r>
    <n v="2019"/>
    <x v="8"/>
    <n v="9"/>
    <x v="8"/>
    <n v="1692"/>
    <n v="28500"/>
    <n v="5.9368421052631577E-2"/>
  </r>
  <r>
    <n v="2019"/>
    <x v="8"/>
    <n v="9"/>
    <x v="9"/>
    <n v="4722"/>
    <n v="28500"/>
    <n v="0.16568421052631579"/>
  </r>
  <r>
    <n v="2019"/>
    <x v="8"/>
    <n v="9"/>
    <x v="10"/>
    <n v="3057.5"/>
    <n v="28500"/>
    <n v="0.10728070175438596"/>
  </r>
  <r>
    <n v="2019"/>
    <x v="8"/>
    <n v="9"/>
    <x v="11"/>
    <n v="4053"/>
    <n v="28500"/>
    <n v="0.14221052631578948"/>
  </r>
  <r>
    <n v="2019"/>
    <x v="8"/>
    <n v="9"/>
    <x v="12"/>
    <n v="4051.5"/>
    <n v="28500"/>
    <n v="0.14215789473684209"/>
  </r>
  <r>
    <n v="2019"/>
    <x v="8"/>
    <n v="9"/>
    <x v="13"/>
    <n v="12599.5"/>
    <n v="28500"/>
    <n v="0.44208771929824564"/>
  </r>
  <r>
    <n v="2019"/>
    <x v="8"/>
    <n v="9"/>
    <x v="14"/>
    <n v="3396.5"/>
    <n v="28500"/>
    <n v="0.11917543859649123"/>
  </r>
  <r>
    <n v="2019"/>
    <x v="8"/>
    <n v="9"/>
    <x v="15"/>
    <n v="7164"/>
    <n v="28500"/>
    <n v="0.25136842105263157"/>
  </r>
  <r>
    <n v="2019"/>
    <x v="8"/>
    <n v="9"/>
    <x v="16"/>
    <n v="5173"/>
    <n v="28500"/>
    <n v="0.18150877192982456"/>
  </r>
  <r>
    <n v="2019"/>
    <x v="8"/>
    <n v="9"/>
    <x v="17"/>
    <n v="2388"/>
    <n v="28500"/>
    <n v="8.3789473684210525E-2"/>
  </r>
  <r>
    <n v="2019"/>
    <x v="8"/>
    <n v="9"/>
    <x v="18"/>
    <n v="0"/>
    <n v="28500"/>
    <n v="0"/>
  </r>
  <r>
    <n v="2019"/>
    <x v="8"/>
    <n v="9"/>
    <x v="19"/>
    <n v="0"/>
    <n v="28500"/>
    <n v="0"/>
  </r>
  <r>
    <n v="2019"/>
    <x v="8"/>
    <n v="9"/>
    <x v="20"/>
    <n v="0"/>
    <n v="28500"/>
    <n v="0"/>
  </r>
  <r>
    <n v="2019"/>
    <x v="8"/>
    <n v="9"/>
    <x v="21"/>
    <n v="0"/>
    <n v="28500"/>
    <n v="0"/>
  </r>
  <r>
    <n v="2019"/>
    <x v="8"/>
    <n v="9"/>
    <x v="22"/>
    <n v="0"/>
    <n v="28500"/>
    <n v="0"/>
  </r>
  <r>
    <n v="2019"/>
    <x v="8"/>
    <n v="9"/>
    <x v="23"/>
    <n v="0"/>
    <n v="28500"/>
    <n v="0"/>
  </r>
  <r>
    <n v="2019"/>
    <x v="8"/>
    <n v="10"/>
    <x v="0"/>
    <n v="0"/>
    <n v="28500"/>
    <n v="0"/>
  </r>
  <r>
    <n v="2019"/>
    <x v="8"/>
    <n v="10"/>
    <x v="1"/>
    <n v="0"/>
    <n v="28500"/>
    <n v="0"/>
  </r>
  <r>
    <n v="2019"/>
    <x v="8"/>
    <n v="10"/>
    <x v="2"/>
    <n v="0"/>
    <n v="28500"/>
    <n v="0"/>
  </r>
  <r>
    <n v="2019"/>
    <x v="8"/>
    <n v="10"/>
    <x v="3"/>
    <n v="0"/>
    <n v="28500"/>
    <n v="0"/>
  </r>
  <r>
    <n v="2019"/>
    <x v="8"/>
    <n v="10"/>
    <x v="4"/>
    <n v="0"/>
    <n v="28500"/>
    <n v="0"/>
  </r>
  <r>
    <n v="2019"/>
    <x v="8"/>
    <n v="10"/>
    <x v="5"/>
    <n v="0"/>
    <n v="28500"/>
    <n v="0"/>
  </r>
  <r>
    <n v="2019"/>
    <x v="8"/>
    <n v="10"/>
    <x v="6"/>
    <n v="1174"/>
    <n v="28500"/>
    <n v="4.1192982456140351E-2"/>
  </r>
  <r>
    <n v="2019"/>
    <x v="8"/>
    <n v="10"/>
    <x v="7"/>
    <n v="8225"/>
    <n v="28500"/>
    <n v="0.28859649122807018"/>
  </r>
  <r>
    <n v="2019"/>
    <x v="8"/>
    <n v="10"/>
    <x v="8"/>
    <n v="14164.5"/>
    <n v="28500"/>
    <n v="0.497"/>
  </r>
  <r>
    <n v="2019"/>
    <x v="8"/>
    <n v="10"/>
    <x v="9"/>
    <n v="25644"/>
    <n v="28500"/>
    <n v="0.89978947368421047"/>
  </r>
  <r>
    <n v="2019"/>
    <x v="8"/>
    <n v="10"/>
    <x v="10"/>
    <n v="29483"/>
    <n v="28500"/>
    <n v="1.0344912280701755"/>
  </r>
  <r>
    <n v="2019"/>
    <x v="8"/>
    <n v="10"/>
    <x v="11"/>
    <n v="25054"/>
    <n v="28500"/>
    <n v="0.87908771929824558"/>
  </r>
  <r>
    <n v="2019"/>
    <x v="8"/>
    <n v="10"/>
    <x v="12"/>
    <n v="4387.5"/>
    <n v="28500"/>
    <n v="0.15394736842105264"/>
  </r>
  <r>
    <n v="2019"/>
    <x v="8"/>
    <n v="10"/>
    <x v="13"/>
    <n v="3630.5"/>
    <n v="28500"/>
    <n v="0.12738596491228071"/>
  </r>
  <r>
    <n v="2019"/>
    <x v="8"/>
    <n v="10"/>
    <x v="14"/>
    <n v="4424.5"/>
    <n v="28500"/>
    <n v="0.15524561403508771"/>
  </r>
  <r>
    <n v="2019"/>
    <x v="8"/>
    <n v="10"/>
    <x v="15"/>
    <n v="6547"/>
    <n v="28500"/>
    <n v="0.22971929824561405"/>
  </r>
  <r>
    <n v="2019"/>
    <x v="8"/>
    <n v="10"/>
    <x v="16"/>
    <n v="5772.5"/>
    <n v="28500"/>
    <n v="0.2025438596491228"/>
  </r>
  <r>
    <n v="2019"/>
    <x v="8"/>
    <n v="10"/>
    <x v="17"/>
    <n v="2626"/>
    <n v="28500"/>
    <n v="9.2140350877192981E-2"/>
  </r>
  <r>
    <n v="2019"/>
    <x v="8"/>
    <n v="10"/>
    <x v="18"/>
    <n v="0"/>
    <n v="28500"/>
    <n v="0"/>
  </r>
  <r>
    <n v="2019"/>
    <x v="8"/>
    <n v="10"/>
    <x v="19"/>
    <n v="0"/>
    <n v="28500"/>
    <n v="0"/>
  </r>
  <r>
    <n v="2019"/>
    <x v="8"/>
    <n v="10"/>
    <x v="20"/>
    <n v="0"/>
    <n v="28500"/>
    <n v="0"/>
  </r>
  <r>
    <n v="2019"/>
    <x v="8"/>
    <n v="10"/>
    <x v="21"/>
    <n v="0"/>
    <n v="28500"/>
    <n v="0"/>
  </r>
  <r>
    <n v="2019"/>
    <x v="8"/>
    <n v="10"/>
    <x v="22"/>
    <n v="0"/>
    <n v="28500"/>
    <n v="0"/>
  </r>
  <r>
    <n v="2019"/>
    <x v="8"/>
    <n v="10"/>
    <x v="23"/>
    <n v="0"/>
    <n v="28500"/>
    <n v="0"/>
  </r>
  <r>
    <n v="2019"/>
    <x v="8"/>
    <n v="11"/>
    <x v="0"/>
    <n v="0"/>
    <n v="28500"/>
    <n v="0"/>
  </r>
  <r>
    <n v="2019"/>
    <x v="8"/>
    <n v="11"/>
    <x v="1"/>
    <n v="0"/>
    <n v="28500"/>
    <n v="0"/>
  </r>
  <r>
    <n v="2019"/>
    <x v="8"/>
    <n v="11"/>
    <x v="2"/>
    <n v="0"/>
    <n v="28500"/>
    <n v="0"/>
  </r>
  <r>
    <n v="2019"/>
    <x v="8"/>
    <n v="11"/>
    <x v="3"/>
    <n v="0"/>
    <n v="28500"/>
    <n v="0"/>
  </r>
  <r>
    <n v="2019"/>
    <x v="8"/>
    <n v="11"/>
    <x v="4"/>
    <n v="0"/>
    <n v="28500"/>
    <n v="0"/>
  </r>
  <r>
    <n v="2019"/>
    <x v="8"/>
    <n v="11"/>
    <x v="5"/>
    <n v="0"/>
    <n v="28500"/>
    <n v="0"/>
  </r>
  <r>
    <n v="2019"/>
    <x v="8"/>
    <n v="11"/>
    <x v="6"/>
    <n v="575"/>
    <n v="28500"/>
    <n v="2.0175438596491228E-2"/>
  </r>
  <r>
    <n v="2019"/>
    <x v="8"/>
    <n v="11"/>
    <x v="7"/>
    <n v="2796"/>
    <n v="28500"/>
    <n v="9.8105263157894737E-2"/>
  </r>
  <r>
    <n v="2019"/>
    <x v="8"/>
    <n v="11"/>
    <x v="8"/>
    <n v="14169"/>
    <n v="28500"/>
    <n v="0.49715789473684213"/>
  </r>
  <r>
    <n v="2019"/>
    <x v="8"/>
    <n v="11"/>
    <x v="9"/>
    <n v="5102.5"/>
    <n v="28500"/>
    <n v="0.17903508771929824"/>
  </r>
  <r>
    <n v="2019"/>
    <x v="8"/>
    <n v="11"/>
    <x v="10"/>
    <n v="10876"/>
    <n v="28500"/>
    <n v="0.38161403508771929"/>
  </r>
  <r>
    <n v="2019"/>
    <x v="8"/>
    <n v="11"/>
    <x v="11"/>
    <n v="13182.5"/>
    <n v="28500"/>
    <n v="0.46254385964912281"/>
  </r>
  <r>
    <n v="2019"/>
    <x v="8"/>
    <n v="11"/>
    <x v="12"/>
    <n v="5052.5"/>
    <n v="28500"/>
    <n v="0.17728070175438596"/>
  </r>
  <r>
    <n v="2019"/>
    <x v="8"/>
    <n v="11"/>
    <x v="13"/>
    <n v="5877.5"/>
    <n v="28500"/>
    <n v="0.20622807017543859"/>
  </r>
  <r>
    <n v="2019"/>
    <x v="8"/>
    <n v="11"/>
    <x v="14"/>
    <n v="2459"/>
    <n v="28500"/>
    <n v="8.6280701754385972E-2"/>
  </r>
  <r>
    <n v="2019"/>
    <x v="8"/>
    <n v="11"/>
    <x v="15"/>
    <n v="2531"/>
    <n v="28500"/>
    <n v="8.8807017543859654E-2"/>
  </r>
  <r>
    <n v="2019"/>
    <x v="8"/>
    <n v="11"/>
    <x v="16"/>
    <n v="3862"/>
    <n v="28500"/>
    <n v="0.13550877192982455"/>
  </r>
  <r>
    <n v="2019"/>
    <x v="8"/>
    <n v="11"/>
    <x v="17"/>
    <n v="3438"/>
    <n v="28500"/>
    <n v="0.12063157894736842"/>
  </r>
  <r>
    <n v="2019"/>
    <x v="8"/>
    <n v="11"/>
    <x v="18"/>
    <n v="0"/>
    <n v="28500"/>
    <n v="0"/>
  </r>
  <r>
    <n v="2019"/>
    <x v="8"/>
    <n v="11"/>
    <x v="19"/>
    <n v="0"/>
    <n v="28500"/>
    <n v="0"/>
  </r>
  <r>
    <n v="2019"/>
    <x v="8"/>
    <n v="11"/>
    <x v="20"/>
    <n v="0"/>
    <n v="28500"/>
    <n v="0"/>
  </r>
  <r>
    <n v="2019"/>
    <x v="8"/>
    <n v="11"/>
    <x v="21"/>
    <n v="0"/>
    <n v="28500"/>
    <n v="0"/>
  </r>
  <r>
    <n v="2019"/>
    <x v="8"/>
    <n v="11"/>
    <x v="22"/>
    <n v="0"/>
    <n v="28500"/>
    <n v="0"/>
  </r>
  <r>
    <n v="2019"/>
    <x v="8"/>
    <n v="11"/>
    <x v="23"/>
    <n v="0"/>
    <n v="28500"/>
    <n v="0"/>
  </r>
  <r>
    <n v="2019"/>
    <x v="8"/>
    <n v="12"/>
    <x v="0"/>
    <n v="0"/>
    <n v="28500"/>
    <n v="0"/>
  </r>
  <r>
    <n v="2019"/>
    <x v="8"/>
    <n v="12"/>
    <x v="1"/>
    <n v="0"/>
    <n v="28500"/>
    <n v="0"/>
  </r>
  <r>
    <n v="2019"/>
    <x v="8"/>
    <n v="12"/>
    <x v="2"/>
    <n v="0"/>
    <n v="28500"/>
    <n v="0"/>
  </r>
  <r>
    <n v="2019"/>
    <x v="8"/>
    <n v="12"/>
    <x v="3"/>
    <n v="0"/>
    <n v="28500"/>
    <n v="0"/>
  </r>
  <r>
    <n v="2019"/>
    <x v="8"/>
    <n v="12"/>
    <x v="4"/>
    <n v="0"/>
    <n v="28500"/>
    <n v="0"/>
  </r>
  <r>
    <n v="2019"/>
    <x v="8"/>
    <n v="12"/>
    <x v="5"/>
    <n v="0"/>
    <n v="28500"/>
    <n v="0"/>
  </r>
  <r>
    <n v="2019"/>
    <x v="8"/>
    <n v="12"/>
    <x v="6"/>
    <n v="1101"/>
    <n v="28500"/>
    <n v="3.863157894736842E-2"/>
  </r>
  <r>
    <n v="2019"/>
    <x v="8"/>
    <n v="12"/>
    <x v="7"/>
    <n v="4479.5"/>
    <n v="28500"/>
    <n v="0.15717543859649122"/>
  </r>
  <r>
    <n v="2019"/>
    <x v="8"/>
    <n v="12"/>
    <x v="8"/>
    <n v="19201.5"/>
    <n v="28500"/>
    <n v="0.67373684210526319"/>
  </r>
  <r>
    <n v="2019"/>
    <x v="8"/>
    <n v="12"/>
    <x v="9"/>
    <n v="13458.5"/>
    <n v="28500"/>
    <n v="0.47222807017543861"/>
  </r>
  <r>
    <n v="2019"/>
    <x v="8"/>
    <n v="12"/>
    <x v="10"/>
    <n v="6631"/>
    <n v="28500"/>
    <n v="0.23266666666666666"/>
  </r>
  <r>
    <n v="2019"/>
    <x v="8"/>
    <n v="12"/>
    <x v="11"/>
    <n v="8486"/>
    <n v="28500"/>
    <n v="0.29775438596491227"/>
  </r>
  <r>
    <n v="2019"/>
    <x v="8"/>
    <n v="12"/>
    <x v="12"/>
    <n v="18052"/>
    <n v="28500"/>
    <n v="0.63340350877192986"/>
  </r>
  <r>
    <n v="2019"/>
    <x v="8"/>
    <n v="12"/>
    <x v="13"/>
    <n v="34316.5"/>
    <n v="28500"/>
    <n v="1.2040877192982455"/>
  </r>
  <r>
    <n v="2019"/>
    <x v="8"/>
    <n v="12"/>
    <x v="14"/>
    <n v="27478"/>
    <n v="28500"/>
    <n v="0.96414035087719296"/>
  </r>
  <r>
    <n v="2019"/>
    <x v="8"/>
    <n v="12"/>
    <x v="15"/>
    <n v="17635.5"/>
    <n v="28500"/>
    <n v="0.61878947368421056"/>
  </r>
  <r>
    <n v="2019"/>
    <x v="8"/>
    <n v="12"/>
    <x v="16"/>
    <n v="11374.5"/>
    <n v="28500"/>
    <n v="0.39910526315789474"/>
  </r>
  <r>
    <n v="2019"/>
    <x v="8"/>
    <n v="12"/>
    <x v="17"/>
    <n v="4076"/>
    <n v="28500"/>
    <n v="0.14301754385964913"/>
  </r>
  <r>
    <n v="2019"/>
    <x v="8"/>
    <n v="12"/>
    <x v="18"/>
    <n v="0"/>
    <n v="28500"/>
    <n v="0"/>
  </r>
  <r>
    <n v="2019"/>
    <x v="8"/>
    <n v="12"/>
    <x v="19"/>
    <n v="0"/>
    <n v="28500"/>
    <n v="0"/>
  </r>
  <r>
    <n v="2019"/>
    <x v="8"/>
    <n v="12"/>
    <x v="20"/>
    <n v="0"/>
    <n v="28500"/>
    <n v="0"/>
  </r>
  <r>
    <n v="2019"/>
    <x v="8"/>
    <n v="12"/>
    <x v="21"/>
    <n v="0"/>
    <n v="28500"/>
    <n v="0"/>
  </r>
  <r>
    <n v="2019"/>
    <x v="8"/>
    <n v="12"/>
    <x v="22"/>
    <n v="0"/>
    <n v="28500"/>
    <n v="0"/>
  </r>
  <r>
    <n v="2019"/>
    <x v="8"/>
    <n v="12"/>
    <x v="23"/>
    <n v="0"/>
    <n v="28500"/>
    <n v="0"/>
  </r>
  <r>
    <n v="2019"/>
    <x v="8"/>
    <n v="13"/>
    <x v="0"/>
    <n v="0"/>
    <n v="28500"/>
    <n v="0"/>
  </r>
  <r>
    <n v="2019"/>
    <x v="8"/>
    <n v="13"/>
    <x v="1"/>
    <n v="0"/>
    <n v="28500"/>
    <n v="0"/>
  </r>
  <r>
    <n v="2019"/>
    <x v="8"/>
    <n v="13"/>
    <x v="2"/>
    <n v="0"/>
    <n v="28500"/>
    <n v="0"/>
  </r>
  <r>
    <n v="2019"/>
    <x v="8"/>
    <n v="13"/>
    <x v="3"/>
    <n v="0"/>
    <n v="28500"/>
    <n v="0"/>
  </r>
  <r>
    <n v="2019"/>
    <x v="8"/>
    <n v="13"/>
    <x v="4"/>
    <n v="0"/>
    <n v="28500"/>
    <n v="0"/>
  </r>
  <r>
    <n v="2019"/>
    <x v="8"/>
    <n v="13"/>
    <x v="5"/>
    <n v="0"/>
    <n v="28500"/>
    <n v="0"/>
  </r>
  <r>
    <n v="2019"/>
    <x v="8"/>
    <n v="13"/>
    <x v="6"/>
    <n v="874"/>
    <n v="28500"/>
    <n v="3.0666666666666665E-2"/>
  </r>
  <r>
    <n v="2019"/>
    <x v="8"/>
    <n v="13"/>
    <x v="7"/>
    <n v="9800.5"/>
    <n v="28500"/>
    <n v="0.34387719298245611"/>
  </r>
  <r>
    <n v="2019"/>
    <x v="8"/>
    <n v="13"/>
    <x v="8"/>
    <n v="19845.5"/>
    <n v="28500"/>
    <n v="0.69633333333333336"/>
  </r>
  <r>
    <n v="2019"/>
    <x v="8"/>
    <n v="13"/>
    <x v="9"/>
    <n v="27856"/>
    <n v="28500"/>
    <n v="0.97740350877192983"/>
  </r>
  <r>
    <n v="2019"/>
    <x v="8"/>
    <n v="13"/>
    <x v="10"/>
    <n v="35040.5"/>
    <n v="28500"/>
    <n v="1.2294912280701755"/>
  </r>
  <r>
    <n v="2019"/>
    <x v="8"/>
    <n v="13"/>
    <x v="11"/>
    <n v="38127"/>
    <n v="28500"/>
    <n v="1.3377894736842104"/>
  </r>
  <r>
    <n v="2019"/>
    <x v="8"/>
    <n v="13"/>
    <x v="12"/>
    <n v="37750.5"/>
    <n v="28500"/>
    <n v="1.3245789473684211"/>
  </r>
  <r>
    <n v="2019"/>
    <x v="8"/>
    <n v="13"/>
    <x v="13"/>
    <n v="36923"/>
    <n v="28500"/>
    <n v="1.2955438596491229"/>
  </r>
  <r>
    <n v="2019"/>
    <x v="8"/>
    <n v="13"/>
    <x v="14"/>
    <n v="32203.5"/>
    <n v="28500"/>
    <n v="1.1299473684210526"/>
  </r>
  <r>
    <n v="2019"/>
    <x v="8"/>
    <n v="13"/>
    <x v="15"/>
    <n v="25001"/>
    <n v="28500"/>
    <n v="0.87722807017543858"/>
  </r>
  <r>
    <n v="2019"/>
    <x v="8"/>
    <n v="13"/>
    <x v="16"/>
    <n v="14927.5"/>
    <n v="28500"/>
    <n v="0.52377192982456144"/>
  </r>
  <r>
    <n v="2019"/>
    <x v="8"/>
    <n v="13"/>
    <x v="17"/>
    <n v="4558.5"/>
    <n v="28500"/>
    <n v="0.15994736842105264"/>
  </r>
  <r>
    <n v="2019"/>
    <x v="8"/>
    <n v="13"/>
    <x v="18"/>
    <n v="0"/>
    <n v="28500"/>
    <n v="0"/>
  </r>
  <r>
    <n v="2019"/>
    <x v="8"/>
    <n v="13"/>
    <x v="19"/>
    <n v="0"/>
    <n v="28500"/>
    <n v="0"/>
  </r>
  <r>
    <n v="2019"/>
    <x v="8"/>
    <n v="13"/>
    <x v="20"/>
    <n v="0"/>
    <n v="28500"/>
    <n v="0"/>
  </r>
  <r>
    <n v="2019"/>
    <x v="8"/>
    <n v="13"/>
    <x v="21"/>
    <n v="0"/>
    <n v="28500"/>
    <n v="0"/>
  </r>
  <r>
    <n v="2019"/>
    <x v="8"/>
    <n v="13"/>
    <x v="22"/>
    <n v="0"/>
    <n v="28500"/>
    <n v="0"/>
  </r>
  <r>
    <n v="2019"/>
    <x v="8"/>
    <n v="13"/>
    <x v="23"/>
    <n v="0"/>
    <n v="28500"/>
    <n v="0"/>
  </r>
  <r>
    <n v="2019"/>
    <x v="8"/>
    <n v="14"/>
    <x v="0"/>
    <n v="0"/>
    <n v="28500"/>
    <n v="0"/>
  </r>
  <r>
    <n v="2019"/>
    <x v="8"/>
    <n v="14"/>
    <x v="1"/>
    <n v="0"/>
    <n v="28500"/>
    <n v="0"/>
  </r>
  <r>
    <n v="2019"/>
    <x v="8"/>
    <n v="14"/>
    <x v="2"/>
    <n v="0"/>
    <n v="28500"/>
    <n v="0"/>
  </r>
  <r>
    <n v="2019"/>
    <x v="8"/>
    <n v="14"/>
    <x v="3"/>
    <n v="0"/>
    <n v="28500"/>
    <n v="0"/>
  </r>
  <r>
    <n v="2019"/>
    <x v="8"/>
    <n v="14"/>
    <x v="4"/>
    <n v="0"/>
    <n v="28500"/>
    <n v="0"/>
  </r>
  <r>
    <n v="2019"/>
    <x v="8"/>
    <n v="14"/>
    <x v="5"/>
    <n v="0"/>
    <n v="28500"/>
    <n v="0"/>
  </r>
  <r>
    <n v="2019"/>
    <x v="8"/>
    <n v="14"/>
    <x v="6"/>
    <n v="892"/>
    <n v="28500"/>
    <n v="3.1298245614035089E-2"/>
  </r>
  <r>
    <n v="2019"/>
    <x v="8"/>
    <n v="14"/>
    <x v="7"/>
    <n v="9690.5"/>
    <n v="28500"/>
    <n v="0.34001754385964911"/>
  </r>
  <r>
    <n v="2019"/>
    <x v="8"/>
    <n v="14"/>
    <x v="8"/>
    <n v="18795"/>
    <n v="28500"/>
    <n v="0.65947368421052632"/>
  </r>
  <r>
    <n v="2019"/>
    <x v="8"/>
    <n v="14"/>
    <x v="9"/>
    <n v="28203.5"/>
    <n v="28500"/>
    <n v="0.98959649122807014"/>
  </r>
  <r>
    <n v="2019"/>
    <x v="8"/>
    <n v="14"/>
    <x v="10"/>
    <n v="33459.5"/>
    <n v="28500"/>
    <n v="1.1740175438596492"/>
  </r>
  <r>
    <n v="2019"/>
    <x v="8"/>
    <n v="14"/>
    <x v="11"/>
    <n v="35507"/>
    <n v="28500"/>
    <n v="1.2458596491228071"/>
  </r>
  <r>
    <n v="2019"/>
    <x v="8"/>
    <n v="14"/>
    <x v="12"/>
    <n v="36403"/>
    <n v="28500"/>
    <n v="1.2772982456140352"/>
  </r>
  <r>
    <n v="2019"/>
    <x v="8"/>
    <n v="14"/>
    <x v="13"/>
    <n v="35249.5"/>
    <n v="28500"/>
    <n v="1.2368245614035087"/>
  </r>
  <r>
    <n v="2019"/>
    <x v="8"/>
    <n v="14"/>
    <x v="14"/>
    <n v="30031"/>
    <n v="28500"/>
    <n v="1.0537192982456141"/>
  </r>
  <r>
    <n v="2019"/>
    <x v="8"/>
    <n v="14"/>
    <x v="15"/>
    <n v="23578"/>
    <n v="28500"/>
    <n v="0.82729824561403509"/>
  </r>
  <r>
    <n v="2019"/>
    <x v="8"/>
    <n v="14"/>
    <x v="16"/>
    <n v="13557"/>
    <n v="28500"/>
    <n v="0.47568421052631576"/>
  </r>
  <r>
    <n v="2019"/>
    <x v="8"/>
    <n v="14"/>
    <x v="17"/>
    <n v="3431.5"/>
    <n v="28500"/>
    <n v="0.12040350877192982"/>
  </r>
  <r>
    <n v="2019"/>
    <x v="8"/>
    <n v="14"/>
    <x v="18"/>
    <n v="0"/>
    <n v="28500"/>
    <n v="0"/>
  </r>
  <r>
    <n v="2019"/>
    <x v="8"/>
    <n v="14"/>
    <x v="19"/>
    <n v="0"/>
    <n v="28500"/>
    <n v="0"/>
  </r>
  <r>
    <n v="2019"/>
    <x v="8"/>
    <n v="14"/>
    <x v="20"/>
    <n v="0"/>
    <n v="28500"/>
    <n v="0"/>
  </r>
  <r>
    <n v="2019"/>
    <x v="8"/>
    <n v="14"/>
    <x v="21"/>
    <n v="0"/>
    <n v="28500"/>
    <n v="0"/>
  </r>
  <r>
    <n v="2019"/>
    <x v="8"/>
    <n v="14"/>
    <x v="22"/>
    <n v="0"/>
    <n v="28500"/>
    <n v="0"/>
  </r>
  <r>
    <n v="2019"/>
    <x v="8"/>
    <n v="14"/>
    <x v="23"/>
    <n v="0"/>
    <n v="28500"/>
    <n v="0"/>
  </r>
  <r>
    <n v="2019"/>
    <x v="8"/>
    <n v="15"/>
    <x v="0"/>
    <n v="0"/>
    <n v="28500"/>
    <n v="0"/>
  </r>
  <r>
    <n v="2019"/>
    <x v="8"/>
    <n v="15"/>
    <x v="1"/>
    <n v="0"/>
    <n v="28500"/>
    <n v="0"/>
  </r>
  <r>
    <n v="2019"/>
    <x v="8"/>
    <n v="15"/>
    <x v="2"/>
    <n v="0"/>
    <n v="28500"/>
    <n v="0"/>
  </r>
  <r>
    <n v="2019"/>
    <x v="8"/>
    <n v="15"/>
    <x v="3"/>
    <n v="0"/>
    <n v="28500"/>
    <n v="0"/>
  </r>
  <r>
    <n v="2019"/>
    <x v="8"/>
    <n v="15"/>
    <x v="4"/>
    <n v="0"/>
    <n v="28500"/>
    <n v="0"/>
  </r>
  <r>
    <n v="2019"/>
    <x v="8"/>
    <n v="15"/>
    <x v="5"/>
    <n v="0"/>
    <n v="28500"/>
    <n v="0"/>
  </r>
  <r>
    <n v="2019"/>
    <x v="8"/>
    <n v="15"/>
    <x v="6"/>
    <n v="611.5"/>
    <n v="28500"/>
    <n v="2.1456140350877194E-2"/>
  </r>
  <r>
    <n v="2019"/>
    <x v="8"/>
    <n v="15"/>
    <x v="7"/>
    <n v="7873.5"/>
    <n v="28500"/>
    <n v="0.27626315789473682"/>
  </r>
  <r>
    <n v="2019"/>
    <x v="8"/>
    <n v="15"/>
    <x v="8"/>
    <n v="19060.5"/>
    <n v="28500"/>
    <n v="0.66878947368421049"/>
  </r>
  <r>
    <n v="2019"/>
    <x v="8"/>
    <n v="15"/>
    <x v="9"/>
    <n v="27707.5"/>
    <n v="28500"/>
    <n v="0.97219298245614039"/>
  </r>
  <r>
    <n v="2019"/>
    <x v="8"/>
    <n v="15"/>
    <x v="10"/>
    <n v="32885"/>
    <n v="28500"/>
    <n v="1.153859649122807"/>
  </r>
  <r>
    <n v="2019"/>
    <x v="8"/>
    <n v="15"/>
    <x v="11"/>
    <n v="35051"/>
    <n v="28500"/>
    <n v="1.2298596491228071"/>
  </r>
  <r>
    <n v="2019"/>
    <x v="8"/>
    <n v="15"/>
    <x v="12"/>
    <n v="35763"/>
    <n v="28500"/>
    <n v="1.254842105263158"/>
  </r>
  <r>
    <n v="2019"/>
    <x v="8"/>
    <n v="15"/>
    <x v="13"/>
    <n v="34327.5"/>
    <n v="28500"/>
    <n v="1.2044736842105264"/>
  </r>
  <r>
    <n v="2019"/>
    <x v="8"/>
    <n v="15"/>
    <x v="14"/>
    <n v="30168.5"/>
    <n v="28500"/>
    <n v="1.0585438596491228"/>
  </r>
  <r>
    <n v="2019"/>
    <x v="8"/>
    <n v="15"/>
    <x v="15"/>
    <n v="19485"/>
    <n v="28500"/>
    <n v="0.68368421052631578"/>
  </r>
  <r>
    <n v="2019"/>
    <x v="8"/>
    <n v="15"/>
    <x v="16"/>
    <n v="13427.5"/>
    <n v="28500"/>
    <n v="0.47114035087719297"/>
  </r>
  <r>
    <n v="2019"/>
    <x v="8"/>
    <n v="15"/>
    <x v="17"/>
    <n v="3949.5"/>
    <n v="28500"/>
    <n v="0.13857894736842105"/>
  </r>
  <r>
    <n v="2019"/>
    <x v="8"/>
    <n v="15"/>
    <x v="18"/>
    <n v="0"/>
    <n v="28500"/>
    <n v="0"/>
  </r>
  <r>
    <n v="2019"/>
    <x v="8"/>
    <n v="15"/>
    <x v="19"/>
    <n v="0"/>
    <n v="28500"/>
    <n v="0"/>
  </r>
  <r>
    <n v="2019"/>
    <x v="8"/>
    <n v="15"/>
    <x v="20"/>
    <n v="0"/>
    <n v="28500"/>
    <n v="0"/>
  </r>
  <r>
    <n v="2019"/>
    <x v="8"/>
    <n v="15"/>
    <x v="21"/>
    <n v="0"/>
    <n v="28500"/>
    <n v="0"/>
  </r>
  <r>
    <n v="2019"/>
    <x v="8"/>
    <n v="15"/>
    <x v="22"/>
    <n v="0"/>
    <n v="28500"/>
    <n v="0"/>
  </r>
  <r>
    <n v="2019"/>
    <x v="8"/>
    <n v="15"/>
    <x v="23"/>
    <n v="0"/>
    <n v="28500"/>
    <n v="0"/>
  </r>
  <r>
    <n v="2019"/>
    <x v="8"/>
    <n v="16"/>
    <x v="0"/>
    <n v="0"/>
    <n v="28500"/>
    <n v="0"/>
  </r>
  <r>
    <n v="2019"/>
    <x v="8"/>
    <n v="16"/>
    <x v="1"/>
    <n v="0"/>
    <n v="28500"/>
    <n v="0"/>
  </r>
  <r>
    <n v="2019"/>
    <x v="8"/>
    <n v="16"/>
    <x v="2"/>
    <n v="0"/>
    <n v="28500"/>
    <n v="0"/>
  </r>
  <r>
    <n v="2019"/>
    <x v="8"/>
    <n v="16"/>
    <x v="3"/>
    <n v="0"/>
    <n v="28500"/>
    <n v="0"/>
  </r>
  <r>
    <n v="2019"/>
    <x v="8"/>
    <n v="16"/>
    <x v="4"/>
    <n v="0"/>
    <n v="28500"/>
    <n v="0"/>
  </r>
  <r>
    <n v="2019"/>
    <x v="8"/>
    <n v="16"/>
    <x v="5"/>
    <n v="0"/>
    <n v="28500"/>
    <n v="0"/>
  </r>
  <r>
    <n v="2019"/>
    <x v="8"/>
    <n v="16"/>
    <x v="6"/>
    <n v="69.5"/>
    <n v="28500"/>
    <n v="2.4385964912280703E-3"/>
  </r>
  <r>
    <n v="2019"/>
    <x v="8"/>
    <n v="16"/>
    <x v="7"/>
    <n v="1974.5"/>
    <n v="28500"/>
    <n v="6.928070175438597E-2"/>
  </r>
  <r>
    <n v="2019"/>
    <x v="8"/>
    <n v="16"/>
    <x v="8"/>
    <n v="3094"/>
    <n v="28500"/>
    <n v="0.10856140350877193"/>
  </r>
  <r>
    <n v="2019"/>
    <x v="8"/>
    <n v="16"/>
    <x v="9"/>
    <n v="5515"/>
    <n v="28500"/>
    <n v="0.19350877192982457"/>
  </r>
  <r>
    <n v="2019"/>
    <x v="8"/>
    <n v="16"/>
    <x v="10"/>
    <n v="9557"/>
    <n v="28500"/>
    <n v="0.33533333333333332"/>
  </r>
  <r>
    <n v="2019"/>
    <x v="8"/>
    <n v="16"/>
    <x v="11"/>
    <n v="7768.5"/>
    <n v="28500"/>
    <n v="0.27257894736842103"/>
  </r>
  <r>
    <n v="2019"/>
    <x v="8"/>
    <n v="16"/>
    <x v="12"/>
    <n v="4108.5"/>
    <n v="28500"/>
    <n v="0.1441578947368421"/>
  </r>
  <r>
    <n v="2019"/>
    <x v="8"/>
    <n v="16"/>
    <x v="13"/>
    <n v="5814"/>
    <n v="28500"/>
    <n v="0.20399999999999999"/>
  </r>
  <r>
    <n v="2019"/>
    <x v="8"/>
    <n v="16"/>
    <x v="14"/>
    <n v="3770.5"/>
    <n v="28500"/>
    <n v="0.13229824561403508"/>
  </r>
  <r>
    <n v="2019"/>
    <x v="8"/>
    <n v="16"/>
    <x v="15"/>
    <n v="2441.5"/>
    <n v="28500"/>
    <n v="8.5666666666666669E-2"/>
  </r>
  <r>
    <n v="2019"/>
    <x v="8"/>
    <n v="16"/>
    <x v="16"/>
    <n v="803"/>
    <n v="28500"/>
    <n v="2.8175438596491229E-2"/>
  </r>
  <r>
    <n v="2019"/>
    <x v="8"/>
    <n v="16"/>
    <x v="17"/>
    <n v="1322"/>
    <n v="28500"/>
    <n v="4.6385964912280704E-2"/>
  </r>
  <r>
    <n v="2019"/>
    <x v="8"/>
    <n v="16"/>
    <x v="18"/>
    <n v="0"/>
    <n v="28500"/>
    <n v="0"/>
  </r>
  <r>
    <n v="2019"/>
    <x v="8"/>
    <n v="16"/>
    <x v="19"/>
    <n v="0"/>
    <n v="28500"/>
    <n v="0"/>
  </r>
  <r>
    <n v="2019"/>
    <x v="8"/>
    <n v="16"/>
    <x v="20"/>
    <n v="0"/>
    <n v="28500"/>
    <n v="0"/>
  </r>
  <r>
    <n v="2019"/>
    <x v="8"/>
    <n v="16"/>
    <x v="21"/>
    <n v="0"/>
    <n v="28500"/>
    <n v="0"/>
  </r>
  <r>
    <n v="2019"/>
    <x v="8"/>
    <n v="16"/>
    <x v="22"/>
    <n v="0"/>
    <n v="28500"/>
    <n v="0"/>
  </r>
  <r>
    <n v="2019"/>
    <x v="8"/>
    <n v="16"/>
    <x v="23"/>
    <n v="0"/>
    <n v="28500"/>
    <n v="0"/>
  </r>
  <r>
    <n v="2019"/>
    <x v="8"/>
    <n v="17"/>
    <x v="0"/>
    <n v="0"/>
    <n v="28500"/>
    <n v="0"/>
  </r>
  <r>
    <n v="2019"/>
    <x v="8"/>
    <n v="17"/>
    <x v="1"/>
    <n v="0"/>
    <n v="28500"/>
    <n v="0"/>
  </r>
  <r>
    <n v="2019"/>
    <x v="8"/>
    <n v="17"/>
    <x v="2"/>
    <n v="0"/>
    <n v="28500"/>
    <n v="0"/>
  </r>
  <r>
    <n v="2019"/>
    <x v="8"/>
    <n v="17"/>
    <x v="3"/>
    <n v="0"/>
    <n v="28500"/>
    <n v="0"/>
  </r>
  <r>
    <n v="2019"/>
    <x v="8"/>
    <n v="17"/>
    <x v="4"/>
    <n v="0"/>
    <n v="28500"/>
    <n v="0"/>
  </r>
  <r>
    <n v="2019"/>
    <x v="8"/>
    <n v="17"/>
    <x v="5"/>
    <n v="0"/>
    <n v="28500"/>
    <n v="0"/>
  </r>
  <r>
    <n v="2019"/>
    <x v="8"/>
    <n v="17"/>
    <x v="6"/>
    <n v="594"/>
    <n v="28500"/>
    <n v="2.0842105263157894E-2"/>
  </r>
  <r>
    <n v="2019"/>
    <x v="8"/>
    <n v="17"/>
    <x v="7"/>
    <n v="9286"/>
    <n v="28500"/>
    <n v="0.32582456140350879"/>
  </r>
  <r>
    <n v="2019"/>
    <x v="8"/>
    <n v="17"/>
    <x v="8"/>
    <n v="20393"/>
    <n v="28500"/>
    <n v="0.71554385964912282"/>
  </r>
  <r>
    <n v="2019"/>
    <x v="8"/>
    <n v="17"/>
    <x v="9"/>
    <n v="28592.5"/>
    <n v="28500"/>
    <n v="1.0032456140350878"/>
  </r>
  <r>
    <n v="2019"/>
    <x v="8"/>
    <n v="17"/>
    <x v="10"/>
    <n v="34274"/>
    <n v="28500"/>
    <n v="1.2025964912280702"/>
  </r>
  <r>
    <n v="2019"/>
    <x v="8"/>
    <n v="17"/>
    <x v="11"/>
    <n v="36939.5"/>
    <n v="28500"/>
    <n v="1.2961228070175439"/>
  </r>
  <r>
    <n v="2019"/>
    <x v="8"/>
    <n v="17"/>
    <x v="12"/>
    <n v="37475"/>
    <n v="28500"/>
    <n v="1.3149122807017544"/>
  </r>
  <r>
    <n v="2019"/>
    <x v="8"/>
    <n v="17"/>
    <x v="13"/>
    <n v="36129"/>
    <n v="28500"/>
    <n v="1.2676842105263157"/>
  </r>
  <r>
    <n v="2019"/>
    <x v="8"/>
    <n v="17"/>
    <x v="14"/>
    <n v="31728"/>
    <n v="28500"/>
    <n v="1.1132631578947367"/>
  </r>
  <r>
    <n v="2019"/>
    <x v="8"/>
    <n v="17"/>
    <x v="15"/>
    <n v="24492"/>
    <n v="28500"/>
    <n v="0.85936842105263156"/>
  </r>
  <r>
    <n v="2019"/>
    <x v="8"/>
    <n v="17"/>
    <x v="16"/>
    <n v="14236.5"/>
    <n v="28500"/>
    <n v="0.49952631578947371"/>
  </r>
  <r>
    <n v="2019"/>
    <x v="8"/>
    <n v="17"/>
    <x v="17"/>
    <n v="3548.5"/>
    <n v="28500"/>
    <n v="0.12450877192982455"/>
  </r>
  <r>
    <n v="2019"/>
    <x v="8"/>
    <n v="17"/>
    <x v="18"/>
    <n v="0"/>
    <n v="28500"/>
    <n v="0"/>
  </r>
  <r>
    <n v="2019"/>
    <x v="8"/>
    <n v="17"/>
    <x v="19"/>
    <n v="0"/>
    <n v="28500"/>
    <n v="0"/>
  </r>
  <r>
    <n v="2019"/>
    <x v="8"/>
    <n v="17"/>
    <x v="20"/>
    <n v="0"/>
    <n v="28500"/>
    <n v="0"/>
  </r>
  <r>
    <n v="2019"/>
    <x v="8"/>
    <n v="17"/>
    <x v="21"/>
    <n v="0"/>
    <n v="28500"/>
    <n v="0"/>
  </r>
  <r>
    <n v="2019"/>
    <x v="8"/>
    <n v="17"/>
    <x v="22"/>
    <n v="0"/>
    <n v="28500"/>
    <n v="0"/>
  </r>
  <r>
    <n v="2019"/>
    <x v="8"/>
    <n v="17"/>
    <x v="23"/>
    <n v="0"/>
    <n v="28500"/>
    <n v="0"/>
  </r>
  <r>
    <n v="2019"/>
    <x v="8"/>
    <n v="18"/>
    <x v="0"/>
    <n v="0"/>
    <n v="28500"/>
    <n v="0"/>
  </r>
  <r>
    <n v="2019"/>
    <x v="8"/>
    <n v="18"/>
    <x v="1"/>
    <n v="0"/>
    <n v="28500"/>
    <n v="0"/>
  </r>
  <r>
    <n v="2019"/>
    <x v="8"/>
    <n v="18"/>
    <x v="2"/>
    <n v="0"/>
    <n v="28500"/>
    <n v="0"/>
  </r>
  <r>
    <n v="2019"/>
    <x v="8"/>
    <n v="18"/>
    <x v="3"/>
    <n v="0"/>
    <n v="28500"/>
    <n v="0"/>
  </r>
  <r>
    <n v="2019"/>
    <x v="8"/>
    <n v="18"/>
    <x v="4"/>
    <n v="0"/>
    <n v="28500"/>
    <n v="0"/>
  </r>
  <r>
    <n v="2019"/>
    <x v="8"/>
    <n v="18"/>
    <x v="5"/>
    <n v="0"/>
    <n v="28500"/>
    <n v="0"/>
  </r>
  <r>
    <n v="2019"/>
    <x v="8"/>
    <n v="18"/>
    <x v="6"/>
    <n v="689"/>
    <n v="28500"/>
    <n v="2.4175438596491228E-2"/>
  </r>
  <r>
    <n v="2019"/>
    <x v="8"/>
    <n v="18"/>
    <x v="7"/>
    <n v="9390.5"/>
    <n v="28500"/>
    <n v="0.32949122807017545"/>
  </r>
  <r>
    <n v="2019"/>
    <x v="8"/>
    <n v="18"/>
    <x v="8"/>
    <n v="20135"/>
    <n v="28500"/>
    <n v="0.70649122807017539"/>
  </r>
  <r>
    <n v="2019"/>
    <x v="8"/>
    <n v="18"/>
    <x v="9"/>
    <n v="28312.5"/>
    <n v="28500"/>
    <n v="0.99342105263157898"/>
  </r>
  <r>
    <n v="2019"/>
    <x v="8"/>
    <n v="18"/>
    <x v="10"/>
    <n v="33982.5"/>
    <n v="28500"/>
    <n v="1.1923684210526315"/>
  </r>
  <r>
    <n v="2019"/>
    <x v="8"/>
    <n v="18"/>
    <x v="11"/>
    <n v="36324.5"/>
    <n v="28500"/>
    <n v="1.2745438596491228"/>
  </r>
  <r>
    <n v="2019"/>
    <x v="8"/>
    <n v="18"/>
    <x v="12"/>
    <n v="37073"/>
    <n v="28500"/>
    <n v="1.3008070175438597"/>
  </r>
  <r>
    <n v="2019"/>
    <x v="8"/>
    <n v="18"/>
    <x v="13"/>
    <n v="35671"/>
    <n v="28500"/>
    <n v="1.2516140350877194"/>
  </r>
  <r>
    <n v="2019"/>
    <x v="8"/>
    <n v="18"/>
    <x v="14"/>
    <n v="31038.5"/>
    <n v="28500"/>
    <n v="1.0890701754385965"/>
  </r>
  <r>
    <n v="2019"/>
    <x v="8"/>
    <n v="18"/>
    <x v="15"/>
    <n v="23698"/>
    <n v="28500"/>
    <n v="0.83150877192982453"/>
  </r>
  <r>
    <n v="2019"/>
    <x v="8"/>
    <n v="18"/>
    <x v="16"/>
    <n v="13881"/>
    <n v="28500"/>
    <n v="0.48705263157894735"/>
  </r>
  <r>
    <n v="2019"/>
    <x v="8"/>
    <n v="18"/>
    <x v="17"/>
    <n v="3391"/>
    <n v="28500"/>
    <n v="0.11898245614035088"/>
  </r>
  <r>
    <n v="2019"/>
    <x v="8"/>
    <n v="18"/>
    <x v="18"/>
    <n v="0"/>
    <n v="28500"/>
    <n v="0"/>
  </r>
  <r>
    <n v="2019"/>
    <x v="8"/>
    <n v="18"/>
    <x v="19"/>
    <n v="0"/>
    <n v="28500"/>
    <n v="0"/>
  </r>
  <r>
    <n v="2019"/>
    <x v="8"/>
    <n v="18"/>
    <x v="20"/>
    <n v="0"/>
    <n v="28500"/>
    <n v="0"/>
  </r>
  <r>
    <n v="2019"/>
    <x v="8"/>
    <n v="18"/>
    <x v="21"/>
    <n v="0"/>
    <n v="28500"/>
    <n v="0"/>
  </r>
  <r>
    <n v="2019"/>
    <x v="8"/>
    <n v="18"/>
    <x v="22"/>
    <n v="0"/>
    <n v="28500"/>
    <n v="0"/>
  </r>
  <r>
    <n v="2019"/>
    <x v="8"/>
    <n v="18"/>
    <x v="23"/>
    <n v="0"/>
    <n v="28500"/>
    <n v="0"/>
  </r>
  <r>
    <n v="2019"/>
    <x v="8"/>
    <n v="19"/>
    <x v="0"/>
    <n v="0"/>
    <n v="28500"/>
    <n v="0"/>
  </r>
  <r>
    <n v="2019"/>
    <x v="8"/>
    <n v="19"/>
    <x v="1"/>
    <n v="0"/>
    <n v="28500"/>
    <n v="0"/>
  </r>
  <r>
    <n v="2019"/>
    <x v="8"/>
    <n v="19"/>
    <x v="2"/>
    <n v="0"/>
    <n v="28500"/>
    <n v="0"/>
  </r>
  <r>
    <n v="2019"/>
    <x v="8"/>
    <n v="19"/>
    <x v="3"/>
    <n v="0"/>
    <n v="28500"/>
    <n v="0"/>
  </r>
  <r>
    <n v="2019"/>
    <x v="8"/>
    <n v="19"/>
    <x v="4"/>
    <n v="0"/>
    <n v="28500"/>
    <n v="0"/>
  </r>
  <r>
    <n v="2019"/>
    <x v="8"/>
    <n v="19"/>
    <x v="5"/>
    <n v="0"/>
    <n v="28500"/>
    <n v="0"/>
  </r>
  <r>
    <n v="2019"/>
    <x v="8"/>
    <n v="19"/>
    <x v="6"/>
    <n v="601.5"/>
    <n v="28500"/>
    <n v="2.1105263157894738E-2"/>
  </r>
  <r>
    <n v="2019"/>
    <x v="8"/>
    <n v="19"/>
    <x v="7"/>
    <n v="8795"/>
    <n v="28500"/>
    <n v="0.3085964912280702"/>
  </r>
  <r>
    <n v="2019"/>
    <x v="8"/>
    <n v="19"/>
    <x v="8"/>
    <n v="18963"/>
    <n v="28500"/>
    <n v="0.66536842105263161"/>
  </r>
  <r>
    <n v="2019"/>
    <x v="8"/>
    <n v="19"/>
    <x v="9"/>
    <n v="26970"/>
    <n v="28500"/>
    <n v="0.94631578947368422"/>
  </r>
  <r>
    <n v="2019"/>
    <x v="8"/>
    <n v="19"/>
    <x v="10"/>
    <n v="32731"/>
    <n v="28500"/>
    <n v="1.1484561403508773"/>
  </r>
  <r>
    <n v="2019"/>
    <x v="8"/>
    <n v="19"/>
    <x v="11"/>
    <n v="35250"/>
    <n v="28500"/>
    <n v="1.236842105263158"/>
  </r>
  <r>
    <n v="2019"/>
    <x v="8"/>
    <n v="19"/>
    <x v="12"/>
    <n v="35579.5"/>
    <n v="28500"/>
    <n v="1.2484035087719298"/>
  </r>
  <r>
    <n v="2019"/>
    <x v="8"/>
    <n v="19"/>
    <x v="13"/>
    <n v="34352"/>
    <n v="28500"/>
    <n v="1.2053333333333334"/>
  </r>
  <r>
    <n v="2019"/>
    <x v="8"/>
    <n v="19"/>
    <x v="14"/>
    <n v="29999"/>
    <n v="28500"/>
    <n v="1.0525964912280701"/>
  </r>
  <r>
    <n v="2019"/>
    <x v="8"/>
    <n v="19"/>
    <x v="15"/>
    <n v="22959"/>
    <n v="28500"/>
    <n v="0.80557894736842106"/>
  </r>
  <r>
    <n v="2019"/>
    <x v="8"/>
    <n v="19"/>
    <x v="16"/>
    <n v="13180"/>
    <n v="28500"/>
    <n v="0.46245614035087718"/>
  </r>
  <r>
    <n v="2019"/>
    <x v="8"/>
    <n v="19"/>
    <x v="17"/>
    <n v="3119.5"/>
    <n v="28500"/>
    <n v="0.1094561403508772"/>
  </r>
  <r>
    <n v="2019"/>
    <x v="8"/>
    <n v="19"/>
    <x v="18"/>
    <n v="0"/>
    <n v="28500"/>
    <n v="0"/>
  </r>
  <r>
    <n v="2019"/>
    <x v="8"/>
    <n v="19"/>
    <x v="19"/>
    <n v="0"/>
    <n v="28500"/>
    <n v="0"/>
  </r>
  <r>
    <n v="2019"/>
    <x v="8"/>
    <n v="19"/>
    <x v="20"/>
    <n v="0"/>
    <n v="28500"/>
    <n v="0"/>
  </r>
  <r>
    <n v="2019"/>
    <x v="8"/>
    <n v="19"/>
    <x v="21"/>
    <n v="0"/>
    <n v="28500"/>
    <n v="0"/>
  </r>
  <r>
    <n v="2019"/>
    <x v="8"/>
    <n v="19"/>
    <x v="22"/>
    <n v="0"/>
    <n v="28500"/>
    <n v="0"/>
  </r>
  <r>
    <n v="2019"/>
    <x v="8"/>
    <n v="19"/>
    <x v="23"/>
    <n v="0"/>
    <n v="28500"/>
    <n v="0"/>
  </r>
  <r>
    <n v="2019"/>
    <x v="8"/>
    <n v="20"/>
    <x v="0"/>
    <n v="0"/>
    <n v="28500"/>
    <n v="0"/>
  </r>
  <r>
    <n v="2019"/>
    <x v="8"/>
    <n v="20"/>
    <x v="1"/>
    <n v="0"/>
    <n v="28500"/>
    <n v="0"/>
  </r>
  <r>
    <n v="2019"/>
    <x v="8"/>
    <n v="20"/>
    <x v="2"/>
    <n v="0"/>
    <n v="28500"/>
    <n v="0"/>
  </r>
  <r>
    <n v="2019"/>
    <x v="8"/>
    <n v="20"/>
    <x v="3"/>
    <n v="0"/>
    <n v="28500"/>
    <n v="0"/>
  </r>
  <r>
    <n v="2019"/>
    <x v="8"/>
    <n v="20"/>
    <x v="4"/>
    <n v="0"/>
    <n v="28500"/>
    <n v="0"/>
  </r>
  <r>
    <n v="2019"/>
    <x v="8"/>
    <n v="20"/>
    <x v="5"/>
    <n v="0"/>
    <n v="28500"/>
    <n v="0"/>
  </r>
  <r>
    <n v="2019"/>
    <x v="8"/>
    <n v="20"/>
    <x v="6"/>
    <n v="529.5"/>
    <n v="28500"/>
    <n v="1.8578947368421053E-2"/>
  </r>
  <r>
    <n v="2019"/>
    <x v="8"/>
    <n v="20"/>
    <x v="7"/>
    <n v="9283"/>
    <n v="28500"/>
    <n v="0.32571929824561402"/>
  </r>
  <r>
    <n v="2019"/>
    <x v="8"/>
    <n v="20"/>
    <x v="8"/>
    <n v="20015.5"/>
    <n v="28500"/>
    <n v="0.70229824561403509"/>
  </r>
  <r>
    <n v="2019"/>
    <x v="8"/>
    <n v="20"/>
    <x v="9"/>
    <n v="28370"/>
    <n v="28500"/>
    <n v="0.99543859649122812"/>
  </r>
  <r>
    <n v="2019"/>
    <x v="8"/>
    <n v="20"/>
    <x v="10"/>
    <n v="35033"/>
    <n v="28500"/>
    <n v="1.2292280701754386"/>
  </r>
  <r>
    <n v="2019"/>
    <x v="8"/>
    <n v="20"/>
    <x v="11"/>
    <n v="36864.5"/>
    <n v="28500"/>
    <n v="1.2934912280701754"/>
  </r>
  <r>
    <n v="2019"/>
    <x v="8"/>
    <n v="20"/>
    <x v="12"/>
    <n v="37616"/>
    <n v="28500"/>
    <n v="1.319859649122807"/>
  </r>
  <r>
    <n v="2019"/>
    <x v="8"/>
    <n v="20"/>
    <x v="13"/>
    <n v="36116"/>
    <n v="28500"/>
    <n v="1.2672280701754386"/>
  </r>
  <r>
    <n v="2019"/>
    <x v="8"/>
    <n v="20"/>
    <x v="14"/>
    <n v="31286.5"/>
    <n v="28500"/>
    <n v="1.0977719298245614"/>
  </r>
  <r>
    <n v="2019"/>
    <x v="8"/>
    <n v="20"/>
    <x v="15"/>
    <n v="23601"/>
    <n v="28500"/>
    <n v="0.82810526315789479"/>
  </r>
  <r>
    <n v="2019"/>
    <x v="8"/>
    <n v="20"/>
    <x v="16"/>
    <n v="13494.5"/>
    <n v="28500"/>
    <n v="0.47349122807017546"/>
  </r>
  <r>
    <n v="2019"/>
    <x v="8"/>
    <n v="20"/>
    <x v="17"/>
    <n v="2956.5"/>
    <n v="28500"/>
    <n v="0.10373684210526316"/>
  </r>
  <r>
    <n v="2019"/>
    <x v="8"/>
    <n v="20"/>
    <x v="18"/>
    <n v="0"/>
    <n v="28500"/>
    <n v="0"/>
  </r>
  <r>
    <n v="2019"/>
    <x v="8"/>
    <n v="20"/>
    <x v="19"/>
    <n v="0"/>
    <n v="28500"/>
    <n v="0"/>
  </r>
  <r>
    <n v="2019"/>
    <x v="8"/>
    <n v="20"/>
    <x v="20"/>
    <n v="0"/>
    <n v="28500"/>
    <n v="0"/>
  </r>
  <r>
    <n v="2019"/>
    <x v="8"/>
    <n v="20"/>
    <x v="21"/>
    <n v="0"/>
    <n v="28500"/>
    <n v="0"/>
  </r>
  <r>
    <n v="2019"/>
    <x v="8"/>
    <n v="20"/>
    <x v="22"/>
    <n v="0"/>
    <n v="28500"/>
    <n v="0"/>
  </r>
  <r>
    <n v="2019"/>
    <x v="8"/>
    <n v="20"/>
    <x v="23"/>
    <n v="0"/>
    <n v="28500"/>
    <n v="0"/>
  </r>
  <r>
    <n v="2019"/>
    <x v="8"/>
    <n v="21"/>
    <x v="0"/>
    <n v="0"/>
    <n v="28500"/>
    <n v="0"/>
  </r>
  <r>
    <n v="2019"/>
    <x v="8"/>
    <n v="21"/>
    <x v="1"/>
    <n v="0"/>
    <n v="28500"/>
    <n v="0"/>
  </r>
  <r>
    <n v="2019"/>
    <x v="8"/>
    <n v="21"/>
    <x v="2"/>
    <n v="0"/>
    <n v="28500"/>
    <n v="0"/>
  </r>
  <r>
    <n v="2019"/>
    <x v="8"/>
    <n v="21"/>
    <x v="3"/>
    <n v="0"/>
    <n v="28500"/>
    <n v="0"/>
  </r>
  <r>
    <n v="2019"/>
    <x v="8"/>
    <n v="21"/>
    <x v="4"/>
    <n v="0"/>
    <n v="28500"/>
    <n v="0"/>
  </r>
  <r>
    <n v="2019"/>
    <x v="8"/>
    <n v="21"/>
    <x v="5"/>
    <n v="0"/>
    <n v="28500"/>
    <n v="0"/>
  </r>
  <r>
    <n v="2019"/>
    <x v="8"/>
    <n v="21"/>
    <x v="6"/>
    <n v="444"/>
    <n v="28500"/>
    <n v="1.5578947368421053E-2"/>
  </r>
  <r>
    <n v="2019"/>
    <x v="8"/>
    <n v="21"/>
    <x v="7"/>
    <n v="8882.5"/>
    <n v="28500"/>
    <n v="0.31166666666666665"/>
  </r>
  <r>
    <n v="2019"/>
    <x v="8"/>
    <n v="21"/>
    <x v="8"/>
    <n v="19590.5"/>
    <n v="28500"/>
    <n v="0.68738596491228066"/>
  </r>
  <r>
    <n v="2019"/>
    <x v="8"/>
    <n v="21"/>
    <x v="9"/>
    <n v="27741.5"/>
    <n v="28500"/>
    <n v="0.97338596491228069"/>
  </r>
  <r>
    <n v="2019"/>
    <x v="8"/>
    <n v="21"/>
    <x v="10"/>
    <n v="33278"/>
    <n v="28500"/>
    <n v="1.1676491228070176"/>
  </r>
  <r>
    <n v="2019"/>
    <x v="8"/>
    <n v="21"/>
    <x v="11"/>
    <n v="35752.5"/>
    <n v="28500"/>
    <n v="1.2544736842105264"/>
  </r>
  <r>
    <n v="2019"/>
    <x v="8"/>
    <n v="21"/>
    <x v="12"/>
    <n v="36325.5"/>
    <n v="28500"/>
    <n v="1.274578947368421"/>
  </r>
  <r>
    <n v="2019"/>
    <x v="8"/>
    <n v="21"/>
    <x v="13"/>
    <n v="34771"/>
    <n v="28500"/>
    <n v="1.2200350877192983"/>
  </r>
  <r>
    <n v="2019"/>
    <x v="8"/>
    <n v="21"/>
    <x v="14"/>
    <n v="30011.5"/>
    <n v="28500"/>
    <n v="1.0530350877192982"/>
  </r>
  <r>
    <n v="2019"/>
    <x v="8"/>
    <n v="21"/>
    <x v="15"/>
    <n v="22258"/>
    <n v="28500"/>
    <n v="0.78098245614035089"/>
  </r>
  <r>
    <n v="2019"/>
    <x v="8"/>
    <n v="21"/>
    <x v="16"/>
    <n v="12547"/>
    <n v="28500"/>
    <n v="0.44024561403508772"/>
  </r>
  <r>
    <n v="2019"/>
    <x v="8"/>
    <n v="21"/>
    <x v="17"/>
    <n v="2769.5"/>
    <n v="28500"/>
    <n v="9.7175438596491234E-2"/>
  </r>
  <r>
    <n v="2019"/>
    <x v="8"/>
    <n v="21"/>
    <x v="18"/>
    <n v="0"/>
    <n v="28500"/>
    <n v="0"/>
  </r>
  <r>
    <n v="2019"/>
    <x v="8"/>
    <n v="21"/>
    <x v="19"/>
    <n v="0"/>
    <n v="28500"/>
    <n v="0"/>
  </r>
  <r>
    <n v="2019"/>
    <x v="8"/>
    <n v="21"/>
    <x v="20"/>
    <n v="0"/>
    <n v="28500"/>
    <n v="0"/>
  </r>
  <r>
    <n v="2019"/>
    <x v="8"/>
    <n v="21"/>
    <x v="21"/>
    <n v="0"/>
    <n v="28500"/>
    <n v="0"/>
  </r>
  <r>
    <n v="2019"/>
    <x v="8"/>
    <n v="21"/>
    <x v="22"/>
    <n v="0"/>
    <n v="28500"/>
    <n v="0"/>
  </r>
  <r>
    <n v="2019"/>
    <x v="8"/>
    <n v="21"/>
    <x v="23"/>
    <n v="0"/>
    <n v="28500"/>
    <n v="0"/>
  </r>
  <r>
    <n v="2019"/>
    <x v="8"/>
    <n v="22"/>
    <x v="0"/>
    <n v="0"/>
    <n v="28500"/>
    <n v="0"/>
  </r>
  <r>
    <n v="2019"/>
    <x v="8"/>
    <n v="22"/>
    <x v="1"/>
    <n v="0"/>
    <n v="28500"/>
    <n v="0"/>
  </r>
  <r>
    <n v="2019"/>
    <x v="8"/>
    <n v="22"/>
    <x v="2"/>
    <n v="0"/>
    <n v="28500"/>
    <n v="0"/>
  </r>
  <r>
    <n v="2019"/>
    <x v="8"/>
    <n v="22"/>
    <x v="3"/>
    <n v="0"/>
    <n v="28500"/>
    <n v="0"/>
  </r>
  <r>
    <n v="2019"/>
    <x v="8"/>
    <n v="22"/>
    <x v="4"/>
    <n v="0"/>
    <n v="28500"/>
    <n v="0"/>
  </r>
  <r>
    <n v="2019"/>
    <x v="8"/>
    <n v="22"/>
    <x v="5"/>
    <n v="0"/>
    <n v="28500"/>
    <n v="0"/>
  </r>
  <r>
    <n v="2019"/>
    <x v="8"/>
    <n v="22"/>
    <x v="6"/>
    <n v="112"/>
    <n v="28500"/>
    <n v="3.9298245614035089E-3"/>
  </r>
  <r>
    <n v="2019"/>
    <x v="8"/>
    <n v="22"/>
    <x v="7"/>
    <n v="3664"/>
    <n v="28500"/>
    <n v="0.12856140350877193"/>
  </r>
  <r>
    <n v="2019"/>
    <x v="8"/>
    <n v="22"/>
    <x v="8"/>
    <n v="5524"/>
    <n v="28500"/>
    <n v="0.19382456140350876"/>
  </r>
  <r>
    <n v="2019"/>
    <x v="8"/>
    <n v="22"/>
    <x v="9"/>
    <n v="21052"/>
    <n v="28500"/>
    <n v="0.73866666666666669"/>
  </r>
  <r>
    <n v="2019"/>
    <x v="8"/>
    <n v="22"/>
    <x v="10"/>
    <n v="23341.5"/>
    <n v="28500"/>
    <n v="0.81899999999999995"/>
  </r>
  <r>
    <n v="2019"/>
    <x v="8"/>
    <n v="22"/>
    <x v="11"/>
    <n v="6603.5"/>
    <n v="28500"/>
    <n v="0.23170175438596491"/>
  </r>
  <r>
    <n v="2019"/>
    <x v="8"/>
    <n v="22"/>
    <x v="12"/>
    <n v="1808"/>
    <n v="28500"/>
    <n v="6.3438596491228072E-2"/>
  </r>
  <r>
    <n v="2019"/>
    <x v="8"/>
    <n v="22"/>
    <x v="13"/>
    <n v="7156"/>
    <n v="28500"/>
    <n v="0.25108771929824564"/>
  </r>
  <r>
    <n v="2019"/>
    <x v="8"/>
    <n v="22"/>
    <x v="14"/>
    <n v="3810.5"/>
    <n v="28500"/>
    <n v="0.1337017543859649"/>
  </r>
  <r>
    <n v="2019"/>
    <x v="8"/>
    <n v="22"/>
    <x v="15"/>
    <n v="2623.5"/>
    <n v="28500"/>
    <n v="9.2052631578947372E-2"/>
  </r>
  <r>
    <n v="2019"/>
    <x v="8"/>
    <n v="22"/>
    <x v="16"/>
    <n v="996.5"/>
    <n v="28500"/>
    <n v="3.4964912280701754E-2"/>
  </r>
  <r>
    <n v="2019"/>
    <x v="8"/>
    <n v="22"/>
    <x v="17"/>
    <n v="184"/>
    <n v="28500"/>
    <n v="6.4561403508771927E-3"/>
  </r>
  <r>
    <n v="2019"/>
    <x v="8"/>
    <n v="22"/>
    <x v="18"/>
    <n v="0"/>
    <n v="28500"/>
    <n v="0"/>
  </r>
  <r>
    <n v="2019"/>
    <x v="8"/>
    <n v="22"/>
    <x v="19"/>
    <n v="0"/>
    <n v="28500"/>
    <n v="0"/>
  </r>
  <r>
    <n v="2019"/>
    <x v="8"/>
    <n v="22"/>
    <x v="20"/>
    <n v="0"/>
    <n v="28500"/>
    <n v="0"/>
  </r>
  <r>
    <n v="2019"/>
    <x v="8"/>
    <n v="22"/>
    <x v="21"/>
    <n v="0"/>
    <n v="28500"/>
    <n v="0"/>
  </r>
  <r>
    <n v="2019"/>
    <x v="8"/>
    <n v="22"/>
    <x v="22"/>
    <n v="0"/>
    <n v="28500"/>
    <n v="0"/>
  </r>
  <r>
    <n v="2019"/>
    <x v="8"/>
    <n v="22"/>
    <x v="23"/>
    <n v="0"/>
    <n v="28500"/>
    <n v="0"/>
  </r>
  <r>
    <n v="2019"/>
    <x v="8"/>
    <n v="23"/>
    <x v="0"/>
    <n v="0"/>
    <n v="28500"/>
    <n v="0"/>
  </r>
  <r>
    <n v="2019"/>
    <x v="8"/>
    <n v="23"/>
    <x v="1"/>
    <n v="0"/>
    <n v="28500"/>
    <n v="0"/>
  </r>
  <r>
    <n v="2019"/>
    <x v="8"/>
    <n v="23"/>
    <x v="2"/>
    <n v="0"/>
    <n v="28500"/>
    <n v="0"/>
  </r>
  <r>
    <n v="2019"/>
    <x v="8"/>
    <n v="23"/>
    <x v="3"/>
    <n v="0"/>
    <n v="28500"/>
    <n v="0"/>
  </r>
  <r>
    <n v="2019"/>
    <x v="8"/>
    <n v="23"/>
    <x v="4"/>
    <n v="0"/>
    <n v="28500"/>
    <n v="0"/>
  </r>
  <r>
    <n v="2019"/>
    <x v="8"/>
    <n v="23"/>
    <x v="5"/>
    <n v="0"/>
    <n v="28500"/>
    <n v="0"/>
  </r>
  <r>
    <n v="2019"/>
    <x v="8"/>
    <n v="23"/>
    <x v="6"/>
    <n v="320.5"/>
    <n v="28500"/>
    <n v="1.1245614035087718E-2"/>
  </r>
  <r>
    <n v="2019"/>
    <x v="8"/>
    <n v="23"/>
    <x v="7"/>
    <n v="8740"/>
    <n v="28500"/>
    <n v="0.30666666666666664"/>
  </r>
  <r>
    <n v="2019"/>
    <x v="8"/>
    <n v="23"/>
    <x v="8"/>
    <n v="19436.5"/>
    <n v="28500"/>
    <n v="0.68198245614035091"/>
  </r>
  <r>
    <n v="2019"/>
    <x v="8"/>
    <n v="23"/>
    <x v="9"/>
    <n v="27376"/>
    <n v="28500"/>
    <n v="0.96056140350877195"/>
  </r>
  <r>
    <n v="2019"/>
    <x v="8"/>
    <n v="23"/>
    <x v="10"/>
    <n v="15464.5"/>
    <n v="28500"/>
    <n v="0.54261403508771933"/>
  </r>
  <r>
    <n v="2019"/>
    <x v="8"/>
    <n v="23"/>
    <x v="11"/>
    <n v="6512"/>
    <n v="28500"/>
    <n v="0.22849122807017544"/>
  </r>
  <r>
    <n v="2019"/>
    <x v="8"/>
    <n v="23"/>
    <x v="12"/>
    <n v="8382"/>
    <n v="28500"/>
    <n v="0.29410526315789476"/>
  </r>
  <r>
    <n v="2019"/>
    <x v="8"/>
    <n v="23"/>
    <x v="13"/>
    <n v="27941"/>
    <n v="28500"/>
    <n v="0.98038596491228069"/>
  </r>
  <r>
    <n v="2019"/>
    <x v="8"/>
    <n v="23"/>
    <x v="14"/>
    <n v="3889.5"/>
    <n v="28500"/>
    <n v="0.1364736842105263"/>
  </r>
  <r>
    <n v="2019"/>
    <x v="8"/>
    <n v="23"/>
    <x v="15"/>
    <n v="2764.5"/>
    <n v="28500"/>
    <n v="9.7000000000000003E-2"/>
  </r>
  <r>
    <n v="2019"/>
    <x v="8"/>
    <n v="23"/>
    <x v="16"/>
    <n v="401"/>
    <n v="28500"/>
    <n v="1.4070175438596491E-2"/>
  </r>
  <r>
    <n v="2019"/>
    <x v="8"/>
    <n v="23"/>
    <x v="17"/>
    <n v="403.5"/>
    <n v="28500"/>
    <n v="1.4157894736842105E-2"/>
  </r>
  <r>
    <n v="2019"/>
    <x v="8"/>
    <n v="23"/>
    <x v="18"/>
    <n v="0"/>
    <n v="28500"/>
    <n v="0"/>
  </r>
  <r>
    <n v="2019"/>
    <x v="8"/>
    <n v="23"/>
    <x v="19"/>
    <n v="0"/>
    <n v="28500"/>
    <n v="0"/>
  </r>
  <r>
    <n v="2019"/>
    <x v="8"/>
    <n v="23"/>
    <x v="20"/>
    <n v="0"/>
    <n v="28500"/>
    <n v="0"/>
  </r>
  <r>
    <n v="2019"/>
    <x v="8"/>
    <n v="23"/>
    <x v="21"/>
    <n v="0"/>
    <n v="28500"/>
    <n v="0"/>
  </r>
  <r>
    <n v="2019"/>
    <x v="8"/>
    <n v="23"/>
    <x v="22"/>
    <n v="0"/>
    <n v="28500"/>
    <n v="0"/>
  </r>
  <r>
    <n v="2019"/>
    <x v="8"/>
    <n v="23"/>
    <x v="23"/>
    <n v="0"/>
    <n v="28500"/>
    <n v="0"/>
  </r>
  <r>
    <n v="2019"/>
    <x v="8"/>
    <n v="24"/>
    <x v="0"/>
    <n v="0"/>
    <n v="28500"/>
    <n v="0"/>
  </r>
  <r>
    <n v="2019"/>
    <x v="8"/>
    <n v="24"/>
    <x v="1"/>
    <n v="0"/>
    <n v="28500"/>
    <n v="0"/>
  </r>
  <r>
    <n v="2019"/>
    <x v="8"/>
    <n v="24"/>
    <x v="2"/>
    <n v="0"/>
    <n v="28500"/>
    <n v="0"/>
  </r>
  <r>
    <n v="2019"/>
    <x v="8"/>
    <n v="24"/>
    <x v="3"/>
    <n v="0"/>
    <n v="28500"/>
    <n v="0"/>
  </r>
  <r>
    <n v="2019"/>
    <x v="8"/>
    <n v="24"/>
    <x v="4"/>
    <n v="0"/>
    <n v="28500"/>
    <n v="0"/>
  </r>
  <r>
    <n v="2019"/>
    <x v="8"/>
    <n v="24"/>
    <x v="5"/>
    <n v="0"/>
    <n v="28500"/>
    <n v="0"/>
  </r>
  <r>
    <n v="2019"/>
    <x v="8"/>
    <n v="24"/>
    <x v="6"/>
    <n v="0"/>
    <n v="28500"/>
    <n v="0"/>
  </r>
  <r>
    <n v="2019"/>
    <x v="8"/>
    <n v="24"/>
    <x v="7"/>
    <n v="348"/>
    <n v="28500"/>
    <n v="1.2210526315789474E-2"/>
  </r>
  <r>
    <n v="2019"/>
    <x v="8"/>
    <n v="24"/>
    <x v="8"/>
    <n v="907.5"/>
    <n v="28500"/>
    <n v="3.1842105263157894E-2"/>
  </r>
  <r>
    <n v="2019"/>
    <x v="8"/>
    <n v="24"/>
    <x v="9"/>
    <n v="2836"/>
    <n v="28500"/>
    <n v="9.950877192982456E-2"/>
  </r>
  <r>
    <n v="2019"/>
    <x v="8"/>
    <n v="24"/>
    <x v="10"/>
    <n v="13607"/>
    <n v="28500"/>
    <n v="0.47743859649122805"/>
  </r>
  <r>
    <n v="2019"/>
    <x v="8"/>
    <n v="24"/>
    <x v="11"/>
    <n v="12854"/>
    <n v="28500"/>
    <n v="0.45101754385964915"/>
  </r>
  <r>
    <n v="2019"/>
    <x v="8"/>
    <n v="24"/>
    <x v="12"/>
    <n v="6690.5"/>
    <n v="28500"/>
    <n v="0.23475438596491227"/>
  </r>
  <r>
    <n v="2019"/>
    <x v="8"/>
    <n v="24"/>
    <x v="13"/>
    <n v="24940.5"/>
    <n v="28500"/>
    <n v="0.87510526315789472"/>
  </r>
  <r>
    <n v="2019"/>
    <x v="8"/>
    <n v="24"/>
    <x v="14"/>
    <n v="17417.5"/>
    <n v="28500"/>
    <n v="0.61114035087719298"/>
  </r>
  <r>
    <n v="2019"/>
    <x v="8"/>
    <n v="24"/>
    <x v="15"/>
    <n v="20176"/>
    <n v="28500"/>
    <n v="0.70792982456140352"/>
  </r>
  <r>
    <n v="2019"/>
    <x v="8"/>
    <n v="24"/>
    <x v="16"/>
    <n v="769"/>
    <n v="28500"/>
    <n v="2.6982456140350879E-2"/>
  </r>
  <r>
    <n v="2019"/>
    <x v="8"/>
    <n v="24"/>
    <x v="17"/>
    <n v="1093"/>
    <n v="28500"/>
    <n v="3.8350877192982455E-2"/>
  </r>
  <r>
    <n v="2019"/>
    <x v="8"/>
    <n v="24"/>
    <x v="18"/>
    <n v="0"/>
    <n v="28500"/>
    <n v="0"/>
  </r>
  <r>
    <n v="2019"/>
    <x v="8"/>
    <n v="24"/>
    <x v="19"/>
    <n v="0"/>
    <n v="28500"/>
    <n v="0"/>
  </r>
  <r>
    <n v="2019"/>
    <x v="8"/>
    <n v="24"/>
    <x v="20"/>
    <n v="0"/>
    <n v="28500"/>
    <n v="0"/>
  </r>
  <r>
    <n v="2019"/>
    <x v="8"/>
    <n v="24"/>
    <x v="21"/>
    <n v="0"/>
    <n v="28500"/>
    <n v="0"/>
  </r>
  <r>
    <n v="2019"/>
    <x v="8"/>
    <n v="24"/>
    <x v="22"/>
    <n v="0"/>
    <n v="28500"/>
    <n v="0"/>
  </r>
  <r>
    <n v="2019"/>
    <x v="8"/>
    <n v="24"/>
    <x v="23"/>
    <n v="0"/>
    <n v="28500"/>
    <n v="0"/>
  </r>
  <r>
    <n v="2019"/>
    <x v="8"/>
    <n v="25"/>
    <x v="0"/>
    <n v="0"/>
    <n v="28500"/>
    <n v="0"/>
  </r>
  <r>
    <n v="2019"/>
    <x v="8"/>
    <n v="25"/>
    <x v="1"/>
    <n v="0"/>
    <n v="28500"/>
    <n v="0"/>
  </r>
  <r>
    <n v="2019"/>
    <x v="8"/>
    <n v="25"/>
    <x v="2"/>
    <n v="0"/>
    <n v="28500"/>
    <n v="0"/>
  </r>
  <r>
    <n v="2019"/>
    <x v="8"/>
    <n v="25"/>
    <x v="3"/>
    <n v="0"/>
    <n v="28500"/>
    <n v="0"/>
  </r>
  <r>
    <n v="2019"/>
    <x v="8"/>
    <n v="25"/>
    <x v="4"/>
    <n v="0"/>
    <n v="28500"/>
    <n v="0"/>
  </r>
  <r>
    <n v="2019"/>
    <x v="8"/>
    <n v="25"/>
    <x v="5"/>
    <n v="0"/>
    <n v="28500"/>
    <n v="0"/>
  </r>
  <r>
    <n v="2019"/>
    <x v="8"/>
    <n v="25"/>
    <x v="6"/>
    <n v="0"/>
    <n v="28500"/>
    <n v="0"/>
  </r>
  <r>
    <n v="2019"/>
    <x v="8"/>
    <n v="25"/>
    <x v="7"/>
    <n v="4777"/>
    <n v="28500"/>
    <n v="0.1676140350877193"/>
  </r>
  <r>
    <n v="2019"/>
    <x v="8"/>
    <n v="25"/>
    <x v="8"/>
    <n v="5063.5"/>
    <n v="28500"/>
    <n v="0.17766666666666667"/>
  </r>
  <r>
    <n v="2019"/>
    <x v="8"/>
    <n v="25"/>
    <x v="9"/>
    <n v="2316.5"/>
    <n v="28500"/>
    <n v="8.1280701754385967E-2"/>
  </r>
  <r>
    <n v="2019"/>
    <x v="8"/>
    <n v="25"/>
    <x v="10"/>
    <n v="9500"/>
    <n v="28500"/>
    <n v="0.33333333333333331"/>
  </r>
  <r>
    <n v="2019"/>
    <x v="8"/>
    <n v="25"/>
    <x v="11"/>
    <n v="14622"/>
    <n v="28500"/>
    <n v="0.51305263157894732"/>
  </r>
  <r>
    <n v="2019"/>
    <x v="8"/>
    <n v="25"/>
    <x v="12"/>
    <n v="12148.5"/>
    <n v="28500"/>
    <n v="0.42626315789473684"/>
  </r>
  <r>
    <n v="2019"/>
    <x v="8"/>
    <n v="25"/>
    <x v="13"/>
    <n v="6295.5"/>
    <n v="28500"/>
    <n v="0.22089473684210525"/>
  </r>
  <r>
    <n v="2019"/>
    <x v="8"/>
    <n v="25"/>
    <x v="14"/>
    <n v="21840"/>
    <n v="28500"/>
    <n v="0.76631578947368417"/>
  </r>
  <r>
    <n v="2019"/>
    <x v="8"/>
    <n v="25"/>
    <x v="15"/>
    <n v="16713.5"/>
    <n v="28500"/>
    <n v="0.58643859649122809"/>
  </r>
  <r>
    <n v="2019"/>
    <x v="8"/>
    <n v="25"/>
    <x v="16"/>
    <n v="11511"/>
    <n v="28500"/>
    <n v="0.40389473684210525"/>
  </r>
  <r>
    <n v="2019"/>
    <x v="8"/>
    <n v="25"/>
    <x v="17"/>
    <n v="1503"/>
    <n v="28500"/>
    <n v="5.2736842105263158E-2"/>
  </r>
  <r>
    <n v="2019"/>
    <x v="8"/>
    <n v="25"/>
    <x v="18"/>
    <n v="0"/>
    <n v="28500"/>
    <n v="0"/>
  </r>
  <r>
    <n v="2019"/>
    <x v="8"/>
    <n v="25"/>
    <x v="19"/>
    <n v="0"/>
    <n v="28500"/>
    <n v="0"/>
  </r>
  <r>
    <n v="2019"/>
    <x v="8"/>
    <n v="25"/>
    <x v="20"/>
    <n v="0"/>
    <n v="28500"/>
    <n v="0"/>
  </r>
  <r>
    <n v="2019"/>
    <x v="8"/>
    <n v="25"/>
    <x v="21"/>
    <n v="0"/>
    <n v="28500"/>
    <n v="0"/>
  </r>
  <r>
    <n v="2019"/>
    <x v="8"/>
    <n v="25"/>
    <x v="22"/>
    <n v="0"/>
    <n v="28500"/>
    <n v="0"/>
  </r>
  <r>
    <n v="2019"/>
    <x v="8"/>
    <n v="25"/>
    <x v="23"/>
    <n v="0"/>
    <n v="28500"/>
    <n v="0"/>
  </r>
  <r>
    <n v="2019"/>
    <x v="8"/>
    <n v="26"/>
    <x v="0"/>
    <n v="0"/>
    <n v="28500"/>
    <n v="0"/>
  </r>
  <r>
    <n v="2019"/>
    <x v="8"/>
    <n v="26"/>
    <x v="1"/>
    <n v="0"/>
    <n v="28500"/>
    <n v="0"/>
  </r>
  <r>
    <n v="2019"/>
    <x v="8"/>
    <n v="26"/>
    <x v="2"/>
    <n v="0"/>
    <n v="28500"/>
    <n v="0"/>
  </r>
  <r>
    <n v="2019"/>
    <x v="8"/>
    <n v="26"/>
    <x v="3"/>
    <n v="0"/>
    <n v="28500"/>
    <n v="0"/>
  </r>
  <r>
    <n v="2019"/>
    <x v="8"/>
    <n v="26"/>
    <x v="4"/>
    <n v="0"/>
    <n v="28500"/>
    <n v="0"/>
  </r>
  <r>
    <n v="2019"/>
    <x v="8"/>
    <n v="26"/>
    <x v="5"/>
    <n v="0"/>
    <n v="28500"/>
    <n v="0"/>
  </r>
  <r>
    <n v="2019"/>
    <x v="8"/>
    <n v="26"/>
    <x v="6"/>
    <n v="0"/>
    <n v="28500"/>
    <n v="0"/>
  </r>
  <r>
    <n v="2019"/>
    <x v="8"/>
    <n v="26"/>
    <x v="7"/>
    <n v="2314"/>
    <n v="28500"/>
    <n v="8.1192982456140345E-2"/>
  </r>
  <r>
    <n v="2019"/>
    <x v="8"/>
    <n v="26"/>
    <x v="8"/>
    <n v="4250"/>
    <n v="28500"/>
    <n v="0.14912280701754385"/>
  </r>
  <r>
    <n v="2019"/>
    <x v="8"/>
    <n v="26"/>
    <x v="9"/>
    <n v="5579.5"/>
    <n v="28500"/>
    <n v="0.1957719298245614"/>
  </r>
  <r>
    <n v="2019"/>
    <x v="8"/>
    <n v="26"/>
    <x v="10"/>
    <n v="11694.5"/>
    <n v="28500"/>
    <n v="0.41033333333333333"/>
  </r>
  <r>
    <n v="2019"/>
    <x v="8"/>
    <n v="26"/>
    <x v="11"/>
    <n v="12043.5"/>
    <n v="28500"/>
    <n v="0.42257894736842105"/>
  </r>
  <r>
    <n v="2019"/>
    <x v="8"/>
    <n v="26"/>
    <x v="12"/>
    <n v="31877.5"/>
    <n v="28500"/>
    <n v="1.1185087719298246"/>
  </r>
  <r>
    <n v="2019"/>
    <x v="8"/>
    <n v="26"/>
    <x v="13"/>
    <n v="11199.5"/>
    <n v="28500"/>
    <n v="0.39296491228070174"/>
  </r>
  <r>
    <n v="2019"/>
    <x v="8"/>
    <n v="26"/>
    <x v="14"/>
    <n v="14907"/>
    <n v="28500"/>
    <n v="0.52305263157894732"/>
  </r>
  <r>
    <n v="2019"/>
    <x v="8"/>
    <n v="26"/>
    <x v="15"/>
    <n v="19990"/>
    <n v="28500"/>
    <n v="0.70140350877192981"/>
  </r>
  <r>
    <n v="2019"/>
    <x v="8"/>
    <n v="26"/>
    <x v="16"/>
    <n v="10439"/>
    <n v="28500"/>
    <n v="0.36628070175438598"/>
  </r>
  <r>
    <n v="2019"/>
    <x v="8"/>
    <n v="26"/>
    <x v="17"/>
    <n v="1508.5"/>
    <n v="28500"/>
    <n v="5.2929824561403507E-2"/>
  </r>
  <r>
    <n v="2019"/>
    <x v="8"/>
    <n v="26"/>
    <x v="18"/>
    <n v="0"/>
    <n v="28500"/>
    <n v="0"/>
  </r>
  <r>
    <n v="2019"/>
    <x v="8"/>
    <n v="26"/>
    <x v="19"/>
    <n v="0"/>
    <n v="28500"/>
    <n v="0"/>
  </r>
  <r>
    <n v="2019"/>
    <x v="8"/>
    <n v="26"/>
    <x v="20"/>
    <n v="0"/>
    <n v="28500"/>
    <n v="0"/>
  </r>
  <r>
    <n v="2019"/>
    <x v="8"/>
    <n v="26"/>
    <x v="21"/>
    <n v="0"/>
    <n v="28500"/>
    <n v="0"/>
  </r>
  <r>
    <n v="2019"/>
    <x v="8"/>
    <n v="26"/>
    <x v="22"/>
    <n v="0"/>
    <n v="28500"/>
    <n v="0"/>
  </r>
  <r>
    <n v="2019"/>
    <x v="8"/>
    <n v="26"/>
    <x v="23"/>
    <n v="0"/>
    <n v="28500"/>
    <n v="0"/>
  </r>
  <r>
    <n v="2019"/>
    <x v="8"/>
    <n v="27"/>
    <x v="0"/>
    <n v="0"/>
    <n v="28500"/>
    <n v="0"/>
  </r>
  <r>
    <n v="2019"/>
    <x v="8"/>
    <n v="27"/>
    <x v="1"/>
    <n v="0"/>
    <n v="28500"/>
    <n v="0"/>
  </r>
  <r>
    <n v="2019"/>
    <x v="8"/>
    <n v="27"/>
    <x v="2"/>
    <n v="0"/>
    <n v="28500"/>
    <n v="0"/>
  </r>
  <r>
    <n v="2019"/>
    <x v="8"/>
    <n v="27"/>
    <x v="3"/>
    <n v="0"/>
    <n v="28500"/>
    <n v="0"/>
  </r>
  <r>
    <n v="2019"/>
    <x v="8"/>
    <n v="27"/>
    <x v="4"/>
    <n v="0"/>
    <n v="28500"/>
    <n v="0"/>
  </r>
  <r>
    <n v="2019"/>
    <x v="8"/>
    <n v="27"/>
    <x v="5"/>
    <n v="0"/>
    <n v="28500"/>
    <n v="0"/>
  </r>
  <r>
    <n v="2019"/>
    <x v="8"/>
    <n v="27"/>
    <x v="6"/>
    <n v="0"/>
    <n v="28500"/>
    <n v="0"/>
  </r>
  <r>
    <n v="2019"/>
    <x v="8"/>
    <n v="27"/>
    <x v="7"/>
    <n v="7409"/>
    <n v="28500"/>
    <n v="0.25996491228070173"/>
  </r>
  <r>
    <n v="2019"/>
    <x v="8"/>
    <n v="27"/>
    <x v="8"/>
    <n v="20297"/>
    <n v="28500"/>
    <n v="0.71217543859649124"/>
  </r>
  <r>
    <n v="2019"/>
    <x v="8"/>
    <n v="27"/>
    <x v="9"/>
    <n v="17926"/>
    <n v="28500"/>
    <n v="0.62898245614035087"/>
  </r>
  <r>
    <n v="2019"/>
    <x v="8"/>
    <n v="27"/>
    <x v="10"/>
    <n v="12810"/>
    <n v="28500"/>
    <n v="0.4494736842105263"/>
  </r>
  <r>
    <n v="2019"/>
    <x v="8"/>
    <n v="27"/>
    <x v="11"/>
    <n v="2427.5"/>
    <n v="28500"/>
    <n v="8.5175438596491224E-2"/>
  </r>
  <r>
    <n v="2019"/>
    <x v="8"/>
    <n v="27"/>
    <x v="12"/>
    <n v="13112"/>
    <n v="28500"/>
    <n v="0.46007017543859652"/>
  </r>
  <r>
    <n v="2019"/>
    <x v="8"/>
    <n v="27"/>
    <x v="13"/>
    <n v="11839"/>
    <n v="28500"/>
    <n v="0.41540350877192983"/>
  </r>
  <r>
    <n v="2019"/>
    <x v="8"/>
    <n v="27"/>
    <x v="14"/>
    <n v="2732.5"/>
    <n v="28500"/>
    <n v="9.5877192982456144E-2"/>
  </r>
  <r>
    <n v="2019"/>
    <x v="8"/>
    <n v="27"/>
    <x v="15"/>
    <n v="15322"/>
    <n v="28500"/>
    <n v="0.53761403508771932"/>
  </r>
  <r>
    <n v="2019"/>
    <x v="8"/>
    <n v="27"/>
    <x v="16"/>
    <n v="8950"/>
    <n v="28500"/>
    <n v="0.31403508771929822"/>
  </r>
  <r>
    <n v="2019"/>
    <x v="8"/>
    <n v="27"/>
    <x v="17"/>
    <n v="393.5"/>
    <n v="28500"/>
    <n v="1.380701754385965E-2"/>
  </r>
  <r>
    <n v="2019"/>
    <x v="8"/>
    <n v="27"/>
    <x v="18"/>
    <n v="0"/>
    <n v="28500"/>
    <n v="0"/>
  </r>
  <r>
    <n v="2019"/>
    <x v="8"/>
    <n v="27"/>
    <x v="19"/>
    <n v="0"/>
    <n v="28500"/>
    <n v="0"/>
  </r>
  <r>
    <n v="2019"/>
    <x v="8"/>
    <n v="27"/>
    <x v="20"/>
    <n v="0"/>
    <n v="28500"/>
    <n v="0"/>
  </r>
  <r>
    <n v="2019"/>
    <x v="8"/>
    <n v="27"/>
    <x v="21"/>
    <n v="0"/>
    <n v="28500"/>
    <n v="0"/>
  </r>
  <r>
    <n v="2019"/>
    <x v="8"/>
    <n v="27"/>
    <x v="22"/>
    <n v="0"/>
    <n v="28500"/>
    <n v="0"/>
  </r>
  <r>
    <n v="2019"/>
    <x v="8"/>
    <n v="27"/>
    <x v="23"/>
    <n v="0"/>
    <n v="28500"/>
    <n v="0"/>
  </r>
  <r>
    <n v="2019"/>
    <x v="8"/>
    <n v="28"/>
    <x v="0"/>
    <n v="0"/>
    <n v="28500"/>
    <n v="0"/>
  </r>
  <r>
    <n v="2019"/>
    <x v="8"/>
    <n v="28"/>
    <x v="1"/>
    <n v="0"/>
    <n v="28500"/>
    <n v="0"/>
  </r>
  <r>
    <n v="2019"/>
    <x v="8"/>
    <n v="28"/>
    <x v="2"/>
    <n v="0"/>
    <n v="28500"/>
    <n v="0"/>
  </r>
  <r>
    <n v="2019"/>
    <x v="8"/>
    <n v="28"/>
    <x v="3"/>
    <n v="0"/>
    <n v="28500"/>
    <n v="0"/>
  </r>
  <r>
    <n v="2019"/>
    <x v="8"/>
    <n v="28"/>
    <x v="4"/>
    <n v="0"/>
    <n v="28500"/>
    <n v="0"/>
  </r>
  <r>
    <n v="2019"/>
    <x v="8"/>
    <n v="28"/>
    <x v="5"/>
    <n v="0"/>
    <n v="28500"/>
    <n v="0"/>
  </r>
  <r>
    <n v="2019"/>
    <x v="8"/>
    <n v="28"/>
    <x v="6"/>
    <n v="0"/>
    <n v="28500"/>
    <n v="0"/>
  </r>
  <r>
    <n v="2019"/>
    <x v="8"/>
    <n v="28"/>
    <x v="7"/>
    <n v="5466"/>
    <n v="28500"/>
    <n v="0.19178947368421054"/>
  </r>
  <r>
    <n v="2019"/>
    <x v="8"/>
    <n v="28"/>
    <x v="8"/>
    <n v="11032.5"/>
    <n v="28500"/>
    <n v="0.38710526315789473"/>
  </r>
  <r>
    <n v="2019"/>
    <x v="8"/>
    <n v="28"/>
    <x v="9"/>
    <n v="6850.5"/>
    <n v="28500"/>
    <n v="0.24036842105263159"/>
  </r>
  <r>
    <n v="2019"/>
    <x v="8"/>
    <n v="28"/>
    <x v="10"/>
    <n v="23856.5"/>
    <n v="28500"/>
    <n v="0.83707017543859652"/>
  </r>
  <r>
    <n v="2019"/>
    <x v="8"/>
    <n v="28"/>
    <x v="11"/>
    <n v="15971.5"/>
    <n v="28500"/>
    <n v="0.56040350877192979"/>
  </r>
  <r>
    <n v="2019"/>
    <x v="8"/>
    <n v="28"/>
    <x v="12"/>
    <n v="11679.5"/>
    <n v="28500"/>
    <n v="0.40980701754385968"/>
  </r>
  <r>
    <n v="2019"/>
    <x v="8"/>
    <n v="28"/>
    <x v="13"/>
    <n v="5364"/>
    <n v="28500"/>
    <n v="0.18821052631578947"/>
  </r>
  <r>
    <n v="2019"/>
    <x v="8"/>
    <n v="28"/>
    <x v="14"/>
    <n v="3605"/>
    <n v="28500"/>
    <n v="0.12649122807017543"/>
  </r>
  <r>
    <n v="2019"/>
    <x v="8"/>
    <n v="28"/>
    <x v="15"/>
    <n v="8918"/>
    <n v="28500"/>
    <n v="0.31291228070175436"/>
  </r>
  <r>
    <n v="2019"/>
    <x v="8"/>
    <n v="28"/>
    <x v="16"/>
    <n v="1982"/>
    <n v="28500"/>
    <n v="6.9543859649122811E-2"/>
  </r>
  <r>
    <n v="2019"/>
    <x v="8"/>
    <n v="28"/>
    <x v="17"/>
    <n v="721"/>
    <n v="28500"/>
    <n v="2.5298245614035087E-2"/>
  </r>
  <r>
    <n v="2019"/>
    <x v="8"/>
    <n v="28"/>
    <x v="18"/>
    <n v="0"/>
    <n v="28500"/>
    <n v="0"/>
  </r>
  <r>
    <n v="2019"/>
    <x v="8"/>
    <n v="28"/>
    <x v="19"/>
    <n v="0"/>
    <n v="28500"/>
    <n v="0"/>
  </r>
  <r>
    <n v="2019"/>
    <x v="8"/>
    <n v="28"/>
    <x v="20"/>
    <n v="0"/>
    <n v="28500"/>
    <n v="0"/>
  </r>
  <r>
    <n v="2019"/>
    <x v="8"/>
    <n v="28"/>
    <x v="21"/>
    <n v="0"/>
    <n v="28500"/>
    <n v="0"/>
  </r>
  <r>
    <n v="2019"/>
    <x v="8"/>
    <n v="28"/>
    <x v="22"/>
    <n v="0"/>
    <n v="28500"/>
    <n v="0"/>
  </r>
  <r>
    <n v="2019"/>
    <x v="8"/>
    <n v="28"/>
    <x v="23"/>
    <n v="0"/>
    <n v="28500"/>
    <n v="0"/>
  </r>
  <r>
    <n v="2019"/>
    <x v="8"/>
    <n v="29"/>
    <x v="0"/>
    <n v="0"/>
    <n v="28500"/>
    <n v="0"/>
  </r>
  <r>
    <n v="2019"/>
    <x v="8"/>
    <n v="29"/>
    <x v="1"/>
    <n v="0"/>
    <n v="28500"/>
    <n v="0"/>
  </r>
  <r>
    <n v="2019"/>
    <x v="8"/>
    <n v="29"/>
    <x v="2"/>
    <n v="0"/>
    <n v="28500"/>
    <n v="0"/>
  </r>
  <r>
    <n v="2019"/>
    <x v="8"/>
    <n v="29"/>
    <x v="3"/>
    <n v="0"/>
    <n v="28500"/>
    <n v="0"/>
  </r>
  <r>
    <n v="2019"/>
    <x v="8"/>
    <n v="29"/>
    <x v="4"/>
    <n v="0"/>
    <n v="28500"/>
    <n v="0"/>
  </r>
  <r>
    <n v="2019"/>
    <x v="8"/>
    <n v="29"/>
    <x v="5"/>
    <n v="0"/>
    <n v="28500"/>
    <n v="0"/>
  </r>
  <r>
    <n v="2019"/>
    <x v="8"/>
    <n v="29"/>
    <x v="6"/>
    <n v="0"/>
    <n v="28500"/>
    <n v="0"/>
  </r>
  <r>
    <n v="2019"/>
    <x v="8"/>
    <n v="29"/>
    <x v="7"/>
    <n v="524.5"/>
    <n v="28500"/>
    <n v="1.8403508771929825E-2"/>
  </r>
  <r>
    <n v="2019"/>
    <x v="8"/>
    <n v="29"/>
    <x v="8"/>
    <n v="2996.5"/>
    <n v="28500"/>
    <n v="0.10514035087719298"/>
  </r>
  <r>
    <n v="2019"/>
    <x v="8"/>
    <n v="29"/>
    <x v="9"/>
    <n v="1949.5"/>
    <n v="28500"/>
    <n v="6.8403508771929827E-2"/>
  </r>
  <r>
    <n v="2019"/>
    <x v="8"/>
    <n v="29"/>
    <x v="10"/>
    <n v="2279"/>
    <n v="28500"/>
    <n v="7.9964912280701753E-2"/>
  </r>
  <r>
    <n v="2019"/>
    <x v="8"/>
    <n v="29"/>
    <x v="11"/>
    <n v="3474"/>
    <n v="28500"/>
    <n v="0.12189473684210526"/>
  </r>
  <r>
    <n v="2019"/>
    <x v="8"/>
    <n v="29"/>
    <x v="12"/>
    <n v="6031.5"/>
    <n v="28500"/>
    <n v="0.21163157894736842"/>
  </r>
  <r>
    <n v="2019"/>
    <x v="8"/>
    <n v="29"/>
    <x v="13"/>
    <n v="4047.5"/>
    <n v="28500"/>
    <n v="0.14201754385964913"/>
  </r>
  <r>
    <n v="2019"/>
    <x v="8"/>
    <n v="29"/>
    <x v="14"/>
    <n v="12855.5"/>
    <n v="28500"/>
    <n v="0.45107017543859651"/>
  </r>
  <r>
    <n v="2019"/>
    <x v="8"/>
    <n v="29"/>
    <x v="15"/>
    <n v="5977"/>
    <n v="28500"/>
    <n v="0.20971929824561403"/>
  </r>
  <r>
    <n v="2019"/>
    <x v="8"/>
    <n v="29"/>
    <x v="16"/>
    <n v="1949"/>
    <n v="28500"/>
    <n v="6.8385964912280703E-2"/>
  </r>
  <r>
    <n v="2019"/>
    <x v="8"/>
    <n v="29"/>
    <x v="17"/>
    <n v="237.5"/>
    <n v="28500"/>
    <n v="8.3333333333333332E-3"/>
  </r>
  <r>
    <n v="2019"/>
    <x v="8"/>
    <n v="29"/>
    <x v="18"/>
    <n v="0"/>
    <n v="28500"/>
    <n v="0"/>
  </r>
  <r>
    <n v="2019"/>
    <x v="8"/>
    <n v="29"/>
    <x v="19"/>
    <n v="0"/>
    <n v="28500"/>
    <n v="0"/>
  </r>
  <r>
    <n v="2019"/>
    <x v="8"/>
    <n v="29"/>
    <x v="20"/>
    <n v="0"/>
    <n v="28500"/>
    <n v="0"/>
  </r>
  <r>
    <n v="2019"/>
    <x v="8"/>
    <n v="29"/>
    <x v="21"/>
    <n v="0"/>
    <n v="28500"/>
    <n v="0"/>
  </r>
  <r>
    <n v="2019"/>
    <x v="8"/>
    <n v="29"/>
    <x v="22"/>
    <n v="0"/>
    <n v="28500"/>
    <n v="0"/>
  </r>
  <r>
    <n v="2019"/>
    <x v="8"/>
    <n v="29"/>
    <x v="23"/>
    <n v="0"/>
    <n v="28500"/>
    <n v="0"/>
  </r>
  <r>
    <n v="2019"/>
    <x v="8"/>
    <n v="30"/>
    <x v="0"/>
    <n v="0"/>
    <n v="28500"/>
    <n v="0"/>
  </r>
  <r>
    <n v="2019"/>
    <x v="8"/>
    <n v="30"/>
    <x v="1"/>
    <n v="0"/>
    <n v="28500"/>
    <n v="0"/>
  </r>
  <r>
    <n v="2019"/>
    <x v="8"/>
    <n v="30"/>
    <x v="2"/>
    <n v="0"/>
    <n v="28500"/>
    <n v="0"/>
  </r>
  <r>
    <n v="2019"/>
    <x v="8"/>
    <n v="30"/>
    <x v="3"/>
    <n v="0"/>
    <n v="28500"/>
    <n v="0"/>
  </r>
  <r>
    <n v="2019"/>
    <x v="8"/>
    <n v="30"/>
    <x v="4"/>
    <n v="0"/>
    <n v="28500"/>
    <n v="0"/>
  </r>
  <r>
    <n v="2019"/>
    <x v="8"/>
    <n v="30"/>
    <x v="5"/>
    <n v="0"/>
    <n v="28500"/>
    <n v="0"/>
  </r>
  <r>
    <n v="2019"/>
    <x v="8"/>
    <n v="30"/>
    <x v="6"/>
    <n v="0"/>
    <n v="28500"/>
    <n v="0"/>
  </r>
  <r>
    <n v="2019"/>
    <x v="8"/>
    <n v="30"/>
    <x v="7"/>
    <n v="387.5"/>
    <n v="28500"/>
    <n v="1.3596491228070176E-2"/>
  </r>
  <r>
    <n v="2019"/>
    <x v="8"/>
    <n v="30"/>
    <x v="8"/>
    <n v="10418"/>
    <n v="28500"/>
    <n v="0.36554385964912278"/>
  </r>
  <r>
    <n v="2019"/>
    <x v="8"/>
    <n v="30"/>
    <x v="9"/>
    <n v="14370.5"/>
    <n v="28500"/>
    <n v="0.50422807017543858"/>
  </r>
  <r>
    <n v="2019"/>
    <x v="8"/>
    <n v="30"/>
    <x v="10"/>
    <n v="12722"/>
    <n v="28500"/>
    <n v="0.44638596491228072"/>
  </r>
  <r>
    <n v="2019"/>
    <x v="8"/>
    <n v="30"/>
    <x v="11"/>
    <n v="10679"/>
    <n v="28500"/>
    <n v="0.37470175438596492"/>
  </r>
  <r>
    <n v="2019"/>
    <x v="8"/>
    <n v="30"/>
    <x v="12"/>
    <n v="11013"/>
    <n v="28500"/>
    <n v="0.38642105263157894"/>
  </r>
  <r>
    <n v="2019"/>
    <x v="8"/>
    <n v="30"/>
    <x v="13"/>
    <n v="3132.5"/>
    <n v="28500"/>
    <n v="0.10991228070175439"/>
  </r>
  <r>
    <n v="2019"/>
    <x v="8"/>
    <n v="30"/>
    <x v="14"/>
    <n v="2651"/>
    <n v="28500"/>
    <n v="9.3017543859649124E-2"/>
  </r>
  <r>
    <n v="2019"/>
    <x v="8"/>
    <n v="30"/>
    <x v="15"/>
    <n v="556.5"/>
    <n v="28500"/>
    <n v="1.9526315789473683E-2"/>
  </r>
  <r>
    <n v="2019"/>
    <x v="8"/>
    <n v="30"/>
    <x v="16"/>
    <n v="1392"/>
    <n v="28500"/>
    <n v="4.8842105263157895E-2"/>
  </r>
  <r>
    <n v="2019"/>
    <x v="8"/>
    <n v="30"/>
    <x v="17"/>
    <n v="92"/>
    <n v="28500"/>
    <n v="3.2280701754385964E-3"/>
  </r>
  <r>
    <n v="2019"/>
    <x v="8"/>
    <n v="30"/>
    <x v="18"/>
    <n v="0"/>
    <n v="28500"/>
    <n v="0"/>
  </r>
  <r>
    <n v="2019"/>
    <x v="8"/>
    <n v="30"/>
    <x v="19"/>
    <n v="0"/>
    <n v="28500"/>
    <n v="0"/>
  </r>
  <r>
    <n v="2019"/>
    <x v="8"/>
    <n v="30"/>
    <x v="20"/>
    <n v="0"/>
    <n v="28500"/>
    <n v="0"/>
  </r>
  <r>
    <n v="2019"/>
    <x v="8"/>
    <n v="30"/>
    <x v="21"/>
    <n v="0"/>
    <n v="28500"/>
    <n v="0"/>
  </r>
  <r>
    <n v="2019"/>
    <x v="8"/>
    <n v="30"/>
    <x v="22"/>
    <n v="0"/>
    <n v="28500"/>
    <n v="0"/>
  </r>
  <r>
    <n v="2019"/>
    <x v="8"/>
    <n v="30"/>
    <x v="23"/>
    <n v="0"/>
    <n v="28500"/>
    <n v="0"/>
  </r>
  <r>
    <n v="2019"/>
    <x v="9"/>
    <n v="1"/>
    <x v="0"/>
    <n v="0"/>
    <n v="28500"/>
    <n v="0"/>
  </r>
  <r>
    <n v="2019"/>
    <x v="9"/>
    <n v="1"/>
    <x v="1"/>
    <n v="0"/>
    <n v="28500"/>
    <n v="0"/>
  </r>
  <r>
    <n v="2019"/>
    <x v="9"/>
    <n v="1"/>
    <x v="2"/>
    <n v="0"/>
    <n v="28500"/>
    <n v="0"/>
  </r>
  <r>
    <n v="2019"/>
    <x v="9"/>
    <n v="1"/>
    <x v="3"/>
    <n v="0"/>
    <n v="28500"/>
    <n v="0"/>
  </r>
  <r>
    <n v="2019"/>
    <x v="9"/>
    <n v="1"/>
    <x v="4"/>
    <n v="0"/>
    <n v="28500"/>
    <n v="0"/>
  </r>
  <r>
    <n v="2019"/>
    <x v="9"/>
    <n v="1"/>
    <x v="5"/>
    <n v="0"/>
    <n v="28500"/>
    <n v="0"/>
  </r>
  <r>
    <n v="2019"/>
    <x v="9"/>
    <n v="1"/>
    <x v="6"/>
    <n v="0"/>
    <n v="28500"/>
    <n v="0"/>
  </r>
  <r>
    <n v="2019"/>
    <x v="9"/>
    <n v="1"/>
    <x v="7"/>
    <n v="5978"/>
    <n v="28500"/>
    <n v="0.20975438596491228"/>
  </r>
  <r>
    <n v="2019"/>
    <x v="9"/>
    <n v="1"/>
    <x v="8"/>
    <n v="16506.5"/>
    <n v="28500"/>
    <n v="0.57917543859649123"/>
  </r>
  <r>
    <n v="2019"/>
    <x v="9"/>
    <n v="1"/>
    <x v="9"/>
    <n v="7088"/>
    <n v="28500"/>
    <n v="0.24870175438596492"/>
  </r>
  <r>
    <n v="2019"/>
    <x v="9"/>
    <n v="1"/>
    <x v="10"/>
    <n v="1099.5"/>
    <n v="28500"/>
    <n v="3.8578947368421053E-2"/>
  </r>
  <r>
    <n v="2019"/>
    <x v="9"/>
    <n v="1"/>
    <x v="11"/>
    <n v="10747"/>
    <n v="28500"/>
    <n v="0.37708771929824564"/>
  </r>
  <r>
    <n v="2019"/>
    <x v="9"/>
    <n v="1"/>
    <x v="12"/>
    <n v="23327"/>
    <n v="28500"/>
    <n v="0.81849122807017549"/>
  </r>
  <r>
    <n v="2019"/>
    <x v="9"/>
    <n v="1"/>
    <x v="13"/>
    <n v="32594.5"/>
    <n v="28500"/>
    <n v="1.1436666666666666"/>
  </r>
  <r>
    <n v="2019"/>
    <x v="9"/>
    <n v="1"/>
    <x v="14"/>
    <n v="16598"/>
    <n v="28500"/>
    <n v="0.58238596491228067"/>
  </r>
  <r>
    <n v="2019"/>
    <x v="9"/>
    <n v="1"/>
    <x v="15"/>
    <n v="7768"/>
    <n v="28500"/>
    <n v="0.27256140350877195"/>
  </r>
  <r>
    <n v="2019"/>
    <x v="9"/>
    <n v="1"/>
    <x v="16"/>
    <n v="972.5"/>
    <n v="28500"/>
    <n v="3.412280701754386E-2"/>
  </r>
  <r>
    <n v="2019"/>
    <x v="9"/>
    <n v="1"/>
    <x v="17"/>
    <n v="544"/>
    <n v="28500"/>
    <n v="1.9087719298245615E-2"/>
  </r>
  <r>
    <n v="2019"/>
    <x v="9"/>
    <n v="1"/>
    <x v="18"/>
    <n v="0"/>
    <n v="28500"/>
    <n v="0"/>
  </r>
  <r>
    <n v="2019"/>
    <x v="9"/>
    <n v="1"/>
    <x v="19"/>
    <n v="0"/>
    <n v="28500"/>
    <n v="0"/>
  </r>
  <r>
    <n v="2019"/>
    <x v="9"/>
    <n v="1"/>
    <x v="20"/>
    <n v="0"/>
    <n v="28500"/>
    <n v="0"/>
  </r>
  <r>
    <n v="2019"/>
    <x v="9"/>
    <n v="1"/>
    <x v="21"/>
    <n v="0"/>
    <n v="28500"/>
    <n v="0"/>
  </r>
  <r>
    <n v="2019"/>
    <x v="9"/>
    <n v="1"/>
    <x v="22"/>
    <n v="0"/>
    <n v="28500"/>
    <n v="0"/>
  </r>
  <r>
    <n v="2019"/>
    <x v="9"/>
    <n v="1"/>
    <x v="23"/>
    <n v="0"/>
    <n v="28500"/>
    <n v="0"/>
  </r>
  <r>
    <n v="2019"/>
    <x v="9"/>
    <n v="2"/>
    <x v="0"/>
    <n v="0"/>
    <n v="28500"/>
    <n v="0"/>
  </r>
  <r>
    <n v="2019"/>
    <x v="9"/>
    <n v="2"/>
    <x v="1"/>
    <n v="0"/>
    <n v="28500"/>
    <n v="0"/>
  </r>
  <r>
    <n v="2019"/>
    <x v="9"/>
    <n v="2"/>
    <x v="2"/>
    <n v="0"/>
    <n v="28500"/>
    <n v="0"/>
  </r>
  <r>
    <n v="2019"/>
    <x v="9"/>
    <n v="2"/>
    <x v="3"/>
    <n v="0"/>
    <n v="28500"/>
    <n v="0"/>
  </r>
  <r>
    <n v="2019"/>
    <x v="9"/>
    <n v="2"/>
    <x v="4"/>
    <n v="0"/>
    <n v="28500"/>
    <n v="0"/>
  </r>
  <r>
    <n v="2019"/>
    <x v="9"/>
    <n v="2"/>
    <x v="5"/>
    <n v="0"/>
    <n v="28500"/>
    <n v="0"/>
  </r>
  <r>
    <n v="2019"/>
    <x v="9"/>
    <n v="2"/>
    <x v="6"/>
    <n v="0"/>
    <n v="28500"/>
    <n v="0"/>
  </r>
  <r>
    <n v="2019"/>
    <x v="9"/>
    <n v="2"/>
    <x v="7"/>
    <n v="8607.5"/>
    <n v="28500"/>
    <n v="0.30201754385964913"/>
  </r>
  <r>
    <n v="2019"/>
    <x v="9"/>
    <n v="2"/>
    <x v="8"/>
    <n v="20134.5"/>
    <n v="28500"/>
    <n v="0.70647368421052636"/>
  </r>
  <r>
    <n v="2019"/>
    <x v="9"/>
    <n v="2"/>
    <x v="9"/>
    <n v="28690"/>
    <n v="28500"/>
    <n v="1.0066666666666666"/>
  </r>
  <r>
    <n v="2019"/>
    <x v="9"/>
    <n v="2"/>
    <x v="10"/>
    <n v="34843.5"/>
    <n v="28500"/>
    <n v="1.222578947368421"/>
  </r>
  <r>
    <n v="2019"/>
    <x v="9"/>
    <n v="2"/>
    <x v="11"/>
    <n v="36757"/>
    <n v="28500"/>
    <n v="1.289719298245614"/>
  </r>
  <r>
    <n v="2019"/>
    <x v="9"/>
    <n v="2"/>
    <x v="12"/>
    <n v="15898.5"/>
    <n v="28500"/>
    <n v="0.55784210526315792"/>
  </r>
  <r>
    <n v="2019"/>
    <x v="9"/>
    <n v="2"/>
    <x v="13"/>
    <n v="12859"/>
    <n v="28500"/>
    <n v="0.45119298245614037"/>
  </r>
  <r>
    <n v="2019"/>
    <x v="9"/>
    <n v="2"/>
    <x v="14"/>
    <n v="26464"/>
    <n v="28500"/>
    <n v="0.92856140350877192"/>
  </r>
  <r>
    <n v="2019"/>
    <x v="9"/>
    <n v="2"/>
    <x v="15"/>
    <n v="19760"/>
    <n v="28500"/>
    <n v="0.69333333333333336"/>
  </r>
  <r>
    <n v="2019"/>
    <x v="9"/>
    <n v="2"/>
    <x v="16"/>
    <n v="11536.5"/>
    <n v="28500"/>
    <n v="0.40478947368421053"/>
  </r>
  <r>
    <n v="2019"/>
    <x v="9"/>
    <n v="2"/>
    <x v="17"/>
    <n v="512.5"/>
    <n v="28500"/>
    <n v="1.7982456140350878E-2"/>
  </r>
  <r>
    <n v="2019"/>
    <x v="9"/>
    <n v="2"/>
    <x v="18"/>
    <n v="0"/>
    <n v="28500"/>
    <n v="0"/>
  </r>
  <r>
    <n v="2019"/>
    <x v="9"/>
    <n v="2"/>
    <x v="19"/>
    <n v="0"/>
    <n v="28500"/>
    <n v="0"/>
  </r>
  <r>
    <n v="2019"/>
    <x v="9"/>
    <n v="2"/>
    <x v="20"/>
    <n v="0"/>
    <n v="28500"/>
    <n v="0"/>
  </r>
  <r>
    <n v="2019"/>
    <x v="9"/>
    <n v="2"/>
    <x v="21"/>
    <n v="0"/>
    <n v="28500"/>
    <n v="0"/>
  </r>
  <r>
    <n v="2019"/>
    <x v="9"/>
    <n v="2"/>
    <x v="22"/>
    <n v="0"/>
    <n v="28500"/>
    <n v="0"/>
  </r>
  <r>
    <n v="2019"/>
    <x v="9"/>
    <n v="2"/>
    <x v="23"/>
    <n v="0"/>
    <n v="28500"/>
    <n v="0"/>
  </r>
  <r>
    <n v="2019"/>
    <x v="9"/>
    <n v="3"/>
    <x v="0"/>
    <n v="0"/>
    <n v="28500"/>
    <n v="0"/>
  </r>
  <r>
    <n v="2019"/>
    <x v="9"/>
    <n v="3"/>
    <x v="1"/>
    <n v="0"/>
    <n v="28500"/>
    <n v="0"/>
  </r>
  <r>
    <n v="2019"/>
    <x v="9"/>
    <n v="3"/>
    <x v="2"/>
    <n v="0"/>
    <n v="28500"/>
    <n v="0"/>
  </r>
  <r>
    <n v="2019"/>
    <x v="9"/>
    <n v="3"/>
    <x v="3"/>
    <n v="0"/>
    <n v="28500"/>
    <n v="0"/>
  </r>
  <r>
    <n v="2019"/>
    <x v="9"/>
    <n v="3"/>
    <x v="4"/>
    <n v="0"/>
    <n v="28500"/>
    <n v="0"/>
  </r>
  <r>
    <n v="2019"/>
    <x v="9"/>
    <n v="3"/>
    <x v="5"/>
    <n v="0"/>
    <n v="28500"/>
    <n v="0"/>
  </r>
  <r>
    <n v="2019"/>
    <x v="9"/>
    <n v="3"/>
    <x v="6"/>
    <n v="0"/>
    <n v="28500"/>
    <n v="0"/>
  </r>
  <r>
    <n v="2019"/>
    <x v="9"/>
    <n v="3"/>
    <x v="7"/>
    <n v="3364"/>
    <n v="28500"/>
    <n v="0.11803508771929824"/>
  </r>
  <r>
    <n v="2019"/>
    <x v="9"/>
    <n v="3"/>
    <x v="8"/>
    <n v="6944"/>
    <n v="28500"/>
    <n v="0.24364912280701753"/>
  </r>
  <r>
    <n v="2019"/>
    <x v="9"/>
    <n v="3"/>
    <x v="9"/>
    <n v="10307"/>
    <n v="28500"/>
    <n v="0.36164912280701755"/>
  </r>
  <r>
    <n v="2019"/>
    <x v="9"/>
    <n v="3"/>
    <x v="10"/>
    <n v="6310.5"/>
    <n v="28500"/>
    <n v="0.22142105263157894"/>
  </r>
  <r>
    <n v="2019"/>
    <x v="9"/>
    <n v="3"/>
    <x v="11"/>
    <n v="6440"/>
    <n v="28500"/>
    <n v="0.22596491228070176"/>
  </r>
  <r>
    <n v="2019"/>
    <x v="9"/>
    <n v="3"/>
    <x v="12"/>
    <n v="2923.5"/>
    <n v="28500"/>
    <n v="0.10257894736842105"/>
  </r>
  <r>
    <n v="2019"/>
    <x v="9"/>
    <n v="3"/>
    <x v="13"/>
    <n v="2169"/>
    <n v="28500"/>
    <n v="7.6105263157894731E-2"/>
  </r>
  <r>
    <n v="2019"/>
    <x v="9"/>
    <n v="3"/>
    <x v="14"/>
    <n v="4815"/>
    <n v="28500"/>
    <n v="0.16894736842105262"/>
  </r>
  <r>
    <n v="2019"/>
    <x v="9"/>
    <n v="3"/>
    <x v="15"/>
    <n v="3686"/>
    <n v="28500"/>
    <n v="0.12933333333333333"/>
  </r>
  <r>
    <n v="2019"/>
    <x v="9"/>
    <n v="3"/>
    <x v="16"/>
    <n v="1471.5"/>
    <n v="28500"/>
    <n v="5.1631578947368424E-2"/>
  </r>
  <r>
    <n v="2019"/>
    <x v="9"/>
    <n v="3"/>
    <x v="17"/>
    <n v="170"/>
    <n v="28500"/>
    <n v="5.9649122807017545E-3"/>
  </r>
  <r>
    <n v="2019"/>
    <x v="9"/>
    <n v="3"/>
    <x v="18"/>
    <n v="0"/>
    <n v="28500"/>
    <n v="0"/>
  </r>
  <r>
    <n v="2019"/>
    <x v="9"/>
    <n v="3"/>
    <x v="19"/>
    <n v="0"/>
    <n v="28500"/>
    <n v="0"/>
  </r>
  <r>
    <n v="2019"/>
    <x v="9"/>
    <n v="3"/>
    <x v="20"/>
    <n v="0"/>
    <n v="28500"/>
    <n v="0"/>
  </r>
  <r>
    <n v="2019"/>
    <x v="9"/>
    <n v="3"/>
    <x v="21"/>
    <n v="0"/>
    <n v="28500"/>
    <n v="0"/>
  </r>
  <r>
    <n v="2019"/>
    <x v="9"/>
    <n v="3"/>
    <x v="22"/>
    <n v="0"/>
    <n v="28500"/>
    <n v="0"/>
  </r>
  <r>
    <n v="2019"/>
    <x v="9"/>
    <n v="3"/>
    <x v="23"/>
    <n v="0"/>
    <n v="28500"/>
    <n v="0"/>
  </r>
  <r>
    <n v="2019"/>
    <x v="9"/>
    <n v="4"/>
    <x v="0"/>
    <n v="0"/>
    <n v="28500"/>
    <n v="0"/>
  </r>
  <r>
    <n v="2019"/>
    <x v="9"/>
    <n v="4"/>
    <x v="1"/>
    <n v="0"/>
    <n v="28500"/>
    <n v="0"/>
  </r>
  <r>
    <n v="2019"/>
    <x v="9"/>
    <n v="4"/>
    <x v="2"/>
    <n v="0"/>
    <n v="28500"/>
    <n v="0"/>
  </r>
  <r>
    <n v="2019"/>
    <x v="9"/>
    <n v="4"/>
    <x v="3"/>
    <n v="0"/>
    <n v="28500"/>
    <n v="0"/>
  </r>
  <r>
    <n v="2019"/>
    <x v="9"/>
    <n v="4"/>
    <x v="4"/>
    <n v="0"/>
    <n v="28500"/>
    <n v="0"/>
  </r>
  <r>
    <n v="2019"/>
    <x v="9"/>
    <n v="4"/>
    <x v="5"/>
    <n v="0"/>
    <n v="28500"/>
    <n v="0"/>
  </r>
  <r>
    <n v="2019"/>
    <x v="9"/>
    <n v="4"/>
    <x v="6"/>
    <n v="0"/>
    <n v="28500"/>
    <n v="0"/>
  </r>
  <r>
    <n v="2019"/>
    <x v="9"/>
    <n v="4"/>
    <x v="7"/>
    <n v="6727"/>
    <n v="28500"/>
    <n v="0.23603508771929824"/>
  </r>
  <r>
    <n v="2019"/>
    <x v="9"/>
    <n v="4"/>
    <x v="8"/>
    <n v="4634.5"/>
    <n v="28500"/>
    <n v="0.16261403508771929"/>
  </r>
  <r>
    <n v="2019"/>
    <x v="9"/>
    <n v="4"/>
    <x v="9"/>
    <n v="1579"/>
    <n v="28500"/>
    <n v="5.5403508771929823E-2"/>
  </r>
  <r>
    <n v="2019"/>
    <x v="9"/>
    <n v="4"/>
    <x v="10"/>
    <n v="5467"/>
    <n v="28500"/>
    <n v="0.19182456140350876"/>
  </r>
  <r>
    <n v="2019"/>
    <x v="9"/>
    <n v="4"/>
    <x v="11"/>
    <n v="9297"/>
    <n v="28500"/>
    <n v="0.32621052631578945"/>
  </r>
  <r>
    <n v="2019"/>
    <x v="9"/>
    <n v="4"/>
    <x v="12"/>
    <n v="2751.5"/>
    <n v="28500"/>
    <n v="9.6543859649122807E-2"/>
  </r>
  <r>
    <n v="2019"/>
    <x v="9"/>
    <n v="4"/>
    <x v="13"/>
    <n v="16996"/>
    <n v="28500"/>
    <n v="0.59635087719298241"/>
  </r>
  <r>
    <n v="2019"/>
    <x v="9"/>
    <n v="4"/>
    <x v="14"/>
    <n v="4643.5"/>
    <n v="28500"/>
    <n v="0.16292982456140351"/>
  </r>
  <r>
    <n v="2019"/>
    <x v="9"/>
    <n v="4"/>
    <x v="15"/>
    <n v="11411.5"/>
    <n v="28500"/>
    <n v="0.40040350877192982"/>
  </r>
  <r>
    <n v="2019"/>
    <x v="9"/>
    <n v="4"/>
    <x v="16"/>
    <n v="6182"/>
    <n v="28500"/>
    <n v="0.21691228070175439"/>
  </r>
  <r>
    <n v="2019"/>
    <x v="9"/>
    <n v="4"/>
    <x v="17"/>
    <n v="151"/>
    <n v="28500"/>
    <n v="5.2982456140350876E-3"/>
  </r>
  <r>
    <n v="2019"/>
    <x v="9"/>
    <n v="4"/>
    <x v="18"/>
    <n v="0"/>
    <n v="28500"/>
    <n v="0"/>
  </r>
  <r>
    <n v="2019"/>
    <x v="9"/>
    <n v="4"/>
    <x v="19"/>
    <n v="0"/>
    <n v="28500"/>
    <n v="0"/>
  </r>
  <r>
    <n v="2019"/>
    <x v="9"/>
    <n v="4"/>
    <x v="20"/>
    <n v="0"/>
    <n v="28500"/>
    <n v="0"/>
  </r>
  <r>
    <n v="2019"/>
    <x v="9"/>
    <n v="4"/>
    <x v="21"/>
    <n v="0"/>
    <n v="28500"/>
    <n v="0"/>
  </r>
  <r>
    <n v="2019"/>
    <x v="9"/>
    <n v="4"/>
    <x v="22"/>
    <n v="0"/>
    <n v="28500"/>
    <n v="0"/>
  </r>
  <r>
    <n v="2019"/>
    <x v="9"/>
    <n v="4"/>
    <x v="23"/>
    <n v="0"/>
    <n v="28500"/>
    <n v="0"/>
  </r>
  <r>
    <n v="2019"/>
    <x v="9"/>
    <n v="5"/>
    <x v="0"/>
    <n v="0"/>
    <n v="28500"/>
    <n v="0"/>
  </r>
  <r>
    <n v="2019"/>
    <x v="9"/>
    <n v="5"/>
    <x v="1"/>
    <n v="0"/>
    <n v="28500"/>
    <n v="0"/>
  </r>
  <r>
    <n v="2019"/>
    <x v="9"/>
    <n v="5"/>
    <x v="2"/>
    <n v="0"/>
    <n v="28500"/>
    <n v="0"/>
  </r>
  <r>
    <n v="2019"/>
    <x v="9"/>
    <n v="5"/>
    <x v="3"/>
    <n v="0"/>
    <n v="28500"/>
    <n v="0"/>
  </r>
  <r>
    <n v="2019"/>
    <x v="9"/>
    <n v="5"/>
    <x v="4"/>
    <n v="0"/>
    <n v="28500"/>
    <n v="0"/>
  </r>
  <r>
    <n v="2019"/>
    <x v="9"/>
    <n v="5"/>
    <x v="5"/>
    <n v="0"/>
    <n v="28500"/>
    <n v="0"/>
  </r>
  <r>
    <n v="2019"/>
    <x v="9"/>
    <n v="5"/>
    <x v="6"/>
    <n v="0"/>
    <n v="28500"/>
    <n v="0"/>
  </r>
  <r>
    <n v="2019"/>
    <x v="9"/>
    <n v="5"/>
    <x v="7"/>
    <n v="3248.5"/>
    <n v="28500"/>
    <n v="0.11398245614035088"/>
  </r>
  <r>
    <n v="2019"/>
    <x v="9"/>
    <n v="5"/>
    <x v="8"/>
    <n v="5356"/>
    <n v="28500"/>
    <n v="0.1879298245614035"/>
  </r>
  <r>
    <n v="2019"/>
    <x v="9"/>
    <n v="5"/>
    <x v="9"/>
    <n v="2158.5"/>
    <n v="28500"/>
    <n v="7.5736842105263158E-2"/>
  </r>
  <r>
    <n v="2019"/>
    <x v="9"/>
    <n v="5"/>
    <x v="10"/>
    <n v="7853.5"/>
    <n v="28500"/>
    <n v="0.27556140350877195"/>
  </r>
  <r>
    <n v="2019"/>
    <x v="9"/>
    <n v="5"/>
    <x v="11"/>
    <n v="5855"/>
    <n v="28500"/>
    <n v="0.20543859649122806"/>
  </r>
  <r>
    <n v="2019"/>
    <x v="9"/>
    <n v="5"/>
    <x v="12"/>
    <n v="5696"/>
    <n v="28500"/>
    <n v="0.19985964912280701"/>
  </r>
  <r>
    <n v="2019"/>
    <x v="9"/>
    <n v="5"/>
    <x v="13"/>
    <n v="9612.5"/>
    <n v="28500"/>
    <n v="0.33728070175438596"/>
  </r>
  <r>
    <n v="2019"/>
    <x v="9"/>
    <n v="5"/>
    <x v="14"/>
    <n v="2036.5"/>
    <n v="28500"/>
    <n v="7.145614035087719E-2"/>
  </r>
  <r>
    <n v="2019"/>
    <x v="9"/>
    <n v="5"/>
    <x v="15"/>
    <n v="3429"/>
    <n v="28500"/>
    <n v="0.12031578947368421"/>
  </r>
  <r>
    <n v="2019"/>
    <x v="9"/>
    <n v="5"/>
    <x v="16"/>
    <n v="2220"/>
    <n v="28500"/>
    <n v="7.7894736842105267E-2"/>
  </r>
  <r>
    <n v="2019"/>
    <x v="9"/>
    <n v="5"/>
    <x v="17"/>
    <n v="0"/>
    <n v="28500"/>
    <n v="0"/>
  </r>
  <r>
    <n v="2019"/>
    <x v="9"/>
    <n v="5"/>
    <x v="18"/>
    <n v="0"/>
    <n v="28500"/>
    <n v="0"/>
  </r>
  <r>
    <n v="2019"/>
    <x v="9"/>
    <n v="5"/>
    <x v="19"/>
    <n v="0"/>
    <n v="28500"/>
    <n v="0"/>
  </r>
  <r>
    <n v="2019"/>
    <x v="9"/>
    <n v="5"/>
    <x v="20"/>
    <n v="0"/>
    <n v="28500"/>
    <n v="0"/>
  </r>
  <r>
    <n v="2019"/>
    <x v="9"/>
    <n v="5"/>
    <x v="21"/>
    <n v="0"/>
    <n v="28500"/>
    <n v="0"/>
  </r>
  <r>
    <n v="2019"/>
    <x v="9"/>
    <n v="5"/>
    <x v="22"/>
    <n v="0"/>
    <n v="28500"/>
    <n v="0"/>
  </r>
  <r>
    <n v="2019"/>
    <x v="9"/>
    <n v="5"/>
    <x v="23"/>
    <n v="0"/>
    <n v="28500"/>
    <n v="0"/>
  </r>
  <r>
    <n v="2019"/>
    <x v="9"/>
    <n v="6"/>
    <x v="0"/>
    <n v="0"/>
    <n v="28500"/>
    <n v="0"/>
  </r>
  <r>
    <n v="2019"/>
    <x v="9"/>
    <n v="6"/>
    <x v="1"/>
    <n v="0"/>
    <n v="28500"/>
    <n v="0"/>
  </r>
  <r>
    <n v="2019"/>
    <x v="9"/>
    <n v="6"/>
    <x v="2"/>
    <n v="0"/>
    <n v="28500"/>
    <n v="0"/>
  </r>
  <r>
    <n v="2019"/>
    <x v="9"/>
    <n v="6"/>
    <x v="3"/>
    <n v="0"/>
    <n v="28500"/>
    <n v="0"/>
  </r>
  <r>
    <n v="2019"/>
    <x v="9"/>
    <n v="6"/>
    <x v="4"/>
    <n v="0"/>
    <n v="28500"/>
    <n v="0"/>
  </r>
  <r>
    <n v="2019"/>
    <x v="9"/>
    <n v="6"/>
    <x v="5"/>
    <n v="0"/>
    <n v="28500"/>
    <n v="0"/>
  </r>
  <r>
    <n v="2019"/>
    <x v="9"/>
    <n v="6"/>
    <x v="6"/>
    <n v="0"/>
    <n v="28500"/>
    <n v="0"/>
  </r>
  <r>
    <n v="2019"/>
    <x v="9"/>
    <n v="6"/>
    <x v="7"/>
    <n v="4577.5"/>
    <n v="28500"/>
    <n v="0.16061403508771929"/>
  </r>
  <r>
    <n v="2019"/>
    <x v="9"/>
    <n v="6"/>
    <x v="8"/>
    <n v="9378.5"/>
    <n v="28500"/>
    <n v="0.32907017543859651"/>
  </r>
  <r>
    <n v="2019"/>
    <x v="9"/>
    <n v="6"/>
    <x v="9"/>
    <n v="17470"/>
    <n v="28500"/>
    <n v="0.61298245614035085"/>
  </r>
  <r>
    <n v="2019"/>
    <x v="9"/>
    <n v="6"/>
    <x v="10"/>
    <n v="3706"/>
    <n v="28500"/>
    <n v="0.13003508771929825"/>
  </r>
  <r>
    <n v="2019"/>
    <x v="9"/>
    <n v="6"/>
    <x v="11"/>
    <n v="11296.5"/>
    <n v="28500"/>
    <n v="0.39636842105263159"/>
  </r>
  <r>
    <n v="2019"/>
    <x v="9"/>
    <n v="6"/>
    <x v="12"/>
    <n v="14339.5"/>
    <n v="28500"/>
    <n v="0.503140350877193"/>
  </r>
  <r>
    <n v="2019"/>
    <x v="9"/>
    <n v="6"/>
    <x v="13"/>
    <n v="29246.5"/>
    <n v="28500"/>
    <n v="1.0261929824561404"/>
  </r>
  <r>
    <n v="2019"/>
    <x v="9"/>
    <n v="6"/>
    <x v="14"/>
    <n v="27683"/>
    <n v="28500"/>
    <n v="0.97133333333333338"/>
  </r>
  <r>
    <n v="2019"/>
    <x v="9"/>
    <n v="6"/>
    <x v="15"/>
    <n v="6361.5"/>
    <n v="28500"/>
    <n v="0.22321052631578947"/>
  </r>
  <r>
    <n v="2019"/>
    <x v="9"/>
    <n v="6"/>
    <x v="16"/>
    <n v="1788"/>
    <n v="28500"/>
    <n v="6.273684210526316E-2"/>
  </r>
  <r>
    <n v="2019"/>
    <x v="9"/>
    <n v="6"/>
    <x v="17"/>
    <n v="0"/>
    <n v="28500"/>
    <n v="0"/>
  </r>
  <r>
    <n v="2019"/>
    <x v="9"/>
    <n v="6"/>
    <x v="18"/>
    <n v="0"/>
    <n v="28500"/>
    <n v="0"/>
  </r>
  <r>
    <n v="2019"/>
    <x v="9"/>
    <n v="6"/>
    <x v="19"/>
    <n v="0"/>
    <n v="28500"/>
    <n v="0"/>
  </r>
  <r>
    <n v="2019"/>
    <x v="9"/>
    <n v="6"/>
    <x v="20"/>
    <n v="0"/>
    <n v="28500"/>
    <n v="0"/>
  </r>
  <r>
    <n v="2019"/>
    <x v="9"/>
    <n v="6"/>
    <x v="21"/>
    <n v="0"/>
    <n v="28500"/>
    <n v="0"/>
  </r>
  <r>
    <n v="2019"/>
    <x v="9"/>
    <n v="6"/>
    <x v="22"/>
    <n v="0"/>
    <n v="28500"/>
    <n v="0"/>
  </r>
  <r>
    <n v="2019"/>
    <x v="9"/>
    <n v="6"/>
    <x v="23"/>
    <n v="0"/>
    <n v="28500"/>
    <n v="0"/>
  </r>
  <r>
    <n v="2019"/>
    <x v="9"/>
    <n v="7"/>
    <x v="0"/>
    <n v="0"/>
    <n v="28500"/>
    <n v="0"/>
  </r>
  <r>
    <n v="2019"/>
    <x v="9"/>
    <n v="7"/>
    <x v="1"/>
    <n v="0"/>
    <n v="28500"/>
    <n v="0"/>
  </r>
  <r>
    <n v="2019"/>
    <x v="9"/>
    <n v="7"/>
    <x v="2"/>
    <n v="0"/>
    <n v="28500"/>
    <n v="0"/>
  </r>
  <r>
    <n v="2019"/>
    <x v="9"/>
    <n v="7"/>
    <x v="3"/>
    <n v="0"/>
    <n v="28500"/>
    <n v="0"/>
  </r>
  <r>
    <n v="2019"/>
    <x v="9"/>
    <n v="7"/>
    <x v="4"/>
    <n v="0"/>
    <n v="28500"/>
    <n v="0"/>
  </r>
  <r>
    <n v="2019"/>
    <x v="9"/>
    <n v="7"/>
    <x v="5"/>
    <n v="0"/>
    <n v="28500"/>
    <n v="0"/>
  </r>
  <r>
    <n v="2019"/>
    <x v="9"/>
    <n v="7"/>
    <x v="6"/>
    <n v="0"/>
    <n v="28500"/>
    <n v="0"/>
  </r>
  <r>
    <n v="2019"/>
    <x v="9"/>
    <n v="7"/>
    <x v="7"/>
    <n v="1534"/>
    <n v="28500"/>
    <n v="5.3824561403508775E-2"/>
  </r>
  <r>
    <n v="2019"/>
    <x v="9"/>
    <n v="7"/>
    <x v="8"/>
    <n v="10808"/>
    <n v="28500"/>
    <n v="0.37922807017543858"/>
  </r>
  <r>
    <n v="2019"/>
    <x v="9"/>
    <n v="7"/>
    <x v="9"/>
    <n v="6689.5"/>
    <n v="28500"/>
    <n v="0.23471929824561402"/>
  </r>
  <r>
    <n v="2019"/>
    <x v="9"/>
    <n v="7"/>
    <x v="10"/>
    <n v="8056.5"/>
    <n v="28500"/>
    <n v="0.28268421052631582"/>
  </r>
  <r>
    <n v="2019"/>
    <x v="9"/>
    <n v="7"/>
    <x v="11"/>
    <n v="6604"/>
    <n v="28500"/>
    <n v="0.23171929824561405"/>
  </r>
  <r>
    <n v="2019"/>
    <x v="9"/>
    <n v="7"/>
    <x v="12"/>
    <n v="13975"/>
    <n v="28500"/>
    <n v="0.49035087719298248"/>
  </r>
  <r>
    <n v="2019"/>
    <x v="9"/>
    <n v="7"/>
    <x v="13"/>
    <n v="2824.5"/>
    <n v="28500"/>
    <n v="9.9105263157894738E-2"/>
  </r>
  <r>
    <n v="2019"/>
    <x v="9"/>
    <n v="7"/>
    <x v="14"/>
    <n v="1291"/>
    <n v="28500"/>
    <n v="4.5298245614035088E-2"/>
  </r>
  <r>
    <n v="2019"/>
    <x v="9"/>
    <n v="7"/>
    <x v="15"/>
    <n v="2194"/>
    <n v="28500"/>
    <n v="7.6982456140350874E-2"/>
  </r>
  <r>
    <n v="2019"/>
    <x v="9"/>
    <n v="7"/>
    <x v="16"/>
    <n v="1188"/>
    <n v="28500"/>
    <n v="4.1684210526315789E-2"/>
  </r>
  <r>
    <n v="2019"/>
    <x v="9"/>
    <n v="7"/>
    <x v="17"/>
    <n v="0"/>
    <n v="28500"/>
    <n v="0"/>
  </r>
  <r>
    <n v="2019"/>
    <x v="9"/>
    <n v="7"/>
    <x v="18"/>
    <n v="0"/>
    <n v="28500"/>
    <n v="0"/>
  </r>
  <r>
    <n v="2019"/>
    <x v="9"/>
    <n v="7"/>
    <x v="19"/>
    <n v="0"/>
    <n v="28500"/>
    <n v="0"/>
  </r>
  <r>
    <n v="2019"/>
    <x v="9"/>
    <n v="7"/>
    <x v="20"/>
    <n v="0"/>
    <n v="28500"/>
    <n v="0"/>
  </r>
  <r>
    <n v="2019"/>
    <x v="9"/>
    <n v="7"/>
    <x v="21"/>
    <n v="0"/>
    <n v="28500"/>
    <n v="0"/>
  </r>
  <r>
    <n v="2019"/>
    <x v="9"/>
    <n v="7"/>
    <x v="22"/>
    <n v="0"/>
    <n v="28500"/>
    <n v="0"/>
  </r>
  <r>
    <n v="2019"/>
    <x v="9"/>
    <n v="7"/>
    <x v="23"/>
    <n v="0"/>
    <n v="28500"/>
    <n v="0"/>
  </r>
  <r>
    <n v="2019"/>
    <x v="9"/>
    <n v="8"/>
    <x v="0"/>
    <n v="0"/>
    <n v="28500"/>
    <n v="0"/>
  </r>
  <r>
    <n v="2019"/>
    <x v="9"/>
    <n v="8"/>
    <x v="1"/>
    <n v="0"/>
    <n v="28500"/>
    <n v="0"/>
  </r>
  <r>
    <n v="2019"/>
    <x v="9"/>
    <n v="8"/>
    <x v="2"/>
    <n v="0"/>
    <n v="28500"/>
    <n v="0"/>
  </r>
  <r>
    <n v="2019"/>
    <x v="9"/>
    <n v="8"/>
    <x v="3"/>
    <n v="0"/>
    <n v="28500"/>
    <n v="0"/>
  </r>
  <r>
    <n v="2019"/>
    <x v="9"/>
    <n v="8"/>
    <x v="4"/>
    <n v="0"/>
    <n v="28500"/>
    <n v="0"/>
  </r>
  <r>
    <n v="2019"/>
    <x v="9"/>
    <n v="8"/>
    <x v="5"/>
    <n v="0"/>
    <n v="28500"/>
    <n v="0"/>
  </r>
  <r>
    <n v="2019"/>
    <x v="9"/>
    <n v="8"/>
    <x v="6"/>
    <n v="0"/>
    <n v="28500"/>
    <n v="0"/>
  </r>
  <r>
    <n v="2019"/>
    <x v="9"/>
    <n v="8"/>
    <x v="7"/>
    <n v="4705.5"/>
    <n v="28500"/>
    <n v="0.16510526315789473"/>
  </r>
  <r>
    <n v="2019"/>
    <x v="9"/>
    <n v="8"/>
    <x v="8"/>
    <n v="5089.5"/>
    <n v="28500"/>
    <n v="0.17857894736842106"/>
  </r>
  <r>
    <n v="2019"/>
    <x v="9"/>
    <n v="8"/>
    <x v="9"/>
    <n v="22877"/>
    <n v="28500"/>
    <n v="0.80270175438596492"/>
  </r>
  <r>
    <n v="2019"/>
    <x v="9"/>
    <n v="8"/>
    <x v="10"/>
    <n v="17135.5"/>
    <n v="28500"/>
    <n v="0.60124561403508769"/>
  </r>
  <r>
    <n v="2019"/>
    <x v="9"/>
    <n v="8"/>
    <x v="11"/>
    <n v="3637.5"/>
    <n v="28500"/>
    <n v="0.12763157894736843"/>
  </r>
  <r>
    <n v="2019"/>
    <x v="9"/>
    <n v="8"/>
    <x v="12"/>
    <n v="4975"/>
    <n v="28500"/>
    <n v="0.17456140350877192"/>
  </r>
  <r>
    <n v="2019"/>
    <x v="9"/>
    <n v="8"/>
    <x v="13"/>
    <n v="25235.5"/>
    <n v="28500"/>
    <n v="0.88545614035087716"/>
  </r>
  <r>
    <n v="2019"/>
    <x v="9"/>
    <n v="8"/>
    <x v="14"/>
    <n v="16838.5"/>
    <n v="28500"/>
    <n v="0.59082456140350881"/>
  </r>
  <r>
    <n v="2019"/>
    <x v="9"/>
    <n v="8"/>
    <x v="15"/>
    <n v="17097"/>
    <n v="28500"/>
    <n v="0.59989473684210526"/>
  </r>
  <r>
    <n v="2019"/>
    <x v="9"/>
    <n v="8"/>
    <x v="16"/>
    <n v="1182"/>
    <n v="28500"/>
    <n v="4.1473684210526315E-2"/>
  </r>
  <r>
    <n v="2019"/>
    <x v="9"/>
    <n v="8"/>
    <x v="17"/>
    <n v="0"/>
    <n v="28500"/>
    <n v="0"/>
  </r>
  <r>
    <n v="2019"/>
    <x v="9"/>
    <n v="8"/>
    <x v="18"/>
    <n v="0"/>
    <n v="28500"/>
    <n v="0"/>
  </r>
  <r>
    <n v="2019"/>
    <x v="9"/>
    <n v="8"/>
    <x v="19"/>
    <n v="0"/>
    <n v="28500"/>
    <n v="0"/>
  </r>
  <r>
    <n v="2019"/>
    <x v="9"/>
    <n v="8"/>
    <x v="20"/>
    <n v="0"/>
    <n v="28500"/>
    <n v="0"/>
  </r>
  <r>
    <n v="2019"/>
    <x v="9"/>
    <n v="8"/>
    <x v="21"/>
    <n v="0"/>
    <n v="28500"/>
    <n v="0"/>
  </r>
  <r>
    <n v="2019"/>
    <x v="9"/>
    <n v="8"/>
    <x v="22"/>
    <n v="0"/>
    <n v="28500"/>
    <n v="0"/>
  </r>
  <r>
    <n v="2019"/>
    <x v="9"/>
    <n v="8"/>
    <x v="23"/>
    <n v="0"/>
    <n v="28500"/>
    <n v="0"/>
  </r>
  <r>
    <n v="2019"/>
    <x v="9"/>
    <n v="9"/>
    <x v="0"/>
    <n v="0"/>
    <n v="28500"/>
    <n v="0"/>
  </r>
  <r>
    <n v="2019"/>
    <x v="9"/>
    <n v="9"/>
    <x v="1"/>
    <n v="0"/>
    <n v="28500"/>
    <n v="0"/>
  </r>
  <r>
    <n v="2019"/>
    <x v="9"/>
    <n v="9"/>
    <x v="2"/>
    <n v="0"/>
    <n v="28500"/>
    <n v="0"/>
  </r>
  <r>
    <n v="2019"/>
    <x v="9"/>
    <n v="9"/>
    <x v="3"/>
    <n v="0"/>
    <n v="28500"/>
    <n v="0"/>
  </r>
  <r>
    <n v="2019"/>
    <x v="9"/>
    <n v="9"/>
    <x v="4"/>
    <n v="0"/>
    <n v="28500"/>
    <n v="0"/>
  </r>
  <r>
    <n v="2019"/>
    <x v="9"/>
    <n v="9"/>
    <x v="5"/>
    <n v="0"/>
    <n v="28500"/>
    <n v="0"/>
  </r>
  <r>
    <n v="2019"/>
    <x v="9"/>
    <n v="9"/>
    <x v="6"/>
    <n v="0"/>
    <n v="28500"/>
    <n v="0"/>
  </r>
  <r>
    <n v="2019"/>
    <x v="9"/>
    <n v="9"/>
    <x v="7"/>
    <n v="1302.5"/>
    <n v="28500"/>
    <n v="4.570175438596491E-2"/>
  </r>
  <r>
    <n v="2019"/>
    <x v="9"/>
    <n v="9"/>
    <x v="8"/>
    <n v="6877"/>
    <n v="28500"/>
    <n v="0.2412982456140351"/>
  </r>
  <r>
    <n v="2019"/>
    <x v="9"/>
    <n v="9"/>
    <x v="9"/>
    <n v="24148.5"/>
    <n v="28500"/>
    <n v="0.84731578947368424"/>
  </r>
  <r>
    <n v="2019"/>
    <x v="9"/>
    <n v="9"/>
    <x v="10"/>
    <n v="17193"/>
    <n v="28500"/>
    <n v="0.60326315789473683"/>
  </r>
  <r>
    <n v="2019"/>
    <x v="9"/>
    <n v="9"/>
    <x v="11"/>
    <n v="19468"/>
    <n v="28500"/>
    <n v="0.68308771929824563"/>
  </r>
  <r>
    <n v="2019"/>
    <x v="9"/>
    <n v="9"/>
    <x v="12"/>
    <n v="27925.5"/>
    <n v="28500"/>
    <n v="0.97984210526315785"/>
  </r>
  <r>
    <n v="2019"/>
    <x v="9"/>
    <n v="9"/>
    <x v="13"/>
    <n v="26859.5"/>
    <n v="28500"/>
    <n v="0.94243859649122808"/>
  </r>
  <r>
    <n v="2019"/>
    <x v="9"/>
    <n v="9"/>
    <x v="14"/>
    <n v="16811"/>
    <n v="28500"/>
    <n v="0.58985964912280697"/>
  </r>
  <r>
    <n v="2019"/>
    <x v="9"/>
    <n v="9"/>
    <x v="15"/>
    <n v="17350"/>
    <n v="28500"/>
    <n v="0.60877192982456141"/>
  </r>
  <r>
    <n v="2019"/>
    <x v="9"/>
    <n v="9"/>
    <x v="16"/>
    <n v="2342.5"/>
    <n v="28500"/>
    <n v="8.2192982456140345E-2"/>
  </r>
  <r>
    <n v="2019"/>
    <x v="9"/>
    <n v="9"/>
    <x v="17"/>
    <n v="0"/>
    <n v="28500"/>
    <n v="0"/>
  </r>
  <r>
    <n v="2019"/>
    <x v="9"/>
    <n v="9"/>
    <x v="18"/>
    <n v="0"/>
    <n v="28500"/>
    <n v="0"/>
  </r>
  <r>
    <n v="2019"/>
    <x v="9"/>
    <n v="9"/>
    <x v="19"/>
    <n v="0"/>
    <n v="28500"/>
    <n v="0"/>
  </r>
  <r>
    <n v="2019"/>
    <x v="9"/>
    <n v="9"/>
    <x v="20"/>
    <n v="0"/>
    <n v="28500"/>
    <n v="0"/>
  </r>
  <r>
    <n v="2019"/>
    <x v="9"/>
    <n v="9"/>
    <x v="21"/>
    <n v="0"/>
    <n v="28500"/>
    <n v="0"/>
  </r>
  <r>
    <n v="2019"/>
    <x v="9"/>
    <n v="9"/>
    <x v="22"/>
    <n v="0"/>
    <n v="28500"/>
    <n v="0"/>
  </r>
  <r>
    <n v="2019"/>
    <x v="9"/>
    <n v="9"/>
    <x v="23"/>
    <n v="0"/>
    <n v="28500"/>
    <n v="0"/>
  </r>
  <r>
    <n v="2019"/>
    <x v="9"/>
    <n v="10"/>
    <x v="0"/>
    <n v="0"/>
    <n v="28500"/>
    <n v="0"/>
  </r>
  <r>
    <n v="2019"/>
    <x v="9"/>
    <n v="10"/>
    <x v="1"/>
    <n v="0"/>
    <n v="28500"/>
    <n v="0"/>
  </r>
  <r>
    <n v="2019"/>
    <x v="9"/>
    <n v="10"/>
    <x v="2"/>
    <n v="0"/>
    <n v="28500"/>
    <n v="0"/>
  </r>
  <r>
    <n v="2019"/>
    <x v="9"/>
    <n v="10"/>
    <x v="3"/>
    <n v="0"/>
    <n v="28500"/>
    <n v="0"/>
  </r>
  <r>
    <n v="2019"/>
    <x v="9"/>
    <n v="10"/>
    <x v="4"/>
    <n v="0"/>
    <n v="28500"/>
    <n v="0"/>
  </r>
  <r>
    <n v="2019"/>
    <x v="9"/>
    <n v="10"/>
    <x v="5"/>
    <n v="0"/>
    <n v="28500"/>
    <n v="0"/>
  </r>
  <r>
    <n v="2019"/>
    <x v="9"/>
    <n v="10"/>
    <x v="6"/>
    <n v="0"/>
    <n v="28500"/>
    <n v="0"/>
  </r>
  <r>
    <n v="2019"/>
    <x v="9"/>
    <n v="10"/>
    <x v="7"/>
    <n v="3991"/>
    <n v="28500"/>
    <n v="0.14003508771929823"/>
  </r>
  <r>
    <n v="2019"/>
    <x v="9"/>
    <n v="10"/>
    <x v="8"/>
    <n v="16763"/>
    <n v="28500"/>
    <n v="0.58817543859649124"/>
  </r>
  <r>
    <n v="2019"/>
    <x v="9"/>
    <n v="10"/>
    <x v="9"/>
    <n v="23154.5"/>
    <n v="28500"/>
    <n v="0.81243859649122807"/>
  </r>
  <r>
    <n v="2019"/>
    <x v="9"/>
    <n v="10"/>
    <x v="10"/>
    <n v="30331.5"/>
    <n v="28500"/>
    <n v="1.0642631578947368"/>
  </r>
  <r>
    <n v="2019"/>
    <x v="9"/>
    <n v="10"/>
    <x v="11"/>
    <n v="26776"/>
    <n v="28500"/>
    <n v="0.93950877192982452"/>
  </r>
  <r>
    <n v="2019"/>
    <x v="9"/>
    <n v="10"/>
    <x v="12"/>
    <n v="21997.5"/>
    <n v="28500"/>
    <n v="0.77184210526315788"/>
  </r>
  <r>
    <n v="2019"/>
    <x v="9"/>
    <n v="10"/>
    <x v="13"/>
    <n v="24036.5"/>
    <n v="28500"/>
    <n v="0.84338596491228068"/>
  </r>
  <r>
    <n v="2019"/>
    <x v="9"/>
    <n v="10"/>
    <x v="14"/>
    <n v="18358"/>
    <n v="28500"/>
    <n v="0.64414035087719301"/>
  </r>
  <r>
    <n v="2019"/>
    <x v="9"/>
    <n v="10"/>
    <x v="15"/>
    <n v="8445"/>
    <n v="28500"/>
    <n v="0.2963157894736842"/>
  </r>
  <r>
    <n v="2019"/>
    <x v="9"/>
    <n v="10"/>
    <x v="16"/>
    <n v="1078.5"/>
    <n v="28500"/>
    <n v="3.7842105263157892E-2"/>
  </r>
  <r>
    <n v="2019"/>
    <x v="9"/>
    <n v="10"/>
    <x v="17"/>
    <n v="0"/>
    <n v="28500"/>
    <n v="0"/>
  </r>
  <r>
    <n v="2019"/>
    <x v="9"/>
    <n v="10"/>
    <x v="18"/>
    <n v="0"/>
    <n v="28500"/>
    <n v="0"/>
  </r>
  <r>
    <n v="2019"/>
    <x v="9"/>
    <n v="10"/>
    <x v="19"/>
    <n v="0"/>
    <n v="28500"/>
    <n v="0"/>
  </r>
  <r>
    <n v="2019"/>
    <x v="9"/>
    <n v="10"/>
    <x v="20"/>
    <n v="0"/>
    <n v="28500"/>
    <n v="0"/>
  </r>
  <r>
    <n v="2019"/>
    <x v="9"/>
    <n v="10"/>
    <x v="21"/>
    <n v="0"/>
    <n v="28500"/>
    <n v="0"/>
  </r>
  <r>
    <n v="2019"/>
    <x v="9"/>
    <n v="10"/>
    <x v="22"/>
    <n v="0"/>
    <n v="28500"/>
    <n v="0"/>
  </r>
  <r>
    <n v="2019"/>
    <x v="9"/>
    <n v="10"/>
    <x v="23"/>
    <n v="0"/>
    <n v="28500"/>
    <n v="0"/>
  </r>
  <r>
    <n v="2019"/>
    <x v="9"/>
    <n v="11"/>
    <x v="0"/>
    <n v="0"/>
    <n v="28500"/>
    <n v="0"/>
  </r>
  <r>
    <n v="2019"/>
    <x v="9"/>
    <n v="11"/>
    <x v="1"/>
    <n v="0"/>
    <n v="28500"/>
    <n v="0"/>
  </r>
  <r>
    <n v="2019"/>
    <x v="9"/>
    <n v="11"/>
    <x v="2"/>
    <n v="0"/>
    <n v="28500"/>
    <n v="0"/>
  </r>
  <r>
    <n v="2019"/>
    <x v="9"/>
    <n v="11"/>
    <x v="3"/>
    <n v="0"/>
    <n v="28500"/>
    <n v="0"/>
  </r>
  <r>
    <n v="2019"/>
    <x v="9"/>
    <n v="11"/>
    <x v="4"/>
    <n v="0"/>
    <n v="28500"/>
    <n v="0"/>
  </r>
  <r>
    <n v="2019"/>
    <x v="9"/>
    <n v="11"/>
    <x v="5"/>
    <n v="0"/>
    <n v="28500"/>
    <n v="0"/>
  </r>
  <r>
    <n v="2019"/>
    <x v="9"/>
    <n v="11"/>
    <x v="6"/>
    <n v="0"/>
    <n v="28500"/>
    <n v="0"/>
  </r>
  <r>
    <n v="2019"/>
    <x v="9"/>
    <n v="11"/>
    <x v="7"/>
    <n v="589.5"/>
    <n v="28500"/>
    <n v="2.0684210526315791E-2"/>
  </r>
  <r>
    <n v="2019"/>
    <x v="9"/>
    <n v="11"/>
    <x v="8"/>
    <n v="1929"/>
    <n v="28500"/>
    <n v="6.7684210526315791E-2"/>
  </r>
  <r>
    <n v="2019"/>
    <x v="9"/>
    <n v="11"/>
    <x v="9"/>
    <n v="5270"/>
    <n v="28500"/>
    <n v="0.18491228070175439"/>
  </r>
  <r>
    <n v="2019"/>
    <x v="9"/>
    <n v="11"/>
    <x v="10"/>
    <n v="3767.5"/>
    <n v="28500"/>
    <n v="0.13219298245614036"/>
  </r>
  <r>
    <n v="2019"/>
    <x v="9"/>
    <n v="11"/>
    <x v="11"/>
    <n v="3801"/>
    <n v="28500"/>
    <n v="0.13336842105263158"/>
  </r>
  <r>
    <n v="2019"/>
    <x v="9"/>
    <n v="11"/>
    <x v="12"/>
    <n v="3030"/>
    <n v="28500"/>
    <n v="0.10631578947368421"/>
  </r>
  <r>
    <n v="2019"/>
    <x v="9"/>
    <n v="11"/>
    <x v="13"/>
    <n v="3596"/>
    <n v="28500"/>
    <n v="0.12617543859649122"/>
  </r>
  <r>
    <n v="2019"/>
    <x v="9"/>
    <n v="11"/>
    <x v="14"/>
    <n v="3094"/>
    <n v="28500"/>
    <n v="0.10856140350877193"/>
  </r>
  <r>
    <n v="2019"/>
    <x v="9"/>
    <n v="11"/>
    <x v="15"/>
    <n v="2857.5"/>
    <n v="28500"/>
    <n v="0.10026315789473685"/>
  </r>
  <r>
    <n v="2019"/>
    <x v="9"/>
    <n v="11"/>
    <x v="16"/>
    <n v="1625"/>
    <n v="28500"/>
    <n v="5.701754385964912E-2"/>
  </r>
  <r>
    <n v="2019"/>
    <x v="9"/>
    <n v="11"/>
    <x v="17"/>
    <n v="0"/>
    <n v="28500"/>
    <n v="0"/>
  </r>
  <r>
    <n v="2019"/>
    <x v="9"/>
    <n v="11"/>
    <x v="18"/>
    <n v="0"/>
    <n v="28500"/>
    <n v="0"/>
  </r>
  <r>
    <n v="2019"/>
    <x v="9"/>
    <n v="11"/>
    <x v="19"/>
    <n v="0"/>
    <n v="28500"/>
    <n v="0"/>
  </r>
  <r>
    <n v="2019"/>
    <x v="9"/>
    <n v="11"/>
    <x v="20"/>
    <n v="0"/>
    <n v="28500"/>
    <n v="0"/>
  </r>
  <r>
    <n v="2019"/>
    <x v="9"/>
    <n v="11"/>
    <x v="21"/>
    <n v="0"/>
    <n v="28500"/>
    <n v="0"/>
  </r>
  <r>
    <n v="2019"/>
    <x v="9"/>
    <n v="11"/>
    <x v="22"/>
    <n v="0"/>
    <n v="28500"/>
    <n v="0"/>
  </r>
  <r>
    <n v="2019"/>
    <x v="9"/>
    <n v="11"/>
    <x v="23"/>
    <n v="0"/>
    <n v="28500"/>
    <n v="0"/>
  </r>
  <r>
    <n v="2019"/>
    <x v="9"/>
    <n v="12"/>
    <x v="0"/>
    <n v="0"/>
    <n v="28500"/>
    <n v="0"/>
  </r>
  <r>
    <n v="2019"/>
    <x v="9"/>
    <n v="12"/>
    <x v="1"/>
    <n v="0"/>
    <n v="28500"/>
    <n v="0"/>
  </r>
  <r>
    <n v="2019"/>
    <x v="9"/>
    <n v="12"/>
    <x v="2"/>
    <n v="0"/>
    <n v="28500"/>
    <n v="0"/>
  </r>
  <r>
    <n v="2019"/>
    <x v="9"/>
    <n v="12"/>
    <x v="3"/>
    <n v="0"/>
    <n v="28500"/>
    <n v="0"/>
  </r>
  <r>
    <n v="2019"/>
    <x v="9"/>
    <n v="12"/>
    <x v="4"/>
    <n v="0"/>
    <n v="28500"/>
    <n v="0"/>
  </r>
  <r>
    <n v="2019"/>
    <x v="9"/>
    <n v="12"/>
    <x v="5"/>
    <n v="0"/>
    <n v="28500"/>
    <n v="0"/>
  </r>
  <r>
    <n v="2019"/>
    <x v="9"/>
    <n v="12"/>
    <x v="6"/>
    <n v="0"/>
    <n v="28500"/>
    <n v="0"/>
  </r>
  <r>
    <n v="2019"/>
    <x v="9"/>
    <n v="12"/>
    <x v="7"/>
    <n v="901.5"/>
    <n v="28500"/>
    <n v="3.163157894736842E-2"/>
  </r>
  <r>
    <n v="2019"/>
    <x v="9"/>
    <n v="12"/>
    <x v="8"/>
    <n v="2223.5"/>
    <n v="28500"/>
    <n v="7.8017543859649124E-2"/>
  </r>
  <r>
    <n v="2019"/>
    <x v="9"/>
    <n v="12"/>
    <x v="9"/>
    <n v="1996"/>
    <n v="28500"/>
    <n v="7.0035087719298242E-2"/>
  </r>
  <r>
    <n v="2019"/>
    <x v="9"/>
    <n v="12"/>
    <x v="10"/>
    <n v="2817"/>
    <n v="28500"/>
    <n v="9.8842105263157898E-2"/>
  </r>
  <r>
    <n v="2019"/>
    <x v="9"/>
    <n v="12"/>
    <x v="11"/>
    <n v="3081"/>
    <n v="28500"/>
    <n v="0.10810526315789473"/>
  </r>
  <r>
    <n v="2019"/>
    <x v="9"/>
    <n v="12"/>
    <x v="12"/>
    <n v="3231.5"/>
    <n v="28500"/>
    <n v="0.1133859649122807"/>
  </r>
  <r>
    <n v="2019"/>
    <x v="9"/>
    <n v="12"/>
    <x v="13"/>
    <n v="2810"/>
    <n v="28500"/>
    <n v="9.8596491228070182E-2"/>
  </r>
  <r>
    <n v="2019"/>
    <x v="9"/>
    <n v="12"/>
    <x v="14"/>
    <n v="1986.5"/>
    <n v="28500"/>
    <n v="6.9701754385964917E-2"/>
  </r>
  <r>
    <n v="2019"/>
    <x v="9"/>
    <n v="12"/>
    <x v="15"/>
    <n v="2022.5"/>
    <n v="28500"/>
    <n v="7.0964912280701758E-2"/>
  </r>
  <r>
    <n v="2019"/>
    <x v="9"/>
    <n v="12"/>
    <x v="16"/>
    <n v="791.5"/>
    <n v="28500"/>
    <n v="2.7771929824561403E-2"/>
  </r>
  <r>
    <n v="2019"/>
    <x v="9"/>
    <n v="12"/>
    <x v="17"/>
    <n v="0"/>
    <n v="28500"/>
    <n v="0"/>
  </r>
  <r>
    <n v="2019"/>
    <x v="9"/>
    <n v="12"/>
    <x v="18"/>
    <n v="0"/>
    <n v="28500"/>
    <n v="0"/>
  </r>
  <r>
    <n v="2019"/>
    <x v="9"/>
    <n v="12"/>
    <x v="19"/>
    <n v="0"/>
    <n v="28500"/>
    <n v="0"/>
  </r>
  <r>
    <n v="2019"/>
    <x v="9"/>
    <n v="12"/>
    <x v="20"/>
    <n v="0"/>
    <n v="28500"/>
    <n v="0"/>
  </r>
  <r>
    <n v="2019"/>
    <x v="9"/>
    <n v="12"/>
    <x v="21"/>
    <n v="0"/>
    <n v="28500"/>
    <n v="0"/>
  </r>
  <r>
    <n v="2019"/>
    <x v="9"/>
    <n v="12"/>
    <x v="22"/>
    <n v="0"/>
    <n v="28500"/>
    <n v="0"/>
  </r>
  <r>
    <n v="2019"/>
    <x v="9"/>
    <n v="12"/>
    <x v="23"/>
    <n v="0"/>
    <n v="28500"/>
    <n v="0"/>
  </r>
  <r>
    <n v="2019"/>
    <x v="9"/>
    <n v="13"/>
    <x v="0"/>
    <n v="0"/>
    <n v="28500"/>
    <n v="0"/>
  </r>
  <r>
    <n v="2019"/>
    <x v="9"/>
    <n v="13"/>
    <x v="1"/>
    <n v="0"/>
    <n v="28500"/>
    <n v="0"/>
  </r>
  <r>
    <n v="2019"/>
    <x v="9"/>
    <n v="13"/>
    <x v="2"/>
    <n v="0"/>
    <n v="28500"/>
    <n v="0"/>
  </r>
  <r>
    <n v="2019"/>
    <x v="9"/>
    <n v="13"/>
    <x v="3"/>
    <n v="0"/>
    <n v="28500"/>
    <n v="0"/>
  </r>
  <r>
    <n v="2019"/>
    <x v="9"/>
    <n v="13"/>
    <x v="4"/>
    <n v="0"/>
    <n v="28500"/>
    <n v="0"/>
  </r>
  <r>
    <n v="2019"/>
    <x v="9"/>
    <n v="13"/>
    <x v="5"/>
    <n v="0"/>
    <n v="28500"/>
    <n v="0"/>
  </r>
  <r>
    <n v="2019"/>
    <x v="9"/>
    <n v="13"/>
    <x v="6"/>
    <n v="0"/>
    <n v="28500"/>
    <n v="0"/>
  </r>
  <r>
    <n v="2019"/>
    <x v="9"/>
    <n v="13"/>
    <x v="7"/>
    <n v="12"/>
    <n v="28500"/>
    <n v="4.2105263157894739E-4"/>
  </r>
  <r>
    <n v="2019"/>
    <x v="9"/>
    <n v="13"/>
    <x v="8"/>
    <n v="3817"/>
    <n v="28500"/>
    <n v="0.13392982456140351"/>
  </r>
  <r>
    <n v="2019"/>
    <x v="9"/>
    <n v="13"/>
    <x v="9"/>
    <n v="2468"/>
    <n v="28500"/>
    <n v="8.6596491228070172E-2"/>
  </r>
  <r>
    <n v="2019"/>
    <x v="9"/>
    <n v="13"/>
    <x v="10"/>
    <n v="9578"/>
    <n v="28500"/>
    <n v="0.33607017543859652"/>
  </r>
  <r>
    <n v="2019"/>
    <x v="9"/>
    <n v="13"/>
    <x v="11"/>
    <n v="2393.5"/>
    <n v="28500"/>
    <n v="8.3982456140350881E-2"/>
  </r>
  <r>
    <n v="2019"/>
    <x v="9"/>
    <n v="13"/>
    <x v="12"/>
    <n v="4836.5"/>
    <n v="28500"/>
    <n v="0.16970175438596491"/>
  </r>
  <r>
    <n v="2019"/>
    <x v="9"/>
    <n v="13"/>
    <x v="13"/>
    <n v="11701.5"/>
    <n v="28500"/>
    <n v="0.41057894736842104"/>
  </r>
  <r>
    <n v="2019"/>
    <x v="9"/>
    <n v="13"/>
    <x v="14"/>
    <n v="2029.5"/>
    <n v="28500"/>
    <n v="7.1210526315789474E-2"/>
  </r>
  <r>
    <n v="2019"/>
    <x v="9"/>
    <n v="13"/>
    <x v="15"/>
    <n v="15148"/>
    <n v="28500"/>
    <n v="0.5315087719298246"/>
  </r>
  <r>
    <n v="2019"/>
    <x v="9"/>
    <n v="13"/>
    <x v="16"/>
    <n v="5862.5"/>
    <n v="28500"/>
    <n v="0.20570175438596491"/>
  </r>
  <r>
    <n v="2019"/>
    <x v="9"/>
    <n v="13"/>
    <x v="17"/>
    <n v="0"/>
    <n v="28500"/>
    <n v="0"/>
  </r>
  <r>
    <n v="2019"/>
    <x v="9"/>
    <n v="13"/>
    <x v="18"/>
    <n v="0"/>
    <n v="28500"/>
    <n v="0"/>
  </r>
  <r>
    <n v="2019"/>
    <x v="9"/>
    <n v="13"/>
    <x v="19"/>
    <n v="0"/>
    <n v="28500"/>
    <n v="0"/>
  </r>
  <r>
    <n v="2019"/>
    <x v="9"/>
    <n v="13"/>
    <x v="20"/>
    <n v="0"/>
    <n v="28500"/>
    <n v="0"/>
  </r>
  <r>
    <n v="2019"/>
    <x v="9"/>
    <n v="13"/>
    <x v="21"/>
    <n v="0"/>
    <n v="28500"/>
    <n v="0"/>
  </r>
  <r>
    <n v="2019"/>
    <x v="9"/>
    <n v="13"/>
    <x v="22"/>
    <n v="0"/>
    <n v="28500"/>
    <n v="0"/>
  </r>
  <r>
    <n v="2019"/>
    <x v="9"/>
    <n v="13"/>
    <x v="23"/>
    <n v="0"/>
    <n v="28500"/>
    <n v="0"/>
  </r>
  <r>
    <n v="2019"/>
    <x v="9"/>
    <n v="14"/>
    <x v="0"/>
    <n v="0"/>
    <n v="28500"/>
    <n v="0"/>
  </r>
  <r>
    <n v="2019"/>
    <x v="9"/>
    <n v="14"/>
    <x v="1"/>
    <n v="0"/>
    <n v="28500"/>
    <n v="0"/>
  </r>
  <r>
    <n v="2019"/>
    <x v="9"/>
    <n v="14"/>
    <x v="2"/>
    <n v="0"/>
    <n v="28500"/>
    <n v="0"/>
  </r>
  <r>
    <n v="2019"/>
    <x v="9"/>
    <n v="14"/>
    <x v="3"/>
    <n v="0"/>
    <n v="28500"/>
    <n v="0"/>
  </r>
  <r>
    <n v="2019"/>
    <x v="9"/>
    <n v="14"/>
    <x v="4"/>
    <n v="0"/>
    <n v="28500"/>
    <n v="0"/>
  </r>
  <r>
    <n v="2019"/>
    <x v="9"/>
    <n v="14"/>
    <x v="5"/>
    <n v="0"/>
    <n v="28500"/>
    <n v="0"/>
  </r>
  <r>
    <n v="2019"/>
    <x v="9"/>
    <n v="14"/>
    <x v="6"/>
    <n v="0"/>
    <n v="28500"/>
    <n v="0"/>
  </r>
  <r>
    <n v="2019"/>
    <x v="9"/>
    <n v="14"/>
    <x v="7"/>
    <n v="773"/>
    <n v="28500"/>
    <n v="2.7122807017543861E-2"/>
  </r>
  <r>
    <n v="2019"/>
    <x v="9"/>
    <n v="14"/>
    <x v="8"/>
    <n v="1411.5"/>
    <n v="28500"/>
    <n v="4.9526315789473682E-2"/>
  </r>
  <r>
    <n v="2019"/>
    <x v="9"/>
    <n v="14"/>
    <x v="9"/>
    <n v="1695"/>
    <n v="28500"/>
    <n v="5.9473684210526317E-2"/>
  </r>
  <r>
    <n v="2019"/>
    <x v="9"/>
    <n v="14"/>
    <x v="10"/>
    <n v="3214.5"/>
    <n v="28500"/>
    <n v="0.11278947368421052"/>
  </r>
  <r>
    <n v="2019"/>
    <x v="9"/>
    <n v="14"/>
    <x v="11"/>
    <n v="3285.5"/>
    <n v="28500"/>
    <n v="0.11528070175438597"/>
  </r>
  <r>
    <n v="2019"/>
    <x v="9"/>
    <n v="14"/>
    <x v="12"/>
    <n v="1830.5"/>
    <n v="28500"/>
    <n v="6.4228070175438592E-2"/>
  </r>
  <r>
    <n v="2019"/>
    <x v="9"/>
    <n v="14"/>
    <x v="13"/>
    <n v="2307.5"/>
    <n v="28500"/>
    <n v="8.0964912280701753E-2"/>
  </r>
  <r>
    <n v="2019"/>
    <x v="9"/>
    <n v="14"/>
    <x v="14"/>
    <n v="1359.5"/>
    <n v="28500"/>
    <n v="4.7701754385964912E-2"/>
  </r>
  <r>
    <n v="2019"/>
    <x v="9"/>
    <n v="14"/>
    <x v="15"/>
    <n v="6420"/>
    <n v="28500"/>
    <n v="0.22526315789473683"/>
  </r>
  <r>
    <n v="2019"/>
    <x v="9"/>
    <n v="14"/>
    <x v="16"/>
    <n v="1260"/>
    <n v="28500"/>
    <n v="4.4210526315789471E-2"/>
  </r>
  <r>
    <n v="2019"/>
    <x v="9"/>
    <n v="14"/>
    <x v="17"/>
    <n v="0"/>
    <n v="28500"/>
    <n v="0"/>
  </r>
  <r>
    <n v="2019"/>
    <x v="9"/>
    <n v="14"/>
    <x v="18"/>
    <n v="0"/>
    <n v="28500"/>
    <n v="0"/>
  </r>
  <r>
    <n v="2019"/>
    <x v="9"/>
    <n v="14"/>
    <x v="19"/>
    <n v="0"/>
    <n v="28500"/>
    <n v="0"/>
  </r>
  <r>
    <n v="2019"/>
    <x v="9"/>
    <n v="14"/>
    <x v="20"/>
    <n v="0"/>
    <n v="28500"/>
    <n v="0"/>
  </r>
  <r>
    <n v="2019"/>
    <x v="9"/>
    <n v="14"/>
    <x v="21"/>
    <n v="0"/>
    <n v="28500"/>
    <n v="0"/>
  </r>
  <r>
    <n v="2019"/>
    <x v="9"/>
    <n v="14"/>
    <x v="22"/>
    <n v="0"/>
    <n v="28500"/>
    <n v="0"/>
  </r>
  <r>
    <n v="2019"/>
    <x v="9"/>
    <n v="14"/>
    <x v="23"/>
    <n v="0"/>
    <n v="28500"/>
    <n v="0"/>
  </r>
  <r>
    <n v="2019"/>
    <x v="9"/>
    <n v="15"/>
    <x v="0"/>
    <n v="0"/>
    <n v="28500"/>
    <n v="0"/>
  </r>
  <r>
    <n v="2019"/>
    <x v="9"/>
    <n v="15"/>
    <x v="1"/>
    <n v="0"/>
    <n v="28500"/>
    <n v="0"/>
  </r>
  <r>
    <n v="2019"/>
    <x v="9"/>
    <n v="15"/>
    <x v="2"/>
    <n v="0"/>
    <n v="28500"/>
    <n v="0"/>
  </r>
  <r>
    <n v="2019"/>
    <x v="9"/>
    <n v="15"/>
    <x v="3"/>
    <n v="0"/>
    <n v="28500"/>
    <n v="0"/>
  </r>
  <r>
    <n v="2019"/>
    <x v="9"/>
    <n v="15"/>
    <x v="4"/>
    <n v="0"/>
    <n v="28500"/>
    <n v="0"/>
  </r>
  <r>
    <n v="2019"/>
    <x v="9"/>
    <n v="15"/>
    <x v="5"/>
    <n v="0"/>
    <n v="28500"/>
    <n v="0"/>
  </r>
  <r>
    <n v="2019"/>
    <x v="9"/>
    <n v="15"/>
    <x v="6"/>
    <n v="0"/>
    <n v="28500"/>
    <n v="0"/>
  </r>
  <r>
    <n v="2019"/>
    <x v="9"/>
    <n v="15"/>
    <x v="7"/>
    <n v="877"/>
    <n v="28500"/>
    <n v="3.0771929824561405E-2"/>
  </r>
  <r>
    <n v="2019"/>
    <x v="9"/>
    <n v="15"/>
    <x v="8"/>
    <n v="4822.5"/>
    <n v="28500"/>
    <n v="0.16921052631578948"/>
  </r>
  <r>
    <n v="2019"/>
    <x v="9"/>
    <n v="15"/>
    <x v="9"/>
    <n v="8844"/>
    <n v="28500"/>
    <n v="0.31031578947368421"/>
  </r>
  <r>
    <n v="2019"/>
    <x v="9"/>
    <n v="15"/>
    <x v="10"/>
    <n v="15035.5"/>
    <n v="28500"/>
    <n v="0.5275614035087719"/>
  </r>
  <r>
    <n v="2019"/>
    <x v="9"/>
    <n v="15"/>
    <x v="11"/>
    <n v="11968.5"/>
    <n v="28500"/>
    <n v="0.41994736842105262"/>
  </r>
  <r>
    <n v="2019"/>
    <x v="9"/>
    <n v="15"/>
    <x v="12"/>
    <n v="24860"/>
    <n v="28500"/>
    <n v="0.87228070175438599"/>
  </r>
  <r>
    <n v="2019"/>
    <x v="9"/>
    <n v="15"/>
    <x v="13"/>
    <n v="16528"/>
    <n v="28500"/>
    <n v="0.57992982456140352"/>
  </r>
  <r>
    <n v="2019"/>
    <x v="9"/>
    <n v="15"/>
    <x v="14"/>
    <n v="5776"/>
    <n v="28500"/>
    <n v="0.20266666666666666"/>
  </r>
  <r>
    <n v="2019"/>
    <x v="9"/>
    <n v="15"/>
    <x v="15"/>
    <n v="9474"/>
    <n v="28500"/>
    <n v="0.33242105263157895"/>
  </r>
  <r>
    <n v="2019"/>
    <x v="9"/>
    <n v="15"/>
    <x v="16"/>
    <n v="5995"/>
    <n v="28500"/>
    <n v="0.21035087719298246"/>
  </r>
  <r>
    <n v="2019"/>
    <x v="9"/>
    <n v="15"/>
    <x v="17"/>
    <n v="0"/>
    <n v="28500"/>
    <n v="0"/>
  </r>
  <r>
    <n v="2019"/>
    <x v="9"/>
    <n v="15"/>
    <x v="18"/>
    <n v="0"/>
    <n v="28500"/>
    <n v="0"/>
  </r>
  <r>
    <n v="2019"/>
    <x v="9"/>
    <n v="15"/>
    <x v="19"/>
    <n v="0"/>
    <n v="28500"/>
    <n v="0"/>
  </r>
  <r>
    <n v="2019"/>
    <x v="9"/>
    <n v="15"/>
    <x v="20"/>
    <n v="0"/>
    <n v="28500"/>
    <n v="0"/>
  </r>
  <r>
    <n v="2019"/>
    <x v="9"/>
    <n v="15"/>
    <x v="21"/>
    <n v="0"/>
    <n v="28500"/>
    <n v="0"/>
  </r>
  <r>
    <n v="2019"/>
    <x v="9"/>
    <n v="15"/>
    <x v="22"/>
    <n v="0"/>
    <n v="28500"/>
    <n v="0"/>
  </r>
  <r>
    <n v="2019"/>
    <x v="9"/>
    <n v="15"/>
    <x v="23"/>
    <n v="0"/>
    <n v="28500"/>
    <n v="0"/>
  </r>
  <r>
    <n v="2019"/>
    <x v="9"/>
    <n v="16"/>
    <x v="0"/>
    <n v="0"/>
    <n v="28500"/>
    <n v="0"/>
  </r>
  <r>
    <n v="2019"/>
    <x v="9"/>
    <n v="16"/>
    <x v="1"/>
    <n v="0"/>
    <n v="28500"/>
    <n v="0"/>
  </r>
  <r>
    <n v="2019"/>
    <x v="9"/>
    <n v="16"/>
    <x v="2"/>
    <n v="0"/>
    <n v="28500"/>
    <n v="0"/>
  </r>
  <r>
    <n v="2019"/>
    <x v="9"/>
    <n v="16"/>
    <x v="3"/>
    <n v="0"/>
    <n v="28500"/>
    <n v="0"/>
  </r>
  <r>
    <n v="2019"/>
    <x v="9"/>
    <n v="16"/>
    <x v="4"/>
    <n v="0"/>
    <n v="28500"/>
    <n v="0"/>
  </r>
  <r>
    <n v="2019"/>
    <x v="9"/>
    <n v="16"/>
    <x v="5"/>
    <n v="0"/>
    <n v="28500"/>
    <n v="0"/>
  </r>
  <r>
    <n v="2019"/>
    <x v="9"/>
    <n v="16"/>
    <x v="6"/>
    <n v="0"/>
    <n v="28500"/>
    <n v="0"/>
  </r>
  <r>
    <n v="2019"/>
    <x v="9"/>
    <n v="16"/>
    <x v="7"/>
    <n v="163.5"/>
    <n v="28500"/>
    <n v="5.7368421052631582E-3"/>
  </r>
  <r>
    <n v="2019"/>
    <x v="9"/>
    <n v="16"/>
    <x v="8"/>
    <n v="1748.5"/>
    <n v="28500"/>
    <n v="6.1350877192982455E-2"/>
  </r>
  <r>
    <n v="2019"/>
    <x v="9"/>
    <n v="16"/>
    <x v="9"/>
    <n v="5683"/>
    <n v="28500"/>
    <n v="0.19940350877192983"/>
  </r>
  <r>
    <n v="2019"/>
    <x v="9"/>
    <n v="16"/>
    <x v="10"/>
    <n v="7281"/>
    <n v="28500"/>
    <n v="0.2554736842105263"/>
  </r>
  <r>
    <n v="2019"/>
    <x v="9"/>
    <n v="16"/>
    <x v="11"/>
    <n v="13076"/>
    <n v="28500"/>
    <n v="0.45880701754385966"/>
  </r>
  <r>
    <n v="2019"/>
    <x v="9"/>
    <n v="16"/>
    <x v="12"/>
    <n v="20593.5"/>
    <n v="28500"/>
    <n v="0.7225789473684211"/>
  </r>
  <r>
    <n v="2019"/>
    <x v="9"/>
    <n v="16"/>
    <x v="13"/>
    <n v="21134"/>
    <n v="28500"/>
    <n v="0.74154385964912284"/>
  </r>
  <r>
    <n v="2019"/>
    <x v="9"/>
    <n v="16"/>
    <x v="14"/>
    <n v="6021.5"/>
    <n v="28500"/>
    <n v="0.21128070175438596"/>
  </r>
  <r>
    <n v="2019"/>
    <x v="9"/>
    <n v="16"/>
    <x v="15"/>
    <n v="12263"/>
    <n v="28500"/>
    <n v="0.43028070175438599"/>
  </r>
  <r>
    <n v="2019"/>
    <x v="9"/>
    <n v="16"/>
    <x v="16"/>
    <n v="1710.5"/>
    <n v="28500"/>
    <n v="6.0017543859649122E-2"/>
  </r>
  <r>
    <n v="2019"/>
    <x v="9"/>
    <n v="16"/>
    <x v="17"/>
    <n v="0"/>
    <n v="28500"/>
    <n v="0"/>
  </r>
  <r>
    <n v="2019"/>
    <x v="9"/>
    <n v="16"/>
    <x v="18"/>
    <n v="0"/>
    <n v="28500"/>
    <n v="0"/>
  </r>
  <r>
    <n v="2019"/>
    <x v="9"/>
    <n v="16"/>
    <x v="19"/>
    <n v="0"/>
    <n v="28500"/>
    <n v="0"/>
  </r>
  <r>
    <n v="2019"/>
    <x v="9"/>
    <n v="16"/>
    <x v="20"/>
    <n v="0"/>
    <n v="28500"/>
    <n v="0"/>
  </r>
  <r>
    <n v="2019"/>
    <x v="9"/>
    <n v="16"/>
    <x v="21"/>
    <n v="0"/>
    <n v="28500"/>
    <n v="0"/>
  </r>
  <r>
    <n v="2019"/>
    <x v="9"/>
    <n v="16"/>
    <x v="22"/>
    <n v="0"/>
    <n v="28500"/>
    <n v="0"/>
  </r>
  <r>
    <n v="2019"/>
    <x v="9"/>
    <n v="16"/>
    <x v="23"/>
    <n v="0"/>
    <n v="28500"/>
    <n v="0"/>
  </r>
  <r>
    <n v="2019"/>
    <x v="9"/>
    <n v="17"/>
    <x v="0"/>
    <n v="0"/>
    <n v="28500"/>
    <n v="0"/>
  </r>
  <r>
    <n v="2019"/>
    <x v="9"/>
    <n v="17"/>
    <x v="1"/>
    <n v="0"/>
    <n v="28500"/>
    <n v="0"/>
  </r>
  <r>
    <n v="2019"/>
    <x v="9"/>
    <n v="17"/>
    <x v="2"/>
    <n v="0"/>
    <n v="28500"/>
    <n v="0"/>
  </r>
  <r>
    <n v="2019"/>
    <x v="9"/>
    <n v="17"/>
    <x v="3"/>
    <n v="0"/>
    <n v="28500"/>
    <n v="0"/>
  </r>
  <r>
    <n v="2019"/>
    <x v="9"/>
    <n v="17"/>
    <x v="4"/>
    <n v="0"/>
    <n v="28500"/>
    <n v="0"/>
  </r>
  <r>
    <n v="2019"/>
    <x v="9"/>
    <n v="17"/>
    <x v="5"/>
    <n v="0"/>
    <n v="28500"/>
    <n v="0"/>
  </r>
  <r>
    <n v="2019"/>
    <x v="9"/>
    <n v="17"/>
    <x v="6"/>
    <n v="0"/>
    <n v="28500"/>
    <n v="0"/>
  </r>
  <r>
    <n v="2019"/>
    <x v="9"/>
    <n v="17"/>
    <x v="7"/>
    <n v="4205.5"/>
    <n v="28500"/>
    <n v="0.14756140350877192"/>
  </r>
  <r>
    <n v="2019"/>
    <x v="9"/>
    <n v="17"/>
    <x v="8"/>
    <n v="15352.5"/>
    <n v="28500"/>
    <n v="0.53868421052631577"/>
  </r>
  <r>
    <n v="2019"/>
    <x v="9"/>
    <n v="17"/>
    <x v="9"/>
    <n v="23996.5"/>
    <n v="28500"/>
    <n v="0.84198245614035083"/>
  </r>
  <r>
    <n v="2019"/>
    <x v="9"/>
    <n v="17"/>
    <x v="10"/>
    <n v="6482"/>
    <n v="28500"/>
    <n v="0.22743859649122808"/>
  </r>
  <r>
    <n v="2019"/>
    <x v="9"/>
    <n v="17"/>
    <x v="11"/>
    <n v="15012"/>
    <n v="28500"/>
    <n v="0.52673684210526317"/>
  </r>
  <r>
    <n v="2019"/>
    <x v="9"/>
    <n v="17"/>
    <x v="12"/>
    <n v="8581.5"/>
    <n v="28500"/>
    <n v="0.30110526315789471"/>
  </r>
  <r>
    <n v="2019"/>
    <x v="9"/>
    <n v="17"/>
    <x v="13"/>
    <n v="1833"/>
    <n v="28500"/>
    <n v="6.4315789473684215E-2"/>
  </r>
  <r>
    <n v="2019"/>
    <x v="9"/>
    <n v="17"/>
    <x v="14"/>
    <n v="3077"/>
    <n v="28500"/>
    <n v="0.10796491228070175"/>
  </r>
  <r>
    <n v="2019"/>
    <x v="9"/>
    <n v="17"/>
    <x v="15"/>
    <n v="17200.5"/>
    <n v="28500"/>
    <n v="0.60352631578947369"/>
  </r>
  <r>
    <n v="2019"/>
    <x v="9"/>
    <n v="17"/>
    <x v="16"/>
    <n v="694"/>
    <n v="28500"/>
    <n v="2.4350877192982456E-2"/>
  </r>
  <r>
    <n v="2019"/>
    <x v="9"/>
    <n v="17"/>
    <x v="17"/>
    <n v="0"/>
    <n v="28500"/>
    <n v="0"/>
  </r>
  <r>
    <n v="2019"/>
    <x v="9"/>
    <n v="17"/>
    <x v="18"/>
    <n v="0"/>
    <n v="28500"/>
    <n v="0"/>
  </r>
  <r>
    <n v="2019"/>
    <x v="9"/>
    <n v="17"/>
    <x v="19"/>
    <n v="0"/>
    <n v="28500"/>
    <n v="0"/>
  </r>
  <r>
    <n v="2019"/>
    <x v="9"/>
    <n v="17"/>
    <x v="20"/>
    <n v="0"/>
    <n v="28500"/>
    <n v="0"/>
  </r>
  <r>
    <n v="2019"/>
    <x v="9"/>
    <n v="17"/>
    <x v="21"/>
    <n v="0"/>
    <n v="28500"/>
    <n v="0"/>
  </r>
  <r>
    <n v="2019"/>
    <x v="9"/>
    <n v="17"/>
    <x v="22"/>
    <n v="0"/>
    <n v="28500"/>
    <n v="0"/>
  </r>
  <r>
    <n v="2019"/>
    <x v="9"/>
    <n v="17"/>
    <x v="23"/>
    <n v="0"/>
    <n v="28500"/>
    <n v="0"/>
  </r>
  <r>
    <n v="2019"/>
    <x v="9"/>
    <n v="18"/>
    <x v="0"/>
    <n v="0"/>
    <n v="28500"/>
    <n v="0"/>
  </r>
  <r>
    <n v="2019"/>
    <x v="9"/>
    <n v="18"/>
    <x v="1"/>
    <n v="0"/>
    <n v="28500"/>
    <n v="0"/>
  </r>
  <r>
    <n v="2019"/>
    <x v="9"/>
    <n v="18"/>
    <x v="2"/>
    <n v="0"/>
    <n v="28500"/>
    <n v="0"/>
  </r>
  <r>
    <n v="2019"/>
    <x v="9"/>
    <n v="18"/>
    <x v="3"/>
    <n v="0"/>
    <n v="28500"/>
    <n v="0"/>
  </r>
  <r>
    <n v="2019"/>
    <x v="9"/>
    <n v="18"/>
    <x v="4"/>
    <n v="0"/>
    <n v="28500"/>
    <n v="0"/>
  </r>
  <r>
    <n v="2019"/>
    <x v="9"/>
    <n v="18"/>
    <x v="5"/>
    <n v="0"/>
    <n v="28500"/>
    <n v="0"/>
  </r>
  <r>
    <n v="2019"/>
    <x v="9"/>
    <n v="18"/>
    <x v="6"/>
    <n v="0"/>
    <n v="28500"/>
    <n v="0"/>
  </r>
  <r>
    <n v="2019"/>
    <x v="9"/>
    <n v="18"/>
    <x v="7"/>
    <n v="696"/>
    <n v="28500"/>
    <n v="2.4421052631578948E-2"/>
  </r>
  <r>
    <n v="2019"/>
    <x v="9"/>
    <n v="18"/>
    <x v="8"/>
    <n v="14144.5"/>
    <n v="28500"/>
    <n v="0.49629824561403507"/>
  </r>
  <r>
    <n v="2019"/>
    <x v="9"/>
    <n v="18"/>
    <x v="9"/>
    <n v="25612.5"/>
    <n v="28500"/>
    <n v="0.89868421052631575"/>
  </r>
  <r>
    <n v="2019"/>
    <x v="9"/>
    <n v="18"/>
    <x v="10"/>
    <n v="30934"/>
    <n v="28500"/>
    <n v="1.0854035087719298"/>
  </r>
  <r>
    <n v="2019"/>
    <x v="9"/>
    <n v="18"/>
    <x v="11"/>
    <n v="31304"/>
    <n v="28500"/>
    <n v="1.0983859649122807"/>
  </r>
  <r>
    <n v="2019"/>
    <x v="9"/>
    <n v="18"/>
    <x v="12"/>
    <n v="29636"/>
    <n v="28500"/>
    <n v="1.0398596491228069"/>
  </r>
  <r>
    <n v="2019"/>
    <x v="9"/>
    <n v="18"/>
    <x v="13"/>
    <n v="19405"/>
    <n v="28500"/>
    <n v="0.68087719298245619"/>
  </r>
  <r>
    <n v="2019"/>
    <x v="9"/>
    <n v="18"/>
    <x v="14"/>
    <n v="19293"/>
    <n v="28500"/>
    <n v="0.67694736842105263"/>
  </r>
  <r>
    <n v="2019"/>
    <x v="9"/>
    <n v="18"/>
    <x v="15"/>
    <n v="4254"/>
    <n v="28500"/>
    <n v="0.14926315789473685"/>
  </r>
  <r>
    <n v="2019"/>
    <x v="9"/>
    <n v="18"/>
    <x v="16"/>
    <n v="116.5"/>
    <n v="28500"/>
    <n v="4.087719298245614E-3"/>
  </r>
  <r>
    <n v="2019"/>
    <x v="9"/>
    <n v="18"/>
    <x v="17"/>
    <n v="0"/>
    <n v="28500"/>
    <n v="0"/>
  </r>
  <r>
    <n v="2019"/>
    <x v="9"/>
    <n v="18"/>
    <x v="18"/>
    <n v="0"/>
    <n v="28500"/>
    <n v="0"/>
  </r>
  <r>
    <n v="2019"/>
    <x v="9"/>
    <n v="18"/>
    <x v="19"/>
    <n v="0"/>
    <n v="28500"/>
    <n v="0"/>
  </r>
  <r>
    <n v="2019"/>
    <x v="9"/>
    <n v="18"/>
    <x v="20"/>
    <n v="0"/>
    <n v="28500"/>
    <n v="0"/>
  </r>
  <r>
    <n v="2019"/>
    <x v="9"/>
    <n v="18"/>
    <x v="21"/>
    <n v="0"/>
    <n v="28500"/>
    <n v="0"/>
  </r>
  <r>
    <n v="2019"/>
    <x v="9"/>
    <n v="18"/>
    <x v="22"/>
    <n v="0"/>
    <n v="28500"/>
    <n v="0"/>
  </r>
  <r>
    <n v="2019"/>
    <x v="9"/>
    <n v="18"/>
    <x v="23"/>
    <n v="0"/>
    <n v="28500"/>
    <n v="0"/>
  </r>
  <r>
    <n v="2019"/>
    <x v="9"/>
    <n v="19"/>
    <x v="0"/>
    <n v="0"/>
    <n v="28500"/>
    <n v="0"/>
  </r>
  <r>
    <n v="2019"/>
    <x v="9"/>
    <n v="19"/>
    <x v="1"/>
    <n v="0"/>
    <n v="28500"/>
    <n v="0"/>
  </r>
  <r>
    <n v="2019"/>
    <x v="9"/>
    <n v="19"/>
    <x v="2"/>
    <n v="0"/>
    <n v="28500"/>
    <n v="0"/>
  </r>
  <r>
    <n v="2019"/>
    <x v="9"/>
    <n v="19"/>
    <x v="3"/>
    <n v="0"/>
    <n v="28500"/>
    <n v="0"/>
  </r>
  <r>
    <n v="2019"/>
    <x v="9"/>
    <n v="19"/>
    <x v="4"/>
    <n v="0"/>
    <n v="28500"/>
    <n v="0"/>
  </r>
  <r>
    <n v="2019"/>
    <x v="9"/>
    <n v="19"/>
    <x v="5"/>
    <n v="0"/>
    <n v="28500"/>
    <n v="0"/>
  </r>
  <r>
    <n v="2019"/>
    <x v="9"/>
    <n v="19"/>
    <x v="6"/>
    <n v="0"/>
    <n v="28500"/>
    <n v="0"/>
  </r>
  <r>
    <n v="2019"/>
    <x v="9"/>
    <n v="19"/>
    <x v="7"/>
    <n v="5324.5"/>
    <n v="28500"/>
    <n v="0.18682456140350878"/>
  </r>
  <r>
    <n v="2019"/>
    <x v="9"/>
    <n v="19"/>
    <x v="8"/>
    <n v="17090.5"/>
    <n v="28500"/>
    <n v="0.59966666666666668"/>
  </r>
  <r>
    <n v="2019"/>
    <x v="9"/>
    <n v="19"/>
    <x v="9"/>
    <n v="25837"/>
    <n v="28500"/>
    <n v="0.9065614035087719"/>
  </r>
  <r>
    <n v="2019"/>
    <x v="9"/>
    <n v="19"/>
    <x v="10"/>
    <n v="32440.5"/>
    <n v="28500"/>
    <n v="1.1382631578947369"/>
  </r>
  <r>
    <n v="2019"/>
    <x v="9"/>
    <n v="19"/>
    <x v="11"/>
    <n v="30980.5"/>
    <n v="28500"/>
    <n v="1.0870350877192982"/>
  </r>
  <r>
    <n v="2019"/>
    <x v="9"/>
    <n v="19"/>
    <x v="12"/>
    <n v="13074.5"/>
    <n v="28500"/>
    <n v="0.4587543859649123"/>
  </r>
  <r>
    <n v="2019"/>
    <x v="9"/>
    <n v="19"/>
    <x v="13"/>
    <n v="20081"/>
    <n v="28500"/>
    <n v="0.70459649122807022"/>
  </r>
  <r>
    <n v="2019"/>
    <x v="9"/>
    <n v="19"/>
    <x v="14"/>
    <n v="22967"/>
    <n v="28500"/>
    <n v="0.80585964912280705"/>
  </r>
  <r>
    <n v="2019"/>
    <x v="9"/>
    <n v="19"/>
    <x v="15"/>
    <n v="13907.5"/>
    <n v="28500"/>
    <n v="0.48798245614035085"/>
  </r>
  <r>
    <n v="2019"/>
    <x v="9"/>
    <n v="19"/>
    <x v="16"/>
    <n v="1481"/>
    <n v="28500"/>
    <n v="5.1964912280701755E-2"/>
  </r>
  <r>
    <n v="2019"/>
    <x v="9"/>
    <n v="19"/>
    <x v="17"/>
    <n v="0"/>
    <n v="28500"/>
    <n v="0"/>
  </r>
  <r>
    <n v="2019"/>
    <x v="9"/>
    <n v="19"/>
    <x v="18"/>
    <n v="0"/>
    <n v="28500"/>
    <n v="0"/>
  </r>
  <r>
    <n v="2019"/>
    <x v="9"/>
    <n v="19"/>
    <x v="19"/>
    <n v="0"/>
    <n v="28500"/>
    <n v="0"/>
  </r>
  <r>
    <n v="2019"/>
    <x v="9"/>
    <n v="19"/>
    <x v="20"/>
    <n v="0"/>
    <n v="28500"/>
    <n v="0"/>
  </r>
  <r>
    <n v="2019"/>
    <x v="9"/>
    <n v="19"/>
    <x v="21"/>
    <n v="0"/>
    <n v="28500"/>
    <n v="0"/>
  </r>
  <r>
    <n v="2019"/>
    <x v="9"/>
    <n v="19"/>
    <x v="22"/>
    <n v="0"/>
    <n v="28500"/>
    <n v="0"/>
  </r>
  <r>
    <n v="2019"/>
    <x v="9"/>
    <n v="19"/>
    <x v="23"/>
    <n v="0"/>
    <n v="28500"/>
    <n v="0"/>
  </r>
  <r>
    <n v="2019"/>
    <x v="9"/>
    <n v="20"/>
    <x v="0"/>
    <n v="0"/>
    <n v="28500"/>
    <n v="0"/>
  </r>
  <r>
    <n v="2019"/>
    <x v="9"/>
    <n v="20"/>
    <x v="1"/>
    <n v="0"/>
    <n v="28500"/>
    <n v="0"/>
  </r>
  <r>
    <n v="2019"/>
    <x v="9"/>
    <n v="20"/>
    <x v="2"/>
    <n v="0"/>
    <n v="28500"/>
    <n v="0"/>
  </r>
  <r>
    <n v="2019"/>
    <x v="9"/>
    <n v="20"/>
    <x v="3"/>
    <n v="0"/>
    <n v="28500"/>
    <n v="0"/>
  </r>
  <r>
    <n v="2019"/>
    <x v="9"/>
    <n v="20"/>
    <x v="4"/>
    <n v="0"/>
    <n v="28500"/>
    <n v="0"/>
  </r>
  <r>
    <n v="2019"/>
    <x v="9"/>
    <n v="20"/>
    <x v="5"/>
    <n v="0"/>
    <n v="28500"/>
    <n v="0"/>
  </r>
  <r>
    <n v="2019"/>
    <x v="9"/>
    <n v="20"/>
    <x v="6"/>
    <n v="0"/>
    <n v="28500"/>
    <n v="0"/>
  </r>
  <r>
    <n v="2019"/>
    <x v="9"/>
    <n v="20"/>
    <x v="7"/>
    <n v="3869.5"/>
    <n v="28500"/>
    <n v="0.1357719298245614"/>
  </r>
  <r>
    <n v="2019"/>
    <x v="9"/>
    <n v="20"/>
    <x v="8"/>
    <n v="18566.5"/>
    <n v="28500"/>
    <n v="0.65145614035087718"/>
  </r>
  <r>
    <n v="2019"/>
    <x v="9"/>
    <n v="20"/>
    <x v="9"/>
    <n v="26160.5"/>
    <n v="28500"/>
    <n v="0.91791228070175435"/>
  </r>
  <r>
    <n v="2019"/>
    <x v="9"/>
    <n v="20"/>
    <x v="10"/>
    <n v="24845.5"/>
    <n v="28500"/>
    <n v="0.87177192982456142"/>
  </r>
  <r>
    <n v="2019"/>
    <x v="9"/>
    <n v="20"/>
    <x v="11"/>
    <n v="16451.5"/>
    <n v="28500"/>
    <n v="0.57724561403508767"/>
  </r>
  <r>
    <n v="2019"/>
    <x v="9"/>
    <n v="20"/>
    <x v="12"/>
    <n v="11593"/>
    <n v="28500"/>
    <n v="0.4067719298245614"/>
  </r>
  <r>
    <n v="2019"/>
    <x v="9"/>
    <n v="20"/>
    <x v="13"/>
    <n v="8997"/>
    <n v="28500"/>
    <n v="0.31568421052631579"/>
  </r>
  <r>
    <n v="2019"/>
    <x v="9"/>
    <n v="20"/>
    <x v="14"/>
    <n v="2027"/>
    <n v="28500"/>
    <n v="7.1122807017543865E-2"/>
  </r>
  <r>
    <n v="2019"/>
    <x v="9"/>
    <n v="20"/>
    <x v="15"/>
    <n v="2065"/>
    <n v="28500"/>
    <n v="7.2456140350877191E-2"/>
  </r>
  <r>
    <n v="2019"/>
    <x v="9"/>
    <n v="20"/>
    <x v="16"/>
    <n v="1448"/>
    <n v="28500"/>
    <n v="5.0807017543859648E-2"/>
  </r>
  <r>
    <n v="2019"/>
    <x v="9"/>
    <n v="20"/>
    <x v="17"/>
    <n v="0"/>
    <n v="28500"/>
    <n v="0"/>
  </r>
  <r>
    <n v="2019"/>
    <x v="9"/>
    <n v="20"/>
    <x v="18"/>
    <n v="0"/>
    <n v="28500"/>
    <n v="0"/>
  </r>
  <r>
    <n v="2019"/>
    <x v="9"/>
    <n v="20"/>
    <x v="19"/>
    <n v="0"/>
    <n v="28500"/>
    <n v="0"/>
  </r>
  <r>
    <n v="2019"/>
    <x v="9"/>
    <n v="20"/>
    <x v="20"/>
    <n v="0"/>
    <n v="28500"/>
    <n v="0"/>
  </r>
  <r>
    <n v="2019"/>
    <x v="9"/>
    <n v="20"/>
    <x v="21"/>
    <n v="0"/>
    <n v="28500"/>
    <n v="0"/>
  </r>
  <r>
    <n v="2019"/>
    <x v="9"/>
    <n v="20"/>
    <x v="22"/>
    <n v="0"/>
    <n v="28500"/>
    <n v="0"/>
  </r>
  <r>
    <n v="2019"/>
    <x v="9"/>
    <n v="20"/>
    <x v="23"/>
    <n v="0"/>
    <n v="28500"/>
    <n v="0"/>
  </r>
  <r>
    <n v="2019"/>
    <x v="9"/>
    <n v="21"/>
    <x v="0"/>
    <n v="0"/>
    <n v="28500"/>
    <n v="0"/>
  </r>
  <r>
    <n v="2019"/>
    <x v="9"/>
    <n v="21"/>
    <x v="1"/>
    <n v="0"/>
    <n v="28500"/>
    <n v="0"/>
  </r>
  <r>
    <n v="2019"/>
    <x v="9"/>
    <n v="21"/>
    <x v="2"/>
    <n v="0"/>
    <n v="28500"/>
    <n v="0"/>
  </r>
  <r>
    <n v="2019"/>
    <x v="9"/>
    <n v="21"/>
    <x v="3"/>
    <n v="0"/>
    <n v="28500"/>
    <n v="0"/>
  </r>
  <r>
    <n v="2019"/>
    <x v="9"/>
    <n v="21"/>
    <x v="4"/>
    <n v="0"/>
    <n v="28500"/>
    <n v="0"/>
  </r>
  <r>
    <n v="2019"/>
    <x v="9"/>
    <n v="21"/>
    <x v="5"/>
    <n v="0"/>
    <n v="28500"/>
    <n v="0"/>
  </r>
  <r>
    <n v="2019"/>
    <x v="9"/>
    <n v="21"/>
    <x v="6"/>
    <n v="0"/>
    <n v="28500"/>
    <n v="0"/>
  </r>
  <r>
    <n v="2019"/>
    <x v="9"/>
    <n v="21"/>
    <x v="7"/>
    <n v="1164.5"/>
    <n v="28500"/>
    <n v="4.0859649122807019E-2"/>
  </r>
  <r>
    <n v="2019"/>
    <x v="9"/>
    <n v="21"/>
    <x v="8"/>
    <n v="1425"/>
    <n v="28500"/>
    <n v="0.05"/>
  </r>
  <r>
    <n v="2019"/>
    <x v="9"/>
    <n v="21"/>
    <x v="9"/>
    <n v="8828"/>
    <n v="28500"/>
    <n v="0.30975438596491228"/>
  </r>
  <r>
    <n v="2019"/>
    <x v="9"/>
    <n v="21"/>
    <x v="10"/>
    <n v="10480"/>
    <n v="28500"/>
    <n v="0.36771929824561406"/>
  </r>
  <r>
    <n v="2019"/>
    <x v="9"/>
    <n v="21"/>
    <x v="11"/>
    <n v="4487.5"/>
    <n v="28500"/>
    <n v="0.15745614035087718"/>
  </r>
  <r>
    <n v="2019"/>
    <x v="9"/>
    <n v="21"/>
    <x v="12"/>
    <n v="5330.5"/>
    <n v="28500"/>
    <n v="0.18703508771929825"/>
  </r>
  <r>
    <n v="2019"/>
    <x v="9"/>
    <n v="21"/>
    <x v="13"/>
    <n v="5323"/>
    <n v="28500"/>
    <n v="0.18677192982456139"/>
  </r>
  <r>
    <n v="2019"/>
    <x v="9"/>
    <n v="21"/>
    <x v="14"/>
    <n v="1809.5"/>
    <n v="28500"/>
    <n v="6.3491228070175432E-2"/>
  </r>
  <r>
    <n v="2019"/>
    <x v="9"/>
    <n v="21"/>
    <x v="15"/>
    <n v="386"/>
    <n v="28500"/>
    <n v="1.3543859649122808E-2"/>
  </r>
  <r>
    <n v="2019"/>
    <x v="9"/>
    <n v="21"/>
    <x v="16"/>
    <n v="733.5"/>
    <n v="28500"/>
    <n v="2.5736842105263159E-2"/>
  </r>
  <r>
    <n v="2019"/>
    <x v="9"/>
    <n v="21"/>
    <x v="17"/>
    <n v="0"/>
    <n v="28500"/>
    <n v="0"/>
  </r>
  <r>
    <n v="2019"/>
    <x v="9"/>
    <n v="21"/>
    <x v="18"/>
    <n v="0"/>
    <n v="28500"/>
    <n v="0"/>
  </r>
  <r>
    <n v="2019"/>
    <x v="9"/>
    <n v="21"/>
    <x v="19"/>
    <n v="0"/>
    <n v="28500"/>
    <n v="0"/>
  </r>
  <r>
    <n v="2019"/>
    <x v="9"/>
    <n v="21"/>
    <x v="20"/>
    <n v="0"/>
    <n v="28500"/>
    <n v="0"/>
  </r>
  <r>
    <n v="2019"/>
    <x v="9"/>
    <n v="21"/>
    <x v="21"/>
    <n v="0"/>
    <n v="28500"/>
    <n v="0"/>
  </r>
  <r>
    <n v="2019"/>
    <x v="9"/>
    <n v="21"/>
    <x v="22"/>
    <n v="0"/>
    <n v="28500"/>
    <n v="0"/>
  </r>
  <r>
    <n v="2019"/>
    <x v="9"/>
    <n v="21"/>
    <x v="23"/>
    <n v="0"/>
    <n v="28500"/>
    <n v="0"/>
  </r>
  <r>
    <n v="2019"/>
    <x v="9"/>
    <n v="22"/>
    <x v="0"/>
    <n v="0"/>
    <n v="28500"/>
    <n v="0"/>
  </r>
  <r>
    <n v="2019"/>
    <x v="9"/>
    <n v="22"/>
    <x v="1"/>
    <n v="0"/>
    <n v="28500"/>
    <n v="0"/>
  </r>
  <r>
    <n v="2019"/>
    <x v="9"/>
    <n v="22"/>
    <x v="2"/>
    <n v="0"/>
    <n v="28500"/>
    <n v="0"/>
  </r>
  <r>
    <n v="2019"/>
    <x v="9"/>
    <n v="22"/>
    <x v="3"/>
    <n v="0"/>
    <n v="28500"/>
    <n v="0"/>
  </r>
  <r>
    <n v="2019"/>
    <x v="9"/>
    <n v="22"/>
    <x v="4"/>
    <n v="0"/>
    <n v="28500"/>
    <n v="0"/>
  </r>
  <r>
    <n v="2019"/>
    <x v="9"/>
    <n v="22"/>
    <x v="5"/>
    <n v="0"/>
    <n v="28500"/>
    <n v="0"/>
  </r>
  <r>
    <n v="2019"/>
    <x v="9"/>
    <n v="22"/>
    <x v="6"/>
    <n v="0"/>
    <n v="28500"/>
    <n v="0"/>
  </r>
  <r>
    <n v="2019"/>
    <x v="9"/>
    <n v="22"/>
    <x v="7"/>
    <n v="2987.5"/>
    <n v="28500"/>
    <n v="0.10482456140350878"/>
  </r>
  <r>
    <n v="2019"/>
    <x v="9"/>
    <n v="22"/>
    <x v="8"/>
    <n v="12242.5"/>
    <n v="28500"/>
    <n v="0.42956140350877192"/>
  </r>
  <r>
    <n v="2019"/>
    <x v="9"/>
    <n v="22"/>
    <x v="9"/>
    <n v="24511"/>
    <n v="28500"/>
    <n v="0.86003508771929826"/>
  </r>
  <r>
    <n v="2019"/>
    <x v="9"/>
    <n v="22"/>
    <x v="10"/>
    <n v="30352"/>
    <n v="28500"/>
    <n v="1.0649824561403509"/>
  </r>
  <r>
    <n v="2019"/>
    <x v="9"/>
    <n v="22"/>
    <x v="11"/>
    <n v="33859.5"/>
    <n v="28500"/>
    <n v="1.1880526315789475"/>
  </r>
  <r>
    <n v="2019"/>
    <x v="9"/>
    <n v="22"/>
    <x v="12"/>
    <n v="35777.5"/>
    <n v="28500"/>
    <n v="1.2553508771929824"/>
  </r>
  <r>
    <n v="2019"/>
    <x v="9"/>
    <n v="22"/>
    <x v="13"/>
    <n v="34160.5"/>
    <n v="28500"/>
    <n v="1.1986140350877192"/>
  </r>
  <r>
    <n v="2019"/>
    <x v="9"/>
    <n v="22"/>
    <x v="14"/>
    <n v="27423"/>
    <n v="28500"/>
    <n v="0.96221052631578952"/>
  </r>
  <r>
    <n v="2019"/>
    <x v="9"/>
    <n v="22"/>
    <x v="15"/>
    <n v="17265.5"/>
    <n v="28500"/>
    <n v="0.60580701754385968"/>
  </r>
  <r>
    <n v="2019"/>
    <x v="9"/>
    <n v="22"/>
    <x v="16"/>
    <n v="4610"/>
    <n v="28500"/>
    <n v="0.16175438596491229"/>
  </r>
  <r>
    <n v="2019"/>
    <x v="9"/>
    <n v="22"/>
    <x v="17"/>
    <n v="0"/>
    <n v="28500"/>
    <n v="0"/>
  </r>
  <r>
    <n v="2019"/>
    <x v="9"/>
    <n v="22"/>
    <x v="18"/>
    <n v="0"/>
    <n v="28500"/>
    <n v="0"/>
  </r>
  <r>
    <n v="2019"/>
    <x v="9"/>
    <n v="22"/>
    <x v="19"/>
    <n v="0"/>
    <n v="28500"/>
    <n v="0"/>
  </r>
  <r>
    <n v="2019"/>
    <x v="9"/>
    <n v="22"/>
    <x v="20"/>
    <n v="0"/>
    <n v="28500"/>
    <n v="0"/>
  </r>
  <r>
    <n v="2019"/>
    <x v="9"/>
    <n v="22"/>
    <x v="21"/>
    <n v="0"/>
    <n v="28500"/>
    <n v="0"/>
  </r>
  <r>
    <n v="2019"/>
    <x v="9"/>
    <n v="22"/>
    <x v="22"/>
    <n v="0"/>
    <n v="28500"/>
    <n v="0"/>
  </r>
  <r>
    <n v="2019"/>
    <x v="9"/>
    <n v="22"/>
    <x v="23"/>
    <n v="0"/>
    <n v="28500"/>
    <n v="0"/>
  </r>
  <r>
    <n v="2019"/>
    <x v="9"/>
    <n v="23"/>
    <x v="0"/>
    <n v="0"/>
    <n v="28500"/>
    <n v="0"/>
  </r>
  <r>
    <n v="2019"/>
    <x v="9"/>
    <n v="23"/>
    <x v="1"/>
    <n v="0"/>
    <n v="28500"/>
    <n v="0"/>
  </r>
  <r>
    <n v="2019"/>
    <x v="9"/>
    <n v="23"/>
    <x v="2"/>
    <n v="0"/>
    <n v="28500"/>
    <n v="0"/>
  </r>
  <r>
    <n v="2019"/>
    <x v="9"/>
    <n v="23"/>
    <x v="3"/>
    <n v="0"/>
    <n v="28500"/>
    <n v="0"/>
  </r>
  <r>
    <n v="2019"/>
    <x v="9"/>
    <n v="23"/>
    <x v="4"/>
    <n v="0"/>
    <n v="28500"/>
    <n v="0"/>
  </r>
  <r>
    <n v="2019"/>
    <x v="9"/>
    <n v="23"/>
    <x v="5"/>
    <n v="0"/>
    <n v="28500"/>
    <n v="0"/>
  </r>
  <r>
    <n v="2019"/>
    <x v="9"/>
    <n v="23"/>
    <x v="6"/>
    <n v="0"/>
    <n v="28500"/>
    <n v="0"/>
  </r>
  <r>
    <n v="2019"/>
    <x v="9"/>
    <n v="23"/>
    <x v="7"/>
    <n v="661.5"/>
    <n v="28500"/>
    <n v="2.3210526315789473E-2"/>
  </r>
  <r>
    <n v="2019"/>
    <x v="9"/>
    <n v="23"/>
    <x v="8"/>
    <n v="5012.5"/>
    <n v="28500"/>
    <n v="0.17587719298245613"/>
  </r>
  <r>
    <n v="2019"/>
    <x v="9"/>
    <n v="23"/>
    <x v="9"/>
    <n v="2944.5"/>
    <n v="28500"/>
    <n v="0.10331578947368421"/>
  </r>
  <r>
    <n v="2019"/>
    <x v="9"/>
    <n v="23"/>
    <x v="10"/>
    <n v="4527.5"/>
    <n v="28500"/>
    <n v="0.15885964912280701"/>
  </r>
  <r>
    <n v="2019"/>
    <x v="9"/>
    <n v="23"/>
    <x v="11"/>
    <n v="12032.5"/>
    <n v="28500"/>
    <n v="0.42219298245614034"/>
  </r>
  <r>
    <n v="2019"/>
    <x v="9"/>
    <n v="23"/>
    <x v="12"/>
    <n v="18275"/>
    <n v="28500"/>
    <n v="0.64122807017543859"/>
  </r>
  <r>
    <n v="2019"/>
    <x v="9"/>
    <n v="23"/>
    <x v="13"/>
    <n v="10426.5"/>
    <n v="28500"/>
    <n v="0.36584210526315791"/>
  </r>
  <r>
    <n v="2019"/>
    <x v="9"/>
    <n v="23"/>
    <x v="14"/>
    <n v="1785"/>
    <n v="28500"/>
    <n v="6.2631578947368427E-2"/>
  </r>
  <r>
    <n v="2019"/>
    <x v="9"/>
    <n v="23"/>
    <x v="15"/>
    <n v="1643.5"/>
    <n v="28500"/>
    <n v="5.7666666666666665E-2"/>
  </r>
  <r>
    <n v="2019"/>
    <x v="9"/>
    <n v="23"/>
    <x v="16"/>
    <n v="139.5"/>
    <n v="28500"/>
    <n v="4.8947368421052634E-3"/>
  </r>
  <r>
    <n v="2019"/>
    <x v="9"/>
    <n v="23"/>
    <x v="17"/>
    <n v="0"/>
    <n v="28500"/>
    <n v="0"/>
  </r>
  <r>
    <n v="2019"/>
    <x v="9"/>
    <n v="23"/>
    <x v="18"/>
    <n v="0"/>
    <n v="28500"/>
    <n v="0"/>
  </r>
  <r>
    <n v="2019"/>
    <x v="9"/>
    <n v="23"/>
    <x v="19"/>
    <n v="0"/>
    <n v="28500"/>
    <n v="0"/>
  </r>
  <r>
    <n v="2019"/>
    <x v="9"/>
    <n v="23"/>
    <x v="20"/>
    <n v="0"/>
    <n v="28500"/>
    <n v="0"/>
  </r>
  <r>
    <n v="2019"/>
    <x v="9"/>
    <n v="23"/>
    <x v="21"/>
    <n v="0"/>
    <n v="28500"/>
    <n v="0"/>
  </r>
  <r>
    <n v="2019"/>
    <x v="9"/>
    <n v="23"/>
    <x v="22"/>
    <n v="0"/>
    <n v="28500"/>
    <n v="0"/>
  </r>
  <r>
    <n v="2019"/>
    <x v="9"/>
    <n v="23"/>
    <x v="23"/>
    <n v="0"/>
    <n v="28500"/>
    <n v="0"/>
  </r>
  <r>
    <n v="2019"/>
    <x v="9"/>
    <n v="24"/>
    <x v="0"/>
    <n v="0"/>
    <n v="28500"/>
    <n v="0"/>
  </r>
  <r>
    <n v="2019"/>
    <x v="9"/>
    <n v="24"/>
    <x v="1"/>
    <n v="0"/>
    <n v="28500"/>
    <n v="0"/>
  </r>
  <r>
    <n v="2019"/>
    <x v="9"/>
    <n v="24"/>
    <x v="2"/>
    <n v="0"/>
    <n v="28500"/>
    <n v="0"/>
  </r>
  <r>
    <n v="2019"/>
    <x v="9"/>
    <n v="24"/>
    <x v="3"/>
    <n v="0"/>
    <n v="28500"/>
    <n v="0"/>
  </r>
  <r>
    <n v="2019"/>
    <x v="9"/>
    <n v="24"/>
    <x v="4"/>
    <n v="0"/>
    <n v="28500"/>
    <n v="0"/>
  </r>
  <r>
    <n v="2019"/>
    <x v="9"/>
    <n v="24"/>
    <x v="5"/>
    <n v="0"/>
    <n v="28500"/>
    <n v="0"/>
  </r>
  <r>
    <n v="2019"/>
    <x v="9"/>
    <n v="24"/>
    <x v="6"/>
    <n v="0"/>
    <n v="28500"/>
    <n v="0"/>
  </r>
  <r>
    <n v="2019"/>
    <x v="9"/>
    <n v="24"/>
    <x v="7"/>
    <n v="141.5"/>
    <n v="28500"/>
    <n v="4.9649122807017545E-3"/>
  </r>
  <r>
    <n v="2019"/>
    <x v="9"/>
    <n v="24"/>
    <x v="8"/>
    <n v="662.5"/>
    <n v="28500"/>
    <n v="2.3245614035087719E-2"/>
  </r>
  <r>
    <n v="2019"/>
    <x v="9"/>
    <n v="24"/>
    <x v="9"/>
    <n v="1373"/>
    <n v="28500"/>
    <n v="4.8175438596491225E-2"/>
  </r>
  <r>
    <n v="2019"/>
    <x v="9"/>
    <n v="24"/>
    <x v="10"/>
    <n v="1127.5"/>
    <n v="28500"/>
    <n v="3.9561403508771929E-2"/>
  </r>
  <r>
    <n v="2019"/>
    <x v="9"/>
    <n v="24"/>
    <x v="11"/>
    <n v="1126.5"/>
    <n v="28500"/>
    <n v="3.9526315789473687E-2"/>
  </r>
  <r>
    <n v="2019"/>
    <x v="9"/>
    <n v="24"/>
    <x v="12"/>
    <n v="2172"/>
    <n v="28500"/>
    <n v="7.6210526315789479E-2"/>
  </r>
  <r>
    <n v="2019"/>
    <x v="9"/>
    <n v="24"/>
    <x v="13"/>
    <n v="1590"/>
    <n v="28500"/>
    <n v="5.5789473684210528E-2"/>
  </r>
  <r>
    <n v="2019"/>
    <x v="9"/>
    <n v="24"/>
    <x v="14"/>
    <n v="17768"/>
    <n v="28500"/>
    <n v="0.62343859649122813"/>
  </r>
  <r>
    <n v="2019"/>
    <x v="9"/>
    <n v="24"/>
    <x v="15"/>
    <n v="3215"/>
    <n v="28500"/>
    <n v="0.11280701754385965"/>
  </r>
  <r>
    <n v="2019"/>
    <x v="9"/>
    <n v="24"/>
    <x v="16"/>
    <n v="1171"/>
    <n v="28500"/>
    <n v="4.1087719298245617E-2"/>
  </r>
  <r>
    <n v="2019"/>
    <x v="9"/>
    <n v="24"/>
    <x v="17"/>
    <n v="0"/>
    <n v="28500"/>
    <n v="0"/>
  </r>
  <r>
    <n v="2019"/>
    <x v="9"/>
    <n v="24"/>
    <x v="18"/>
    <n v="0"/>
    <n v="28500"/>
    <n v="0"/>
  </r>
  <r>
    <n v="2019"/>
    <x v="9"/>
    <n v="24"/>
    <x v="19"/>
    <n v="0"/>
    <n v="28500"/>
    <n v="0"/>
  </r>
  <r>
    <n v="2019"/>
    <x v="9"/>
    <n v="24"/>
    <x v="20"/>
    <n v="0"/>
    <n v="28500"/>
    <n v="0"/>
  </r>
  <r>
    <n v="2019"/>
    <x v="9"/>
    <n v="24"/>
    <x v="21"/>
    <n v="0"/>
    <n v="28500"/>
    <n v="0"/>
  </r>
  <r>
    <n v="2019"/>
    <x v="9"/>
    <n v="24"/>
    <x v="22"/>
    <n v="0"/>
    <n v="28500"/>
    <n v="0"/>
  </r>
  <r>
    <n v="2019"/>
    <x v="9"/>
    <n v="24"/>
    <x v="23"/>
    <n v="0"/>
    <n v="28500"/>
    <n v="0"/>
  </r>
  <r>
    <n v="2019"/>
    <x v="9"/>
    <n v="25"/>
    <x v="0"/>
    <n v="0"/>
    <n v="28500"/>
    <n v="0"/>
  </r>
  <r>
    <n v="2019"/>
    <x v="9"/>
    <n v="25"/>
    <x v="1"/>
    <n v="0"/>
    <n v="28500"/>
    <n v="0"/>
  </r>
  <r>
    <n v="2019"/>
    <x v="9"/>
    <n v="25"/>
    <x v="2"/>
    <n v="0"/>
    <n v="28500"/>
    <n v="0"/>
  </r>
  <r>
    <n v="2019"/>
    <x v="9"/>
    <n v="25"/>
    <x v="3"/>
    <n v="0"/>
    <n v="28500"/>
    <n v="0"/>
  </r>
  <r>
    <n v="2019"/>
    <x v="9"/>
    <n v="25"/>
    <x v="4"/>
    <n v="0"/>
    <n v="28500"/>
    <n v="0"/>
  </r>
  <r>
    <n v="2019"/>
    <x v="9"/>
    <n v="25"/>
    <x v="5"/>
    <n v="0"/>
    <n v="28500"/>
    <n v="0"/>
  </r>
  <r>
    <n v="2019"/>
    <x v="9"/>
    <n v="25"/>
    <x v="6"/>
    <n v="0"/>
    <n v="28500"/>
    <n v="0"/>
  </r>
  <r>
    <n v="2019"/>
    <x v="9"/>
    <n v="25"/>
    <x v="7"/>
    <n v="119"/>
    <n v="28500"/>
    <n v="4.175438596491228E-3"/>
  </r>
  <r>
    <n v="2019"/>
    <x v="9"/>
    <n v="25"/>
    <x v="8"/>
    <n v="1387"/>
    <n v="28500"/>
    <n v="4.8666666666666664E-2"/>
  </r>
  <r>
    <n v="2019"/>
    <x v="9"/>
    <n v="25"/>
    <x v="9"/>
    <n v="2025"/>
    <n v="28500"/>
    <n v="7.1052631578947367E-2"/>
  </r>
  <r>
    <n v="2019"/>
    <x v="9"/>
    <n v="25"/>
    <x v="10"/>
    <n v="2193"/>
    <n v="28500"/>
    <n v="7.6947368421052625E-2"/>
  </r>
  <r>
    <n v="2019"/>
    <x v="9"/>
    <n v="25"/>
    <x v="11"/>
    <n v="3655"/>
    <n v="28500"/>
    <n v="0.12824561403508772"/>
  </r>
  <r>
    <n v="2019"/>
    <x v="9"/>
    <n v="25"/>
    <x v="12"/>
    <n v="3047"/>
    <n v="28500"/>
    <n v="0.10691228070175439"/>
  </r>
  <r>
    <n v="2019"/>
    <x v="9"/>
    <n v="25"/>
    <x v="13"/>
    <n v="4494.5"/>
    <n v="28500"/>
    <n v="0.1577017543859649"/>
  </r>
  <r>
    <n v="2019"/>
    <x v="9"/>
    <n v="25"/>
    <x v="14"/>
    <n v="3187.5"/>
    <n v="28500"/>
    <n v="0.1118421052631579"/>
  </r>
  <r>
    <n v="2019"/>
    <x v="9"/>
    <n v="25"/>
    <x v="15"/>
    <n v="4856"/>
    <n v="28500"/>
    <n v="0.1703859649122807"/>
  </r>
  <r>
    <n v="2019"/>
    <x v="9"/>
    <n v="25"/>
    <x v="16"/>
    <n v="238"/>
    <n v="28500"/>
    <n v="8.350877192982456E-3"/>
  </r>
  <r>
    <n v="2019"/>
    <x v="9"/>
    <n v="25"/>
    <x v="17"/>
    <n v="0"/>
    <n v="28500"/>
    <n v="0"/>
  </r>
  <r>
    <n v="2019"/>
    <x v="9"/>
    <n v="25"/>
    <x v="18"/>
    <n v="0"/>
    <n v="28500"/>
    <n v="0"/>
  </r>
  <r>
    <n v="2019"/>
    <x v="9"/>
    <n v="25"/>
    <x v="19"/>
    <n v="0"/>
    <n v="28500"/>
    <n v="0"/>
  </r>
  <r>
    <n v="2019"/>
    <x v="9"/>
    <n v="25"/>
    <x v="20"/>
    <n v="0"/>
    <n v="28500"/>
    <n v="0"/>
  </r>
  <r>
    <n v="2019"/>
    <x v="9"/>
    <n v="25"/>
    <x v="21"/>
    <n v="0"/>
    <n v="28500"/>
    <n v="0"/>
  </r>
  <r>
    <n v="2019"/>
    <x v="9"/>
    <n v="25"/>
    <x v="22"/>
    <n v="0"/>
    <n v="28500"/>
    <n v="0"/>
  </r>
  <r>
    <n v="2019"/>
    <x v="9"/>
    <n v="25"/>
    <x v="23"/>
    <n v="0"/>
    <n v="28500"/>
    <n v="0"/>
  </r>
  <r>
    <n v="2019"/>
    <x v="9"/>
    <n v="26"/>
    <x v="0"/>
    <n v="0"/>
    <n v="28500"/>
    <n v="0"/>
  </r>
  <r>
    <n v="2019"/>
    <x v="9"/>
    <n v="26"/>
    <x v="1"/>
    <n v="0"/>
    <n v="28500"/>
    <n v="0"/>
  </r>
  <r>
    <n v="2019"/>
    <x v="9"/>
    <n v="26"/>
    <x v="2"/>
    <n v="0"/>
    <n v="28500"/>
    <n v="0"/>
  </r>
  <r>
    <n v="2019"/>
    <x v="9"/>
    <n v="26"/>
    <x v="3"/>
    <n v="0"/>
    <n v="28500"/>
    <n v="0"/>
  </r>
  <r>
    <n v="2019"/>
    <x v="9"/>
    <n v="26"/>
    <x v="4"/>
    <n v="0"/>
    <n v="28500"/>
    <n v="0"/>
  </r>
  <r>
    <n v="2019"/>
    <x v="9"/>
    <n v="26"/>
    <x v="5"/>
    <n v="0"/>
    <n v="28500"/>
    <n v="0"/>
  </r>
  <r>
    <n v="2019"/>
    <x v="9"/>
    <n v="26"/>
    <x v="6"/>
    <n v="0"/>
    <n v="28500"/>
    <n v="0"/>
  </r>
  <r>
    <n v="2019"/>
    <x v="9"/>
    <n v="26"/>
    <x v="7"/>
    <n v="49"/>
    <n v="28500"/>
    <n v="1.7192982456140352E-3"/>
  </r>
  <r>
    <n v="2019"/>
    <x v="9"/>
    <n v="26"/>
    <x v="8"/>
    <n v="495.5"/>
    <n v="28500"/>
    <n v="1.7385964912280703E-2"/>
  </r>
  <r>
    <n v="2019"/>
    <x v="9"/>
    <n v="26"/>
    <x v="9"/>
    <n v="3921"/>
    <n v="28500"/>
    <n v="0.13757894736842105"/>
  </r>
  <r>
    <n v="2019"/>
    <x v="9"/>
    <n v="26"/>
    <x v="10"/>
    <n v="679.5"/>
    <n v="28500"/>
    <n v="2.3842105263157894E-2"/>
  </r>
  <r>
    <n v="2019"/>
    <x v="9"/>
    <n v="26"/>
    <x v="11"/>
    <n v="5002.5"/>
    <n v="28500"/>
    <n v="0.1755263157894737"/>
  </r>
  <r>
    <n v="2019"/>
    <x v="9"/>
    <n v="26"/>
    <x v="12"/>
    <n v="2394"/>
    <n v="28500"/>
    <n v="8.4000000000000005E-2"/>
  </r>
  <r>
    <n v="2019"/>
    <x v="9"/>
    <n v="26"/>
    <x v="13"/>
    <n v="2359.5"/>
    <n v="28500"/>
    <n v="8.2789473684210524E-2"/>
  </r>
  <r>
    <n v="2019"/>
    <x v="9"/>
    <n v="26"/>
    <x v="14"/>
    <n v="2108"/>
    <n v="28500"/>
    <n v="7.3964912280701761E-2"/>
  </r>
  <r>
    <n v="2019"/>
    <x v="9"/>
    <n v="26"/>
    <x v="15"/>
    <n v="2108"/>
    <n v="28500"/>
    <n v="7.3964912280701761E-2"/>
  </r>
  <r>
    <n v="2019"/>
    <x v="9"/>
    <n v="26"/>
    <x v="16"/>
    <n v="473.5"/>
    <n v="28500"/>
    <n v="1.66140350877193E-2"/>
  </r>
  <r>
    <n v="2019"/>
    <x v="9"/>
    <n v="26"/>
    <x v="17"/>
    <n v="0"/>
    <n v="28500"/>
    <n v="0"/>
  </r>
  <r>
    <n v="2019"/>
    <x v="9"/>
    <n v="26"/>
    <x v="18"/>
    <n v="0"/>
    <n v="28500"/>
    <n v="0"/>
  </r>
  <r>
    <n v="2019"/>
    <x v="9"/>
    <n v="26"/>
    <x v="19"/>
    <n v="0"/>
    <n v="28500"/>
    <n v="0"/>
  </r>
  <r>
    <n v="2019"/>
    <x v="9"/>
    <n v="26"/>
    <x v="20"/>
    <n v="0"/>
    <n v="28500"/>
    <n v="0"/>
  </r>
  <r>
    <n v="2019"/>
    <x v="9"/>
    <n v="26"/>
    <x v="21"/>
    <n v="0"/>
    <n v="28500"/>
    <n v="0"/>
  </r>
  <r>
    <n v="2019"/>
    <x v="9"/>
    <n v="26"/>
    <x v="22"/>
    <n v="0"/>
    <n v="28500"/>
    <n v="0"/>
  </r>
  <r>
    <n v="2019"/>
    <x v="9"/>
    <n v="26"/>
    <x v="23"/>
    <n v="0"/>
    <n v="28500"/>
    <n v="0"/>
  </r>
  <r>
    <n v="2019"/>
    <x v="9"/>
    <n v="27"/>
    <x v="0"/>
    <n v="0"/>
    <n v="28500"/>
    <n v="0"/>
  </r>
  <r>
    <n v="2019"/>
    <x v="9"/>
    <n v="27"/>
    <x v="1"/>
    <n v="0"/>
    <n v="28500"/>
    <n v="0"/>
  </r>
  <r>
    <n v="2019"/>
    <x v="9"/>
    <n v="27"/>
    <x v="2"/>
    <n v="0"/>
    <n v="28500"/>
    <n v="0"/>
  </r>
  <r>
    <n v="2019"/>
    <x v="9"/>
    <n v="27"/>
    <x v="3"/>
    <n v="0"/>
    <n v="28500"/>
    <n v="0"/>
  </r>
  <r>
    <n v="2019"/>
    <x v="9"/>
    <n v="27"/>
    <x v="4"/>
    <n v="0"/>
    <n v="28500"/>
    <n v="0"/>
  </r>
  <r>
    <n v="2019"/>
    <x v="9"/>
    <n v="27"/>
    <x v="5"/>
    <n v="0"/>
    <n v="28500"/>
    <n v="0"/>
  </r>
  <r>
    <n v="2019"/>
    <x v="9"/>
    <n v="27"/>
    <x v="6"/>
    <n v="0"/>
    <n v="28500"/>
    <n v="0"/>
  </r>
  <r>
    <n v="2019"/>
    <x v="9"/>
    <n v="27"/>
    <x v="7"/>
    <n v="406"/>
    <n v="28500"/>
    <n v="1.4245614035087719E-2"/>
  </r>
  <r>
    <n v="2019"/>
    <x v="9"/>
    <n v="27"/>
    <x v="8"/>
    <n v="7069"/>
    <n v="28500"/>
    <n v="0.24803508771929825"/>
  </r>
  <r>
    <n v="2019"/>
    <x v="9"/>
    <n v="27"/>
    <x v="9"/>
    <n v="18223"/>
    <n v="28500"/>
    <n v="0.63940350877192986"/>
  </r>
  <r>
    <n v="2019"/>
    <x v="9"/>
    <n v="27"/>
    <x v="10"/>
    <n v="25221"/>
    <n v="28500"/>
    <n v="0.88494736842105259"/>
  </r>
  <r>
    <n v="2019"/>
    <x v="9"/>
    <n v="27"/>
    <x v="11"/>
    <n v="34578.5"/>
    <n v="28500"/>
    <n v="1.2132807017543861"/>
  </r>
  <r>
    <n v="2019"/>
    <x v="9"/>
    <n v="27"/>
    <x v="12"/>
    <n v="37542"/>
    <n v="28500"/>
    <n v="1.3172631578947369"/>
  </r>
  <r>
    <n v="2019"/>
    <x v="9"/>
    <n v="27"/>
    <x v="13"/>
    <n v="32580"/>
    <n v="28500"/>
    <n v="1.1431578947368422"/>
  </r>
  <r>
    <n v="2019"/>
    <x v="9"/>
    <n v="27"/>
    <x v="14"/>
    <n v="18432.5"/>
    <n v="28500"/>
    <n v="0.6467543859649123"/>
  </r>
  <r>
    <n v="2019"/>
    <x v="9"/>
    <n v="27"/>
    <x v="15"/>
    <n v="17244.5"/>
    <n v="28500"/>
    <n v="0.60507017543859654"/>
  </r>
  <r>
    <n v="2019"/>
    <x v="9"/>
    <n v="27"/>
    <x v="16"/>
    <n v="1777.5"/>
    <n v="28500"/>
    <n v="6.236842105263158E-2"/>
  </r>
  <r>
    <n v="2019"/>
    <x v="9"/>
    <n v="27"/>
    <x v="17"/>
    <n v="0"/>
    <n v="28500"/>
    <n v="0"/>
  </r>
  <r>
    <n v="2019"/>
    <x v="9"/>
    <n v="27"/>
    <x v="18"/>
    <n v="0"/>
    <n v="28500"/>
    <n v="0"/>
  </r>
  <r>
    <n v="2019"/>
    <x v="9"/>
    <n v="27"/>
    <x v="19"/>
    <n v="0"/>
    <n v="28500"/>
    <n v="0"/>
  </r>
  <r>
    <n v="2019"/>
    <x v="9"/>
    <n v="27"/>
    <x v="20"/>
    <n v="0"/>
    <n v="28500"/>
    <n v="0"/>
  </r>
  <r>
    <n v="2019"/>
    <x v="9"/>
    <n v="27"/>
    <x v="21"/>
    <n v="0"/>
    <n v="28500"/>
    <n v="0"/>
  </r>
  <r>
    <n v="2019"/>
    <x v="9"/>
    <n v="27"/>
    <x v="22"/>
    <n v="0"/>
    <n v="28500"/>
    <n v="0"/>
  </r>
  <r>
    <n v="2019"/>
    <x v="9"/>
    <n v="27"/>
    <x v="23"/>
    <n v="0"/>
    <n v="28500"/>
    <n v="0"/>
  </r>
  <r>
    <n v="2019"/>
    <x v="9"/>
    <n v="28"/>
    <x v="0"/>
    <n v="0"/>
    <n v="28500"/>
    <n v="0"/>
  </r>
  <r>
    <n v="2019"/>
    <x v="9"/>
    <n v="28"/>
    <x v="1"/>
    <n v="0"/>
    <n v="28500"/>
    <n v="0"/>
  </r>
  <r>
    <n v="2019"/>
    <x v="9"/>
    <n v="28"/>
    <x v="2"/>
    <n v="0"/>
    <n v="28500"/>
    <n v="0"/>
  </r>
  <r>
    <n v="2019"/>
    <x v="9"/>
    <n v="28"/>
    <x v="3"/>
    <n v="0"/>
    <n v="28500"/>
    <n v="0"/>
  </r>
  <r>
    <n v="2019"/>
    <x v="9"/>
    <n v="28"/>
    <x v="4"/>
    <n v="0"/>
    <n v="28500"/>
    <n v="0"/>
  </r>
  <r>
    <n v="2019"/>
    <x v="9"/>
    <n v="28"/>
    <x v="5"/>
    <n v="0"/>
    <n v="28500"/>
    <n v="0"/>
  </r>
  <r>
    <n v="2019"/>
    <x v="9"/>
    <n v="28"/>
    <x v="6"/>
    <n v="0"/>
    <n v="28500"/>
    <n v="0"/>
  </r>
  <r>
    <n v="2019"/>
    <x v="9"/>
    <n v="28"/>
    <x v="7"/>
    <n v="647.5"/>
    <n v="28500"/>
    <n v="2.2719298245614035E-2"/>
  </r>
  <r>
    <n v="2019"/>
    <x v="9"/>
    <n v="28"/>
    <x v="8"/>
    <n v="11652.5"/>
    <n v="28500"/>
    <n v="0.40885964912280703"/>
  </r>
  <r>
    <n v="2019"/>
    <x v="9"/>
    <n v="28"/>
    <x v="9"/>
    <n v="24233"/>
    <n v="28500"/>
    <n v="0.85028070175438597"/>
  </r>
  <r>
    <n v="2019"/>
    <x v="9"/>
    <n v="28"/>
    <x v="10"/>
    <n v="29777.5"/>
    <n v="28500"/>
    <n v="1.0448245614035088"/>
  </r>
  <r>
    <n v="2019"/>
    <x v="9"/>
    <n v="28"/>
    <x v="11"/>
    <n v="33135"/>
    <n v="28500"/>
    <n v="1.1626315789473685"/>
  </r>
  <r>
    <n v="2019"/>
    <x v="9"/>
    <n v="28"/>
    <x v="12"/>
    <n v="27372"/>
    <n v="28500"/>
    <n v="0.96042105263157895"/>
  </r>
  <r>
    <n v="2019"/>
    <x v="9"/>
    <n v="28"/>
    <x v="13"/>
    <n v="13353.5"/>
    <n v="28500"/>
    <n v="0.46854385964912282"/>
  </r>
  <r>
    <n v="2019"/>
    <x v="9"/>
    <n v="28"/>
    <x v="14"/>
    <n v="6827"/>
    <n v="28500"/>
    <n v="0.23954385964912281"/>
  </r>
  <r>
    <n v="2019"/>
    <x v="9"/>
    <n v="28"/>
    <x v="15"/>
    <n v="7198"/>
    <n v="28500"/>
    <n v="0.25256140350877193"/>
  </r>
  <r>
    <n v="2019"/>
    <x v="9"/>
    <n v="28"/>
    <x v="16"/>
    <n v="672"/>
    <n v="28500"/>
    <n v="2.3578947368421053E-2"/>
  </r>
  <r>
    <n v="2019"/>
    <x v="9"/>
    <n v="28"/>
    <x v="17"/>
    <n v="0"/>
    <n v="28500"/>
    <n v="0"/>
  </r>
  <r>
    <n v="2019"/>
    <x v="9"/>
    <n v="28"/>
    <x v="18"/>
    <n v="0"/>
    <n v="28500"/>
    <n v="0"/>
  </r>
  <r>
    <n v="2019"/>
    <x v="9"/>
    <n v="28"/>
    <x v="19"/>
    <n v="0"/>
    <n v="28500"/>
    <n v="0"/>
  </r>
  <r>
    <n v="2019"/>
    <x v="9"/>
    <n v="28"/>
    <x v="20"/>
    <n v="0"/>
    <n v="28500"/>
    <n v="0"/>
  </r>
  <r>
    <n v="2019"/>
    <x v="9"/>
    <n v="28"/>
    <x v="21"/>
    <n v="0"/>
    <n v="28500"/>
    <n v="0"/>
  </r>
  <r>
    <n v="2019"/>
    <x v="9"/>
    <n v="28"/>
    <x v="22"/>
    <n v="0"/>
    <n v="28500"/>
    <n v="0"/>
  </r>
  <r>
    <n v="2019"/>
    <x v="9"/>
    <n v="28"/>
    <x v="23"/>
    <n v="0"/>
    <n v="28500"/>
    <n v="0"/>
  </r>
  <r>
    <n v="2019"/>
    <x v="9"/>
    <n v="29"/>
    <x v="0"/>
    <n v="0"/>
    <n v="28500"/>
    <n v="0"/>
  </r>
  <r>
    <n v="2019"/>
    <x v="9"/>
    <n v="29"/>
    <x v="1"/>
    <n v="0"/>
    <n v="28500"/>
    <n v="0"/>
  </r>
  <r>
    <n v="2019"/>
    <x v="9"/>
    <n v="29"/>
    <x v="2"/>
    <n v="0"/>
    <n v="28500"/>
    <n v="0"/>
  </r>
  <r>
    <n v="2019"/>
    <x v="9"/>
    <n v="29"/>
    <x v="3"/>
    <n v="0"/>
    <n v="28500"/>
    <n v="0"/>
  </r>
  <r>
    <n v="2019"/>
    <x v="9"/>
    <n v="29"/>
    <x v="4"/>
    <n v="0"/>
    <n v="28500"/>
    <n v="0"/>
  </r>
  <r>
    <n v="2019"/>
    <x v="9"/>
    <n v="29"/>
    <x v="5"/>
    <n v="0"/>
    <n v="28500"/>
    <n v="0"/>
  </r>
  <r>
    <n v="2019"/>
    <x v="9"/>
    <n v="29"/>
    <x v="6"/>
    <n v="0"/>
    <n v="28500"/>
    <n v="0"/>
  </r>
  <r>
    <n v="2019"/>
    <x v="9"/>
    <n v="29"/>
    <x v="7"/>
    <n v="14.5"/>
    <n v="28500"/>
    <n v="5.0877192982456141E-4"/>
  </r>
  <r>
    <n v="2019"/>
    <x v="9"/>
    <n v="29"/>
    <x v="8"/>
    <n v="4152"/>
    <n v="28500"/>
    <n v="0.14568421052631578"/>
  </r>
  <r>
    <n v="2019"/>
    <x v="9"/>
    <n v="29"/>
    <x v="9"/>
    <n v="1729.5"/>
    <n v="28500"/>
    <n v="6.0684210526315792E-2"/>
  </r>
  <r>
    <n v="2019"/>
    <x v="9"/>
    <n v="29"/>
    <x v="10"/>
    <n v="6246.5"/>
    <n v="28500"/>
    <n v="0.21917543859649122"/>
  </r>
  <r>
    <n v="2019"/>
    <x v="9"/>
    <n v="29"/>
    <x v="11"/>
    <n v="9245.5"/>
    <n v="28500"/>
    <n v="0.3244035087719298"/>
  </r>
  <r>
    <n v="2019"/>
    <x v="9"/>
    <n v="29"/>
    <x v="12"/>
    <n v="5240.5"/>
    <n v="28500"/>
    <n v="0.18387719298245614"/>
  </r>
  <r>
    <n v="2019"/>
    <x v="9"/>
    <n v="29"/>
    <x v="13"/>
    <n v="7421"/>
    <n v="28500"/>
    <n v="0.26038596491228072"/>
  </r>
  <r>
    <n v="2019"/>
    <x v="9"/>
    <n v="29"/>
    <x v="14"/>
    <n v="1453.5"/>
    <n v="28500"/>
    <n v="5.0999999999999997E-2"/>
  </r>
  <r>
    <n v="2019"/>
    <x v="9"/>
    <n v="29"/>
    <x v="15"/>
    <n v="2869.5"/>
    <n v="28500"/>
    <n v="0.10068421052631579"/>
  </r>
  <r>
    <n v="2019"/>
    <x v="9"/>
    <n v="29"/>
    <x v="16"/>
    <n v="914.5"/>
    <n v="28500"/>
    <n v="3.2087719298245616E-2"/>
  </r>
  <r>
    <n v="2019"/>
    <x v="9"/>
    <n v="29"/>
    <x v="17"/>
    <n v="0"/>
    <n v="28500"/>
    <n v="0"/>
  </r>
  <r>
    <n v="2019"/>
    <x v="9"/>
    <n v="29"/>
    <x v="18"/>
    <n v="0"/>
    <n v="28500"/>
    <n v="0"/>
  </r>
  <r>
    <n v="2019"/>
    <x v="9"/>
    <n v="29"/>
    <x v="19"/>
    <n v="0"/>
    <n v="28500"/>
    <n v="0"/>
  </r>
  <r>
    <n v="2019"/>
    <x v="9"/>
    <n v="29"/>
    <x v="20"/>
    <n v="0"/>
    <n v="28500"/>
    <n v="0"/>
  </r>
  <r>
    <n v="2019"/>
    <x v="9"/>
    <n v="29"/>
    <x v="21"/>
    <n v="0"/>
    <n v="28500"/>
    <n v="0"/>
  </r>
  <r>
    <n v="2019"/>
    <x v="9"/>
    <n v="29"/>
    <x v="22"/>
    <n v="0"/>
    <n v="28500"/>
    <n v="0"/>
  </r>
  <r>
    <n v="2019"/>
    <x v="9"/>
    <n v="29"/>
    <x v="23"/>
    <n v="0"/>
    <n v="28500"/>
    <n v="0"/>
  </r>
  <r>
    <n v="2019"/>
    <x v="9"/>
    <n v="30"/>
    <x v="0"/>
    <n v="0"/>
    <n v="28500"/>
    <n v="0"/>
  </r>
  <r>
    <n v="2019"/>
    <x v="9"/>
    <n v="30"/>
    <x v="1"/>
    <n v="0"/>
    <n v="28500"/>
    <n v="0"/>
  </r>
  <r>
    <n v="2019"/>
    <x v="9"/>
    <n v="30"/>
    <x v="2"/>
    <n v="0"/>
    <n v="28500"/>
    <n v="0"/>
  </r>
  <r>
    <n v="2019"/>
    <x v="9"/>
    <n v="30"/>
    <x v="3"/>
    <n v="0"/>
    <n v="28500"/>
    <n v="0"/>
  </r>
  <r>
    <n v="2019"/>
    <x v="9"/>
    <n v="30"/>
    <x v="4"/>
    <n v="0"/>
    <n v="28500"/>
    <n v="0"/>
  </r>
  <r>
    <n v="2019"/>
    <x v="9"/>
    <n v="30"/>
    <x v="5"/>
    <n v="0"/>
    <n v="28500"/>
    <n v="0"/>
  </r>
  <r>
    <n v="2019"/>
    <x v="9"/>
    <n v="30"/>
    <x v="6"/>
    <n v="0"/>
    <n v="28500"/>
    <n v="0"/>
  </r>
  <r>
    <n v="2019"/>
    <x v="9"/>
    <n v="30"/>
    <x v="7"/>
    <n v="837.5"/>
    <n v="28500"/>
    <n v="2.9385964912280703E-2"/>
  </r>
  <r>
    <n v="2019"/>
    <x v="9"/>
    <n v="30"/>
    <x v="8"/>
    <n v="12468.5"/>
    <n v="28500"/>
    <n v="0.43749122807017543"/>
  </r>
  <r>
    <n v="2019"/>
    <x v="9"/>
    <n v="30"/>
    <x v="9"/>
    <n v="21256.5"/>
    <n v="28500"/>
    <n v="0.74584210526315786"/>
  </r>
  <r>
    <n v="2019"/>
    <x v="9"/>
    <n v="30"/>
    <x v="10"/>
    <n v="28020"/>
    <n v="28500"/>
    <n v="0.98315789473684212"/>
  </r>
  <r>
    <n v="2019"/>
    <x v="9"/>
    <n v="30"/>
    <x v="11"/>
    <n v="13778"/>
    <n v="28500"/>
    <n v="0.48343859649122806"/>
  </r>
  <r>
    <n v="2019"/>
    <x v="9"/>
    <n v="30"/>
    <x v="12"/>
    <n v="37386"/>
    <n v="28500"/>
    <n v="1.3117894736842106"/>
  </r>
  <r>
    <n v="2019"/>
    <x v="9"/>
    <n v="30"/>
    <x v="13"/>
    <n v="21255"/>
    <n v="28500"/>
    <n v="0.74578947368421056"/>
  </r>
  <r>
    <n v="2019"/>
    <x v="9"/>
    <n v="30"/>
    <x v="14"/>
    <n v="6550.5"/>
    <n v="28500"/>
    <n v="0.2298421052631579"/>
  </r>
  <r>
    <n v="2019"/>
    <x v="9"/>
    <n v="30"/>
    <x v="15"/>
    <n v="5658.5"/>
    <n v="28500"/>
    <n v="0.1985438596491228"/>
  </r>
  <r>
    <n v="2019"/>
    <x v="9"/>
    <n v="30"/>
    <x v="16"/>
    <n v="2153.5"/>
    <n v="28500"/>
    <n v="7.5561403508771927E-2"/>
  </r>
  <r>
    <n v="2019"/>
    <x v="9"/>
    <n v="30"/>
    <x v="17"/>
    <n v="0"/>
    <n v="28500"/>
    <n v="0"/>
  </r>
  <r>
    <n v="2019"/>
    <x v="9"/>
    <n v="30"/>
    <x v="18"/>
    <n v="0"/>
    <n v="28500"/>
    <n v="0"/>
  </r>
  <r>
    <n v="2019"/>
    <x v="9"/>
    <n v="30"/>
    <x v="19"/>
    <n v="0"/>
    <n v="28500"/>
    <n v="0"/>
  </r>
  <r>
    <n v="2019"/>
    <x v="9"/>
    <n v="30"/>
    <x v="20"/>
    <n v="0"/>
    <n v="28500"/>
    <n v="0"/>
  </r>
  <r>
    <n v="2019"/>
    <x v="9"/>
    <n v="30"/>
    <x v="21"/>
    <n v="0"/>
    <n v="28500"/>
    <n v="0"/>
  </r>
  <r>
    <n v="2019"/>
    <x v="9"/>
    <n v="30"/>
    <x v="22"/>
    <n v="0"/>
    <n v="28500"/>
    <n v="0"/>
  </r>
  <r>
    <n v="2019"/>
    <x v="9"/>
    <n v="30"/>
    <x v="23"/>
    <n v="0"/>
    <n v="28500"/>
    <n v="0"/>
  </r>
  <r>
    <n v="2019"/>
    <x v="9"/>
    <n v="31"/>
    <x v="0"/>
    <n v="0"/>
    <n v="28500"/>
    <n v="0"/>
  </r>
  <r>
    <n v="2019"/>
    <x v="9"/>
    <n v="31"/>
    <x v="1"/>
    <n v="0"/>
    <n v="28500"/>
    <n v="0"/>
  </r>
  <r>
    <n v="2019"/>
    <x v="9"/>
    <n v="31"/>
    <x v="2"/>
    <n v="0"/>
    <n v="28500"/>
    <n v="0"/>
  </r>
  <r>
    <n v="2019"/>
    <x v="9"/>
    <n v="31"/>
    <x v="3"/>
    <n v="0"/>
    <n v="28500"/>
    <n v="0"/>
  </r>
  <r>
    <n v="2019"/>
    <x v="9"/>
    <n v="31"/>
    <x v="4"/>
    <n v="0"/>
    <n v="28500"/>
    <n v="0"/>
  </r>
  <r>
    <n v="2019"/>
    <x v="9"/>
    <n v="31"/>
    <x v="5"/>
    <n v="0"/>
    <n v="28500"/>
    <n v="0"/>
  </r>
  <r>
    <n v="2019"/>
    <x v="9"/>
    <n v="31"/>
    <x v="6"/>
    <n v="0"/>
    <n v="28500"/>
    <n v="0"/>
  </r>
  <r>
    <n v="2019"/>
    <x v="9"/>
    <n v="31"/>
    <x v="7"/>
    <n v="0"/>
    <n v="28500"/>
    <n v="0"/>
  </r>
  <r>
    <n v="2019"/>
    <x v="9"/>
    <n v="31"/>
    <x v="8"/>
    <n v="8335"/>
    <n v="28500"/>
    <n v="0.29245614035087719"/>
  </r>
  <r>
    <n v="2019"/>
    <x v="9"/>
    <n v="31"/>
    <x v="9"/>
    <n v="23879"/>
    <n v="28500"/>
    <n v="0.83785964912280697"/>
  </r>
  <r>
    <n v="2019"/>
    <x v="9"/>
    <n v="31"/>
    <x v="10"/>
    <n v="23888"/>
    <n v="28500"/>
    <n v="0.83817543859649124"/>
  </r>
  <r>
    <n v="2019"/>
    <x v="9"/>
    <n v="31"/>
    <x v="11"/>
    <n v="30450"/>
    <n v="28500"/>
    <n v="1.0684210526315789"/>
  </r>
  <r>
    <n v="2019"/>
    <x v="9"/>
    <n v="31"/>
    <x v="12"/>
    <n v="30199"/>
    <n v="28500"/>
    <n v="1.0596140350877192"/>
  </r>
  <r>
    <n v="2019"/>
    <x v="9"/>
    <n v="31"/>
    <x v="13"/>
    <n v="22874"/>
    <n v="28500"/>
    <n v="0.8025964912280702"/>
  </r>
  <r>
    <n v="2019"/>
    <x v="9"/>
    <n v="31"/>
    <x v="14"/>
    <n v="19095.5"/>
    <n v="28500"/>
    <n v="0.67001754385964907"/>
  </r>
  <r>
    <n v="2019"/>
    <x v="9"/>
    <n v="31"/>
    <x v="15"/>
    <n v="13266.5"/>
    <n v="28500"/>
    <n v="0.46549122807017546"/>
  </r>
  <r>
    <n v="2019"/>
    <x v="9"/>
    <n v="31"/>
    <x v="16"/>
    <n v="1147.5"/>
    <n v="28500"/>
    <n v="4.0263157894736841E-2"/>
  </r>
  <r>
    <n v="2019"/>
    <x v="9"/>
    <n v="31"/>
    <x v="17"/>
    <n v="0"/>
    <n v="28500"/>
    <n v="0"/>
  </r>
  <r>
    <n v="2019"/>
    <x v="9"/>
    <n v="31"/>
    <x v="18"/>
    <n v="0"/>
    <n v="28500"/>
    <n v="0"/>
  </r>
  <r>
    <n v="2019"/>
    <x v="9"/>
    <n v="31"/>
    <x v="19"/>
    <n v="0"/>
    <n v="28500"/>
    <n v="0"/>
  </r>
  <r>
    <n v="2019"/>
    <x v="9"/>
    <n v="31"/>
    <x v="20"/>
    <n v="0"/>
    <n v="28500"/>
    <n v="0"/>
  </r>
  <r>
    <n v="2019"/>
    <x v="9"/>
    <n v="31"/>
    <x v="21"/>
    <n v="0"/>
    <n v="28500"/>
    <n v="0"/>
  </r>
  <r>
    <n v="2019"/>
    <x v="9"/>
    <n v="31"/>
    <x v="22"/>
    <n v="0"/>
    <n v="28500"/>
    <n v="0"/>
  </r>
  <r>
    <n v="2019"/>
    <x v="9"/>
    <n v="31"/>
    <x v="23"/>
    <n v="0"/>
    <n v="28500"/>
    <n v="0"/>
  </r>
  <r>
    <n v="2019"/>
    <x v="10"/>
    <n v="1"/>
    <x v="0"/>
    <n v="0"/>
    <n v="28500"/>
    <n v="0"/>
  </r>
  <r>
    <n v="2019"/>
    <x v="10"/>
    <n v="1"/>
    <x v="1"/>
    <n v="0"/>
    <n v="28500"/>
    <n v="0"/>
  </r>
  <r>
    <n v="2019"/>
    <x v="10"/>
    <n v="1"/>
    <x v="2"/>
    <n v="0"/>
    <n v="28500"/>
    <n v="0"/>
  </r>
  <r>
    <n v="2019"/>
    <x v="10"/>
    <n v="1"/>
    <x v="3"/>
    <n v="0"/>
    <n v="28500"/>
    <n v="0"/>
  </r>
  <r>
    <n v="2019"/>
    <x v="10"/>
    <n v="1"/>
    <x v="4"/>
    <n v="0"/>
    <n v="28500"/>
    <n v="0"/>
  </r>
  <r>
    <n v="2019"/>
    <x v="10"/>
    <n v="1"/>
    <x v="5"/>
    <n v="0"/>
    <n v="28500"/>
    <n v="0"/>
  </r>
  <r>
    <n v="2019"/>
    <x v="10"/>
    <n v="1"/>
    <x v="6"/>
    <n v="0"/>
    <n v="28500"/>
    <n v="0"/>
  </r>
  <r>
    <n v="2019"/>
    <x v="10"/>
    <n v="1"/>
    <x v="7"/>
    <n v="0"/>
    <n v="28500"/>
    <n v="0"/>
  </r>
  <r>
    <n v="2019"/>
    <x v="10"/>
    <n v="1"/>
    <x v="8"/>
    <n v="661"/>
    <n v="28500"/>
    <n v="2.3192982456140352E-2"/>
  </r>
  <r>
    <n v="2019"/>
    <x v="10"/>
    <n v="1"/>
    <x v="9"/>
    <n v="6755"/>
    <n v="28500"/>
    <n v="0.23701754385964913"/>
  </r>
  <r>
    <n v="2019"/>
    <x v="10"/>
    <n v="1"/>
    <x v="10"/>
    <n v="5744"/>
    <n v="28500"/>
    <n v="0.2015438596491228"/>
  </r>
  <r>
    <n v="2019"/>
    <x v="10"/>
    <n v="1"/>
    <x v="11"/>
    <n v="4553.5"/>
    <n v="28500"/>
    <n v="0.1597719298245614"/>
  </r>
  <r>
    <n v="2019"/>
    <x v="10"/>
    <n v="1"/>
    <x v="12"/>
    <n v="4960.5"/>
    <n v="28500"/>
    <n v="0.17405263157894738"/>
  </r>
  <r>
    <n v="2019"/>
    <x v="10"/>
    <n v="1"/>
    <x v="13"/>
    <n v="1740.5"/>
    <n v="28500"/>
    <n v="6.107017543859649E-2"/>
  </r>
  <r>
    <n v="2019"/>
    <x v="10"/>
    <n v="1"/>
    <x v="14"/>
    <n v="2181"/>
    <n v="28500"/>
    <n v="7.6526315789473678E-2"/>
  </r>
  <r>
    <n v="2019"/>
    <x v="10"/>
    <n v="1"/>
    <x v="15"/>
    <n v="2799"/>
    <n v="28500"/>
    <n v="9.821052631578947E-2"/>
  </r>
  <r>
    <n v="2019"/>
    <x v="10"/>
    <n v="1"/>
    <x v="16"/>
    <n v="70.5"/>
    <n v="28500"/>
    <n v="2.4736842105263159E-3"/>
  </r>
  <r>
    <n v="2019"/>
    <x v="10"/>
    <n v="1"/>
    <x v="17"/>
    <n v="0"/>
    <n v="28500"/>
    <n v="0"/>
  </r>
  <r>
    <n v="2019"/>
    <x v="10"/>
    <n v="1"/>
    <x v="18"/>
    <n v="0"/>
    <n v="28500"/>
    <n v="0"/>
  </r>
  <r>
    <n v="2019"/>
    <x v="10"/>
    <n v="1"/>
    <x v="19"/>
    <n v="0"/>
    <n v="28500"/>
    <n v="0"/>
  </r>
  <r>
    <n v="2019"/>
    <x v="10"/>
    <n v="1"/>
    <x v="20"/>
    <n v="0"/>
    <n v="28500"/>
    <n v="0"/>
  </r>
  <r>
    <n v="2019"/>
    <x v="10"/>
    <n v="1"/>
    <x v="21"/>
    <n v="0"/>
    <n v="28500"/>
    <n v="0"/>
  </r>
  <r>
    <n v="2019"/>
    <x v="10"/>
    <n v="1"/>
    <x v="22"/>
    <n v="0"/>
    <n v="28500"/>
    <n v="0"/>
  </r>
  <r>
    <n v="2019"/>
    <x v="10"/>
    <n v="1"/>
    <x v="23"/>
    <n v="0"/>
    <n v="28500"/>
    <n v="0"/>
  </r>
  <r>
    <n v="2019"/>
    <x v="10"/>
    <n v="2"/>
    <x v="0"/>
    <n v="0"/>
    <n v="28500"/>
    <n v="0"/>
  </r>
  <r>
    <n v="2019"/>
    <x v="10"/>
    <n v="2"/>
    <x v="1"/>
    <n v="0"/>
    <n v="28500"/>
    <n v="0"/>
  </r>
  <r>
    <n v="2019"/>
    <x v="10"/>
    <n v="2"/>
    <x v="2"/>
    <n v="0"/>
    <n v="28500"/>
    <n v="0"/>
  </r>
  <r>
    <n v="2019"/>
    <x v="10"/>
    <n v="2"/>
    <x v="3"/>
    <n v="0"/>
    <n v="28500"/>
    <n v="0"/>
  </r>
  <r>
    <n v="2019"/>
    <x v="10"/>
    <n v="2"/>
    <x v="4"/>
    <n v="0"/>
    <n v="28500"/>
    <n v="0"/>
  </r>
  <r>
    <n v="2019"/>
    <x v="10"/>
    <n v="2"/>
    <x v="5"/>
    <n v="0"/>
    <n v="28500"/>
    <n v="0"/>
  </r>
  <r>
    <n v="2019"/>
    <x v="10"/>
    <n v="2"/>
    <x v="6"/>
    <n v="0"/>
    <n v="28500"/>
    <n v="0"/>
  </r>
  <r>
    <n v="2019"/>
    <x v="10"/>
    <n v="2"/>
    <x v="7"/>
    <n v="0"/>
    <n v="28500"/>
    <n v="0"/>
  </r>
  <r>
    <n v="2019"/>
    <x v="10"/>
    <n v="2"/>
    <x v="8"/>
    <n v="1004.5"/>
    <n v="28500"/>
    <n v="3.5245614035087719E-2"/>
  </r>
  <r>
    <n v="2019"/>
    <x v="10"/>
    <n v="2"/>
    <x v="9"/>
    <n v="832.5"/>
    <n v="28500"/>
    <n v="2.9210526315789475E-2"/>
  </r>
  <r>
    <n v="2019"/>
    <x v="10"/>
    <n v="2"/>
    <x v="10"/>
    <n v="637"/>
    <n v="28500"/>
    <n v="2.2350877192982455E-2"/>
  </r>
  <r>
    <n v="2019"/>
    <x v="10"/>
    <n v="2"/>
    <x v="11"/>
    <n v="6465"/>
    <n v="28500"/>
    <n v="0.2268421052631579"/>
  </r>
  <r>
    <n v="2019"/>
    <x v="10"/>
    <n v="2"/>
    <x v="12"/>
    <n v="2300"/>
    <n v="28500"/>
    <n v="8.0701754385964913E-2"/>
  </r>
  <r>
    <n v="2019"/>
    <x v="10"/>
    <n v="2"/>
    <x v="13"/>
    <n v="8295.5"/>
    <n v="28500"/>
    <n v="0.29107017543859648"/>
  </r>
  <r>
    <n v="2019"/>
    <x v="10"/>
    <n v="2"/>
    <x v="14"/>
    <n v="4182"/>
    <n v="28500"/>
    <n v="0.14673684210526317"/>
  </r>
  <r>
    <n v="2019"/>
    <x v="10"/>
    <n v="2"/>
    <x v="15"/>
    <n v="2864"/>
    <n v="28500"/>
    <n v="0.10049122807017544"/>
  </r>
  <r>
    <n v="2019"/>
    <x v="10"/>
    <n v="2"/>
    <x v="16"/>
    <n v="50.5"/>
    <n v="28500"/>
    <n v="1.7719298245614035E-3"/>
  </r>
  <r>
    <n v="2019"/>
    <x v="10"/>
    <n v="2"/>
    <x v="17"/>
    <n v="0"/>
    <n v="28500"/>
    <n v="0"/>
  </r>
  <r>
    <n v="2019"/>
    <x v="10"/>
    <n v="2"/>
    <x v="18"/>
    <n v="0"/>
    <n v="28500"/>
    <n v="0"/>
  </r>
  <r>
    <n v="2019"/>
    <x v="10"/>
    <n v="2"/>
    <x v="19"/>
    <n v="0"/>
    <n v="28500"/>
    <n v="0"/>
  </r>
  <r>
    <n v="2019"/>
    <x v="10"/>
    <n v="2"/>
    <x v="20"/>
    <n v="0"/>
    <n v="28500"/>
    <n v="0"/>
  </r>
  <r>
    <n v="2019"/>
    <x v="10"/>
    <n v="2"/>
    <x v="21"/>
    <n v="0"/>
    <n v="28500"/>
    <n v="0"/>
  </r>
  <r>
    <n v="2019"/>
    <x v="10"/>
    <n v="2"/>
    <x v="22"/>
    <n v="0"/>
    <n v="28500"/>
    <n v="0"/>
  </r>
  <r>
    <n v="2019"/>
    <x v="10"/>
    <n v="2"/>
    <x v="23"/>
    <n v="0"/>
    <n v="28500"/>
    <n v="0"/>
  </r>
  <r>
    <n v="2019"/>
    <x v="10"/>
    <n v="3"/>
    <x v="0"/>
    <n v="0"/>
    <n v="28500"/>
    <n v="0"/>
  </r>
  <r>
    <n v="2019"/>
    <x v="10"/>
    <n v="3"/>
    <x v="1"/>
    <n v="0"/>
    <n v="28500"/>
    <n v="0"/>
  </r>
  <r>
    <n v="2019"/>
    <x v="10"/>
    <n v="3"/>
    <x v="2"/>
    <n v="0"/>
    <n v="28500"/>
    <n v="0"/>
  </r>
  <r>
    <n v="2019"/>
    <x v="10"/>
    <n v="3"/>
    <x v="3"/>
    <n v="0"/>
    <n v="28500"/>
    <n v="0"/>
  </r>
  <r>
    <n v="2019"/>
    <x v="10"/>
    <n v="3"/>
    <x v="4"/>
    <n v="0"/>
    <n v="28500"/>
    <n v="0"/>
  </r>
  <r>
    <n v="2019"/>
    <x v="10"/>
    <n v="3"/>
    <x v="5"/>
    <n v="0"/>
    <n v="28500"/>
    <n v="0"/>
  </r>
  <r>
    <n v="2019"/>
    <x v="10"/>
    <n v="3"/>
    <x v="6"/>
    <n v="0"/>
    <n v="28500"/>
    <n v="0"/>
  </r>
  <r>
    <n v="2019"/>
    <x v="10"/>
    <n v="3"/>
    <x v="7"/>
    <n v="0"/>
    <n v="28500"/>
    <n v="0"/>
  </r>
  <r>
    <n v="2019"/>
    <x v="10"/>
    <n v="3"/>
    <x v="8"/>
    <n v="5993.5"/>
    <n v="28500"/>
    <n v="0.2102982456140351"/>
  </r>
  <r>
    <n v="2019"/>
    <x v="10"/>
    <n v="3"/>
    <x v="9"/>
    <n v="23016.5"/>
    <n v="28500"/>
    <n v="0.8075964912280702"/>
  </r>
  <r>
    <n v="2019"/>
    <x v="10"/>
    <n v="3"/>
    <x v="10"/>
    <n v="28587"/>
    <n v="28500"/>
    <n v="1.0030526315789474"/>
  </r>
  <r>
    <n v="2019"/>
    <x v="10"/>
    <n v="3"/>
    <x v="11"/>
    <n v="34497"/>
    <n v="28500"/>
    <n v="1.2104210526315788"/>
  </r>
  <r>
    <n v="2019"/>
    <x v="10"/>
    <n v="3"/>
    <x v="12"/>
    <n v="32991"/>
    <n v="28500"/>
    <n v="1.157578947368421"/>
  </r>
  <r>
    <n v="2019"/>
    <x v="10"/>
    <n v="3"/>
    <x v="13"/>
    <n v="5728"/>
    <n v="28500"/>
    <n v="0.20098245614035087"/>
  </r>
  <r>
    <n v="2019"/>
    <x v="10"/>
    <n v="3"/>
    <x v="14"/>
    <n v="5446.5"/>
    <n v="28500"/>
    <n v="0.19110526315789475"/>
  </r>
  <r>
    <n v="2019"/>
    <x v="10"/>
    <n v="3"/>
    <x v="15"/>
    <n v="3008.5"/>
    <n v="28500"/>
    <n v="0.10556140350877193"/>
  </r>
  <r>
    <n v="2019"/>
    <x v="10"/>
    <n v="3"/>
    <x v="16"/>
    <n v="0"/>
    <n v="28500"/>
    <n v="0"/>
  </r>
  <r>
    <n v="2019"/>
    <x v="10"/>
    <n v="3"/>
    <x v="17"/>
    <n v="0"/>
    <n v="28500"/>
    <n v="0"/>
  </r>
  <r>
    <n v="2019"/>
    <x v="10"/>
    <n v="3"/>
    <x v="18"/>
    <n v="0"/>
    <n v="28500"/>
    <n v="0"/>
  </r>
  <r>
    <n v="2019"/>
    <x v="10"/>
    <n v="3"/>
    <x v="19"/>
    <n v="0"/>
    <n v="28500"/>
    <n v="0"/>
  </r>
  <r>
    <n v="2019"/>
    <x v="10"/>
    <n v="3"/>
    <x v="20"/>
    <n v="0"/>
    <n v="28500"/>
    <n v="0"/>
  </r>
  <r>
    <n v="2019"/>
    <x v="10"/>
    <n v="3"/>
    <x v="21"/>
    <n v="0"/>
    <n v="28500"/>
    <n v="0"/>
  </r>
  <r>
    <n v="2019"/>
    <x v="10"/>
    <n v="3"/>
    <x v="22"/>
    <n v="0"/>
    <n v="28500"/>
    <n v="0"/>
  </r>
  <r>
    <n v="2019"/>
    <x v="10"/>
    <n v="3"/>
    <x v="23"/>
    <n v="0"/>
    <n v="28500"/>
    <n v="0"/>
  </r>
  <r>
    <n v="2019"/>
    <x v="10"/>
    <n v="4"/>
    <x v="0"/>
    <n v="0"/>
    <n v="28500"/>
    <n v="0"/>
  </r>
  <r>
    <n v="2019"/>
    <x v="10"/>
    <n v="4"/>
    <x v="1"/>
    <n v="0"/>
    <n v="28500"/>
    <n v="0"/>
  </r>
  <r>
    <n v="2019"/>
    <x v="10"/>
    <n v="4"/>
    <x v="2"/>
    <n v="0"/>
    <n v="28500"/>
    <n v="0"/>
  </r>
  <r>
    <n v="2019"/>
    <x v="10"/>
    <n v="4"/>
    <x v="3"/>
    <n v="0"/>
    <n v="28500"/>
    <n v="0"/>
  </r>
  <r>
    <n v="2019"/>
    <x v="10"/>
    <n v="4"/>
    <x v="4"/>
    <n v="0"/>
    <n v="28500"/>
    <n v="0"/>
  </r>
  <r>
    <n v="2019"/>
    <x v="10"/>
    <n v="4"/>
    <x v="5"/>
    <n v="0"/>
    <n v="28500"/>
    <n v="0"/>
  </r>
  <r>
    <n v="2019"/>
    <x v="10"/>
    <n v="4"/>
    <x v="6"/>
    <n v="0"/>
    <n v="28500"/>
    <n v="0"/>
  </r>
  <r>
    <n v="2019"/>
    <x v="10"/>
    <n v="4"/>
    <x v="7"/>
    <n v="0"/>
    <n v="28500"/>
    <n v="0"/>
  </r>
  <r>
    <n v="2019"/>
    <x v="10"/>
    <n v="4"/>
    <x v="8"/>
    <n v="7244.5"/>
    <n v="28500"/>
    <n v="0.25419298245614036"/>
  </r>
  <r>
    <n v="2019"/>
    <x v="10"/>
    <n v="4"/>
    <x v="9"/>
    <n v="19472"/>
    <n v="28500"/>
    <n v="0.68322807017543863"/>
  </r>
  <r>
    <n v="2019"/>
    <x v="10"/>
    <n v="4"/>
    <x v="10"/>
    <n v="23093.5"/>
    <n v="28500"/>
    <n v="0.81029824561403507"/>
  </r>
  <r>
    <n v="2019"/>
    <x v="10"/>
    <n v="4"/>
    <x v="11"/>
    <n v="4521.5"/>
    <n v="28500"/>
    <n v="0.15864912280701754"/>
  </r>
  <r>
    <n v="2019"/>
    <x v="10"/>
    <n v="4"/>
    <x v="12"/>
    <n v="3196"/>
    <n v="28500"/>
    <n v="0.11214035087719298"/>
  </r>
  <r>
    <n v="2019"/>
    <x v="10"/>
    <n v="4"/>
    <x v="13"/>
    <n v="19367"/>
    <n v="28500"/>
    <n v="0.67954385964912278"/>
  </r>
  <r>
    <n v="2019"/>
    <x v="10"/>
    <n v="4"/>
    <x v="14"/>
    <n v="20305"/>
    <n v="28500"/>
    <n v="0.71245614035087723"/>
  </r>
  <r>
    <n v="2019"/>
    <x v="10"/>
    <n v="4"/>
    <x v="15"/>
    <n v="4550.5"/>
    <n v="28500"/>
    <n v="0.15966666666666668"/>
  </r>
  <r>
    <n v="2019"/>
    <x v="10"/>
    <n v="4"/>
    <x v="16"/>
    <n v="0"/>
    <n v="28500"/>
    <n v="0"/>
  </r>
  <r>
    <n v="2019"/>
    <x v="10"/>
    <n v="4"/>
    <x v="17"/>
    <n v="0"/>
    <n v="28500"/>
    <n v="0"/>
  </r>
  <r>
    <n v="2019"/>
    <x v="10"/>
    <n v="4"/>
    <x v="18"/>
    <n v="0"/>
    <n v="28500"/>
    <n v="0"/>
  </r>
  <r>
    <n v="2019"/>
    <x v="10"/>
    <n v="4"/>
    <x v="19"/>
    <n v="0"/>
    <n v="28500"/>
    <n v="0"/>
  </r>
  <r>
    <n v="2019"/>
    <x v="10"/>
    <n v="4"/>
    <x v="20"/>
    <n v="0"/>
    <n v="28500"/>
    <n v="0"/>
  </r>
  <r>
    <n v="2019"/>
    <x v="10"/>
    <n v="4"/>
    <x v="21"/>
    <n v="0"/>
    <n v="28500"/>
    <n v="0"/>
  </r>
  <r>
    <n v="2019"/>
    <x v="10"/>
    <n v="4"/>
    <x v="22"/>
    <n v="0"/>
    <n v="28500"/>
    <n v="0"/>
  </r>
  <r>
    <n v="2019"/>
    <x v="10"/>
    <n v="4"/>
    <x v="23"/>
    <n v="0"/>
    <n v="28500"/>
    <n v="0"/>
  </r>
  <r>
    <n v="2019"/>
    <x v="10"/>
    <n v="5"/>
    <x v="0"/>
    <n v="0"/>
    <n v="28500"/>
    <n v="0"/>
  </r>
  <r>
    <n v="2019"/>
    <x v="10"/>
    <n v="5"/>
    <x v="1"/>
    <n v="0"/>
    <n v="28500"/>
    <n v="0"/>
  </r>
  <r>
    <n v="2019"/>
    <x v="10"/>
    <n v="5"/>
    <x v="2"/>
    <n v="0"/>
    <n v="28500"/>
    <n v="0"/>
  </r>
  <r>
    <n v="2019"/>
    <x v="10"/>
    <n v="5"/>
    <x v="3"/>
    <n v="0"/>
    <n v="28500"/>
    <n v="0"/>
  </r>
  <r>
    <n v="2019"/>
    <x v="10"/>
    <n v="5"/>
    <x v="4"/>
    <n v="0"/>
    <n v="28500"/>
    <n v="0"/>
  </r>
  <r>
    <n v="2019"/>
    <x v="10"/>
    <n v="5"/>
    <x v="5"/>
    <n v="0"/>
    <n v="28500"/>
    <n v="0"/>
  </r>
  <r>
    <n v="2019"/>
    <x v="10"/>
    <n v="5"/>
    <x v="6"/>
    <n v="0"/>
    <n v="28500"/>
    <n v="0"/>
  </r>
  <r>
    <n v="2019"/>
    <x v="10"/>
    <n v="5"/>
    <x v="7"/>
    <n v="0"/>
    <n v="28500"/>
    <n v="0"/>
  </r>
  <r>
    <n v="2019"/>
    <x v="10"/>
    <n v="5"/>
    <x v="8"/>
    <n v="2677.5"/>
    <n v="28500"/>
    <n v="9.3947368421052627E-2"/>
  </r>
  <r>
    <n v="2019"/>
    <x v="10"/>
    <n v="5"/>
    <x v="9"/>
    <n v="5014.5"/>
    <n v="28500"/>
    <n v="0.17594736842105263"/>
  </r>
  <r>
    <n v="2019"/>
    <x v="10"/>
    <n v="5"/>
    <x v="10"/>
    <n v="6918.5"/>
    <n v="28500"/>
    <n v="0.24275438596491228"/>
  </r>
  <r>
    <n v="2019"/>
    <x v="10"/>
    <n v="5"/>
    <x v="11"/>
    <n v="4530"/>
    <n v="28500"/>
    <n v="0.15894736842105264"/>
  </r>
  <r>
    <n v="2019"/>
    <x v="10"/>
    <n v="5"/>
    <x v="12"/>
    <n v="14867"/>
    <n v="28500"/>
    <n v="0.52164912280701758"/>
  </r>
  <r>
    <n v="2019"/>
    <x v="10"/>
    <n v="5"/>
    <x v="13"/>
    <n v="22464"/>
    <n v="28500"/>
    <n v="0.78821052631578947"/>
  </r>
  <r>
    <n v="2019"/>
    <x v="10"/>
    <n v="5"/>
    <x v="14"/>
    <n v="17807.5"/>
    <n v="28500"/>
    <n v="0.62482456140350873"/>
  </r>
  <r>
    <n v="2019"/>
    <x v="10"/>
    <n v="5"/>
    <x v="15"/>
    <n v="11461"/>
    <n v="28500"/>
    <n v="0.40214035087719296"/>
  </r>
  <r>
    <n v="2019"/>
    <x v="10"/>
    <n v="5"/>
    <x v="16"/>
    <n v="0"/>
    <n v="28500"/>
    <n v="0"/>
  </r>
  <r>
    <n v="2019"/>
    <x v="10"/>
    <n v="5"/>
    <x v="17"/>
    <n v="0"/>
    <n v="28500"/>
    <n v="0"/>
  </r>
  <r>
    <n v="2019"/>
    <x v="10"/>
    <n v="5"/>
    <x v="18"/>
    <n v="0"/>
    <n v="28500"/>
    <n v="0"/>
  </r>
  <r>
    <n v="2019"/>
    <x v="10"/>
    <n v="5"/>
    <x v="19"/>
    <n v="0"/>
    <n v="28500"/>
    <n v="0"/>
  </r>
  <r>
    <n v="2019"/>
    <x v="10"/>
    <n v="5"/>
    <x v="20"/>
    <n v="0"/>
    <n v="28500"/>
    <n v="0"/>
  </r>
  <r>
    <n v="2019"/>
    <x v="10"/>
    <n v="5"/>
    <x v="21"/>
    <n v="0"/>
    <n v="28500"/>
    <n v="0"/>
  </r>
  <r>
    <n v="2019"/>
    <x v="10"/>
    <n v="5"/>
    <x v="22"/>
    <n v="0"/>
    <n v="28500"/>
    <n v="0"/>
  </r>
  <r>
    <n v="2019"/>
    <x v="10"/>
    <n v="5"/>
    <x v="23"/>
    <n v="0"/>
    <n v="28500"/>
    <n v="0"/>
  </r>
  <r>
    <n v="2019"/>
    <x v="10"/>
    <n v="6"/>
    <x v="0"/>
    <n v="0"/>
    <n v="28500"/>
    <n v="0"/>
  </r>
  <r>
    <n v="2019"/>
    <x v="10"/>
    <n v="6"/>
    <x v="1"/>
    <n v="0"/>
    <n v="28500"/>
    <n v="0"/>
  </r>
  <r>
    <n v="2019"/>
    <x v="10"/>
    <n v="6"/>
    <x v="2"/>
    <n v="0"/>
    <n v="28500"/>
    <n v="0"/>
  </r>
  <r>
    <n v="2019"/>
    <x v="10"/>
    <n v="6"/>
    <x v="3"/>
    <n v="0"/>
    <n v="28500"/>
    <n v="0"/>
  </r>
  <r>
    <n v="2019"/>
    <x v="10"/>
    <n v="6"/>
    <x v="4"/>
    <n v="0"/>
    <n v="28500"/>
    <n v="0"/>
  </r>
  <r>
    <n v="2019"/>
    <x v="10"/>
    <n v="6"/>
    <x v="5"/>
    <n v="0"/>
    <n v="28500"/>
    <n v="0"/>
  </r>
  <r>
    <n v="2019"/>
    <x v="10"/>
    <n v="6"/>
    <x v="6"/>
    <n v="0"/>
    <n v="28500"/>
    <n v="0"/>
  </r>
  <r>
    <n v="2019"/>
    <x v="10"/>
    <n v="6"/>
    <x v="7"/>
    <n v="0"/>
    <n v="28500"/>
    <n v="0"/>
  </r>
  <r>
    <n v="2019"/>
    <x v="10"/>
    <n v="6"/>
    <x v="8"/>
    <n v="8044.5"/>
    <n v="28500"/>
    <n v="0.28226315789473683"/>
  </r>
  <r>
    <n v="2019"/>
    <x v="10"/>
    <n v="6"/>
    <x v="9"/>
    <n v="8476.5"/>
    <n v="28500"/>
    <n v="0.29742105263157897"/>
  </r>
  <r>
    <n v="2019"/>
    <x v="10"/>
    <n v="6"/>
    <x v="10"/>
    <n v="16066"/>
    <n v="28500"/>
    <n v="0.56371929824561406"/>
  </r>
  <r>
    <n v="2019"/>
    <x v="10"/>
    <n v="6"/>
    <x v="11"/>
    <n v="33264.5"/>
    <n v="28500"/>
    <n v="1.1671754385964912"/>
  </r>
  <r>
    <n v="2019"/>
    <x v="10"/>
    <n v="6"/>
    <x v="12"/>
    <n v="33053.5"/>
    <n v="28500"/>
    <n v="1.1597719298245615"/>
  </r>
  <r>
    <n v="2019"/>
    <x v="10"/>
    <n v="6"/>
    <x v="13"/>
    <n v="16690"/>
    <n v="28500"/>
    <n v="0.58561403508771925"/>
  </r>
  <r>
    <n v="2019"/>
    <x v="10"/>
    <n v="6"/>
    <x v="14"/>
    <n v="5817.5"/>
    <n v="28500"/>
    <n v="0.20412280701754387"/>
  </r>
  <r>
    <n v="2019"/>
    <x v="10"/>
    <n v="6"/>
    <x v="15"/>
    <n v="2297.5"/>
    <n v="28500"/>
    <n v="8.0614035087719305E-2"/>
  </r>
  <r>
    <n v="2019"/>
    <x v="10"/>
    <n v="6"/>
    <x v="16"/>
    <n v="0"/>
    <n v="28500"/>
    <n v="0"/>
  </r>
  <r>
    <n v="2019"/>
    <x v="10"/>
    <n v="6"/>
    <x v="17"/>
    <n v="0"/>
    <n v="28500"/>
    <n v="0"/>
  </r>
  <r>
    <n v="2019"/>
    <x v="10"/>
    <n v="6"/>
    <x v="18"/>
    <n v="0"/>
    <n v="28500"/>
    <n v="0"/>
  </r>
  <r>
    <n v="2019"/>
    <x v="10"/>
    <n v="6"/>
    <x v="19"/>
    <n v="0"/>
    <n v="28500"/>
    <n v="0"/>
  </r>
  <r>
    <n v="2019"/>
    <x v="10"/>
    <n v="6"/>
    <x v="20"/>
    <n v="0"/>
    <n v="28500"/>
    <n v="0"/>
  </r>
  <r>
    <n v="2019"/>
    <x v="10"/>
    <n v="6"/>
    <x v="21"/>
    <n v="0"/>
    <n v="28500"/>
    <n v="0"/>
  </r>
  <r>
    <n v="2019"/>
    <x v="10"/>
    <n v="6"/>
    <x v="22"/>
    <n v="0"/>
    <n v="28500"/>
    <n v="0"/>
  </r>
  <r>
    <n v="2019"/>
    <x v="10"/>
    <n v="6"/>
    <x v="23"/>
    <n v="0"/>
    <n v="28500"/>
    <n v="0"/>
  </r>
  <r>
    <n v="2019"/>
    <x v="10"/>
    <n v="7"/>
    <x v="0"/>
    <n v="0"/>
    <n v="28500"/>
    <n v="0"/>
  </r>
  <r>
    <n v="2019"/>
    <x v="10"/>
    <n v="7"/>
    <x v="1"/>
    <n v="0"/>
    <n v="28500"/>
    <n v="0"/>
  </r>
  <r>
    <n v="2019"/>
    <x v="10"/>
    <n v="7"/>
    <x v="2"/>
    <n v="0"/>
    <n v="28500"/>
    <n v="0"/>
  </r>
  <r>
    <n v="2019"/>
    <x v="10"/>
    <n v="7"/>
    <x v="3"/>
    <n v="0"/>
    <n v="28500"/>
    <n v="0"/>
  </r>
  <r>
    <n v="2019"/>
    <x v="10"/>
    <n v="7"/>
    <x v="4"/>
    <n v="0"/>
    <n v="28500"/>
    <n v="0"/>
  </r>
  <r>
    <n v="2019"/>
    <x v="10"/>
    <n v="7"/>
    <x v="5"/>
    <n v="0"/>
    <n v="28500"/>
    <n v="0"/>
  </r>
  <r>
    <n v="2019"/>
    <x v="10"/>
    <n v="7"/>
    <x v="6"/>
    <n v="0"/>
    <n v="28500"/>
    <n v="0"/>
  </r>
  <r>
    <n v="2019"/>
    <x v="10"/>
    <n v="7"/>
    <x v="7"/>
    <n v="0"/>
    <n v="28500"/>
    <n v="0"/>
  </r>
  <r>
    <n v="2019"/>
    <x v="10"/>
    <n v="7"/>
    <x v="8"/>
    <n v="4940.5"/>
    <n v="28500"/>
    <n v="0.17335087719298245"/>
  </r>
  <r>
    <n v="2019"/>
    <x v="10"/>
    <n v="7"/>
    <x v="9"/>
    <n v="7332"/>
    <n v="28500"/>
    <n v="0.25726315789473686"/>
  </r>
  <r>
    <n v="2019"/>
    <x v="10"/>
    <n v="7"/>
    <x v="10"/>
    <n v="29020.5"/>
    <n v="28500"/>
    <n v="1.0182631578947368"/>
  </r>
  <r>
    <n v="2019"/>
    <x v="10"/>
    <n v="7"/>
    <x v="11"/>
    <n v="32521.5"/>
    <n v="28500"/>
    <n v="1.1411052631578948"/>
  </r>
  <r>
    <n v="2019"/>
    <x v="10"/>
    <n v="7"/>
    <x v="12"/>
    <n v="34081"/>
    <n v="28500"/>
    <n v="1.1958245614035088"/>
  </r>
  <r>
    <n v="2019"/>
    <x v="10"/>
    <n v="7"/>
    <x v="13"/>
    <n v="30520.5"/>
    <n v="28500"/>
    <n v="1.0708947368421053"/>
  </r>
  <r>
    <n v="2019"/>
    <x v="10"/>
    <n v="7"/>
    <x v="14"/>
    <n v="20370"/>
    <n v="28500"/>
    <n v="0.71473684210526311"/>
  </r>
  <r>
    <n v="2019"/>
    <x v="10"/>
    <n v="7"/>
    <x v="15"/>
    <n v="10588"/>
    <n v="28500"/>
    <n v="0.37150877192982457"/>
  </r>
  <r>
    <n v="2019"/>
    <x v="10"/>
    <n v="7"/>
    <x v="16"/>
    <n v="0"/>
    <n v="28500"/>
    <n v="0"/>
  </r>
  <r>
    <n v="2019"/>
    <x v="10"/>
    <n v="7"/>
    <x v="17"/>
    <n v="0"/>
    <n v="28500"/>
    <n v="0"/>
  </r>
  <r>
    <n v="2019"/>
    <x v="10"/>
    <n v="7"/>
    <x v="18"/>
    <n v="0"/>
    <n v="28500"/>
    <n v="0"/>
  </r>
  <r>
    <n v="2019"/>
    <x v="10"/>
    <n v="7"/>
    <x v="19"/>
    <n v="0"/>
    <n v="28500"/>
    <n v="0"/>
  </r>
  <r>
    <n v="2019"/>
    <x v="10"/>
    <n v="7"/>
    <x v="20"/>
    <n v="0"/>
    <n v="28500"/>
    <n v="0"/>
  </r>
  <r>
    <n v="2019"/>
    <x v="10"/>
    <n v="7"/>
    <x v="21"/>
    <n v="0"/>
    <n v="28500"/>
    <n v="0"/>
  </r>
  <r>
    <n v="2019"/>
    <x v="10"/>
    <n v="7"/>
    <x v="22"/>
    <n v="0"/>
    <n v="28500"/>
    <n v="0"/>
  </r>
  <r>
    <n v="2019"/>
    <x v="10"/>
    <n v="7"/>
    <x v="23"/>
    <n v="0"/>
    <n v="28500"/>
    <n v="0"/>
  </r>
  <r>
    <n v="2019"/>
    <x v="10"/>
    <n v="8"/>
    <x v="0"/>
    <n v="0"/>
    <n v="28500"/>
    <n v="0"/>
  </r>
  <r>
    <n v="2019"/>
    <x v="10"/>
    <n v="8"/>
    <x v="1"/>
    <n v="0"/>
    <n v="28500"/>
    <n v="0"/>
  </r>
  <r>
    <n v="2019"/>
    <x v="10"/>
    <n v="8"/>
    <x v="2"/>
    <n v="0"/>
    <n v="28500"/>
    <n v="0"/>
  </r>
  <r>
    <n v="2019"/>
    <x v="10"/>
    <n v="8"/>
    <x v="3"/>
    <n v="0"/>
    <n v="28500"/>
    <n v="0"/>
  </r>
  <r>
    <n v="2019"/>
    <x v="10"/>
    <n v="8"/>
    <x v="4"/>
    <n v="0"/>
    <n v="28500"/>
    <n v="0"/>
  </r>
  <r>
    <n v="2019"/>
    <x v="10"/>
    <n v="8"/>
    <x v="5"/>
    <n v="0"/>
    <n v="28500"/>
    <n v="0"/>
  </r>
  <r>
    <n v="2019"/>
    <x v="10"/>
    <n v="8"/>
    <x v="6"/>
    <n v="0"/>
    <n v="28500"/>
    <n v="0"/>
  </r>
  <r>
    <n v="2019"/>
    <x v="10"/>
    <n v="8"/>
    <x v="7"/>
    <n v="0"/>
    <n v="28500"/>
    <n v="0"/>
  </r>
  <r>
    <n v="2019"/>
    <x v="10"/>
    <n v="8"/>
    <x v="8"/>
    <n v="7276.5"/>
    <n v="28500"/>
    <n v="0.25531578947368422"/>
  </r>
  <r>
    <n v="2019"/>
    <x v="10"/>
    <n v="8"/>
    <x v="9"/>
    <n v="26093.5"/>
    <n v="28500"/>
    <n v="0.91556140350877191"/>
  </r>
  <r>
    <n v="2019"/>
    <x v="10"/>
    <n v="8"/>
    <x v="10"/>
    <n v="32533"/>
    <n v="28500"/>
    <n v="1.1415087719298245"/>
  </r>
  <r>
    <n v="2019"/>
    <x v="10"/>
    <n v="8"/>
    <x v="11"/>
    <n v="21479"/>
    <n v="28500"/>
    <n v="0.75364912280701757"/>
  </r>
  <r>
    <n v="2019"/>
    <x v="10"/>
    <n v="8"/>
    <x v="12"/>
    <n v="13803.5"/>
    <n v="28500"/>
    <n v="0.48433333333333334"/>
  </r>
  <r>
    <n v="2019"/>
    <x v="10"/>
    <n v="8"/>
    <x v="13"/>
    <n v="1360.5"/>
    <n v="28500"/>
    <n v="4.7736842105263161E-2"/>
  </r>
  <r>
    <n v="2019"/>
    <x v="10"/>
    <n v="8"/>
    <x v="14"/>
    <n v="1615"/>
    <n v="28500"/>
    <n v="5.6666666666666664E-2"/>
  </r>
  <r>
    <n v="2019"/>
    <x v="10"/>
    <n v="8"/>
    <x v="15"/>
    <n v="4841"/>
    <n v="28500"/>
    <n v="0.16985964912280702"/>
  </r>
  <r>
    <n v="2019"/>
    <x v="10"/>
    <n v="8"/>
    <x v="16"/>
    <n v="0"/>
    <n v="28500"/>
    <n v="0"/>
  </r>
  <r>
    <n v="2019"/>
    <x v="10"/>
    <n v="8"/>
    <x v="17"/>
    <n v="0"/>
    <n v="28500"/>
    <n v="0"/>
  </r>
  <r>
    <n v="2019"/>
    <x v="10"/>
    <n v="8"/>
    <x v="18"/>
    <n v="0"/>
    <n v="28500"/>
    <n v="0"/>
  </r>
  <r>
    <n v="2019"/>
    <x v="10"/>
    <n v="8"/>
    <x v="19"/>
    <n v="0"/>
    <n v="28500"/>
    <n v="0"/>
  </r>
  <r>
    <n v="2019"/>
    <x v="10"/>
    <n v="8"/>
    <x v="20"/>
    <n v="0"/>
    <n v="28500"/>
    <n v="0"/>
  </r>
  <r>
    <n v="2019"/>
    <x v="10"/>
    <n v="8"/>
    <x v="21"/>
    <n v="0"/>
    <n v="28500"/>
    <n v="0"/>
  </r>
  <r>
    <n v="2019"/>
    <x v="10"/>
    <n v="8"/>
    <x v="22"/>
    <n v="0"/>
    <n v="28500"/>
    <n v="0"/>
  </r>
  <r>
    <n v="2019"/>
    <x v="10"/>
    <n v="8"/>
    <x v="23"/>
    <n v="0"/>
    <n v="28500"/>
    <n v="0"/>
  </r>
  <r>
    <n v="2019"/>
    <x v="10"/>
    <n v="9"/>
    <x v="0"/>
    <n v="0"/>
    <n v="28500"/>
    <n v="0"/>
  </r>
  <r>
    <n v="2019"/>
    <x v="10"/>
    <n v="9"/>
    <x v="1"/>
    <n v="0"/>
    <n v="28500"/>
    <n v="0"/>
  </r>
  <r>
    <n v="2019"/>
    <x v="10"/>
    <n v="9"/>
    <x v="2"/>
    <n v="0"/>
    <n v="28500"/>
    <n v="0"/>
  </r>
  <r>
    <n v="2019"/>
    <x v="10"/>
    <n v="9"/>
    <x v="3"/>
    <n v="0"/>
    <n v="28500"/>
    <n v="0"/>
  </r>
  <r>
    <n v="2019"/>
    <x v="10"/>
    <n v="9"/>
    <x v="4"/>
    <n v="0"/>
    <n v="28500"/>
    <n v="0"/>
  </r>
  <r>
    <n v="2019"/>
    <x v="10"/>
    <n v="9"/>
    <x v="5"/>
    <n v="0"/>
    <n v="28500"/>
    <n v="0"/>
  </r>
  <r>
    <n v="2019"/>
    <x v="10"/>
    <n v="9"/>
    <x v="6"/>
    <n v="0"/>
    <n v="28500"/>
    <n v="0"/>
  </r>
  <r>
    <n v="2019"/>
    <x v="10"/>
    <n v="9"/>
    <x v="7"/>
    <n v="0"/>
    <n v="28500"/>
    <n v="0"/>
  </r>
  <r>
    <n v="2019"/>
    <x v="10"/>
    <n v="9"/>
    <x v="8"/>
    <n v="5823"/>
    <n v="28500"/>
    <n v="0.2043157894736842"/>
  </r>
  <r>
    <n v="2019"/>
    <x v="10"/>
    <n v="9"/>
    <x v="9"/>
    <n v="20191"/>
    <n v="28500"/>
    <n v="0.70845614035087723"/>
  </r>
  <r>
    <n v="2019"/>
    <x v="10"/>
    <n v="9"/>
    <x v="10"/>
    <n v="20898.5"/>
    <n v="28500"/>
    <n v="0.73328070175438598"/>
  </r>
  <r>
    <n v="2019"/>
    <x v="10"/>
    <n v="9"/>
    <x v="11"/>
    <n v="29584"/>
    <n v="28500"/>
    <n v="1.0380350877192983"/>
  </r>
  <r>
    <n v="2019"/>
    <x v="10"/>
    <n v="9"/>
    <x v="12"/>
    <n v="13010"/>
    <n v="28500"/>
    <n v="0.45649122807017545"/>
  </r>
  <r>
    <n v="2019"/>
    <x v="10"/>
    <n v="9"/>
    <x v="13"/>
    <n v="14430"/>
    <n v="28500"/>
    <n v="0.50631578947368416"/>
  </r>
  <r>
    <n v="2019"/>
    <x v="10"/>
    <n v="9"/>
    <x v="14"/>
    <n v="2628.5"/>
    <n v="28500"/>
    <n v="9.2228070175438603E-2"/>
  </r>
  <r>
    <n v="2019"/>
    <x v="10"/>
    <n v="9"/>
    <x v="15"/>
    <n v="1331.5"/>
    <n v="28500"/>
    <n v="4.6719298245614035E-2"/>
  </r>
  <r>
    <n v="2019"/>
    <x v="10"/>
    <n v="9"/>
    <x v="16"/>
    <n v="0"/>
    <n v="28500"/>
    <n v="0"/>
  </r>
  <r>
    <n v="2019"/>
    <x v="10"/>
    <n v="9"/>
    <x v="17"/>
    <n v="0"/>
    <n v="28500"/>
    <n v="0"/>
  </r>
  <r>
    <n v="2019"/>
    <x v="10"/>
    <n v="9"/>
    <x v="18"/>
    <n v="0"/>
    <n v="28500"/>
    <n v="0"/>
  </r>
  <r>
    <n v="2019"/>
    <x v="10"/>
    <n v="9"/>
    <x v="19"/>
    <n v="0"/>
    <n v="28500"/>
    <n v="0"/>
  </r>
  <r>
    <n v="2019"/>
    <x v="10"/>
    <n v="9"/>
    <x v="20"/>
    <n v="0"/>
    <n v="28500"/>
    <n v="0"/>
  </r>
  <r>
    <n v="2019"/>
    <x v="10"/>
    <n v="9"/>
    <x v="21"/>
    <n v="0"/>
    <n v="28500"/>
    <n v="0"/>
  </r>
  <r>
    <n v="2019"/>
    <x v="10"/>
    <n v="9"/>
    <x v="22"/>
    <n v="0"/>
    <n v="28500"/>
    <n v="0"/>
  </r>
  <r>
    <n v="2019"/>
    <x v="10"/>
    <n v="9"/>
    <x v="23"/>
    <n v="0"/>
    <n v="28500"/>
    <n v="0"/>
  </r>
  <r>
    <n v="2019"/>
    <x v="10"/>
    <n v="10"/>
    <x v="0"/>
    <n v="0"/>
    <n v="28500"/>
    <n v="0"/>
  </r>
  <r>
    <n v="2019"/>
    <x v="10"/>
    <n v="10"/>
    <x v="1"/>
    <n v="0"/>
    <n v="28500"/>
    <n v="0"/>
  </r>
  <r>
    <n v="2019"/>
    <x v="10"/>
    <n v="10"/>
    <x v="2"/>
    <n v="0"/>
    <n v="28500"/>
    <n v="0"/>
  </r>
  <r>
    <n v="2019"/>
    <x v="10"/>
    <n v="10"/>
    <x v="3"/>
    <n v="0"/>
    <n v="28500"/>
    <n v="0"/>
  </r>
  <r>
    <n v="2019"/>
    <x v="10"/>
    <n v="10"/>
    <x v="4"/>
    <n v="0"/>
    <n v="28500"/>
    <n v="0"/>
  </r>
  <r>
    <n v="2019"/>
    <x v="10"/>
    <n v="10"/>
    <x v="5"/>
    <n v="0"/>
    <n v="28500"/>
    <n v="0"/>
  </r>
  <r>
    <n v="2019"/>
    <x v="10"/>
    <n v="10"/>
    <x v="6"/>
    <n v="0"/>
    <n v="28500"/>
    <n v="0"/>
  </r>
  <r>
    <n v="2019"/>
    <x v="10"/>
    <n v="10"/>
    <x v="7"/>
    <n v="0"/>
    <n v="28500"/>
    <n v="0"/>
  </r>
  <r>
    <n v="2019"/>
    <x v="10"/>
    <n v="10"/>
    <x v="8"/>
    <n v="5662"/>
    <n v="28500"/>
    <n v="0.19866666666666666"/>
  </r>
  <r>
    <n v="2019"/>
    <x v="10"/>
    <n v="10"/>
    <x v="9"/>
    <n v="19658"/>
    <n v="28500"/>
    <n v="0.68975438596491223"/>
  </r>
  <r>
    <n v="2019"/>
    <x v="10"/>
    <n v="10"/>
    <x v="10"/>
    <n v="29804"/>
    <n v="28500"/>
    <n v="1.0457543859649123"/>
  </r>
  <r>
    <n v="2019"/>
    <x v="10"/>
    <n v="10"/>
    <x v="11"/>
    <n v="34495.5"/>
    <n v="28500"/>
    <n v="1.2103684210526315"/>
  </r>
  <r>
    <n v="2019"/>
    <x v="10"/>
    <n v="10"/>
    <x v="12"/>
    <n v="14921.5"/>
    <n v="28500"/>
    <n v="0.52356140350877189"/>
  </r>
  <r>
    <n v="2019"/>
    <x v="10"/>
    <n v="10"/>
    <x v="13"/>
    <n v="15619"/>
    <n v="28500"/>
    <n v="0.54803508771929821"/>
  </r>
  <r>
    <n v="2019"/>
    <x v="10"/>
    <n v="10"/>
    <x v="14"/>
    <n v="14468.5"/>
    <n v="28500"/>
    <n v="0.50766666666666671"/>
  </r>
  <r>
    <n v="2019"/>
    <x v="10"/>
    <n v="10"/>
    <x v="15"/>
    <n v="9927.5"/>
    <n v="28500"/>
    <n v="0.34833333333333333"/>
  </r>
  <r>
    <n v="2019"/>
    <x v="10"/>
    <n v="10"/>
    <x v="16"/>
    <n v="0"/>
    <n v="28500"/>
    <n v="0"/>
  </r>
  <r>
    <n v="2019"/>
    <x v="10"/>
    <n v="10"/>
    <x v="17"/>
    <n v="0"/>
    <n v="28500"/>
    <n v="0"/>
  </r>
  <r>
    <n v="2019"/>
    <x v="10"/>
    <n v="10"/>
    <x v="18"/>
    <n v="0"/>
    <n v="28500"/>
    <n v="0"/>
  </r>
  <r>
    <n v="2019"/>
    <x v="10"/>
    <n v="10"/>
    <x v="19"/>
    <n v="0"/>
    <n v="28500"/>
    <n v="0"/>
  </r>
  <r>
    <n v="2019"/>
    <x v="10"/>
    <n v="10"/>
    <x v="20"/>
    <n v="0"/>
    <n v="28500"/>
    <n v="0"/>
  </r>
  <r>
    <n v="2019"/>
    <x v="10"/>
    <n v="10"/>
    <x v="21"/>
    <n v="0"/>
    <n v="28500"/>
    <n v="0"/>
  </r>
  <r>
    <n v="2019"/>
    <x v="10"/>
    <n v="10"/>
    <x v="22"/>
    <n v="0"/>
    <n v="28500"/>
    <n v="0"/>
  </r>
  <r>
    <n v="2019"/>
    <x v="10"/>
    <n v="10"/>
    <x v="23"/>
    <n v="0"/>
    <n v="28500"/>
    <n v="0"/>
  </r>
  <r>
    <n v="2019"/>
    <x v="10"/>
    <n v="11"/>
    <x v="0"/>
    <n v="0"/>
    <n v="28500"/>
    <n v="0"/>
  </r>
  <r>
    <n v="2019"/>
    <x v="10"/>
    <n v="11"/>
    <x v="1"/>
    <n v="0"/>
    <n v="28500"/>
    <n v="0"/>
  </r>
  <r>
    <n v="2019"/>
    <x v="10"/>
    <n v="11"/>
    <x v="2"/>
    <n v="0"/>
    <n v="28500"/>
    <n v="0"/>
  </r>
  <r>
    <n v="2019"/>
    <x v="10"/>
    <n v="11"/>
    <x v="3"/>
    <n v="0"/>
    <n v="28500"/>
    <n v="0"/>
  </r>
  <r>
    <n v="2019"/>
    <x v="10"/>
    <n v="11"/>
    <x v="4"/>
    <n v="0"/>
    <n v="28500"/>
    <n v="0"/>
  </r>
  <r>
    <n v="2019"/>
    <x v="10"/>
    <n v="11"/>
    <x v="5"/>
    <n v="0"/>
    <n v="28500"/>
    <n v="0"/>
  </r>
  <r>
    <n v="2019"/>
    <x v="10"/>
    <n v="11"/>
    <x v="6"/>
    <n v="0"/>
    <n v="28500"/>
    <n v="0"/>
  </r>
  <r>
    <n v="2019"/>
    <x v="10"/>
    <n v="11"/>
    <x v="7"/>
    <n v="0"/>
    <n v="28500"/>
    <n v="0"/>
  </r>
  <r>
    <n v="2019"/>
    <x v="10"/>
    <n v="11"/>
    <x v="8"/>
    <n v="2997.5"/>
    <n v="28500"/>
    <n v="0.10517543859649123"/>
  </r>
  <r>
    <n v="2019"/>
    <x v="10"/>
    <n v="11"/>
    <x v="9"/>
    <n v="20467.5"/>
    <n v="28500"/>
    <n v="0.71815789473684211"/>
  </r>
  <r>
    <n v="2019"/>
    <x v="10"/>
    <n v="11"/>
    <x v="10"/>
    <n v="25136"/>
    <n v="28500"/>
    <n v="0.88196491228070173"/>
  </r>
  <r>
    <n v="2019"/>
    <x v="10"/>
    <n v="11"/>
    <x v="11"/>
    <n v="13767.5"/>
    <n v="28500"/>
    <n v="0.48307017543859648"/>
  </r>
  <r>
    <n v="2019"/>
    <x v="10"/>
    <n v="11"/>
    <x v="12"/>
    <n v="2725.5"/>
    <n v="28500"/>
    <n v="9.5631578947368415E-2"/>
  </r>
  <r>
    <n v="2019"/>
    <x v="10"/>
    <n v="11"/>
    <x v="13"/>
    <n v="26446.5"/>
    <n v="28500"/>
    <n v="0.92794736842105263"/>
  </r>
  <r>
    <n v="2019"/>
    <x v="10"/>
    <n v="11"/>
    <x v="14"/>
    <n v="0"/>
    <n v="28500"/>
    <n v="0"/>
  </r>
  <r>
    <n v="2019"/>
    <x v="10"/>
    <n v="11"/>
    <x v="15"/>
    <n v="5945"/>
    <n v="28500"/>
    <n v="0.20859649122807017"/>
  </r>
  <r>
    <n v="2019"/>
    <x v="10"/>
    <n v="11"/>
    <x v="16"/>
    <n v="0"/>
    <n v="28500"/>
    <n v="0"/>
  </r>
  <r>
    <n v="2019"/>
    <x v="10"/>
    <n v="11"/>
    <x v="17"/>
    <n v="0"/>
    <n v="28500"/>
    <n v="0"/>
  </r>
  <r>
    <n v="2019"/>
    <x v="10"/>
    <n v="11"/>
    <x v="18"/>
    <n v="0"/>
    <n v="28500"/>
    <n v="0"/>
  </r>
  <r>
    <n v="2019"/>
    <x v="10"/>
    <n v="11"/>
    <x v="19"/>
    <n v="0"/>
    <n v="28500"/>
    <n v="0"/>
  </r>
  <r>
    <n v="2019"/>
    <x v="10"/>
    <n v="11"/>
    <x v="20"/>
    <n v="0"/>
    <n v="28500"/>
    <n v="0"/>
  </r>
  <r>
    <n v="2019"/>
    <x v="10"/>
    <n v="11"/>
    <x v="21"/>
    <n v="0"/>
    <n v="28500"/>
    <n v="0"/>
  </r>
  <r>
    <n v="2019"/>
    <x v="10"/>
    <n v="11"/>
    <x v="22"/>
    <n v="0"/>
    <n v="28500"/>
    <n v="0"/>
  </r>
  <r>
    <n v="2019"/>
    <x v="10"/>
    <n v="11"/>
    <x v="23"/>
    <n v="0"/>
    <n v="28500"/>
    <n v="0"/>
  </r>
  <r>
    <n v="2019"/>
    <x v="10"/>
    <n v="12"/>
    <x v="0"/>
    <n v="0"/>
    <n v="28500"/>
    <n v="0"/>
  </r>
  <r>
    <n v="2019"/>
    <x v="10"/>
    <n v="12"/>
    <x v="1"/>
    <n v="0"/>
    <n v="28500"/>
    <n v="0"/>
  </r>
  <r>
    <n v="2019"/>
    <x v="10"/>
    <n v="12"/>
    <x v="2"/>
    <n v="0"/>
    <n v="28500"/>
    <n v="0"/>
  </r>
  <r>
    <n v="2019"/>
    <x v="10"/>
    <n v="12"/>
    <x v="3"/>
    <n v="0"/>
    <n v="28500"/>
    <n v="0"/>
  </r>
  <r>
    <n v="2019"/>
    <x v="10"/>
    <n v="12"/>
    <x v="4"/>
    <n v="0"/>
    <n v="28500"/>
    <n v="0"/>
  </r>
  <r>
    <n v="2019"/>
    <x v="10"/>
    <n v="12"/>
    <x v="5"/>
    <n v="0"/>
    <n v="28500"/>
    <n v="0"/>
  </r>
  <r>
    <n v="2019"/>
    <x v="10"/>
    <n v="12"/>
    <x v="6"/>
    <n v="0"/>
    <n v="28500"/>
    <n v="0"/>
  </r>
  <r>
    <n v="2019"/>
    <x v="10"/>
    <n v="12"/>
    <x v="7"/>
    <n v="0"/>
    <n v="28500"/>
    <n v="0"/>
  </r>
  <r>
    <n v="2019"/>
    <x v="10"/>
    <n v="12"/>
    <x v="8"/>
    <n v="6612.5"/>
    <n v="28500"/>
    <n v="0.23201754385964912"/>
  </r>
  <r>
    <n v="2019"/>
    <x v="10"/>
    <n v="12"/>
    <x v="9"/>
    <n v="20565.5"/>
    <n v="28500"/>
    <n v="0.72159649122807012"/>
  </r>
  <r>
    <n v="2019"/>
    <x v="10"/>
    <n v="12"/>
    <x v="10"/>
    <n v="29251"/>
    <n v="28500"/>
    <n v="1.0263508771929823"/>
  </r>
  <r>
    <n v="2019"/>
    <x v="10"/>
    <n v="12"/>
    <x v="11"/>
    <n v="35120"/>
    <n v="28500"/>
    <n v="1.232280701754386"/>
  </r>
  <r>
    <n v="2019"/>
    <x v="10"/>
    <n v="12"/>
    <x v="12"/>
    <n v="21833"/>
    <n v="28500"/>
    <n v="0.76607017543859646"/>
  </r>
  <r>
    <n v="2019"/>
    <x v="10"/>
    <n v="12"/>
    <x v="13"/>
    <n v="1745.5"/>
    <n v="28500"/>
    <n v="6.1245614035087721E-2"/>
  </r>
  <r>
    <n v="2019"/>
    <x v="10"/>
    <n v="12"/>
    <x v="14"/>
    <n v="11476"/>
    <n v="28500"/>
    <n v="0.40266666666666667"/>
  </r>
  <r>
    <n v="2019"/>
    <x v="10"/>
    <n v="12"/>
    <x v="15"/>
    <n v="6276"/>
    <n v="28500"/>
    <n v="0.22021052631578947"/>
  </r>
  <r>
    <n v="2019"/>
    <x v="10"/>
    <n v="12"/>
    <x v="16"/>
    <n v="0"/>
    <n v="28500"/>
    <n v="0"/>
  </r>
  <r>
    <n v="2019"/>
    <x v="10"/>
    <n v="12"/>
    <x v="17"/>
    <n v="0"/>
    <n v="28500"/>
    <n v="0"/>
  </r>
  <r>
    <n v="2019"/>
    <x v="10"/>
    <n v="12"/>
    <x v="18"/>
    <n v="0"/>
    <n v="28500"/>
    <n v="0"/>
  </r>
  <r>
    <n v="2019"/>
    <x v="10"/>
    <n v="12"/>
    <x v="19"/>
    <n v="0"/>
    <n v="28500"/>
    <n v="0"/>
  </r>
  <r>
    <n v="2019"/>
    <x v="10"/>
    <n v="12"/>
    <x v="20"/>
    <n v="0"/>
    <n v="28500"/>
    <n v="0"/>
  </r>
  <r>
    <n v="2019"/>
    <x v="10"/>
    <n v="12"/>
    <x v="21"/>
    <n v="0"/>
    <n v="28500"/>
    <n v="0"/>
  </r>
  <r>
    <n v="2019"/>
    <x v="10"/>
    <n v="12"/>
    <x v="22"/>
    <n v="0"/>
    <n v="28500"/>
    <n v="0"/>
  </r>
  <r>
    <n v="2019"/>
    <x v="10"/>
    <n v="12"/>
    <x v="23"/>
    <n v="0"/>
    <n v="28500"/>
    <n v="0"/>
  </r>
  <r>
    <n v="2019"/>
    <x v="10"/>
    <n v="13"/>
    <x v="0"/>
    <n v="0"/>
    <n v="28500"/>
    <n v="0"/>
  </r>
  <r>
    <n v="2019"/>
    <x v="10"/>
    <n v="13"/>
    <x v="1"/>
    <n v="0"/>
    <n v="28500"/>
    <n v="0"/>
  </r>
  <r>
    <n v="2019"/>
    <x v="10"/>
    <n v="13"/>
    <x v="2"/>
    <n v="0"/>
    <n v="28500"/>
    <n v="0"/>
  </r>
  <r>
    <n v="2019"/>
    <x v="10"/>
    <n v="13"/>
    <x v="3"/>
    <n v="0"/>
    <n v="28500"/>
    <n v="0"/>
  </r>
  <r>
    <n v="2019"/>
    <x v="10"/>
    <n v="13"/>
    <x v="4"/>
    <n v="0"/>
    <n v="28500"/>
    <n v="0"/>
  </r>
  <r>
    <n v="2019"/>
    <x v="10"/>
    <n v="13"/>
    <x v="5"/>
    <n v="0"/>
    <n v="28500"/>
    <n v="0"/>
  </r>
  <r>
    <n v="2019"/>
    <x v="10"/>
    <n v="13"/>
    <x v="6"/>
    <n v="0"/>
    <n v="28500"/>
    <n v="0"/>
  </r>
  <r>
    <n v="2019"/>
    <x v="10"/>
    <n v="13"/>
    <x v="7"/>
    <n v="0"/>
    <n v="28500"/>
    <n v="0"/>
  </r>
  <r>
    <n v="2019"/>
    <x v="10"/>
    <n v="13"/>
    <x v="8"/>
    <n v="9073.5"/>
    <n v="28500"/>
    <n v="0.31836842105263158"/>
  </r>
  <r>
    <n v="2019"/>
    <x v="10"/>
    <n v="13"/>
    <x v="9"/>
    <n v="21922.5"/>
    <n v="28500"/>
    <n v="0.76921052631578946"/>
  </r>
  <r>
    <n v="2019"/>
    <x v="10"/>
    <n v="13"/>
    <x v="10"/>
    <n v="27164.5"/>
    <n v="28500"/>
    <n v="0.95314035087719295"/>
  </r>
  <r>
    <n v="2019"/>
    <x v="10"/>
    <n v="13"/>
    <x v="11"/>
    <n v="32656"/>
    <n v="28500"/>
    <n v="1.1458245614035087"/>
  </r>
  <r>
    <n v="2019"/>
    <x v="10"/>
    <n v="13"/>
    <x v="12"/>
    <n v="31789.5"/>
    <n v="28500"/>
    <n v="1.1154210526315789"/>
  </r>
  <r>
    <n v="2019"/>
    <x v="10"/>
    <n v="13"/>
    <x v="13"/>
    <n v="20882"/>
    <n v="28500"/>
    <n v="0.73270175438596497"/>
  </r>
  <r>
    <n v="2019"/>
    <x v="10"/>
    <n v="13"/>
    <x v="14"/>
    <n v="22103.5"/>
    <n v="28500"/>
    <n v="0.7755614035087719"/>
  </r>
  <r>
    <n v="2019"/>
    <x v="10"/>
    <n v="13"/>
    <x v="15"/>
    <n v="2799.5"/>
    <n v="28500"/>
    <n v="9.8228070175438595E-2"/>
  </r>
  <r>
    <n v="2019"/>
    <x v="10"/>
    <n v="13"/>
    <x v="16"/>
    <n v="0"/>
    <n v="28500"/>
    <n v="0"/>
  </r>
  <r>
    <n v="2019"/>
    <x v="10"/>
    <n v="13"/>
    <x v="17"/>
    <n v="0"/>
    <n v="28500"/>
    <n v="0"/>
  </r>
  <r>
    <n v="2019"/>
    <x v="10"/>
    <n v="13"/>
    <x v="18"/>
    <n v="0"/>
    <n v="28500"/>
    <n v="0"/>
  </r>
  <r>
    <n v="2019"/>
    <x v="10"/>
    <n v="13"/>
    <x v="19"/>
    <n v="0"/>
    <n v="28500"/>
    <n v="0"/>
  </r>
  <r>
    <n v="2019"/>
    <x v="10"/>
    <n v="13"/>
    <x v="20"/>
    <n v="0"/>
    <n v="28500"/>
    <n v="0"/>
  </r>
  <r>
    <n v="2019"/>
    <x v="10"/>
    <n v="13"/>
    <x v="21"/>
    <n v="0"/>
    <n v="28500"/>
    <n v="0"/>
  </r>
  <r>
    <n v="2019"/>
    <x v="10"/>
    <n v="13"/>
    <x v="22"/>
    <n v="0"/>
    <n v="28500"/>
    <n v="0"/>
  </r>
  <r>
    <n v="2019"/>
    <x v="10"/>
    <n v="13"/>
    <x v="23"/>
    <n v="0"/>
    <n v="28500"/>
    <n v="0"/>
  </r>
  <r>
    <n v="2019"/>
    <x v="10"/>
    <n v="14"/>
    <x v="0"/>
    <n v="0"/>
    <n v="28500"/>
    <n v="0"/>
  </r>
  <r>
    <n v="2019"/>
    <x v="10"/>
    <n v="14"/>
    <x v="1"/>
    <n v="0"/>
    <n v="28500"/>
    <n v="0"/>
  </r>
  <r>
    <n v="2019"/>
    <x v="10"/>
    <n v="14"/>
    <x v="2"/>
    <n v="0"/>
    <n v="28500"/>
    <n v="0"/>
  </r>
  <r>
    <n v="2019"/>
    <x v="10"/>
    <n v="14"/>
    <x v="3"/>
    <n v="0"/>
    <n v="28500"/>
    <n v="0"/>
  </r>
  <r>
    <n v="2019"/>
    <x v="10"/>
    <n v="14"/>
    <x v="4"/>
    <n v="0"/>
    <n v="28500"/>
    <n v="0"/>
  </r>
  <r>
    <n v="2019"/>
    <x v="10"/>
    <n v="14"/>
    <x v="5"/>
    <n v="0"/>
    <n v="28500"/>
    <n v="0"/>
  </r>
  <r>
    <n v="2019"/>
    <x v="10"/>
    <n v="14"/>
    <x v="6"/>
    <n v="0"/>
    <n v="28500"/>
    <n v="0"/>
  </r>
  <r>
    <n v="2019"/>
    <x v="10"/>
    <n v="14"/>
    <x v="7"/>
    <n v="0"/>
    <n v="28500"/>
    <n v="0"/>
  </r>
  <r>
    <n v="2019"/>
    <x v="10"/>
    <n v="14"/>
    <x v="8"/>
    <n v="4443"/>
    <n v="28500"/>
    <n v="0.15589473684210525"/>
  </r>
  <r>
    <n v="2019"/>
    <x v="10"/>
    <n v="14"/>
    <x v="9"/>
    <n v="19609"/>
    <n v="28500"/>
    <n v="0.68803508771929822"/>
  </r>
  <r>
    <n v="2019"/>
    <x v="10"/>
    <n v="14"/>
    <x v="10"/>
    <n v="28296"/>
    <n v="28500"/>
    <n v="0.99284210526315786"/>
  </r>
  <r>
    <n v="2019"/>
    <x v="10"/>
    <n v="14"/>
    <x v="11"/>
    <n v="30486"/>
    <n v="28500"/>
    <n v="1.0696842105263158"/>
  </r>
  <r>
    <n v="2019"/>
    <x v="10"/>
    <n v="14"/>
    <x v="12"/>
    <n v="33934"/>
    <n v="28500"/>
    <n v="1.1906666666666668"/>
  </r>
  <r>
    <n v="2019"/>
    <x v="10"/>
    <n v="14"/>
    <x v="13"/>
    <n v="28573"/>
    <n v="28500"/>
    <n v="1.002561403508772"/>
  </r>
  <r>
    <n v="2019"/>
    <x v="10"/>
    <n v="14"/>
    <x v="14"/>
    <n v="22516.5"/>
    <n v="28500"/>
    <n v="0.79005263157894734"/>
  </r>
  <r>
    <n v="2019"/>
    <x v="10"/>
    <n v="14"/>
    <x v="15"/>
    <n v="613.5"/>
    <n v="28500"/>
    <n v="2.1526315789473685E-2"/>
  </r>
  <r>
    <n v="2019"/>
    <x v="10"/>
    <n v="14"/>
    <x v="16"/>
    <n v="0"/>
    <n v="28500"/>
    <n v="0"/>
  </r>
  <r>
    <n v="2019"/>
    <x v="10"/>
    <n v="14"/>
    <x v="17"/>
    <n v="0"/>
    <n v="28500"/>
    <n v="0"/>
  </r>
  <r>
    <n v="2019"/>
    <x v="10"/>
    <n v="14"/>
    <x v="18"/>
    <n v="0"/>
    <n v="28500"/>
    <n v="0"/>
  </r>
  <r>
    <n v="2019"/>
    <x v="10"/>
    <n v="14"/>
    <x v="19"/>
    <n v="0"/>
    <n v="28500"/>
    <n v="0"/>
  </r>
  <r>
    <n v="2019"/>
    <x v="10"/>
    <n v="14"/>
    <x v="20"/>
    <n v="0"/>
    <n v="28500"/>
    <n v="0"/>
  </r>
  <r>
    <n v="2019"/>
    <x v="10"/>
    <n v="14"/>
    <x v="21"/>
    <n v="0"/>
    <n v="28500"/>
    <n v="0"/>
  </r>
  <r>
    <n v="2019"/>
    <x v="10"/>
    <n v="14"/>
    <x v="22"/>
    <n v="0"/>
    <n v="28500"/>
    <n v="0"/>
  </r>
  <r>
    <n v="2019"/>
    <x v="10"/>
    <n v="14"/>
    <x v="23"/>
    <n v="0"/>
    <n v="28500"/>
    <n v="0"/>
  </r>
  <r>
    <n v="2019"/>
    <x v="10"/>
    <n v="15"/>
    <x v="0"/>
    <n v="0"/>
    <n v="28500"/>
    <n v="0"/>
  </r>
  <r>
    <n v="2019"/>
    <x v="10"/>
    <n v="15"/>
    <x v="1"/>
    <n v="0"/>
    <n v="28500"/>
    <n v="0"/>
  </r>
  <r>
    <n v="2019"/>
    <x v="10"/>
    <n v="15"/>
    <x v="2"/>
    <n v="0"/>
    <n v="28500"/>
    <n v="0"/>
  </r>
  <r>
    <n v="2019"/>
    <x v="10"/>
    <n v="15"/>
    <x v="3"/>
    <n v="0"/>
    <n v="28500"/>
    <n v="0"/>
  </r>
  <r>
    <n v="2019"/>
    <x v="10"/>
    <n v="15"/>
    <x v="4"/>
    <n v="0"/>
    <n v="28500"/>
    <n v="0"/>
  </r>
  <r>
    <n v="2019"/>
    <x v="10"/>
    <n v="15"/>
    <x v="5"/>
    <n v="0"/>
    <n v="28500"/>
    <n v="0"/>
  </r>
  <r>
    <n v="2019"/>
    <x v="10"/>
    <n v="15"/>
    <x v="6"/>
    <n v="0"/>
    <n v="28500"/>
    <n v="0"/>
  </r>
  <r>
    <n v="2019"/>
    <x v="10"/>
    <n v="15"/>
    <x v="7"/>
    <n v="0"/>
    <n v="28500"/>
    <n v="0"/>
  </r>
  <r>
    <n v="2019"/>
    <x v="10"/>
    <n v="15"/>
    <x v="8"/>
    <n v="402"/>
    <n v="28500"/>
    <n v="1.4105263157894737E-2"/>
  </r>
  <r>
    <n v="2019"/>
    <x v="10"/>
    <n v="15"/>
    <x v="9"/>
    <n v="1423"/>
    <n v="28500"/>
    <n v="4.9929824561403512E-2"/>
  </r>
  <r>
    <n v="2019"/>
    <x v="10"/>
    <n v="15"/>
    <x v="10"/>
    <n v="1128.5"/>
    <n v="28500"/>
    <n v="3.9596491228070178E-2"/>
  </r>
  <r>
    <n v="2019"/>
    <x v="10"/>
    <n v="15"/>
    <x v="11"/>
    <n v="6071.5"/>
    <n v="28500"/>
    <n v="0.21303508771929824"/>
  </r>
  <r>
    <n v="2019"/>
    <x v="10"/>
    <n v="15"/>
    <x v="12"/>
    <n v="6785.5"/>
    <n v="28500"/>
    <n v="0.23808771929824563"/>
  </r>
  <r>
    <n v="2019"/>
    <x v="10"/>
    <n v="15"/>
    <x v="13"/>
    <n v="1775"/>
    <n v="28500"/>
    <n v="6.2280701754385964E-2"/>
  </r>
  <r>
    <n v="2019"/>
    <x v="10"/>
    <n v="15"/>
    <x v="14"/>
    <n v="1999"/>
    <n v="28500"/>
    <n v="7.0140350877192989E-2"/>
  </r>
  <r>
    <n v="2019"/>
    <x v="10"/>
    <n v="15"/>
    <x v="15"/>
    <n v="614"/>
    <n v="28500"/>
    <n v="2.1543859649122806E-2"/>
  </r>
  <r>
    <n v="2019"/>
    <x v="10"/>
    <n v="15"/>
    <x v="16"/>
    <n v="0"/>
    <n v="28500"/>
    <n v="0"/>
  </r>
  <r>
    <n v="2019"/>
    <x v="10"/>
    <n v="15"/>
    <x v="17"/>
    <n v="0"/>
    <n v="28500"/>
    <n v="0"/>
  </r>
  <r>
    <n v="2019"/>
    <x v="10"/>
    <n v="15"/>
    <x v="18"/>
    <n v="0"/>
    <n v="28500"/>
    <n v="0"/>
  </r>
  <r>
    <n v="2019"/>
    <x v="10"/>
    <n v="15"/>
    <x v="19"/>
    <n v="0"/>
    <n v="28500"/>
    <n v="0"/>
  </r>
  <r>
    <n v="2019"/>
    <x v="10"/>
    <n v="15"/>
    <x v="20"/>
    <n v="0"/>
    <n v="28500"/>
    <n v="0"/>
  </r>
  <r>
    <n v="2019"/>
    <x v="10"/>
    <n v="15"/>
    <x v="21"/>
    <n v="0"/>
    <n v="28500"/>
    <n v="0"/>
  </r>
  <r>
    <n v="2019"/>
    <x v="10"/>
    <n v="15"/>
    <x v="22"/>
    <n v="0"/>
    <n v="28500"/>
    <n v="0"/>
  </r>
  <r>
    <n v="2019"/>
    <x v="10"/>
    <n v="15"/>
    <x v="23"/>
    <n v="0"/>
    <n v="28500"/>
    <n v="0"/>
  </r>
  <r>
    <n v="2019"/>
    <x v="10"/>
    <n v="16"/>
    <x v="0"/>
    <n v="0"/>
    <n v="28500"/>
    <n v="0"/>
  </r>
  <r>
    <n v="2019"/>
    <x v="10"/>
    <n v="16"/>
    <x v="1"/>
    <n v="0"/>
    <n v="28500"/>
    <n v="0"/>
  </r>
  <r>
    <n v="2019"/>
    <x v="10"/>
    <n v="16"/>
    <x v="2"/>
    <n v="0"/>
    <n v="28500"/>
    <n v="0"/>
  </r>
  <r>
    <n v="2019"/>
    <x v="10"/>
    <n v="16"/>
    <x v="3"/>
    <n v="0"/>
    <n v="28500"/>
    <n v="0"/>
  </r>
  <r>
    <n v="2019"/>
    <x v="10"/>
    <n v="16"/>
    <x v="4"/>
    <n v="0"/>
    <n v="28500"/>
    <n v="0"/>
  </r>
  <r>
    <n v="2019"/>
    <x v="10"/>
    <n v="16"/>
    <x v="5"/>
    <n v="0"/>
    <n v="28500"/>
    <n v="0"/>
  </r>
  <r>
    <n v="2019"/>
    <x v="10"/>
    <n v="16"/>
    <x v="6"/>
    <n v="0"/>
    <n v="28500"/>
    <n v="0"/>
  </r>
  <r>
    <n v="2019"/>
    <x v="10"/>
    <n v="16"/>
    <x v="7"/>
    <n v="0"/>
    <n v="28500"/>
    <n v="0"/>
  </r>
  <r>
    <n v="2019"/>
    <x v="10"/>
    <n v="16"/>
    <x v="8"/>
    <n v="3220"/>
    <n v="28500"/>
    <n v="0.11298245614035088"/>
  </r>
  <r>
    <n v="2019"/>
    <x v="10"/>
    <n v="16"/>
    <x v="9"/>
    <n v="6211"/>
    <n v="28500"/>
    <n v="0.2179298245614035"/>
  </r>
  <r>
    <n v="2019"/>
    <x v="10"/>
    <n v="16"/>
    <x v="10"/>
    <n v="9511.5"/>
    <n v="28500"/>
    <n v="0.33373684210526317"/>
  </r>
  <r>
    <n v="2019"/>
    <x v="10"/>
    <n v="16"/>
    <x v="11"/>
    <n v="12387"/>
    <n v="28500"/>
    <n v="0.43463157894736842"/>
  </r>
  <r>
    <n v="2019"/>
    <x v="10"/>
    <n v="16"/>
    <x v="12"/>
    <n v="13133"/>
    <n v="28500"/>
    <n v="0.46080701754385966"/>
  </r>
  <r>
    <n v="2019"/>
    <x v="10"/>
    <n v="16"/>
    <x v="13"/>
    <n v="2332"/>
    <n v="28500"/>
    <n v="8.1824561403508772E-2"/>
  </r>
  <r>
    <n v="2019"/>
    <x v="10"/>
    <n v="16"/>
    <x v="14"/>
    <n v="612.5"/>
    <n v="28500"/>
    <n v="2.1491228070175439E-2"/>
  </r>
  <r>
    <n v="2019"/>
    <x v="10"/>
    <n v="16"/>
    <x v="15"/>
    <n v="456"/>
    <n v="28500"/>
    <n v="1.6E-2"/>
  </r>
  <r>
    <n v="2019"/>
    <x v="10"/>
    <n v="16"/>
    <x v="16"/>
    <n v="0"/>
    <n v="28500"/>
    <n v="0"/>
  </r>
  <r>
    <n v="2019"/>
    <x v="10"/>
    <n v="16"/>
    <x v="17"/>
    <n v="0"/>
    <n v="28500"/>
    <n v="0"/>
  </r>
  <r>
    <n v="2019"/>
    <x v="10"/>
    <n v="16"/>
    <x v="18"/>
    <n v="0"/>
    <n v="28500"/>
    <n v="0"/>
  </r>
  <r>
    <n v="2019"/>
    <x v="10"/>
    <n v="16"/>
    <x v="19"/>
    <n v="0"/>
    <n v="28500"/>
    <n v="0"/>
  </r>
  <r>
    <n v="2019"/>
    <x v="10"/>
    <n v="16"/>
    <x v="20"/>
    <n v="0"/>
    <n v="28500"/>
    <n v="0"/>
  </r>
  <r>
    <n v="2019"/>
    <x v="10"/>
    <n v="16"/>
    <x v="21"/>
    <n v="0"/>
    <n v="28500"/>
    <n v="0"/>
  </r>
  <r>
    <n v="2019"/>
    <x v="10"/>
    <n v="16"/>
    <x v="22"/>
    <n v="0"/>
    <n v="28500"/>
    <n v="0"/>
  </r>
  <r>
    <n v="2019"/>
    <x v="10"/>
    <n v="16"/>
    <x v="23"/>
    <n v="0"/>
    <n v="28500"/>
    <n v="0"/>
  </r>
  <r>
    <n v="2019"/>
    <x v="10"/>
    <n v="17"/>
    <x v="0"/>
    <n v="0"/>
    <n v="28500"/>
    <n v="0"/>
  </r>
  <r>
    <n v="2019"/>
    <x v="10"/>
    <n v="17"/>
    <x v="1"/>
    <n v="0"/>
    <n v="28500"/>
    <n v="0"/>
  </r>
  <r>
    <n v="2019"/>
    <x v="10"/>
    <n v="17"/>
    <x v="2"/>
    <n v="0"/>
    <n v="28500"/>
    <n v="0"/>
  </r>
  <r>
    <n v="2019"/>
    <x v="10"/>
    <n v="17"/>
    <x v="3"/>
    <n v="0"/>
    <n v="28500"/>
    <n v="0"/>
  </r>
  <r>
    <n v="2019"/>
    <x v="10"/>
    <n v="17"/>
    <x v="4"/>
    <n v="0"/>
    <n v="28500"/>
    <n v="0"/>
  </r>
  <r>
    <n v="2019"/>
    <x v="10"/>
    <n v="17"/>
    <x v="5"/>
    <n v="0"/>
    <n v="28500"/>
    <n v="0"/>
  </r>
  <r>
    <n v="2019"/>
    <x v="10"/>
    <n v="17"/>
    <x v="6"/>
    <n v="0"/>
    <n v="28500"/>
    <n v="0"/>
  </r>
  <r>
    <n v="2019"/>
    <x v="10"/>
    <n v="17"/>
    <x v="7"/>
    <n v="0"/>
    <n v="28500"/>
    <n v="0"/>
  </r>
  <r>
    <n v="2019"/>
    <x v="10"/>
    <n v="17"/>
    <x v="8"/>
    <n v="1462"/>
    <n v="28500"/>
    <n v="5.1298245614035086E-2"/>
  </r>
  <r>
    <n v="2019"/>
    <x v="10"/>
    <n v="17"/>
    <x v="9"/>
    <n v="5555.5"/>
    <n v="28500"/>
    <n v="0.19492982456140351"/>
  </r>
  <r>
    <n v="2019"/>
    <x v="10"/>
    <n v="17"/>
    <x v="10"/>
    <n v="22552.5"/>
    <n v="28500"/>
    <n v="0.79131578947368419"/>
  </r>
  <r>
    <n v="2019"/>
    <x v="10"/>
    <n v="17"/>
    <x v="11"/>
    <n v="26706.5"/>
    <n v="28500"/>
    <n v="0.9370701754385965"/>
  </r>
  <r>
    <n v="2019"/>
    <x v="10"/>
    <n v="17"/>
    <x v="12"/>
    <n v="23989"/>
    <n v="28500"/>
    <n v="0.84171929824561409"/>
  </r>
  <r>
    <n v="2019"/>
    <x v="10"/>
    <n v="17"/>
    <x v="13"/>
    <n v="5521.5"/>
    <n v="28500"/>
    <n v="0.19373684210526315"/>
  </r>
  <r>
    <n v="2019"/>
    <x v="10"/>
    <n v="17"/>
    <x v="14"/>
    <n v="5001"/>
    <n v="28500"/>
    <n v="0.17547368421052631"/>
  </r>
  <r>
    <n v="2019"/>
    <x v="10"/>
    <n v="17"/>
    <x v="15"/>
    <n v="1865.5"/>
    <n v="28500"/>
    <n v="6.5456140350877198E-2"/>
  </r>
  <r>
    <n v="2019"/>
    <x v="10"/>
    <n v="17"/>
    <x v="16"/>
    <n v="0"/>
    <n v="28500"/>
    <n v="0"/>
  </r>
  <r>
    <n v="2019"/>
    <x v="10"/>
    <n v="17"/>
    <x v="17"/>
    <n v="0"/>
    <n v="28500"/>
    <n v="0"/>
  </r>
  <r>
    <n v="2019"/>
    <x v="10"/>
    <n v="17"/>
    <x v="18"/>
    <n v="0"/>
    <n v="28500"/>
    <n v="0"/>
  </r>
  <r>
    <n v="2019"/>
    <x v="10"/>
    <n v="17"/>
    <x v="19"/>
    <n v="0"/>
    <n v="28500"/>
    <n v="0"/>
  </r>
  <r>
    <n v="2019"/>
    <x v="10"/>
    <n v="17"/>
    <x v="20"/>
    <n v="0"/>
    <n v="28500"/>
    <n v="0"/>
  </r>
  <r>
    <n v="2019"/>
    <x v="10"/>
    <n v="17"/>
    <x v="21"/>
    <n v="0"/>
    <n v="28500"/>
    <n v="0"/>
  </r>
  <r>
    <n v="2019"/>
    <x v="10"/>
    <n v="17"/>
    <x v="22"/>
    <n v="0"/>
    <n v="28500"/>
    <n v="0"/>
  </r>
  <r>
    <n v="2019"/>
    <x v="10"/>
    <n v="17"/>
    <x v="23"/>
    <n v="0"/>
    <n v="28500"/>
    <n v="0"/>
  </r>
  <r>
    <n v="2019"/>
    <x v="10"/>
    <n v="18"/>
    <x v="0"/>
    <n v="0"/>
    <n v="28500"/>
    <n v="0"/>
  </r>
  <r>
    <n v="2019"/>
    <x v="10"/>
    <n v="18"/>
    <x v="1"/>
    <n v="0"/>
    <n v="28500"/>
    <n v="0"/>
  </r>
  <r>
    <n v="2019"/>
    <x v="10"/>
    <n v="18"/>
    <x v="2"/>
    <n v="0"/>
    <n v="28500"/>
    <n v="0"/>
  </r>
  <r>
    <n v="2019"/>
    <x v="10"/>
    <n v="18"/>
    <x v="3"/>
    <n v="0"/>
    <n v="28500"/>
    <n v="0"/>
  </r>
  <r>
    <n v="2019"/>
    <x v="10"/>
    <n v="18"/>
    <x v="4"/>
    <n v="0"/>
    <n v="28500"/>
    <n v="0"/>
  </r>
  <r>
    <n v="2019"/>
    <x v="10"/>
    <n v="18"/>
    <x v="5"/>
    <n v="0"/>
    <n v="28500"/>
    <n v="0"/>
  </r>
  <r>
    <n v="2019"/>
    <x v="10"/>
    <n v="18"/>
    <x v="6"/>
    <n v="0"/>
    <n v="28500"/>
    <n v="0"/>
  </r>
  <r>
    <n v="2019"/>
    <x v="10"/>
    <n v="18"/>
    <x v="7"/>
    <n v="0"/>
    <n v="28500"/>
    <n v="0"/>
  </r>
  <r>
    <n v="2019"/>
    <x v="10"/>
    <n v="18"/>
    <x v="8"/>
    <n v="3765.5"/>
    <n v="28500"/>
    <n v="0.13212280701754386"/>
  </r>
  <r>
    <n v="2019"/>
    <x v="10"/>
    <n v="18"/>
    <x v="9"/>
    <n v="1995.5"/>
    <n v="28500"/>
    <n v="7.0017543859649117E-2"/>
  </r>
  <r>
    <n v="2019"/>
    <x v="10"/>
    <n v="18"/>
    <x v="10"/>
    <n v="27036"/>
    <n v="28500"/>
    <n v="0.94863157894736838"/>
  </r>
  <r>
    <n v="2019"/>
    <x v="10"/>
    <n v="18"/>
    <x v="11"/>
    <n v="15776"/>
    <n v="28500"/>
    <n v="0.55354385964912278"/>
  </r>
  <r>
    <n v="2019"/>
    <x v="10"/>
    <n v="18"/>
    <x v="12"/>
    <n v="24588"/>
    <n v="28500"/>
    <n v="0.86273684210526314"/>
  </r>
  <r>
    <n v="2019"/>
    <x v="10"/>
    <n v="18"/>
    <x v="13"/>
    <n v="2113.5"/>
    <n v="28500"/>
    <n v="7.4157894736842103E-2"/>
  </r>
  <r>
    <n v="2019"/>
    <x v="10"/>
    <n v="18"/>
    <x v="14"/>
    <n v="4180.5"/>
    <n v="28500"/>
    <n v="0.14668421052631578"/>
  </r>
  <r>
    <n v="2019"/>
    <x v="10"/>
    <n v="18"/>
    <x v="15"/>
    <n v="1318.5"/>
    <n v="28500"/>
    <n v="4.6263157894736839E-2"/>
  </r>
  <r>
    <n v="2019"/>
    <x v="10"/>
    <n v="18"/>
    <x v="16"/>
    <n v="0"/>
    <n v="28500"/>
    <n v="0"/>
  </r>
  <r>
    <n v="2019"/>
    <x v="10"/>
    <n v="18"/>
    <x v="17"/>
    <n v="0"/>
    <n v="28500"/>
    <n v="0"/>
  </r>
  <r>
    <n v="2019"/>
    <x v="10"/>
    <n v="18"/>
    <x v="18"/>
    <n v="0"/>
    <n v="28500"/>
    <n v="0"/>
  </r>
  <r>
    <n v="2019"/>
    <x v="10"/>
    <n v="18"/>
    <x v="19"/>
    <n v="0"/>
    <n v="28500"/>
    <n v="0"/>
  </r>
  <r>
    <n v="2019"/>
    <x v="10"/>
    <n v="18"/>
    <x v="20"/>
    <n v="0"/>
    <n v="28500"/>
    <n v="0"/>
  </r>
  <r>
    <n v="2019"/>
    <x v="10"/>
    <n v="18"/>
    <x v="21"/>
    <n v="0"/>
    <n v="28500"/>
    <n v="0"/>
  </r>
  <r>
    <n v="2019"/>
    <x v="10"/>
    <n v="18"/>
    <x v="22"/>
    <n v="0"/>
    <n v="28500"/>
    <n v="0"/>
  </r>
  <r>
    <n v="2019"/>
    <x v="10"/>
    <n v="18"/>
    <x v="23"/>
    <n v="0"/>
    <n v="28500"/>
    <n v="0"/>
  </r>
  <r>
    <n v="2019"/>
    <x v="10"/>
    <n v="19"/>
    <x v="0"/>
    <n v="0"/>
    <n v="28500"/>
    <n v="0"/>
  </r>
  <r>
    <n v="2019"/>
    <x v="10"/>
    <n v="19"/>
    <x v="1"/>
    <n v="0"/>
    <n v="28500"/>
    <n v="0"/>
  </r>
  <r>
    <n v="2019"/>
    <x v="10"/>
    <n v="19"/>
    <x v="2"/>
    <n v="0"/>
    <n v="28500"/>
    <n v="0"/>
  </r>
  <r>
    <n v="2019"/>
    <x v="10"/>
    <n v="19"/>
    <x v="3"/>
    <n v="0"/>
    <n v="28500"/>
    <n v="0"/>
  </r>
  <r>
    <n v="2019"/>
    <x v="10"/>
    <n v="19"/>
    <x v="4"/>
    <n v="0"/>
    <n v="28500"/>
    <n v="0"/>
  </r>
  <r>
    <n v="2019"/>
    <x v="10"/>
    <n v="19"/>
    <x v="5"/>
    <n v="0"/>
    <n v="28500"/>
    <n v="0"/>
  </r>
  <r>
    <n v="2019"/>
    <x v="10"/>
    <n v="19"/>
    <x v="6"/>
    <n v="0"/>
    <n v="28500"/>
    <n v="0"/>
  </r>
  <r>
    <n v="2019"/>
    <x v="10"/>
    <n v="19"/>
    <x v="7"/>
    <n v="0"/>
    <n v="28500"/>
    <n v="0"/>
  </r>
  <r>
    <n v="2019"/>
    <x v="10"/>
    <n v="19"/>
    <x v="8"/>
    <n v="4091"/>
    <n v="28500"/>
    <n v="0.14354385964912281"/>
  </r>
  <r>
    <n v="2019"/>
    <x v="10"/>
    <n v="19"/>
    <x v="9"/>
    <n v="8221.5"/>
    <n v="28500"/>
    <n v="0.28847368421052633"/>
  </r>
  <r>
    <n v="2019"/>
    <x v="10"/>
    <n v="19"/>
    <x v="10"/>
    <n v="2557"/>
    <n v="28500"/>
    <n v="8.9719298245614032E-2"/>
  </r>
  <r>
    <n v="2019"/>
    <x v="10"/>
    <n v="19"/>
    <x v="11"/>
    <n v="5030"/>
    <n v="28500"/>
    <n v="0.17649122807017545"/>
  </r>
  <r>
    <n v="2019"/>
    <x v="10"/>
    <n v="19"/>
    <x v="12"/>
    <n v="10134.5"/>
    <n v="28500"/>
    <n v="0.35559649122807019"/>
  </r>
  <r>
    <n v="2019"/>
    <x v="10"/>
    <n v="19"/>
    <x v="13"/>
    <n v="8367"/>
    <n v="28500"/>
    <n v="0.29357894736842105"/>
  </r>
  <r>
    <n v="2019"/>
    <x v="10"/>
    <n v="19"/>
    <x v="14"/>
    <n v="11155"/>
    <n v="28500"/>
    <n v="0.39140350877192981"/>
  </r>
  <r>
    <n v="2019"/>
    <x v="10"/>
    <n v="19"/>
    <x v="15"/>
    <n v="2988"/>
    <n v="28500"/>
    <n v="0.10484210526315789"/>
  </r>
  <r>
    <n v="2019"/>
    <x v="10"/>
    <n v="19"/>
    <x v="16"/>
    <n v="0"/>
    <n v="28500"/>
    <n v="0"/>
  </r>
  <r>
    <n v="2019"/>
    <x v="10"/>
    <n v="19"/>
    <x v="17"/>
    <n v="0"/>
    <n v="28500"/>
    <n v="0"/>
  </r>
  <r>
    <n v="2019"/>
    <x v="10"/>
    <n v="19"/>
    <x v="18"/>
    <n v="0"/>
    <n v="28500"/>
    <n v="0"/>
  </r>
  <r>
    <n v="2019"/>
    <x v="10"/>
    <n v="19"/>
    <x v="19"/>
    <n v="0"/>
    <n v="28500"/>
    <n v="0"/>
  </r>
  <r>
    <n v="2019"/>
    <x v="10"/>
    <n v="19"/>
    <x v="20"/>
    <n v="0"/>
    <n v="28500"/>
    <n v="0"/>
  </r>
  <r>
    <n v="2019"/>
    <x v="10"/>
    <n v="19"/>
    <x v="21"/>
    <n v="0"/>
    <n v="28500"/>
    <n v="0"/>
  </r>
  <r>
    <n v="2019"/>
    <x v="10"/>
    <n v="19"/>
    <x v="22"/>
    <n v="0"/>
    <n v="28500"/>
    <n v="0"/>
  </r>
  <r>
    <n v="2019"/>
    <x v="10"/>
    <n v="19"/>
    <x v="23"/>
    <n v="0"/>
    <n v="28500"/>
    <n v="0"/>
  </r>
  <r>
    <n v="2019"/>
    <x v="10"/>
    <n v="20"/>
    <x v="0"/>
    <n v="0"/>
    <n v="28500"/>
    <n v="0"/>
  </r>
  <r>
    <n v="2019"/>
    <x v="10"/>
    <n v="20"/>
    <x v="1"/>
    <n v="0"/>
    <n v="28500"/>
    <n v="0"/>
  </r>
  <r>
    <n v="2019"/>
    <x v="10"/>
    <n v="20"/>
    <x v="2"/>
    <n v="0"/>
    <n v="28500"/>
    <n v="0"/>
  </r>
  <r>
    <n v="2019"/>
    <x v="10"/>
    <n v="20"/>
    <x v="3"/>
    <n v="0"/>
    <n v="28500"/>
    <n v="0"/>
  </r>
  <r>
    <n v="2019"/>
    <x v="10"/>
    <n v="20"/>
    <x v="4"/>
    <n v="0"/>
    <n v="28500"/>
    <n v="0"/>
  </r>
  <r>
    <n v="2019"/>
    <x v="10"/>
    <n v="20"/>
    <x v="5"/>
    <n v="0"/>
    <n v="28500"/>
    <n v="0"/>
  </r>
  <r>
    <n v="2019"/>
    <x v="10"/>
    <n v="20"/>
    <x v="6"/>
    <n v="0"/>
    <n v="28500"/>
    <n v="0"/>
  </r>
  <r>
    <n v="2019"/>
    <x v="10"/>
    <n v="20"/>
    <x v="7"/>
    <n v="0"/>
    <n v="28500"/>
    <n v="0"/>
  </r>
  <r>
    <n v="2019"/>
    <x v="10"/>
    <n v="20"/>
    <x v="8"/>
    <n v="3186.5"/>
    <n v="28500"/>
    <n v="0.11180701754385965"/>
  </r>
  <r>
    <n v="2019"/>
    <x v="10"/>
    <n v="20"/>
    <x v="9"/>
    <n v="5332"/>
    <n v="28500"/>
    <n v="0.18708771929824561"/>
  </r>
  <r>
    <n v="2019"/>
    <x v="10"/>
    <n v="20"/>
    <x v="10"/>
    <n v="17454.5"/>
    <n v="28500"/>
    <n v="0.61243859649122812"/>
  </r>
  <r>
    <n v="2019"/>
    <x v="10"/>
    <n v="20"/>
    <x v="11"/>
    <n v="21139.5"/>
    <n v="28500"/>
    <n v="0.74173684210526314"/>
  </r>
  <r>
    <n v="2019"/>
    <x v="10"/>
    <n v="20"/>
    <x v="12"/>
    <n v="22372.5"/>
    <n v="28500"/>
    <n v="0.78500000000000003"/>
  </r>
  <r>
    <n v="2019"/>
    <x v="10"/>
    <n v="20"/>
    <x v="13"/>
    <n v="14422"/>
    <n v="28500"/>
    <n v="0.50603508771929828"/>
  </r>
  <r>
    <n v="2019"/>
    <x v="10"/>
    <n v="20"/>
    <x v="14"/>
    <n v="14737"/>
    <n v="28500"/>
    <n v="0.5170877192982456"/>
  </r>
  <r>
    <n v="2019"/>
    <x v="10"/>
    <n v="20"/>
    <x v="15"/>
    <n v="4186.5"/>
    <n v="28500"/>
    <n v="0.14689473684210527"/>
  </r>
  <r>
    <n v="2019"/>
    <x v="10"/>
    <n v="20"/>
    <x v="16"/>
    <n v="0"/>
    <n v="28500"/>
    <n v="0"/>
  </r>
  <r>
    <n v="2019"/>
    <x v="10"/>
    <n v="20"/>
    <x v="17"/>
    <n v="0"/>
    <n v="28500"/>
    <n v="0"/>
  </r>
  <r>
    <n v="2019"/>
    <x v="10"/>
    <n v="20"/>
    <x v="18"/>
    <n v="0"/>
    <n v="28500"/>
    <n v="0"/>
  </r>
  <r>
    <n v="2019"/>
    <x v="10"/>
    <n v="20"/>
    <x v="19"/>
    <n v="0"/>
    <n v="28500"/>
    <n v="0"/>
  </r>
  <r>
    <n v="2019"/>
    <x v="10"/>
    <n v="20"/>
    <x v="20"/>
    <n v="0"/>
    <n v="28500"/>
    <n v="0"/>
  </r>
  <r>
    <n v="2019"/>
    <x v="10"/>
    <n v="20"/>
    <x v="21"/>
    <n v="0"/>
    <n v="28500"/>
    <n v="0"/>
  </r>
  <r>
    <n v="2019"/>
    <x v="10"/>
    <n v="20"/>
    <x v="22"/>
    <n v="0"/>
    <n v="28500"/>
    <n v="0"/>
  </r>
  <r>
    <n v="2019"/>
    <x v="10"/>
    <n v="20"/>
    <x v="23"/>
    <n v="0"/>
    <n v="28500"/>
    <n v="0"/>
  </r>
  <r>
    <n v="2019"/>
    <x v="10"/>
    <n v="21"/>
    <x v="0"/>
    <n v="0"/>
    <n v="28500"/>
    <n v="0"/>
  </r>
  <r>
    <n v="2019"/>
    <x v="10"/>
    <n v="21"/>
    <x v="1"/>
    <n v="0"/>
    <n v="28500"/>
    <n v="0"/>
  </r>
  <r>
    <n v="2019"/>
    <x v="10"/>
    <n v="21"/>
    <x v="2"/>
    <n v="0"/>
    <n v="28500"/>
    <n v="0"/>
  </r>
  <r>
    <n v="2019"/>
    <x v="10"/>
    <n v="21"/>
    <x v="3"/>
    <n v="0"/>
    <n v="28500"/>
    <n v="0"/>
  </r>
  <r>
    <n v="2019"/>
    <x v="10"/>
    <n v="21"/>
    <x v="4"/>
    <n v="0"/>
    <n v="28500"/>
    <n v="0"/>
  </r>
  <r>
    <n v="2019"/>
    <x v="10"/>
    <n v="21"/>
    <x v="5"/>
    <n v="0"/>
    <n v="28500"/>
    <n v="0"/>
  </r>
  <r>
    <n v="2019"/>
    <x v="10"/>
    <n v="21"/>
    <x v="6"/>
    <n v="0"/>
    <n v="28500"/>
    <n v="0"/>
  </r>
  <r>
    <n v="2019"/>
    <x v="10"/>
    <n v="21"/>
    <x v="7"/>
    <n v="0"/>
    <n v="28500"/>
    <n v="0"/>
  </r>
  <r>
    <n v="2019"/>
    <x v="10"/>
    <n v="21"/>
    <x v="8"/>
    <n v="1334.5"/>
    <n v="28500"/>
    <n v="4.6824561403508769E-2"/>
  </r>
  <r>
    <n v="2019"/>
    <x v="10"/>
    <n v="21"/>
    <x v="9"/>
    <n v="2352"/>
    <n v="28500"/>
    <n v="8.2526315789473684E-2"/>
  </r>
  <r>
    <n v="2019"/>
    <x v="10"/>
    <n v="21"/>
    <x v="10"/>
    <n v="4270.5"/>
    <n v="28500"/>
    <n v="0.14984210526315789"/>
  </r>
  <r>
    <n v="2019"/>
    <x v="10"/>
    <n v="21"/>
    <x v="11"/>
    <n v="2215"/>
    <n v="28500"/>
    <n v="7.7719298245614035E-2"/>
  </r>
  <r>
    <n v="2019"/>
    <x v="10"/>
    <n v="21"/>
    <x v="12"/>
    <n v="1313.5"/>
    <n v="28500"/>
    <n v="4.6087719298245615E-2"/>
  </r>
  <r>
    <n v="2019"/>
    <x v="10"/>
    <n v="21"/>
    <x v="13"/>
    <n v="1025.5"/>
    <n v="28500"/>
    <n v="3.598245614035088E-2"/>
  </r>
  <r>
    <n v="2019"/>
    <x v="10"/>
    <n v="21"/>
    <x v="14"/>
    <n v="553.5"/>
    <n v="28500"/>
    <n v="1.9421052631578947E-2"/>
  </r>
  <r>
    <n v="2019"/>
    <x v="10"/>
    <n v="21"/>
    <x v="15"/>
    <n v="1176.5"/>
    <n v="28500"/>
    <n v="4.1280701754385966E-2"/>
  </r>
  <r>
    <n v="2019"/>
    <x v="10"/>
    <n v="21"/>
    <x v="16"/>
    <n v="0"/>
    <n v="28500"/>
    <n v="0"/>
  </r>
  <r>
    <n v="2019"/>
    <x v="10"/>
    <n v="21"/>
    <x v="17"/>
    <n v="0"/>
    <n v="28500"/>
    <n v="0"/>
  </r>
  <r>
    <n v="2019"/>
    <x v="10"/>
    <n v="21"/>
    <x v="18"/>
    <n v="0"/>
    <n v="28500"/>
    <n v="0"/>
  </r>
  <r>
    <n v="2019"/>
    <x v="10"/>
    <n v="21"/>
    <x v="19"/>
    <n v="0"/>
    <n v="28500"/>
    <n v="0"/>
  </r>
  <r>
    <n v="2019"/>
    <x v="10"/>
    <n v="21"/>
    <x v="20"/>
    <n v="0"/>
    <n v="28500"/>
    <n v="0"/>
  </r>
  <r>
    <n v="2019"/>
    <x v="10"/>
    <n v="21"/>
    <x v="21"/>
    <n v="0"/>
    <n v="28500"/>
    <n v="0"/>
  </r>
  <r>
    <n v="2019"/>
    <x v="10"/>
    <n v="21"/>
    <x v="22"/>
    <n v="0"/>
    <n v="28500"/>
    <n v="0"/>
  </r>
  <r>
    <n v="2019"/>
    <x v="10"/>
    <n v="21"/>
    <x v="23"/>
    <n v="0"/>
    <n v="28500"/>
    <n v="0"/>
  </r>
  <r>
    <n v="2019"/>
    <x v="10"/>
    <n v="22"/>
    <x v="0"/>
    <n v="0"/>
    <n v="28500"/>
    <n v="0"/>
  </r>
  <r>
    <n v="2019"/>
    <x v="10"/>
    <n v="22"/>
    <x v="1"/>
    <n v="0"/>
    <n v="28500"/>
    <n v="0"/>
  </r>
  <r>
    <n v="2019"/>
    <x v="10"/>
    <n v="22"/>
    <x v="2"/>
    <n v="0"/>
    <n v="28500"/>
    <n v="0"/>
  </r>
  <r>
    <n v="2019"/>
    <x v="10"/>
    <n v="22"/>
    <x v="3"/>
    <n v="0"/>
    <n v="28500"/>
    <n v="0"/>
  </r>
  <r>
    <n v="2019"/>
    <x v="10"/>
    <n v="22"/>
    <x v="4"/>
    <n v="0"/>
    <n v="28500"/>
    <n v="0"/>
  </r>
  <r>
    <n v="2019"/>
    <x v="10"/>
    <n v="22"/>
    <x v="5"/>
    <n v="0"/>
    <n v="28500"/>
    <n v="0"/>
  </r>
  <r>
    <n v="2019"/>
    <x v="10"/>
    <n v="22"/>
    <x v="6"/>
    <n v="0"/>
    <n v="28500"/>
    <n v="0"/>
  </r>
  <r>
    <n v="2019"/>
    <x v="10"/>
    <n v="22"/>
    <x v="7"/>
    <n v="0"/>
    <n v="28500"/>
    <n v="0"/>
  </r>
  <r>
    <n v="2019"/>
    <x v="10"/>
    <n v="22"/>
    <x v="8"/>
    <n v="1879.5"/>
    <n v="28500"/>
    <n v="6.594736842105263E-2"/>
  </r>
  <r>
    <n v="2019"/>
    <x v="10"/>
    <n v="22"/>
    <x v="9"/>
    <n v="13565.5"/>
    <n v="28500"/>
    <n v="0.4759824561403509"/>
  </r>
  <r>
    <n v="2019"/>
    <x v="10"/>
    <n v="22"/>
    <x v="10"/>
    <n v="4771"/>
    <n v="28500"/>
    <n v="0.16740350877192983"/>
  </r>
  <r>
    <n v="2019"/>
    <x v="10"/>
    <n v="22"/>
    <x v="11"/>
    <n v="1435"/>
    <n v="28500"/>
    <n v="5.0350877192982459E-2"/>
  </r>
  <r>
    <n v="2019"/>
    <x v="10"/>
    <n v="22"/>
    <x v="12"/>
    <n v="1077.5"/>
    <n v="28500"/>
    <n v="3.780701754385965E-2"/>
  </r>
  <r>
    <n v="2019"/>
    <x v="10"/>
    <n v="22"/>
    <x v="13"/>
    <n v="7566.5"/>
    <n v="28500"/>
    <n v="0.26549122807017544"/>
  </r>
  <r>
    <n v="2019"/>
    <x v="10"/>
    <n v="22"/>
    <x v="14"/>
    <n v="1111.5"/>
    <n v="28500"/>
    <n v="3.9E-2"/>
  </r>
  <r>
    <n v="2019"/>
    <x v="10"/>
    <n v="22"/>
    <x v="15"/>
    <n v="1124.5"/>
    <n v="28500"/>
    <n v="3.9456140350877196E-2"/>
  </r>
  <r>
    <n v="2019"/>
    <x v="10"/>
    <n v="22"/>
    <x v="16"/>
    <n v="0"/>
    <n v="28500"/>
    <n v="0"/>
  </r>
  <r>
    <n v="2019"/>
    <x v="10"/>
    <n v="22"/>
    <x v="17"/>
    <n v="0"/>
    <n v="28500"/>
    <n v="0"/>
  </r>
  <r>
    <n v="2019"/>
    <x v="10"/>
    <n v="22"/>
    <x v="18"/>
    <n v="0"/>
    <n v="28500"/>
    <n v="0"/>
  </r>
  <r>
    <n v="2019"/>
    <x v="10"/>
    <n v="22"/>
    <x v="19"/>
    <n v="0"/>
    <n v="28500"/>
    <n v="0"/>
  </r>
  <r>
    <n v="2019"/>
    <x v="10"/>
    <n v="22"/>
    <x v="20"/>
    <n v="0"/>
    <n v="28500"/>
    <n v="0"/>
  </r>
  <r>
    <n v="2019"/>
    <x v="10"/>
    <n v="22"/>
    <x v="21"/>
    <n v="0"/>
    <n v="28500"/>
    <n v="0"/>
  </r>
  <r>
    <n v="2019"/>
    <x v="10"/>
    <n v="22"/>
    <x v="22"/>
    <n v="0"/>
    <n v="28500"/>
    <n v="0"/>
  </r>
  <r>
    <n v="2019"/>
    <x v="10"/>
    <n v="22"/>
    <x v="23"/>
    <n v="0"/>
    <n v="28500"/>
    <n v="0"/>
  </r>
  <r>
    <n v="2019"/>
    <x v="10"/>
    <n v="23"/>
    <x v="0"/>
    <n v="0"/>
    <n v="28500"/>
    <n v="0"/>
  </r>
  <r>
    <n v="2019"/>
    <x v="10"/>
    <n v="23"/>
    <x v="1"/>
    <n v="0"/>
    <n v="28500"/>
    <n v="0"/>
  </r>
  <r>
    <n v="2019"/>
    <x v="10"/>
    <n v="23"/>
    <x v="2"/>
    <n v="0"/>
    <n v="28500"/>
    <n v="0"/>
  </r>
  <r>
    <n v="2019"/>
    <x v="10"/>
    <n v="23"/>
    <x v="3"/>
    <n v="0"/>
    <n v="28500"/>
    <n v="0"/>
  </r>
  <r>
    <n v="2019"/>
    <x v="10"/>
    <n v="23"/>
    <x v="4"/>
    <n v="0"/>
    <n v="28500"/>
    <n v="0"/>
  </r>
  <r>
    <n v="2019"/>
    <x v="10"/>
    <n v="23"/>
    <x v="5"/>
    <n v="0"/>
    <n v="28500"/>
    <n v="0"/>
  </r>
  <r>
    <n v="2019"/>
    <x v="10"/>
    <n v="23"/>
    <x v="6"/>
    <n v="0"/>
    <n v="28500"/>
    <n v="0"/>
  </r>
  <r>
    <n v="2019"/>
    <x v="10"/>
    <n v="23"/>
    <x v="7"/>
    <n v="0"/>
    <n v="28500"/>
    <n v="0"/>
  </r>
  <r>
    <n v="2019"/>
    <x v="10"/>
    <n v="23"/>
    <x v="8"/>
    <n v="542"/>
    <n v="28500"/>
    <n v="1.9017543859649124E-2"/>
  </r>
  <r>
    <n v="2019"/>
    <x v="10"/>
    <n v="23"/>
    <x v="9"/>
    <n v="610"/>
    <n v="28500"/>
    <n v="2.1403508771929824E-2"/>
  </r>
  <r>
    <n v="2019"/>
    <x v="10"/>
    <n v="23"/>
    <x v="10"/>
    <n v="4667.5"/>
    <n v="28500"/>
    <n v="0.1637719298245614"/>
  </r>
  <r>
    <n v="2019"/>
    <x v="10"/>
    <n v="23"/>
    <x v="11"/>
    <n v="2414.5"/>
    <n v="28500"/>
    <n v="8.4719298245614041E-2"/>
  </r>
  <r>
    <n v="2019"/>
    <x v="10"/>
    <n v="23"/>
    <x v="12"/>
    <n v="5096.5"/>
    <n v="28500"/>
    <n v="0.17882456140350877"/>
  </r>
  <r>
    <n v="2019"/>
    <x v="10"/>
    <n v="23"/>
    <x v="13"/>
    <n v="2898"/>
    <n v="28500"/>
    <n v="0.10168421052631579"/>
  </r>
  <r>
    <n v="2019"/>
    <x v="10"/>
    <n v="23"/>
    <x v="14"/>
    <n v="1244"/>
    <n v="28500"/>
    <n v="4.3649122807017542E-2"/>
  </r>
  <r>
    <n v="2019"/>
    <x v="10"/>
    <n v="23"/>
    <x v="15"/>
    <n v="52"/>
    <n v="28500"/>
    <n v="1.8245614035087719E-3"/>
  </r>
  <r>
    <n v="2019"/>
    <x v="10"/>
    <n v="23"/>
    <x v="16"/>
    <n v="0"/>
    <n v="28500"/>
    <n v="0"/>
  </r>
  <r>
    <n v="2019"/>
    <x v="10"/>
    <n v="23"/>
    <x v="17"/>
    <n v="0"/>
    <n v="28500"/>
    <n v="0"/>
  </r>
  <r>
    <n v="2019"/>
    <x v="10"/>
    <n v="23"/>
    <x v="18"/>
    <n v="0"/>
    <n v="28500"/>
    <n v="0"/>
  </r>
  <r>
    <n v="2019"/>
    <x v="10"/>
    <n v="23"/>
    <x v="19"/>
    <n v="0"/>
    <n v="28500"/>
    <n v="0"/>
  </r>
  <r>
    <n v="2019"/>
    <x v="10"/>
    <n v="23"/>
    <x v="20"/>
    <n v="0"/>
    <n v="28500"/>
    <n v="0"/>
  </r>
  <r>
    <n v="2019"/>
    <x v="10"/>
    <n v="23"/>
    <x v="21"/>
    <n v="0"/>
    <n v="28500"/>
    <n v="0"/>
  </r>
  <r>
    <n v="2019"/>
    <x v="10"/>
    <n v="23"/>
    <x v="22"/>
    <n v="0"/>
    <n v="28500"/>
    <n v="0"/>
  </r>
  <r>
    <n v="2019"/>
    <x v="10"/>
    <n v="23"/>
    <x v="23"/>
    <n v="0"/>
    <n v="28500"/>
    <n v="0"/>
  </r>
  <r>
    <n v="2019"/>
    <x v="10"/>
    <n v="24"/>
    <x v="0"/>
    <n v="0"/>
    <n v="28500"/>
    <n v="0"/>
  </r>
  <r>
    <n v="2019"/>
    <x v="10"/>
    <n v="24"/>
    <x v="1"/>
    <n v="0"/>
    <n v="28500"/>
    <n v="0"/>
  </r>
  <r>
    <n v="2019"/>
    <x v="10"/>
    <n v="24"/>
    <x v="2"/>
    <n v="0"/>
    <n v="28500"/>
    <n v="0"/>
  </r>
  <r>
    <n v="2019"/>
    <x v="10"/>
    <n v="24"/>
    <x v="3"/>
    <n v="0"/>
    <n v="28500"/>
    <n v="0"/>
  </r>
  <r>
    <n v="2019"/>
    <x v="10"/>
    <n v="24"/>
    <x v="4"/>
    <n v="0"/>
    <n v="28500"/>
    <n v="0"/>
  </r>
  <r>
    <n v="2019"/>
    <x v="10"/>
    <n v="24"/>
    <x v="5"/>
    <n v="0"/>
    <n v="28500"/>
    <n v="0"/>
  </r>
  <r>
    <n v="2019"/>
    <x v="10"/>
    <n v="24"/>
    <x v="6"/>
    <n v="0"/>
    <n v="28500"/>
    <n v="0"/>
  </r>
  <r>
    <n v="2019"/>
    <x v="10"/>
    <n v="24"/>
    <x v="7"/>
    <n v="0"/>
    <n v="28500"/>
    <n v="0"/>
  </r>
  <r>
    <n v="2019"/>
    <x v="10"/>
    <n v="24"/>
    <x v="8"/>
    <n v="849.5"/>
    <n v="28500"/>
    <n v="2.980701754385965E-2"/>
  </r>
  <r>
    <n v="2019"/>
    <x v="10"/>
    <n v="24"/>
    <x v="9"/>
    <n v="302"/>
    <n v="28500"/>
    <n v="1.0596491228070175E-2"/>
  </r>
  <r>
    <n v="2019"/>
    <x v="10"/>
    <n v="24"/>
    <x v="10"/>
    <n v="799"/>
    <n v="28500"/>
    <n v="2.8035087719298246E-2"/>
  </r>
  <r>
    <n v="2019"/>
    <x v="10"/>
    <n v="24"/>
    <x v="11"/>
    <n v="831"/>
    <n v="28500"/>
    <n v="2.9157894736842105E-2"/>
  </r>
  <r>
    <n v="2019"/>
    <x v="10"/>
    <n v="24"/>
    <x v="12"/>
    <n v="1708"/>
    <n v="28500"/>
    <n v="5.9929824561403507E-2"/>
  </r>
  <r>
    <n v="2019"/>
    <x v="10"/>
    <n v="24"/>
    <x v="13"/>
    <n v="13882.5"/>
    <n v="28500"/>
    <n v="0.48710526315789476"/>
  </r>
  <r>
    <n v="2019"/>
    <x v="10"/>
    <n v="24"/>
    <x v="14"/>
    <n v="11281"/>
    <n v="28500"/>
    <n v="0.39582456140350875"/>
  </r>
  <r>
    <n v="2019"/>
    <x v="10"/>
    <n v="24"/>
    <x v="15"/>
    <n v="2872"/>
    <n v="28500"/>
    <n v="0.1007719298245614"/>
  </r>
  <r>
    <n v="2019"/>
    <x v="10"/>
    <n v="24"/>
    <x v="16"/>
    <n v="0"/>
    <n v="28500"/>
    <n v="0"/>
  </r>
  <r>
    <n v="2019"/>
    <x v="10"/>
    <n v="24"/>
    <x v="17"/>
    <n v="0"/>
    <n v="28500"/>
    <n v="0"/>
  </r>
  <r>
    <n v="2019"/>
    <x v="10"/>
    <n v="24"/>
    <x v="18"/>
    <n v="0"/>
    <n v="28500"/>
    <n v="0"/>
  </r>
  <r>
    <n v="2019"/>
    <x v="10"/>
    <n v="24"/>
    <x v="19"/>
    <n v="0"/>
    <n v="28500"/>
    <n v="0"/>
  </r>
  <r>
    <n v="2019"/>
    <x v="10"/>
    <n v="24"/>
    <x v="20"/>
    <n v="0"/>
    <n v="28500"/>
    <n v="0"/>
  </r>
  <r>
    <n v="2019"/>
    <x v="10"/>
    <n v="24"/>
    <x v="21"/>
    <n v="0"/>
    <n v="28500"/>
    <n v="0"/>
  </r>
  <r>
    <n v="2019"/>
    <x v="10"/>
    <n v="24"/>
    <x v="22"/>
    <n v="0"/>
    <n v="28500"/>
    <n v="0"/>
  </r>
  <r>
    <n v="2019"/>
    <x v="10"/>
    <n v="24"/>
    <x v="23"/>
    <n v="0"/>
    <n v="28500"/>
    <n v="0"/>
  </r>
  <r>
    <n v="2019"/>
    <x v="10"/>
    <n v="25"/>
    <x v="0"/>
    <n v="0"/>
    <n v="28500"/>
    <n v="0"/>
  </r>
  <r>
    <n v="2019"/>
    <x v="10"/>
    <n v="25"/>
    <x v="1"/>
    <n v="0"/>
    <n v="28500"/>
    <n v="0"/>
  </r>
  <r>
    <n v="2019"/>
    <x v="10"/>
    <n v="25"/>
    <x v="2"/>
    <n v="0"/>
    <n v="28500"/>
    <n v="0"/>
  </r>
  <r>
    <n v="2019"/>
    <x v="10"/>
    <n v="25"/>
    <x v="3"/>
    <n v="0"/>
    <n v="28500"/>
    <n v="0"/>
  </r>
  <r>
    <n v="2019"/>
    <x v="10"/>
    <n v="25"/>
    <x v="4"/>
    <n v="0"/>
    <n v="28500"/>
    <n v="0"/>
  </r>
  <r>
    <n v="2019"/>
    <x v="10"/>
    <n v="25"/>
    <x v="5"/>
    <n v="0"/>
    <n v="28500"/>
    <n v="0"/>
  </r>
  <r>
    <n v="2019"/>
    <x v="10"/>
    <n v="25"/>
    <x v="6"/>
    <n v="0"/>
    <n v="28500"/>
    <n v="0"/>
  </r>
  <r>
    <n v="2019"/>
    <x v="10"/>
    <n v="25"/>
    <x v="7"/>
    <n v="0"/>
    <n v="28500"/>
    <n v="0"/>
  </r>
  <r>
    <n v="2019"/>
    <x v="10"/>
    <n v="25"/>
    <x v="8"/>
    <n v="841"/>
    <n v="28500"/>
    <n v="2.9508771929824561E-2"/>
  </r>
  <r>
    <n v="2019"/>
    <x v="10"/>
    <n v="25"/>
    <x v="9"/>
    <n v="480"/>
    <n v="28500"/>
    <n v="1.6842105263157894E-2"/>
  </r>
  <r>
    <n v="2019"/>
    <x v="10"/>
    <n v="25"/>
    <x v="10"/>
    <n v="6033.5"/>
    <n v="28500"/>
    <n v="0.21170175438596492"/>
  </r>
  <r>
    <n v="2019"/>
    <x v="10"/>
    <n v="25"/>
    <x v="11"/>
    <n v="2611"/>
    <n v="28500"/>
    <n v="9.16140350877193E-2"/>
  </r>
  <r>
    <n v="2019"/>
    <x v="10"/>
    <n v="25"/>
    <x v="12"/>
    <n v="1711.5"/>
    <n v="28500"/>
    <n v="6.0052631578947371E-2"/>
  </r>
  <r>
    <n v="2019"/>
    <x v="10"/>
    <n v="25"/>
    <x v="13"/>
    <n v="2602.5"/>
    <n v="28500"/>
    <n v="9.1315789473684211E-2"/>
  </r>
  <r>
    <n v="2019"/>
    <x v="10"/>
    <n v="25"/>
    <x v="14"/>
    <n v="167"/>
    <n v="28500"/>
    <n v="5.8596491228070178E-3"/>
  </r>
  <r>
    <n v="2019"/>
    <x v="10"/>
    <n v="25"/>
    <x v="15"/>
    <n v="1042.5"/>
    <n v="28500"/>
    <n v="3.6578947368421051E-2"/>
  </r>
  <r>
    <n v="2019"/>
    <x v="10"/>
    <n v="25"/>
    <x v="16"/>
    <n v="0"/>
    <n v="28500"/>
    <n v="0"/>
  </r>
  <r>
    <n v="2019"/>
    <x v="10"/>
    <n v="25"/>
    <x v="17"/>
    <n v="0"/>
    <n v="28500"/>
    <n v="0"/>
  </r>
  <r>
    <n v="2019"/>
    <x v="10"/>
    <n v="25"/>
    <x v="18"/>
    <n v="0"/>
    <n v="28500"/>
    <n v="0"/>
  </r>
  <r>
    <n v="2019"/>
    <x v="10"/>
    <n v="25"/>
    <x v="19"/>
    <n v="0"/>
    <n v="28500"/>
    <n v="0"/>
  </r>
  <r>
    <n v="2019"/>
    <x v="10"/>
    <n v="25"/>
    <x v="20"/>
    <n v="0"/>
    <n v="28500"/>
    <n v="0"/>
  </r>
  <r>
    <n v="2019"/>
    <x v="10"/>
    <n v="25"/>
    <x v="21"/>
    <n v="0"/>
    <n v="28500"/>
    <n v="0"/>
  </r>
  <r>
    <n v="2019"/>
    <x v="10"/>
    <n v="25"/>
    <x v="22"/>
    <n v="0"/>
    <n v="28500"/>
    <n v="0"/>
  </r>
  <r>
    <n v="2019"/>
    <x v="10"/>
    <n v="25"/>
    <x v="23"/>
    <n v="0"/>
    <n v="28500"/>
    <n v="0"/>
  </r>
  <r>
    <n v="2019"/>
    <x v="10"/>
    <n v="26"/>
    <x v="0"/>
    <n v="0"/>
    <n v="28500"/>
    <n v="0"/>
  </r>
  <r>
    <n v="2019"/>
    <x v="10"/>
    <n v="26"/>
    <x v="1"/>
    <n v="0"/>
    <n v="28500"/>
    <n v="0"/>
  </r>
  <r>
    <n v="2019"/>
    <x v="10"/>
    <n v="26"/>
    <x v="2"/>
    <n v="0"/>
    <n v="28500"/>
    <n v="0"/>
  </r>
  <r>
    <n v="2019"/>
    <x v="10"/>
    <n v="26"/>
    <x v="3"/>
    <n v="0"/>
    <n v="28500"/>
    <n v="0"/>
  </r>
  <r>
    <n v="2019"/>
    <x v="10"/>
    <n v="26"/>
    <x v="4"/>
    <n v="0"/>
    <n v="28500"/>
    <n v="0"/>
  </r>
  <r>
    <n v="2019"/>
    <x v="10"/>
    <n v="26"/>
    <x v="5"/>
    <n v="0"/>
    <n v="28500"/>
    <n v="0"/>
  </r>
  <r>
    <n v="2019"/>
    <x v="10"/>
    <n v="26"/>
    <x v="6"/>
    <n v="0"/>
    <n v="28500"/>
    <n v="0"/>
  </r>
  <r>
    <n v="2019"/>
    <x v="10"/>
    <n v="26"/>
    <x v="7"/>
    <n v="0"/>
    <n v="28500"/>
    <n v="0"/>
  </r>
  <r>
    <n v="2019"/>
    <x v="10"/>
    <n v="26"/>
    <x v="8"/>
    <n v="219.5"/>
    <n v="28500"/>
    <n v="7.7017543859649127E-3"/>
  </r>
  <r>
    <n v="2019"/>
    <x v="10"/>
    <n v="26"/>
    <x v="9"/>
    <n v="2277.5"/>
    <n v="28500"/>
    <n v="7.9912280701754379E-2"/>
  </r>
  <r>
    <n v="2019"/>
    <x v="10"/>
    <n v="26"/>
    <x v="10"/>
    <n v="1674.5"/>
    <n v="28500"/>
    <n v="5.8754385964912281E-2"/>
  </r>
  <r>
    <n v="2019"/>
    <x v="10"/>
    <n v="26"/>
    <x v="11"/>
    <n v="3930"/>
    <n v="28500"/>
    <n v="0.13789473684210526"/>
  </r>
  <r>
    <n v="2019"/>
    <x v="10"/>
    <n v="26"/>
    <x v="12"/>
    <n v="2781.5"/>
    <n v="28500"/>
    <n v="9.7596491228070181E-2"/>
  </r>
  <r>
    <n v="2019"/>
    <x v="10"/>
    <n v="26"/>
    <x v="13"/>
    <n v="4185.5"/>
    <n v="28500"/>
    <n v="0.14685964912280702"/>
  </r>
  <r>
    <n v="2019"/>
    <x v="10"/>
    <n v="26"/>
    <x v="14"/>
    <n v="15617"/>
    <n v="28500"/>
    <n v="0.54796491228070177"/>
  </r>
  <r>
    <n v="2019"/>
    <x v="10"/>
    <n v="26"/>
    <x v="15"/>
    <n v="0"/>
    <n v="28500"/>
    <n v="0"/>
  </r>
  <r>
    <n v="2019"/>
    <x v="10"/>
    <n v="26"/>
    <x v="16"/>
    <n v="0"/>
    <n v="28500"/>
    <n v="0"/>
  </r>
  <r>
    <n v="2019"/>
    <x v="10"/>
    <n v="26"/>
    <x v="17"/>
    <n v="0"/>
    <n v="28500"/>
    <n v="0"/>
  </r>
  <r>
    <n v="2019"/>
    <x v="10"/>
    <n v="26"/>
    <x v="18"/>
    <n v="0"/>
    <n v="28500"/>
    <n v="0"/>
  </r>
  <r>
    <n v="2019"/>
    <x v="10"/>
    <n v="26"/>
    <x v="19"/>
    <n v="0"/>
    <n v="28500"/>
    <n v="0"/>
  </r>
  <r>
    <n v="2019"/>
    <x v="10"/>
    <n v="26"/>
    <x v="20"/>
    <n v="0"/>
    <n v="28500"/>
    <n v="0"/>
  </r>
  <r>
    <n v="2019"/>
    <x v="10"/>
    <n v="26"/>
    <x v="21"/>
    <n v="0"/>
    <n v="28500"/>
    <n v="0"/>
  </r>
  <r>
    <n v="2019"/>
    <x v="10"/>
    <n v="26"/>
    <x v="22"/>
    <n v="0"/>
    <n v="28500"/>
    <n v="0"/>
  </r>
  <r>
    <n v="2019"/>
    <x v="10"/>
    <n v="26"/>
    <x v="23"/>
    <n v="0"/>
    <n v="28500"/>
    <n v="0"/>
  </r>
  <r>
    <n v="2019"/>
    <x v="10"/>
    <n v="27"/>
    <x v="0"/>
    <n v="0"/>
    <n v="28500"/>
    <n v="0"/>
  </r>
  <r>
    <n v="2019"/>
    <x v="10"/>
    <n v="27"/>
    <x v="1"/>
    <n v="0"/>
    <n v="28500"/>
    <n v="0"/>
  </r>
  <r>
    <n v="2019"/>
    <x v="10"/>
    <n v="27"/>
    <x v="2"/>
    <n v="0"/>
    <n v="28500"/>
    <n v="0"/>
  </r>
  <r>
    <n v="2019"/>
    <x v="10"/>
    <n v="27"/>
    <x v="3"/>
    <n v="0"/>
    <n v="28500"/>
    <n v="0"/>
  </r>
  <r>
    <n v="2019"/>
    <x v="10"/>
    <n v="27"/>
    <x v="4"/>
    <n v="0"/>
    <n v="28500"/>
    <n v="0"/>
  </r>
  <r>
    <n v="2019"/>
    <x v="10"/>
    <n v="27"/>
    <x v="5"/>
    <n v="0"/>
    <n v="28500"/>
    <n v="0"/>
  </r>
  <r>
    <n v="2019"/>
    <x v="10"/>
    <n v="27"/>
    <x v="6"/>
    <n v="0"/>
    <n v="28500"/>
    <n v="0"/>
  </r>
  <r>
    <n v="2019"/>
    <x v="10"/>
    <n v="27"/>
    <x v="7"/>
    <n v="0"/>
    <n v="28500"/>
    <n v="0"/>
  </r>
  <r>
    <n v="2019"/>
    <x v="10"/>
    <n v="27"/>
    <x v="8"/>
    <n v="495"/>
    <n v="28500"/>
    <n v="1.7368421052631578E-2"/>
  </r>
  <r>
    <n v="2019"/>
    <x v="10"/>
    <n v="27"/>
    <x v="9"/>
    <n v="2731"/>
    <n v="28500"/>
    <n v="9.5824561403508771E-2"/>
  </r>
  <r>
    <n v="2019"/>
    <x v="10"/>
    <n v="27"/>
    <x v="10"/>
    <n v="18146"/>
    <n v="28500"/>
    <n v="0.63670175438596488"/>
  </r>
  <r>
    <n v="2019"/>
    <x v="10"/>
    <n v="27"/>
    <x v="11"/>
    <n v="14538"/>
    <n v="28500"/>
    <n v="0.51010526315789473"/>
  </r>
  <r>
    <n v="2019"/>
    <x v="10"/>
    <n v="27"/>
    <x v="12"/>
    <n v="603.5"/>
    <n v="28500"/>
    <n v="2.1175438596491229E-2"/>
  </r>
  <r>
    <n v="2019"/>
    <x v="10"/>
    <n v="27"/>
    <x v="13"/>
    <n v="4714"/>
    <n v="28500"/>
    <n v="0.16540350877192983"/>
  </r>
  <r>
    <n v="2019"/>
    <x v="10"/>
    <n v="27"/>
    <x v="14"/>
    <n v="1527.5"/>
    <n v="28500"/>
    <n v="5.3596491228070177E-2"/>
  </r>
  <r>
    <n v="2019"/>
    <x v="10"/>
    <n v="27"/>
    <x v="15"/>
    <n v="0"/>
    <n v="28500"/>
    <n v="0"/>
  </r>
  <r>
    <n v="2019"/>
    <x v="10"/>
    <n v="27"/>
    <x v="16"/>
    <n v="0"/>
    <n v="28500"/>
    <n v="0"/>
  </r>
  <r>
    <n v="2019"/>
    <x v="10"/>
    <n v="27"/>
    <x v="17"/>
    <n v="0"/>
    <n v="28500"/>
    <n v="0"/>
  </r>
  <r>
    <n v="2019"/>
    <x v="10"/>
    <n v="27"/>
    <x v="18"/>
    <n v="0"/>
    <n v="28500"/>
    <n v="0"/>
  </r>
  <r>
    <n v="2019"/>
    <x v="10"/>
    <n v="27"/>
    <x v="19"/>
    <n v="0"/>
    <n v="28500"/>
    <n v="0"/>
  </r>
  <r>
    <n v="2019"/>
    <x v="10"/>
    <n v="27"/>
    <x v="20"/>
    <n v="0"/>
    <n v="28500"/>
    <n v="0"/>
  </r>
  <r>
    <n v="2019"/>
    <x v="10"/>
    <n v="27"/>
    <x v="21"/>
    <n v="0"/>
    <n v="28500"/>
    <n v="0"/>
  </r>
  <r>
    <n v="2019"/>
    <x v="10"/>
    <n v="27"/>
    <x v="22"/>
    <n v="0"/>
    <n v="28500"/>
    <n v="0"/>
  </r>
  <r>
    <n v="2019"/>
    <x v="10"/>
    <n v="27"/>
    <x v="23"/>
    <n v="0"/>
    <n v="28500"/>
    <n v="0"/>
  </r>
  <r>
    <n v="2019"/>
    <x v="10"/>
    <n v="28"/>
    <x v="0"/>
    <n v="0"/>
    <n v="28500"/>
    <n v="0"/>
  </r>
  <r>
    <n v="2019"/>
    <x v="10"/>
    <n v="28"/>
    <x v="1"/>
    <n v="0"/>
    <n v="28500"/>
    <n v="0"/>
  </r>
  <r>
    <n v="2019"/>
    <x v="10"/>
    <n v="28"/>
    <x v="2"/>
    <n v="0"/>
    <n v="28500"/>
    <n v="0"/>
  </r>
  <r>
    <n v="2019"/>
    <x v="10"/>
    <n v="28"/>
    <x v="3"/>
    <n v="0"/>
    <n v="28500"/>
    <n v="0"/>
  </r>
  <r>
    <n v="2019"/>
    <x v="10"/>
    <n v="28"/>
    <x v="4"/>
    <n v="0"/>
    <n v="28500"/>
    <n v="0"/>
  </r>
  <r>
    <n v="2019"/>
    <x v="10"/>
    <n v="28"/>
    <x v="5"/>
    <n v="0"/>
    <n v="28500"/>
    <n v="0"/>
  </r>
  <r>
    <n v="2019"/>
    <x v="10"/>
    <n v="28"/>
    <x v="6"/>
    <n v="0"/>
    <n v="28500"/>
    <n v="0"/>
  </r>
  <r>
    <n v="2019"/>
    <x v="10"/>
    <n v="28"/>
    <x v="7"/>
    <n v="0"/>
    <n v="28500"/>
    <n v="0"/>
  </r>
  <r>
    <n v="2019"/>
    <x v="10"/>
    <n v="28"/>
    <x v="8"/>
    <n v="448"/>
    <n v="28500"/>
    <n v="1.5719298245614036E-2"/>
  </r>
  <r>
    <n v="2019"/>
    <x v="10"/>
    <n v="28"/>
    <x v="9"/>
    <n v="2728.5"/>
    <n v="28500"/>
    <n v="9.5736842105263162E-2"/>
  </r>
  <r>
    <n v="2019"/>
    <x v="10"/>
    <n v="28"/>
    <x v="10"/>
    <n v="3165"/>
    <n v="28500"/>
    <n v="0.11105263157894738"/>
  </r>
  <r>
    <n v="2019"/>
    <x v="10"/>
    <n v="28"/>
    <x v="11"/>
    <n v="1221.5"/>
    <n v="28500"/>
    <n v="4.2859649122807014E-2"/>
  </r>
  <r>
    <n v="2019"/>
    <x v="10"/>
    <n v="28"/>
    <x v="12"/>
    <n v="452"/>
    <n v="28500"/>
    <n v="1.5859649122807018E-2"/>
  </r>
  <r>
    <n v="2019"/>
    <x v="10"/>
    <n v="28"/>
    <x v="13"/>
    <n v="1182.5"/>
    <n v="28500"/>
    <n v="4.149122807017544E-2"/>
  </r>
  <r>
    <n v="2019"/>
    <x v="10"/>
    <n v="28"/>
    <x v="14"/>
    <n v="939.5"/>
    <n v="28500"/>
    <n v="3.2964912280701753E-2"/>
  </r>
  <r>
    <n v="2019"/>
    <x v="10"/>
    <n v="28"/>
    <x v="15"/>
    <n v="3541.5"/>
    <n v="28500"/>
    <n v="0.12426315789473684"/>
  </r>
  <r>
    <n v="2019"/>
    <x v="10"/>
    <n v="28"/>
    <x v="16"/>
    <n v="0"/>
    <n v="28500"/>
    <n v="0"/>
  </r>
  <r>
    <n v="2019"/>
    <x v="10"/>
    <n v="28"/>
    <x v="17"/>
    <n v="0"/>
    <n v="28500"/>
    <n v="0"/>
  </r>
  <r>
    <n v="2019"/>
    <x v="10"/>
    <n v="28"/>
    <x v="18"/>
    <n v="0"/>
    <n v="28500"/>
    <n v="0"/>
  </r>
  <r>
    <n v="2019"/>
    <x v="10"/>
    <n v="28"/>
    <x v="19"/>
    <n v="0"/>
    <n v="28500"/>
    <n v="0"/>
  </r>
  <r>
    <n v="2019"/>
    <x v="10"/>
    <n v="28"/>
    <x v="20"/>
    <n v="0"/>
    <n v="28500"/>
    <n v="0"/>
  </r>
  <r>
    <n v="2019"/>
    <x v="10"/>
    <n v="28"/>
    <x v="21"/>
    <n v="0"/>
    <n v="28500"/>
    <n v="0"/>
  </r>
  <r>
    <n v="2019"/>
    <x v="10"/>
    <n v="28"/>
    <x v="22"/>
    <n v="0"/>
    <n v="28500"/>
    <n v="0"/>
  </r>
  <r>
    <n v="2019"/>
    <x v="10"/>
    <n v="28"/>
    <x v="23"/>
    <n v="0"/>
    <n v="28500"/>
    <n v="0"/>
  </r>
  <r>
    <n v="2019"/>
    <x v="10"/>
    <n v="29"/>
    <x v="0"/>
    <n v="0"/>
    <n v="28500"/>
    <n v="0"/>
  </r>
  <r>
    <n v="2019"/>
    <x v="10"/>
    <n v="29"/>
    <x v="1"/>
    <n v="0"/>
    <n v="28500"/>
    <n v="0"/>
  </r>
  <r>
    <n v="2019"/>
    <x v="10"/>
    <n v="29"/>
    <x v="2"/>
    <n v="0"/>
    <n v="28500"/>
    <n v="0"/>
  </r>
  <r>
    <n v="2019"/>
    <x v="10"/>
    <n v="29"/>
    <x v="3"/>
    <n v="0"/>
    <n v="28500"/>
    <n v="0"/>
  </r>
  <r>
    <n v="2019"/>
    <x v="10"/>
    <n v="29"/>
    <x v="4"/>
    <n v="0"/>
    <n v="28500"/>
    <n v="0"/>
  </r>
  <r>
    <n v="2019"/>
    <x v="10"/>
    <n v="29"/>
    <x v="5"/>
    <n v="0"/>
    <n v="28500"/>
    <n v="0"/>
  </r>
  <r>
    <n v="2019"/>
    <x v="10"/>
    <n v="29"/>
    <x v="6"/>
    <n v="0"/>
    <n v="28500"/>
    <n v="0"/>
  </r>
  <r>
    <n v="2019"/>
    <x v="10"/>
    <n v="29"/>
    <x v="7"/>
    <n v="0"/>
    <n v="28500"/>
    <n v="0"/>
  </r>
  <r>
    <n v="2019"/>
    <x v="10"/>
    <n v="29"/>
    <x v="8"/>
    <n v="1312.5"/>
    <n v="28500"/>
    <n v="4.6052631578947366E-2"/>
  </r>
  <r>
    <n v="2019"/>
    <x v="10"/>
    <n v="29"/>
    <x v="9"/>
    <n v="15749"/>
    <n v="28500"/>
    <n v="0.5525964912280702"/>
  </r>
  <r>
    <n v="2019"/>
    <x v="10"/>
    <n v="29"/>
    <x v="10"/>
    <n v="25809.5"/>
    <n v="28500"/>
    <n v="0.90559649122807018"/>
  </r>
  <r>
    <n v="2019"/>
    <x v="10"/>
    <n v="29"/>
    <x v="11"/>
    <n v="32119"/>
    <n v="28500"/>
    <n v="1.126982456140351"/>
  </r>
  <r>
    <n v="2019"/>
    <x v="10"/>
    <n v="29"/>
    <x v="12"/>
    <n v="31549.5"/>
    <n v="28500"/>
    <n v="1.107"/>
  </r>
  <r>
    <n v="2019"/>
    <x v="10"/>
    <n v="29"/>
    <x v="13"/>
    <n v="27499"/>
    <n v="28500"/>
    <n v="0.96487719298245611"/>
  </r>
  <r>
    <n v="2019"/>
    <x v="10"/>
    <n v="29"/>
    <x v="14"/>
    <n v="22882.5"/>
    <n v="28500"/>
    <n v="0.80289473684210522"/>
  </r>
  <r>
    <n v="2019"/>
    <x v="10"/>
    <n v="29"/>
    <x v="15"/>
    <n v="7882.5"/>
    <n v="28500"/>
    <n v="0.27657894736842104"/>
  </r>
  <r>
    <n v="2019"/>
    <x v="10"/>
    <n v="29"/>
    <x v="16"/>
    <n v="0"/>
    <n v="28500"/>
    <n v="0"/>
  </r>
  <r>
    <n v="2019"/>
    <x v="10"/>
    <n v="29"/>
    <x v="17"/>
    <n v="0"/>
    <n v="28500"/>
    <n v="0"/>
  </r>
  <r>
    <n v="2019"/>
    <x v="10"/>
    <n v="29"/>
    <x v="18"/>
    <n v="0"/>
    <n v="28500"/>
    <n v="0"/>
  </r>
  <r>
    <n v="2019"/>
    <x v="10"/>
    <n v="29"/>
    <x v="19"/>
    <n v="0"/>
    <n v="28500"/>
    <n v="0"/>
  </r>
  <r>
    <n v="2019"/>
    <x v="10"/>
    <n v="29"/>
    <x v="20"/>
    <n v="0"/>
    <n v="28500"/>
    <n v="0"/>
  </r>
  <r>
    <n v="2019"/>
    <x v="10"/>
    <n v="29"/>
    <x v="21"/>
    <n v="0"/>
    <n v="28500"/>
    <n v="0"/>
  </r>
  <r>
    <n v="2019"/>
    <x v="10"/>
    <n v="29"/>
    <x v="22"/>
    <n v="0"/>
    <n v="28500"/>
    <n v="0"/>
  </r>
  <r>
    <n v="2019"/>
    <x v="10"/>
    <n v="29"/>
    <x v="23"/>
    <n v="0"/>
    <n v="28500"/>
    <n v="0"/>
  </r>
  <r>
    <n v="2019"/>
    <x v="10"/>
    <n v="30"/>
    <x v="0"/>
    <n v="0"/>
    <n v="28500"/>
    <n v="0"/>
  </r>
  <r>
    <n v="2019"/>
    <x v="10"/>
    <n v="30"/>
    <x v="1"/>
    <n v="0"/>
    <n v="28500"/>
    <n v="0"/>
  </r>
  <r>
    <n v="2019"/>
    <x v="10"/>
    <n v="30"/>
    <x v="2"/>
    <n v="0"/>
    <n v="28500"/>
    <n v="0"/>
  </r>
  <r>
    <n v="2019"/>
    <x v="10"/>
    <n v="30"/>
    <x v="3"/>
    <n v="0"/>
    <n v="28500"/>
    <n v="0"/>
  </r>
  <r>
    <n v="2019"/>
    <x v="10"/>
    <n v="30"/>
    <x v="4"/>
    <n v="0"/>
    <n v="28500"/>
    <n v="0"/>
  </r>
  <r>
    <n v="2019"/>
    <x v="10"/>
    <n v="30"/>
    <x v="5"/>
    <n v="0"/>
    <n v="28500"/>
    <n v="0"/>
  </r>
  <r>
    <n v="2019"/>
    <x v="10"/>
    <n v="30"/>
    <x v="6"/>
    <n v="0"/>
    <n v="28500"/>
    <n v="0"/>
  </r>
  <r>
    <n v="2019"/>
    <x v="10"/>
    <n v="30"/>
    <x v="7"/>
    <n v="0"/>
    <n v="28500"/>
    <n v="0"/>
  </r>
  <r>
    <n v="2019"/>
    <x v="10"/>
    <n v="30"/>
    <x v="8"/>
    <n v="0"/>
    <n v="28500"/>
    <n v="0"/>
  </r>
  <r>
    <n v="2019"/>
    <x v="10"/>
    <n v="30"/>
    <x v="9"/>
    <n v="4151.5"/>
    <n v="28500"/>
    <n v="0.14566666666666667"/>
  </r>
  <r>
    <n v="2019"/>
    <x v="10"/>
    <n v="30"/>
    <x v="10"/>
    <n v="9207.5"/>
    <n v="28500"/>
    <n v="0.32307017543859651"/>
  </r>
  <r>
    <n v="2019"/>
    <x v="10"/>
    <n v="30"/>
    <x v="11"/>
    <n v="14509"/>
    <n v="28500"/>
    <n v="0.50908771929824559"/>
  </r>
  <r>
    <n v="2019"/>
    <x v="10"/>
    <n v="30"/>
    <x v="12"/>
    <n v="15544.5"/>
    <n v="28500"/>
    <n v="0.54542105263157892"/>
  </r>
  <r>
    <n v="2019"/>
    <x v="10"/>
    <n v="30"/>
    <x v="13"/>
    <n v="11225.5"/>
    <n v="28500"/>
    <n v="0.39387719298245616"/>
  </r>
  <r>
    <n v="2019"/>
    <x v="10"/>
    <n v="30"/>
    <x v="14"/>
    <n v="23584.5"/>
    <n v="28500"/>
    <n v="0.82752631578947367"/>
  </r>
  <r>
    <n v="2019"/>
    <x v="10"/>
    <n v="30"/>
    <x v="15"/>
    <n v="4643.5"/>
    <n v="28500"/>
    <n v="0.16292982456140351"/>
  </r>
  <r>
    <n v="2019"/>
    <x v="10"/>
    <n v="30"/>
    <x v="16"/>
    <n v="0"/>
    <n v="28500"/>
    <n v="0"/>
  </r>
  <r>
    <n v="2019"/>
    <x v="10"/>
    <n v="30"/>
    <x v="17"/>
    <n v="0"/>
    <n v="28500"/>
    <n v="0"/>
  </r>
  <r>
    <n v="2019"/>
    <x v="10"/>
    <n v="30"/>
    <x v="18"/>
    <n v="0"/>
    <n v="28500"/>
    <n v="0"/>
  </r>
  <r>
    <n v="2019"/>
    <x v="10"/>
    <n v="30"/>
    <x v="19"/>
    <n v="0"/>
    <n v="28500"/>
    <n v="0"/>
  </r>
  <r>
    <n v="2019"/>
    <x v="10"/>
    <n v="30"/>
    <x v="20"/>
    <n v="0"/>
    <n v="28500"/>
    <n v="0"/>
  </r>
  <r>
    <n v="2019"/>
    <x v="10"/>
    <n v="30"/>
    <x v="21"/>
    <n v="0"/>
    <n v="28500"/>
    <n v="0"/>
  </r>
  <r>
    <n v="2019"/>
    <x v="10"/>
    <n v="30"/>
    <x v="22"/>
    <n v="0"/>
    <n v="28500"/>
    <n v="0"/>
  </r>
  <r>
    <n v="2019"/>
    <x v="10"/>
    <n v="30"/>
    <x v="23"/>
    <n v="0"/>
    <n v="28500"/>
    <n v="0"/>
  </r>
  <r>
    <n v="2019"/>
    <x v="11"/>
    <n v="1"/>
    <x v="0"/>
    <n v="0"/>
    <n v="28500"/>
    <n v="0"/>
  </r>
  <r>
    <n v="2019"/>
    <x v="11"/>
    <n v="1"/>
    <x v="1"/>
    <n v="0"/>
    <n v="28500"/>
    <n v="0"/>
  </r>
  <r>
    <n v="2019"/>
    <x v="11"/>
    <n v="1"/>
    <x v="2"/>
    <n v="0"/>
    <n v="28500"/>
    <n v="0"/>
  </r>
  <r>
    <n v="2019"/>
    <x v="11"/>
    <n v="1"/>
    <x v="3"/>
    <n v="0"/>
    <n v="28500"/>
    <n v="0"/>
  </r>
  <r>
    <n v="2019"/>
    <x v="11"/>
    <n v="1"/>
    <x v="4"/>
    <n v="0"/>
    <n v="28500"/>
    <n v="0"/>
  </r>
  <r>
    <n v="2019"/>
    <x v="11"/>
    <n v="1"/>
    <x v="5"/>
    <n v="0"/>
    <n v="28500"/>
    <n v="0"/>
  </r>
  <r>
    <n v="2019"/>
    <x v="11"/>
    <n v="1"/>
    <x v="6"/>
    <n v="0"/>
    <n v="28500"/>
    <n v="0"/>
  </r>
  <r>
    <n v="2019"/>
    <x v="11"/>
    <n v="1"/>
    <x v="7"/>
    <n v="0"/>
    <n v="28500"/>
    <n v="0"/>
  </r>
  <r>
    <n v="2019"/>
    <x v="11"/>
    <n v="1"/>
    <x v="8"/>
    <n v="124"/>
    <n v="28500"/>
    <n v="4.3508771929824559E-3"/>
  </r>
  <r>
    <n v="2019"/>
    <x v="11"/>
    <n v="1"/>
    <x v="9"/>
    <n v="99.5"/>
    <n v="28500"/>
    <n v="3.4912280701754387E-3"/>
  </r>
  <r>
    <n v="2019"/>
    <x v="11"/>
    <n v="1"/>
    <x v="10"/>
    <n v="4610.5"/>
    <n v="28500"/>
    <n v="0.1617719298245614"/>
  </r>
  <r>
    <n v="2019"/>
    <x v="11"/>
    <n v="1"/>
    <x v="11"/>
    <n v="32788.5"/>
    <n v="28500"/>
    <n v="1.1504736842105263"/>
  </r>
  <r>
    <n v="2019"/>
    <x v="11"/>
    <n v="1"/>
    <x v="12"/>
    <n v="4563"/>
    <n v="28500"/>
    <n v="0.16010526315789475"/>
  </r>
  <r>
    <n v="2019"/>
    <x v="11"/>
    <n v="1"/>
    <x v="13"/>
    <n v="27326.5"/>
    <n v="28500"/>
    <n v="0.9588245614035088"/>
  </r>
  <r>
    <n v="2019"/>
    <x v="11"/>
    <n v="1"/>
    <x v="14"/>
    <n v="1089.5"/>
    <n v="28500"/>
    <n v="3.8228070175438597E-2"/>
  </r>
  <r>
    <n v="2019"/>
    <x v="11"/>
    <n v="1"/>
    <x v="15"/>
    <n v="717"/>
    <n v="28500"/>
    <n v="2.5157894736842105E-2"/>
  </r>
  <r>
    <n v="2019"/>
    <x v="11"/>
    <n v="1"/>
    <x v="16"/>
    <n v="0"/>
    <n v="28500"/>
    <n v="0"/>
  </r>
  <r>
    <n v="2019"/>
    <x v="11"/>
    <n v="1"/>
    <x v="17"/>
    <n v="0"/>
    <n v="28500"/>
    <n v="0"/>
  </r>
  <r>
    <n v="2019"/>
    <x v="11"/>
    <n v="1"/>
    <x v="18"/>
    <n v="0"/>
    <n v="28500"/>
    <n v="0"/>
  </r>
  <r>
    <n v="2019"/>
    <x v="11"/>
    <n v="1"/>
    <x v="19"/>
    <n v="0"/>
    <n v="28500"/>
    <n v="0"/>
  </r>
  <r>
    <n v="2019"/>
    <x v="11"/>
    <n v="1"/>
    <x v="20"/>
    <n v="0"/>
    <n v="28500"/>
    <n v="0"/>
  </r>
  <r>
    <n v="2019"/>
    <x v="11"/>
    <n v="1"/>
    <x v="21"/>
    <n v="0"/>
    <n v="28500"/>
    <n v="0"/>
  </r>
  <r>
    <n v="2019"/>
    <x v="11"/>
    <n v="1"/>
    <x v="22"/>
    <n v="0"/>
    <n v="28500"/>
    <n v="0"/>
  </r>
  <r>
    <n v="2019"/>
    <x v="11"/>
    <n v="1"/>
    <x v="23"/>
    <n v="0"/>
    <n v="28500"/>
    <n v="0"/>
  </r>
  <r>
    <n v="2019"/>
    <x v="11"/>
    <n v="2"/>
    <x v="0"/>
    <n v="0"/>
    <n v="28500"/>
    <n v="0"/>
  </r>
  <r>
    <n v="2019"/>
    <x v="11"/>
    <n v="2"/>
    <x v="1"/>
    <n v="0"/>
    <n v="28500"/>
    <n v="0"/>
  </r>
  <r>
    <n v="2019"/>
    <x v="11"/>
    <n v="2"/>
    <x v="2"/>
    <n v="0"/>
    <n v="28500"/>
    <n v="0"/>
  </r>
  <r>
    <n v="2019"/>
    <x v="11"/>
    <n v="2"/>
    <x v="3"/>
    <n v="0"/>
    <n v="28500"/>
    <n v="0"/>
  </r>
  <r>
    <n v="2019"/>
    <x v="11"/>
    <n v="2"/>
    <x v="4"/>
    <n v="0"/>
    <n v="28500"/>
    <n v="0"/>
  </r>
  <r>
    <n v="2019"/>
    <x v="11"/>
    <n v="2"/>
    <x v="5"/>
    <n v="0"/>
    <n v="28500"/>
    <n v="0"/>
  </r>
  <r>
    <n v="2019"/>
    <x v="11"/>
    <n v="2"/>
    <x v="6"/>
    <n v="0"/>
    <n v="28500"/>
    <n v="0"/>
  </r>
  <r>
    <n v="2019"/>
    <x v="11"/>
    <n v="2"/>
    <x v="7"/>
    <n v="0"/>
    <n v="28500"/>
    <n v="0"/>
  </r>
  <r>
    <n v="2019"/>
    <x v="11"/>
    <n v="2"/>
    <x v="8"/>
    <n v="1394.5"/>
    <n v="28500"/>
    <n v="4.8929824561403511E-2"/>
  </r>
  <r>
    <n v="2019"/>
    <x v="11"/>
    <n v="2"/>
    <x v="9"/>
    <n v="13980.5"/>
    <n v="28500"/>
    <n v="0.49054385964912278"/>
  </r>
  <r>
    <n v="2019"/>
    <x v="11"/>
    <n v="2"/>
    <x v="10"/>
    <n v="25717.5"/>
    <n v="28500"/>
    <n v="0.9023684210526316"/>
  </r>
  <r>
    <n v="2019"/>
    <x v="11"/>
    <n v="2"/>
    <x v="11"/>
    <n v="30163"/>
    <n v="28500"/>
    <n v="1.0583508771929824"/>
  </r>
  <r>
    <n v="2019"/>
    <x v="11"/>
    <n v="2"/>
    <x v="12"/>
    <n v="31086.5"/>
    <n v="28500"/>
    <n v="1.0907543859649123"/>
  </r>
  <r>
    <n v="2019"/>
    <x v="11"/>
    <n v="2"/>
    <x v="13"/>
    <n v="27331.5"/>
    <n v="28500"/>
    <n v="0.95899999999999996"/>
  </r>
  <r>
    <n v="2019"/>
    <x v="11"/>
    <n v="2"/>
    <x v="14"/>
    <n v="20905"/>
    <n v="28500"/>
    <n v="0.73350877192982455"/>
  </r>
  <r>
    <n v="2019"/>
    <x v="11"/>
    <n v="2"/>
    <x v="15"/>
    <n v="6027"/>
    <n v="28500"/>
    <n v="0.21147368421052631"/>
  </r>
  <r>
    <n v="2019"/>
    <x v="11"/>
    <n v="2"/>
    <x v="16"/>
    <n v="0"/>
    <n v="28500"/>
    <n v="0"/>
  </r>
  <r>
    <n v="2019"/>
    <x v="11"/>
    <n v="2"/>
    <x v="17"/>
    <n v="0"/>
    <n v="28500"/>
    <n v="0"/>
  </r>
  <r>
    <n v="2019"/>
    <x v="11"/>
    <n v="2"/>
    <x v="18"/>
    <n v="0"/>
    <n v="28500"/>
    <n v="0"/>
  </r>
  <r>
    <n v="2019"/>
    <x v="11"/>
    <n v="2"/>
    <x v="19"/>
    <n v="0"/>
    <n v="28500"/>
    <n v="0"/>
  </r>
  <r>
    <n v="2019"/>
    <x v="11"/>
    <n v="2"/>
    <x v="20"/>
    <n v="0"/>
    <n v="28500"/>
    <n v="0"/>
  </r>
  <r>
    <n v="2019"/>
    <x v="11"/>
    <n v="2"/>
    <x v="21"/>
    <n v="0"/>
    <n v="28500"/>
    <n v="0"/>
  </r>
  <r>
    <n v="2019"/>
    <x v="11"/>
    <n v="2"/>
    <x v="22"/>
    <n v="0"/>
    <n v="28500"/>
    <n v="0"/>
  </r>
  <r>
    <n v="2019"/>
    <x v="11"/>
    <n v="2"/>
    <x v="23"/>
    <n v="0"/>
    <n v="28500"/>
    <n v="0"/>
  </r>
  <r>
    <n v="2019"/>
    <x v="11"/>
    <n v="3"/>
    <x v="0"/>
    <n v="0"/>
    <n v="28500"/>
    <n v="0"/>
  </r>
  <r>
    <n v="2019"/>
    <x v="11"/>
    <n v="3"/>
    <x v="1"/>
    <n v="0"/>
    <n v="28500"/>
    <n v="0"/>
  </r>
  <r>
    <n v="2019"/>
    <x v="11"/>
    <n v="3"/>
    <x v="2"/>
    <n v="0"/>
    <n v="28500"/>
    <n v="0"/>
  </r>
  <r>
    <n v="2019"/>
    <x v="11"/>
    <n v="3"/>
    <x v="3"/>
    <n v="0"/>
    <n v="28500"/>
    <n v="0"/>
  </r>
  <r>
    <n v="2019"/>
    <x v="11"/>
    <n v="3"/>
    <x v="4"/>
    <n v="0"/>
    <n v="28500"/>
    <n v="0"/>
  </r>
  <r>
    <n v="2019"/>
    <x v="11"/>
    <n v="3"/>
    <x v="5"/>
    <n v="0"/>
    <n v="28500"/>
    <n v="0"/>
  </r>
  <r>
    <n v="2019"/>
    <x v="11"/>
    <n v="3"/>
    <x v="6"/>
    <n v="0"/>
    <n v="28500"/>
    <n v="0"/>
  </r>
  <r>
    <n v="2019"/>
    <x v="11"/>
    <n v="3"/>
    <x v="7"/>
    <n v="0"/>
    <n v="28500"/>
    <n v="0"/>
  </r>
  <r>
    <n v="2019"/>
    <x v="11"/>
    <n v="3"/>
    <x v="8"/>
    <n v="35.5"/>
    <n v="28500"/>
    <n v="1.2456140350877193E-3"/>
  </r>
  <r>
    <n v="2019"/>
    <x v="11"/>
    <n v="3"/>
    <x v="9"/>
    <n v="6534.5"/>
    <n v="28500"/>
    <n v="0.22928070175438597"/>
  </r>
  <r>
    <n v="2019"/>
    <x v="11"/>
    <n v="3"/>
    <x v="10"/>
    <n v="22383.5"/>
    <n v="28500"/>
    <n v="0.78538596491228074"/>
  </r>
  <r>
    <n v="2019"/>
    <x v="11"/>
    <n v="3"/>
    <x v="11"/>
    <n v="27873"/>
    <n v="28500"/>
    <n v="0.97799999999999998"/>
  </r>
  <r>
    <n v="2019"/>
    <x v="11"/>
    <n v="3"/>
    <x v="12"/>
    <n v="29227"/>
    <n v="28500"/>
    <n v="1.0255087719298246"/>
  </r>
  <r>
    <n v="2019"/>
    <x v="11"/>
    <n v="3"/>
    <x v="13"/>
    <n v="25904.5"/>
    <n v="28500"/>
    <n v="0.90892982456140348"/>
  </r>
  <r>
    <n v="2019"/>
    <x v="11"/>
    <n v="3"/>
    <x v="14"/>
    <n v="19313.5"/>
    <n v="28500"/>
    <n v="0.67766666666666664"/>
  </r>
  <r>
    <n v="2019"/>
    <x v="11"/>
    <n v="3"/>
    <x v="15"/>
    <n v="6295.5"/>
    <n v="28500"/>
    <n v="0.22089473684210525"/>
  </r>
  <r>
    <n v="2019"/>
    <x v="11"/>
    <n v="3"/>
    <x v="16"/>
    <n v="0"/>
    <n v="28500"/>
    <n v="0"/>
  </r>
  <r>
    <n v="2019"/>
    <x v="11"/>
    <n v="3"/>
    <x v="17"/>
    <n v="0"/>
    <n v="28500"/>
    <n v="0"/>
  </r>
  <r>
    <n v="2019"/>
    <x v="11"/>
    <n v="3"/>
    <x v="18"/>
    <n v="0"/>
    <n v="28500"/>
    <n v="0"/>
  </r>
  <r>
    <n v="2019"/>
    <x v="11"/>
    <n v="3"/>
    <x v="19"/>
    <n v="0"/>
    <n v="28500"/>
    <n v="0"/>
  </r>
  <r>
    <n v="2019"/>
    <x v="11"/>
    <n v="3"/>
    <x v="20"/>
    <n v="0"/>
    <n v="28500"/>
    <n v="0"/>
  </r>
  <r>
    <n v="2019"/>
    <x v="11"/>
    <n v="3"/>
    <x v="21"/>
    <n v="0"/>
    <n v="28500"/>
    <n v="0"/>
  </r>
  <r>
    <n v="2019"/>
    <x v="11"/>
    <n v="3"/>
    <x v="22"/>
    <n v="0"/>
    <n v="28500"/>
    <n v="0"/>
  </r>
  <r>
    <n v="2019"/>
    <x v="11"/>
    <n v="3"/>
    <x v="23"/>
    <n v="0"/>
    <n v="28500"/>
    <n v="0"/>
  </r>
  <r>
    <n v="2019"/>
    <x v="11"/>
    <n v="4"/>
    <x v="0"/>
    <n v="0"/>
    <n v="28500"/>
    <n v="0"/>
  </r>
  <r>
    <n v="2019"/>
    <x v="11"/>
    <n v="4"/>
    <x v="1"/>
    <n v="0"/>
    <n v="28500"/>
    <n v="0"/>
  </r>
  <r>
    <n v="2019"/>
    <x v="11"/>
    <n v="4"/>
    <x v="2"/>
    <n v="0"/>
    <n v="28500"/>
    <n v="0"/>
  </r>
  <r>
    <n v="2019"/>
    <x v="11"/>
    <n v="4"/>
    <x v="3"/>
    <n v="0"/>
    <n v="28500"/>
    <n v="0"/>
  </r>
  <r>
    <n v="2019"/>
    <x v="11"/>
    <n v="4"/>
    <x v="4"/>
    <n v="0"/>
    <n v="28500"/>
    <n v="0"/>
  </r>
  <r>
    <n v="2019"/>
    <x v="11"/>
    <n v="4"/>
    <x v="5"/>
    <n v="0"/>
    <n v="28500"/>
    <n v="0"/>
  </r>
  <r>
    <n v="2019"/>
    <x v="11"/>
    <n v="4"/>
    <x v="6"/>
    <n v="0"/>
    <n v="28500"/>
    <n v="0"/>
  </r>
  <r>
    <n v="2019"/>
    <x v="11"/>
    <n v="4"/>
    <x v="7"/>
    <n v="0"/>
    <n v="28500"/>
    <n v="0"/>
  </r>
  <r>
    <n v="2019"/>
    <x v="11"/>
    <n v="4"/>
    <x v="8"/>
    <n v="0"/>
    <n v="28500"/>
    <n v="0"/>
  </r>
  <r>
    <n v="2019"/>
    <x v="11"/>
    <n v="4"/>
    <x v="9"/>
    <n v="13657.5"/>
    <n v="28500"/>
    <n v="0.47921052631578948"/>
  </r>
  <r>
    <n v="2019"/>
    <x v="11"/>
    <n v="4"/>
    <x v="10"/>
    <n v="24569.5"/>
    <n v="28500"/>
    <n v="0.86208771929824557"/>
  </r>
  <r>
    <n v="2019"/>
    <x v="11"/>
    <n v="4"/>
    <x v="11"/>
    <n v="29490"/>
    <n v="28500"/>
    <n v="1.0347368421052632"/>
  </r>
  <r>
    <n v="2019"/>
    <x v="11"/>
    <n v="4"/>
    <x v="12"/>
    <n v="30191.5"/>
    <n v="28500"/>
    <n v="1.0593508771929825"/>
  </r>
  <r>
    <n v="2019"/>
    <x v="11"/>
    <n v="4"/>
    <x v="13"/>
    <n v="26623"/>
    <n v="28500"/>
    <n v="0.93414035087719294"/>
  </r>
  <r>
    <n v="2019"/>
    <x v="11"/>
    <n v="4"/>
    <x v="14"/>
    <n v="20679.5"/>
    <n v="28500"/>
    <n v="0.72559649122807013"/>
  </r>
  <r>
    <n v="2019"/>
    <x v="11"/>
    <n v="4"/>
    <x v="15"/>
    <n v="7091"/>
    <n v="28500"/>
    <n v="0.24880701754385964"/>
  </r>
  <r>
    <n v="2019"/>
    <x v="11"/>
    <n v="4"/>
    <x v="16"/>
    <n v="0"/>
    <n v="28500"/>
    <n v="0"/>
  </r>
  <r>
    <n v="2019"/>
    <x v="11"/>
    <n v="4"/>
    <x v="17"/>
    <n v="0"/>
    <n v="28500"/>
    <n v="0"/>
  </r>
  <r>
    <n v="2019"/>
    <x v="11"/>
    <n v="4"/>
    <x v="18"/>
    <n v="0"/>
    <n v="28500"/>
    <n v="0"/>
  </r>
  <r>
    <n v="2019"/>
    <x v="11"/>
    <n v="4"/>
    <x v="19"/>
    <n v="0"/>
    <n v="28500"/>
    <n v="0"/>
  </r>
  <r>
    <n v="2019"/>
    <x v="11"/>
    <n v="4"/>
    <x v="20"/>
    <n v="0"/>
    <n v="28500"/>
    <n v="0"/>
  </r>
  <r>
    <n v="2019"/>
    <x v="11"/>
    <n v="4"/>
    <x v="21"/>
    <n v="0"/>
    <n v="28500"/>
    <n v="0"/>
  </r>
  <r>
    <n v="2019"/>
    <x v="11"/>
    <n v="4"/>
    <x v="22"/>
    <n v="0"/>
    <n v="28500"/>
    <n v="0"/>
  </r>
  <r>
    <n v="2019"/>
    <x v="11"/>
    <n v="4"/>
    <x v="23"/>
    <n v="0"/>
    <n v="28500"/>
    <n v="0"/>
  </r>
  <r>
    <n v="2019"/>
    <x v="11"/>
    <n v="5"/>
    <x v="0"/>
    <n v="0"/>
    <n v="28500"/>
    <n v="0"/>
  </r>
  <r>
    <n v="2019"/>
    <x v="11"/>
    <n v="5"/>
    <x v="1"/>
    <n v="0"/>
    <n v="28500"/>
    <n v="0"/>
  </r>
  <r>
    <n v="2019"/>
    <x v="11"/>
    <n v="5"/>
    <x v="2"/>
    <n v="0"/>
    <n v="28500"/>
    <n v="0"/>
  </r>
  <r>
    <n v="2019"/>
    <x v="11"/>
    <n v="5"/>
    <x v="3"/>
    <n v="0"/>
    <n v="28500"/>
    <n v="0"/>
  </r>
  <r>
    <n v="2019"/>
    <x v="11"/>
    <n v="5"/>
    <x v="4"/>
    <n v="0"/>
    <n v="28500"/>
    <n v="0"/>
  </r>
  <r>
    <n v="2019"/>
    <x v="11"/>
    <n v="5"/>
    <x v="5"/>
    <n v="0"/>
    <n v="28500"/>
    <n v="0"/>
  </r>
  <r>
    <n v="2019"/>
    <x v="11"/>
    <n v="5"/>
    <x v="6"/>
    <n v="0"/>
    <n v="28500"/>
    <n v="0"/>
  </r>
  <r>
    <n v="2019"/>
    <x v="11"/>
    <n v="5"/>
    <x v="7"/>
    <n v="0"/>
    <n v="28500"/>
    <n v="0"/>
  </r>
  <r>
    <n v="2019"/>
    <x v="11"/>
    <n v="5"/>
    <x v="8"/>
    <n v="0"/>
    <n v="28500"/>
    <n v="0"/>
  </r>
  <r>
    <n v="2019"/>
    <x v="11"/>
    <n v="5"/>
    <x v="9"/>
    <n v="4375"/>
    <n v="28500"/>
    <n v="0.15350877192982457"/>
  </r>
  <r>
    <n v="2019"/>
    <x v="11"/>
    <n v="5"/>
    <x v="10"/>
    <n v="5444.5"/>
    <n v="28500"/>
    <n v="0.19103508771929825"/>
  </r>
  <r>
    <n v="2019"/>
    <x v="11"/>
    <n v="5"/>
    <x v="11"/>
    <n v="5808.5"/>
    <n v="28500"/>
    <n v="0.20380701754385966"/>
  </r>
  <r>
    <n v="2019"/>
    <x v="11"/>
    <n v="5"/>
    <x v="12"/>
    <n v="13288"/>
    <n v="28500"/>
    <n v="0.46624561403508774"/>
  </r>
  <r>
    <n v="2019"/>
    <x v="11"/>
    <n v="5"/>
    <x v="13"/>
    <n v="8675"/>
    <n v="28500"/>
    <n v="0.3043859649122807"/>
  </r>
  <r>
    <n v="2019"/>
    <x v="11"/>
    <n v="5"/>
    <x v="14"/>
    <n v="1671"/>
    <n v="28500"/>
    <n v="5.8631578947368423E-2"/>
  </r>
  <r>
    <n v="2019"/>
    <x v="11"/>
    <n v="5"/>
    <x v="15"/>
    <n v="667"/>
    <n v="28500"/>
    <n v="2.3403508771929826E-2"/>
  </r>
  <r>
    <n v="2019"/>
    <x v="11"/>
    <n v="5"/>
    <x v="16"/>
    <n v="0"/>
    <n v="28500"/>
    <n v="0"/>
  </r>
  <r>
    <n v="2019"/>
    <x v="11"/>
    <n v="5"/>
    <x v="17"/>
    <n v="0"/>
    <n v="28500"/>
    <n v="0"/>
  </r>
  <r>
    <n v="2019"/>
    <x v="11"/>
    <n v="5"/>
    <x v="18"/>
    <n v="0"/>
    <n v="28500"/>
    <n v="0"/>
  </r>
  <r>
    <n v="2019"/>
    <x v="11"/>
    <n v="5"/>
    <x v="19"/>
    <n v="0"/>
    <n v="28500"/>
    <n v="0"/>
  </r>
  <r>
    <n v="2019"/>
    <x v="11"/>
    <n v="5"/>
    <x v="20"/>
    <n v="0"/>
    <n v="28500"/>
    <n v="0"/>
  </r>
  <r>
    <n v="2019"/>
    <x v="11"/>
    <n v="5"/>
    <x v="21"/>
    <n v="0"/>
    <n v="28500"/>
    <n v="0"/>
  </r>
  <r>
    <n v="2019"/>
    <x v="11"/>
    <n v="5"/>
    <x v="22"/>
    <n v="0"/>
    <n v="28500"/>
    <n v="0"/>
  </r>
  <r>
    <n v="2019"/>
    <x v="11"/>
    <n v="5"/>
    <x v="23"/>
    <n v="0"/>
    <n v="28500"/>
    <n v="0"/>
  </r>
  <r>
    <n v="2019"/>
    <x v="11"/>
    <n v="6"/>
    <x v="0"/>
    <n v="0"/>
    <n v="28500"/>
    <n v="0"/>
  </r>
  <r>
    <n v="2019"/>
    <x v="11"/>
    <n v="6"/>
    <x v="1"/>
    <n v="0"/>
    <n v="28500"/>
    <n v="0"/>
  </r>
  <r>
    <n v="2019"/>
    <x v="11"/>
    <n v="6"/>
    <x v="2"/>
    <n v="0"/>
    <n v="28500"/>
    <n v="0"/>
  </r>
  <r>
    <n v="2019"/>
    <x v="11"/>
    <n v="6"/>
    <x v="3"/>
    <n v="0"/>
    <n v="28500"/>
    <n v="0"/>
  </r>
  <r>
    <n v="2019"/>
    <x v="11"/>
    <n v="6"/>
    <x v="4"/>
    <n v="0"/>
    <n v="28500"/>
    <n v="0"/>
  </r>
  <r>
    <n v="2019"/>
    <x v="11"/>
    <n v="6"/>
    <x v="5"/>
    <n v="0"/>
    <n v="28500"/>
    <n v="0"/>
  </r>
  <r>
    <n v="2019"/>
    <x v="11"/>
    <n v="6"/>
    <x v="6"/>
    <n v="0"/>
    <n v="28500"/>
    <n v="0"/>
  </r>
  <r>
    <n v="2019"/>
    <x v="11"/>
    <n v="6"/>
    <x v="7"/>
    <n v="0"/>
    <n v="28500"/>
    <n v="0"/>
  </r>
  <r>
    <n v="2019"/>
    <x v="11"/>
    <n v="6"/>
    <x v="8"/>
    <n v="0"/>
    <n v="28500"/>
    <n v="0"/>
  </r>
  <r>
    <n v="2019"/>
    <x v="11"/>
    <n v="6"/>
    <x v="9"/>
    <n v="245"/>
    <n v="28500"/>
    <n v="8.5964912280701751E-3"/>
  </r>
  <r>
    <n v="2019"/>
    <x v="11"/>
    <n v="6"/>
    <x v="10"/>
    <n v="13021"/>
    <n v="28500"/>
    <n v="0.45687719298245616"/>
  </r>
  <r>
    <n v="2019"/>
    <x v="11"/>
    <n v="6"/>
    <x v="11"/>
    <n v="795"/>
    <n v="28500"/>
    <n v="2.7894736842105264E-2"/>
  </r>
  <r>
    <n v="2019"/>
    <x v="11"/>
    <n v="6"/>
    <x v="12"/>
    <n v="1379"/>
    <n v="28500"/>
    <n v="4.8385964912280699E-2"/>
  </r>
  <r>
    <n v="2019"/>
    <x v="11"/>
    <n v="6"/>
    <x v="13"/>
    <n v="893"/>
    <n v="28500"/>
    <n v="3.1333333333333331E-2"/>
  </r>
  <r>
    <n v="2019"/>
    <x v="11"/>
    <n v="6"/>
    <x v="14"/>
    <n v="15423.5"/>
    <n v="28500"/>
    <n v="0.5411754385964912"/>
  </r>
  <r>
    <n v="2019"/>
    <x v="11"/>
    <n v="6"/>
    <x v="15"/>
    <n v="1332"/>
    <n v="28500"/>
    <n v="4.673684210526316E-2"/>
  </r>
  <r>
    <n v="2019"/>
    <x v="11"/>
    <n v="6"/>
    <x v="16"/>
    <n v="0"/>
    <n v="28500"/>
    <n v="0"/>
  </r>
  <r>
    <n v="2019"/>
    <x v="11"/>
    <n v="6"/>
    <x v="17"/>
    <n v="0"/>
    <n v="28500"/>
    <n v="0"/>
  </r>
  <r>
    <n v="2019"/>
    <x v="11"/>
    <n v="6"/>
    <x v="18"/>
    <n v="0"/>
    <n v="28500"/>
    <n v="0"/>
  </r>
  <r>
    <n v="2019"/>
    <x v="11"/>
    <n v="6"/>
    <x v="19"/>
    <n v="0"/>
    <n v="28500"/>
    <n v="0"/>
  </r>
  <r>
    <n v="2019"/>
    <x v="11"/>
    <n v="6"/>
    <x v="20"/>
    <n v="0"/>
    <n v="28500"/>
    <n v="0"/>
  </r>
  <r>
    <n v="2019"/>
    <x v="11"/>
    <n v="6"/>
    <x v="21"/>
    <n v="0"/>
    <n v="28500"/>
    <n v="0"/>
  </r>
  <r>
    <n v="2019"/>
    <x v="11"/>
    <n v="6"/>
    <x v="22"/>
    <n v="0"/>
    <n v="28500"/>
    <n v="0"/>
  </r>
  <r>
    <n v="2019"/>
    <x v="11"/>
    <n v="6"/>
    <x v="23"/>
    <n v="0"/>
    <n v="28500"/>
    <n v="0"/>
  </r>
  <r>
    <n v="2019"/>
    <x v="11"/>
    <n v="7"/>
    <x v="0"/>
    <n v="0"/>
    <n v="28500"/>
    <n v="0"/>
  </r>
  <r>
    <n v="2019"/>
    <x v="11"/>
    <n v="7"/>
    <x v="1"/>
    <n v="0"/>
    <n v="28500"/>
    <n v="0"/>
  </r>
  <r>
    <n v="2019"/>
    <x v="11"/>
    <n v="7"/>
    <x v="2"/>
    <n v="0"/>
    <n v="28500"/>
    <n v="0"/>
  </r>
  <r>
    <n v="2019"/>
    <x v="11"/>
    <n v="7"/>
    <x v="3"/>
    <n v="0"/>
    <n v="28500"/>
    <n v="0"/>
  </r>
  <r>
    <n v="2019"/>
    <x v="11"/>
    <n v="7"/>
    <x v="4"/>
    <n v="0"/>
    <n v="28500"/>
    <n v="0"/>
  </r>
  <r>
    <n v="2019"/>
    <x v="11"/>
    <n v="7"/>
    <x v="5"/>
    <n v="0"/>
    <n v="28500"/>
    <n v="0"/>
  </r>
  <r>
    <n v="2019"/>
    <x v="11"/>
    <n v="7"/>
    <x v="6"/>
    <n v="0"/>
    <n v="28500"/>
    <n v="0"/>
  </r>
  <r>
    <n v="2019"/>
    <x v="11"/>
    <n v="7"/>
    <x v="7"/>
    <n v="0"/>
    <n v="28500"/>
    <n v="0"/>
  </r>
  <r>
    <n v="2019"/>
    <x v="11"/>
    <n v="7"/>
    <x v="8"/>
    <n v="0"/>
    <n v="28500"/>
    <n v="0"/>
  </r>
  <r>
    <n v="2019"/>
    <x v="11"/>
    <n v="7"/>
    <x v="9"/>
    <n v="617"/>
    <n v="28500"/>
    <n v="2.1649122807017543E-2"/>
  </r>
  <r>
    <n v="2019"/>
    <x v="11"/>
    <n v="7"/>
    <x v="10"/>
    <n v="2990"/>
    <n v="28500"/>
    <n v="0.10491228070175439"/>
  </r>
  <r>
    <n v="2019"/>
    <x v="11"/>
    <n v="7"/>
    <x v="11"/>
    <n v="3960"/>
    <n v="28500"/>
    <n v="0.13894736842105262"/>
  </r>
  <r>
    <n v="2019"/>
    <x v="11"/>
    <n v="7"/>
    <x v="12"/>
    <n v="9399"/>
    <n v="28500"/>
    <n v="0.32978947368421052"/>
  </r>
  <r>
    <n v="2019"/>
    <x v="11"/>
    <n v="7"/>
    <x v="13"/>
    <n v="12442"/>
    <n v="28500"/>
    <n v="0.43656140350877193"/>
  </r>
  <r>
    <n v="2019"/>
    <x v="11"/>
    <n v="7"/>
    <x v="14"/>
    <n v="15436.5"/>
    <n v="28500"/>
    <n v="0.54163157894736846"/>
  </r>
  <r>
    <n v="2019"/>
    <x v="11"/>
    <n v="7"/>
    <x v="15"/>
    <n v="634.5"/>
    <n v="28500"/>
    <n v="2.2263157894736842E-2"/>
  </r>
  <r>
    <n v="2019"/>
    <x v="11"/>
    <n v="7"/>
    <x v="16"/>
    <n v="0"/>
    <n v="28500"/>
    <n v="0"/>
  </r>
  <r>
    <n v="2019"/>
    <x v="11"/>
    <n v="7"/>
    <x v="17"/>
    <n v="0"/>
    <n v="28500"/>
    <n v="0"/>
  </r>
  <r>
    <n v="2019"/>
    <x v="11"/>
    <n v="7"/>
    <x v="18"/>
    <n v="0"/>
    <n v="28500"/>
    <n v="0"/>
  </r>
  <r>
    <n v="2019"/>
    <x v="11"/>
    <n v="7"/>
    <x v="19"/>
    <n v="0"/>
    <n v="28500"/>
    <n v="0"/>
  </r>
  <r>
    <n v="2019"/>
    <x v="11"/>
    <n v="7"/>
    <x v="20"/>
    <n v="0"/>
    <n v="28500"/>
    <n v="0"/>
  </r>
  <r>
    <n v="2019"/>
    <x v="11"/>
    <n v="7"/>
    <x v="21"/>
    <n v="0"/>
    <n v="28500"/>
    <n v="0"/>
  </r>
  <r>
    <n v="2019"/>
    <x v="11"/>
    <n v="7"/>
    <x v="22"/>
    <n v="0"/>
    <n v="28500"/>
    <n v="0"/>
  </r>
  <r>
    <n v="2019"/>
    <x v="11"/>
    <n v="7"/>
    <x v="23"/>
    <n v="0"/>
    <n v="28500"/>
    <n v="0"/>
  </r>
  <r>
    <n v="2019"/>
    <x v="11"/>
    <n v="8"/>
    <x v="0"/>
    <n v="0"/>
    <n v="28500"/>
    <n v="0"/>
  </r>
  <r>
    <n v="2019"/>
    <x v="11"/>
    <n v="8"/>
    <x v="1"/>
    <n v="0"/>
    <n v="28500"/>
    <n v="0"/>
  </r>
  <r>
    <n v="2019"/>
    <x v="11"/>
    <n v="8"/>
    <x v="2"/>
    <n v="0"/>
    <n v="28500"/>
    <n v="0"/>
  </r>
  <r>
    <n v="2019"/>
    <x v="11"/>
    <n v="8"/>
    <x v="3"/>
    <n v="0"/>
    <n v="28500"/>
    <n v="0"/>
  </r>
  <r>
    <n v="2019"/>
    <x v="11"/>
    <n v="8"/>
    <x v="4"/>
    <n v="0"/>
    <n v="28500"/>
    <n v="0"/>
  </r>
  <r>
    <n v="2019"/>
    <x v="11"/>
    <n v="8"/>
    <x v="5"/>
    <n v="0"/>
    <n v="28500"/>
    <n v="0"/>
  </r>
  <r>
    <n v="2019"/>
    <x v="11"/>
    <n v="8"/>
    <x v="6"/>
    <n v="0"/>
    <n v="28500"/>
    <n v="0"/>
  </r>
  <r>
    <n v="2019"/>
    <x v="11"/>
    <n v="8"/>
    <x v="7"/>
    <n v="0"/>
    <n v="28500"/>
    <n v="0"/>
  </r>
  <r>
    <n v="2019"/>
    <x v="11"/>
    <n v="8"/>
    <x v="8"/>
    <n v="0"/>
    <n v="28500"/>
    <n v="0"/>
  </r>
  <r>
    <n v="2019"/>
    <x v="11"/>
    <n v="8"/>
    <x v="9"/>
    <n v="8747"/>
    <n v="28500"/>
    <n v="0.30691228070175436"/>
  </r>
  <r>
    <n v="2019"/>
    <x v="11"/>
    <n v="8"/>
    <x v="10"/>
    <n v="19874"/>
    <n v="28500"/>
    <n v="0.69733333333333336"/>
  </r>
  <r>
    <n v="2019"/>
    <x v="11"/>
    <n v="8"/>
    <x v="11"/>
    <n v="26475.5"/>
    <n v="28500"/>
    <n v="0.92896491228070177"/>
  </r>
  <r>
    <n v="2019"/>
    <x v="11"/>
    <n v="8"/>
    <x v="12"/>
    <n v="27596.5"/>
    <n v="28500"/>
    <n v="0.9682982456140351"/>
  </r>
  <r>
    <n v="2019"/>
    <x v="11"/>
    <n v="8"/>
    <x v="13"/>
    <n v="4295"/>
    <n v="28500"/>
    <n v="0.15070175438596492"/>
  </r>
  <r>
    <n v="2019"/>
    <x v="11"/>
    <n v="8"/>
    <x v="14"/>
    <n v="2572"/>
    <n v="28500"/>
    <n v="9.0245614035087726E-2"/>
  </r>
  <r>
    <n v="2019"/>
    <x v="11"/>
    <n v="8"/>
    <x v="15"/>
    <n v="2441.5"/>
    <n v="28500"/>
    <n v="8.5666666666666669E-2"/>
  </r>
  <r>
    <n v="2019"/>
    <x v="11"/>
    <n v="8"/>
    <x v="16"/>
    <n v="0"/>
    <n v="28500"/>
    <n v="0"/>
  </r>
  <r>
    <n v="2019"/>
    <x v="11"/>
    <n v="8"/>
    <x v="17"/>
    <n v="0"/>
    <n v="28500"/>
    <n v="0"/>
  </r>
  <r>
    <n v="2019"/>
    <x v="11"/>
    <n v="8"/>
    <x v="18"/>
    <n v="0"/>
    <n v="28500"/>
    <n v="0"/>
  </r>
  <r>
    <n v="2019"/>
    <x v="11"/>
    <n v="8"/>
    <x v="19"/>
    <n v="0"/>
    <n v="28500"/>
    <n v="0"/>
  </r>
  <r>
    <n v="2019"/>
    <x v="11"/>
    <n v="8"/>
    <x v="20"/>
    <n v="0"/>
    <n v="28500"/>
    <n v="0"/>
  </r>
  <r>
    <n v="2019"/>
    <x v="11"/>
    <n v="8"/>
    <x v="21"/>
    <n v="0"/>
    <n v="28500"/>
    <n v="0"/>
  </r>
  <r>
    <n v="2019"/>
    <x v="11"/>
    <n v="8"/>
    <x v="22"/>
    <n v="0"/>
    <n v="28500"/>
    <n v="0"/>
  </r>
  <r>
    <n v="2019"/>
    <x v="11"/>
    <n v="8"/>
    <x v="23"/>
    <n v="0"/>
    <n v="28500"/>
    <n v="0"/>
  </r>
  <r>
    <n v="2019"/>
    <x v="11"/>
    <n v="9"/>
    <x v="0"/>
    <n v="0"/>
    <n v="28500"/>
    <n v="0"/>
  </r>
  <r>
    <n v="2019"/>
    <x v="11"/>
    <n v="9"/>
    <x v="1"/>
    <n v="0"/>
    <n v="28500"/>
    <n v="0"/>
  </r>
  <r>
    <n v="2019"/>
    <x v="11"/>
    <n v="9"/>
    <x v="2"/>
    <n v="0"/>
    <n v="28500"/>
    <n v="0"/>
  </r>
  <r>
    <n v="2019"/>
    <x v="11"/>
    <n v="9"/>
    <x v="3"/>
    <n v="0"/>
    <n v="28500"/>
    <n v="0"/>
  </r>
  <r>
    <n v="2019"/>
    <x v="11"/>
    <n v="9"/>
    <x v="4"/>
    <n v="0"/>
    <n v="28500"/>
    <n v="0"/>
  </r>
  <r>
    <n v="2019"/>
    <x v="11"/>
    <n v="9"/>
    <x v="5"/>
    <n v="0"/>
    <n v="28500"/>
    <n v="0"/>
  </r>
  <r>
    <n v="2019"/>
    <x v="11"/>
    <n v="9"/>
    <x v="6"/>
    <n v="0"/>
    <n v="28500"/>
    <n v="0"/>
  </r>
  <r>
    <n v="2019"/>
    <x v="11"/>
    <n v="9"/>
    <x v="7"/>
    <n v="0"/>
    <n v="28500"/>
    <n v="0"/>
  </r>
  <r>
    <n v="2019"/>
    <x v="11"/>
    <n v="9"/>
    <x v="8"/>
    <n v="0"/>
    <n v="28500"/>
    <n v="0"/>
  </r>
  <r>
    <n v="2019"/>
    <x v="11"/>
    <n v="9"/>
    <x v="9"/>
    <n v="14367"/>
    <n v="28500"/>
    <n v="0.50410526315789472"/>
  </r>
  <r>
    <n v="2019"/>
    <x v="11"/>
    <n v="9"/>
    <x v="10"/>
    <n v="23858.5"/>
    <n v="28500"/>
    <n v="0.83714035087719296"/>
  </r>
  <r>
    <n v="2019"/>
    <x v="11"/>
    <n v="9"/>
    <x v="11"/>
    <n v="25870.5"/>
    <n v="28500"/>
    <n v="0.90773684210526318"/>
  </r>
  <r>
    <n v="2019"/>
    <x v="11"/>
    <n v="9"/>
    <x v="12"/>
    <n v="29052.5"/>
    <n v="28500"/>
    <n v="1.0193859649122807"/>
  </r>
  <r>
    <n v="2019"/>
    <x v="11"/>
    <n v="9"/>
    <x v="13"/>
    <n v="25208"/>
    <n v="28500"/>
    <n v="0.88449122807017544"/>
  </r>
  <r>
    <n v="2019"/>
    <x v="11"/>
    <n v="9"/>
    <x v="14"/>
    <n v="15534.5"/>
    <n v="28500"/>
    <n v="0.54507017543859648"/>
  </r>
  <r>
    <n v="2019"/>
    <x v="11"/>
    <n v="9"/>
    <x v="15"/>
    <n v="8087.5"/>
    <n v="28500"/>
    <n v="0.2837719298245614"/>
  </r>
  <r>
    <n v="2019"/>
    <x v="11"/>
    <n v="9"/>
    <x v="16"/>
    <n v="0"/>
    <n v="28500"/>
    <n v="0"/>
  </r>
  <r>
    <n v="2019"/>
    <x v="11"/>
    <n v="9"/>
    <x v="17"/>
    <n v="0"/>
    <n v="28500"/>
    <n v="0"/>
  </r>
  <r>
    <n v="2019"/>
    <x v="11"/>
    <n v="9"/>
    <x v="18"/>
    <n v="0"/>
    <n v="28500"/>
    <n v="0"/>
  </r>
  <r>
    <n v="2019"/>
    <x v="11"/>
    <n v="9"/>
    <x v="19"/>
    <n v="0"/>
    <n v="28500"/>
    <n v="0"/>
  </r>
  <r>
    <n v="2019"/>
    <x v="11"/>
    <n v="9"/>
    <x v="20"/>
    <n v="0"/>
    <n v="28500"/>
    <n v="0"/>
  </r>
  <r>
    <n v="2019"/>
    <x v="11"/>
    <n v="9"/>
    <x v="21"/>
    <n v="0"/>
    <n v="28500"/>
    <n v="0"/>
  </r>
  <r>
    <n v="2019"/>
    <x v="11"/>
    <n v="9"/>
    <x v="22"/>
    <n v="0"/>
    <n v="28500"/>
    <n v="0"/>
  </r>
  <r>
    <n v="2019"/>
    <x v="11"/>
    <n v="9"/>
    <x v="23"/>
    <n v="0"/>
    <n v="28500"/>
    <n v="0"/>
  </r>
  <r>
    <n v="2019"/>
    <x v="11"/>
    <n v="10"/>
    <x v="0"/>
    <n v="0"/>
    <n v="28500"/>
    <n v="0"/>
  </r>
  <r>
    <n v="2019"/>
    <x v="11"/>
    <n v="10"/>
    <x v="1"/>
    <n v="0"/>
    <n v="28500"/>
    <n v="0"/>
  </r>
  <r>
    <n v="2019"/>
    <x v="11"/>
    <n v="10"/>
    <x v="2"/>
    <n v="0"/>
    <n v="28500"/>
    <n v="0"/>
  </r>
  <r>
    <n v="2019"/>
    <x v="11"/>
    <n v="10"/>
    <x v="3"/>
    <n v="0"/>
    <n v="28500"/>
    <n v="0"/>
  </r>
  <r>
    <n v="2019"/>
    <x v="11"/>
    <n v="10"/>
    <x v="4"/>
    <n v="0"/>
    <n v="28500"/>
    <n v="0"/>
  </r>
  <r>
    <n v="2019"/>
    <x v="11"/>
    <n v="10"/>
    <x v="5"/>
    <n v="0"/>
    <n v="28500"/>
    <n v="0"/>
  </r>
  <r>
    <n v="2019"/>
    <x v="11"/>
    <n v="10"/>
    <x v="6"/>
    <n v="0"/>
    <n v="28500"/>
    <n v="0"/>
  </r>
  <r>
    <n v="2019"/>
    <x v="11"/>
    <n v="10"/>
    <x v="7"/>
    <n v="0"/>
    <n v="28500"/>
    <n v="0"/>
  </r>
  <r>
    <n v="2019"/>
    <x v="11"/>
    <n v="10"/>
    <x v="8"/>
    <n v="0"/>
    <n v="28500"/>
    <n v="0"/>
  </r>
  <r>
    <n v="2019"/>
    <x v="11"/>
    <n v="10"/>
    <x v="9"/>
    <n v="1877"/>
    <n v="28500"/>
    <n v="6.5859649122807021E-2"/>
  </r>
  <r>
    <n v="2019"/>
    <x v="11"/>
    <n v="10"/>
    <x v="10"/>
    <n v="2053"/>
    <n v="28500"/>
    <n v="7.2035087719298244E-2"/>
  </r>
  <r>
    <n v="2019"/>
    <x v="11"/>
    <n v="10"/>
    <x v="11"/>
    <n v="1692.5"/>
    <n v="28500"/>
    <n v="5.9385964912280702E-2"/>
  </r>
  <r>
    <n v="2019"/>
    <x v="11"/>
    <n v="10"/>
    <x v="12"/>
    <n v="941.5"/>
    <n v="28500"/>
    <n v="3.3035087719298244E-2"/>
  </r>
  <r>
    <n v="2019"/>
    <x v="11"/>
    <n v="10"/>
    <x v="13"/>
    <n v="1185"/>
    <n v="28500"/>
    <n v="4.1578947368421056E-2"/>
  </r>
  <r>
    <n v="2019"/>
    <x v="11"/>
    <n v="10"/>
    <x v="14"/>
    <n v="1078"/>
    <n v="28500"/>
    <n v="3.7824561403508775E-2"/>
  </r>
  <r>
    <n v="2019"/>
    <x v="11"/>
    <n v="10"/>
    <x v="15"/>
    <n v="52"/>
    <n v="28500"/>
    <n v="1.8245614035087719E-3"/>
  </r>
  <r>
    <n v="2019"/>
    <x v="11"/>
    <n v="10"/>
    <x v="16"/>
    <n v="0"/>
    <n v="28500"/>
    <n v="0"/>
  </r>
  <r>
    <n v="2019"/>
    <x v="11"/>
    <n v="10"/>
    <x v="17"/>
    <n v="0"/>
    <n v="28500"/>
    <n v="0"/>
  </r>
  <r>
    <n v="2019"/>
    <x v="11"/>
    <n v="10"/>
    <x v="18"/>
    <n v="0"/>
    <n v="28500"/>
    <n v="0"/>
  </r>
  <r>
    <n v="2019"/>
    <x v="11"/>
    <n v="10"/>
    <x v="19"/>
    <n v="0"/>
    <n v="28500"/>
    <n v="0"/>
  </r>
  <r>
    <n v="2019"/>
    <x v="11"/>
    <n v="10"/>
    <x v="20"/>
    <n v="0"/>
    <n v="28500"/>
    <n v="0"/>
  </r>
  <r>
    <n v="2019"/>
    <x v="11"/>
    <n v="10"/>
    <x v="21"/>
    <n v="0"/>
    <n v="28500"/>
    <n v="0"/>
  </r>
  <r>
    <n v="2019"/>
    <x v="11"/>
    <n v="10"/>
    <x v="22"/>
    <n v="0"/>
    <n v="28500"/>
    <n v="0"/>
  </r>
  <r>
    <n v="2019"/>
    <x v="11"/>
    <n v="10"/>
    <x v="23"/>
    <n v="0"/>
    <n v="28500"/>
    <n v="0"/>
  </r>
  <r>
    <n v="2019"/>
    <x v="11"/>
    <n v="11"/>
    <x v="0"/>
    <n v="0"/>
    <n v="28500"/>
    <n v="0"/>
  </r>
  <r>
    <n v="2019"/>
    <x v="11"/>
    <n v="11"/>
    <x v="1"/>
    <n v="0"/>
    <n v="28500"/>
    <n v="0"/>
  </r>
  <r>
    <n v="2019"/>
    <x v="11"/>
    <n v="11"/>
    <x v="2"/>
    <n v="0"/>
    <n v="28500"/>
    <n v="0"/>
  </r>
  <r>
    <n v="2019"/>
    <x v="11"/>
    <n v="11"/>
    <x v="3"/>
    <n v="0"/>
    <n v="28500"/>
    <n v="0"/>
  </r>
  <r>
    <n v="2019"/>
    <x v="11"/>
    <n v="11"/>
    <x v="4"/>
    <n v="0"/>
    <n v="28500"/>
    <n v="0"/>
  </r>
  <r>
    <n v="2019"/>
    <x v="11"/>
    <n v="11"/>
    <x v="5"/>
    <n v="0"/>
    <n v="28500"/>
    <n v="0"/>
  </r>
  <r>
    <n v="2019"/>
    <x v="11"/>
    <n v="11"/>
    <x v="6"/>
    <n v="0"/>
    <n v="28500"/>
    <n v="0"/>
  </r>
  <r>
    <n v="2019"/>
    <x v="11"/>
    <n v="11"/>
    <x v="7"/>
    <n v="0"/>
    <n v="28500"/>
    <n v="0"/>
  </r>
  <r>
    <n v="2019"/>
    <x v="11"/>
    <n v="11"/>
    <x v="8"/>
    <n v="0"/>
    <n v="28500"/>
    <n v="0"/>
  </r>
  <r>
    <n v="2019"/>
    <x v="11"/>
    <n v="11"/>
    <x v="9"/>
    <n v="18466"/>
    <n v="28500"/>
    <n v="0.64792982456140347"/>
  </r>
  <r>
    <n v="2019"/>
    <x v="11"/>
    <n v="11"/>
    <x v="10"/>
    <n v="25260.5"/>
    <n v="28500"/>
    <n v="0.88633333333333331"/>
  </r>
  <r>
    <n v="2019"/>
    <x v="11"/>
    <n v="11"/>
    <x v="11"/>
    <n v="28290"/>
    <n v="28500"/>
    <n v="0.99263157894736842"/>
  </r>
  <r>
    <n v="2019"/>
    <x v="11"/>
    <n v="11"/>
    <x v="12"/>
    <n v="25319"/>
    <n v="28500"/>
    <n v="0.88838596491228072"/>
  </r>
  <r>
    <n v="2019"/>
    <x v="11"/>
    <n v="11"/>
    <x v="13"/>
    <n v="28761"/>
    <n v="28500"/>
    <n v="1.009157894736842"/>
  </r>
  <r>
    <n v="2019"/>
    <x v="11"/>
    <n v="11"/>
    <x v="14"/>
    <n v="20979"/>
    <n v="28500"/>
    <n v="0.73610526315789471"/>
  </r>
  <r>
    <n v="2019"/>
    <x v="11"/>
    <n v="11"/>
    <x v="15"/>
    <n v="97.5"/>
    <n v="28500"/>
    <n v="3.4210526315789475E-3"/>
  </r>
  <r>
    <n v="2019"/>
    <x v="11"/>
    <n v="11"/>
    <x v="16"/>
    <n v="0"/>
    <n v="28500"/>
    <n v="0"/>
  </r>
  <r>
    <n v="2019"/>
    <x v="11"/>
    <n v="11"/>
    <x v="17"/>
    <n v="0"/>
    <n v="28500"/>
    <n v="0"/>
  </r>
  <r>
    <n v="2019"/>
    <x v="11"/>
    <n v="11"/>
    <x v="18"/>
    <n v="0"/>
    <n v="28500"/>
    <n v="0"/>
  </r>
  <r>
    <n v="2019"/>
    <x v="11"/>
    <n v="11"/>
    <x v="19"/>
    <n v="0"/>
    <n v="28500"/>
    <n v="0"/>
  </r>
  <r>
    <n v="2019"/>
    <x v="11"/>
    <n v="11"/>
    <x v="20"/>
    <n v="0"/>
    <n v="28500"/>
    <n v="0"/>
  </r>
  <r>
    <n v="2019"/>
    <x v="11"/>
    <n v="11"/>
    <x v="21"/>
    <n v="0"/>
    <n v="28500"/>
    <n v="0"/>
  </r>
  <r>
    <n v="2019"/>
    <x v="11"/>
    <n v="11"/>
    <x v="22"/>
    <n v="0"/>
    <n v="28500"/>
    <n v="0"/>
  </r>
  <r>
    <n v="2019"/>
    <x v="11"/>
    <n v="11"/>
    <x v="23"/>
    <n v="0"/>
    <n v="28500"/>
    <n v="0"/>
  </r>
  <r>
    <n v="2019"/>
    <x v="11"/>
    <n v="12"/>
    <x v="0"/>
    <n v="0"/>
    <n v="28500"/>
    <n v="0"/>
  </r>
  <r>
    <n v="2019"/>
    <x v="11"/>
    <n v="12"/>
    <x v="1"/>
    <n v="0"/>
    <n v="28500"/>
    <n v="0"/>
  </r>
  <r>
    <n v="2019"/>
    <x v="11"/>
    <n v="12"/>
    <x v="2"/>
    <n v="0"/>
    <n v="28500"/>
    <n v="0"/>
  </r>
  <r>
    <n v="2019"/>
    <x v="11"/>
    <n v="12"/>
    <x v="3"/>
    <n v="0"/>
    <n v="28500"/>
    <n v="0"/>
  </r>
  <r>
    <n v="2019"/>
    <x v="11"/>
    <n v="12"/>
    <x v="4"/>
    <n v="0"/>
    <n v="28500"/>
    <n v="0"/>
  </r>
  <r>
    <n v="2019"/>
    <x v="11"/>
    <n v="12"/>
    <x v="5"/>
    <n v="0"/>
    <n v="28500"/>
    <n v="0"/>
  </r>
  <r>
    <n v="2019"/>
    <x v="11"/>
    <n v="12"/>
    <x v="6"/>
    <n v="0"/>
    <n v="28500"/>
    <n v="0"/>
  </r>
  <r>
    <n v="2019"/>
    <x v="11"/>
    <n v="12"/>
    <x v="7"/>
    <n v="0"/>
    <n v="28500"/>
    <n v="0"/>
  </r>
  <r>
    <n v="2019"/>
    <x v="11"/>
    <n v="12"/>
    <x v="8"/>
    <n v="0"/>
    <n v="28500"/>
    <n v="0"/>
  </r>
  <r>
    <n v="2019"/>
    <x v="11"/>
    <n v="12"/>
    <x v="9"/>
    <n v="623.5"/>
    <n v="28500"/>
    <n v="2.1877192982456141E-2"/>
  </r>
  <r>
    <n v="2019"/>
    <x v="11"/>
    <n v="12"/>
    <x v="10"/>
    <n v="652"/>
    <n v="28500"/>
    <n v="2.2877192982456142E-2"/>
  </r>
  <r>
    <n v="2019"/>
    <x v="11"/>
    <n v="12"/>
    <x v="11"/>
    <n v="5306.5"/>
    <n v="28500"/>
    <n v="0.18619298245614035"/>
  </r>
  <r>
    <n v="2019"/>
    <x v="11"/>
    <n v="12"/>
    <x v="12"/>
    <n v="9312"/>
    <n v="28500"/>
    <n v="0.32673684210526316"/>
  </r>
  <r>
    <n v="2019"/>
    <x v="11"/>
    <n v="12"/>
    <x v="13"/>
    <n v="748.5"/>
    <n v="28500"/>
    <n v="2.6263157894736842E-2"/>
  </r>
  <r>
    <n v="2019"/>
    <x v="11"/>
    <n v="12"/>
    <x v="14"/>
    <n v="711.5"/>
    <n v="28500"/>
    <n v="2.4964912280701756E-2"/>
  </r>
  <r>
    <n v="2019"/>
    <x v="11"/>
    <n v="12"/>
    <x v="15"/>
    <n v="1336"/>
    <n v="28500"/>
    <n v="4.6877192982456142E-2"/>
  </r>
  <r>
    <n v="2019"/>
    <x v="11"/>
    <n v="12"/>
    <x v="16"/>
    <n v="0"/>
    <n v="28500"/>
    <n v="0"/>
  </r>
  <r>
    <n v="2019"/>
    <x v="11"/>
    <n v="12"/>
    <x v="17"/>
    <n v="0"/>
    <n v="28500"/>
    <n v="0"/>
  </r>
  <r>
    <n v="2019"/>
    <x v="11"/>
    <n v="12"/>
    <x v="18"/>
    <n v="0"/>
    <n v="28500"/>
    <n v="0"/>
  </r>
  <r>
    <n v="2019"/>
    <x v="11"/>
    <n v="12"/>
    <x v="19"/>
    <n v="0"/>
    <n v="28500"/>
    <n v="0"/>
  </r>
  <r>
    <n v="2019"/>
    <x v="11"/>
    <n v="12"/>
    <x v="20"/>
    <n v="0"/>
    <n v="28500"/>
    <n v="0"/>
  </r>
  <r>
    <n v="2019"/>
    <x v="11"/>
    <n v="12"/>
    <x v="21"/>
    <n v="0"/>
    <n v="28500"/>
    <n v="0"/>
  </r>
  <r>
    <n v="2019"/>
    <x v="11"/>
    <n v="12"/>
    <x v="22"/>
    <n v="0"/>
    <n v="28500"/>
    <n v="0"/>
  </r>
  <r>
    <n v="2019"/>
    <x v="11"/>
    <n v="12"/>
    <x v="23"/>
    <n v="0"/>
    <n v="28500"/>
    <n v="0"/>
  </r>
  <r>
    <n v="2019"/>
    <x v="11"/>
    <n v="13"/>
    <x v="0"/>
    <n v="0"/>
    <n v="28500"/>
    <n v="0"/>
  </r>
  <r>
    <n v="2019"/>
    <x v="11"/>
    <n v="13"/>
    <x v="1"/>
    <n v="0"/>
    <n v="28500"/>
    <n v="0"/>
  </r>
  <r>
    <n v="2019"/>
    <x v="11"/>
    <n v="13"/>
    <x v="2"/>
    <n v="0"/>
    <n v="28500"/>
    <n v="0"/>
  </r>
  <r>
    <n v="2019"/>
    <x v="11"/>
    <n v="13"/>
    <x v="3"/>
    <n v="0"/>
    <n v="28500"/>
    <n v="0"/>
  </r>
  <r>
    <n v="2019"/>
    <x v="11"/>
    <n v="13"/>
    <x v="4"/>
    <n v="0"/>
    <n v="28500"/>
    <n v="0"/>
  </r>
  <r>
    <n v="2019"/>
    <x v="11"/>
    <n v="13"/>
    <x v="5"/>
    <n v="0"/>
    <n v="28500"/>
    <n v="0"/>
  </r>
  <r>
    <n v="2019"/>
    <x v="11"/>
    <n v="13"/>
    <x v="6"/>
    <n v="0"/>
    <n v="28500"/>
    <n v="0"/>
  </r>
  <r>
    <n v="2019"/>
    <x v="11"/>
    <n v="13"/>
    <x v="7"/>
    <n v="0"/>
    <n v="28500"/>
    <n v="0"/>
  </r>
  <r>
    <n v="2019"/>
    <x v="11"/>
    <n v="13"/>
    <x v="8"/>
    <n v="0"/>
    <n v="28500"/>
    <n v="0"/>
  </r>
  <r>
    <n v="2019"/>
    <x v="11"/>
    <n v="13"/>
    <x v="9"/>
    <n v="5915.5"/>
    <n v="28500"/>
    <n v="0.20756140350877192"/>
  </r>
  <r>
    <n v="2019"/>
    <x v="11"/>
    <n v="13"/>
    <x v="10"/>
    <n v="5653.5"/>
    <n v="28500"/>
    <n v="0.19836842105263158"/>
  </r>
  <r>
    <n v="2019"/>
    <x v="11"/>
    <n v="13"/>
    <x v="11"/>
    <n v="3527.5"/>
    <n v="28500"/>
    <n v="0.12377192982456141"/>
  </r>
  <r>
    <n v="2019"/>
    <x v="11"/>
    <n v="13"/>
    <x v="12"/>
    <n v="22165.5"/>
    <n v="28500"/>
    <n v="0.77773684210526317"/>
  </r>
  <r>
    <n v="2019"/>
    <x v="11"/>
    <n v="13"/>
    <x v="13"/>
    <n v="6565.5"/>
    <n v="28500"/>
    <n v="0.23036842105263158"/>
  </r>
  <r>
    <n v="2019"/>
    <x v="11"/>
    <n v="13"/>
    <x v="14"/>
    <n v="2328"/>
    <n v="28500"/>
    <n v="8.168421052631579E-2"/>
  </r>
  <r>
    <n v="2019"/>
    <x v="11"/>
    <n v="13"/>
    <x v="15"/>
    <n v="526"/>
    <n v="28500"/>
    <n v="1.8456140350877195E-2"/>
  </r>
  <r>
    <n v="2019"/>
    <x v="11"/>
    <n v="13"/>
    <x v="16"/>
    <n v="0"/>
    <n v="28500"/>
    <n v="0"/>
  </r>
  <r>
    <n v="2019"/>
    <x v="11"/>
    <n v="13"/>
    <x v="17"/>
    <n v="0"/>
    <n v="28500"/>
    <n v="0"/>
  </r>
  <r>
    <n v="2019"/>
    <x v="11"/>
    <n v="13"/>
    <x v="18"/>
    <n v="0"/>
    <n v="28500"/>
    <n v="0"/>
  </r>
  <r>
    <n v="2019"/>
    <x v="11"/>
    <n v="13"/>
    <x v="19"/>
    <n v="0"/>
    <n v="28500"/>
    <n v="0"/>
  </r>
  <r>
    <n v="2019"/>
    <x v="11"/>
    <n v="13"/>
    <x v="20"/>
    <n v="0"/>
    <n v="28500"/>
    <n v="0"/>
  </r>
  <r>
    <n v="2019"/>
    <x v="11"/>
    <n v="13"/>
    <x v="21"/>
    <n v="0"/>
    <n v="28500"/>
    <n v="0"/>
  </r>
  <r>
    <n v="2019"/>
    <x v="11"/>
    <n v="13"/>
    <x v="22"/>
    <n v="0"/>
    <n v="28500"/>
    <n v="0"/>
  </r>
  <r>
    <n v="2019"/>
    <x v="11"/>
    <n v="13"/>
    <x v="23"/>
    <n v="0"/>
    <n v="28500"/>
    <n v="0"/>
  </r>
  <r>
    <n v="2019"/>
    <x v="11"/>
    <n v="14"/>
    <x v="0"/>
    <n v="0"/>
    <n v="28500"/>
    <n v="0"/>
  </r>
  <r>
    <n v="2019"/>
    <x v="11"/>
    <n v="14"/>
    <x v="1"/>
    <n v="0"/>
    <n v="28500"/>
    <n v="0"/>
  </r>
  <r>
    <n v="2019"/>
    <x v="11"/>
    <n v="14"/>
    <x v="2"/>
    <n v="0"/>
    <n v="28500"/>
    <n v="0"/>
  </r>
  <r>
    <n v="2019"/>
    <x v="11"/>
    <n v="14"/>
    <x v="3"/>
    <n v="0"/>
    <n v="28500"/>
    <n v="0"/>
  </r>
  <r>
    <n v="2019"/>
    <x v="11"/>
    <n v="14"/>
    <x v="4"/>
    <n v="0"/>
    <n v="28500"/>
    <n v="0"/>
  </r>
  <r>
    <n v="2019"/>
    <x v="11"/>
    <n v="14"/>
    <x v="5"/>
    <n v="0"/>
    <n v="28500"/>
    <n v="0"/>
  </r>
  <r>
    <n v="2019"/>
    <x v="11"/>
    <n v="14"/>
    <x v="6"/>
    <n v="0"/>
    <n v="28500"/>
    <n v="0"/>
  </r>
  <r>
    <n v="2019"/>
    <x v="11"/>
    <n v="14"/>
    <x v="7"/>
    <n v="0"/>
    <n v="28500"/>
    <n v="0"/>
  </r>
  <r>
    <n v="2019"/>
    <x v="11"/>
    <n v="14"/>
    <x v="8"/>
    <n v="0"/>
    <n v="28500"/>
    <n v="0"/>
  </r>
  <r>
    <n v="2019"/>
    <x v="11"/>
    <n v="14"/>
    <x v="9"/>
    <n v="5449.5"/>
    <n v="28500"/>
    <n v="0.19121052631578947"/>
  </r>
  <r>
    <n v="2019"/>
    <x v="11"/>
    <n v="14"/>
    <x v="10"/>
    <n v="2895"/>
    <n v="28500"/>
    <n v="0.10157894736842105"/>
  </r>
  <r>
    <n v="2019"/>
    <x v="11"/>
    <n v="14"/>
    <x v="11"/>
    <n v="11286.5"/>
    <n v="28500"/>
    <n v="0.3960175438596491"/>
  </r>
  <r>
    <n v="2019"/>
    <x v="11"/>
    <n v="14"/>
    <x v="12"/>
    <n v="28799.5"/>
    <n v="28500"/>
    <n v="1.0105087719298245"/>
  </r>
  <r>
    <n v="2019"/>
    <x v="11"/>
    <n v="14"/>
    <x v="13"/>
    <n v="3760.5"/>
    <n v="28500"/>
    <n v="0.13194736842105262"/>
  </r>
  <r>
    <n v="2019"/>
    <x v="11"/>
    <n v="14"/>
    <x v="14"/>
    <n v="3718"/>
    <n v="28500"/>
    <n v="0.13045614035087719"/>
  </r>
  <r>
    <n v="2019"/>
    <x v="11"/>
    <n v="14"/>
    <x v="15"/>
    <n v="9021"/>
    <n v="28500"/>
    <n v="0.31652631578947371"/>
  </r>
  <r>
    <n v="2019"/>
    <x v="11"/>
    <n v="14"/>
    <x v="16"/>
    <n v="0"/>
    <n v="28500"/>
    <n v="0"/>
  </r>
  <r>
    <n v="2019"/>
    <x v="11"/>
    <n v="14"/>
    <x v="17"/>
    <n v="0"/>
    <n v="28500"/>
    <n v="0"/>
  </r>
  <r>
    <n v="2019"/>
    <x v="11"/>
    <n v="14"/>
    <x v="18"/>
    <n v="0"/>
    <n v="28500"/>
    <n v="0"/>
  </r>
  <r>
    <n v="2019"/>
    <x v="11"/>
    <n v="14"/>
    <x v="19"/>
    <n v="0"/>
    <n v="28500"/>
    <n v="0"/>
  </r>
  <r>
    <n v="2019"/>
    <x v="11"/>
    <n v="14"/>
    <x v="20"/>
    <n v="0"/>
    <n v="28500"/>
    <n v="0"/>
  </r>
  <r>
    <n v="2019"/>
    <x v="11"/>
    <n v="14"/>
    <x v="21"/>
    <n v="0"/>
    <n v="28500"/>
    <n v="0"/>
  </r>
  <r>
    <n v="2019"/>
    <x v="11"/>
    <n v="14"/>
    <x v="22"/>
    <n v="0"/>
    <n v="28500"/>
    <n v="0"/>
  </r>
  <r>
    <n v="2019"/>
    <x v="11"/>
    <n v="14"/>
    <x v="23"/>
    <n v="0"/>
    <n v="28500"/>
    <n v="0"/>
  </r>
  <r>
    <n v="2019"/>
    <x v="11"/>
    <n v="15"/>
    <x v="0"/>
    <n v="0"/>
    <n v="28500"/>
    <n v="0"/>
  </r>
  <r>
    <n v="2019"/>
    <x v="11"/>
    <n v="15"/>
    <x v="1"/>
    <n v="0"/>
    <n v="28500"/>
    <n v="0"/>
  </r>
  <r>
    <n v="2019"/>
    <x v="11"/>
    <n v="15"/>
    <x v="2"/>
    <n v="0"/>
    <n v="28500"/>
    <n v="0"/>
  </r>
  <r>
    <n v="2019"/>
    <x v="11"/>
    <n v="15"/>
    <x v="3"/>
    <n v="0"/>
    <n v="28500"/>
    <n v="0"/>
  </r>
  <r>
    <n v="2019"/>
    <x v="11"/>
    <n v="15"/>
    <x v="4"/>
    <n v="0"/>
    <n v="28500"/>
    <n v="0"/>
  </r>
  <r>
    <n v="2019"/>
    <x v="11"/>
    <n v="15"/>
    <x v="5"/>
    <n v="0"/>
    <n v="28500"/>
    <n v="0"/>
  </r>
  <r>
    <n v="2019"/>
    <x v="11"/>
    <n v="15"/>
    <x v="6"/>
    <n v="0"/>
    <n v="28500"/>
    <n v="0"/>
  </r>
  <r>
    <n v="2019"/>
    <x v="11"/>
    <n v="15"/>
    <x v="7"/>
    <n v="0"/>
    <n v="28500"/>
    <n v="0"/>
  </r>
  <r>
    <n v="2019"/>
    <x v="11"/>
    <n v="15"/>
    <x v="8"/>
    <n v="0"/>
    <n v="28500"/>
    <n v="0"/>
  </r>
  <r>
    <n v="2019"/>
    <x v="11"/>
    <n v="15"/>
    <x v="9"/>
    <n v="11923"/>
    <n v="28500"/>
    <n v="0.41835087719298247"/>
  </r>
  <r>
    <n v="2019"/>
    <x v="11"/>
    <n v="15"/>
    <x v="10"/>
    <n v="27103"/>
    <n v="28500"/>
    <n v="0.95098245614035093"/>
  </r>
  <r>
    <n v="2019"/>
    <x v="11"/>
    <n v="15"/>
    <x v="11"/>
    <n v="28936"/>
    <n v="28500"/>
    <n v="1.0152982456140351"/>
  </r>
  <r>
    <n v="2019"/>
    <x v="11"/>
    <n v="15"/>
    <x v="12"/>
    <n v="29854.5"/>
    <n v="28500"/>
    <n v="1.0475263157894736"/>
  </r>
  <r>
    <n v="2019"/>
    <x v="11"/>
    <n v="15"/>
    <x v="13"/>
    <n v="25755.5"/>
    <n v="28500"/>
    <n v="0.90370175438596489"/>
  </r>
  <r>
    <n v="2019"/>
    <x v="11"/>
    <n v="15"/>
    <x v="14"/>
    <n v="17489.5"/>
    <n v="28500"/>
    <n v="0.61366666666666669"/>
  </r>
  <r>
    <n v="2019"/>
    <x v="11"/>
    <n v="15"/>
    <x v="15"/>
    <n v="3944.5"/>
    <n v="28500"/>
    <n v="0.13840350877192983"/>
  </r>
  <r>
    <n v="2019"/>
    <x v="11"/>
    <n v="15"/>
    <x v="16"/>
    <n v="0"/>
    <n v="28500"/>
    <n v="0"/>
  </r>
  <r>
    <n v="2019"/>
    <x v="11"/>
    <n v="15"/>
    <x v="17"/>
    <n v="0"/>
    <n v="28500"/>
    <n v="0"/>
  </r>
  <r>
    <n v="2019"/>
    <x v="11"/>
    <n v="15"/>
    <x v="18"/>
    <n v="0"/>
    <n v="28500"/>
    <n v="0"/>
  </r>
  <r>
    <n v="2019"/>
    <x v="11"/>
    <n v="15"/>
    <x v="19"/>
    <n v="0"/>
    <n v="28500"/>
    <n v="0"/>
  </r>
  <r>
    <n v="2019"/>
    <x v="11"/>
    <n v="15"/>
    <x v="20"/>
    <n v="0"/>
    <n v="28500"/>
    <n v="0"/>
  </r>
  <r>
    <n v="2019"/>
    <x v="11"/>
    <n v="15"/>
    <x v="21"/>
    <n v="0"/>
    <n v="28500"/>
    <n v="0"/>
  </r>
  <r>
    <n v="2019"/>
    <x v="11"/>
    <n v="15"/>
    <x v="22"/>
    <n v="0"/>
    <n v="28500"/>
    <n v="0"/>
  </r>
  <r>
    <n v="2019"/>
    <x v="11"/>
    <n v="15"/>
    <x v="23"/>
    <n v="0"/>
    <n v="28500"/>
    <n v="0"/>
  </r>
  <r>
    <n v="2019"/>
    <x v="11"/>
    <n v="16"/>
    <x v="0"/>
    <n v="0"/>
    <n v="28500"/>
    <n v="0"/>
  </r>
  <r>
    <n v="2019"/>
    <x v="11"/>
    <n v="16"/>
    <x v="1"/>
    <n v="0"/>
    <n v="28500"/>
    <n v="0"/>
  </r>
  <r>
    <n v="2019"/>
    <x v="11"/>
    <n v="16"/>
    <x v="2"/>
    <n v="0"/>
    <n v="28500"/>
    <n v="0"/>
  </r>
  <r>
    <n v="2019"/>
    <x v="11"/>
    <n v="16"/>
    <x v="3"/>
    <n v="0"/>
    <n v="28500"/>
    <n v="0"/>
  </r>
  <r>
    <n v="2019"/>
    <x v="11"/>
    <n v="16"/>
    <x v="4"/>
    <n v="0"/>
    <n v="28500"/>
    <n v="0"/>
  </r>
  <r>
    <n v="2019"/>
    <x v="11"/>
    <n v="16"/>
    <x v="5"/>
    <n v="0"/>
    <n v="28500"/>
    <n v="0"/>
  </r>
  <r>
    <n v="2019"/>
    <x v="11"/>
    <n v="16"/>
    <x v="6"/>
    <n v="0"/>
    <n v="28500"/>
    <n v="0"/>
  </r>
  <r>
    <n v="2019"/>
    <x v="11"/>
    <n v="16"/>
    <x v="7"/>
    <n v="0"/>
    <n v="28500"/>
    <n v="0"/>
  </r>
  <r>
    <n v="2019"/>
    <x v="11"/>
    <n v="16"/>
    <x v="8"/>
    <n v="0"/>
    <n v="28500"/>
    <n v="0"/>
  </r>
  <r>
    <n v="2019"/>
    <x v="11"/>
    <n v="16"/>
    <x v="9"/>
    <n v="308"/>
    <n v="28500"/>
    <n v="1.0807017543859649E-2"/>
  </r>
  <r>
    <n v="2019"/>
    <x v="11"/>
    <n v="16"/>
    <x v="10"/>
    <n v="12972.5"/>
    <n v="28500"/>
    <n v="0.45517543859649123"/>
  </r>
  <r>
    <n v="2019"/>
    <x v="11"/>
    <n v="16"/>
    <x v="11"/>
    <n v="13668.5"/>
    <n v="28500"/>
    <n v="0.47959649122807019"/>
  </r>
  <r>
    <n v="2019"/>
    <x v="11"/>
    <n v="16"/>
    <x v="12"/>
    <n v="7602"/>
    <n v="28500"/>
    <n v="0.26673684210526316"/>
  </r>
  <r>
    <n v="2019"/>
    <x v="11"/>
    <n v="16"/>
    <x v="13"/>
    <n v="5575.5"/>
    <n v="28500"/>
    <n v="0.19563157894736843"/>
  </r>
  <r>
    <n v="2019"/>
    <x v="11"/>
    <n v="16"/>
    <x v="14"/>
    <n v="4389.5"/>
    <n v="28500"/>
    <n v="0.15401754385964914"/>
  </r>
  <r>
    <n v="2019"/>
    <x v="11"/>
    <n v="16"/>
    <x v="15"/>
    <n v="170"/>
    <n v="28500"/>
    <n v="5.9649122807017545E-3"/>
  </r>
  <r>
    <n v="2019"/>
    <x v="11"/>
    <n v="16"/>
    <x v="16"/>
    <n v="0"/>
    <n v="28500"/>
    <n v="0"/>
  </r>
  <r>
    <n v="2019"/>
    <x v="11"/>
    <n v="16"/>
    <x v="17"/>
    <n v="0"/>
    <n v="28500"/>
    <n v="0"/>
  </r>
  <r>
    <n v="2019"/>
    <x v="11"/>
    <n v="16"/>
    <x v="18"/>
    <n v="0"/>
    <n v="28500"/>
    <n v="0"/>
  </r>
  <r>
    <n v="2019"/>
    <x v="11"/>
    <n v="16"/>
    <x v="19"/>
    <n v="0"/>
    <n v="28500"/>
    <n v="0"/>
  </r>
  <r>
    <n v="2019"/>
    <x v="11"/>
    <n v="16"/>
    <x v="20"/>
    <n v="0"/>
    <n v="28500"/>
    <n v="0"/>
  </r>
  <r>
    <n v="2019"/>
    <x v="11"/>
    <n v="16"/>
    <x v="21"/>
    <n v="0"/>
    <n v="28500"/>
    <n v="0"/>
  </r>
  <r>
    <n v="2019"/>
    <x v="11"/>
    <n v="16"/>
    <x v="22"/>
    <n v="0"/>
    <n v="28500"/>
    <n v="0"/>
  </r>
  <r>
    <n v="2019"/>
    <x v="11"/>
    <n v="16"/>
    <x v="23"/>
    <n v="0"/>
    <n v="28500"/>
    <n v="0"/>
  </r>
  <r>
    <n v="2019"/>
    <x v="11"/>
    <n v="17"/>
    <x v="0"/>
    <n v="0"/>
    <n v="28500"/>
    <n v="0"/>
  </r>
  <r>
    <n v="2019"/>
    <x v="11"/>
    <n v="17"/>
    <x v="1"/>
    <n v="0"/>
    <n v="28500"/>
    <n v="0"/>
  </r>
  <r>
    <n v="2019"/>
    <x v="11"/>
    <n v="17"/>
    <x v="2"/>
    <n v="0"/>
    <n v="28500"/>
    <n v="0"/>
  </r>
  <r>
    <n v="2019"/>
    <x v="11"/>
    <n v="17"/>
    <x v="3"/>
    <n v="0"/>
    <n v="28500"/>
    <n v="0"/>
  </r>
  <r>
    <n v="2019"/>
    <x v="11"/>
    <n v="17"/>
    <x v="4"/>
    <n v="0"/>
    <n v="28500"/>
    <n v="0"/>
  </r>
  <r>
    <n v="2019"/>
    <x v="11"/>
    <n v="17"/>
    <x v="5"/>
    <n v="0"/>
    <n v="28500"/>
    <n v="0"/>
  </r>
  <r>
    <n v="2019"/>
    <x v="11"/>
    <n v="17"/>
    <x v="6"/>
    <n v="0"/>
    <n v="28500"/>
    <n v="0"/>
  </r>
  <r>
    <n v="2019"/>
    <x v="11"/>
    <n v="17"/>
    <x v="7"/>
    <n v="0"/>
    <n v="28500"/>
    <n v="0"/>
  </r>
  <r>
    <n v="2019"/>
    <x v="11"/>
    <n v="17"/>
    <x v="8"/>
    <n v="0"/>
    <n v="28500"/>
    <n v="0"/>
  </r>
  <r>
    <n v="2019"/>
    <x v="11"/>
    <n v="17"/>
    <x v="9"/>
    <n v="4486.5"/>
    <n v="28500"/>
    <n v="0.15742105263157893"/>
  </r>
  <r>
    <n v="2019"/>
    <x v="11"/>
    <n v="17"/>
    <x v="10"/>
    <n v="3274"/>
    <n v="28500"/>
    <n v="0.11487719298245615"/>
  </r>
  <r>
    <n v="2019"/>
    <x v="11"/>
    <n v="17"/>
    <x v="11"/>
    <n v="3445.5"/>
    <n v="28500"/>
    <n v="0.12089473684210526"/>
  </r>
  <r>
    <n v="2019"/>
    <x v="11"/>
    <n v="17"/>
    <x v="12"/>
    <n v="11014"/>
    <n v="28500"/>
    <n v="0.38645614035087722"/>
  </r>
  <r>
    <n v="2019"/>
    <x v="11"/>
    <n v="17"/>
    <x v="13"/>
    <n v="4196"/>
    <n v="28500"/>
    <n v="0.1472280701754386"/>
  </r>
  <r>
    <n v="2019"/>
    <x v="11"/>
    <n v="17"/>
    <x v="14"/>
    <n v="1999"/>
    <n v="28500"/>
    <n v="7.0140350877192989E-2"/>
  </r>
  <r>
    <n v="2019"/>
    <x v="11"/>
    <n v="17"/>
    <x v="15"/>
    <n v="627"/>
    <n v="28500"/>
    <n v="2.1999999999999999E-2"/>
  </r>
  <r>
    <n v="2019"/>
    <x v="11"/>
    <n v="17"/>
    <x v="16"/>
    <n v="0"/>
    <n v="28500"/>
    <n v="0"/>
  </r>
  <r>
    <n v="2019"/>
    <x v="11"/>
    <n v="17"/>
    <x v="17"/>
    <n v="0"/>
    <n v="28500"/>
    <n v="0"/>
  </r>
  <r>
    <n v="2019"/>
    <x v="11"/>
    <n v="17"/>
    <x v="18"/>
    <n v="0"/>
    <n v="28500"/>
    <n v="0"/>
  </r>
  <r>
    <n v="2019"/>
    <x v="11"/>
    <n v="17"/>
    <x v="19"/>
    <n v="0"/>
    <n v="28500"/>
    <n v="0"/>
  </r>
  <r>
    <n v="2019"/>
    <x v="11"/>
    <n v="17"/>
    <x v="20"/>
    <n v="0"/>
    <n v="28500"/>
    <n v="0"/>
  </r>
  <r>
    <n v="2019"/>
    <x v="11"/>
    <n v="17"/>
    <x v="21"/>
    <n v="0"/>
    <n v="28500"/>
    <n v="0"/>
  </r>
  <r>
    <n v="2019"/>
    <x v="11"/>
    <n v="17"/>
    <x v="22"/>
    <n v="0"/>
    <n v="28500"/>
    <n v="0"/>
  </r>
  <r>
    <n v="2019"/>
    <x v="11"/>
    <n v="17"/>
    <x v="23"/>
    <n v="0"/>
    <n v="28500"/>
    <n v="0"/>
  </r>
  <r>
    <n v="2019"/>
    <x v="11"/>
    <n v="18"/>
    <x v="0"/>
    <n v="0"/>
    <n v="28500"/>
    <n v="0"/>
  </r>
  <r>
    <n v="2019"/>
    <x v="11"/>
    <n v="18"/>
    <x v="1"/>
    <n v="0"/>
    <n v="28500"/>
    <n v="0"/>
  </r>
  <r>
    <n v="2019"/>
    <x v="11"/>
    <n v="18"/>
    <x v="2"/>
    <n v="0"/>
    <n v="28500"/>
    <n v="0"/>
  </r>
  <r>
    <n v="2019"/>
    <x v="11"/>
    <n v="18"/>
    <x v="3"/>
    <n v="0"/>
    <n v="28500"/>
    <n v="0"/>
  </r>
  <r>
    <n v="2019"/>
    <x v="11"/>
    <n v="18"/>
    <x v="4"/>
    <n v="0"/>
    <n v="28500"/>
    <n v="0"/>
  </r>
  <r>
    <n v="2019"/>
    <x v="11"/>
    <n v="18"/>
    <x v="5"/>
    <n v="0"/>
    <n v="28500"/>
    <n v="0"/>
  </r>
  <r>
    <n v="2019"/>
    <x v="11"/>
    <n v="18"/>
    <x v="6"/>
    <n v="0"/>
    <n v="28500"/>
    <n v="0"/>
  </r>
  <r>
    <n v="2019"/>
    <x v="11"/>
    <n v="18"/>
    <x v="7"/>
    <n v="0"/>
    <n v="28500"/>
    <n v="0"/>
  </r>
  <r>
    <n v="2019"/>
    <x v="11"/>
    <n v="18"/>
    <x v="8"/>
    <n v="0"/>
    <n v="28500"/>
    <n v="0"/>
  </r>
  <r>
    <n v="2019"/>
    <x v="11"/>
    <n v="18"/>
    <x v="9"/>
    <n v="8451.5"/>
    <n v="28500"/>
    <n v="0.29654385964912283"/>
  </r>
  <r>
    <n v="2019"/>
    <x v="11"/>
    <n v="18"/>
    <x v="10"/>
    <n v="6227"/>
    <n v="28500"/>
    <n v="0.21849122807017543"/>
  </r>
  <r>
    <n v="2019"/>
    <x v="11"/>
    <n v="18"/>
    <x v="11"/>
    <n v="28069"/>
    <n v="28500"/>
    <n v="0.98487719298245613"/>
  </r>
  <r>
    <n v="2019"/>
    <x v="11"/>
    <n v="18"/>
    <x v="12"/>
    <n v="23627"/>
    <n v="28500"/>
    <n v="0.8290175438596491"/>
  </r>
  <r>
    <n v="2019"/>
    <x v="11"/>
    <n v="18"/>
    <x v="13"/>
    <n v="7962.5"/>
    <n v="28500"/>
    <n v="0.27938596491228068"/>
  </r>
  <r>
    <n v="2019"/>
    <x v="11"/>
    <n v="18"/>
    <x v="14"/>
    <n v="5459"/>
    <n v="28500"/>
    <n v="0.19154385964912279"/>
  </r>
  <r>
    <n v="2019"/>
    <x v="11"/>
    <n v="18"/>
    <x v="15"/>
    <n v="2081.5"/>
    <n v="28500"/>
    <n v="7.3035087719298245E-2"/>
  </r>
  <r>
    <n v="2019"/>
    <x v="11"/>
    <n v="18"/>
    <x v="16"/>
    <n v="0"/>
    <n v="28500"/>
    <n v="0"/>
  </r>
  <r>
    <n v="2019"/>
    <x v="11"/>
    <n v="18"/>
    <x v="17"/>
    <n v="0"/>
    <n v="28500"/>
    <n v="0"/>
  </r>
  <r>
    <n v="2019"/>
    <x v="11"/>
    <n v="18"/>
    <x v="18"/>
    <n v="0"/>
    <n v="28500"/>
    <n v="0"/>
  </r>
  <r>
    <n v="2019"/>
    <x v="11"/>
    <n v="18"/>
    <x v="19"/>
    <n v="0"/>
    <n v="28500"/>
    <n v="0"/>
  </r>
  <r>
    <n v="2019"/>
    <x v="11"/>
    <n v="18"/>
    <x v="20"/>
    <n v="0"/>
    <n v="28500"/>
    <n v="0"/>
  </r>
  <r>
    <n v="2019"/>
    <x v="11"/>
    <n v="18"/>
    <x v="21"/>
    <n v="0"/>
    <n v="28500"/>
    <n v="0"/>
  </r>
  <r>
    <n v="2019"/>
    <x v="11"/>
    <n v="18"/>
    <x v="22"/>
    <n v="0"/>
    <n v="28500"/>
    <n v="0"/>
  </r>
  <r>
    <n v="2019"/>
    <x v="11"/>
    <n v="18"/>
    <x v="23"/>
    <n v="0"/>
    <n v="28500"/>
    <n v="0"/>
  </r>
  <r>
    <n v="2019"/>
    <x v="11"/>
    <n v="19"/>
    <x v="0"/>
    <n v="0"/>
    <n v="28500"/>
    <n v="0"/>
  </r>
  <r>
    <n v="2019"/>
    <x v="11"/>
    <n v="19"/>
    <x v="1"/>
    <n v="0"/>
    <n v="28500"/>
    <n v="0"/>
  </r>
  <r>
    <n v="2019"/>
    <x v="11"/>
    <n v="19"/>
    <x v="2"/>
    <n v="0"/>
    <n v="28500"/>
    <n v="0"/>
  </r>
  <r>
    <n v="2019"/>
    <x v="11"/>
    <n v="19"/>
    <x v="3"/>
    <n v="0"/>
    <n v="28500"/>
    <n v="0"/>
  </r>
  <r>
    <n v="2019"/>
    <x v="11"/>
    <n v="19"/>
    <x v="4"/>
    <n v="0"/>
    <n v="28500"/>
    <n v="0"/>
  </r>
  <r>
    <n v="2019"/>
    <x v="11"/>
    <n v="19"/>
    <x v="5"/>
    <n v="0"/>
    <n v="28500"/>
    <n v="0"/>
  </r>
  <r>
    <n v="2019"/>
    <x v="11"/>
    <n v="19"/>
    <x v="6"/>
    <n v="0"/>
    <n v="28500"/>
    <n v="0"/>
  </r>
  <r>
    <n v="2019"/>
    <x v="11"/>
    <n v="19"/>
    <x v="7"/>
    <n v="0"/>
    <n v="28500"/>
    <n v="0"/>
  </r>
  <r>
    <n v="2019"/>
    <x v="11"/>
    <n v="19"/>
    <x v="8"/>
    <n v="0"/>
    <n v="28500"/>
    <n v="0"/>
  </r>
  <r>
    <n v="2019"/>
    <x v="11"/>
    <n v="19"/>
    <x v="9"/>
    <n v="1979.5"/>
    <n v="28500"/>
    <n v="6.9456140350877188E-2"/>
  </r>
  <r>
    <n v="2019"/>
    <x v="11"/>
    <n v="19"/>
    <x v="10"/>
    <n v="11474.5"/>
    <n v="28500"/>
    <n v="0.40261403508771931"/>
  </r>
  <r>
    <n v="2019"/>
    <x v="11"/>
    <n v="19"/>
    <x v="11"/>
    <n v="15552"/>
    <n v="28500"/>
    <n v="0.54568421052631577"/>
  </r>
  <r>
    <n v="2019"/>
    <x v="11"/>
    <n v="19"/>
    <x v="12"/>
    <n v="6675"/>
    <n v="28500"/>
    <n v="0.23421052631578948"/>
  </r>
  <r>
    <n v="2019"/>
    <x v="11"/>
    <n v="19"/>
    <x v="13"/>
    <n v="6731.5"/>
    <n v="28500"/>
    <n v="0.23619298245614034"/>
  </r>
  <r>
    <n v="2019"/>
    <x v="11"/>
    <n v="19"/>
    <x v="14"/>
    <n v="505.5"/>
    <n v="28500"/>
    <n v="1.7736842105263158E-2"/>
  </r>
  <r>
    <n v="2019"/>
    <x v="11"/>
    <n v="19"/>
    <x v="15"/>
    <n v="117"/>
    <n v="28500"/>
    <n v="4.1052631578947368E-3"/>
  </r>
  <r>
    <n v="2019"/>
    <x v="11"/>
    <n v="19"/>
    <x v="16"/>
    <n v="0"/>
    <n v="28500"/>
    <n v="0"/>
  </r>
  <r>
    <n v="2019"/>
    <x v="11"/>
    <n v="19"/>
    <x v="17"/>
    <n v="0"/>
    <n v="28500"/>
    <n v="0"/>
  </r>
  <r>
    <n v="2019"/>
    <x v="11"/>
    <n v="19"/>
    <x v="18"/>
    <n v="0"/>
    <n v="28500"/>
    <n v="0"/>
  </r>
  <r>
    <n v="2019"/>
    <x v="11"/>
    <n v="19"/>
    <x v="19"/>
    <n v="0"/>
    <n v="28500"/>
    <n v="0"/>
  </r>
  <r>
    <n v="2019"/>
    <x v="11"/>
    <n v="19"/>
    <x v="20"/>
    <n v="0"/>
    <n v="28500"/>
    <n v="0"/>
  </r>
  <r>
    <n v="2019"/>
    <x v="11"/>
    <n v="19"/>
    <x v="21"/>
    <n v="0"/>
    <n v="28500"/>
    <n v="0"/>
  </r>
  <r>
    <n v="2019"/>
    <x v="11"/>
    <n v="19"/>
    <x v="22"/>
    <n v="0"/>
    <n v="28500"/>
    <n v="0"/>
  </r>
  <r>
    <n v="2019"/>
    <x v="11"/>
    <n v="19"/>
    <x v="23"/>
    <n v="0"/>
    <n v="28500"/>
    <n v="0"/>
  </r>
  <r>
    <n v="2019"/>
    <x v="11"/>
    <n v="20"/>
    <x v="0"/>
    <n v="0"/>
    <n v="28500"/>
    <n v="0"/>
  </r>
  <r>
    <n v="2019"/>
    <x v="11"/>
    <n v="20"/>
    <x v="1"/>
    <n v="0"/>
    <n v="28500"/>
    <n v="0"/>
  </r>
  <r>
    <n v="2019"/>
    <x v="11"/>
    <n v="20"/>
    <x v="2"/>
    <n v="0"/>
    <n v="28500"/>
    <n v="0"/>
  </r>
  <r>
    <n v="2019"/>
    <x v="11"/>
    <n v="20"/>
    <x v="3"/>
    <n v="0"/>
    <n v="28500"/>
    <n v="0"/>
  </r>
  <r>
    <n v="2019"/>
    <x v="11"/>
    <n v="20"/>
    <x v="4"/>
    <n v="0"/>
    <n v="28500"/>
    <n v="0"/>
  </r>
  <r>
    <n v="2019"/>
    <x v="11"/>
    <n v="20"/>
    <x v="5"/>
    <n v="0"/>
    <n v="28500"/>
    <n v="0"/>
  </r>
  <r>
    <n v="2019"/>
    <x v="11"/>
    <n v="20"/>
    <x v="6"/>
    <n v="0"/>
    <n v="28500"/>
    <n v="0"/>
  </r>
  <r>
    <n v="2019"/>
    <x v="11"/>
    <n v="20"/>
    <x v="7"/>
    <n v="0"/>
    <n v="28500"/>
    <n v="0"/>
  </r>
  <r>
    <n v="2019"/>
    <x v="11"/>
    <n v="20"/>
    <x v="8"/>
    <n v="0"/>
    <n v="28500"/>
    <n v="0"/>
  </r>
  <r>
    <n v="2019"/>
    <x v="11"/>
    <n v="20"/>
    <x v="9"/>
    <n v="95.5"/>
    <n v="28500"/>
    <n v="3.3508771929824563E-3"/>
  </r>
  <r>
    <n v="2019"/>
    <x v="11"/>
    <n v="20"/>
    <x v="10"/>
    <n v="804.5"/>
    <n v="28500"/>
    <n v="2.8228070175438595E-2"/>
  </r>
  <r>
    <n v="2019"/>
    <x v="11"/>
    <n v="20"/>
    <x v="11"/>
    <n v="4404.5"/>
    <n v="28500"/>
    <n v="0.15454385964912282"/>
  </r>
  <r>
    <n v="2019"/>
    <x v="11"/>
    <n v="20"/>
    <x v="12"/>
    <n v="577"/>
    <n v="28500"/>
    <n v="2.024561403508772E-2"/>
  </r>
  <r>
    <n v="2019"/>
    <x v="11"/>
    <n v="20"/>
    <x v="13"/>
    <n v="1012"/>
    <n v="28500"/>
    <n v="3.5508771929824559E-2"/>
  </r>
  <r>
    <n v="2019"/>
    <x v="11"/>
    <n v="20"/>
    <x v="14"/>
    <n v="15537"/>
    <n v="28500"/>
    <n v="0.54515789473684206"/>
  </r>
  <r>
    <n v="2019"/>
    <x v="11"/>
    <n v="20"/>
    <x v="15"/>
    <n v="7191"/>
    <n v="28500"/>
    <n v="0.25231578947368422"/>
  </r>
  <r>
    <n v="2019"/>
    <x v="11"/>
    <n v="20"/>
    <x v="16"/>
    <n v="0"/>
    <n v="28500"/>
    <n v="0"/>
  </r>
  <r>
    <n v="2019"/>
    <x v="11"/>
    <n v="20"/>
    <x v="17"/>
    <n v="0"/>
    <n v="28500"/>
    <n v="0"/>
  </r>
  <r>
    <n v="2019"/>
    <x v="11"/>
    <n v="20"/>
    <x v="18"/>
    <n v="0"/>
    <n v="28500"/>
    <n v="0"/>
  </r>
  <r>
    <n v="2019"/>
    <x v="11"/>
    <n v="20"/>
    <x v="19"/>
    <n v="0"/>
    <n v="28500"/>
    <n v="0"/>
  </r>
  <r>
    <n v="2019"/>
    <x v="11"/>
    <n v="20"/>
    <x v="20"/>
    <n v="0"/>
    <n v="28500"/>
    <n v="0"/>
  </r>
  <r>
    <n v="2019"/>
    <x v="11"/>
    <n v="20"/>
    <x v="21"/>
    <n v="0"/>
    <n v="28500"/>
    <n v="0"/>
  </r>
  <r>
    <n v="2019"/>
    <x v="11"/>
    <n v="20"/>
    <x v="22"/>
    <n v="0"/>
    <n v="28500"/>
    <n v="0"/>
  </r>
  <r>
    <n v="2019"/>
    <x v="11"/>
    <n v="20"/>
    <x v="23"/>
    <n v="0"/>
    <n v="28500"/>
    <n v="0"/>
  </r>
  <r>
    <n v="2019"/>
    <x v="11"/>
    <n v="21"/>
    <x v="0"/>
    <n v="0"/>
    <n v="28500"/>
    <n v="0"/>
  </r>
  <r>
    <n v="2019"/>
    <x v="11"/>
    <n v="21"/>
    <x v="1"/>
    <n v="0"/>
    <n v="28500"/>
    <n v="0"/>
  </r>
  <r>
    <n v="2019"/>
    <x v="11"/>
    <n v="21"/>
    <x v="2"/>
    <n v="0"/>
    <n v="28500"/>
    <n v="0"/>
  </r>
  <r>
    <n v="2019"/>
    <x v="11"/>
    <n v="21"/>
    <x v="3"/>
    <n v="0"/>
    <n v="28500"/>
    <n v="0"/>
  </r>
  <r>
    <n v="2019"/>
    <x v="11"/>
    <n v="21"/>
    <x v="4"/>
    <n v="0"/>
    <n v="28500"/>
    <n v="0"/>
  </r>
  <r>
    <n v="2019"/>
    <x v="11"/>
    <n v="21"/>
    <x v="5"/>
    <n v="0"/>
    <n v="28500"/>
    <n v="0"/>
  </r>
  <r>
    <n v="2019"/>
    <x v="11"/>
    <n v="21"/>
    <x v="6"/>
    <n v="0"/>
    <n v="28500"/>
    <n v="0"/>
  </r>
  <r>
    <n v="2019"/>
    <x v="11"/>
    <n v="21"/>
    <x v="7"/>
    <n v="0"/>
    <n v="28500"/>
    <n v="0"/>
  </r>
  <r>
    <n v="2019"/>
    <x v="11"/>
    <n v="21"/>
    <x v="8"/>
    <n v="0"/>
    <n v="28500"/>
    <n v="0"/>
  </r>
  <r>
    <n v="2019"/>
    <x v="11"/>
    <n v="21"/>
    <x v="9"/>
    <n v="33"/>
    <n v="28500"/>
    <n v="1.1578947368421054E-3"/>
  </r>
  <r>
    <n v="2019"/>
    <x v="11"/>
    <n v="21"/>
    <x v="10"/>
    <n v="25928.5"/>
    <n v="28500"/>
    <n v="0.90977192982456145"/>
  </r>
  <r>
    <n v="2019"/>
    <x v="11"/>
    <n v="21"/>
    <x v="11"/>
    <n v="17273.5"/>
    <n v="28500"/>
    <n v="0.60608771929824556"/>
  </r>
  <r>
    <n v="2019"/>
    <x v="11"/>
    <n v="21"/>
    <x v="12"/>
    <n v="19493"/>
    <n v="28500"/>
    <n v="0.68396491228070178"/>
  </r>
  <r>
    <n v="2019"/>
    <x v="11"/>
    <n v="21"/>
    <x v="13"/>
    <n v="3990"/>
    <n v="28500"/>
    <n v="0.14000000000000001"/>
  </r>
  <r>
    <n v="2019"/>
    <x v="11"/>
    <n v="21"/>
    <x v="14"/>
    <n v="169"/>
    <n v="28500"/>
    <n v="5.929824561403509E-3"/>
  </r>
  <r>
    <n v="2019"/>
    <x v="11"/>
    <n v="21"/>
    <x v="15"/>
    <n v="9844"/>
    <n v="28500"/>
    <n v="0.34540350877192982"/>
  </r>
  <r>
    <n v="2019"/>
    <x v="11"/>
    <n v="21"/>
    <x v="16"/>
    <n v="0"/>
    <n v="28500"/>
    <n v="0"/>
  </r>
  <r>
    <n v="2019"/>
    <x v="11"/>
    <n v="21"/>
    <x v="17"/>
    <n v="0"/>
    <n v="28500"/>
    <n v="0"/>
  </r>
  <r>
    <n v="2019"/>
    <x v="11"/>
    <n v="21"/>
    <x v="18"/>
    <n v="0"/>
    <n v="28500"/>
    <n v="0"/>
  </r>
  <r>
    <n v="2019"/>
    <x v="11"/>
    <n v="21"/>
    <x v="19"/>
    <n v="0"/>
    <n v="28500"/>
    <n v="0"/>
  </r>
  <r>
    <n v="2019"/>
    <x v="11"/>
    <n v="21"/>
    <x v="20"/>
    <n v="0"/>
    <n v="28500"/>
    <n v="0"/>
  </r>
  <r>
    <n v="2019"/>
    <x v="11"/>
    <n v="21"/>
    <x v="21"/>
    <n v="0"/>
    <n v="28500"/>
    <n v="0"/>
  </r>
  <r>
    <n v="2019"/>
    <x v="11"/>
    <n v="21"/>
    <x v="22"/>
    <n v="0"/>
    <n v="28500"/>
    <n v="0"/>
  </r>
  <r>
    <n v="2019"/>
    <x v="11"/>
    <n v="21"/>
    <x v="23"/>
    <n v="0"/>
    <n v="28500"/>
    <n v="0"/>
  </r>
  <r>
    <n v="2019"/>
    <x v="11"/>
    <n v="22"/>
    <x v="0"/>
    <n v="0"/>
    <n v="28500"/>
    <n v="0"/>
  </r>
  <r>
    <n v="2019"/>
    <x v="11"/>
    <n v="22"/>
    <x v="1"/>
    <n v="0"/>
    <n v="28500"/>
    <n v="0"/>
  </r>
  <r>
    <n v="2019"/>
    <x v="11"/>
    <n v="22"/>
    <x v="2"/>
    <n v="0"/>
    <n v="28500"/>
    <n v="0"/>
  </r>
  <r>
    <n v="2019"/>
    <x v="11"/>
    <n v="22"/>
    <x v="3"/>
    <n v="0"/>
    <n v="28500"/>
    <n v="0"/>
  </r>
  <r>
    <n v="2019"/>
    <x v="11"/>
    <n v="22"/>
    <x v="4"/>
    <n v="0"/>
    <n v="28500"/>
    <n v="0"/>
  </r>
  <r>
    <n v="2019"/>
    <x v="11"/>
    <n v="22"/>
    <x v="5"/>
    <n v="0"/>
    <n v="28500"/>
    <n v="0"/>
  </r>
  <r>
    <n v="2019"/>
    <x v="11"/>
    <n v="22"/>
    <x v="6"/>
    <n v="0"/>
    <n v="28500"/>
    <n v="0"/>
  </r>
  <r>
    <n v="2019"/>
    <x v="11"/>
    <n v="22"/>
    <x v="7"/>
    <n v="0"/>
    <n v="28500"/>
    <n v="0"/>
  </r>
  <r>
    <n v="2019"/>
    <x v="11"/>
    <n v="22"/>
    <x v="8"/>
    <n v="0"/>
    <n v="28500"/>
    <n v="0"/>
  </r>
  <r>
    <n v="2019"/>
    <x v="11"/>
    <n v="22"/>
    <x v="9"/>
    <n v="583.5"/>
    <n v="28500"/>
    <n v="2.0473684210526314E-2"/>
  </r>
  <r>
    <n v="2019"/>
    <x v="11"/>
    <n v="22"/>
    <x v="10"/>
    <n v="7583"/>
    <n v="28500"/>
    <n v="0.26607017543859651"/>
  </r>
  <r>
    <n v="2019"/>
    <x v="11"/>
    <n v="22"/>
    <x v="11"/>
    <n v="26326"/>
    <n v="28500"/>
    <n v="0.92371929824561405"/>
  </r>
  <r>
    <n v="2019"/>
    <x v="11"/>
    <n v="22"/>
    <x v="12"/>
    <n v="23977.5"/>
    <n v="28500"/>
    <n v="0.84131578947368424"/>
  </r>
  <r>
    <n v="2019"/>
    <x v="11"/>
    <n v="22"/>
    <x v="13"/>
    <n v="12976"/>
    <n v="28500"/>
    <n v="0.45529824561403509"/>
  </r>
  <r>
    <n v="2019"/>
    <x v="11"/>
    <n v="22"/>
    <x v="14"/>
    <n v="4442.5"/>
    <n v="28500"/>
    <n v="0.15587719298245614"/>
  </r>
  <r>
    <n v="2019"/>
    <x v="11"/>
    <n v="22"/>
    <x v="15"/>
    <n v="2080.5"/>
    <n v="28500"/>
    <n v="7.2999999999999995E-2"/>
  </r>
  <r>
    <n v="2019"/>
    <x v="11"/>
    <n v="22"/>
    <x v="16"/>
    <n v="0"/>
    <n v="28500"/>
    <n v="0"/>
  </r>
  <r>
    <n v="2019"/>
    <x v="11"/>
    <n v="22"/>
    <x v="17"/>
    <n v="0"/>
    <n v="28500"/>
    <n v="0"/>
  </r>
  <r>
    <n v="2019"/>
    <x v="11"/>
    <n v="22"/>
    <x v="18"/>
    <n v="0"/>
    <n v="28500"/>
    <n v="0"/>
  </r>
  <r>
    <n v="2019"/>
    <x v="11"/>
    <n v="22"/>
    <x v="19"/>
    <n v="0"/>
    <n v="28500"/>
    <n v="0"/>
  </r>
  <r>
    <n v="2019"/>
    <x v="11"/>
    <n v="22"/>
    <x v="20"/>
    <n v="0"/>
    <n v="28500"/>
    <n v="0"/>
  </r>
  <r>
    <n v="2019"/>
    <x v="11"/>
    <n v="22"/>
    <x v="21"/>
    <n v="0"/>
    <n v="28500"/>
    <n v="0"/>
  </r>
  <r>
    <n v="2019"/>
    <x v="11"/>
    <n v="22"/>
    <x v="22"/>
    <n v="0"/>
    <n v="28500"/>
    <n v="0"/>
  </r>
  <r>
    <n v="2019"/>
    <x v="11"/>
    <n v="22"/>
    <x v="23"/>
    <n v="0"/>
    <n v="28500"/>
    <n v="0"/>
  </r>
  <r>
    <n v="2019"/>
    <x v="11"/>
    <n v="23"/>
    <x v="0"/>
    <n v="0"/>
    <n v="28500"/>
    <n v="0"/>
  </r>
  <r>
    <n v="2019"/>
    <x v="11"/>
    <n v="23"/>
    <x v="1"/>
    <n v="0"/>
    <n v="28500"/>
    <n v="0"/>
  </r>
  <r>
    <n v="2019"/>
    <x v="11"/>
    <n v="23"/>
    <x v="2"/>
    <n v="0"/>
    <n v="28500"/>
    <n v="0"/>
  </r>
  <r>
    <n v="2019"/>
    <x v="11"/>
    <n v="23"/>
    <x v="3"/>
    <n v="0"/>
    <n v="28500"/>
    <n v="0"/>
  </r>
  <r>
    <n v="2019"/>
    <x v="11"/>
    <n v="23"/>
    <x v="4"/>
    <n v="0"/>
    <n v="28500"/>
    <n v="0"/>
  </r>
  <r>
    <n v="2019"/>
    <x v="11"/>
    <n v="23"/>
    <x v="5"/>
    <n v="0"/>
    <n v="28500"/>
    <n v="0"/>
  </r>
  <r>
    <n v="2019"/>
    <x v="11"/>
    <n v="23"/>
    <x v="6"/>
    <n v="0"/>
    <n v="28500"/>
    <n v="0"/>
  </r>
  <r>
    <n v="2019"/>
    <x v="11"/>
    <n v="23"/>
    <x v="7"/>
    <n v="0"/>
    <n v="28500"/>
    <n v="0"/>
  </r>
  <r>
    <n v="2019"/>
    <x v="11"/>
    <n v="23"/>
    <x v="8"/>
    <n v="0"/>
    <n v="28500"/>
    <n v="0"/>
  </r>
  <r>
    <n v="2019"/>
    <x v="11"/>
    <n v="23"/>
    <x v="9"/>
    <n v="13770.5"/>
    <n v="28500"/>
    <n v="0.4831754385964912"/>
  </r>
  <r>
    <n v="2019"/>
    <x v="11"/>
    <n v="23"/>
    <x v="10"/>
    <n v="23266"/>
    <n v="28500"/>
    <n v="0.81635087719298249"/>
  </r>
  <r>
    <n v="2019"/>
    <x v="11"/>
    <n v="23"/>
    <x v="11"/>
    <n v="28455.5"/>
    <n v="28500"/>
    <n v="0.99843859649122813"/>
  </r>
  <r>
    <n v="2019"/>
    <x v="11"/>
    <n v="23"/>
    <x v="12"/>
    <n v="27607.5"/>
    <n v="28500"/>
    <n v="0.96868421052631581"/>
  </r>
  <r>
    <n v="2019"/>
    <x v="11"/>
    <n v="23"/>
    <x v="13"/>
    <n v="20358.5"/>
    <n v="28500"/>
    <n v="0.71433333333333338"/>
  </r>
  <r>
    <n v="2019"/>
    <x v="11"/>
    <n v="23"/>
    <x v="14"/>
    <n v="8941.5"/>
    <n v="28500"/>
    <n v="0.31373684210526315"/>
  </r>
  <r>
    <n v="2019"/>
    <x v="11"/>
    <n v="23"/>
    <x v="15"/>
    <n v="10353.5"/>
    <n v="28500"/>
    <n v="0.36328070175438598"/>
  </r>
  <r>
    <n v="2019"/>
    <x v="11"/>
    <n v="23"/>
    <x v="16"/>
    <n v="0"/>
    <n v="28500"/>
    <n v="0"/>
  </r>
  <r>
    <n v="2019"/>
    <x v="11"/>
    <n v="23"/>
    <x v="17"/>
    <n v="0"/>
    <n v="28500"/>
    <n v="0"/>
  </r>
  <r>
    <n v="2019"/>
    <x v="11"/>
    <n v="23"/>
    <x v="18"/>
    <n v="0"/>
    <n v="28500"/>
    <n v="0"/>
  </r>
  <r>
    <n v="2019"/>
    <x v="11"/>
    <n v="23"/>
    <x v="19"/>
    <n v="0"/>
    <n v="28500"/>
    <n v="0"/>
  </r>
  <r>
    <n v="2019"/>
    <x v="11"/>
    <n v="23"/>
    <x v="20"/>
    <n v="0"/>
    <n v="28500"/>
    <n v="0"/>
  </r>
  <r>
    <n v="2019"/>
    <x v="11"/>
    <n v="23"/>
    <x v="21"/>
    <n v="0"/>
    <n v="28500"/>
    <n v="0"/>
  </r>
  <r>
    <n v="2019"/>
    <x v="11"/>
    <n v="23"/>
    <x v="22"/>
    <n v="0"/>
    <n v="28500"/>
    <n v="0"/>
  </r>
  <r>
    <n v="2019"/>
    <x v="11"/>
    <n v="23"/>
    <x v="23"/>
    <n v="0"/>
    <n v="28500"/>
    <n v="0"/>
  </r>
  <r>
    <n v="2019"/>
    <x v="11"/>
    <n v="24"/>
    <x v="0"/>
    <n v="0"/>
    <n v="28500"/>
    <n v="0"/>
  </r>
  <r>
    <n v="2019"/>
    <x v="11"/>
    <n v="24"/>
    <x v="1"/>
    <n v="0"/>
    <n v="28500"/>
    <n v="0"/>
  </r>
  <r>
    <n v="2019"/>
    <x v="11"/>
    <n v="24"/>
    <x v="2"/>
    <n v="0"/>
    <n v="28500"/>
    <n v="0"/>
  </r>
  <r>
    <n v="2019"/>
    <x v="11"/>
    <n v="24"/>
    <x v="3"/>
    <n v="0"/>
    <n v="28500"/>
    <n v="0"/>
  </r>
  <r>
    <n v="2019"/>
    <x v="11"/>
    <n v="24"/>
    <x v="4"/>
    <n v="0"/>
    <n v="28500"/>
    <n v="0"/>
  </r>
  <r>
    <n v="2019"/>
    <x v="11"/>
    <n v="24"/>
    <x v="5"/>
    <n v="0"/>
    <n v="28500"/>
    <n v="0"/>
  </r>
  <r>
    <n v="2019"/>
    <x v="11"/>
    <n v="24"/>
    <x v="6"/>
    <n v="0"/>
    <n v="28500"/>
    <n v="0"/>
  </r>
  <r>
    <n v="2019"/>
    <x v="11"/>
    <n v="24"/>
    <x v="7"/>
    <n v="0"/>
    <n v="28500"/>
    <n v="0"/>
  </r>
  <r>
    <n v="2019"/>
    <x v="11"/>
    <n v="24"/>
    <x v="8"/>
    <n v="0"/>
    <n v="28500"/>
    <n v="0"/>
  </r>
  <r>
    <n v="2019"/>
    <x v="11"/>
    <n v="24"/>
    <x v="9"/>
    <n v="10998"/>
    <n v="28500"/>
    <n v="0.38589473684210529"/>
  </r>
  <r>
    <n v="2019"/>
    <x v="11"/>
    <n v="24"/>
    <x v="10"/>
    <n v="2397"/>
    <n v="28500"/>
    <n v="8.4105263157894739E-2"/>
  </r>
  <r>
    <n v="2019"/>
    <x v="11"/>
    <n v="24"/>
    <x v="11"/>
    <n v="25926.5"/>
    <n v="28500"/>
    <n v="0.9097017543859649"/>
  </r>
  <r>
    <n v="2019"/>
    <x v="11"/>
    <n v="24"/>
    <x v="12"/>
    <n v="13326.5"/>
    <n v="28500"/>
    <n v="0.46759649122807018"/>
  </r>
  <r>
    <n v="2019"/>
    <x v="11"/>
    <n v="24"/>
    <x v="13"/>
    <n v="17458.5"/>
    <n v="28500"/>
    <n v="0.612578947368421"/>
  </r>
  <r>
    <n v="2019"/>
    <x v="11"/>
    <n v="24"/>
    <x v="14"/>
    <n v="2536"/>
    <n v="28500"/>
    <n v="8.8982456140350871E-2"/>
  </r>
  <r>
    <n v="2019"/>
    <x v="11"/>
    <n v="24"/>
    <x v="15"/>
    <n v="5921"/>
    <n v="28500"/>
    <n v="0.20775438596491227"/>
  </r>
  <r>
    <n v="2019"/>
    <x v="11"/>
    <n v="24"/>
    <x v="16"/>
    <n v="0"/>
    <n v="28500"/>
    <n v="0"/>
  </r>
  <r>
    <n v="2019"/>
    <x v="11"/>
    <n v="24"/>
    <x v="17"/>
    <n v="0"/>
    <n v="28500"/>
    <n v="0"/>
  </r>
  <r>
    <n v="2019"/>
    <x v="11"/>
    <n v="24"/>
    <x v="18"/>
    <n v="0"/>
    <n v="28500"/>
    <n v="0"/>
  </r>
  <r>
    <n v="2019"/>
    <x v="11"/>
    <n v="24"/>
    <x v="19"/>
    <n v="0"/>
    <n v="28500"/>
    <n v="0"/>
  </r>
  <r>
    <n v="2019"/>
    <x v="11"/>
    <n v="24"/>
    <x v="20"/>
    <n v="0"/>
    <n v="28500"/>
    <n v="0"/>
  </r>
  <r>
    <n v="2019"/>
    <x v="11"/>
    <n v="24"/>
    <x v="21"/>
    <n v="0"/>
    <n v="28500"/>
    <n v="0"/>
  </r>
  <r>
    <n v="2019"/>
    <x v="11"/>
    <n v="24"/>
    <x v="22"/>
    <n v="0"/>
    <n v="28500"/>
    <n v="0"/>
  </r>
  <r>
    <n v="2019"/>
    <x v="11"/>
    <n v="24"/>
    <x v="23"/>
    <n v="0"/>
    <n v="28500"/>
    <n v="0"/>
  </r>
  <r>
    <n v="2019"/>
    <x v="11"/>
    <n v="25"/>
    <x v="0"/>
    <n v="0"/>
    <n v="28500"/>
    <n v="0"/>
  </r>
  <r>
    <n v="2019"/>
    <x v="11"/>
    <n v="25"/>
    <x v="1"/>
    <n v="0"/>
    <n v="28500"/>
    <n v="0"/>
  </r>
  <r>
    <n v="2019"/>
    <x v="11"/>
    <n v="25"/>
    <x v="2"/>
    <n v="0"/>
    <n v="28500"/>
    <n v="0"/>
  </r>
  <r>
    <n v="2019"/>
    <x v="11"/>
    <n v="25"/>
    <x v="3"/>
    <n v="0"/>
    <n v="28500"/>
    <n v="0"/>
  </r>
  <r>
    <n v="2019"/>
    <x v="11"/>
    <n v="25"/>
    <x v="4"/>
    <n v="0"/>
    <n v="28500"/>
    <n v="0"/>
  </r>
  <r>
    <n v="2019"/>
    <x v="11"/>
    <n v="25"/>
    <x v="5"/>
    <n v="0"/>
    <n v="28500"/>
    <n v="0"/>
  </r>
  <r>
    <n v="2019"/>
    <x v="11"/>
    <n v="25"/>
    <x v="6"/>
    <n v="0"/>
    <n v="28500"/>
    <n v="0"/>
  </r>
  <r>
    <n v="2019"/>
    <x v="11"/>
    <n v="25"/>
    <x v="7"/>
    <n v="0"/>
    <n v="28500"/>
    <n v="0"/>
  </r>
  <r>
    <n v="2019"/>
    <x v="11"/>
    <n v="25"/>
    <x v="8"/>
    <n v="0"/>
    <n v="28500"/>
    <n v="0"/>
  </r>
  <r>
    <n v="2019"/>
    <x v="11"/>
    <n v="25"/>
    <x v="9"/>
    <n v="13283.5"/>
    <n v="28500"/>
    <n v="0.46608771929824561"/>
  </r>
  <r>
    <n v="2019"/>
    <x v="11"/>
    <n v="25"/>
    <x v="10"/>
    <n v="22186.5"/>
    <n v="28500"/>
    <n v="0.77847368421052632"/>
  </r>
  <r>
    <n v="2019"/>
    <x v="11"/>
    <n v="25"/>
    <x v="11"/>
    <n v="28171.5"/>
    <n v="28500"/>
    <n v="0.98847368421052628"/>
  </r>
  <r>
    <n v="2019"/>
    <x v="11"/>
    <n v="25"/>
    <x v="12"/>
    <n v="28970.5"/>
    <n v="28500"/>
    <n v="1.0165087719298245"/>
  </r>
  <r>
    <n v="2019"/>
    <x v="11"/>
    <n v="25"/>
    <x v="13"/>
    <n v="25106.5"/>
    <n v="28500"/>
    <n v="0.88092982456140356"/>
  </r>
  <r>
    <n v="2019"/>
    <x v="11"/>
    <n v="25"/>
    <x v="14"/>
    <n v="19354.5"/>
    <n v="28500"/>
    <n v="0.67910526315789477"/>
  </r>
  <r>
    <n v="2019"/>
    <x v="11"/>
    <n v="25"/>
    <x v="15"/>
    <n v="8600.5"/>
    <n v="28500"/>
    <n v="0.30177192982456141"/>
  </r>
  <r>
    <n v="2019"/>
    <x v="11"/>
    <n v="25"/>
    <x v="16"/>
    <n v="0"/>
    <n v="28500"/>
    <n v="0"/>
  </r>
  <r>
    <n v="2019"/>
    <x v="11"/>
    <n v="25"/>
    <x v="17"/>
    <n v="0"/>
    <n v="28500"/>
    <n v="0"/>
  </r>
  <r>
    <n v="2019"/>
    <x v="11"/>
    <n v="25"/>
    <x v="18"/>
    <n v="0"/>
    <n v="28500"/>
    <n v="0"/>
  </r>
  <r>
    <n v="2019"/>
    <x v="11"/>
    <n v="25"/>
    <x v="19"/>
    <n v="0"/>
    <n v="28500"/>
    <n v="0"/>
  </r>
  <r>
    <n v="2019"/>
    <x v="11"/>
    <n v="25"/>
    <x v="20"/>
    <n v="0"/>
    <n v="28500"/>
    <n v="0"/>
  </r>
  <r>
    <n v="2019"/>
    <x v="11"/>
    <n v="25"/>
    <x v="21"/>
    <n v="0"/>
    <n v="28500"/>
    <n v="0"/>
  </r>
  <r>
    <n v="2019"/>
    <x v="11"/>
    <n v="25"/>
    <x v="22"/>
    <n v="0"/>
    <n v="28500"/>
    <n v="0"/>
  </r>
  <r>
    <n v="2019"/>
    <x v="11"/>
    <n v="25"/>
    <x v="23"/>
    <n v="0"/>
    <n v="28500"/>
    <n v="0"/>
  </r>
  <r>
    <n v="2019"/>
    <x v="11"/>
    <n v="26"/>
    <x v="0"/>
    <n v="0"/>
    <n v="28500"/>
    <n v="0"/>
  </r>
  <r>
    <n v="2019"/>
    <x v="11"/>
    <n v="26"/>
    <x v="1"/>
    <n v="0"/>
    <n v="28500"/>
    <n v="0"/>
  </r>
  <r>
    <n v="2019"/>
    <x v="11"/>
    <n v="26"/>
    <x v="2"/>
    <n v="0"/>
    <n v="28500"/>
    <n v="0"/>
  </r>
  <r>
    <n v="2019"/>
    <x v="11"/>
    <n v="26"/>
    <x v="3"/>
    <n v="0"/>
    <n v="28500"/>
    <n v="0"/>
  </r>
  <r>
    <n v="2019"/>
    <x v="11"/>
    <n v="26"/>
    <x v="4"/>
    <n v="0"/>
    <n v="28500"/>
    <n v="0"/>
  </r>
  <r>
    <n v="2019"/>
    <x v="11"/>
    <n v="26"/>
    <x v="5"/>
    <n v="0"/>
    <n v="28500"/>
    <n v="0"/>
  </r>
  <r>
    <n v="2019"/>
    <x v="11"/>
    <n v="26"/>
    <x v="6"/>
    <n v="0"/>
    <n v="28500"/>
    <n v="0"/>
  </r>
  <r>
    <n v="2019"/>
    <x v="11"/>
    <n v="26"/>
    <x v="7"/>
    <n v="0"/>
    <n v="28500"/>
    <n v="0"/>
  </r>
  <r>
    <n v="2019"/>
    <x v="11"/>
    <n v="26"/>
    <x v="8"/>
    <n v="0"/>
    <n v="28500"/>
    <n v="0"/>
  </r>
  <r>
    <n v="2019"/>
    <x v="11"/>
    <n v="26"/>
    <x v="9"/>
    <n v="4184.5"/>
    <n v="28500"/>
    <n v="0.14682456140350877"/>
  </r>
  <r>
    <n v="2019"/>
    <x v="11"/>
    <n v="26"/>
    <x v="10"/>
    <n v="4075.5"/>
    <n v="28500"/>
    <n v="0.14299999999999999"/>
  </r>
  <r>
    <n v="2019"/>
    <x v="11"/>
    <n v="26"/>
    <x v="11"/>
    <n v="6715"/>
    <n v="28500"/>
    <n v="0.2356140350877193"/>
  </r>
  <r>
    <n v="2019"/>
    <x v="11"/>
    <n v="26"/>
    <x v="12"/>
    <n v="10102.5"/>
    <n v="28500"/>
    <n v="0.35447368421052633"/>
  </r>
  <r>
    <n v="2019"/>
    <x v="11"/>
    <n v="26"/>
    <x v="13"/>
    <n v="1043.5"/>
    <n v="28500"/>
    <n v="3.66140350877193E-2"/>
  </r>
  <r>
    <n v="2019"/>
    <x v="11"/>
    <n v="26"/>
    <x v="14"/>
    <n v="1076.5"/>
    <n v="28500"/>
    <n v="3.7771929824561401E-2"/>
  </r>
  <r>
    <n v="2019"/>
    <x v="11"/>
    <n v="26"/>
    <x v="15"/>
    <n v="596"/>
    <n v="28500"/>
    <n v="2.0912280701754386E-2"/>
  </r>
  <r>
    <n v="2019"/>
    <x v="11"/>
    <n v="26"/>
    <x v="16"/>
    <n v="0"/>
    <n v="28500"/>
    <n v="0"/>
  </r>
  <r>
    <n v="2019"/>
    <x v="11"/>
    <n v="26"/>
    <x v="17"/>
    <n v="0"/>
    <n v="28500"/>
    <n v="0"/>
  </r>
  <r>
    <n v="2019"/>
    <x v="11"/>
    <n v="26"/>
    <x v="18"/>
    <n v="0"/>
    <n v="28500"/>
    <n v="0"/>
  </r>
  <r>
    <n v="2019"/>
    <x v="11"/>
    <n v="26"/>
    <x v="19"/>
    <n v="0"/>
    <n v="28500"/>
    <n v="0"/>
  </r>
  <r>
    <n v="2019"/>
    <x v="11"/>
    <n v="26"/>
    <x v="20"/>
    <n v="0"/>
    <n v="28500"/>
    <n v="0"/>
  </r>
  <r>
    <n v="2019"/>
    <x v="11"/>
    <n v="26"/>
    <x v="21"/>
    <n v="0"/>
    <n v="28500"/>
    <n v="0"/>
  </r>
  <r>
    <n v="2019"/>
    <x v="11"/>
    <n v="26"/>
    <x v="22"/>
    <n v="0"/>
    <n v="28500"/>
    <n v="0"/>
  </r>
  <r>
    <n v="2019"/>
    <x v="11"/>
    <n v="26"/>
    <x v="23"/>
    <n v="0"/>
    <n v="28500"/>
    <n v="0"/>
  </r>
  <r>
    <n v="2019"/>
    <x v="11"/>
    <n v="27"/>
    <x v="0"/>
    <n v="0"/>
    <n v="28500"/>
    <n v="0"/>
  </r>
  <r>
    <n v="2019"/>
    <x v="11"/>
    <n v="27"/>
    <x v="1"/>
    <n v="0"/>
    <n v="28500"/>
    <n v="0"/>
  </r>
  <r>
    <n v="2019"/>
    <x v="11"/>
    <n v="27"/>
    <x v="2"/>
    <n v="0"/>
    <n v="28500"/>
    <n v="0"/>
  </r>
  <r>
    <n v="2019"/>
    <x v="11"/>
    <n v="27"/>
    <x v="3"/>
    <n v="0"/>
    <n v="28500"/>
    <n v="0"/>
  </r>
  <r>
    <n v="2019"/>
    <x v="11"/>
    <n v="27"/>
    <x v="4"/>
    <n v="0"/>
    <n v="28500"/>
    <n v="0"/>
  </r>
  <r>
    <n v="2019"/>
    <x v="11"/>
    <n v="27"/>
    <x v="5"/>
    <n v="0"/>
    <n v="28500"/>
    <n v="0"/>
  </r>
  <r>
    <n v="2019"/>
    <x v="11"/>
    <n v="27"/>
    <x v="6"/>
    <n v="0"/>
    <n v="28500"/>
    <n v="0"/>
  </r>
  <r>
    <n v="2019"/>
    <x v="11"/>
    <n v="27"/>
    <x v="7"/>
    <n v="0"/>
    <n v="28500"/>
    <n v="0"/>
  </r>
  <r>
    <n v="2019"/>
    <x v="11"/>
    <n v="27"/>
    <x v="8"/>
    <n v="0"/>
    <n v="28500"/>
    <n v="0"/>
  </r>
  <r>
    <n v="2019"/>
    <x v="11"/>
    <n v="27"/>
    <x v="9"/>
    <n v="552.5"/>
    <n v="28500"/>
    <n v="1.9385964912280701E-2"/>
  </r>
  <r>
    <n v="2019"/>
    <x v="11"/>
    <n v="27"/>
    <x v="10"/>
    <n v="8524"/>
    <n v="28500"/>
    <n v="0.29908771929824562"/>
  </r>
  <r>
    <n v="2019"/>
    <x v="11"/>
    <n v="27"/>
    <x v="11"/>
    <n v="19509"/>
    <n v="28500"/>
    <n v="0.68452631578947365"/>
  </r>
  <r>
    <n v="2019"/>
    <x v="11"/>
    <n v="27"/>
    <x v="12"/>
    <n v="21105"/>
    <n v="28500"/>
    <n v="0.7405263157894737"/>
  </r>
  <r>
    <n v="2019"/>
    <x v="11"/>
    <n v="27"/>
    <x v="13"/>
    <n v="11090"/>
    <n v="28500"/>
    <n v="0.38912280701754387"/>
  </r>
  <r>
    <n v="2019"/>
    <x v="11"/>
    <n v="27"/>
    <x v="14"/>
    <n v="2323"/>
    <n v="28500"/>
    <n v="8.1508771929824558E-2"/>
  </r>
  <r>
    <n v="2019"/>
    <x v="11"/>
    <n v="27"/>
    <x v="15"/>
    <n v="1365"/>
    <n v="28500"/>
    <n v="4.7894736842105261E-2"/>
  </r>
  <r>
    <n v="2019"/>
    <x v="11"/>
    <n v="27"/>
    <x v="16"/>
    <n v="0"/>
    <n v="28500"/>
    <n v="0"/>
  </r>
  <r>
    <n v="2019"/>
    <x v="11"/>
    <n v="27"/>
    <x v="17"/>
    <n v="0"/>
    <n v="28500"/>
    <n v="0"/>
  </r>
  <r>
    <n v="2019"/>
    <x v="11"/>
    <n v="27"/>
    <x v="18"/>
    <n v="0"/>
    <n v="28500"/>
    <n v="0"/>
  </r>
  <r>
    <n v="2019"/>
    <x v="11"/>
    <n v="27"/>
    <x v="19"/>
    <n v="0"/>
    <n v="28500"/>
    <n v="0"/>
  </r>
  <r>
    <n v="2019"/>
    <x v="11"/>
    <n v="27"/>
    <x v="20"/>
    <n v="0"/>
    <n v="28500"/>
    <n v="0"/>
  </r>
  <r>
    <n v="2019"/>
    <x v="11"/>
    <n v="27"/>
    <x v="21"/>
    <n v="0"/>
    <n v="28500"/>
    <n v="0"/>
  </r>
  <r>
    <n v="2019"/>
    <x v="11"/>
    <n v="27"/>
    <x v="22"/>
    <n v="0"/>
    <n v="28500"/>
    <n v="0"/>
  </r>
  <r>
    <n v="2019"/>
    <x v="11"/>
    <n v="27"/>
    <x v="23"/>
    <n v="0"/>
    <n v="28500"/>
    <n v="0"/>
  </r>
  <r>
    <n v="2019"/>
    <x v="11"/>
    <n v="28"/>
    <x v="0"/>
    <n v="0"/>
    <n v="28500"/>
    <n v="0"/>
  </r>
  <r>
    <n v="2019"/>
    <x v="11"/>
    <n v="28"/>
    <x v="1"/>
    <n v="0"/>
    <n v="28500"/>
    <n v="0"/>
  </r>
  <r>
    <n v="2019"/>
    <x v="11"/>
    <n v="28"/>
    <x v="2"/>
    <n v="0"/>
    <n v="28500"/>
    <n v="0"/>
  </r>
  <r>
    <n v="2019"/>
    <x v="11"/>
    <n v="28"/>
    <x v="3"/>
    <n v="0"/>
    <n v="28500"/>
    <n v="0"/>
  </r>
  <r>
    <n v="2019"/>
    <x v="11"/>
    <n v="28"/>
    <x v="4"/>
    <n v="0"/>
    <n v="28500"/>
    <n v="0"/>
  </r>
  <r>
    <n v="2019"/>
    <x v="11"/>
    <n v="28"/>
    <x v="5"/>
    <n v="0"/>
    <n v="28500"/>
    <n v="0"/>
  </r>
  <r>
    <n v="2019"/>
    <x v="11"/>
    <n v="28"/>
    <x v="6"/>
    <n v="0"/>
    <n v="28500"/>
    <n v="0"/>
  </r>
  <r>
    <n v="2019"/>
    <x v="11"/>
    <n v="28"/>
    <x v="7"/>
    <n v="0"/>
    <n v="28500"/>
    <n v="0"/>
  </r>
  <r>
    <n v="2019"/>
    <x v="11"/>
    <n v="28"/>
    <x v="8"/>
    <n v="0"/>
    <n v="28500"/>
    <n v="0"/>
  </r>
  <r>
    <n v="2019"/>
    <x v="11"/>
    <n v="28"/>
    <x v="9"/>
    <n v="1052"/>
    <n v="28500"/>
    <n v="3.6912280701754389E-2"/>
  </r>
  <r>
    <n v="2019"/>
    <x v="11"/>
    <n v="28"/>
    <x v="10"/>
    <n v="810.5"/>
    <n v="28500"/>
    <n v="2.8438596491228069E-2"/>
  </r>
  <r>
    <n v="2019"/>
    <x v="11"/>
    <n v="28"/>
    <x v="11"/>
    <n v="1544.5"/>
    <n v="28500"/>
    <n v="5.4192982456140348E-2"/>
  </r>
  <r>
    <n v="2019"/>
    <x v="11"/>
    <n v="28"/>
    <x v="12"/>
    <n v="1182.5"/>
    <n v="28500"/>
    <n v="4.149122807017544E-2"/>
  </r>
  <r>
    <n v="2019"/>
    <x v="11"/>
    <n v="28"/>
    <x v="13"/>
    <n v="973"/>
    <n v="28500"/>
    <n v="3.4140350877192985E-2"/>
  </r>
  <r>
    <n v="2019"/>
    <x v="11"/>
    <n v="28"/>
    <x v="14"/>
    <n v="391"/>
    <n v="28500"/>
    <n v="1.3719298245614036E-2"/>
  </r>
  <r>
    <n v="2019"/>
    <x v="11"/>
    <n v="28"/>
    <x v="15"/>
    <n v="276"/>
    <n v="28500"/>
    <n v="9.6842105263157899E-3"/>
  </r>
  <r>
    <n v="2019"/>
    <x v="11"/>
    <n v="28"/>
    <x v="16"/>
    <n v="0"/>
    <n v="28500"/>
    <n v="0"/>
  </r>
  <r>
    <n v="2019"/>
    <x v="11"/>
    <n v="28"/>
    <x v="17"/>
    <n v="0"/>
    <n v="28500"/>
    <n v="0"/>
  </r>
  <r>
    <n v="2019"/>
    <x v="11"/>
    <n v="28"/>
    <x v="18"/>
    <n v="0"/>
    <n v="28500"/>
    <n v="0"/>
  </r>
  <r>
    <n v="2019"/>
    <x v="11"/>
    <n v="28"/>
    <x v="19"/>
    <n v="0"/>
    <n v="28500"/>
    <n v="0"/>
  </r>
  <r>
    <n v="2019"/>
    <x v="11"/>
    <n v="28"/>
    <x v="20"/>
    <n v="0"/>
    <n v="28500"/>
    <n v="0"/>
  </r>
  <r>
    <n v="2019"/>
    <x v="11"/>
    <n v="28"/>
    <x v="21"/>
    <n v="0"/>
    <n v="28500"/>
    <n v="0"/>
  </r>
  <r>
    <n v="2019"/>
    <x v="11"/>
    <n v="28"/>
    <x v="22"/>
    <n v="0"/>
    <n v="28500"/>
    <n v="0"/>
  </r>
  <r>
    <n v="2019"/>
    <x v="11"/>
    <n v="28"/>
    <x v="23"/>
    <n v="0"/>
    <n v="28500"/>
    <n v="0"/>
  </r>
  <r>
    <n v="2019"/>
    <x v="11"/>
    <n v="29"/>
    <x v="0"/>
    <n v="0"/>
    <n v="28500"/>
    <n v="0"/>
  </r>
  <r>
    <n v="2019"/>
    <x v="11"/>
    <n v="29"/>
    <x v="1"/>
    <n v="0"/>
    <n v="28500"/>
    <n v="0"/>
  </r>
  <r>
    <n v="2019"/>
    <x v="11"/>
    <n v="29"/>
    <x v="2"/>
    <n v="0"/>
    <n v="28500"/>
    <n v="0"/>
  </r>
  <r>
    <n v="2019"/>
    <x v="11"/>
    <n v="29"/>
    <x v="3"/>
    <n v="0"/>
    <n v="28500"/>
    <n v="0"/>
  </r>
  <r>
    <n v="2019"/>
    <x v="11"/>
    <n v="29"/>
    <x v="4"/>
    <n v="0"/>
    <n v="28500"/>
    <n v="0"/>
  </r>
  <r>
    <n v="2019"/>
    <x v="11"/>
    <n v="29"/>
    <x v="5"/>
    <n v="0"/>
    <n v="28500"/>
    <n v="0"/>
  </r>
  <r>
    <n v="2019"/>
    <x v="11"/>
    <n v="29"/>
    <x v="6"/>
    <n v="0"/>
    <n v="28500"/>
    <n v="0"/>
  </r>
  <r>
    <n v="2019"/>
    <x v="11"/>
    <n v="29"/>
    <x v="7"/>
    <n v="0"/>
    <n v="28500"/>
    <n v="0"/>
  </r>
  <r>
    <n v="2019"/>
    <x v="11"/>
    <n v="29"/>
    <x v="8"/>
    <n v="0"/>
    <n v="28500"/>
    <n v="0"/>
  </r>
  <r>
    <n v="2019"/>
    <x v="11"/>
    <n v="29"/>
    <x v="9"/>
    <n v="281"/>
    <n v="28500"/>
    <n v="9.8596491228070179E-3"/>
  </r>
  <r>
    <n v="2019"/>
    <x v="11"/>
    <n v="29"/>
    <x v="10"/>
    <n v="4289"/>
    <n v="28500"/>
    <n v="0.15049122807017543"/>
  </r>
  <r>
    <n v="2019"/>
    <x v="11"/>
    <n v="29"/>
    <x v="11"/>
    <n v="13612.5"/>
    <n v="28500"/>
    <n v="0.47763157894736841"/>
  </r>
  <r>
    <n v="2019"/>
    <x v="11"/>
    <n v="29"/>
    <x v="12"/>
    <n v="20141.5"/>
    <n v="28500"/>
    <n v="0.70671929824561408"/>
  </r>
  <r>
    <n v="2019"/>
    <x v="11"/>
    <n v="29"/>
    <x v="13"/>
    <n v="26914.5"/>
    <n v="28500"/>
    <n v="0.94436842105263152"/>
  </r>
  <r>
    <n v="2019"/>
    <x v="11"/>
    <n v="29"/>
    <x v="14"/>
    <n v="16431.5"/>
    <n v="28500"/>
    <n v="0.5765438596491228"/>
  </r>
  <r>
    <n v="2019"/>
    <x v="11"/>
    <n v="29"/>
    <x v="15"/>
    <n v="8285"/>
    <n v="28500"/>
    <n v="0.29070175438596491"/>
  </r>
  <r>
    <n v="2019"/>
    <x v="11"/>
    <n v="29"/>
    <x v="16"/>
    <n v="0"/>
    <n v="28500"/>
    <n v="0"/>
  </r>
  <r>
    <n v="2019"/>
    <x v="11"/>
    <n v="29"/>
    <x v="17"/>
    <n v="0"/>
    <n v="28500"/>
    <n v="0"/>
  </r>
  <r>
    <n v="2019"/>
    <x v="11"/>
    <n v="29"/>
    <x v="18"/>
    <n v="0"/>
    <n v="28500"/>
    <n v="0"/>
  </r>
  <r>
    <n v="2019"/>
    <x v="11"/>
    <n v="29"/>
    <x v="19"/>
    <n v="0"/>
    <n v="28500"/>
    <n v="0"/>
  </r>
  <r>
    <n v="2019"/>
    <x v="11"/>
    <n v="29"/>
    <x v="20"/>
    <n v="0"/>
    <n v="28500"/>
    <n v="0"/>
  </r>
  <r>
    <n v="2019"/>
    <x v="11"/>
    <n v="29"/>
    <x v="21"/>
    <n v="0"/>
    <n v="28500"/>
    <n v="0"/>
  </r>
  <r>
    <n v="2019"/>
    <x v="11"/>
    <n v="29"/>
    <x v="22"/>
    <n v="0"/>
    <n v="28500"/>
    <n v="0"/>
  </r>
  <r>
    <n v="2019"/>
    <x v="11"/>
    <n v="29"/>
    <x v="23"/>
    <n v="0"/>
    <n v="28500"/>
    <n v="0"/>
  </r>
  <r>
    <n v="2019"/>
    <x v="11"/>
    <n v="30"/>
    <x v="0"/>
    <n v="0"/>
    <n v="28500"/>
    <n v="0"/>
  </r>
  <r>
    <n v="2019"/>
    <x v="11"/>
    <n v="30"/>
    <x v="1"/>
    <n v="0"/>
    <n v="28500"/>
    <n v="0"/>
  </r>
  <r>
    <n v="2019"/>
    <x v="11"/>
    <n v="30"/>
    <x v="2"/>
    <n v="0"/>
    <n v="28500"/>
    <n v="0"/>
  </r>
  <r>
    <n v="2019"/>
    <x v="11"/>
    <n v="30"/>
    <x v="3"/>
    <n v="0"/>
    <n v="28500"/>
    <n v="0"/>
  </r>
  <r>
    <n v="2019"/>
    <x v="11"/>
    <n v="30"/>
    <x v="4"/>
    <n v="0"/>
    <n v="28500"/>
    <n v="0"/>
  </r>
  <r>
    <n v="2019"/>
    <x v="11"/>
    <n v="30"/>
    <x v="5"/>
    <n v="0"/>
    <n v="28500"/>
    <n v="0"/>
  </r>
  <r>
    <n v="2019"/>
    <x v="11"/>
    <n v="30"/>
    <x v="6"/>
    <n v="0"/>
    <n v="28500"/>
    <n v="0"/>
  </r>
  <r>
    <n v="2019"/>
    <x v="11"/>
    <n v="30"/>
    <x v="7"/>
    <n v="0"/>
    <n v="28500"/>
    <n v="0"/>
  </r>
  <r>
    <n v="2019"/>
    <x v="11"/>
    <n v="30"/>
    <x v="8"/>
    <n v="0"/>
    <n v="28500"/>
    <n v="0"/>
  </r>
  <r>
    <n v="2019"/>
    <x v="11"/>
    <n v="30"/>
    <x v="9"/>
    <n v="11842.5"/>
    <n v="28500"/>
    <n v="0.41552631578947369"/>
  </r>
  <r>
    <n v="2019"/>
    <x v="11"/>
    <n v="30"/>
    <x v="10"/>
    <n v="22121.5"/>
    <n v="28500"/>
    <n v="0.77619298245614032"/>
  </r>
  <r>
    <n v="2019"/>
    <x v="11"/>
    <n v="30"/>
    <x v="11"/>
    <n v="28095.5"/>
    <n v="28500"/>
    <n v="0.98580701754385969"/>
  </r>
  <r>
    <n v="2019"/>
    <x v="11"/>
    <n v="30"/>
    <x v="12"/>
    <n v="29760.5"/>
    <n v="28500"/>
    <n v="1.0442280701754385"/>
  </r>
  <r>
    <n v="2019"/>
    <x v="11"/>
    <n v="30"/>
    <x v="13"/>
    <n v="26950.5"/>
    <n v="28500"/>
    <n v="0.94563157894736838"/>
  </r>
  <r>
    <n v="2019"/>
    <x v="11"/>
    <n v="30"/>
    <x v="14"/>
    <n v="20267"/>
    <n v="28500"/>
    <n v="0.71112280701754382"/>
  </r>
  <r>
    <n v="2019"/>
    <x v="11"/>
    <n v="30"/>
    <x v="15"/>
    <n v="9429"/>
    <n v="28500"/>
    <n v="0.33084210526315788"/>
  </r>
  <r>
    <n v="2019"/>
    <x v="11"/>
    <n v="30"/>
    <x v="16"/>
    <n v="0"/>
    <n v="28500"/>
    <n v="0"/>
  </r>
  <r>
    <n v="2019"/>
    <x v="11"/>
    <n v="30"/>
    <x v="17"/>
    <n v="0"/>
    <n v="28500"/>
    <n v="0"/>
  </r>
  <r>
    <n v="2019"/>
    <x v="11"/>
    <n v="30"/>
    <x v="18"/>
    <n v="0"/>
    <n v="28500"/>
    <n v="0"/>
  </r>
  <r>
    <n v="2019"/>
    <x v="11"/>
    <n v="30"/>
    <x v="19"/>
    <n v="0"/>
    <n v="28500"/>
    <n v="0"/>
  </r>
  <r>
    <n v="2019"/>
    <x v="11"/>
    <n v="30"/>
    <x v="20"/>
    <n v="0"/>
    <n v="28500"/>
    <n v="0"/>
  </r>
  <r>
    <n v="2019"/>
    <x v="11"/>
    <n v="30"/>
    <x v="21"/>
    <n v="0"/>
    <n v="28500"/>
    <n v="0"/>
  </r>
  <r>
    <n v="2019"/>
    <x v="11"/>
    <n v="30"/>
    <x v="22"/>
    <n v="0"/>
    <n v="28500"/>
    <n v="0"/>
  </r>
  <r>
    <n v="2019"/>
    <x v="11"/>
    <n v="30"/>
    <x v="23"/>
    <n v="0"/>
    <n v="28500"/>
    <n v="0"/>
  </r>
  <r>
    <n v="2019"/>
    <x v="11"/>
    <n v="31"/>
    <x v="0"/>
    <n v="0"/>
    <n v="28500"/>
    <n v="0"/>
  </r>
  <r>
    <n v="2019"/>
    <x v="11"/>
    <n v="31"/>
    <x v="1"/>
    <n v="0"/>
    <n v="28500"/>
    <n v="0"/>
  </r>
  <r>
    <n v="2019"/>
    <x v="11"/>
    <n v="31"/>
    <x v="2"/>
    <n v="0"/>
    <n v="28500"/>
    <n v="0"/>
  </r>
  <r>
    <n v="2019"/>
    <x v="11"/>
    <n v="31"/>
    <x v="3"/>
    <n v="0"/>
    <n v="28500"/>
    <n v="0"/>
  </r>
  <r>
    <n v="2019"/>
    <x v="11"/>
    <n v="31"/>
    <x v="4"/>
    <n v="0"/>
    <n v="28500"/>
    <n v="0"/>
  </r>
  <r>
    <n v="2019"/>
    <x v="11"/>
    <n v="31"/>
    <x v="5"/>
    <n v="0"/>
    <n v="28500"/>
    <n v="0"/>
  </r>
  <r>
    <n v="2019"/>
    <x v="11"/>
    <n v="31"/>
    <x v="6"/>
    <n v="0"/>
    <n v="28500"/>
    <n v="0"/>
  </r>
  <r>
    <n v="2019"/>
    <x v="11"/>
    <n v="31"/>
    <x v="7"/>
    <n v="0"/>
    <n v="28500"/>
    <n v="0"/>
  </r>
  <r>
    <n v="2019"/>
    <x v="11"/>
    <n v="31"/>
    <x v="8"/>
    <n v="0"/>
    <n v="28500"/>
    <n v="0"/>
  </r>
  <r>
    <n v="2019"/>
    <x v="11"/>
    <n v="31"/>
    <x v="9"/>
    <n v="2955.5"/>
    <n v="28500"/>
    <n v="0.10370175438596491"/>
  </r>
  <r>
    <n v="2019"/>
    <x v="11"/>
    <n v="31"/>
    <x v="10"/>
    <n v="711"/>
    <n v="28500"/>
    <n v="2.4947368421052631E-2"/>
  </r>
  <r>
    <n v="2019"/>
    <x v="11"/>
    <n v="31"/>
    <x v="11"/>
    <n v="1543.5"/>
    <n v="28500"/>
    <n v="5.4157894736842106E-2"/>
  </r>
  <r>
    <n v="2019"/>
    <x v="11"/>
    <n v="31"/>
    <x v="12"/>
    <n v="576"/>
    <n v="28500"/>
    <n v="2.0210526315789474E-2"/>
  </r>
  <r>
    <n v="2019"/>
    <x v="11"/>
    <n v="31"/>
    <x v="13"/>
    <n v="672"/>
    <n v="28500"/>
    <n v="2.3578947368421053E-2"/>
  </r>
  <r>
    <n v="2019"/>
    <x v="11"/>
    <n v="31"/>
    <x v="14"/>
    <n v="576"/>
    <n v="28500"/>
    <n v="2.0210526315789474E-2"/>
  </r>
  <r>
    <n v="2019"/>
    <x v="11"/>
    <n v="31"/>
    <x v="15"/>
    <n v="276"/>
    <n v="28500"/>
    <n v="9.6842105263157899E-3"/>
  </r>
  <r>
    <n v="2019"/>
    <x v="11"/>
    <n v="31"/>
    <x v="16"/>
    <n v="0"/>
    <n v="28500"/>
    <n v="0"/>
  </r>
  <r>
    <n v="2019"/>
    <x v="11"/>
    <n v="31"/>
    <x v="17"/>
    <n v="0"/>
    <n v="28500"/>
    <n v="0"/>
  </r>
  <r>
    <n v="2019"/>
    <x v="11"/>
    <n v="31"/>
    <x v="18"/>
    <n v="0"/>
    <n v="28500"/>
    <n v="0"/>
  </r>
  <r>
    <n v="2019"/>
    <x v="11"/>
    <n v="31"/>
    <x v="19"/>
    <n v="0"/>
    <n v="28500"/>
    <n v="0"/>
  </r>
  <r>
    <n v="2019"/>
    <x v="11"/>
    <n v="31"/>
    <x v="20"/>
    <n v="0"/>
    <n v="28500"/>
    <n v="0"/>
  </r>
  <r>
    <n v="2019"/>
    <x v="11"/>
    <n v="31"/>
    <x v="21"/>
    <n v="0"/>
    <n v="28500"/>
    <n v="0"/>
  </r>
  <r>
    <n v="2019"/>
    <x v="11"/>
    <n v="31"/>
    <x v="22"/>
    <n v="0"/>
    <n v="28500"/>
    <n v="0"/>
  </r>
  <r>
    <n v="2019"/>
    <x v="11"/>
    <n v="31"/>
    <x v="23"/>
    <n v="0"/>
    <n v="28500"/>
    <n v="0"/>
  </r>
  <r>
    <n v="2020"/>
    <x v="0"/>
    <n v="1"/>
    <x v="0"/>
    <n v="0"/>
    <n v="28500"/>
    <n v="0"/>
  </r>
  <r>
    <n v="2020"/>
    <x v="0"/>
    <n v="1"/>
    <x v="1"/>
    <n v="0"/>
    <n v="28500"/>
    <n v="0"/>
  </r>
  <r>
    <n v="2020"/>
    <x v="0"/>
    <n v="1"/>
    <x v="2"/>
    <n v="0"/>
    <n v="28500"/>
    <n v="0"/>
  </r>
  <r>
    <n v="2020"/>
    <x v="0"/>
    <n v="1"/>
    <x v="3"/>
    <n v="0"/>
    <n v="28500"/>
    <n v="0"/>
  </r>
  <r>
    <n v="2020"/>
    <x v="0"/>
    <n v="1"/>
    <x v="4"/>
    <n v="0"/>
    <n v="28500"/>
    <n v="0"/>
  </r>
  <r>
    <n v="2020"/>
    <x v="0"/>
    <n v="1"/>
    <x v="5"/>
    <n v="0"/>
    <n v="28500"/>
    <n v="0"/>
  </r>
  <r>
    <n v="2020"/>
    <x v="0"/>
    <n v="1"/>
    <x v="6"/>
    <n v="0"/>
    <n v="28500"/>
    <n v="0"/>
  </r>
  <r>
    <n v="2020"/>
    <x v="0"/>
    <n v="1"/>
    <x v="7"/>
    <n v="0"/>
    <n v="28500"/>
    <n v="0"/>
  </r>
  <r>
    <n v="2020"/>
    <x v="0"/>
    <n v="1"/>
    <x v="8"/>
    <n v="0"/>
    <n v="28500"/>
    <n v="0"/>
  </r>
  <r>
    <n v="2020"/>
    <x v="0"/>
    <n v="1"/>
    <x v="9"/>
    <n v="689"/>
    <n v="28500"/>
    <n v="2.4175438596491228E-2"/>
  </r>
  <r>
    <n v="2020"/>
    <x v="0"/>
    <n v="1"/>
    <x v="10"/>
    <n v="2393.5"/>
    <n v="28500"/>
    <n v="8.3982456140350881E-2"/>
  </r>
  <r>
    <n v="2020"/>
    <x v="0"/>
    <n v="1"/>
    <x v="11"/>
    <n v="1681"/>
    <n v="28500"/>
    <n v="5.8982456140350879E-2"/>
  </r>
  <r>
    <n v="2020"/>
    <x v="0"/>
    <n v="1"/>
    <x v="12"/>
    <n v="1865"/>
    <n v="28500"/>
    <n v="6.5438596491228074E-2"/>
  </r>
  <r>
    <n v="2020"/>
    <x v="0"/>
    <n v="1"/>
    <x v="13"/>
    <n v="1417.5"/>
    <n v="28500"/>
    <n v="4.9736842105263156E-2"/>
  </r>
  <r>
    <n v="2020"/>
    <x v="0"/>
    <n v="1"/>
    <x v="14"/>
    <n v="816.5"/>
    <n v="28500"/>
    <n v="2.8649122807017542E-2"/>
  </r>
  <r>
    <n v="2020"/>
    <x v="0"/>
    <n v="1"/>
    <x v="15"/>
    <n v="643"/>
    <n v="28500"/>
    <n v="2.2561403508771932E-2"/>
  </r>
  <r>
    <n v="2020"/>
    <x v="0"/>
    <n v="1"/>
    <x v="16"/>
    <n v="0"/>
    <n v="28500"/>
    <n v="0"/>
  </r>
  <r>
    <n v="2020"/>
    <x v="0"/>
    <n v="1"/>
    <x v="17"/>
    <n v="0"/>
    <n v="28500"/>
    <n v="0"/>
  </r>
  <r>
    <n v="2020"/>
    <x v="0"/>
    <n v="1"/>
    <x v="18"/>
    <n v="0"/>
    <n v="28500"/>
    <n v="0"/>
  </r>
  <r>
    <n v="2020"/>
    <x v="0"/>
    <n v="1"/>
    <x v="19"/>
    <n v="0"/>
    <n v="28500"/>
    <n v="0"/>
  </r>
  <r>
    <n v="2020"/>
    <x v="0"/>
    <n v="1"/>
    <x v="20"/>
    <n v="0"/>
    <n v="28500"/>
    <n v="0"/>
  </r>
  <r>
    <n v="2020"/>
    <x v="0"/>
    <n v="1"/>
    <x v="21"/>
    <n v="0"/>
    <n v="28500"/>
    <n v="0"/>
  </r>
  <r>
    <n v="2020"/>
    <x v="0"/>
    <n v="1"/>
    <x v="22"/>
    <n v="0"/>
    <n v="28500"/>
    <n v="0"/>
  </r>
  <r>
    <n v="2020"/>
    <x v="0"/>
    <n v="1"/>
    <x v="23"/>
    <n v="0"/>
    <n v="28500"/>
    <n v="0"/>
  </r>
  <r>
    <n v="2020"/>
    <x v="0"/>
    <n v="2"/>
    <x v="0"/>
    <n v="0"/>
    <n v="28500"/>
    <n v="0"/>
  </r>
  <r>
    <n v="2020"/>
    <x v="0"/>
    <n v="2"/>
    <x v="1"/>
    <n v="0"/>
    <n v="28500"/>
    <n v="0"/>
  </r>
  <r>
    <n v="2020"/>
    <x v="0"/>
    <n v="2"/>
    <x v="2"/>
    <n v="0"/>
    <n v="28500"/>
    <n v="0"/>
  </r>
  <r>
    <n v="2020"/>
    <x v="0"/>
    <n v="2"/>
    <x v="3"/>
    <n v="0"/>
    <n v="28500"/>
    <n v="0"/>
  </r>
  <r>
    <n v="2020"/>
    <x v="0"/>
    <n v="2"/>
    <x v="4"/>
    <n v="0"/>
    <n v="28500"/>
    <n v="0"/>
  </r>
  <r>
    <n v="2020"/>
    <x v="0"/>
    <n v="2"/>
    <x v="5"/>
    <n v="0"/>
    <n v="28500"/>
    <n v="0"/>
  </r>
  <r>
    <n v="2020"/>
    <x v="0"/>
    <n v="2"/>
    <x v="6"/>
    <n v="0"/>
    <n v="28500"/>
    <n v="0"/>
  </r>
  <r>
    <n v="2020"/>
    <x v="0"/>
    <n v="2"/>
    <x v="7"/>
    <n v="0"/>
    <n v="28500"/>
    <n v="0"/>
  </r>
  <r>
    <n v="2020"/>
    <x v="0"/>
    <n v="2"/>
    <x v="8"/>
    <n v="0"/>
    <n v="28500"/>
    <n v="0"/>
  </r>
  <r>
    <n v="2020"/>
    <x v="0"/>
    <n v="2"/>
    <x v="9"/>
    <n v="74.5"/>
    <n v="28500"/>
    <n v="2.6140350877192982E-3"/>
  </r>
  <r>
    <n v="2020"/>
    <x v="0"/>
    <n v="2"/>
    <x v="10"/>
    <n v="1401.5"/>
    <n v="28500"/>
    <n v="4.9175438596491226E-2"/>
  </r>
  <r>
    <n v="2020"/>
    <x v="0"/>
    <n v="2"/>
    <x v="11"/>
    <n v="3685"/>
    <n v="28500"/>
    <n v="0.12929824561403508"/>
  </r>
  <r>
    <n v="2020"/>
    <x v="0"/>
    <n v="2"/>
    <x v="12"/>
    <n v="6053"/>
    <n v="28500"/>
    <n v="0.21238596491228071"/>
  </r>
  <r>
    <n v="2020"/>
    <x v="0"/>
    <n v="2"/>
    <x v="13"/>
    <n v="3870"/>
    <n v="28500"/>
    <n v="0.13578947368421052"/>
  </r>
  <r>
    <n v="2020"/>
    <x v="0"/>
    <n v="2"/>
    <x v="14"/>
    <n v="936.5"/>
    <n v="28500"/>
    <n v="3.2859649122807019E-2"/>
  </r>
  <r>
    <n v="2020"/>
    <x v="0"/>
    <n v="2"/>
    <x v="15"/>
    <n v="0"/>
    <n v="28500"/>
    <n v="0"/>
  </r>
  <r>
    <n v="2020"/>
    <x v="0"/>
    <n v="2"/>
    <x v="16"/>
    <n v="0"/>
    <n v="28500"/>
    <n v="0"/>
  </r>
  <r>
    <n v="2020"/>
    <x v="0"/>
    <n v="2"/>
    <x v="17"/>
    <n v="0"/>
    <n v="28500"/>
    <n v="0"/>
  </r>
  <r>
    <n v="2020"/>
    <x v="0"/>
    <n v="2"/>
    <x v="18"/>
    <n v="0"/>
    <n v="28500"/>
    <n v="0"/>
  </r>
  <r>
    <n v="2020"/>
    <x v="0"/>
    <n v="2"/>
    <x v="19"/>
    <n v="0"/>
    <n v="28500"/>
    <n v="0"/>
  </r>
  <r>
    <n v="2020"/>
    <x v="0"/>
    <n v="2"/>
    <x v="20"/>
    <n v="0"/>
    <n v="28500"/>
    <n v="0"/>
  </r>
  <r>
    <n v="2020"/>
    <x v="0"/>
    <n v="2"/>
    <x v="21"/>
    <n v="0"/>
    <n v="28500"/>
    <n v="0"/>
  </r>
  <r>
    <n v="2020"/>
    <x v="0"/>
    <n v="2"/>
    <x v="22"/>
    <n v="0"/>
    <n v="28500"/>
    <n v="0"/>
  </r>
  <r>
    <n v="2020"/>
    <x v="0"/>
    <n v="2"/>
    <x v="23"/>
    <n v="0"/>
    <n v="28500"/>
    <n v="0"/>
  </r>
  <r>
    <n v="2020"/>
    <x v="0"/>
    <n v="3"/>
    <x v="0"/>
    <n v="0"/>
    <n v="28500"/>
    <n v="0"/>
  </r>
  <r>
    <n v="2020"/>
    <x v="0"/>
    <n v="3"/>
    <x v="1"/>
    <n v="0"/>
    <n v="28500"/>
    <n v="0"/>
  </r>
  <r>
    <n v="2020"/>
    <x v="0"/>
    <n v="3"/>
    <x v="2"/>
    <n v="0"/>
    <n v="28500"/>
    <n v="0"/>
  </r>
  <r>
    <n v="2020"/>
    <x v="0"/>
    <n v="3"/>
    <x v="3"/>
    <n v="0"/>
    <n v="28500"/>
    <n v="0"/>
  </r>
  <r>
    <n v="2020"/>
    <x v="0"/>
    <n v="3"/>
    <x v="4"/>
    <n v="0"/>
    <n v="28500"/>
    <n v="0"/>
  </r>
  <r>
    <n v="2020"/>
    <x v="0"/>
    <n v="3"/>
    <x v="5"/>
    <n v="0"/>
    <n v="28500"/>
    <n v="0"/>
  </r>
  <r>
    <n v="2020"/>
    <x v="0"/>
    <n v="3"/>
    <x v="6"/>
    <n v="0"/>
    <n v="28500"/>
    <n v="0"/>
  </r>
  <r>
    <n v="2020"/>
    <x v="0"/>
    <n v="3"/>
    <x v="7"/>
    <n v="0"/>
    <n v="28500"/>
    <n v="0"/>
  </r>
  <r>
    <n v="2020"/>
    <x v="0"/>
    <n v="3"/>
    <x v="8"/>
    <n v="0"/>
    <n v="28500"/>
    <n v="0"/>
  </r>
  <r>
    <n v="2020"/>
    <x v="0"/>
    <n v="3"/>
    <x v="9"/>
    <n v="5455.5"/>
    <n v="28500"/>
    <n v="0.19142105263157894"/>
  </r>
  <r>
    <n v="2020"/>
    <x v="0"/>
    <n v="3"/>
    <x v="10"/>
    <n v="194"/>
    <n v="28500"/>
    <n v="6.8070175438596494E-3"/>
  </r>
  <r>
    <n v="2020"/>
    <x v="0"/>
    <n v="3"/>
    <x v="11"/>
    <n v="16779"/>
    <n v="28500"/>
    <n v="0.58873684210526311"/>
  </r>
  <r>
    <n v="2020"/>
    <x v="0"/>
    <n v="3"/>
    <x v="12"/>
    <n v="2451"/>
    <n v="28500"/>
    <n v="8.5999999999999993E-2"/>
  </r>
  <r>
    <n v="2020"/>
    <x v="0"/>
    <n v="3"/>
    <x v="13"/>
    <n v="1553.5"/>
    <n v="28500"/>
    <n v="5.4508771929824562E-2"/>
  </r>
  <r>
    <n v="2020"/>
    <x v="0"/>
    <n v="3"/>
    <x v="14"/>
    <n v="20087"/>
    <n v="28500"/>
    <n v="0.70480701754385966"/>
  </r>
  <r>
    <n v="2020"/>
    <x v="0"/>
    <n v="3"/>
    <x v="15"/>
    <n v="11210"/>
    <n v="28500"/>
    <n v="0.39333333333333331"/>
  </r>
  <r>
    <n v="2020"/>
    <x v="0"/>
    <n v="3"/>
    <x v="16"/>
    <n v="0"/>
    <n v="28500"/>
    <n v="0"/>
  </r>
  <r>
    <n v="2020"/>
    <x v="0"/>
    <n v="3"/>
    <x v="17"/>
    <n v="0"/>
    <n v="28500"/>
    <n v="0"/>
  </r>
  <r>
    <n v="2020"/>
    <x v="0"/>
    <n v="3"/>
    <x v="18"/>
    <n v="0"/>
    <n v="28500"/>
    <n v="0"/>
  </r>
  <r>
    <n v="2020"/>
    <x v="0"/>
    <n v="3"/>
    <x v="19"/>
    <n v="0"/>
    <n v="28500"/>
    <n v="0"/>
  </r>
  <r>
    <n v="2020"/>
    <x v="0"/>
    <n v="3"/>
    <x v="20"/>
    <n v="0"/>
    <n v="28500"/>
    <n v="0"/>
  </r>
  <r>
    <n v="2020"/>
    <x v="0"/>
    <n v="3"/>
    <x v="21"/>
    <n v="0"/>
    <n v="28500"/>
    <n v="0"/>
  </r>
  <r>
    <n v="2020"/>
    <x v="0"/>
    <n v="3"/>
    <x v="22"/>
    <n v="0"/>
    <n v="28500"/>
    <n v="0"/>
  </r>
  <r>
    <n v="2020"/>
    <x v="0"/>
    <n v="3"/>
    <x v="23"/>
    <n v="0"/>
    <n v="28500"/>
    <n v="0"/>
  </r>
  <r>
    <n v="2020"/>
    <x v="0"/>
    <n v="4"/>
    <x v="0"/>
    <n v="0"/>
    <n v="28500"/>
    <n v="0"/>
  </r>
  <r>
    <n v="2020"/>
    <x v="0"/>
    <n v="4"/>
    <x v="1"/>
    <n v="0"/>
    <n v="28500"/>
    <n v="0"/>
  </r>
  <r>
    <n v="2020"/>
    <x v="0"/>
    <n v="4"/>
    <x v="2"/>
    <n v="0"/>
    <n v="28500"/>
    <n v="0"/>
  </r>
  <r>
    <n v="2020"/>
    <x v="0"/>
    <n v="4"/>
    <x v="3"/>
    <n v="0"/>
    <n v="28500"/>
    <n v="0"/>
  </r>
  <r>
    <n v="2020"/>
    <x v="0"/>
    <n v="4"/>
    <x v="4"/>
    <n v="0"/>
    <n v="28500"/>
    <n v="0"/>
  </r>
  <r>
    <n v="2020"/>
    <x v="0"/>
    <n v="4"/>
    <x v="5"/>
    <n v="0"/>
    <n v="28500"/>
    <n v="0"/>
  </r>
  <r>
    <n v="2020"/>
    <x v="0"/>
    <n v="4"/>
    <x v="6"/>
    <n v="0"/>
    <n v="28500"/>
    <n v="0"/>
  </r>
  <r>
    <n v="2020"/>
    <x v="0"/>
    <n v="4"/>
    <x v="7"/>
    <n v="0"/>
    <n v="28500"/>
    <n v="0"/>
  </r>
  <r>
    <n v="2020"/>
    <x v="0"/>
    <n v="4"/>
    <x v="8"/>
    <n v="0"/>
    <n v="28500"/>
    <n v="0"/>
  </r>
  <r>
    <n v="2020"/>
    <x v="0"/>
    <n v="4"/>
    <x v="9"/>
    <n v="13567.5"/>
    <n v="28500"/>
    <n v="0.47605263157894739"/>
  </r>
  <r>
    <n v="2020"/>
    <x v="0"/>
    <n v="4"/>
    <x v="10"/>
    <n v="14822"/>
    <n v="28500"/>
    <n v="0.52007017543859646"/>
  </r>
  <r>
    <n v="2020"/>
    <x v="0"/>
    <n v="4"/>
    <x v="11"/>
    <n v="4113.5"/>
    <n v="28500"/>
    <n v="0.14433333333333334"/>
  </r>
  <r>
    <n v="2020"/>
    <x v="0"/>
    <n v="4"/>
    <x v="12"/>
    <n v="12737.5"/>
    <n v="28500"/>
    <n v="0.44692982456140351"/>
  </r>
  <r>
    <n v="2020"/>
    <x v="0"/>
    <n v="4"/>
    <x v="13"/>
    <n v="27087.5"/>
    <n v="28500"/>
    <n v="0.95043859649122808"/>
  </r>
  <r>
    <n v="2020"/>
    <x v="0"/>
    <n v="4"/>
    <x v="14"/>
    <n v="21759"/>
    <n v="28500"/>
    <n v="0.7634736842105263"/>
  </r>
  <r>
    <n v="2020"/>
    <x v="0"/>
    <n v="4"/>
    <x v="15"/>
    <n v="10070"/>
    <n v="28500"/>
    <n v="0.35333333333333333"/>
  </r>
  <r>
    <n v="2020"/>
    <x v="0"/>
    <n v="4"/>
    <x v="16"/>
    <n v="0"/>
    <n v="28500"/>
    <n v="0"/>
  </r>
  <r>
    <n v="2020"/>
    <x v="0"/>
    <n v="4"/>
    <x v="17"/>
    <n v="0"/>
    <n v="28500"/>
    <n v="0"/>
  </r>
  <r>
    <n v="2020"/>
    <x v="0"/>
    <n v="4"/>
    <x v="18"/>
    <n v="0"/>
    <n v="28500"/>
    <n v="0"/>
  </r>
  <r>
    <n v="2020"/>
    <x v="0"/>
    <n v="4"/>
    <x v="19"/>
    <n v="0"/>
    <n v="28500"/>
    <n v="0"/>
  </r>
  <r>
    <n v="2020"/>
    <x v="0"/>
    <n v="4"/>
    <x v="20"/>
    <n v="0"/>
    <n v="28500"/>
    <n v="0"/>
  </r>
  <r>
    <n v="2020"/>
    <x v="0"/>
    <n v="4"/>
    <x v="21"/>
    <n v="0"/>
    <n v="28500"/>
    <n v="0"/>
  </r>
  <r>
    <n v="2020"/>
    <x v="0"/>
    <n v="4"/>
    <x v="22"/>
    <n v="0"/>
    <n v="28500"/>
    <n v="0"/>
  </r>
  <r>
    <n v="2020"/>
    <x v="0"/>
    <n v="4"/>
    <x v="23"/>
    <n v="0"/>
    <n v="28500"/>
    <n v="0"/>
  </r>
  <r>
    <n v="2020"/>
    <x v="0"/>
    <n v="5"/>
    <x v="0"/>
    <n v="0"/>
    <n v="28500"/>
    <n v="0"/>
  </r>
  <r>
    <n v="2020"/>
    <x v="0"/>
    <n v="5"/>
    <x v="1"/>
    <n v="0"/>
    <n v="28500"/>
    <n v="0"/>
  </r>
  <r>
    <n v="2020"/>
    <x v="0"/>
    <n v="5"/>
    <x v="2"/>
    <n v="0"/>
    <n v="28500"/>
    <n v="0"/>
  </r>
  <r>
    <n v="2020"/>
    <x v="0"/>
    <n v="5"/>
    <x v="3"/>
    <n v="0"/>
    <n v="28500"/>
    <n v="0"/>
  </r>
  <r>
    <n v="2020"/>
    <x v="0"/>
    <n v="5"/>
    <x v="4"/>
    <n v="0"/>
    <n v="28500"/>
    <n v="0"/>
  </r>
  <r>
    <n v="2020"/>
    <x v="0"/>
    <n v="5"/>
    <x v="5"/>
    <n v="0"/>
    <n v="28500"/>
    <n v="0"/>
  </r>
  <r>
    <n v="2020"/>
    <x v="0"/>
    <n v="5"/>
    <x v="6"/>
    <n v="0"/>
    <n v="28500"/>
    <n v="0"/>
  </r>
  <r>
    <n v="2020"/>
    <x v="0"/>
    <n v="5"/>
    <x v="7"/>
    <n v="0"/>
    <n v="28500"/>
    <n v="0"/>
  </r>
  <r>
    <n v="2020"/>
    <x v="0"/>
    <n v="5"/>
    <x v="8"/>
    <n v="0"/>
    <n v="28500"/>
    <n v="0"/>
  </r>
  <r>
    <n v="2020"/>
    <x v="0"/>
    <n v="5"/>
    <x v="9"/>
    <n v="2062.5"/>
    <n v="28500"/>
    <n v="7.2368421052631582E-2"/>
  </r>
  <r>
    <n v="2020"/>
    <x v="0"/>
    <n v="5"/>
    <x v="10"/>
    <n v="2795.5"/>
    <n v="28500"/>
    <n v="9.8087719298245613E-2"/>
  </r>
  <r>
    <n v="2020"/>
    <x v="0"/>
    <n v="5"/>
    <x v="11"/>
    <n v="6430"/>
    <n v="28500"/>
    <n v="0.22561403508771929"/>
  </r>
  <r>
    <n v="2020"/>
    <x v="0"/>
    <n v="5"/>
    <x v="12"/>
    <n v="1773.5"/>
    <n v="28500"/>
    <n v="6.2228070175438598E-2"/>
  </r>
  <r>
    <n v="2020"/>
    <x v="0"/>
    <n v="5"/>
    <x v="13"/>
    <n v="1476"/>
    <n v="28500"/>
    <n v="5.1789473684210524E-2"/>
  </r>
  <r>
    <n v="2020"/>
    <x v="0"/>
    <n v="5"/>
    <x v="14"/>
    <n v="1329.5"/>
    <n v="28500"/>
    <n v="4.6649122807017544E-2"/>
  </r>
  <r>
    <n v="2020"/>
    <x v="0"/>
    <n v="5"/>
    <x v="15"/>
    <n v="856"/>
    <n v="28500"/>
    <n v="3.0035087719298244E-2"/>
  </r>
  <r>
    <n v="2020"/>
    <x v="0"/>
    <n v="5"/>
    <x v="16"/>
    <n v="0"/>
    <n v="28500"/>
    <n v="0"/>
  </r>
  <r>
    <n v="2020"/>
    <x v="0"/>
    <n v="5"/>
    <x v="17"/>
    <n v="0"/>
    <n v="28500"/>
    <n v="0"/>
  </r>
  <r>
    <n v="2020"/>
    <x v="0"/>
    <n v="5"/>
    <x v="18"/>
    <n v="0"/>
    <n v="28500"/>
    <n v="0"/>
  </r>
  <r>
    <n v="2020"/>
    <x v="0"/>
    <n v="5"/>
    <x v="19"/>
    <n v="0"/>
    <n v="28500"/>
    <n v="0"/>
  </r>
  <r>
    <n v="2020"/>
    <x v="0"/>
    <n v="5"/>
    <x v="20"/>
    <n v="0"/>
    <n v="28500"/>
    <n v="0"/>
  </r>
  <r>
    <n v="2020"/>
    <x v="0"/>
    <n v="5"/>
    <x v="21"/>
    <n v="0"/>
    <n v="28500"/>
    <n v="0"/>
  </r>
  <r>
    <n v="2020"/>
    <x v="0"/>
    <n v="5"/>
    <x v="22"/>
    <n v="0"/>
    <n v="28500"/>
    <n v="0"/>
  </r>
  <r>
    <n v="2020"/>
    <x v="0"/>
    <n v="5"/>
    <x v="23"/>
    <n v="0"/>
    <n v="28500"/>
    <n v="0"/>
  </r>
  <r>
    <n v="2020"/>
    <x v="0"/>
    <n v="6"/>
    <x v="0"/>
    <n v="0"/>
    <n v="28500"/>
    <n v="0"/>
  </r>
  <r>
    <n v="2020"/>
    <x v="0"/>
    <n v="6"/>
    <x v="1"/>
    <n v="0"/>
    <n v="28500"/>
    <n v="0"/>
  </r>
  <r>
    <n v="2020"/>
    <x v="0"/>
    <n v="6"/>
    <x v="2"/>
    <n v="0"/>
    <n v="28500"/>
    <n v="0"/>
  </r>
  <r>
    <n v="2020"/>
    <x v="0"/>
    <n v="6"/>
    <x v="3"/>
    <n v="0"/>
    <n v="28500"/>
    <n v="0"/>
  </r>
  <r>
    <n v="2020"/>
    <x v="0"/>
    <n v="6"/>
    <x v="4"/>
    <n v="0"/>
    <n v="28500"/>
    <n v="0"/>
  </r>
  <r>
    <n v="2020"/>
    <x v="0"/>
    <n v="6"/>
    <x v="5"/>
    <n v="0"/>
    <n v="28500"/>
    <n v="0"/>
  </r>
  <r>
    <n v="2020"/>
    <x v="0"/>
    <n v="6"/>
    <x v="6"/>
    <n v="0"/>
    <n v="28500"/>
    <n v="0"/>
  </r>
  <r>
    <n v="2020"/>
    <x v="0"/>
    <n v="6"/>
    <x v="7"/>
    <n v="0"/>
    <n v="28500"/>
    <n v="0"/>
  </r>
  <r>
    <n v="2020"/>
    <x v="0"/>
    <n v="6"/>
    <x v="8"/>
    <n v="0"/>
    <n v="28500"/>
    <n v="0"/>
  </r>
  <r>
    <n v="2020"/>
    <x v="0"/>
    <n v="6"/>
    <x v="9"/>
    <n v="1112.5"/>
    <n v="28500"/>
    <n v="3.9035087719298249E-2"/>
  </r>
  <r>
    <n v="2020"/>
    <x v="0"/>
    <n v="6"/>
    <x v="10"/>
    <n v="9304"/>
    <n v="28500"/>
    <n v="0.32645614035087717"/>
  </r>
  <r>
    <n v="2020"/>
    <x v="0"/>
    <n v="6"/>
    <x v="11"/>
    <n v="16963.5"/>
    <n v="28500"/>
    <n v="0.59521052631578952"/>
  </r>
  <r>
    <n v="2020"/>
    <x v="0"/>
    <n v="6"/>
    <x v="12"/>
    <n v="28007.5"/>
    <n v="28500"/>
    <n v="0.98271929824561399"/>
  </r>
  <r>
    <n v="2020"/>
    <x v="0"/>
    <n v="6"/>
    <x v="13"/>
    <n v="2616"/>
    <n v="28500"/>
    <n v="9.1789473684210532E-2"/>
  </r>
  <r>
    <n v="2020"/>
    <x v="0"/>
    <n v="6"/>
    <x v="14"/>
    <n v="24321"/>
    <n v="28500"/>
    <n v="0.85336842105263155"/>
  </r>
  <r>
    <n v="2020"/>
    <x v="0"/>
    <n v="6"/>
    <x v="15"/>
    <n v="1521"/>
    <n v="28500"/>
    <n v="5.3368421052631579E-2"/>
  </r>
  <r>
    <n v="2020"/>
    <x v="0"/>
    <n v="6"/>
    <x v="16"/>
    <n v="0"/>
    <n v="28500"/>
    <n v="0"/>
  </r>
  <r>
    <n v="2020"/>
    <x v="0"/>
    <n v="6"/>
    <x v="17"/>
    <n v="0"/>
    <n v="28500"/>
    <n v="0"/>
  </r>
  <r>
    <n v="2020"/>
    <x v="0"/>
    <n v="6"/>
    <x v="18"/>
    <n v="0"/>
    <n v="28500"/>
    <n v="0"/>
  </r>
  <r>
    <n v="2020"/>
    <x v="0"/>
    <n v="6"/>
    <x v="19"/>
    <n v="0"/>
    <n v="28500"/>
    <n v="0"/>
  </r>
  <r>
    <n v="2020"/>
    <x v="0"/>
    <n v="6"/>
    <x v="20"/>
    <n v="0"/>
    <n v="28500"/>
    <n v="0"/>
  </r>
  <r>
    <n v="2020"/>
    <x v="0"/>
    <n v="6"/>
    <x v="21"/>
    <n v="0"/>
    <n v="28500"/>
    <n v="0"/>
  </r>
  <r>
    <n v="2020"/>
    <x v="0"/>
    <n v="6"/>
    <x v="22"/>
    <n v="0"/>
    <n v="28500"/>
    <n v="0"/>
  </r>
  <r>
    <n v="2020"/>
    <x v="0"/>
    <n v="6"/>
    <x v="23"/>
    <n v="0"/>
    <n v="28500"/>
    <n v="0"/>
  </r>
  <r>
    <n v="2020"/>
    <x v="0"/>
    <n v="7"/>
    <x v="0"/>
    <n v="0"/>
    <n v="28500"/>
    <n v="0"/>
  </r>
  <r>
    <n v="2020"/>
    <x v="0"/>
    <n v="7"/>
    <x v="1"/>
    <n v="0"/>
    <n v="28500"/>
    <n v="0"/>
  </r>
  <r>
    <n v="2020"/>
    <x v="0"/>
    <n v="7"/>
    <x v="2"/>
    <n v="0"/>
    <n v="28500"/>
    <n v="0"/>
  </r>
  <r>
    <n v="2020"/>
    <x v="0"/>
    <n v="7"/>
    <x v="3"/>
    <n v="0"/>
    <n v="28500"/>
    <n v="0"/>
  </r>
  <r>
    <n v="2020"/>
    <x v="0"/>
    <n v="7"/>
    <x v="4"/>
    <n v="0"/>
    <n v="28500"/>
    <n v="0"/>
  </r>
  <r>
    <n v="2020"/>
    <x v="0"/>
    <n v="7"/>
    <x v="5"/>
    <n v="0"/>
    <n v="28500"/>
    <n v="0"/>
  </r>
  <r>
    <n v="2020"/>
    <x v="0"/>
    <n v="7"/>
    <x v="6"/>
    <n v="0"/>
    <n v="28500"/>
    <n v="0"/>
  </r>
  <r>
    <n v="2020"/>
    <x v="0"/>
    <n v="7"/>
    <x v="7"/>
    <n v="0"/>
    <n v="28500"/>
    <n v="0"/>
  </r>
  <r>
    <n v="2020"/>
    <x v="0"/>
    <n v="7"/>
    <x v="8"/>
    <n v="0"/>
    <n v="28500"/>
    <n v="0"/>
  </r>
  <r>
    <n v="2020"/>
    <x v="0"/>
    <n v="7"/>
    <x v="9"/>
    <n v="485.5"/>
    <n v="28500"/>
    <n v="1.7035087719298247E-2"/>
  </r>
  <r>
    <n v="2020"/>
    <x v="0"/>
    <n v="7"/>
    <x v="10"/>
    <n v="2714.5"/>
    <n v="28500"/>
    <n v="9.5245614035087717E-2"/>
  </r>
  <r>
    <n v="2020"/>
    <x v="0"/>
    <n v="7"/>
    <x v="11"/>
    <n v="972"/>
    <n v="28500"/>
    <n v="3.4105263157894736E-2"/>
  </r>
  <r>
    <n v="2020"/>
    <x v="0"/>
    <n v="7"/>
    <x v="12"/>
    <n v="25551"/>
    <n v="28500"/>
    <n v="0.89652631578947373"/>
  </r>
  <r>
    <n v="2020"/>
    <x v="0"/>
    <n v="7"/>
    <x v="13"/>
    <n v="23396.5"/>
    <n v="28500"/>
    <n v="0.82092982456140351"/>
  </r>
  <r>
    <n v="2020"/>
    <x v="0"/>
    <n v="7"/>
    <x v="14"/>
    <n v="13681"/>
    <n v="28500"/>
    <n v="0.48003508771929826"/>
  </r>
  <r>
    <n v="2020"/>
    <x v="0"/>
    <n v="7"/>
    <x v="15"/>
    <n v="2695"/>
    <n v="28500"/>
    <n v="9.456140350877193E-2"/>
  </r>
  <r>
    <n v="2020"/>
    <x v="0"/>
    <n v="7"/>
    <x v="16"/>
    <n v="0"/>
    <n v="28500"/>
    <n v="0"/>
  </r>
  <r>
    <n v="2020"/>
    <x v="0"/>
    <n v="7"/>
    <x v="17"/>
    <n v="0"/>
    <n v="28500"/>
    <n v="0"/>
  </r>
  <r>
    <n v="2020"/>
    <x v="0"/>
    <n v="7"/>
    <x v="18"/>
    <n v="0"/>
    <n v="28500"/>
    <n v="0"/>
  </r>
  <r>
    <n v="2020"/>
    <x v="0"/>
    <n v="7"/>
    <x v="19"/>
    <n v="0"/>
    <n v="28500"/>
    <n v="0"/>
  </r>
  <r>
    <n v="2020"/>
    <x v="0"/>
    <n v="7"/>
    <x v="20"/>
    <n v="0"/>
    <n v="28500"/>
    <n v="0"/>
  </r>
  <r>
    <n v="2020"/>
    <x v="0"/>
    <n v="7"/>
    <x v="21"/>
    <n v="0"/>
    <n v="28500"/>
    <n v="0"/>
  </r>
  <r>
    <n v="2020"/>
    <x v="0"/>
    <n v="7"/>
    <x v="22"/>
    <n v="0"/>
    <n v="28500"/>
    <n v="0"/>
  </r>
  <r>
    <n v="2020"/>
    <x v="0"/>
    <n v="7"/>
    <x v="23"/>
    <n v="0"/>
    <n v="28500"/>
    <n v="0"/>
  </r>
  <r>
    <n v="2020"/>
    <x v="0"/>
    <n v="8"/>
    <x v="0"/>
    <n v="0"/>
    <n v="28500"/>
    <n v="0"/>
  </r>
  <r>
    <n v="2020"/>
    <x v="0"/>
    <n v="8"/>
    <x v="1"/>
    <n v="0"/>
    <n v="28500"/>
    <n v="0"/>
  </r>
  <r>
    <n v="2020"/>
    <x v="0"/>
    <n v="8"/>
    <x v="2"/>
    <n v="0"/>
    <n v="28500"/>
    <n v="0"/>
  </r>
  <r>
    <n v="2020"/>
    <x v="0"/>
    <n v="8"/>
    <x v="3"/>
    <n v="0"/>
    <n v="28500"/>
    <n v="0"/>
  </r>
  <r>
    <n v="2020"/>
    <x v="0"/>
    <n v="8"/>
    <x v="4"/>
    <n v="0"/>
    <n v="28500"/>
    <n v="0"/>
  </r>
  <r>
    <n v="2020"/>
    <x v="0"/>
    <n v="8"/>
    <x v="5"/>
    <n v="0"/>
    <n v="28500"/>
    <n v="0"/>
  </r>
  <r>
    <n v="2020"/>
    <x v="0"/>
    <n v="8"/>
    <x v="6"/>
    <n v="0"/>
    <n v="28500"/>
    <n v="0"/>
  </r>
  <r>
    <n v="2020"/>
    <x v="0"/>
    <n v="8"/>
    <x v="7"/>
    <n v="0"/>
    <n v="28500"/>
    <n v="0"/>
  </r>
  <r>
    <n v="2020"/>
    <x v="0"/>
    <n v="8"/>
    <x v="8"/>
    <n v="0"/>
    <n v="28500"/>
    <n v="0"/>
  </r>
  <r>
    <n v="2020"/>
    <x v="0"/>
    <n v="8"/>
    <x v="9"/>
    <n v="1081.5"/>
    <n v="28500"/>
    <n v="3.7947368421052632E-2"/>
  </r>
  <r>
    <n v="2020"/>
    <x v="0"/>
    <n v="8"/>
    <x v="10"/>
    <n v="2425.5"/>
    <n v="28500"/>
    <n v="8.5105263157894739E-2"/>
  </r>
  <r>
    <n v="2020"/>
    <x v="0"/>
    <n v="8"/>
    <x v="11"/>
    <n v="5998.5"/>
    <n v="28500"/>
    <n v="0.21047368421052631"/>
  </r>
  <r>
    <n v="2020"/>
    <x v="0"/>
    <n v="8"/>
    <x v="12"/>
    <n v="10266.5"/>
    <n v="28500"/>
    <n v="0.36022807017543862"/>
  </r>
  <r>
    <n v="2020"/>
    <x v="0"/>
    <n v="8"/>
    <x v="13"/>
    <n v="6110"/>
    <n v="28500"/>
    <n v="0.21438596491228071"/>
  </r>
  <r>
    <n v="2020"/>
    <x v="0"/>
    <n v="8"/>
    <x v="14"/>
    <n v="1310"/>
    <n v="28500"/>
    <n v="4.5964912280701757E-2"/>
  </r>
  <r>
    <n v="2020"/>
    <x v="0"/>
    <n v="8"/>
    <x v="15"/>
    <n v="796.5"/>
    <n v="28500"/>
    <n v="2.794736842105263E-2"/>
  </r>
  <r>
    <n v="2020"/>
    <x v="0"/>
    <n v="8"/>
    <x v="16"/>
    <n v="0"/>
    <n v="28500"/>
    <n v="0"/>
  </r>
  <r>
    <n v="2020"/>
    <x v="0"/>
    <n v="8"/>
    <x v="17"/>
    <n v="0"/>
    <n v="28500"/>
    <n v="0"/>
  </r>
  <r>
    <n v="2020"/>
    <x v="0"/>
    <n v="8"/>
    <x v="18"/>
    <n v="0"/>
    <n v="28500"/>
    <n v="0"/>
  </r>
  <r>
    <n v="2020"/>
    <x v="0"/>
    <n v="8"/>
    <x v="19"/>
    <n v="0"/>
    <n v="28500"/>
    <n v="0"/>
  </r>
  <r>
    <n v="2020"/>
    <x v="0"/>
    <n v="8"/>
    <x v="20"/>
    <n v="0"/>
    <n v="28500"/>
    <n v="0"/>
  </r>
  <r>
    <n v="2020"/>
    <x v="0"/>
    <n v="8"/>
    <x v="21"/>
    <n v="0"/>
    <n v="28500"/>
    <n v="0"/>
  </r>
  <r>
    <n v="2020"/>
    <x v="0"/>
    <n v="8"/>
    <x v="22"/>
    <n v="0"/>
    <n v="28500"/>
    <n v="0"/>
  </r>
  <r>
    <n v="2020"/>
    <x v="0"/>
    <n v="8"/>
    <x v="23"/>
    <n v="0"/>
    <n v="28500"/>
    <n v="0"/>
  </r>
  <r>
    <n v="2020"/>
    <x v="0"/>
    <n v="9"/>
    <x v="0"/>
    <n v="0"/>
    <n v="28500"/>
    <n v="0"/>
  </r>
  <r>
    <n v="2020"/>
    <x v="0"/>
    <n v="9"/>
    <x v="1"/>
    <n v="0"/>
    <n v="28500"/>
    <n v="0"/>
  </r>
  <r>
    <n v="2020"/>
    <x v="0"/>
    <n v="9"/>
    <x v="2"/>
    <n v="0"/>
    <n v="28500"/>
    <n v="0"/>
  </r>
  <r>
    <n v="2020"/>
    <x v="0"/>
    <n v="9"/>
    <x v="3"/>
    <n v="0"/>
    <n v="28500"/>
    <n v="0"/>
  </r>
  <r>
    <n v="2020"/>
    <x v="0"/>
    <n v="9"/>
    <x v="4"/>
    <n v="0"/>
    <n v="28500"/>
    <n v="0"/>
  </r>
  <r>
    <n v="2020"/>
    <x v="0"/>
    <n v="9"/>
    <x v="5"/>
    <n v="0"/>
    <n v="28500"/>
    <n v="0"/>
  </r>
  <r>
    <n v="2020"/>
    <x v="0"/>
    <n v="9"/>
    <x v="6"/>
    <n v="0"/>
    <n v="28500"/>
    <n v="0"/>
  </r>
  <r>
    <n v="2020"/>
    <x v="0"/>
    <n v="9"/>
    <x v="7"/>
    <n v="0"/>
    <n v="28500"/>
    <n v="0"/>
  </r>
  <r>
    <n v="2020"/>
    <x v="0"/>
    <n v="9"/>
    <x v="8"/>
    <n v="0"/>
    <n v="28500"/>
    <n v="0"/>
  </r>
  <r>
    <n v="2020"/>
    <x v="0"/>
    <n v="9"/>
    <x v="9"/>
    <n v="15148.5"/>
    <n v="28500"/>
    <n v="0.53152631578947374"/>
  </r>
  <r>
    <n v="2020"/>
    <x v="0"/>
    <n v="9"/>
    <x v="10"/>
    <n v="12768.5"/>
    <n v="28500"/>
    <n v="0.44801754385964915"/>
  </r>
  <r>
    <n v="2020"/>
    <x v="0"/>
    <n v="9"/>
    <x v="11"/>
    <n v="22628"/>
    <n v="28500"/>
    <n v="0.79396491228070176"/>
  </r>
  <r>
    <n v="2020"/>
    <x v="0"/>
    <n v="9"/>
    <x v="12"/>
    <n v="25744"/>
    <n v="28500"/>
    <n v="0.90329824561403504"/>
  </r>
  <r>
    <n v="2020"/>
    <x v="0"/>
    <n v="9"/>
    <x v="13"/>
    <n v="10530.5"/>
    <n v="28500"/>
    <n v="0.36949122807017543"/>
  </r>
  <r>
    <n v="2020"/>
    <x v="0"/>
    <n v="9"/>
    <x v="14"/>
    <n v="4194"/>
    <n v="28500"/>
    <n v="0.1471578947368421"/>
  </r>
  <r>
    <n v="2020"/>
    <x v="0"/>
    <n v="9"/>
    <x v="15"/>
    <n v="0"/>
    <n v="28500"/>
    <n v="0"/>
  </r>
  <r>
    <n v="2020"/>
    <x v="0"/>
    <n v="9"/>
    <x v="16"/>
    <n v="0"/>
    <n v="28500"/>
    <n v="0"/>
  </r>
  <r>
    <n v="2020"/>
    <x v="0"/>
    <n v="9"/>
    <x v="17"/>
    <n v="0"/>
    <n v="28500"/>
    <n v="0"/>
  </r>
  <r>
    <n v="2020"/>
    <x v="0"/>
    <n v="9"/>
    <x v="18"/>
    <n v="0"/>
    <n v="28500"/>
    <n v="0"/>
  </r>
  <r>
    <n v="2020"/>
    <x v="0"/>
    <n v="9"/>
    <x v="19"/>
    <n v="0"/>
    <n v="28500"/>
    <n v="0"/>
  </r>
  <r>
    <n v="2020"/>
    <x v="0"/>
    <n v="9"/>
    <x v="20"/>
    <n v="0"/>
    <n v="28500"/>
    <n v="0"/>
  </r>
  <r>
    <n v="2020"/>
    <x v="0"/>
    <n v="9"/>
    <x v="21"/>
    <n v="0"/>
    <n v="28500"/>
    <n v="0"/>
  </r>
  <r>
    <n v="2020"/>
    <x v="0"/>
    <n v="9"/>
    <x v="22"/>
    <n v="0"/>
    <n v="28500"/>
    <n v="0"/>
  </r>
  <r>
    <n v="2020"/>
    <x v="0"/>
    <n v="9"/>
    <x v="23"/>
    <n v="0"/>
    <n v="28500"/>
    <n v="0"/>
  </r>
  <r>
    <n v="2020"/>
    <x v="0"/>
    <n v="10"/>
    <x v="0"/>
    <n v="0"/>
    <n v="28500"/>
    <n v="0"/>
  </r>
  <r>
    <n v="2020"/>
    <x v="0"/>
    <n v="10"/>
    <x v="1"/>
    <n v="0"/>
    <n v="28500"/>
    <n v="0"/>
  </r>
  <r>
    <n v="2020"/>
    <x v="0"/>
    <n v="10"/>
    <x v="2"/>
    <n v="0"/>
    <n v="28500"/>
    <n v="0"/>
  </r>
  <r>
    <n v="2020"/>
    <x v="0"/>
    <n v="10"/>
    <x v="3"/>
    <n v="0"/>
    <n v="28500"/>
    <n v="0"/>
  </r>
  <r>
    <n v="2020"/>
    <x v="0"/>
    <n v="10"/>
    <x v="4"/>
    <n v="0"/>
    <n v="28500"/>
    <n v="0"/>
  </r>
  <r>
    <n v="2020"/>
    <x v="0"/>
    <n v="10"/>
    <x v="5"/>
    <n v="0"/>
    <n v="28500"/>
    <n v="0"/>
  </r>
  <r>
    <n v="2020"/>
    <x v="0"/>
    <n v="10"/>
    <x v="6"/>
    <n v="0"/>
    <n v="28500"/>
    <n v="0"/>
  </r>
  <r>
    <n v="2020"/>
    <x v="0"/>
    <n v="10"/>
    <x v="7"/>
    <n v="0"/>
    <n v="28500"/>
    <n v="0"/>
  </r>
  <r>
    <n v="2020"/>
    <x v="0"/>
    <n v="10"/>
    <x v="8"/>
    <n v="0"/>
    <n v="28500"/>
    <n v="0"/>
  </r>
  <r>
    <n v="2020"/>
    <x v="0"/>
    <n v="10"/>
    <x v="9"/>
    <n v="1480"/>
    <n v="28500"/>
    <n v="5.1929824561403506E-2"/>
  </r>
  <r>
    <n v="2020"/>
    <x v="0"/>
    <n v="10"/>
    <x v="10"/>
    <n v="3201"/>
    <n v="28500"/>
    <n v="0.11231578947368422"/>
  </r>
  <r>
    <n v="2020"/>
    <x v="0"/>
    <n v="10"/>
    <x v="11"/>
    <n v="4193"/>
    <n v="28500"/>
    <n v="0.14712280701754385"/>
  </r>
  <r>
    <n v="2020"/>
    <x v="0"/>
    <n v="10"/>
    <x v="12"/>
    <n v="3952.5"/>
    <n v="28500"/>
    <n v="0.1386842105263158"/>
  </r>
  <r>
    <n v="2020"/>
    <x v="0"/>
    <n v="10"/>
    <x v="13"/>
    <n v="18958.5"/>
    <n v="28500"/>
    <n v="0.66521052631578947"/>
  </r>
  <r>
    <n v="2020"/>
    <x v="0"/>
    <n v="10"/>
    <x v="14"/>
    <n v="23900"/>
    <n v="28500"/>
    <n v="0.83859649122807023"/>
  </r>
  <r>
    <n v="2020"/>
    <x v="0"/>
    <n v="10"/>
    <x v="15"/>
    <n v="11712"/>
    <n v="28500"/>
    <n v="0.41094736842105262"/>
  </r>
  <r>
    <n v="2020"/>
    <x v="0"/>
    <n v="10"/>
    <x v="16"/>
    <n v="0"/>
    <n v="28500"/>
    <n v="0"/>
  </r>
  <r>
    <n v="2020"/>
    <x v="0"/>
    <n v="10"/>
    <x v="17"/>
    <n v="0"/>
    <n v="28500"/>
    <n v="0"/>
  </r>
  <r>
    <n v="2020"/>
    <x v="0"/>
    <n v="10"/>
    <x v="18"/>
    <n v="0"/>
    <n v="28500"/>
    <n v="0"/>
  </r>
  <r>
    <n v="2020"/>
    <x v="0"/>
    <n v="10"/>
    <x v="19"/>
    <n v="0"/>
    <n v="28500"/>
    <n v="0"/>
  </r>
  <r>
    <n v="2020"/>
    <x v="0"/>
    <n v="10"/>
    <x v="20"/>
    <n v="0"/>
    <n v="28500"/>
    <n v="0"/>
  </r>
  <r>
    <n v="2020"/>
    <x v="0"/>
    <n v="10"/>
    <x v="21"/>
    <n v="0"/>
    <n v="28500"/>
    <n v="0"/>
  </r>
  <r>
    <n v="2020"/>
    <x v="0"/>
    <n v="10"/>
    <x v="22"/>
    <n v="0"/>
    <n v="28500"/>
    <n v="0"/>
  </r>
  <r>
    <n v="2020"/>
    <x v="0"/>
    <n v="10"/>
    <x v="23"/>
    <n v="0"/>
    <n v="28500"/>
    <n v="0"/>
  </r>
  <r>
    <n v="2020"/>
    <x v="0"/>
    <n v="11"/>
    <x v="0"/>
    <n v="0"/>
    <n v="28500"/>
    <n v="0"/>
  </r>
  <r>
    <n v="2020"/>
    <x v="0"/>
    <n v="11"/>
    <x v="1"/>
    <n v="0"/>
    <n v="28500"/>
    <n v="0"/>
  </r>
  <r>
    <n v="2020"/>
    <x v="0"/>
    <n v="11"/>
    <x v="2"/>
    <n v="0"/>
    <n v="28500"/>
    <n v="0"/>
  </r>
  <r>
    <n v="2020"/>
    <x v="0"/>
    <n v="11"/>
    <x v="3"/>
    <n v="0"/>
    <n v="28500"/>
    <n v="0"/>
  </r>
  <r>
    <n v="2020"/>
    <x v="0"/>
    <n v="11"/>
    <x v="4"/>
    <n v="0"/>
    <n v="28500"/>
    <n v="0"/>
  </r>
  <r>
    <n v="2020"/>
    <x v="0"/>
    <n v="11"/>
    <x v="5"/>
    <n v="0"/>
    <n v="28500"/>
    <n v="0"/>
  </r>
  <r>
    <n v="2020"/>
    <x v="0"/>
    <n v="11"/>
    <x v="6"/>
    <n v="0"/>
    <n v="28500"/>
    <n v="0"/>
  </r>
  <r>
    <n v="2020"/>
    <x v="0"/>
    <n v="11"/>
    <x v="7"/>
    <n v="0"/>
    <n v="28500"/>
    <n v="0"/>
  </r>
  <r>
    <n v="2020"/>
    <x v="0"/>
    <n v="11"/>
    <x v="8"/>
    <n v="0"/>
    <n v="28500"/>
    <n v="0"/>
  </r>
  <r>
    <n v="2020"/>
    <x v="0"/>
    <n v="11"/>
    <x v="9"/>
    <n v="1493"/>
    <n v="28500"/>
    <n v="5.2385964912280703E-2"/>
  </r>
  <r>
    <n v="2020"/>
    <x v="0"/>
    <n v="11"/>
    <x v="10"/>
    <n v="2081.5"/>
    <n v="28500"/>
    <n v="7.3035087719298245E-2"/>
  </r>
  <r>
    <n v="2020"/>
    <x v="0"/>
    <n v="11"/>
    <x v="11"/>
    <n v="5592.5"/>
    <n v="28500"/>
    <n v="0.19622807017543858"/>
  </r>
  <r>
    <n v="2020"/>
    <x v="0"/>
    <n v="11"/>
    <x v="12"/>
    <n v="13050"/>
    <n v="28500"/>
    <n v="0.45789473684210524"/>
  </r>
  <r>
    <n v="2020"/>
    <x v="0"/>
    <n v="11"/>
    <x v="13"/>
    <n v="5945.5"/>
    <n v="28500"/>
    <n v="0.20861403508771931"/>
  </r>
  <r>
    <n v="2020"/>
    <x v="0"/>
    <n v="11"/>
    <x v="14"/>
    <n v="702.5"/>
    <n v="28500"/>
    <n v="2.4649122807017546E-2"/>
  </r>
  <r>
    <n v="2020"/>
    <x v="0"/>
    <n v="11"/>
    <x v="15"/>
    <n v="2160"/>
    <n v="28500"/>
    <n v="7.5789473684210532E-2"/>
  </r>
  <r>
    <n v="2020"/>
    <x v="0"/>
    <n v="11"/>
    <x v="16"/>
    <n v="0"/>
    <n v="28500"/>
    <n v="0"/>
  </r>
  <r>
    <n v="2020"/>
    <x v="0"/>
    <n v="11"/>
    <x v="17"/>
    <n v="0"/>
    <n v="28500"/>
    <n v="0"/>
  </r>
  <r>
    <n v="2020"/>
    <x v="0"/>
    <n v="11"/>
    <x v="18"/>
    <n v="0"/>
    <n v="28500"/>
    <n v="0"/>
  </r>
  <r>
    <n v="2020"/>
    <x v="0"/>
    <n v="11"/>
    <x v="19"/>
    <n v="0"/>
    <n v="28500"/>
    <n v="0"/>
  </r>
  <r>
    <n v="2020"/>
    <x v="0"/>
    <n v="11"/>
    <x v="20"/>
    <n v="0"/>
    <n v="28500"/>
    <n v="0"/>
  </r>
  <r>
    <n v="2020"/>
    <x v="0"/>
    <n v="11"/>
    <x v="21"/>
    <n v="0"/>
    <n v="28500"/>
    <n v="0"/>
  </r>
  <r>
    <n v="2020"/>
    <x v="0"/>
    <n v="11"/>
    <x v="22"/>
    <n v="0"/>
    <n v="28500"/>
    <n v="0"/>
  </r>
  <r>
    <n v="2020"/>
    <x v="0"/>
    <n v="11"/>
    <x v="23"/>
    <n v="0"/>
    <n v="28500"/>
    <n v="0"/>
  </r>
  <r>
    <n v="2020"/>
    <x v="0"/>
    <n v="12"/>
    <x v="0"/>
    <n v="0"/>
    <n v="28500"/>
    <n v="0"/>
  </r>
  <r>
    <n v="2020"/>
    <x v="0"/>
    <n v="12"/>
    <x v="1"/>
    <n v="0"/>
    <n v="28500"/>
    <n v="0"/>
  </r>
  <r>
    <n v="2020"/>
    <x v="0"/>
    <n v="12"/>
    <x v="2"/>
    <n v="0"/>
    <n v="28500"/>
    <n v="0"/>
  </r>
  <r>
    <n v="2020"/>
    <x v="0"/>
    <n v="12"/>
    <x v="3"/>
    <n v="0"/>
    <n v="28500"/>
    <n v="0"/>
  </r>
  <r>
    <n v="2020"/>
    <x v="0"/>
    <n v="12"/>
    <x v="4"/>
    <n v="0"/>
    <n v="28500"/>
    <n v="0"/>
  </r>
  <r>
    <n v="2020"/>
    <x v="0"/>
    <n v="12"/>
    <x v="5"/>
    <n v="0"/>
    <n v="28500"/>
    <n v="0"/>
  </r>
  <r>
    <n v="2020"/>
    <x v="0"/>
    <n v="12"/>
    <x v="6"/>
    <n v="0"/>
    <n v="28500"/>
    <n v="0"/>
  </r>
  <r>
    <n v="2020"/>
    <x v="0"/>
    <n v="12"/>
    <x v="7"/>
    <n v="0"/>
    <n v="28500"/>
    <n v="0"/>
  </r>
  <r>
    <n v="2020"/>
    <x v="0"/>
    <n v="12"/>
    <x v="8"/>
    <n v="0"/>
    <n v="28500"/>
    <n v="0"/>
  </r>
  <r>
    <n v="2020"/>
    <x v="0"/>
    <n v="12"/>
    <x v="9"/>
    <n v="3765.5"/>
    <n v="28500"/>
    <n v="0.13212280701754386"/>
  </r>
  <r>
    <n v="2020"/>
    <x v="0"/>
    <n v="12"/>
    <x v="10"/>
    <n v="7219"/>
    <n v="28500"/>
    <n v="0.25329824561403508"/>
  </r>
  <r>
    <n v="2020"/>
    <x v="0"/>
    <n v="12"/>
    <x v="11"/>
    <n v="16864"/>
    <n v="28500"/>
    <n v="0.59171929824561409"/>
  </r>
  <r>
    <n v="2020"/>
    <x v="0"/>
    <n v="12"/>
    <x v="12"/>
    <n v="10234"/>
    <n v="28500"/>
    <n v="0.35908771929824562"/>
  </r>
  <r>
    <n v="2020"/>
    <x v="0"/>
    <n v="12"/>
    <x v="13"/>
    <n v="20289.5"/>
    <n v="28500"/>
    <n v="0.71191228070175439"/>
  </r>
  <r>
    <n v="2020"/>
    <x v="0"/>
    <n v="12"/>
    <x v="14"/>
    <n v="13183.5"/>
    <n v="28500"/>
    <n v="0.46257894736842103"/>
  </r>
  <r>
    <n v="2020"/>
    <x v="0"/>
    <n v="12"/>
    <x v="15"/>
    <n v="11616"/>
    <n v="28500"/>
    <n v="0.40757894736842104"/>
  </r>
  <r>
    <n v="2020"/>
    <x v="0"/>
    <n v="12"/>
    <x v="16"/>
    <n v="0"/>
    <n v="28500"/>
    <n v="0"/>
  </r>
  <r>
    <n v="2020"/>
    <x v="0"/>
    <n v="12"/>
    <x v="17"/>
    <n v="0"/>
    <n v="28500"/>
    <n v="0"/>
  </r>
  <r>
    <n v="2020"/>
    <x v="0"/>
    <n v="12"/>
    <x v="18"/>
    <n v="0"/>
    <n v="28500"/>
    <n v="0"/>
  </r>
  <r>
    <n v="2020"/>
    <x v="0"/>
    <n v="12"/>
    <x v="19"/>
    <n v="0"/>
    <n v="28500"/>
    <n v="0"/>
  </r>
  <r>
    <n v="2020"/>
    <x v="0"/>
    <n v="12"/>
    <x v="20"/>
    <n v="0"/>
    <n v="28500"/>
    <n v="0"/>
  </r>
  <r>
    <n v="2020"/>
    <x v="0"/>
    <n v="12"/>
    <x v="21"/>
    <n v="0"/>
    <n v="28500"/>
    <n v="0"/>
  </r>
  <r>
    <n v="2020"/>
    <x v="0"/>
    <n v="12"/>
    <x v="22"/>
    <n v="0"/>
    <n v="28500"/>
    <n v="0"/>
  </r>
  <r>
    <n v="2020"/>
    <x v="0"/>
    <n v="12"/>
    <x v="23"/>
    <n v="0"/>
    <n v="28500"/>
    <n v="0"/>
  </r>
  <r>
    <n v="2020"/>
    <x v="0"/>
    <n v="13"/>
    <x v="0"/>
    <n v="0"/>
    <n v="28500"/>
    <n v="0"/>
  </r>
  <r>
    <n v="2020"/>
    <x v="0"/>
    <n v="13"/>
    <x v="1"/>
    <n v="0"/>
    <n v="28500"/>
    <n v="0"/>
  </r>
  <r>
    <n v="2020"/>
    <x v="0"/>
    <n v="13"/>
    <x v="2"/>
    <n v="0"/>
    <n v="28500"/>
    <n v="0"/>
  </r>
  <r>
    <n v="2020"/>
    <x v="0"/>
    <n v="13"/>
    <x v="3"/>
    <n v="0"/>
    <n v="28500"/>
    <n v="0"/>
  </r>
  <r>
    <n v="2020"/>
    <x v="0"/>
    <n v="13"/>
    <x v="4"/>
    <n v="0"/>
    <n v="28500"/>
    <n v="0"/>
  </r>
  <r>
    <n v="2020"/>
    <x v="0"/>
    <n v="13"/>
    <x v="5"/>
    <n v="0"/>
    <n v="28500"/>
    <n v="0"/>
  </r>
  <r>
    <n v="2020"/>
    <x v="0"/>
    <n v="13"/>
    <x v="6"/>
    <n v="0"/>
    <n v="28500"/>
    <n v="0"/>
  </r>
  <r>
    <n v="2020"/>
    <x v="0"/>
    <n v="13"/>
    <x v="7"/>
    <n v="0"/>
    <n v="28500"/>
    <n v="0"/>
  </r>
  <r>
    <n v="2020"/>
    <x v="0"/>
    <n v="13"/>
    <x v="8"/>
    <n v="0"/>
    <n v="28500"/>
    <n v="0"/>
  </r>
  <r>
    <n v="2020"/>
    <x v="0"/>
    <n v="13"/>
    <x v="9"/>
    <n v="3772.5"/>
    <n v="28500"/>
    <n v="0.13236842105263158"/>
  </r>
  <r>
    <n v="2020"/>
    <x v="0"/>
    <n v="13"/>
    <x v="10"/>
    <n v="12374.5"/>
    <n v="28500"/>
    <n v="0.43419298245614035"/>
  </r>
  <r>
    <n v="2020"/>
    <x v="0"/>
    <n v="13"/>
    <x v="11"/>
    <n v="13371"/>
    <n v="28500"/>
    <n v="0.46915789473684211"/>
  </r>
  <r>
    <n v="2020"/>
    <x v="0"/>
    <n v="13"/>
    <x v="12"/>
    <n v="6536.5"/>
    <n v="28500"/>
    <n v="0.22935087719298244"/>
  </r>
  <r>
    <n v="2020"/>
    <x v="0"/>
    <n v="13"/>
    <x v="13"/>
    <n v="1009.5"/>
    <n v="28500"/>
    <n v="3.542105263157895E-2"/>
  </r>
  <r>
    <n v="2020"/>
    <x v="0"/>
    <n v="13"/>
    <x v="14"/>
    <n v="2118.5"/>
    <n v="28500"/>
    <n v="7.4333333333333335E-2"/>
  </r>
  <r>
    <n v="2020"/>
    <x v="0"/>
    <n v="13"/>
    <x v="15"/>
    <n v="362"/>
    <n v="28500"/>
    <n v="1.2701754385964912E-2"/>
  </r>
  <r>
    <n v="2020"/>
    <x v="0"/>
    <n v="13"/>
    <x v="16"/>
    <n v="0"/>
    <n v="28500"/>
    <n v="0"/>
  </r>
  <r>
    <n v="2020"/>
    <x v="0"/>
    <n v="13"/>
    <x v="17"/>
    <n v="0"/>
    <n v="28500"/>
    <n v="0"/>
  </r>
  <r>
    <n v="2020"/>
    <x v="0"/>
    <n v="13"/>
    <x v="18"/>
    <n v="0"/>
    <n v="28500"/>
    <n v="0"/>
  </r>
  <r>
    <n v="2020"/>
    <x v="0"/>
    <n v="13"/>
    <x v="19"/>
    <n v="0"/>
    <n v="28500"/>
    <n v="0"/>
  </r>
  <r>
    <n v="2020"/>
    <x v="0"/>
    <n v="13"/>
    <x v="20"/>
    <n v="0"/>
    <n v="28500"/>
    <n v="0"/>
  </r>
  <r>
    <n v="2020"/>
    <x v="0"/>
    <n v="13"/>
    <x v="21"/>
    <n v="0"/>
    <n v="28500"/>
    <n v="0"/>
  </r>
  <r>
    <n v="2020"/>
    <x v="0"/>
    <n v="13"/>
    <x v="22"/>
    <n v="0"/>
    <n v="28500"/>
    <n v="0"/>
  </r>
  <r>
    <n v="2020"/>
    <x v="0"/>
    <n v="13"/>
    <x v="23"/>
    <n v="0"/>
    <n v="28500"/>
    <n v="0"/>
  </r>
  <r>
    <n v="2020"/>
    <x v="0"/>
    <n v="14"/>
    <x v="0"/>
    <n v="0"/>
    <n v="28500"/>
    <n v="0"/>
  </r>
  <r>
    <n v="2020"/>
    <x v="0"/>
    <n v="14"/>
    <x v="1"/>
    <n v="0"/>
    <n v="28500"/>
    <n v="0"/>
  </r>
  <r>
    <n v="2020"/>
    <x v="0"/>
    <n v="14"/>
    <x v="2"/>
    <n v="0"/>
    <n v="28500"/>
    <n v="0"/>
  </r>
  <r>
    <n v="2020"/>
    <x v="0"/>
    <n v="14"/>
    <x v="3"/>
    <n v="0"/>
    <n v="28500"/>
    <n v="0"/>
  </r>
  <r>
    <n v="2020"/>
    <x v="0"/>
    <n v="14"/>
    <x v="4"/>
    <n v="0"/>
    <n v="28500"/>
    <n v="0"/>
  </r>
  <r>
    <n v="2020"/>
    <x v="0"/>
    <n v="14"/>
    <x v="5"/>
    <n v="0"/>
    <n v="28500"/>
    <n v="0"/>
  </r>
  <r>
    <n v="2020"/>
    <x v="0"/>
    <n v="14"/>
    <x v="6"/>
    <n v="0"/>
    <n v="28500"/>
    <n v="0"/>
  </r>
  <r>
    <n v="2020"/>
    <x v="0"/>
    <n v="14"/>
    <x v="7"/>
    <n v="0"/>
    <n v="28500"/>
    <n v="0"/>
  </r>
  <r>
    <n v="2020"/>
    <x v="0"/>
    <n v="14"/>
    <x v="8"/>
    <n v="0"/>
    <n v="28500"/>
    <n v="0"/>
  </r>
  <r>
    <n v="2020"/>
    <x v="0"/>
    <n v="14"/>
    <x v="9"/>
    <n v="423"/>
    <n v="28500"/>
    <n v="1.4842105263157894E-2"/>
  </r>
  <r>
    <n v="2020"/>
    <x v="0"/>
    <n v="14"/>
    <x v="10"/>
    <n v="1112"/>
    <n v="28500"/>
    <n v="3.9017543859649124E-2"/>
  </r>
  <r>
    <n v="2020"/>
    <x v="0"/>
    <n v="14"/>
    <x v="11"/>
    <n v="4913"/>
    <n v="28500"/>
    <n v="0.1723859649122807"/>
  </r>
  <r>
    <n v="2020"/>
    <x v="0"/>
    <n v="14"/>
    <x v="12"/>
    <n v="2614.5"/>
    <n v="28500"/>
    <n v="9.1736842105263158E-2"/>
  </r>
  <r>
    <n v="2020"/>
    <x v="0"/>
    <n v="14"/>
    <x v="13"/>
    <n v="2642.5"/>
    <n v="28500"/>
    <n v="9.2719298245614035E-2"/>
  </r>
  <r>
    <n v="2020"/>
    <x v="0"/>
    <n v="14"/>
    <x v="14"/>
    <n v="2444.5"/>
    <n v="28500"/>
    <n v="8.5771929824561402E-2"/>
  </r>
  <r>
    <n v="2020"/>
    <x v="0"/>
    <n v="14"/>
    <x v="15"/>
    <n v="243"/>
    <n v="28500"/>
    <n v="8.5263157894736839E-3"/>
  </r>
  <r>
    <n v="2020"/>
    <x v="0"/>
    <n v="14"/>
    <x v="16"/>
    <n v="0"/>
    <n v="28500"/>
    <n v="0"/>
  </r>
  <r>
    <n v="2020"/>
    <x v="0"/>
    <n v="14"/>
    <x v="17"/>
    <n v="0"/>
    <n v="28500"/>
    <n v="0"/>
  </r>
  <r>
    <n v="2020"/>
    <x v="0"/>
    <n v="14"/>
    <x v="18"/>
    <n v="0"/>
    <n v="28500"/>
    <n v="0"/>
  </r>
  <r>
    <n v="2020"/>
    <x v="0"/>
    <n v="14"/>
    <x v="19"/>
    <n v="0"/>
    <n v="28500"/>
    <n v="0"/>
  </r>
  <r>
    <n v="2020"/>
    <x v="0"/>
    <n v="14"/>
    <x v="20"/>
    <n v="0"/>
    <n v="28500"/>
    <n v="0"/>
  </r>
  <r>
    <n v="2020"/>
    <x v="0"/>
    <n v="14"/>
    <x v="21"/>
    <n v="0"/>
    <n v="28500"/>
    <n v="0"/>
  </r>
  <r>
    <n v="2020"/>
    <x v="0"/>
    <n v="14"/>
    <x v="22"/>
    <n v="0"/>
    <n v="28500"/>
    <n v="0"/>
  </r>
  <r>
    <n v="2020"/>
    <x v="0"/>
    <n v="14"/>
    <x v="23"/>
    <n v="0"/>
    <n v="28500"/>
    <n v="0"/>
  </r>
  <r>
    <n v="2020"/>
    <x v="0"/>
    <n v="15"/>
    <x v="0"/>
    <n v="0"/>
    <n v="28500"/>
    <n v="0"/>
  </r>
  <r>
    <n v="2020"/>
    <x v="0"/>
    <n v="15"/>
    <x v="1"/>
    <n v="0"/>
    <n v="28500"/>
    <n v="0"/>
  </r>
  <r>
    <n v="2020"/>
    <x v="0"/>
    <n v="15"/>
    <x v="2"/>
    <n v="0"/>
    <n v="28500"/>
    <n v="0"/>
  </r>
  <r>
    <n v="2020"/>
    <x v="0"/>
    <n v="15"/>
    <x v="3"/>
    <n v="0"/>
    <n v="28500"/>
    <n v="0"/>
  </r>
  <r>
    <n v="2020"/>
    <x v="0"/>
    <n v="15"/>
    <x v="4"/>
    <n v="0"/>
    <n v="28500"/>
    <n v="0"/>
  </r>
  <r>
    <n v="2020"/>
    <x v="0"/>
    <n v="15"/>
    <x v="5"/>
    <n v="0"/>
    <n v="28500"/>
    <n v="0"/>
  </r>
  <r>
    <n v="2020"/>
    <x v="0"/>
    <n v="15"/>
    <x v="6"/>
    <n v="0"/>
    <n v="28500"/>
    <n v="0"/>
  </r>
  <r>
    <n v="2020"/>
    <x v="0"/>
    <n v="15"/>
    <x v="7"/>
    <n v="0"/>
    <n v="28500"/>
    <n v="0"/>
  </r>
  <r>
    <n v="2020"/>
    <x v="0"/>
    <n v="15"/>
    <x v="8"/>
    <n v="0"/>
    <n v="28500"/>
    <n v="0"/>
  </r>
  <r>
    <n v="2020"/>
    <x v="0"/>
    <n v="15"/>
    <x v="9"/>
    <n v="1180"/>
    <n v="28500"/>
    <n v="4.1403508771929824E-2"/>
  </r>
  <r>
    <n v="2020"/>
    <x v="0"/>
    <n v="15"/>
    <x v="10"/>
    <n v="250.5"/>
    <n v="28500"/>
    <n v="8.7894736842105258E-3"/>
  </r>
  <r>
    <n v="2020"/>
    <x v="0"/>
    <n v="15"/>
    <x v="11"/>
    <n v="4061"/>
    <n v="28500"/>
    <n v="0.14249122807017545"/>
  </r>
  <r>
    <n v="2020"/>
    <x v="0"/>
    <n v="15"/>
    <x v="12"/>
    <n v="4919.5"/>
    <n v="28500"/>
    <n v="0.1726140350877193"/>
  </r>
  <r>
    <n v="2020"/>
    <x v="0"/>
    <n v="15"/>
    <x v="13"/>
    <n v="24865.5"/>
    <n v="28500"/>
    <n v="0.87247368421052629"/>
  </r>
  <r>
    <n v="2020"/>
    <x v="0"/>
    <n v="15"/>
    <x v="14"/>
    <n v="17682.5"/>
    <n v="28500"/>
    <n v="0.62043859649122812"/>
  </r>
  <r>
    <n v="2020"/>
    <x v="0"/>
    <n v="15"/>
    <x v="15"/>
    <n v="12226"/>
    <n v="28500"/>
    <n v="0.42898245614035085"/>
  </r>
  <r>
    <n v="2020"/>
    <x v="0"/>
    <n v="15"/>
    <x v="16"/>
    <n v="0"/>
    <n v="28500"/>
    <n v="0"/>
  </r>
  <r>
    <n v="2020"/>
    <x v="0"/>
    <n v="15"/>
    <x v="17"/>
    <n v="0"/>
    <n v="28500"/>
    <n v="0"/>
  </r>
  <r>
    <n v="2020"/>
    <x v="0"/>
    <n v="15"/>
    <x v="18"/>
    <n v="0"/>
    <n v="28500"/>
    <n v="0"/>
  </r>
  <r>
    <n v="2020"/>
    <x v="0"/>
    <n v="15"/>
    <x v="19"/>
    <n v="0"/>
    <n v="28500"/>
    <n v="0"/>
  </r>
  <r>
    <n v="2020"/>
    <x v="0"/>
    <n v="15"/>
    <x v="20"/>
    <n v="0"/>
    <n v="28500"/>
    <n v="0"/>
  </r>
  <r>
    <n v="2020"/>
    <x v="0"/>
    <n v="15"/>
    <x v="21"/>
    <n v="0"/>
    <n v="28500"/>
    <n v="0"/>
  </r>
  <r>
    <n v="2020"/>
    <x v="0"/>
    <n v="15"/>
    <x v="22"/>
    <n v="0"/>
    <n v="28500"/>
    <n v="0"/>
  </r>
  <r>
    <n v="2020"/>
    <x v="0"/>
    <n v="15"/>
    <x v="23"/>
    <n v="0"/>
    <n v="28500"/>
    <n v="0"/>
  </r>
  <r>
    <n v="2020"/>
    <x v="0"/>
    <n v="16"/>
    <x v="0"/>
    <n v="0"/>
    <n v="28500"/>
    <n v="0"/>
  </r>
  <r>
    <n v="2020"/>
    <x v="0"/>
    <n v="16"/>
    <x v="1"/>
    <n v="0"/>
    <n v="28500"/>
    <n v="0"/>
  </r>
  <r>
    <n v="2020"/>
    <x v="0"/>
    <n v="16"/>
    <x v="2"/>
    <n v="0"/>
    <n v="28500"/>
    <n v="0"/>
  </r>
  <r>
    <n v="2020"/>
    <x v="0"/>
    <n v="16"/>
    <x v="3"/>
    <n v="0"/>
    <n v="28500"/>
    <n v="0"/>
  </r>
  <r>
    <n v="2020"/>
    <x v="0"/>
    <n v="16"/>
    <x v="4"/>
    <n v="0"/>
    <n v="28500"/>
    <n v="0"/>
  </r>
  <r>
    <n v="2020"/>
    <x v="0"/>
    <n v="16"/>
    <x v="5"/>
    <n v="0"/>
    <n v="28500"/>
    <n v="0"/>
  </r>
  <r>
    <n v="2020"/>
    <x v="0"/>
    <n v="16"/>
    <x v="6"/>
    <n v="0"/>
    <n v="28500"/>
    <n v="0"/>
  </r>
  <r>
    <n v="2020"/>
    <x v="0"/>
    <n v="16"/>
    <x v="7"/>
    <n v="0"/>
    <n v="28500"/>
    <n v="0"/>
  </r>
  <r>
    <n v="2020"/>
    <x v="0"/>
    <n v="16"/>
    <x v="8"/>
    <n v="0"/>
    <n v="28500"/>
    <n v="0"/>
  </r>
  <r>
    <n v="2020"/>
    <x v="0"/>
    <n v="16"/>
    <x v="9"/>
    <n v="2622.5"/>
    <n v="28500"/>
    <n v="9.2017543859649123E-2"/>
  </r>
  <r>
    <n v="2020"/>
    <x v="0"/>
    <n v="16"/>
    <x v="10"/>
    <n v="2312.5"/>
    <n v="28500"/>
    <n v="8.1140350877192985E-2"/>
  </r>
  <r>
    <n v="2020"/>
    <x v="0"/>
    <n v="16"/>
    <x v="11"/>
    <n v="1658.5"/>
    <n v="28500"/>
    <n v="5.8192982456140352E-2"/>
  </r>
  <r>
    <n v="2020"/>
    <x v="0"/>
    <n v="16"/>
    <x v="12"/>
    <n v="24130"/>
    <n v="28500"/>
    <n v="0.84666666666666668"/>
  </r>
  <r>
    <n v="2020"/>
    <x v="0"/>
    <n v="16"/>
    <x v="13"/>
    <n v="20344.5"/>
    <n v="28500"/>
    <n v="0.71384210526315794"/>
  </r>
  <r>
    <n v="2020"/>
    <x v="0"/>
    <n v="16"/>
    <x v="14"/>
    <n v="9637"/>
    <n v="28500"/>
    <n v="0.33814035087719296"/>
  </r>
  <r>
    <n v="2020"/>
    <x v="0"/>
    <n v="16"/>
    <x v="15"/>
    <n v="7212.5"/>
    <n v="28500"/>
    <n v="0.2530701754385965"/>
  </r>
  <r>
    <n v="2020"/>
    <x v="0"/>
    <n v="16"/>
    <x v="16"/>
    <n v="0"/>
    <n v="28500"/>
    <n v="0"/>
  </r>
  <r>
    <n v="2020"/>
    <x v="0"/>
    <n v="16"/>
    <x v="17"/>
    <n v="0"/>
    <n v="28500"/>
    <n v="0"/>
  </r>
  <r>
    <n v="2020"/>
    <x v="0"/>
    <n v="16"/>
    <x v="18"/>
    <n v="0"/>
    <n v="28500"/>
    <n v="0"/>
  </r>
  <r>
    <n v="2020"/>
    <x v="0"/>
    <n v="16"/>
    <x v="19"/>
    <n v="0"/>
    <n v="28500"/>
    <n v="0"/>
  </r>
  <r>
    <n v="2020"/>
    <x v="0"/>
    <n v="16"/>
    <x v="20"/>
    <n v="0"/>
    <n v="28500"/>
    <n v="0"/>
  </r>
  <r>
    <n v="2020"/>
    <x v="0"/>
    <n v="16"/>
    <x v="21"/>
    <n v="0"/>
    <n v="28500"/>
    <n v="0"/>
  </r>
  <r>
    <n v="2020"/>
    <x v="0"/>
    <n v="16"/>
    <x v="22"/>
    <n v="0"/>
    <n v="28500"/>
    <n v="0"/>
  </r>
  <r>
    <n v="2020"/>
    <x v="0"/>
    <n v="16"/>
    <x v="23"/>
    <n v="0"/>
    <n v="28500"/>
    <n v="0"/>
  </r>
  <r>
    <n v="2020"/>
    <x v="0"/>
    <n v="17"/>
    <x v="0"/>
    <n v="0"/>
    <n v="28500"/>
    <n v="0"/>
  </r>
  <r>
    <n v="2020"/>
    <x v="0"/>
    <n v="17"/>
    <x v="1"/>
    <n v="0"/>
    <n v="28500"/>
    <n v="0"/>
  </r>
  <r>
    <n v="2020"/>
    <x v="0"/>
    <n v="17"/>
    <x v="2"/>
    <n v="0"/>
    <n v="28500"/>
    <n v="0"/>
  </r>
  <r>
    <n v="2020"/>
    <x v="0"/>
    <n v="17"/>
    <x v="3"/>
    <n v="0"/>
    <n v="28500"/>
    <n v="0"/>
  </r>
  <r>
    <n v="2020"/>
    <x v="0"/>
    <n v="17"/>
    <x v="4"/>
    <n v="0"/>
    <n v="28500"/>
    <n v="0"/>
  </r>
  <r>
    <n v="2020"/>
    <x v="0"/>
    <n v="17"/>
    <x v="5"/>
    <n v="0"/>
    <n v="28500"/>
    <n v="0"/>
  </r>
  <r>
    <n v="2020"/>
    <x v="0"/>
    <n v="17"/>
    <x v="6"/>
    <n v="0"/>
    <n v="28500"/>
    <n v="0"/>
  </r>
  <r>
    <n v="2020"/>
    <x v="0"/>
    <n v="17"/>
    <x v="7"/>
    <n v="0"/>
    <n v="28500"/>
    <n v="0"/>
  </r>
  <r>
    <n v="2020"/>
    <x v="0"/>
    <n v="17"/>
    <x v="8"/>
    <n v="0"/>
    <n v="28500"/>
    <n v="0"/>
  </r>
  <r>
    <n v="2020"/>
    <x v="0"/>
    <n v="17"/>
    <x v="9"/>
    <n v="775.5"/>
    <n v="28500"/>
    <n v="2.7210526315789473E-2"/>
  </r>
  <r>
    <n v="2020"/>
    <x v="0"/>
    <n v="17"/>
    <x v="10"/>
    <n v="16824"/>
    <n v="28500"/>
    <n v="0.59031578947368424"/>
  </r>
  <r>
    <n v="2020"/>
    <x v="0"/>
    <n v="17"/>
    <x v="11"/>
    <n v="1400"/>
    <n v="28500"/>
    <n v="4.912280701754386E-2"/>
  </r>
  <r>
    <n v="2020"/>
    <x v="0"/>
    <n v="17"/>
    <x v="12"/>
    <n v="21723"/>
    <n v="28500"/>
    <n v="0.76221052631578945"/>
  </r>
  <r>
    <n v="2020"/>
    <x v="0"/>
    <n v="17"/>
    <x v="13"/>
    <n v="5630"/>
    <n v="28500"/>
    <n v="0.1975438596491228"/>
  </r>
  <r>
    <n v="2020"/>
    <x v="0"/>
    <n v="17"/>
    <x v="14"/>
    <n v="10418"/>
    <n v="28500"/>
    <n v="0.36554385964912278"/>
  </r>
  <r>
    <n v="2020"/>
    <x v="0"/>
    <n v="17"/>
    <x v="15"/>
    <n v="847.5"/>
    <n v="28500"/>
    <n v="2.9736842105263159E-2"/>
  </r>
  <r>
    <n v="2020"/>
    <x v="0"/>
    <n v="17"/>
    <x v="16"/>
    <n v="0"/>
    <n v="28500"/>
    <n v="0"/>
  </r>
  <r>
    <n v="2020"/>
    <x v="0"/>
    <n v="17"/>
    <x v="17"/>
    <n v="0"/>
    <n v="28500"/>
    <n v="0"/>
  </r>
  <r>
    <n v="2020"/>
    <x v="0"/>
    <n v="17"/>
    <x v="18"/>
    <n v="0"/>
    <n v="28500"/>
    <n v="0"/>
  </r>
  <r>
    <n v="2020"/>
    <x v="0"/>
    <n v="17"/>
    <x v="19"/>
    <n v="0"/>
    <n v="28500"/>
    <n v="0"/>
  </r>
  <r>
    <n v="2020"/>
    <x v="0"/>
    <n v="17"/>
    <x v="20"/>
    <n v="0"/>
    <n v="28500"/>
    <n v="0"/>
  </r>
  <r>
    <n v="2020"/>
    <x v="0"/>
    <n v="17"/>
    <x v="21"/>
    <n v="0"/>
    <n v="28500"/>
    <n v="0"/>
  </r>
  <r>
    <n v="2020"/>
    <x v="0"/>
    <n v="17"/>
    <x v="22"/>
    <n v="0"/>
    <n v="28500"/>
    <n v="0"/>
  </r>
  <r>
    <n v="2020"/>
    <x v="0"/>
    <n v="17"/>
    <x v="23"/>
    <n v="0"/>
    <n v="28500"/>
    <n v="0"/>
  </r>
  <r>
    <n v="2020"/>
    <x v="0"/>
    <n v="18"/>
    <x v="0"/>
    <n v="0"/>
    <n v="28500"/>
    <n v="0"/>
  </r>
  <r>
    <n v="2020"/>
    <x v="0"/>
    <n v="18"/>
    <x v="1"/>
    <n v="0"/>
    <n v="28500"/>
    <n v="0"/>
  </r>
  <r>
    <n v="2020"/>
    <x v="0"/>
    <n v="18"/>
    <x v="2"/>
    <n v="0"/>
    <n v="28500"/>
    <n v="0"/>
  </r>
  <r>
    <n v="2020"/>
    <x v="0"/>
    <n v="18"/>
    <x v="3"/>
    <n v="0"/>
    <n v="28500"/>
    <n v="0"/>
  </r>
  <r>
    <n v="2020"/>
    <x v="0"/>
    <n v="18"/>
    <x v="4"/>
    <n v="0"/>
    <n v="28500"/>
    <n v="0"/>
  </r>
  <r>
    <n v="2020"/>
    <x v="0"/>
    <n v="18"/>
    <x v="5"/>
    <n v="0"/>
    <n v="28500"/>
    <n v="0"/>
  </r>
  <r>
    <n v="2020"/>
    <x v="0"/>
    <n v="18"/>
    <x v="6"/>
    <n v="0"/>
    <n v="28500"/>
    <n v="0"/>
  </r>
  <r>
    <n v="2020"/>
    <x v="0"/>
    <n v="18"/>
    <x v="7"/>
    <n v="0"/>
    <n v="28500"/>
    <n v="0"/>
  </r>
  <r>
    <n v="2020"/>
    <x v="0"/>
    <n v="18"/>
    <x v="8"/>
    <n v="0"/>
    <n v="28500"/>
    <n v="0"/>
  </r>
  <r>
    <n v="2020"/>
    <x v="0"/>
    <n v="18"/>
    <x v="9"/>
    <n v="10412.5"/>
    <n v="28500"/>
    <n v="0.36535087719298248"/>
  </r>
  <r>
    <n v="2020"/>
    <x v="0"/>
    <n v="18"/>
    <x v="10"/>
    <n v="25527"/>
    <n v="28500"/>
    <n v="0.89568421052631575"/>
  </r>
  <r>
    <n v="2020"/>
    <x v="0"/>
    <n v="18"/>
    <x v="11"/>
    <n v="30909.5"/>
    <n v="28500"/>
    <n v="1.0845438596491228"/>
  </r>
  <r>
    <n v="2020"/>
    <x v="0"/>
    <n v="18"/>
    <x v="12"/>
    <n v="33521"/>
    <n v="28500"/>
    <n v="1.1761754385964913"/>
  </r>
  <r>
    <n v="2020"/>
    <x v="0"/>
    <n v="18"/>
    <x v="13"/>
    <n v="31578"/>
    <n v="28500"/>
    <n v="1.1080000000000001"/>
  </r>
  <r>
    <n v="2020"/>
    <x v="0"/>
    <n v="18"/>
    <x v="14"/>
    <n v="26266.5"/>
    <n v="28500"/>
    <n v="0.92163157894736847"/>
  </r>
  <r>
    <n v="2020"/>
    <x v="0"/>
    <n v="18"/>
    <x v="15"/>
    <n v="15325.5"/>
    <n v="28500"/>
    <n v="0.53773684210526318"/>
  </r>
  <r>
    <n v="2020"/>
    <x v="0"/>
    <n v="18"/>
    <x v="16"/>
    <n v="0"/>
    <n v="28500"/>
    <n v="0"/>
  </r>
  <r>
    <n v="2020"/>
    <x v="0"/>
    <n v="18"/>
    <x v="17"/>
    <n v="0"/>
    <n v="28500"/>
    <n v="0"/>
  </r>
  <r>
    <n v="2020"/>
    <x v="0"/>
    <n v="18"/>
    <x v="18"/>
    <n v="0"/>
    <n v="28500"/>
    <n v="0"/>
  </r>
  <r>
    <n v="2020"/>
    <x v="0"/>
    <n v="18"/>
    <x v="19"/>
    <n v="0"/>
    <n v="28500"/>
    <n v="0"/>
  </r>
  <r>
    <n v="2020"/>
    <x v="0"/>
    <n v="18"/>
    <x v="20"/>
    <n v="0"/>
    <n v="28500"/>
    <n v="0"/>
  </r>
  <r>
    <n v="2020"/>
    <x v="0"/>
    <n v="18"/>
    <x v="21"/>
    <n v="0"/>
    <n v="28500"/>
    <n v="0"/>
  </r>
  <r>
    <n v="2020"/>
    <x v="0"/>
    <n v="18"/>
    <x v="22"/>
    <n v="0"/>
    <n v="28500"/>
    <n v="0"/>
  </r>
  <r>
    <n v="2020"/>
    <x v="0"/>
    <n v="18"/>
    <x v="23"/>
    <n v="0"/>
    <n v="28500"/>
    <n v="0"/>
  </r>
  <r>
    <n v="2020"/>
    <x v="0"/>
    <n v="19"/>
    <x v="0"/>
    <n v="0"/>
    <n v="28500"/>
    <n v="0"/>
  </r>
  <r>
    <n v="2020"/>
    <x v="0"/>
    <n v="19"/>
    <x v="1"/>
    <n v="0"/>
    <n v="28500"/>
    <n v="0"/>
  </r>
  <r>
    <n v="2020"/>
    <x v="0"/>
    <n v="19"/>
    <x v="2"/>
    <n v="0"/>
    <n v="28500"/>
    <n v="0"/>
  </r>
  <r>
    <n v="2020"/>
    <x v="0"/>
    <n v="19"/>
    <x v="3"/>
    <n v="0"/>
    <n v="28500"/>
    <n v="0"/>
  </r>
  <r>
    <n v="2020"/>
    <x v="0"/>
    <n v="19"/>
    <x v="4"/>
    <n v="0"/>
    <n v="28500"/>
    <n v="0"/>
  </r>
  <r>
    <n v="2020"/>
    <x v="0"/>
    <n v="19"/>
    <x v="5"/>
    <n v="0"/>
    <n v="28500"/>
    <n v="0"/>
  </r>
  <r>
    <n v="2020"/>
    <x v="0"/>
    <n v="19"/>
    <x v="6"/>
    <n v="0"/>
    <n v="28500"/>
    <n v="0"/>
  </r>
  <r>
    <n v="2020"/>
    <x v="0"/>
    <n v="19"/>
    <x v="7"/>
    <n v="0"/>
    <n v="28500"/>
    <n v="0"/>
  </r>
  <r>
    <n v="2020"/>
    <x v="0"/>
    <n v="19"/>
    <x v="8"/>
    <n v="0"/>
    <n v="28500"/>
    <n v="0"/>
  </r>
  <r>
    <n v="2020"/>
    <x v="0"/>
    <n v="19"/>
    <x v="9"/>
    <n v="9481.5"/>
    <n v="28500"/>
    <n v="0.3326842105263158"/>
  </r>
  <r>
    <n v="2020"/>
    <x v="0"/>
    <n v="19"/>
    <x v="10"/>
    <n v="24696"/>
    <n v="28500"/>
    <n v="0.8665263157894737"/>
  </r>
  <r>
    <n v="2020"/>
    <x v="0"/>
    <n v="19"/>
    <x v="11"/>
    <n v="30292.5"/>
    <n v="28500"/>
    <n v="1.0628947368421053"/>
  </r>
  <r>
    <n v="2020"/>
    <x v="0"/>
    <n v="19"/>
    <x v="12"/>
    <n v="33117"/>
    <n v="28500"/>
    <n v="1.1619999999999999"/>
  </r>
  <r>
    <n v="2020"/>
    <x v="0"/>
    <n v="19"/>
    <x v="13"/>
    <n v="29740"/>
    <n v="28500"/>
    <n v="1.0435087719298246"/>
  </r>
  <r>
    <n v="2020"/>
    <x v="0"/>
    <n v="19"/>
    <x v="14"/>
    <n v="25202"/>
    <n v="28500"/>
    <n v="0.884280701754386"/>
  </r>
  <r>
    <n v="2020"/>
    <x v="0"/>
    <n v="19"/>
    <x v="15"/>
    <n v="15929.5"/>
    <n v="28500"/>
    <n v="0.5589298245614035"/>
  </r>
  <r>
    <n v="2020"/>
    <x v="0"/>
    <n v="19"/>
    <x v="16"/>
    <n v="0"/>
    <n v="28500"/>
    <n v="0"/>
  </r>
  <r>
    <n v="2020"/>
    <x v="0"/>
    <n v="19"/>
    <x v="17"/>
    <n v="0"/>
    <n v="28500"/>
    <n v="0"/>
  </r>
  <r>
    <n v="2020"/>
    <x v="0"/>
    <n v="19"/>
    <x v="18"/>
    <n v="0"/>
    <n v="28500"/>
    <n v="0"/>
  </r>
  <r>
    <n v="2020"/>
    <x v="0"/>
    <n v="19"/>
    <x v="19"/>
    <n v="0"/>
    <n v="28500"/>
    <n v="0"/>
  </r>
  <r>
    <n v="2020"/>
    <x v="0"/>
    <n v="19"/>
    <x v="20"/>
    <n v="0"/>
    <n v="28500"/>
    <n v="0"/>
  </r>
  <r>
    <n v="2020"/>
    <x v="0"/>
    <n v="19"/>
    <x v="21"/>
    <n v="0"/>
    <n v="28500"/>
    <n v="0"/>
  </r>
  <r>
    <n v="2020"/>
    <x v="0"/>
    <n v="19"/>
    <x v="22"/>
    <n v="0"/>
    <n v="28500"/>
    <n v="0"/>
  </r>
  <r>
    <n v="2020"/>
    <x v="0"/>
    <n v="19"/>
    <x v="23"/>
    <n v="0"/>
    <n v="28500"/>
    <n v="0"/>
  </r>
  <r>
    <n v="2020"/>
    <x v="0"/>
    <n v="20"/>
    <x v="0"/>
    <n v="0"/>
    <n v="28500"/>
    <n v="0"/>
  </r>
  <r>
    <n v="2020"/>
    <x v="0"/>
    <n v="20"/>
    <x v="1"/>
    <n v="0"/>
    <n v="28500"/>
    <n v="0"/>
  </r>
  <r>
    <n v="2020"/>
    <x v="0"/>
    <n v="20"/>
    <x v="2"/>
    <n v="0"/>
    <n v="28500"/>
    <n v="0"/>
  </r>
  <r>
    <n v="2020"/>
    <x v="0"/>
    <n v="20"/>
    <x v="3"/>
    <n v="0"/>
    <n v="28500"/>
    <n v="0"/>
  </r>
  <r>
    <n v="2020"/>
    <x v="0"/>
    <n v="20"/>
    <x v="4"/>
    <n v="0"/>
    <n v="28500"/>
    <n v="0"/>
  </r>
  <r>
    <n v="2020"/>
    <x v="0"/>
    <n v="20"/>
    <x v="5"/>
    <n v="0"/>
    <n v="28500"/>
    <n v="0"/>
  </r>
  <r>
    <n v="2020"/>
    <x v="0"/>
    <n v="20"/>
    <x v="6"/>
    <n v="0"/>
    <n v="28500"/>
    <n v="0"/>
  </r>
  <r>
    <n v="2020"/>
    <x v="0"/>
    <n v="20"/>
    <x v="7"/>
    <n v="0"/>
    <n v="28500"/>
    <n v="0"/>
  </r>
  <r>
    <n v="2020"/>
    <x v="0"/>
    <n v="20"/>
    <x v="8"/>
    <n v="0"/>
    <n v="28500"/>
    <n v="0"/>
  </r>
  <r>
    <n v="2020"/>
    <x v="0"/>
    <n v="20"/>
    <x v="9"/>
    <n v="8722"/>
    <n v="28500"/>
    <n v="0.30603508771929827"/>
  </r>
  <r>
    <n v="2020"/>
    <x v="0"/>
    <n v="20"/>
    <x v="10"/>
    <n v="4311"/>
    <n v="28500"/>
    <n v="0.15126315789473685"/>
  </r>
  <r>
    <n v="2020"/>
    <x v="0"/>
    <n v="20"/>
    <x v="11"/>
    <n v="7369.5"/>
    <n v="28500"/>
    <n v="0.25857894736842107"/>
  </r>
  <r>
    <n v="2020"/>
    <x v="0"/>
    <n v="20"/>
    <x v="12"/>
    <n v="8344"/>
    <n v="28500"/>
    <n v="0.29277192982456141"/>
  </r>
  <r>
    <n v="2020"/>
    <x v="0"/>
    <n v="20"/>
    <x v="13"/>
    <n v="4594"/>
    <n v="28500"/>
    <n v="0.16119298245614036"/>
  </r>
  <r>
    <n v="2020"/>
    <x v="0"/>
    <n v="20"/>
    <x v="14"/>
    <n v="23135.5"/>
    <n v="28500"/>
    <n v="0.81177192982456137"/>
  </r>
  <r>
    <n v="2020"/>
    <x v="0"/>
    <n v="20"/>
    <x v="15"/>
    <n v="15375"/>
    <n v="28500"/>
    <n v="0.53947368421052633"/>
  </r>
  <r>
    <n v="2020"/>
    <x v="0"/>
    <n v="20"/>
    <x v="16"/>
    <n v="0"/>
    <n v="28500"/>
    <n v="0"/>
  </r>
  <r>
    <n v="2020"/>
    <x v="0"/>
    <n v="20"/>
    <x v="17"/>
    <n v="0"/>
    <n v="28500"/>
    <n v="0"/>
  </r>
  <r>
    <n v="2020"/>
    <x v="0"/>
    <n v="20"/>
    <x v="18"/>
    <n v="0"/>
    <n v="28500"/>
    <n v="0"/>
  </r>
  <r>
    <n v="2020"/>
    <x v="0"/>
    <n v="20"/>
    <x v="19"/>
    <n v="0"/>
    <n v="28500"/>
    <n v="0"/>
  </r>
  <r>
    <n v="2020"/>
    <x v="0"/>
    <n v="20"/>
    <x v="20"/>
    <n v="0"/>
    <n v="28500"/>
    <n v="0"/>
  </r>
  <r>
    <n v="2020"/>
    <x v="0"/>
    <n v="20"/>
    <x v="21"/>
    <n v="0"/>
    <n v="28500"/>
    <n v="0"/>
  </r>
  <r>
    <n v="2020"/>
    <x v="0"/>
    <n v="20"/>
    <x v="22"/>
    <n v="0"/>
    <n v="28500"/>
    <n v="0"/>
  </r>
  <r>
    <n v="2020"/>
    <x v="0"/>
    <n v="20"/>
    <x v="23"/>
    <n v="0"/>
    <n v="28500"/>
    <n v="0"/>
  </r>
  <r>
    <n v="2020"/>
    <x v="0"/>
    <n v="21"/>
    <x v="0"/>
    <n v="0"/>
    <n v="28500"/>
    <n v="0"/>
  </r>
  <r>
    <n v="2020"/>
    <x v="0"/>
    <n v="21"/>
    <x v="1"/>
    <n v="0"/>
    <n v="28500"/>
    <n v="0"/>
  </r>
  <r>
    <n v="2020"/>
    <x v="0"/>
    <n v="21"/>
    <x v="2"/>
    <n v="0"/>
    <n v="28500"/>
    <n v="0"/>
  </r>
  <r>
    <n v="2020"/>
    <x v="0"/>
    <n v="21"/>
    <x v="3"/>
    <n v="0"/>
    <n v="28500"/>
    <n v="0"/>
  </r>
  <r>
    <n v="2020"/>
    <x v="0"/>
    <n v="21"/>
    <x v="4"/>
    <n v="0"/>
    <n v="28500"/>
    <n v="0"/>
  </r>
  <r>
    <n v="2020"/>
    <x v="0"/>
    <n v="21"/>
    <x v="5"/>
    <n v="0"/>
    <n v="28500"/>
    <n v="0"/>
  </r>
  <r>
    <n v="2020"/>
    <x v="0"/>
    <n v="21"/>
    <x v="6"/>
    <n v="0"/>
    <n v="28500"/>
    <n v="0"/>
  </r>
  <r>
    <n v="2020"/>
    <x v="0"/>
    <n v="21"/>
    <x v="7"/>
    <n v="0"/>
    <n v="28500"/>
    <n v="0"/>
  </r>
  <r>
    <n v="2020"/>
    <x v="0"/>
    <n v="21"/>
    <x v="8"/>
    <n v="0"/>
    <n v="28500"/>
    <n v="0"/>
  </r>
  <r>
    <n v="2020"/>
    <x v="0"/>
    <n v="21"/>
    <x v="9"/>
    <n v="9287"/>
    <n v="28500"/>
    <n v="0.32585964912280702"/>
  </r>
  <r>
    <n v="2020"/>
    <x v="0"/>
    <n v="21"/>
    <x v="10"/>
    <n v="5903.5"/>
    <n v="28500"/>
    <n v="0.20714035087719299"/>
  </r>
  <r>
    <n v="2020"/>
    <x v="0"/>
    <n v="21"/>
    <x v="11"/>
    <n v="13277"/>
    <n v="28500"/>
    <n v="0.46585964912280703"/>
  </r>
  <r>
    <n v="2020"/>
    <x v="0"/>
    <n v="21"/>
    <x v="12"/>
    <n v="31860.5"/>
    <n v="28500"/>
    <n v="1.1179122807017543"/>
  </r>
  <r>
    <n v="2020"/>
    <x v="0"/>
    <n v="21"/>
    <x v="13"/>
    <n v="29491.5"/>
    <n v="28500"/>
    <n v="1.0347894736842105"/>
  </r>
  <r>
    <n v="2020"/>
    <x v="0"/>
    <n v="21"/>
    <x v="14"/>
    <n v="24473"/>
    <n v="28500"/>
    <n v="0.85870175438596497"/>
  </r>
  <r>
    <n v="2020"/>
    <x v="0"/>
    <n v="21"/>
    <x v="15"/>
    <n v="15387"/>
    <n v="28500"/>
    <n v="0.53989473684210532"/>
  </r>
  <r>
    <n v="2020"/>
    <x v="0"/>
    <n v="21"/>
    <x v="16"/>
    <n v="0"/>
    <n v="28500"/>
    <n v="0"/>
  </r>
  <r>
    <n v="2020"/>
    <x v="0"/>
    <n v="21"/>
    <x v="17"/>
    <n v="0"/>
    <n v="28500"/>
    <n v="0"/>
  </r>
  <r>
    <n v="2020"/>
    <x v="0"/>
    <n v="21"/>
    <x v="18"/>
    <n v="0"/>
    <n v="28500"/>
    <n v="0"/>
  </r>
  <r>
    <n v="2020"/>
    <x v="0"/>
    <n v="21"/>
    <x v="19"/>
    <n v="0"/>
    <n v="28500"/>
    <n v="0"/>
  </r>
  <r>
    <n v="2020"/>
    <x v="0"/>
    <n v="21"/>
    <x v="20"/>
    <n v="0"/>
    <n v="28500"/>
    <n v="0"/>
  </r>
  <r>
    <n v="2020"/>
    <x v="0"/>
    <n v="21"/>
    <x v="21"/>
    <n v="0"/>
    <n v="28500"/>
    <n v="0"/>
  </r>
  <r>
    <n v="2020"/>
    <x v="0"/>
    <n v="21"/>
    <x v="22"/>
    <n v="0"/>
    <n v="28500"/>
    <n v="0"/>
  </r>
  <r>
    <n v="2020"/>
    <x v="0"/>
    <n v="21"/>
    <x v="23"/>
    <n v="0"/>
    <n v="28500"/>
    <n v="0"/>
  </r>
  <r>
    <n v="2020"/>
    <x v="0"/>
    <n v="22"/>
    <x v="0"/>
    <n v="0"/>
    <n v="28500"/>
    <n v="0"/>
  </r>
  <r>
    <n v="2020"/>
    <x v="0"/>
    <n v="22"/>
    <x v="1"/>
    <n v="0"/>
    <n v="28500"/>
    <n v="0"/>
  </r>
  <r>
    <n v="2020"/>
    <x v="0"/>
    <n v="22"/>
    <x v="2"/>
    <n v="0"/>
    <n v="28500"/>
    <n v="0"/>
  </r>
  <r>
    <n v="2020"/>
    <x v="0"/>
    <n v="22"/>
    <x v="3"/>
    <n v="0"/>
    <n v="28500"/>
    <n v="0"/>
  </r>
  <r>
    <n v="2020"/>
    <x v="0"/>
    <n v="22"/>
    <x v="4"/>
    <n v="0"/>
    <n v="28500"/>
    <n v="0"/>
  </r>
  <r>
    <n v="2020"/>
    <x v="0"/>
    <n v="22"/>
    <x v="5"/>
    <n v="0"/>
    <n v="28500"/>
    <n v="0"/>
  </r>
  <r>
    <n v="2020"/>
    <x v="0"/>
    <n v="22"/>
    <x v="6"/>
    <n v="0"/>
    <n v="28500"/>
    <n v="0"/>
  </r>
  <r>
    <n v="2020"/>
    <x v="0"/>
    <n v="22"/>
    <x v="7"/>
    <n v="0"/>
    <n v="28500"/>
    <n v="0"/>
  </r>
  <r>
    <n v="2020"/>
    <x v="0"/>
    <n v="22"/>
    <x v="8"/>
    <n v="0"/>
    <n v="28500"/>
    <n v="0"/>
  </r>
  <r>
    <n v="2020"/>
    <x v="0"/>
    <n v="22"/>
    <x v="9"/>
    <n v="625.5"/>
    <n v="28500"/>
    <n v="2.1947368421052632E-2"/>
  </r>
  <r>
    <n v="2020"/>
    <x v="0"/>
    <n v="22"/>
    <x v="10"/>
    <n v="1351"/>
    <n v="28500"/>
    <n v="4.7403508771929823E-2"/>
  </r>
  <r>
    <n v="2020"/>
    <x v="0"/>
    <n v="22"/>
    <x v="11"/>
    <n v="1417.5"/>
    <n v="28500"/>
    <n v="4.9736842105263156E-2"/>
  </r>
  <r>
    <n v="2020"/>
    <x v="0"/>
    <n v="22"/>
    <x v="12"/>
    <n v="1671"/>
    <n v="28500"/>
    <n v="5.8631578947368423E-2"/>
  </r>
  <r>
    <n v="2020"/>
    <x v="0"/>
    <n v="22"/>
    <x v="13"/>
    <n v="1374.5"/>
    <n v="28500"/>
    <n v="4.8228070175438599E-2"/>
  </r>
  <r>
    <n v="2020"/>
    <x v="0"/>
    <n v="22"/>
    <x v="14"/>
    <n v="519"/>
    <n v="28500"/>
    <n v="1.8210526315789472E-2"/>
  </r>
  <r>
    <n v="2020"/>
    <x v="0"/>
    <n v="22"/>
    <x v="15"/>
    <n v="279"/>
    <n v="28500"/>
    <n v="9.7894736842105267E-3"/>
  </r>
  <r>
    <n v="2020"/>
    <x v="0"/>
    <n v="22"/>
    <x v="16"/>
    <n v="0"/>
    <n v="28500"/>
    <n v="0"/>
  </r>
  <r>
    <n v="2020"/>
    <x v="0"/>
    <n v="22"/>
    <x v="17"/>
    <n v="0"/>
    <n v="28500"/>
    <n v="0"/>
  </r>
  <r>
    <n v="2020"/>
    <x v="0"/>
    <n v="22"/>
    <x v="18"/>
    <n v="0"/>
    <n v="28500"/>
    <n v="0"/>
  </r>
  <r>
    <n v="2020"/>
    <x v="0"/>
    <n v="22"/>
    <x v="19"/>
    <n v="0"/>
    <n v="28500"/>
    <n v="0"/>
  </r>
  <r>
    <n v="2020"/>
    <x v="0"/>
    <n v="22"/>
    <x v="20"/>
    <n v="0"/>
    <n v="28500"/>
    <n v="0"/>
  </r>
  <r>
    <n v="2020"/>
    <x v="0"/>
    <n v="22"/>
    <x v="21"/>
    <n v="0"/>
    <n v="28500"/>
    <n v="0"/>
  </r>
  <r>
    <n v="2020"/>
    <x v="0"/>
    <n v="22"/>
    <x v="22"/>
    <n v="0"/>
    <n v="28500"/>
    <n v="0"/>
  </r>
  <r>
    <n v="2020"/>
    <x v="0"/>
    <n v="22"/>
    <x v="23"/>
    <n v="0"/>
    <n v="28500"/>
    <n v="0"/>
  </r>
  <r>
    <n v="2020"/>
    <x v="0"/>
    <n v="23"/>
    <x v="0"/>
    <n v="0"/>
    <n v="28500"/>
    <n v="0"/>
  </r>
  <r>
    <n v="2020"/>
    <x v="0"/>
    <n v="23"/>
    <x v="1"/>
    <n v="0"/>
    <n v="28500"/>
    <n v="0"/>
  </r>
  <r>
    <n v="2020"/>
    <x v="0"/>
    <n v="23"/>
    <x v="2"/>
    <n v="0"/>
    <n v="28500"/>
    <n v="0"/>
  </r>
  <r>
    <n v="2020"/>
    <x v="0"/>
    <n v="23"/>
    <x v="3"/>
    <n v="0"/>
    <n v="28500"/>
    <n v="0"/>
  </r>
  <r>
    <n v="2020"/>
    <x v="0"/>
    <n v="23"/>
    <x v="4"/>
    <n v="0"/>
    <n v="28500"/>
    <n v="0"/>
  </r>
  <r>
    <n v="2020"/>
    <x v="0"/>
    <n v="23"/>
    <x v="5"/>
    <n v="0"/>
    <n v="28500"/>
    <n v="0"/>
  </r>
  <r>
    <n v="2020"/>
    <x v="0"/>
    <n v="23"/>
    <x v="6"/>
    <n v="0"/>
    <n v="28500"/>
    <n v="0"/>
  </r>
  <r>
    <n v="2020"/>
    <x v="0"/>
    <n v="23"/>
    <x v="7"/>
    <n v="0"/>
    <n v="28500"/>
    <n v="0"/>
  </r>
  <r>
    <n v="2020"/>
    <x v="0"/>
    <n v="23"/>
    <x v="8"/>
    <n v="0"/>
    <n v="28500"/>
    <n v="0"/>
  </r>
  <r>
    <n v="2020"/>
    <x v="0"/>
    <n v="23"/>
    <x v="9"/>
    <n v="521.5"/>
    <n v="28500"/>
    <n v="1.8298245614035088E-2"/>
  </r>
  <r>
    <n v="2020"/>
    <x v="0"/>
    <n v="23"/>
    <x v="10"/>
    <n v="1412.5"/>
    <n v="28500"/>
    <n v="4.9561403508771931E-2"/>
  </r>
  <r>
    <n v="2020"/>
    <x v="0"/>
    <n v="23"/>
    <x v="11"/>
    <n v="1814"/>
    <n v="28500"/>
    <n v="6.3649122807017539E-2"/>
  </r>
  <r>
    <n v="2020"/>
    <x v="0"/>
    <n v="23"/>
    <x v="12"/>
    <n v="2226"/>
    <n v="28500"/>
    <n v="7.8105263157894733E-2"/>
  </r>
  <r>
    <n v="2020"/>
    <x v="0"/>
    <n v="23"/>
    <x v="13"/>
    <n v="1552"/>
    <n v="28500"/>
    <n v="5.4456140350877195E-2"/>
  </r>
  <r>
    <n v="2020"/>
    <x v="0"/>
    <n v="23"/>
    <x v="14"/>
    <n v="1050.5"/>
    <n v="28500"/>
    <n v="3.6859649122807016E-2"/>
  </r>
  <r>
    <n v="2020"/>
    <x v="0"/>
    <n v="23"/>
    <x v="15"/>
    <n v="947"/>
    <n v="28500"/>
    <n v="3.32280701754386E-2"/>
  </r>
  <r>
    <n v="2020"/>
    <x v="0"/>
    <n v="23"/>
    <x v="16"/>
    <n v="0"/>
    <n v="28500"/>
    <n v="0"/>
  </r>
  <r>
    <n v="2020"/>
    <x v="0"/>
    <n v="23"/>
    <x v="17"/>
    <n v="0"/>
    <n v="28500"/>
    <n v="0"/>
  </r>
  <r>
    <n v="2020"/>
    <x v="0"/>
    <n v="23"/>
    <x v="18"/>
    <n v="0"/>
    <n v="28500"/>
    <n v="0"/>
  </r>
  <r>
    <n v="2020"/>
    <x v="0"/>
    <n v="23"/>
    <x v="19"/>
    <n v="0"/>
    <n v="28500"/>
    <n v="0"/>
  </r>
  <r>
    <n v="2020"/>
    <x v="0"/>
    <n v="23"/>
    <x v="20"/>
    <n v="0"/>
    <n v="28500"/>
    <n v="0"/>
  </r>
  <r>
    <n v="2020"/>
    <x v="0"/>
    <n v="23"/>
    <x v="21"/>
    <n v="0"/>
    <n v="28500"/>
    <n v="0"/>
  </r>
  <r>
    <n v="2020"/>
    <x v="0"/>
    <n v="23"/>
    <x v="22"/>
    <n v="0"/>
    <n v="28500"/>
    <n v="0"/>
  </r>
  <r>
    <n v="2020"/>
    <x v="0"/>
    <n v="23"/>
    <x v="23"/>
    <n v="0"/>
    <n v="28500"/>
    <n v="0"/>
  </r>
  <r>
    <n v="2020"/>
    <x v="0"/>
    <n v="24"/>
    <x v="0"/>
    <n v="0"/>
    <n v="28500"/>
    <n v="0"/>
  </r>
  <r>
    <n v="2020"/>
    <x v="0"/>
    <n v="24"/>
    <x v="1"/>
    <n v="0"/>
    <n v="28500"/>
    <n v="0"/>
  </r>
  <r>
    <n v="2020"/>
    <x v="0"/>
    <n v="24"/>
    <x v="2"/>
    <n v="0"/>
    <n v="28500"/>
    <n v="0"/>
  </r>
  <r>
    <n v="2020"/>
    <x v="0"/>
    <n v="24"/>
    <x v="3"/>
    <n v="0"/>
    <n v="28500"/>
    <n v="0"/>
  </r>
  <r>
    <n v="2020"/>
    <x v="0"/>
    <n v="24"/>
    <x v="4"/>
    <n v="0"/>
    <n v="28500"/>
    <n v="0"/>
  </r>
  <r>
    <n v="2020"/>
    <x v="0"/>
    <n v="24"/>
    <x v="5"/>
    <n v="0"/>
    <n v="28500"/>
    <n v="0"/>
  </r>
  <r>
    <n v="2020"/>
    <x v="0"/>
    <n v="24"/>
    <x v="6"/>
    <n v="0"/>
    <n v="28500"/>
    <n v="0"/>
  </r>
  <r>
    <n v="2020"/>
    <x v="0"/>
    <n v="24"/>
    <x v="7"/>
    <n v="0"/>
    <n v="28500"/>
    <n v="0"/>
  </r>
  <r>
    <n v="2020"/>
    <x v="0"/>
    <n v="24"/>
    <x v="8"/>
    <n v="0"/>
    <n v="28500"/>
    <n v="0"/>
  </r>
  <r>
    <n v="2020"/>
    <x v="0"/>
    <n v="24"/>
    <x v="9"/>
    <n v="461.5"/>
    <n v="28500"/>
    <n v="1.6192982456140349E-2"/>
  </r>
  <r>
    <n v="2020"/>
    <x v="0"/>
    <n v="24"/>
    <x v="10"/>
    <n v="1308.5"/>
    <n v="28500"/>
    <n v="4.5912280701754384E-2"/>
  </r>
  <r>
    <n v="2020"/>
    <x v="0"/>
    <n v="24"/>
    <x v="11"/>
    <n v="1413"/>
    <n v="28500"/>
    <n v="4.9578947368421056E-2"/>
  </r>
  <r>
    <n v="2020"/>
    <x v="0"/>
    <n v="24"/>
    <x v="12"/>
    <n v="1850.5"/>
    <n v="28500"/>
    <n v="6.4929824561403504E-2"/>
  </r>
  <r>
    <n v="2020"/>
    <x v="0"/>
    <n v="24"/>
    <x v="13"/>
    <n v="2186.5"/>
    <n v="28500"/>
    <n v="7.6719298245614034E-2"/>
  </r>
  <r>
    <n v="2020"/>
    <x v="0"/>
    <n v="24"/>
    <x v="14"/>
    <n v="914"/>
    <n v="28500"/>
    <n v="3.2070175438596492E-2"/>
  </r>
  <r>
    <n v="2020"/>
    <x v="0"/>
    <n v="24"/>
    <x v="15"/>
    <n v="550"/>
    <n v="28500"/>
    <n v="1.9298245614035089E-2"/>
  </r>
  <r>
    <n v="2020"/>
    <x v="0"/>
    <n v="24"/>
    <x v="16"/>
    <n v="0"/>
    <n v="28500"/>
    <n v="0"/>
  </r>
  <r>
    <n v="2020"/>
    <x v="0"/>
    <n v="24"/>
    <x v="17"/>
    <n v="0"/>
    <n v="28500"/>
    <n v="0"/>
  </r>
  <r>
    <n v="2020"/>
    <x v="0"/>
    <n v="24"/>
    <x v="18"/>
    <n v="0"/>
    <n v="28500"/>
    <n v="0"/>
  </r>
  <r>
    <n v="2020"/>
    <x v="0"/>
    <n v="24"/>
    <x v="19"/>
    <n v="0"/>
    <n v="28500"/>
    <n v="0"/>
  </r>
  <r>
    <n v="2020"/>
    <x v="0"/>
    <n v="24"/>
    <x v="20"/>
    <n v="0"/>
    <n v="28500"/>
    <n v="0"/>
  </r>
  <r>
    <n v="2020"/>
    <x v="0"/>
    <n v="24"/>
    <x v="21"/>
    <n v="0"/>
    <n v="28500"/>
    <n v="0"/>
  </r>
  <r>
    <n v="2020"/>
    <x v="0"/>
    <n v="24"/>
    <x v="22"/>
    <n v="0"/>
    <n v="28500"/>
    <n v="0"/>
  </r>
  <r>
    <n v="2020"/>
    <x v="0"/>
    <n v="24"/>
    <x v="23"/>
    <n v="0"/>
    <n v="28500"/>
    <n v="0"/>
  </r>
  <r>
    <n v="2020"/>
    <x v="0"/>
    <n v="25"/>
    <x v="0"/>
    <n v="0"/>
    <n v="28500"/>
    <n v="0"/>
  </r>
  <r>
    <n v="2020"/>
    <x v="0"/>
    <n v="25"/>
    <x v="1"/>
    <n v="0"/>
    <n v="28500"/>
    <n v="0"/>
  </r>
  <r>
    <n v="2020"/>
    <x v="0"/>
    <n v="25"/>
    <x v="2"/>
    <n v="0"/>
    <n v="28500"/>
    <n v="0"/>
  </r>
  <r>
    <n v="2020"/>
    <x v="0"/>
    <n v="25"/>
    <x v="3"/>
    <n v="0"/>
    <n v="28500"/>
    <n v="0"/>
  </r>
  <r>
    <n v="2020"/>
    <x v="0"/>
    <n v="25"/>
    <x v="4"/>
    <n v="0"/>
    <n v="28500"/>
    <n v="0"/>
  </r>
  <r>
    <n v="2020"/>
    <x v="0"/>
    <n v="25"/>
    <x v="5"/>
    <n v="0"/>
    <n v="28500"/>
    <n v="0"/>
  </r>
  <r>
    <n v="2020"/>
    <x v="0"/>
    <n v="25"/>
    <x v="6"/>
    <n v="0"/>
    <n v="28500"/>
    <n v="0"/>
  </r>
  <r>
    <n v="2020"/>
    <x v="0"/>
    <n v="25"/>
    <x v="7"/>
    <n v="0"/>
    <n v="28500"/>
    <n v="0"/>
  </r>
  <r>
    <n v="2020"/>
    <x v="0"/>
    <n v="25"/>
    <x v="8"/>
    <n v="0"/>
    <n v="28500"/>
    <n v="0"/>
  </r>
  <r>
    <n v="2020"/>
    <x v="0"/>
    <n v="25"/>
    <x v="9"/>
    <n v="722.5"/>
    <n v="28500"/>
    <n v="2.5350877192982457E-2"/>
  </r>
  <r>
    <n v="2020"/>
    <x v="0"/>
    <n v="25"/>
    <x v="10"/>
    <n v="1458.5"/>
    <n v="28500"/>
    <n v="5.1175438596491228E-2"/>
  </r>
  <r>
    <n v="2020"/>
    <x v="0"/>
    <n v="25"/>
    <x v="11"/>
    <n v="1974"/>
    <n v="28500"/>
    <n v="6.9263157894736846E-2"/>
  </r>
  <r>
    <n v="2020"/>
    <x v="0"/>
    <n v="25"/>
    <x v="12"/>
    <n v="1855.5"/>
    <n v="28500"/>
    <n v="6.5105263157894736E-2"/>
  </r>
  <r>
    <n v="2020"/>
    <x v="0"/>
    <n v="25"/>
    <x v="13"/>
    <n v="1928.5"/>
    <n v="28500"/>
    <n v="6.7666666666666667E-2"/>
  </r>
  <r>
    <n v="2020"/>
    <x v="0"/>
    <n v="25"/>
    <x v="14"/>
    <n v="1519.5"/>
    <n v="28500"/>
    <n v="5.3315789473684212E-2"/>
  </r>
  <r>
    <n v="2020"/>
    <x v="0"/>
    <n v="25"/>
    <x v="15"/>
    <n v="2062"/>
    <n v="28500"/>
    <n v="7.2350877192982457E-2"/>
  </r>
  <r>
    <n v="2020"/>
    <x v="0"/>
    <n v="25"/>
    <x v="16"/>
    <n v="0"/>
    <n v="28500"/>
    <n v="0"/>
  </r>
  <r>
    <n v="2020"/>
    <x v="0"/>
    <n v="25"/>
    <x v="17"/>
    <n v="0"/>
    <n v="28500"/>
    <n v="0"/>
  </r>
  <r>
    <n v="2020"/>
    <x v="0"/>
    <n v="25"/>
    <x v="18"/>
    <n v="0"/>
    <n v="28500"/>
    <n v="0"/>
  </r>
  <r>
    <n v="2020"/>
    <x v="0"/>
    <n v="25"/>
    <x v="19"/>
    <n v="0"/>
    <n v="28500"/>
    <n v="0"/>
  </r>
  <r>
    <n v="2020"/>
    <x v="0"/>
    <n v="25"/>
    <x v="20"/>
    <n v="0"/>
    <n v="28500"/>
    <n v="0"/>
  </r>
  <r>
    <n v="2020"/>
    <x v="0"/>
    <n v="25"/>
    <x v="21"/>
    <n v="0"/>
    <n v="28500"/>
    <n v="0"/>
  </r>
  <r>
    <n v="2020"/>
    <x v="0"/>
    <n v="25"/>
    <x v="22"/>
    <n v="0"/>
    <n v="28500"/>
    <n v="0"/>
  </r>
  <r>
    <n v="2020"/>
    <x v="0"/>
    <n v="25"/>
    <x v="23"/>
    <n v="0"/>
    <n v="28500"/>
    <n v="0"/>
  </r>
  <r>
    <n v="2020"/>
    <x v="0"/>
    <n v="26"/>
    <x v="0"/>
    <n v="0"/>
    <n v="28500"/>
    <n v="0"/>
  </r>
  <r>
    <n v="2020"/>
    <x v="0"/>
    <n v="26"/>
    <x v="1"/>
    <n v="0"/>
    <n v="28500"/>
    <n v="0"/>
  </r>
  <r>
    <n v="2020"/>
    <x v="0"/>
    <n v="26"/>
    <x v="2"/>
    <n v="0"/>
    <n v="28500"/>
    <n v="0"/>
  </r>
  <r>
    <n v="2020"/>
    <x v="0"/>
    <n v="26"/>
    <x v="3"/>
    <n v="0"/>
    <n v="28500"/>
    <n v="0"/>
  </r>
  <r>
    <n v="2020"/>
    <x v="0"/>
    <n v="26"/>
    <x v="4"/>
    <n v="0"/>
    <n v="28500"/>
    <n v="0"/>
  </r>
  <r>
    <n v="2020"/>
    <x v="0"/>
    <n v="26"/>
    <x v="5"/>
    <n v="0"/>
    <n v="28500"/>
    <n v="0"/>
  </r>
  <r>
    <n v="2020"/>
    <x v="0"/>
    <n v="26"/>
    <x v="6"/>
    <n v="0"/>
    <n v="28500"/>
    <n v="0"/>
  </r>
  <r>
    <n v="2020"/>
    <x v="0"/>
    <n v="26"/>
    <x v="7"/>
    <n v="0"/>
    <n v="28500"/>
    <n v="0"/>
  </r>
  <r>
    <n v="2020"/>
    <x v="0"/>
    <n v="26"/>
    <x v="8"/>
    <n v="0"/>
    <n v="28500"/>
    <n v="0"/>
  </r>
  <r>
    <n v="2020"/>
    <x v="0"/>
    <n v="26"/>
    <x v="9"/>
    <n v="1016.5"/>
    <n v="28500"/>
    <n v="3.5666666666666666E-2"/>
  </r>
  <r>
    <n v="2020"/>
    <x v="0"/>
    <n v="26"/>
    <x v="10"/>
    <n v="3634"/>
    <n v="28500"/>
    <n v="0.12750877192982457"/>
  </r>
  <r>
    <n v="2020"/>
    <x v="0"/>
    <n v="26"/>
    <x v="11"/>
    <n v="5277.5"/>
    <n v="28500"/>
    <n v="0.18517543859649122"/>
  </r>
  <r>
    <n v="2020"/>
    <x v="0"/>
    <n v="26"/>
    <x v="12"/>
    <n v="5603"/>
    <n v="28500"/>
    <n v="0.19659649122807019"/>
  </r>
  <r>
    <n v="2020"/>
    <x v="0"/>
    <n v="26"/>
    <x v="13"/>
    <n v="5988.5"/>
    <n v="28500"/>
    <n v="0.21012280701754385"/>
  </r>
  <r>
    <n v="2020"/>
    <x v="0"/>
    <n v="26"/>
    <x v="14"/>
    <n v="2167"/>
    <n v="28500"/>
    <n v="7.6035087719298247E-2"/>
  </r>
  <r>
    <n v="2020"/>
    <x v="0"/>
    <n v="26"/>
    <x v="15"/>
    <n v="974"/>
    <n v="28500"/>
    <n v="3.4175438596491227E-2"/>
  </r>
  <r>
    <n v="2020"/>
    <x v="0"/>
    <n v="26"/>
    <x v="16"/>
    <n v="0"/>
    <n v="28500"/>
    <n v="0"/>
  </r>
  <r>
    <n v="2020"/>
    <x v="0"/>
    <n v="26"/>
    <x v="17"/>
    <n v="0"/>
    <n v="28500"/>
    <n v="0"/>
  </r>
  <r>
    <n v="2020"/>
    <x v="0"/>
    <n v="26"/>
    <x v="18"/>
    <n v="0"/>
    <n v="28500"/>
    <n v="0"/>
  </r>
  <r>
    <n v="2020"/>
    <x v="0"/>
    <n v="26"/>
    <x v="19"/>
    <n v="0"/>
    <n v="28500"/>
    <n v="0"/>
  </r>
  <r>
    <n v="2020"/>
    <x v="0"/>
    <n v="26"/>
    <x v="20"/>
    <n v="0"/>
    <n v="28500"/>
    <n v="0"/>
  </r>
  <r>
    <n v="2020"/>
    <x v="0"/>
    <n v="26"/>
    <x v="21"/>
    <n v="0"/>
    <n v="28500"/>
    <n v="0"/>
  </r>
  <r>
    <n v="2020"/>
    <x v="0"/>
    <n v="26"/>
    <x v="22"/>
    <n v="0"/>
    <n v="28500"/>
    <n v="0"/>
  </r>
  <r>
    <n v="2020"/>
    <x v="0"/>
    <n v="26"/>
    <x v="23"/>
    <n v="0"/>
    <n v="28500"/>
    <n v="0"/>
  </r>
  <r>
    <n v="2020"/>
    <x v="0"/>
    <n v="27"/>
    <x v="0"/>
    <n v="0"/>
    <n v="28500"/>
    <n v="0"/>
  </r>
  <r>
    <n v="2020"/>
    <x v="0"/>
    <n v="27"/>
    <x v="1"/>
    <n v="0"/>
    <n v="28500"/>
    <n v="0"/>
  </r>
  <r>
    <n v="2020"/>
    <x v="0"/>
    <n v="27"/>
    <x v="2"/>
    <n v="0"/>
    <n v="28500"/>
    <n v="0"/>
  </r>
  <r>
    <n v="2020"/>
    <x v="0"/>
    <n v="27"/>
    <x v="3"/>
    <n v="0"/>
    <n v="28500"/>
    <n v="0"/>
  </r>
  <r>
    <n v="2020"/>
    <x v="0"/>
    <n v="27"/>
    <x v="4"/>
    <n v="0"/>
    <n v="28500"/>
    <n v="0"/>
  </r>
  <r>
    <n v="2020"/>
    <x v="0"/>
    <n v="27"/>
    <x v="5"/>
    <n v="0"/>
    <n v="28500"/>
    <n v="0"/>
  </r>
  <r>
    <n v="2020"/>
    <x v="0"/>
    <n v="27"/>
    <x v="6"/>
    <n v="0"/>
    <n v="28500"/>
    <n v="0"/>
  </r>
  <r>
    <n v="2020"/>
    <x v="0"/>
    <n v="27"/>
    <x v="7"/>
    <n v="0"/>
    <n v="28500"/>
    <n v="0"/>
  </r>
  <r>
    <n v="2020"/>
    <x v="0"/>
    <n v="27"/>
    <x v="8"/>
    <n v="0"/>
    <n v="28500"/>
    <n v="0"/>
  </r>
  <r>
    <n v="2020"/>
    <x v="0"/>
    <n v="27"/>
    <x v="9"/>
    <n v="1231.5"/>
    <n v="28500"/>
    <n v="4.3210526315789477E-2"/>
  </r>
  <r>
    <n v="2020"/>
    <x v="0"/>
    <n v="27"/>
    <x v="10"/>
    <n v="12086.5"/>
    <n v="28500"/>
    <n v="0.42408771929824562"/>
  </r>
  <r>
    <n v="2020"/>
    <x v="0"/>
    <n v="27"/>
    <x v="11"/>
    <n v="33201"/>
    <n v="28500"/>
    <n v="1.1649473684210527"/>
  </r>
  <r>
    <n v="2020"/>
    <x v="0"/>
    <n v="27"/>
    <x v="12"/>
    <n v="10169.5"/>
    <n v="28500"/>
    <n v="0.35682456140350877"/>
  </r>
  <r>
    <n v="2020"/>
    <x v="0"/>
    <n v="27"/>
    <x v="13"/>
    <n v="3541.5"/>
    <n v="28500"/>
    <n v="0.12426315789473684"/>
  </r>
  <r>
    <n v="2020"/>
    <x v="0"/>
    <n v="27"/>
    <x v="14"/>
    <n v="4252"/>
    <n v="28500"/>
    <n v="0.14919298245614035"/>
  </r>
  <r>
    <n v="2020"/>
    <x v="0"/>
    <n v="27"/>
    <x v="15"/>
    <n v="1086.5"/>
    <n v="28500"/>
    <n v="3.8122807017543857E-2"/>
  </r>
  <r>
    <n v="2020"/>
    <x v="0"/>
    <n v="27"/>
    <x v="16"/>
    <n v="0"/>
    <n v="28500"/>
    <n v="0"/>
  </r>
  <r>
    <n v="2020"/>
    <x v="0"/>
    <n v="27"/>
    <x v="17"/>
    <n v="0"/>
    <n v="28500"/>
    <n v="0"/>
  </r>
  <r>
    <n v="2020"/>
    <x v="0"/>
    <n v="27"/>
    <x v="18"/>
    <n v="0"/>
    <n v="28500"/>
    <n v="0"/>
  </r>
  <r>
    <n v="2020"/>
    <x v="0"/>
    <n v="27"/>
    <x v="19"/>
    <n v="0"/>
    <n v="28500"/>
    <n v="0"/>
  </r>
  <r>
    <n v="2020"/>
    <x v="0"/>
    <n v="27"/>
    <x v="20"/>
    <n v="0"/>
    <n v="28500"/>
    <n v="0"/>
  </r>
  <r>
    <n v="2020"/>
    <x v="0"/>
    <n v="27"/>
    <x v="21"/>
    <n v="0"/>
    <n v="28500"/>
    <n v="0"/>
  </r>
  <r>
    <n v="2020"/>
    <x v="0"/>
    <n v="27"/>
    <x v="22"/>
    <n v="0"/>
    <n v="28500"/>
    <n v="0"/>
  </r>
  <r>
    <n v="2020"/>
    <x v="0"/>
    <n v="27"/>
    <x v="23"/>
    <n v="0"/>
    <n v="28500"/>
    <n v="0"/>
  </r>
  <r>
    <n v="2020"/>
    <x v="0"/>
    <n v="28"/>
    <x v="0"/>
    <n v="0"/>
    <n v="28500"/>
    <n v="0"/>
  </r>
  <r>
    <n v="2020"/>
    <x v="0"/>
    <n v="28"/>
    <x v="1"/>
    <n v="0"/>
    <n v="28500"/>
    <n v="0"/>
  </r>
  <r>
    <n v="2020"/>
    <x v="0"/>
    <n v="28"/>
    <x v="2"/>
    <n v="0"/>
    <n v="28500"/>
    <n v="0"/>
  </r>
  <r>
    <n v="2020"/>
    <x v="0"/>
    <n v="28"/>
    <x v="3"/>
    <n v="0"/>
    <n v="28500"/>
    <n v="0"/>
  </r>
  <r>
    <n v="2020"/>
    <x v="0"/>
    <n v="28"/>
    <x v="4"/>
    <n v="0"/>
    <n v="28500"/>
    <n v="0"/>
  </r>
  <r>
    <n v="2020"/>
    <x v="0"/>
    <n v="28"/>
    <x v="5"/>
    <n v="0"/>
    <n v="28500"/>
    <n v="0"/>
  </r>
  <r>
    <n v="2020"/>
    <x v="0"/>
    <n v="28"/>
    <x v="6"/>
    <n v="0"/>
    <n v="28500"/>
    <n v="0"/>
  </r>
  <r>
    <n v="2020"/>
    <x v="0"/>
    <n v="28"/>
    <x v="7"/>
    <n v="0"/>
    <n v="28500"/>
    <n v="0"/>
  </r>
  <r>
    <n v="2020"/>
    <x v="0"/>
    <n v="28"/>
    <x v="8"/>
    <n v="418.5"/>
    <n v="28500"/>
    <n v="1.4684210526315789E-2"/>
  </r>
  <r>
    <n v="2020"/>
    <x v="0"/>
    <n v="28"/>
    <x v="9"/>
    <n v="16655"/>
    <n v="28500"/>
    <n v="0.58438596491228068"/>
  </r>
  <r>
    <n v="2020"/>
    <x v="0"/>
    <n v="28"/>
    <x v="10"/>
    <n v="18113.5"/>
    <n v="28500"/>
    <n v="0.63556140350877188"/>
  </r>
  <r>
    <n v="2020"/>
    <x v="0"/>
    <n v="28"/>
    <x v="11"/>
    <n v="32157.5"/>
    <n v="28500"/>
    <n v="1.1283333333333334"/>
  </r>
  <r>
    <n v="2020"/>
    <x v="0"/>
    <n v="28"/>
    <x v="12"/>
    <n v="36426"/>
    <n v="28500"/>
    <n v="1.2781052631578946"/>
  </r>
  <r>
    <n v="2020"/>
    <x v="0"/>
    <n v="28"/>
    <x v="13"/>
    <n v="33725"/>
    <n v="28500"/>
    <n v="1.1833333333333333"/>
  </r>
  <r>
    <n v="2020"/>
    <x v="0"/>
    <n v="28"/>
    <x v="14"/>
    <n v="27066.5"/>
    <n v="28500"/>
    <n v="0.94970175438596494"/>
  </r>
  <r>
    <n v="2020"/>
    <x v="0"/>
    <n v="28"/>
    <x v="15"/>
    <n v="20257.5"/>
    <n v="28500"/>
    <n v="0.71078947368421053"/>
  </r>
  <r>
    <n v="2020"/>
    <x v="0"/>
    <n v="28"/>
    <x v="16"/>
    <n v="0"/>
    <n v="28500"/>
    <n v="0"/>
  </r>
  <r>
    <n v="2020"/>
    <x v="0"/>
    <n v="28"/>
    <x v="17"/>
    <n v="0"/>
    <n v="28500"/>
    <n v="0"/>
  </r>
  <r>
    <n v="2020"/>
    <x v="0"/>
    <n v="28"/>
    <x v="18"/>
    <n v="0"/>
    <n v="28500"/>
    <n v="0"/>
  </r>
  <r>
    <n v="2020"/>
    <x v="0"/>
    <n v="28"/>
    <x v="19"/>
    <n v="0"/>
    <n v="28500"/>
    <n v="0"/>
  </r>
  <r>
    <n v="2020"/>
    <x v="0"/>
    <n v="28"/>
    <x v="20"/>
    <n v="0"/>
    <n v="28500"/>
    <n v="0"/>
  </r>
  <r>
    <n v="2020"/>
    <x v="0"/>
    <n v="28"/>
    <x v="21"/>
    <n v="0"/>
    <n v="28500"/>
    <n v="0"/>
  </r>
  <r>
    <n v="2020"/>
    <x v="0"/>
    <n v="28"/>
    <x v="22"/>
    <n v="0"/>
    <n v="28500"/>
    <n v="0"/>
  </r>
  <r>
    <n v="2020"/>
    <x v="0"/>
    <n v="28"/>
    <x v="23"/>
    <n v="0"/>
    <n v="28500"/>
    <n v="0"/>
  </r>
  <r>
    <n v="2020"/>
    <x v="0"/>
    <n v="29"/>
    <x v="0"/>
    <n v="0"/>
    <n v="28500"/>
    <n v="0"/>
  </r>
  <r>
    <n v="2020"/>
    <x v="0"/>
    <n v="29"/>
    <x v="1"/>
    <n v="0"/>
    <n v="28500"/>
    <n v="0"/>
  </r>
  <r>
    <n v="2020"/>
    <x v="0"/>
    <n v="29"/>
    <x v="2"/>
    <n v="0"/>
    <n v="28500"/>
    <n v="0"/>
  </r>
  <r>
    <n v="2020"/>
    <x v="0"/>
    <n v="29"/>
    <x v="3"/>
    <n v="0"/>
    <n v="28500"/>
    <n v="0"/>
  </r>
  <r>
    <n v="2020"/>
    <x v="0"/>
    <n v="29"/>
    <x v="4"/>
    <n v="0"/>
    <n v="28500"/>
    <n v="0"/>
  </r>
  <r>
    <n v="2020"/>
    <x v="0"/>
    <n v="29"/>
    <x v="5"/>
    <n v="0"/>
    <n v="28500"/>
    <n v="0"/>
  </r>
  <r>
    <n v="2020"/>
    <x v="0"/>
    <n v="29"/>
    <x v="6"/>
    <n v="0"/>
    <n v="28500"/>
    <n v="0"/>
  </r>
  <r>
    <n v="2020"/>
    <x v="0"/>
    <n v="29"/>
    <x v="7"/>
    <n v="0"/>
    <n v="28500"/>
    <n v="0"/>
  </r>
  <r>
    <n v="2020"/>
    <x v="0"/>
    <n v="29"/>
    <x v="8"/>
    <n v="431"/>
    <n v="28500"/>
    <n v="1.5122807017543859E-2"/>
  </r>
  <r>
    <n v="2020"/>
    <x v="0"/>
    <n v="29"/>
    <x v="9"/>
    <n v="6518.5"/>
    <n v="28500"/>
    <n v="0.22871929824561404"/>
  </r>
  <r>
    <n v="2020"/>
    <x v="0"/>
    <n v="29"/>
    <x v="10"/>
    <n v="29050.5"/>
    <n v="28500"/>
    <n v="1.0193157894736842"/>
  </r>
  <r>
    <n v="2020"/>
    <x v="0"/>
    <n v="29"/>
    <x v="11"/>
    <n v="27875.5"/>
    <n v="28500"/>
    <n v="0.97808771929824556"/>
  </r>
  <r>
    <n v="2020"/>
    <x v="0"/>
    <n v="29"/>
    <x v="12"/>
    <n v="36411"/>
    <n v="28500"/>
    <n v="1.2775789473684211"/>
  </r>
  <r>
    <n v="2020"/>
    <x v="0"/>
    <n v="29"/>
    <x v="13"/>
    <n v="34174.5"/>
    <n v="28500"/>
    <n v="1.1991052631578947"/>
  </r>
  <r>
    <n v="2020"/>
    <x v="0"/>
    <n v="29"/>
    <x v="14"/>
    <n v="14405"/>
    <n v="28500"/>
    <n v="0.50543859649122802"/>
  </r>
  <r>
    <n v="2020"/>
    <x v="0"/>
    <n v="29"/>
    <x v="15"/>
    <n v="14034.5"/>
    <n v="28500"/>
    <n v="0.49243859649122806"/>
  </r>
  <r>
    <n v="2020"/>
    <x v="0"/>
    <n v="29"/>
    <x v="16"/>
    <n v="1020.5"/>
    <n v="28500"/>
    <n v="3.5807017543859648E-2"/>
  </r>
  <r>
    <n v="2020"/>
    <x v="0"/>
    <n v="29"/>
    <x v="17"/>
    <n v="0"/>
    <n v="28500"/>
    <n v="0"/>
  </r>
  <r>
    <n v="2020"/>
    <x v="0"/>
    <n v="29"/>
    <x v="18"/>
    <n v="0"/>
    <n v="28500"/>
    <n v="0"/>
  </r>
  <r>
    <n v="2020"/>
    <x v="0"/>
    <n v="29"/>
    <x v="19"/>
    <n v="0"/>
    <n v="28500"/>
    <n v="0"/>
  </r>
  <r>
    <n v="2020"/>
    <x v="0"/>
    <n v="29"/>
    <x v="20"/>
    <n v="0"/>
    <n v="28500"/>
    <n v="0"/>
  </r>
  <r>
    <n v="2020"/>
    <x v="0"/>
    <n v="29"/>
    <x v="21"/>
    <n v="0"/>
    <n v="28500"/>
    <n v="0"/>
  </r>
  <r>
    <n v="2020"/>
    <x v="0"/>
    <n v="29"/>
    <x v="22"/>
    <n v="0"/>
    <n v="28500"/>
    <n v="0"/>
  </r>
  <r>
    <n v="2020"/>
    <x v="0"/>
    <n v="29"/>
    <x v="23"/>
    <n v="0"/>
    <n v="28500"/>
    <n v="0"/>
  </r>
  <r>
    <n v="2020"/>
    <x v="0"/>
    <n v="30"/>
    <x v="0"/>
    <n v="0"/>
    <n v="28500"/>
    <n v="0"/>
  </r>
  <r>
    <n v="2020"/>
    <x v="0"/>
    <n v="30"/>
    <x v="1"/>
    <n v="0"/>
    <n v="28500"/>
    <n v="0"/>
  </r>
  <r>
    <n v="2020"/>
    <x v="0"/>
    <n v="30"/>
    <x v="2"/>
    <n v="0"/>
    <n v="28500"/>
    <n v="0"/>
  </r>
  <r>
    <n v="2020"/>
    <x v="0"/>
    <n v="30"/>
    <x v="3"/>
    <n v="0"/>
    <n v="28500"/>
    <n v="0"/>
  </r>
  <r>
    <n v="2020"/>
    <x v="0"/>
    <n v="30"/>
    <x v="4"/>
    <n v="0"/>
    <n v="28500"/>
    <n v="0"/>
  </r>
  <r>
    <n v="2020"/>
    <x v="0"/>
    <n v="30"/>
    <x v="5"/>
    <n v="0"/>
    <n v="28500"/>
    <n v="0"/>
  </r>
  <r>
    <n v="2020"/>
    <x v="0"/>
    <n v="30"/>
    <x v="6"/>
    <n v="0"/>
    <n v="28500"/>
    <n v="0"/>
  </r>
  <r>
    <n v="2020"/>
    <x v="0"/>
    <n v="30"/>
    <x v="7"/>
    <n v="0"/>
    <n v="28500"/>
    <n v="0"/>
  </r>
  <r>
    <n v="2020"/>
    <x v="0"/>
    <n v="30"/>
    <x v="8"/>
    <n v="32.5"/>
    <n v="28500"/>
    <n v="1.1403508771929824E-3"/>
  </r>
  <r>
    <n v="2020"/>
    <x v="0"/>
    <n v="30"/>
    <x v="9"/>
    <n v="2230"/>
    <n v="28500"/>
    <n v="7.8245614035087716E-2"/>
  </r>
  <r>
    <n v="2020"/>
    <x v="0"/>
    <n v="30"/>
    <x v="10"/>
    <n v="1291"/>
    <n v="28500"/>
    <n v="4.5298245614035088E-2"/>
  </r>
  <r>
    <n v="2020"/>
    <x v="0"/>
    <n v="30"/>
    <x v="11"/>
    <n v="706"/>
    <n v="28500"/>
    <n v="2.4771929824561403E-2"/>
  </r>
  <r>
    <n v="2020"/>
    <x v="0"/>
    <n v="30"/>
    <x v="12"/>
    <n v="7158.5"/>
    <n v="28500"/>
    <n v="0.25117543859649122"/>
  </r>
  <r>
    <n v="2020"/>
    <x v="0"/>
    <n v="30"/>
    <x v="13"/>
    <n v="6645.5"/>
    <n v="28500"/>
    <n v="0.23317543859649123"/>
  </r>
  <r>
    <n v="2020"/>
    <x v="0"/>
    <n v="30"/>
    <x v="14"/>
    <n v="1494.5"/>
    <n v="28500"/>
    <n v="5.2438596491228069E-2"/>
  </r>
  <r>
    <n v="2020"/>
    <x v="0"/>
    <n v="30"/>
    <x v="15"/>
    <n v="667"/>
    <n v="28500"/>
    <n v="2.3403508771929826E-2"/>
  </r>
  <r>
    <n v="2020"/>
    <x v="0"/>
    <n v="30"/>
    <x v="16"/>
    <n v="0"/>
    <n v="28500"/>
    <n v="0"/>
  </r>
  <r>
    <n v="2020"/>
    <x v="0"/>
    <n v="30"/>
    <x v="17"/>
    <n v="0"/>
    <n v="28500"/>
    <n v="0"/>
  </r>
  <r>
    <n v="2020"/>
    <x v="0"/>
    <n v="30"/>
    <x v="18"/>
    <n v="0"/>
    <n v="28500"/>
    <n v="0"/>
  </r>
  <r>
    <n v="2020"/>
    <x v="0"/>
    <n v="30"/>
    <x v="19"/>
    <n v="0"/>
    <n v="28500"/>
    <n v="0"/>
  </r>
  <r>
    <n v="2020"/>
    <x v="0"/>
    <n v="30"/>
    <x v="20"/>
    <n v="0"/>
    <n v="28500"/>
    <n v="0"/>
  </r>
  <r>
    <n v="2020"/>
    <x v="0"/>
    <n v="30"/>
    <x v="21"/>
    <n v="0"/>
    <n v="28500"/>
    <n v="0"/>
  </r>
  <r>
    <n v="2020"/>
    <x v="0"/>
    <n v="30"/>
    <x v="22"/>
    <n v="0"/>
    <n v="28500"/>
    <n v="0"/>
  </r>
  <r>
    <n v="2020"/>
    <x v="0"/>
    <n v="30"/>
    <x v="23"/>
    <n v="0"/>
    <n v="28500"/>
    <n v="0"/>
  </r>
  <r>
    <n v="2020"/>
    <x v="0"/>
    <n v="31"/>
    <x v="0"/>
    <n v="0"/>
    <n v="28500"/>
    <n v="0"/>
  </r>
  <r>
    <n v="2020"/>
    <x v="0"/>
    <n v="31"/>
    <x v="1"/>
    <n v="0"/>
    <n v="28500"/>
    <n v="0"/>
  </r>
  <r>
    <n v="2020"/>
    <x v="0"/>
    <n v="31"/>
    <x v="2"/>
    <n v="0"/>
    <n v="28500"/>
    <n v="0"/>
  </r>
  <r>
    <n v="2020"/>
    <x v="0"/>
    <n v="31"/>
    <x v="3"/>
    <n v="0"/>
    <n v="28500"/>
    <n v="0"/>
  </r>
  <r>
    <n v="2020"/>
    <x v="0"/>
    <n v="31"/>
    <x v="4"/>
    <n v="0"/>
    <n v="28500"/>
    <n v="0"/>
  </r>
  <r>
    <n v="2020"/>
    <x v="0"/>
    <n v="31"/>
    <x v="5"/>
    <n v="0"/>
    <n v="28500"/>
    <n v="0"/>
  </r>
  <r>
    <n v="2020"/>
    <x v="0"/>
    <n v="31"/>
    <x v="6"/>
    <n v="0"/>
    <n v="28500"/>
    <n v="0"/>
  </r>
  <r>
    <n v="2020"/>
    <x v="0"/>
    <n v="31"/>
    <x v="7"/>
    <n v="0"/>
    <n v="28500"/>
    <n v="0"/>
  </r>
  <r>
    <n v="2020"/>
    <x v="0"/>
    <n v="31"/>
    <x v="8"/>
    <n v="0"/>
    <n v="28500"/>
    <n v="0"/>
  </r>
  <r>
    <n v="2020"/>
    <x v="0"/>
    <n v="31"/>
    <x v="9"/>
    <n v="869"/>
    <n v="28500"/>
    <n v="3.0491228070175437E-2"/>
  </r>
  <r>
    <n v="2020"/>
    <x v="0"/>
    <n v="31"/>
    <x v="10"/>
    <n v="604.5"/>
    <n v="28500"/>
    <n v="2.1210526315789475E-2"/>
  </r>
  <r>
    <n v="2020"/>
    <x v="0"/>
    <n v="31"/>
    <x v="11"/>
    <n v="4703"/>
    <n v="28500"/>
    <n v="0.16501754385964912"/>
  </r>
  <r>
    <n v="2020"/>
    <x v="0"/>
    <n v="31"/>
    <x v="12"/>
    <n v="15573"/>
    <n v="28500"/>
    <n v="0.54642105263157892"/>
  </r>
  <r>
    <n v="2020"/>
    <x v="0"/>
    <n v="31"/>
    <x v="13"/>
    <n v="4116.5"/>
    <n v="28500"/>
    <n v="0.14443859649122806"/>
  </r>
  <r>
    <n v="2020"/>
    <x v="0"/>
    <n v="31"/>
    <x v="14"/>
    <n v="2863.5"/>
    <n v="28500"/>
    <n v="0.10047368421052631"/>
  </r>
  <r>
    <n v="2020"/>
    <x v="0"/>
    <n v="31"/>
    <x v="15"/>
    <n v="636"/>
    <n v="28500"/>
    <n v="2.2315789473684209E-2"/>
  </r>
  <r>
    <n v="2020"/>
    <x v="0"/>
    <n v="31"/>
    <x v="16"/>
    <n v="0"/>
    <n v="28500"/>
    <n v="0"/>
  </r>
  <r>
    <n v="2020"/>
    <x v="0"/>
    <n v="31"/>
    <x v="17"/>
    <n v="0"/>
    <n v="28500"/>
    <n v="0"/>
  </r>
  <r>
    <n v="2020"/>
    <x v="0"/>
    <n v="31"/>
    <x v="18"/>
    <n v="0"/>
    <n v="28500"/>
    <n v="0"/>
  </r>
  <r>
    <n v="2020"/>
    <x v="0"/>
    <n v="31"/>
    <x v="19"/>
    <n v="0"/>
    <n v="28500"/>
    <n v="0"/>
  </r>
  <r>
    <n v="2020"/>
    <x v="0"/>
    <n v="31"/>
    <x v="20"/>
    <n v="0"/>
    <n v="28500"/>
    <n v="0"/>
  </r>
  <r>
    <n v="2020"/>
    <x v="0"/>
    <n v="31"/>
    <x v="21"/>
    <n v="0"/>
    <n v="28500"/>
    <n v="0"/>
  </r>
  <r>
    <n v="2020"/>
    <x v="0"/>
    <n v="31"/>
    <x v="22"/>
    <n v="0"/>
    <n v="28500"/>
    <n v="0"/>
  </r>
  <r>
    <n v="2020"/>
    <x v="0"/>
    <n v="31"/>
    <x v="23"/>
    <n v="0"/>
    <n v="28500"/>
    <n v="0"/>
  </r>
  <r>
    <n v="2020"/>
    <x v="1"/>
    <n v="1"/>
    <x v="0"/>
    <n v="0"/>
    <n v="28500"/>
    <n v="0"/>
  </r>
  <r>
    <n v="2020"/>
    <x v="1"/>
    <n v="1"/>
    <x v="1"/>
    <n v="0"/>
    <n v="28500"/>
    <n v="0"/>
  </r>
  <r>
    <n v="2020"/>
    <x v="1"/>
    <n v="1"/>
    <x v="2"/>
    <n v="0"/>
    <n v="28500"/>
    <n v="0"/>
  </r>
  <r>
    <n v="2020"/>
    <x v="1"/>
    <n v="1"/>
    <x v="3"/>
    <n v="0"/>
    <n v="28500"/>
    <n v="0"/>
  </r>
  <r>
    <n v="2020"/>
    <x v="1"/>
    <n v="1"/>
    <x v="4"/>
    <n v="0"/>
    <n v="28500"/>
    <n v="0"/>
  </r>
  <r>
    <n v="2020"/>
    <x v="1"/>
    <n v="1"/>
    <x v="5"/>
    <n v="0"/>
    <n v="28500"/>
    <n v="0"/>
  </r>
  <r>
    <n v="2020"/>
    <x v="1"/>
    <n v="1"/>
    <x v="6"/>
    <n v="0"/>
    <n v="28500"/>
    <n v="0"/>
  </r>
  <r>
    <n v="2020"/>
    <x v="1"/>
    <n v="1"/>
    <x v="7"/>
    <n v="0"/>
    <n v="28500"/>
    <n v="0"/>
  </r>
  <r>
    <n v="2020"/>
    <x v="1"/>
    <n v="1"/>
    <x v="8"/>
    <n v="733"/>
    <n v="28500"/>
    <n v="2.5719298245614034E-2"/>
  </r>
  <r>
    <n v="2020"/>
    <x v="1"/>
    <n v="1"/>
    <x v="9"/>
    <n v="17458.5"/>
    <n v="28500"/>
    <n v="0.612578947368421"/>
  </r>
  <r>
    <n v="2020"/>
    <x v="1"/>
    <n v="1"/>
    <x v="10"/>
    <n v="25343"/>
    <n v="28500"/>
    <n v="0.88922807017543859"/>
  </r>
  <r>
    <n v="2020"/>
    <x v="1"/>
    <n v="1"/>
    <x v="11"/>
    <n v="14370"/>
    <n v="28500"/>
    <n v="0.50421052631578944"/>
  </r>
  <r>
    <n v="2020"/>
    <x v="1"/>
    <n v="1"/>
    <x v="12"/>
    <n v="10001"/>
    <n v="28500"/>
    <n v="0.3509122807017544"/>
  </r>
  <r>
    <n v="2020"/>
    <x v="1"/>
    <n v="1"/>
    <x v="13"/>
    <n v="24146"/>
    <n v="28500"/>
    <n v="0.84722807017543855"/>
  </r>
  <r>
    <n v="2020"/>
    <x v="1"/>
    <n v="1"/>
    <x v="14"/>
    <n v="24940"/>
    <n v="28500"/>
    <n v="0.87508771929824558"/>
  </r>
  <r>
    <n v="2020"/>
    <x v="1"/>
    <n v="1"/>
    <x v="15"/>
    <n v="14726"/>
    <n v="28500"/>
    <n v="0.51670175438596488"/>
  </r>
  <r>
    <n v="2020"/>
    <x v="1"/>
    <n v="1"/>
    <x v="16"/>
    <n v="5277"/>
    <n v="28500"/>
    <n v="0.1851578947368421"/>
  </r>
  <r>
    <n v="2020"/>
    <x v="1"/>
    <n v="1"/>
    <x v="17"/>
    <n v="0"/>
    <n v="28500"/>
    <n v="0"/>
  </r>
  <r>
    <n v="2020"/>
    <x v="1"/>
    <n v="1"/>
    <x v="18"/>
    <n v="0"/>
    <n v="28500"/>
    <n v="0"/>
  </r>
  <r>
    <n v="2020"/>
    <x v="1"/>
    <n v="1"/>
    <x v="19"/>
    <n v="0"/>
    <n v="28500"/>
    <n v="0"/>
  </r>
  <r>
    <n v="2020"/>
    <x v="1"/>
    <n v="1"/>
    <x v="20"/>
    <n v="0"/>
    <n v="28500"/>
    <n v="0"/>
  </r>
  <r>
    <n v="2020"/>
    <x v="1"/>
    <n v="1"/>
    <x v="21"/>
    <n v="0"/>
    <n v="28500"/>
    <n v="0"/>
  </r>
  <r>
    <n v="2020"/>
    <x v="1"/>
    <n v="1"/>
    <x v="22"/>
    <n v="0"/>
    <n v="28500"/>
    <n v="0"/>
  </r>
  <r>
    <n v="2020"/>
    <x v="1"/>
    <n v="1"/>
    <x v="23"/>
    <n v="0"/>
    <n v="28500"/>
    <n v="0"/>
  </r>
  <r>
    <n v="2020"/>
    <x v="1"/>
    <n v="2"/>
    <x v="0"/>
    <n v="0"/>
    <n v="28500"/>
    <n v="0"/>
  </r>
  <r>
    <n v="2020"/>
    <x v="1"/>
    <n v="2"/>
    <x v="1"/>
    <n v="0"/>
    <n v="28500"/>
    <n v="0"/>
  </r>
  <r>
    <n v="2020"/>
    <x v="1"/>
    <n v="2"/>
    <x v="2"/>
    <n v="0"/>
    <n v="28500"/>
    <n v="0"/>
  </r>
  <r>
    <n v="2020"/>
    <x v="1"/>
    <n v="2"/>
    <x v="3"/>
    <n v="0"/>
    <n v="28500"/>
    <n v="0"/>
  </r>
  <r>
    <n v="2020"/>
    <x v="1"/>
    <n v="2"/>
    <x v="4"/>
    <n v="0"/>
    <n v="28500"/>
    <n v="0"/>
  </r>
  <r>
    <n v="2020"/>
    <x v="1"/>
    <n v="2"/>
    <x v="5"/>
    <n v="0"/>
    <n v="28500"/>
    <n v="0"/>
  </r>
  <r>
    <n v="2020"/>
    <x v="1"/>
    <n v="2"/>
    <x v="6"/>
    <n v="0"/>
    <n v="28500"/>
    <n v="0"/>
  </r>
  <r>
    <n v="2020"/>
    <x v="1"/>
    <n v="2"/>
    <x v="7"/>
    <n v="0"/>
    <n v="28500"/>
    <n v="0"/>
  </r>
  <r>
    <n v="2020"/>
    <x v="1"/>
    <n v="2"/>
    <x v="8"/>
    <n v="479.5"/>
    <n v="28500"/>
    <n v="1.6824561403508773E-2"/>
  </r>
  <r>
    <n v="2020"/>
    <x v="1"/>
    <n v="2"/>
    <x v="9"/>
    <n v="2877.5"/>
    <n v="28500"/>
    <n v="0.10096491228070176"/>
  </r>
  <r>
    <n v="2020"/>
    <x v="1"/>
    <n v="2"/>
    <x v="10"/>
    <n v="8631.5"/>
    <n v="28500"/>
    <n v="0.302859649122807"/>
  </r>
  <r>
    <n v="2020"/>
    <x v="1"/>
    <n v="2"/>
    <x v="11"/>
    <n v="15940"/>
    <n v="28500"/>
    <n v="0.55929824561403507"/>
  </r>
  <r>
    <n v="2020"/>
    <x v="1"/>
    <n v="2"/>
    <x v="12"/>
    <n v="14695.5"/>
    <n v="28500"/>
    <n v="0.51563157894736844"/>
  </r>
  <r>
    <n v="2020"/>
    <x v="1"/>
    <n v="2"/>
    <x v="13"/>
    <n v="22244.5"/>
    <n v="28500"/>
    <n v="0.7805087719298246"/>
  </r>
  <r>
    <n v="2020"/>
    <x v="1"/>
    <n v="2"/>
    <x v="14"/>
    <n v="2362.5"/>
    <n v="28500"/>
    <n v="8.2894736842105257E-2"/>
  </r>
  <r>
    <n v="2020"/>
    <x v="1"/>
    <n v="2"/>
    <x v="15"/>
    <n v="2262"/>
    <n v="28500"/>
    <n v="7.9368421052631574E-2"/>
  </r>
  <r>
    <n v="2020"/>
    <x v="1"/>
    <n v="2"/>
    <x v="16"/>
    <n v="191.5"/>
    <n v="28500"/>
    <n v="6.7192982456140355E-3"/>
  </r>
  <r>
    <n v="2020"/>
    <x v="1"/>
    <n v="2"/>
    <x v="17"/>
    <n v="0"/>
    <n v="28500"/>
    <n v="0"/>
  </r>
  <r>
    <n v="2020"/>
    <x v="1"/>
    <n v="2"/>
    <x v="18"/>
    <n v="0"/>
    <n v="28500"/>
    <n v="0"/>
  </r>
  <r>
    <n v="2020"/>
    <x v="1"/>
    <n v="2"/>
    <x v="19"/>
    <n v="0"/>
    <n v="28500"/>
    <n v="0"/>
  </r>
  <r>
    <n v="2020"/>
    <x v="1"/>
    <n v="2"/>
    <x v="20"/>
    <n v="0"/>
    <n v="28500"/>
    <n v="0"/>
  </r>
  <r>
    <n v="2020"/>
    <x v="1"/>
    <n v="2"/>
    <x v="21"/>
    <n v="0"/>
    <n v="28500"/>
    <n v="0"/>
  </r>
  <r>
    <n v="2020"/>
    <x v="1"/>
    <n v="2"/>
    <x v="22"/>
    <n v="0"/>
    <n v="28500"/>
    <n v="0"/>
  </r>
  <r>
    <n v="2020"/>
    <x v="1"/>
    <n v="2"/>
    <x v="23"/>
    <n v="0"/>
    <n v="28500"/>
    <n v="0"/>
  </r>
  <r>
    <n v="2020"/>
    <x v="1"/>
    <n v="3"/>
    <x v="0"/>
    <n v="0"/>
    <n v="28500"/>
    <n v="0"/>
  </r>
  <r>
    <n v="2020"/>
    <x v="1"/>
    <n v="3"/>
    <x v="1"/>
    <n v="0"/>
    <n v="28500"/>
    <n v="0"/>
  </r>
  <r>
    <n v="2020"/>
    <x v="1"/>
    <n v="3"/>
    <x v="2"/>
    <n v="0"/>
    <n v="28500"/>
    <n v="0"/>
  </r>
  <r>
    <n v="2020"/>
    <x v="1"/>
    <n v="3"/>
    <x v="3"/>
    <n v="0"/>
    <n v="28500"/>
    <n v="0"/>
  </r>
  <r>
    <n v="2020"/>
    <x v="1"/>
    <n v="3"/>
    <x v="4"/>
    <n v="0"/>
    <n v="28500"/>
    <n v="0"/>
  </r>
  <r>
    <n v="2020"/>
    <x v="1"/>
    <n v="3"/>
    <x v="5"/>
    <n v="0"/>
    <n v="28500"/>
    <n v="0"/>
  </r>
  <r>
    <n v="2020"/>
    <x v="1"/>
    <n v="3"/>
    <x v="6"/>
    <n v="0"/>
    <n v="28500"/>
    <n v="0"/>
  </r>
  <r>
    <n v="2020"/>
    <x v="1"/>
    <n v="3"/>
    <x v="7"/>
    <n v="0"/>
    <n v="28500"/>
    <n v="0"/>
  </r>
  <r>
    <n v="2020"/>
    <x v="1"/>
    <n v="3"/>
    <x v="8"/>
    <n v="5672.5"/>
    <n v="28500"/>
    <n v="0.19903508771929826"/>
  </r>
  <r>
    <n v="2020"/>
    <x v="1"/>
    <n v="3"/>
    <x v="9"/>
    <n v="16099.5"/>
    <n v="28500"/>
    <n v="0.56489473684210523"/>
  </r>
  <r>
    <n v="2020"/>
    <x v="1"/>
    <n v="3"/>
    <x v="10"/>
    <n v="17427"/>
    <n v="28500"/>
    <n v="0.61147368421052628"/>
  </r>
  <r>
    <n v="2020"/>
    <x v="1"/>
    <n v="3"/>
    <x v="11"/>
    <n v="14276.5"/>
    <n v="28500"/>
    <n v="0.50092982456140356"/>
  </r>
  <r>
    <n v="2020"/>
    <x v="1"/>
    <n v="3"/>
    <x v="12"/>
    <n v="23154.5"/>
    <n v="28500"/>
    <n v="0.81243859649122807"/>
  </r>
  <r>
    <n v="2020"/>
    <x v="1"/>
    <n v="3"/>
    <x v="13"/>
    <n v="2084"/>
    <n v="28500"/>
    <n v="7.3122807017543853E-2"/>
  </r>
  <r>
    <n v="2020"/>
    <x v="1"/>
    <n v="3"/>
    <x v="14"/>
    <n v="6419"/>
    <n v="28500"/>
    <n v="0.22522807017543858"/>
  </r>
  <r>
    <n v="2020"/>
    <x v="1"/>
    <n v="3"/>
    <x v="15"/>
    <n v="3422"/>
    <n v="28500"/>
    <n v="0.12007017543859649"/>
  </r>
  <r>
    <n v="2020"/>
    <x v="1"/>
    <n v="3"/>
    <x v="16"/>
    <n v="276.5"/>
    <n v="28500"/>
    <n v="9.7017543859649127E-3"/>
  </r>
  <r>
    <n v="2020"/>
    <x v="1"/>
    <n v="3"/>
    <x v="17"/>
    <n v="0"/>
    <n v="28500"/>
    <n v="0"/>
  </r>
  <r>
    <n v="2020"/>
    <x v="1"/>
    <n v="3"/>
    <x v="18"/>
    <n v="0"/>
    <n v="28500"/>
    <n v="0"/>
  </r>
  <r>
    <n v="2020"/>
    <x v="1"/>
    <n v="3"/>
    <x v="19"/>
    <n v="0"/>
    <n v="28500"/>
    <n v="0"/>
  </r>
  <r>
    <n v="2020"/>
    <x v="1"/>
    <n v="3"/>
    <x v="20"/>
    <n v="0"/>
    <n v="28500"/>
    <n v="0"/>
  </r>
  <r>
    <n v="2020"/>
    <x v="1"/>
    <n v="3"/>
    <x v="21"/>
    <n v="0"/>
    <n v="28500"/>
    <n v="0"/>
  </r>
  <r>
    <n v="2020"/>
    <x v="1"/>
    <n v="3"/>
    <x v="22"/>
    <n v="0"/>
    <n v="28500"/>
    <n v="0"/>
  </r>
  <r>
    <n v="2020"/>
    <x v="1"/>
    <n v="3"/>
    <x v="23"/>
    <n v="0"/>
    <n v="28500"/>
    <n v="0"/>
  </r>
  <r>
    <n v="2020"/>
    <x v="1"/>
    <n v="4"/>
    <x v="0"/>
    <n v="0"/>
    <n v="28500"/>
    <n v="0"/>
  </r>
  <r>
    <n v="2020"/>
    <x v="1"/>
    <n v="4"/>
    <x v="1"/>
    <n v="0"/>
    <n v="28500"/>
    <n v="0"/>
  </r>
  <r>
    <n v="2020"/>
    <x v="1"/>
    <n v="4"/>
    <x v="2"/>
    <n v="0"/>
    <n v="28500"/>
    <n v="0"/>
  </r>
  <r>
    <n v="2020"/>
    <x v="1"/>
    <n v="4"/>
    <x v="3"/>
    <n v="0"/>
    <n v="28500"/>
    <n v="0"/>
  </r>
  <r>
    <n v="2020"/>
    <x v="1"/>
    <n v="4"/>
    <x v="4"/>
    <n v="0"/>
    <n v="28500"/>
    <n v="0"/>
  </r>
  <r>
    <n v="2020"/>
    <x v="1"/>
    <n v="4"/>
    <x v="5"/>
    <n v="0"/>
    <n v="28500"/>
    <n v="0"/>
  </r>
  <r>
    <n v="2020"/>
    <x v="1"/>
    <n v="4"/>
    <x v="6"/>
    <n v="0"/>
    <n v="28500"/>
    <n v="0"/>
  </r>
  <r>
    <n v="2020"/>
    <x v="1"/>
    <n v="4"/>
    <x v="7"/>
    <n v="0"/>
    <n v="28500"/>
    <n v="0"/>
  </r>
  <r>
    <n v="2020"/>
    <x v="1"/>
    <n v="4"/>
    <x v="8"/>
    <n v="6796"/>
    <n v="28500"/>
    <n v="0.2384561403508772"/>
  </r>
  <r>
    <n v="2020"/>
    <x v="1"/>
    <n v="4"/>
    <x v="9"/>
    <n v="14495"/>
    <n v="28500"/>
    <n v="0.50859649122807016"/>
  </r>
  <r>
    <n v="2020"/>
    <x v="1"/>
    <n v="4"/>
    <x v="10"/>
    <n v="21135"/>
    <n v="28500"/>
    <n v="0.741578947368421"/>
  </r>
  <r>
    <n v="2020"/>
    <x v="1"/>
    <n v="4"/>
    <x v="11"/>
    <n v="8434.5"/>
    <n v="28500"/>
    <n v="0.29594736842105263"/>
  </r>
  <r>
    <n v="2020"/>
    <x v="1"/>
    <n v="4"/>
    <x v="12"/>
    <n v="7140"/>
    <n v="28500"/>
    <n v="0.25052631578947371"/>
  </r>
  <r>
    <n v="2020"/>
    <x v="1"/>
    <n v="4"/>
    <x v="13"/>
    <n v="2420.5"/>
    <n v="28500"/>
    <n v="8.4929824561403508E-2"/>
  </r>
  <r>
    <n v="2020"/>
    <x v="1"/>
    <n v="4"/>
    <x v="14"/>
    <n v="1659.5"/>
    <n v="28500"/>
    <n v="5.8228070175438594E-2"/>
  </r>
  <r>
    <n v="2020"/>
    <x v="1"/>
    <n v="4"/>
    <x v="15"/>
    <n v="1655"/>
    <n v="28500"/>
    <n v="5.8070175438596494E-2"/>
  </r>
  <r>
    <n v="2020"/>
    <x v="1"/>
    <n v="4"/>
    <x v="16"/>
    <n v="195"/>
    <n v="28500"/>
    <n v="6.842105263157895E-3"/>
  </r>
  <r>
    <n v="2020"/>
    <x v="1"/>
    <n v="4"/>
    <x v="17"/>
    <n v="0"/>
    <n v="28500"/>
    <n v="0"/>
  </r>
  <r>
    <n v="2020"/>
    <x v="1"/>
    <n v="4"/>
    <x v="18"/>
    <n v="0"/>
    <n v="28500"/>
    <n v="0"/>
  </r>
  <r>
    <n v="2020"/>
    <x v="1"/>
    <n v="4"/>
    <x v="19"/>
    <n v="0"/>
    <n v="28500"/>
    <n v="0"/>
  </r>
  <r>
    <n v="2020"/>
    <x v="1"/>
    <n v="4"/>
    <x v="20"/>
    <n v="0"/>
    <n v="28500"/>
    <n v="0"/>
  </r>
  <r>
    <n v="2020"/>
    <x v="1"/>
    <n v="4"/>
    <x v="21"/>
    <n v="0"/>
    <n v="28500"/>
    <n v="0"/>
  </r>
  <r>
    <n v="2020"/>
    <x v="1"/>
    <n v="4"/>
    <x v="22"/>
    <n v="0"/>
    <n v="28500"/>
    <n v="0"/>
  </r>
  <r>
    <n v="2020"/>
    <x v="1"/>
    <n v="4"/>
    <x v="23"/>
    <n v="0"/>
    <n v="28500"/>
    <n v="0"/>
  </r>
  <r>
    <n v="2020"/>
    <x v="1"/>
    <n v="5"/>
    <x v="0"/>
    <n v="0"/>
    <n v="28500"/>
    <n v="0"/>
  </r>
  <r>
    <n v="2020"/>
    <x v="1"/>
    <n v="5"/>
    <x v="1"/>
    <n v="0"/>
    <n v="28500"/>
    <n v="0"/>
  </r>
  <r>
    <n v="2020"/>
    <x v="1"/>
    <n v="5"/>
    <x v="2"/>
    <n v="0"/>
    <n v="28500"/>
    <n v="0"/>
  </r>
  <r>
    <n v="2020"/>
    <x v="1"/>
    <n v="5"/>
    <x v="3"/>
    <n v="0"/>
    <n v="28500"/>
    <n v="0"/>
  </r>
  <r>
    <n v="2020"/>
    <x v="1"/>
    <n v="5"/>
    <x v="4"/>
    <n v="0"/>
    <n v="28500"/>
    <n v="0"/>
  </r>
  <r>
    <n v="2020"/>
    <x v="1"/>
    <n v="5"/>
    <x v="5"/>
    <n v="0"/>
    <n v="28500"/>
    <n v="0"/>
  </r>
  <r>
    <n v="2020"/>
    <x v="1"/>
    <n v="5"/>
    <x v="6"/>
    <n v="0"/>
    <n v="28500"/>
    <n v="0"/>
  </r>
  <r>
    <n v="2020"/>
    <x v="1"/>
    <n v="5"/>
    <x v="7"/>
    <n v="0"/>
    <n v="28500"/>
    <n v="0"/>
  </r>
  <r>
    <n v="2020"/>
    <x v="1"/>
    <n v="5"/>
    <x v="8"/>
    <n v="1638.5"/>
    <n v="28500"/>
    <n v="5.749122807017544E-2"/>
  </r>
  <r>
    <n v="2020"/>
    <x v="1"/>
    <n v="5"/>
    <x v="9"/>
    <n v="11058"/>
    <n v="28500"/>
    <n v="0.38800000000000001"/>
  </r>
  <r>
    <n v="2020"/>
    <x v="1"/>
    <n v="5"/>
    <x v="10"/>
    <n v="23052"/>
    <n v="28500"/>
    <n v="0.80884210526315792"/>
  </r>
  <r>
    <n v="2020"/>
    <x v="1"/>
    <n v="5"/>
    <x v="11"/>
    <n v="30249.5"/>
    <n v="28500"/>
    <n v="1.0613859649122808"/>
  </r>
  <r>
    <n v="2020"/>
    <x v="1"/>
    <n v="5"/>
    <x v="12"/>
    <n v="35425"/>
    <n v="28500"/>
    <n v="1.2429824561403509"/>
  </r>
  <r>
    <n v="2020"/>
    <x v="1"/>
    <n v="5"/>
    <x v="13"/>
    <n v="28544"/>
    <n v="28500"/>
    <n v="1.0015438596491228"/>
  </r>
  <r>
    <n v="2020"/>
    <x v="1"/>
    <n v="5"/>
    <x v="14"/>
    <n v="15444.5"/>
    <n v="28500"/>
    <n v="0.54191228070175435"/>
  </r>
  <r>
    <n v="2020"/>
    <x v="1"/>
    <n v="5"/>
    <x v="15"/>
    <n v="17701.5"/>
    <n v="28500"/>
    <n v="0.62110526315789472"/>
  </r>
  <r>
    <n v="2020"/>
    <x v="1"/>
    <n v="5"/>
    <x v="16"/>
    <n v="8273"/>
    <n v="28500"/>
    <n v="0.29028070175438597"/>
  </r>
  <r>
    <n v="2020"/>
    <x v="1"/>
    <n v="5"/>
    <x v="17"/>
    <n v="0"/>
    <n v="28500"/>
    <n v="0"/>
  </r>
  <r>
    <n v="2020"/>
    <x v="1"/>
    <n v="5"/>
    <x v="18"/>
    <n v="0"/>
    <n v="28500"/>
    <n v="0"/>
  </r>
  <r>
    <n v="2020"/>
    <x v="1"/>
    <n v="5"/>
    <x v="19"/>
    <n v="0"/>
    <n v="28500"/>
    <n v="0"/>
  </r>
  <r>
    <n v="2020"/>
    <x v="1"/>
    <n v="5"/>
    <x v="20"/>
    <n v="0"/>
    <n v="28500"/>
    <n v="0"/>
  </r>
  <r>
    <n v="2020"/>
    <x v="1"/>
    <n v="5"/>
    <x v="21"/>
    <n v="0"/>
    <n v="28500"/>
    <n v="0"/>
  </r>
  <r>
    <n v="2020"/>
    <x v="1"/>
    <n v="5"/>
    <x v="22"/>
    <n v="0"/>
    <n v="28500"/>
    <n v="0"/>
  </r>
  <r>
    <n v="2020"/>
    <x v="1"/>
    <n v="5"/>
    <x v="23"/>
    <n v="0"/>
    <n v="28500"/>
    <n v="0"/>
  </r>
  <r>
    <n v="2020"/>
    <x v="1"/>
    <n v="6"/>
    <x v="0"/>
    <n v="0"/>
    <n v="28500"/>
    <n v="0"/>
  </r>
  <r>
    <n v="2020"/>
    <x v="1"/>
    <n v="6"/>
    <x v="1"/>
    <n v="0"/>
    <n v="28500"/>
    <n v="0"/>
  </r>
  <r>
    <n v="2020"/>
    <x v="1"/>
    <n v="6"/>
    <x v="2"/>
    <n v="0"/>
    <n v="28500"/>
    <n v="0"/>
  </r>
  <r>
    <n v="2020"/>
    <x v="1"/>
    <n v="6"/>
    <x v="3"/>
    <n v="0"/>
    <n v="28500"/>
    <n v="0"/>
  </r>
  <r>
    <n v="2020"/>
    <x v="1"/>
    <n v="6"/>
    <x v="4"/>
    <n v="0"/>
    <n v="28500"/>
    <n v="0"/>
  </r>
  <r>
    <n v="2020"/>
    <x v="1"/>
    <n v="6"/>
    <x v="5"/>
    <n v="0"/>
    <n v="28500"/>
    <n v="0"/>
  </r>
  <r>
    <n v="2020"/>
    <x v="1"/>
    <n v="6"/>
    <x v="6"/>
    <n v="0"/>
    <n v="28500"/>
    <n v="0"/>
  </r>
  <r>
    <n v="2020"/>
    <x v="1"/>
    <n v="6"/>
    <x v="7"/>
    <n v="0"/>
    <n v="28500"/>
    <n v="0"/>
  </r>
  <r>
    <n v="2020"/>
    <x v="1"/>
    <n v="6"/>
    <x v="8"/>
    <n v="6786"/>
    <n v="28500"/>
    <n v="0.23810526315789474"/>
  </r>
  <r>
    <n v="2020"/>
    <x v="1"/>
    <n v="6"/>
    <x v="9"/>
    <n v="15384"/>
    <n v="28500"/>
    <n v="0.53978947368421049"/>
  </r>
  <r>
    <n v="2020"/>
    <x v="1"/>
    <n v="6"/>
    <x v="10"/>
    <n v="29208.5"/>
    <n v="28500"/>
    <n v="1.024859649122807"/>
  </r>
  <r>
    <n v="2020"/>
    <x v="1"/>
    <n v="6"/>
    <x v="11"/>
    <n v="29294"/>
    <n v="28500"/>
    <n v="1.0278596491228069"/>
  </r>
  <r>
    <n v="2020"/>
    <x v="1"/>
    <n v="6"/>
    <x v="12"/>
    <n v="35287.5"/>
    <n v="28500"/>
    <n v="1.2381578947368421"/>
  </r>
  <r>
    <n v="2020"/>
    <x v="1"/>
    <n v="6"/>
    <x v="13"/>
    <n v="34194.5"/>
    <n v="28500"/>
    <n v="1.1998070175438595"/>
  </r>
  <r>
    <n v="2020"/>
    <x v="1"/>
    <n v="6"/>
    <x v="14"/>
    <n v="29813"/>
    <n v="28500"/>
    <n v="1.0460701754385966"/>
  </r>
  <r>
    <n v="2020"/>
    <x v="1"/>
    <n v="6"/>
    <x v="15"/>
    <n v="19308"/>
    <n v="28500"/>
    <n v="0.67747368421052634"/>
  </r>
  <r>
    <n v="2020"/>
    <x v="1"/>
    <n v="6"/>
    <x v="16"/>
    <n v="7996"/>
    <n v="28500"/>
    <n v="0.28056140350877196"/>
  </r>
  <r>
    <n v="2020"/>
    <x v="1"/>
    <n v="6"/>
    <x v="17"/>
    <n v="0"/>
    <n v="28500"/>
    <n v="0"/>
  </r>
  <r>
    <n v="2020"/>
    <x v="1"/>
    <n v="6"/>
    <x v="18"/>
    <n v="0"/>
    <n v="28500"/>
    <n v="0"/>
  </r>
  <r>
    <n v="2020"/>
    <x v="1"/>
    <n v="6"/>
    <x v="19"/>
    <n v="0"/>
    <n v="28500"/>
    <n v="0"/>
  </r>
  <r>
    <n v="2020"/>
    <x v="1"/>
    <n v="6"/>
    <x v="20"/>
    <n v="0"/>
    <n v="28500"/>
    <n v="0"/>
  </r>
  <r>
    <n v="2020"/>
    <x v="1"/>
    <n v="6"/>
    <x v="21"/>
    <n v="0"/>
    <n v="28500"/>
    <n v="0"/>
  </r>
  <r>
    <n v="2020"/>
    <x v="1"/>
    <n v="6"/>
    <x v="22"/>
    <n v="0"/>
    <n v="28500"/>
    <n v="0"/>
  </r>
  <r>
    <n v="2020"/>
    <x v="1"/>
    <n v="6"/>
    <x v="23"/>
    <n v="0"/>
    <n v="28500"/>
    <n v="0"/>
  </r>
  <r>
    <n v="2020"/>
    <x v="1"/>
    <n v="7"/>
    <x v="0"/>
    <n v="0"/>
    <n v="28500"/>
    <n v="0"/>
  </r>
  <r>
    <n v="2020"/>
    <x v="1"/>
    <n v="7"/>
    <x v="1"/>
    <n v="0"/>
    <n v="28500"/>
    <n v="0"/>
  </r>
  <r>
    <n v="2020"/>
    <x v="1"/>
    <n v="7"/>
    <x v="2"/>
    <n v="0"/>
    <n v="28500"/>
    <n v="0"/>
  </r>
  <r>
    <n v="2020"/>
    <x v="1"/>
    <n v="7"/>
    <x v="3"/>
    <n v="0"/>
    <n v="28500"/>
    <n v="0"/>
  </r>
  <r>
    <n v="2020"/>
    <x v="1"/>
    <n v="7"/>
    <x v="4"/>
    <n v="0"/>
    <n v="28500"/>
    <n v="0"/>
  </r>
  <r>
    <n v="2020"/>
    <x v="1"/>
    <n v="7"/>
    <x v="5"/>
    <n v="0"/>
    <n v="28500"/>
    <n v="0"/>
  </r>
  <r>
    <n v="2020"/>
    <x v="1"/>
    <n v="7"/>
    <x v="6"/>
    <n v="0"/>
    <n v="28500"/>
    <n v="0"/>
  </r>
  <r>
    <n v="2020"/>
    <x v="1"/>
    <n v="7"/>
    <x v="7"/>
    <n v="0"/>
    <n v="28500"/>
    <n v="0"/>
  </r>
  <r>
    <n v="2020"/>
    <x v="1"/>
    <n v="7"/>
    <x v="8"/>
    <n v="6853"/>
    <n v="28500"/>
    <n v="0.2404561403508772"/>
  </r>
  <r>
    <n v="2020"/>
    <x v="1"/>
    <n v="7"/>
    <x v="9"/>
    <n v="16016.5"/>
    <n v="28500"/>
    <n v="0.56198245614035092"/>
  </r>
  <r>
    <n v="2020"/>
    <x v="1"/>
    <n v="7"/>
    <x v="10"/>
    <n v="30308.5"/>
    <n v="28500"/>
    <n v="1.0634561403508771"/>
  </r>
  <r>
    <n v="2020"/>
    <x v="1"/>
    <n v="7"/>
    <x v="11"/>
    <n v="32619"/>
    <n v="28500"/>
    <n v="1.1445263157894736"/>
  </r>
  <r>
    <n v="2020"/>
    <x v="1"/>
    <n v="7"/>
    <x v="12"/>
    <n v="36983.5"/>
    <n v="28500"/>
    <n v="1.2976666666666667"/>
  </r>
  <r>
    <n v="2020"/>
    <x v="1"/>
    <n v="7"/>
    <x v="13"/>
    <n v="19666"/>
    <n v="28500"/>
    <n v="0.69003508771929822"/>
  </r>
  <r>
    <n v="2020"/>
    <x v="1"/>
    <n v="7"/>
    <x v="14"/>
    <n v="19535.5"/>
    <n v="28500"/>
    <n v="0.68545614035087721"/>
  </r>
  <r>
    <n v="2020"/>
    <x v="1"/>
    <n v="7"/>
    <x v="15"/>
    <n v="8802.5"/>
    <n v="28500"/>
    <n v="0.308859649122807"/>
  </r>
  <r>
    <n v="2020"/>
    <x v="1"/>
    <n v="7"/>
    <x v="16"/>
    <n v="33"/>
    <n v="28500"/>
    <n v="1.1578947368421054E-3"/>
  </r>
  <r>
    <n v="2020"/>
    <x v="1"/>
    <n v="7"/>
    <x v="17"/>
    <n v="0"/>
    <n v="28500"/>
    <n v="0"/>
  </r>
  <r>
    <n v="2020"/>
    <x v="1"/>
    <n v="7"/>
    <x v="18"/>
    <n v="0"/>
    <n v="28500"/>
    <n v="0"/>
  </r>
  <r>
    <n v="2020"/>
    <x v="1"/>
    <n v="7"/>
    <x v="19"/>
    <n v="0"/>
    <n v="28500"/>
    <n v="0"/>
  </r>
  <r>
    <n v="2020"/>
    <x v="1"/>
    <n v="7"/>
    <x v="20"/>
    <n v="0"/>
    <n v="28500"/>
    <n v="0"/>
  </r>
  <r>
    <n v="2020"/>
    <x v="1"/>
    <n v="7"/>
    <x v="21"/>
    <n v="0"/>
    <n v="28500"/>
    <n v="0"/>
  </r>
  <r>
    <n v="2020"/>
    <x v="1"/>
    <n v="7"/>
    <x v="22"/>
    <n v="0"/>
    <n v="28500"/>
    <n v="0"/>
  </r>
  <r>
    <n v="2020"/>
    <x v="1"/>
    <n v="7"/>
    <x v="23"/>
    <n v="0"/>
    <n v="28500"/>
    <n v="0"/>
  </r>
  <r>
    <n v="2020"/>
    <x v="1"/>
    <n v="8"/>
    <x v="0"/>
    <n v="0"/>
    <n v="28500"/>
    <n v="0"/>
  </r>
  <r>
    <n v="2020"/>
    <x v="1"/>
    <n v="8"/>
    <x v="1"/>
    <n v="0"/>
    <n v="28500"/>
    <n v="0"/>
  </r>
  <r>
    <n v="2020"/>
    <x v="1"/>
    <n v="8"/>
    <x v="2"/>
    <n v="0"/>
    <n v="28500"/>
    <n v="0"/>
  </r>
  <r>
    <n v="2020"/>
    <x v="1"/>
    <n v="8"/>
    <x v="3"/>
    <n v="0"/>
    <n v="28500"/>
    <n v="0"/>
  </r>
  <r>
    <n v="2020"/>
    <x v="1"/>
    <n v="8"/>
    <x v="4"/>
    <n v="0"/>
    <n v="28500"/>
    <n v="0"/>
  </r>
  <r>
    <n v="2020"/>
    <x v="1"/>
    <n v="8"/>
    <x v="5"/>
    <n v="0"/>
    <n v="28500"/>
    <n v="0"/>
  </r>
  <r>
    <n v="2020"/>
    <x v="1"/>
    <n v="8"/>
    <x v="6"/>
    <n v="0"/>
    <n v="28500"/>
    <n v="0"/>
  </r>
  <r>
    <n v="2020"/>
    <x v="1"/>
    <n v="8"/>
    <x v="7"/>
    <n v="0"/>
    <n v="28500"/>
    <n v="0"/>
  </r>
  <r>
    <n v="2020"/>
    <x v="1"/>
    <n v="8"/>
    <x v="8"/>
    <n v="1169.5"/>
    <n v="28500"/>
    <n v="4.1035087719298244E-2"/>
  </r>
  <r>
    <n v="2020"/>
    <x v="1"/>
    <n v="8"/>
    <x v="9"/>
    <n v="2134"/>
    <n v="28500"/>
    <n v="7.4877192982456139E-2"/>
  </r>
  <r>
    <n v="2020"/>
    <x v="1"/>
    <n v="8"/>
    <x v="10"/>
    <n v="12011"/>
    <n v="28500"/>
    <n v="0.42143859649122806"/>
  </r>
  <r>
    <n v="2020"/>
    <x v="1"/>
    <n v="8"/>
    <x v="11"/>
    <n v="15060.5"/>
    <n v="28500"/>
    <n v="0.52843859649122804"/>
  </r>
  <r>
    <n v="2020"/>
    <x v="1"/>
    <n v="8"/>
    <x v="12"/>
    <n v="22014"/>
    <n v="28500"/>
    <n v="0.7724210526315789"/>
  </r>
  <r>
    <n v="2020"/>
    <x v="1"/>
    <n v="8"/>
    <x v="13"/>
    <n v="36163"/>
    <n v="28500"/>
    <n v="1.268877192982456"/>
  </r>
  <r>
    <n v="2020"/>
    <x v="1"/>
    <n v="8"/>
    <x v="14"/>
    <n v="31178.5"/>
    <n v="28500"/>
    <n v="1.0939824561403508"/>
  </r>
  <r>
    <n v="2020"/>
    <x v="1"/>
    <n v="8"/>
    <x v="15"/>
    <n v="20402.5"/>
    <n v="28500"/>
    <n v="0.71587719298245611"/>
  </r>
  <r>
    <n v="2020"/>
    <x v="1"/>
    <n v="8"/>
    <x v="16"/>
    <n v="9800"/>
    <n v="28500"/>
    <n v="0.34385964912280703"/>
  </r>
  <r>
    <n v="2020"/>
    <x v="1"/>
    <n v="8"/>
    <x v="17"/>
    <n v="0"/>
    <n v="28500"/>
    <n v="0"/>
  </r>
  <r>
    <n v="2020"/>
    <x v="1"/>
    <n v="8"/>
    <x v="18"/>
    <n v="0"/>
    <n v="28500"/>
    <n v="0"/>
  </r>
  <r>
    <n v="2020"/>
    <x v="1"/>
    <n v="8"/>
    <x v="19"/>
    <n v="0"/>
    <n v="28500"/>
    <n v="0"/>
  </r>
  <r>
    <n v="2020"/>
    <x v="1"/>
    <n v="8"/>
    <x v="20"/>
    <n v="0"/>
    <n v="28500"/>
    <n v="0"/>
  </r>
  <r>
    <n v="2020"/>
    <x v="1"/>
    <n v="8"/>
    <x v="21"/>
    <n v="0"/>
    <n v="28500"/>
    <n v="0"/>
  </r>
  <r>
    <n v="2020"/>
    <x v="1"/>
    <n v="8"/>
    <x v="22"/>
    <n v="0"/>
    <n v="28500"/>
    <n v="0"/>
  </r>
  <r>
    <n v="2020"/>
    <x v="1"/>
    <n v="8"/>
    <x v="23"/>
    <n v="0"/>
    <n v="28500"/>
    <n v="0"/>
  </r>
  <r>
    <n v="2020"/>
    <x v="1"/>
    <n v="9"/>
    <x v="0"/>
    <n v="0"/>
    <n v="28500"/>
    <n v="0"/>
  </r>
  <r>
    <n v="2020"/>
    <x v="1"/>
    <n v="9"/>
    <x v="1"/>
    <n v="0"/>
    <n v="28500"/>
    <n v="0"/>
  </r>
  <r>
    <n v="2020"/>
    <x v="1"/>
    <n v="9"/>
    <x v="2"/>
    <n v="0"/>
    <n v="28500"/>
    <n v="0"/>
  </r>
  <r>
    <n v="2020"/>
    <x v="1"/>
    <n v="9"/>
    <x v="3"/>
    <n v="0"/>
    <n v="28500"/>
    <n v="0"/>
  </r>
  <r>
    <n v="2020"/>
    <x v="1"/>
    <n v="9"/>
    <x v="4"/>
    <n v="0"/>
    <n v="28500"/>
    <n v="0"/>
  </r>
  <r>
    <n v="2020"/>
    <x v="1"/>
    <n v="9"/>
    <x v="5"/>
    <n v="0"/>
    <n v="28500"/>
    <n v="0"/>
  </r>
  <r>
    <n v="2020"/>
    <x v="1"/>
    <n v="9"/>
    <x v="6"/>
    <n v="0"/>
    <n v="28500"/>
    <n v="0"/>
  </r>
  <r>
    <n v="2020"/>
    <x v="1"/>
    <n v="9"/>
    <x v="7"/>
    <n v="0"/>
    <n v="28500"/>
    <n v="0"/>
  </r>
  <r>
    <n v="2020"/>
    <x v="1"/>
    <n v="9"/>
    <x v="8"/>
    <n v="168"/>
    <n v="28500"/>
    <n v="5.8947368421052634E-3"/>
  </r>
  <r>
    <n v="2020"/>
    <x v="1"/>
    <n v="9"/>
    <x v="9"/>
    <n v="1003.5"/>
    <n v="28500"/>
    <n v="3.5210526315789477E-2"/>
  </r>
  <r>
    <n v="2020"/>
    <x v="1"/>
    <n v="9"/>
    <x v="10"/>
    <n v="3156.5"/>
    <n v="28500"/>
    <n v="0.11075438596491229"/>
  </r>
  <r>
    <n v="2020"/>
    <x v="1"/>
    <n v="9"/>
    <x v="11"/>
    <n v="2415.5"/>
    <n v="28500"/>
    <n v="8.4754385964912277E-2"/>
  </r>
  <r>
    <n v="2020"/>
    <x v="1"/>
    <n v="9"/>
    <x v="12"/>
    <n v="2370.5"/>
    <n v="28500"/>
    <n v="8.3175438596491222E-2"/>
  </r>
  <r>
    <n v="2020"/>
    <x v="1"/>
    <n v="9"/>
    <x v="13"/>
    <n v="1339.5"/>
    <n v="28500"/>
    <n v="4.7E-2"/>
  </r>
  <r>
    <n v="2020"/>
    <x v="1"/>
    <n v="9"/>
    <x v="14"/>
    <n v="1376.5"/>
    <n v="28500"/>
    <n v="4.829824561403509E-2"/>
  </r>
  <r>
    <n v="2020"/>
    <x v="1"/>
    <n v="9"/>
    <x v="15"/>
    <n v="629.5"/>
    <n v="28500"/>
    <n v="2.2087719298245614E-2"/>
  </r>
  <r>
    <n v="2020"/>
    <x v="1"/>
    <n v="9"/>
    <x v="16"/>
    <n v="858.5"/>
    <n v="28500"/>
    <n v="3.012280701754386E-2"/>
  </r>
  <r>
    <n v="2020"/>
    <x v="1"/>
    <n v="9"/>
    <x v="17"/>
    <n v="0"/>
    <n v="28500"/>
    <n v="0"/>
  </r>
  <r>
    <n v="2020"/>
    <x v="1"/>
    <n v="9"/>
    <x v="18"/>
    <n v="0"/>
    <n v="28500"/>
    <n v="0"/>
  </r>
  <r>
    <n v="2020"/>
    <x v="1"/>
    <n v="9"/>
    <x v="19"/>
    <n v="0"/>
    <n v="28500"/>
    <n v="0"/>
  </r>
  <r>
    <n v="2020"/>
    <x v="1"/>
    <n v="9"/>
    <x v="20"/>
    <n v="0"/>
    <n v="28500"/>
    <n v="0"/>
  </r>
  <r>
    <n v="2020"/>
    <x v="1"/>
    <n v="9"/>
    <x v="21"/>
    <n v="0"/>
    <n v="28500"/>
    <n v="0"/>
  </r>
  <r>
    <n v="2020"/>
    <x v="1"/>
    <n v="9"/>
    <x v="22"/>
    <n v="0"/>
    <n v="28500"/>
    <n v="0"/>
  </r>
  <r>
    <n v="2020"/>
    <x v="1"/>
    <n v="9"/>
    <x v="23"/>
    <n v="0"/>
    <n v="28500"/>
    <n v="0"/>
  </r>
  <r>
    <n v="2020"/>
    <x v="1"/>
    <n v="10"/>
    <x v="0"/>
    <n v="0"/>
    <n v="28500"/>
    <n v="0"/>
  </r>
  <r>
    <n v="2020"/>
    <x v="1"/>
    <n v="10"/>
    <x v="1"/>
    <n v="0"/>
    <n v="28500"/>
    <n v="0"/>
  </r>
  <r>
    <n v="2020"/>
    <x v="1"/>
    <n v="10"/>
    <x v="2"/>
    <n v="0"/>
    <n v="28500"/>
    <n v="0"/>
  </r>
  <r>
    <n v="2020"/>
    <x v="1"/>
    <n v="10"/>
    <x v="3"/>
    <n v="0"/>
    <n v="28500"/>
    <n v="0"/>
  </r>
  <r>
    <n v="2020"/>
    <x v="1"/>
    <n v="10"/>
    <x v="4"/>
    <n v="0"/>
    <n v="28500"/>
    <n v="0"/>
  </r>
  <r>
    <n v="2020"/>
    <x v="1"/>
    <n v="10"/>
    <x v="5"/>
    <n v="0"/>
    <n v="28500"/>
    <n v="0"/>
  </r>
  <r>
    <n v="2020"/>
    <x v="1"/>
    <n v="10"/>
    <x v="6"/>
    <n v="0"/>
    <n v="28500"/>
    <n v="0"/>
  </r>
  <r>
    <n v="2020"/>
    <x v="1"/>
    <n v="10"/>
    <x v="7"/>
    <n v="0"/>
    <n v="28500"/>
    <n v="0"/>
  </r>
  <r>
    <n v="2020"/>
    <x v="1"/>
    <n v="10"/>
    <x v="8"/>
    <n v="9156.5"/>
    <n v="28500"/>
    <n v="0.32128070175438594"/>
  </r>
  <r>
    <n v="2020"/>
    <x v="1"/>
    <n v="10"/>
    <x v="9"/>
    <n v="12463"/>
    <n v="28500"/>
    <n v="0.43729824561403507"/>
  </r>
  <r>
    <n v="2020"/>
    <x v="1"/>
    <n v="10"/>
    <x v="10"/>
    <n v="28988"/>
    <n v="28500"/>
    <n v="1.0171228070175438"/>
  </r>
  <r>
    <n v="2020"/>
    <x v="1"/>
    <n v="10"/>
    <x v="11"/>
    <n v="19462"/>
    <n v="28500"/>
    <n v="0.68287719298245619"/>
  </r>
  <r>
    <n v="2020"/>
    <x v="1"/>
    <n v="10"/>
    <x v="12"/>
    <n v="25024"/>
    <n v="28500"/>
    <n v="0.87803508771929828"/>
  </r>
  <r>
    <n v="2020"/>
    <x v="1"/>
    <n v="10"/>
    <x v="13"/>
    <n v="3531"/>
    <n v="28500"/>
    <n v="0.12389473684210527"/>
  </r>
  <r>
    <n v="2020"/>
    <x v="1"/>
    <n v="10"/>
    <x v="14"/>
    <n v="13206.5"/>
    <n v="28500"/>
    <n v="0.46338596491228068"/>
  </r>
  <r>
    <n v="2020"/>
    <x v="1"/>
    <n v="10"/>
    <x v="15"/>
    <n v="2988"/>
    <n v="28500"/>
    <n v="0.10484210526315789"/>
  </r>
  <r>
    <n v="2020"/>
    <x v="1"/>
    <n v="10"/>
    <x v="16"/>
    <n v="75"/>
    <n v="28500"/>
    <n v="2.631578947368421E-3"/>
  </r>
  <r>
    <n v="2020"/>
    <x v="1"/>
    <n v="10"/>
    <x v="17"/>
    <n v="0"/>
    <n v="28500"/>
    <n v="0"/>
  </r>
  <r>
    <n v="2020"/>
    <x v="1"/>
    <n v="10"/>
    <x v="18"/>
    <n v="0"/>
    <n v="28500"/>
    <n v="0"/>
  </r>
  <r>
    <n v="2020"/>
    <x v="1"/>
    <n v="10"/>
    <x v="19"/>
    <n v="0"/>
    <n v="28500"/>
    <n v="0"/>
  </r>
  <r>
    <n v="2020"/>
    <x v="1"/>
    <n v="10"/>
    <x v="20"/>
    <n v="0"/>
    <n v="28500"/>
    <n v="0"/>
  </r>
  <r>
    <n v="2020"/>
    <x v="1"/>
    <n v="10"/>
    <x v="21"/>
    <n v="0"/>
    <n v="28500"/>
    <n v="0"/>
  </r>
  <r>
    <n v="2020"/>
    <x v="1"/>
    <n v="10"/>
    <x v="22"/>
    <n v="0"/>
    <n v="28500"/>
    <n v="0"/>
  </r>
  <r>
    <n v="2020"/>
    <x v="1"/>
    <n v="10"/>
    <x v="23"/>
    <n v="0"/>
    <n v="28500"/>
    <n v="0"/>
  </r>
  <r>
    <n v="2020"/>
    <x v="1"/>
    <n v="11"/>
    <x v="0"/>
    <n v="0"/>
    <n v="28500"/>
    <n v="0"/>
  </r>
  <r>
    <n v="2020"/>
    <x v="1"/>
    <n v="11"/>
    <x v="1"/>
    <n v="0"/>
    <n v="28500"/>
    <n v="0"/>
  </r>
  <r>
    <n v="2020"/>
    <x v="1"/>
    <n v="11"/>
    <x v="2"/>
    <n v="0"/>
    <n v="28500"/>
    <n v="0"/>
  </r>
  <r>
    <n v="2020"/>
    <x v="1"/>
    <n v="11"/>
    <x v="3"/>
    <n v="0"/>
    <n v="28500"/>
    <n v="0"/>
  </r>
  <r>
    <n v="2020"/>
    <x v="1"/>
    <n v="11"/>
    <x v="4"/>
    <n v="0"/>
    <n v="28500"/>
    <n v="0"/>
  </r>
  <r>
    <n v="2020"/>
    <x v="1"/>
    <n v="11"/>
    <x v="5"/>
    <n v="0"/>
    <n v="28500"/>
    <n v="0"/>
  </r>
  <r>
    <n v="2020"/>
    <x v="1"/>
    <n v="11"/>
    <x v="6"/>
    <n v="0"/>
    <n v="28500"/>
    <n v="0"/>
  </r>
  <r>
    <n v="2020"/>
    <x v="1"/>
    <n v="11"/>
    <x v="7"/>
    <n v="0"/>
    <n v="28500"/>
    <n v="0"/>
  </r>
  <r>
    <n v="2020"/>
    <x v="1"/>
    <n v="11"/>
    <x v="8"/>
    <n v="9937"/>
    <n v="28500"/>
    <n v="0.34866666666666668"/>
  </r>
  <r>
    <n v="2020"/>
    <x v="1"/>
    <n v="11"/>
    <x v="9"/>
    <n v="20487.5"/>
    <n v="28500"/>
    <n v="0.71885964912280698"/>
  </r>
  <r>
    <n v="2020"/>
    <x v="1"/>
    <n v="11"/>
    <x v="10"/>
    <n v="31351.5"/>
    <n v="28500"/>
    <n v="1.1000526315789474"/>
  </r>
  <r>
    <n v="2020"/>
    <x v="1"/>
    <n v="11"/>
    <x v="11"/>
    <n v="30064.5"/>
    <n v="28500"/>
    <n v="1.0548947368421053"/>
  </r>
  <r>
    <n v="2020"/>
    <x v="1"/>
    <n v="11"/>
    <x v="12"/>
    <n v="21633.5"/>
    <n v="28500"/>
    <n v="0.75907017543859645"/>
  </r>
  <r>
    <n v="2020"/>
    <x v="1"/>
    <n v="11"/>
    <x v="13"/>
    <n v="17288"/>
    <n v="28500"/>
    <n v="0.60659649122807013"/>
  </r>
  <r>
    <n v="2020"/>
    <x v="1"/>
    <n v="11"/>
    <x v="14"/>
    <n v="25464.5"/>
    <n v="28500"/>
    <n v="0.89349122807017545"/>
  </r>
  <r>
    <n v="2020"/>
    <x v="1"/>
    <n v="11"/>
    <x v="15"/>
    <n v="7011"/>
    <n v="28500"/>
    <n v="0.246"/>
  </r>
  <r>
    <n v="2020"/>
    <x v="1"/>
    <n v="11"/>
    <x v="16"/>
    <n v="5943"/>
    <n v="28500"/>
    <n v="0.20852631578947367"/>
  </r>
  <r>
    <n v="2020"/>
    <x v="1"/>
    <n v="11"/>
    <x v="17"/>
    <n v="0"/>
    <n v="28500"/>
    <n v="0"/>
  </r>
  <r>
    <n v="2020"/>
    <x v="1"/>
    <n v="11"/>
    <x v="18"/>
    <n v="0"/>
    <n v="28500"/>
    <n v="0"/>
  </r>
  <r>
    <n v="2020"/>
    <x v="1"/>
    <n v="11"/>
    <x v="19"/>
    <n v="0"/>
    <n v="28500"/>
    <n v="0"/>
  </r>
  <r>
    <n v="2020"/>
    <x v="1"/>
    <n v="11"/>
    <x v="20"/>
    <n v="0"/>
    <n v="28500"/>
    <n v="0"/>
  </r>
  <r>
    <n v="2020"/>
    <x v="1"/>
    <n v="11"/>
    <x v="21"/>
    <n v="0"/>
    <n v="28500"/>
    <n v="0"/>
  </r>
  <r>
    <n v="2020"/>
    <x v="1"/>
    <n v="11"/>
    <x v="22"/>
    <n v="0"/>
    <n v="28500"/>
    <n v="0"/>
  </r>
  <r>
    <n v="2020"/>
    <x v="1"/>
    <n v="11"/>
    <x v="23"/>
    <n v="0"/>
    <n v="28500"/>
    <n v="0"/>
  </r>
  <r>
    <n v="2020"/>
    <x v="1"/>
    <n v="12"/>
    <x v="0"/>
    <n v="0"/>
    <n v="28500"/>
    <n v="0"/>
  </r>
  <r>
    <n v="2020"/>
    <x v="1"/>
    <n v="12"/>
    <x v="1"/>
    <n v="0"/>
    <n v="28500"/>
    <n v="0"/>
  </r>
  <r>
    <n v="2020"/>
    <x v="1"/>
    <n v="12"/>
    <x v="2"/>
    <n v="0"/>
    <n v="28500"/>
    <n v="0"/>
  </r>
  <r>
    <n v="2020"/>
    <x v="1"/>
    <n v="12"/>
    <x v="3"/>
    <n v="0"/>
    <n v="28500"/>
    <n v="0"/>
  </r>
  <r>
    <n v="2020"/>
    <x v="1"/>
    <n v="12"/>
    <x v="4"/>
    <n v="0"/>
    <n v="28500"/>
    <n v="0"/>
  </r>
  <r>
    <n v="2020"/>
    <x v="1"/>
    <n v="12"/>
    <x v="5"/>
    <n v="0"/>
    <n v="28500"/>
    <n v="0"/>
  </r>
  <r>
    <n v="2020"/>
    <x v="1"/>
    <n v="12"/>
    <x v="6"/>
    <n v="0"/>
    <n v="28500"/>
    <n v="0"/>
  </r>
  <r>
    <n v="2020"/>
    <x v="1"/>
    <n v="12"/>
    <x v="7"/>
    <n v="0"/>
    <n v="28500"/>
    <n v="0"/>
  </r>
  <r>
    <n v="2020"/>
    <x v="1"/>
    <n v="12"/>
    <x v="8"/>
    <n v="10500.5"/>
    <n v="28500"/>
    <n v="0.36843859649122807"/>
  </r>
  <r>
    <n v="2020"/>
    <x v="1"/>
    <n v="12"/>
    <x v="9"/>
    <n v="20896.5"/>
    <n v="28500"/>
    <n v="0.73321052631578942"/>
  </r>
  <r>
    <n v="2020"/>
    <x v="1"/>
    <n v="12"/>
    <x v="10"/>
    <n v="32153.5"/>
    <n v="28500"/>
    <n v="1.1281929824561403"/>
  </r>
  <r>
    <n v="2020"/>
    <x v="1"/>
    <n v="12"/>
    <x v="11"/>
    <n v="34465"/>
    <n v="28500"/>
    <n v="1.2092982456140351"/>
  </r>
  <r>
    <n v="2020"/>
    <x v="1"/>
    <n v="12"/>
    <x v="12"/>
    <n v="38669"/>
    <n v="28500"/>
    <n v="1.3568070175438596"/>
  </r>
  <r>
    <n v="2020"/>
    <x v="1"/>
    <n v="12"/>
    <x v="13"/>
    <n v="26268.5"/>
    <n v="28500"/>
    <n v="0.92170175438596491"/>
  </r>
  <r>
    <n v="2020"/>
    <x v="1"/>
    <n v="12"/>
    <x v="14"/>
    <n v="21856.5"/>
    <n v="28500"/>
    <n v="0.7668947368421053"/>
  </r>
  <r>
    <n v="2020"/>
    <x v="1"/>
    <n v="12"/>
    <x v="15"/>
    <n v="18688.5"/>
    <n v="28500"/>
    <n v="0.65573684210526317"/>
  </r>
  <r>
    <n v="2020"/>
    <x v="1"/>
    <n v="12"/>
    <x v="16"/>
    <n v="9438"/>
    <n v="28500"/>
    <n v="0.3311578947368421"/>
  </r>
  <r>
    <n v="2020"/>
    <x v="1"/>
    <n v="12"/>
    <x v="17"/>
    <n v="0"/>
    <n v="28500"/>
    <n v="0"/>
  </r>
  <r>
    <n v="2020"/>
    <x v="1"/>
    <n v="12"/>
    <x v="18"/>
    <n v="0"/>
    <n v="28500"/>
    <n v="0"/>
  </r>
  <r>
    <n v="2020"/>
    <x v="1"/>
    <n v="12"/>
    <x v="19"/>
    <n v="0"/>
    <n v="28500"/>
    <n v="0"/>
  </r>
  <r>
    <n v="2020"/>
    <x v="1"/>
    <n v="12"/>
    <x v="20"/>
    <n v="0"/>
    <n v="28500"/>
    <n v="0"/>
  </r>
  <r>
    <n v="2020"/>
    <x v="1"/>
    <n v="12"/>
    <x v="21"/>
    <n v="0"/>
    <n v="28500"/>
    <n v="0"/>
  </r>
  <r>
    <n v="2020"/>
    <x v="1"/>
    <n v="12"/>
    <x v="22"/>
    <n v="0"/>
    <n v="28500"/>
    <n v="0"/>
  </r>
  <r>
    <n v="2020"/>
    <x v="1"/>
    <n v="12"/>
    <x v="23"/>
    <n v="0"/>
    <n v="28500"/>
    <n v="0"/>
  </r>
  <r>
    <n v="2020"/>
    <x v="1"/>
    <n v="13"/>
    <x v="0"/>
    <n v="0"/>
    <n v="28500"/>
    <n v="0"/>
  </r>
  <r>
    <n v="2020"/>
    <x v="1"/>
    <n v="13"/>
    <x v="1"/>
    <n v="0"/>
    <n v="28500"/>
    <n v="0"/>
  </r>
  <r>
    <n v="2020"/>
    <x v="1"/>
    <n v="13"/>
    <x v="2"/>
    <n v="0"/>
    <n v="28500"/>
    <n v="0"/>
  </r>
  <r>
    <n v="2020"/>
    <x v="1"/>
    <n v="13"/>
    <x v="3"/>
    <n v="0"/>
    <n v="28500"/>
    <n v="0"/>
  </r>
  <r>
    <n v="2020"/>
    <x v="1"/>
    <n v="13"/>
    <x v="4"/>
    <n v="0"/>
    <n v="28500"/>
    <n v="0"/>
  </r>
  <r>
    <n v="2020"/>
    <x v="1"/>
    <n v="13"/>
    <x v="5"/>
    <n v="0"/>
    <n v="28500"/>
    <n v="0"/>
  </r>
  <r>
    <n v="2020"/>
    <x v="1"/>
    <n v="13"/>
    <x v="6"/>
    <n v="0"/>
    <n v="28500"/>
    <n v="0"/>
  </r>
  <r>
    <n v="2020"/>
    <x v="1"/>
    <n v="13"/>
    <x v="7"/>
    <n v="0"/>
    <n v="28500"/>
    <n v="0"/>
  </r>
  <r>
    <n v="2020"/>
    <x v="1"/>
    <n v="13"/>
    <x v="8"/>
    <n v="9545.5"/>
    <n v="28500"/>
    <n v="0.33492982456140352"/>
  </r>
  <r>
    <n v="2020"/>
    <x v="1"/>
    <n v="13"/>
    <x v="9"/>
    <n v="19943"/>
    <n v="28500"/>
    <n v="0.69975438596491224"/>
  </r>
  <r>
    <n v="2020"/>
    <x v="1"/>
    <n v="13"/>
    <x v="10"/>
    <n v="11028.5"/>
    <n v="28500"/>
    <n v="0.38696491228070173"/>
  </r>
  <r>
    <n v="2020"/>
    <x v="1"/>
    <n v="13"/>
    <x v="11"/>
    <n v="6938"/>
    <n v="28500"/>
    <n v="0.24343859649122807"/>
  </r>
  <r>
    <n v="2020"/>
    <x v="1"/>
    <n v="13"/>
    <x v="12"/>
    <n v="2335.5"/>
    <n v="28500"/>
    <n v="8.194736842105263E-2"/>
  </r>
  <r>
    <n v="2020"/>
    <x v="1"/>
    <n v="13"/>
    <x v="13"/>
    <n v="1193"/>
    <n v="28500"/>
    <n v="4.185964912280702E-2"/>
  </r>
  <r>
    <n v="2020"/>
    <x v="1"/>
    <n v="13"/>
    <x v="14"/>
    <n v="6771.5"/>
    <n v="28500"/>
    <n v="0.23759649122807017"/>
  </r>
  <r>
    <n v="2020"/>
    <x v="1"/>
    <n v="13"/>
    <x v="15"/>
    <n v="11587"/>
    <n v="28500"/>
    <n v="0.40656140350877196"/>
  </r>
  <r>
    <n v="2020"/>
    <x v="1"/>
    <n v="13"/>
    <x v="16"/>
    <n v="7976.5"/>
    <n v="28500"/>
    <n v="0.27987719298245611"/>
  </r>
  <r>
    <n v="2020"/>
    <x v="1"/>
    <n v="13"/>
    <x v="17"/>
    <n v="0"/>
    <n v="28500"/>
    <n v="0"/>
  </r>
  <r>
    <n v="2020"/>
    <x v="1"/>
    <n v="13"/>
    <x v="18"/>
    <n v="0"/>
    <n v="28500"/>
    <n v="0"/>
  </r>
  <r>
    <n v="2020"/>
    <x v="1"/>
    <n v="13"/>
    <x v="19"/>
    <n v="0"/>
    <n v="28500"/>
    <n v="0"/>
  </r>
  <r>
    <n v="2020"/>
    <x v="1"/>
    <n v="13"/>
    <x v="20"/>
    <n v="0"/>
    <n v="28500"/>
    <n v="0"/>
  </r>
  <r>
    <n v="2020"/>
    <x v="1"/>
    <n v="13"/>
    <x v="21"/>
    <n v="0"/>
    <n v="28500"/>
    <n v="0"/>
  </r>
  <r>
    <n v="2020"/>
    <x v="1"/>
    <n v="13"/>
    <x v="22"/>
    <n v="0"/>
    <n v="28500"/>
    <n v="0"/>
  </r>
  <r>
    <n v="2020"/>
    <x v="1"/>
    <n v="13"/>
    <x v="23"/>
    <n v="0"/>
    <n v="28500"/>
    <n v="0"/>
  </r>
  <r>
    <n v="2020"/>
    <x v="1"/>
    <n v="14"/>
    <x v="0"/>
    <n v="0"/>
    <n v="28500"/>
    <n v="0"/>
  </r>
  <r>
    <n v="2020"/>
    <x v="1"/>
    <n v="14"/>
    <x v="1"/>
    <n v="0"/>
    <n v="28500"/>
    <n v="0"/>
  </r>
  <r>
    <n v="2020"/>
    <x v="1"/>
    <n v="14"/>
    <x v="2"/>
    <n v="0"/>
    <n v="28500"/>
    <n v="0"/>
  </r>
  <r>
    <n v="2020"/>
    <x v="1"/>
    <n v="14"/>
    <x v="3"/>
    <n v="0"/>
    <n v="28500"/>
    <n v="0"/>
  </r>
  <r>
    <n v="2020"/>
    <x v="1"/>
    <n v="14"/>
    <x v="4"/>
    <n v="0"/>
    <n v="28500"/>
    <n v="0"/>
  </r>
  <r>
    <n v="2020"/>
    <x v="1"/>
    <n v="14"/>
    <x v="5"/>
    <n v="0"/>
    <n v="28500"/>
    <n v="0"/>
  </r>
  <r>
    <n v="2020"/>
    <x v="1"/>
    <n v="14"/>
    <x v="6"/>
    <n v="0"/>
    <n v="28500"/>
    <n v="0"/>
  </r>
  <r>
    <n v="2020"/>
    <x v="1"/>
    <n v="14"/>
    <x v="7"/>
    <n v="0"/>
    <n v="28500"/>
    <n v="0"/>
  </r>
  <r>
    <n v="2020"/>
    <x v="1"/>
    <n v="14"/>
    <x v="8"/>
    <n v="6906.5"/>
    <n v="28500"/>
    <n v="0.24233333333333335"/>
  </r>
  <r>
    <n v="2020"/>
    <x v="1"/>
    <n v="14"/>
    <x v="9"/>
    <n v="19568"/>
    <n v="28500"/>
    <n v="0.6865964912280702"/>
  </r>
  <r>
    <n v="2020"/>
    <x v="1"/>
    <n v="14"/>
    <x v="10"/>
    <n v="28694"/>
    <n v="28500"/>
    <n v="1.0068070175438597"/>
  </r>
  <r>
    <n v="2020"/>
    <x v="1"/>
    <n v="14"/>
    <x v="11"/>
    <n v="28431"/>
    <n v="28500"/>
    <n v="0.99757894736842101"/>
  </r>
  <r>
    <n v="2020"/>
    <x v="1"/>
    <n v="14"/>
    <x v="12"/>
    <n v="20408"/>
    <n v="28500"/>
    <n v="0.71607017543859652"/>
  </r>
  <r>
    <n v="2020"/>
    <x v="1"/>
    <n v="14"/>
    <x v="13"/>
    <n v="22774.5"/>
    <n v="28500"/>
    <n v="0.79910526315789476"/>
  </r>
  <r>
    <n v="2020"/>
    <x v="1"/>
    <n v="14"/>
    <x v="14"/>
    <n v="15791.5"/>
    <n v="28500"/>
    <n v="0.55408771929824563"/>
  </r>
  <r>
    <n v="2020"/>
    <x v="1"/>
    <n v="14"/>
    <x v="15"/>
    <n v="2471"/>
    <n v="28500"/>
    <n v="8.6701754385964919E-2"/>
  </r>
  <r>
    <n v="2020"/>
    <x v="1"/>
    <n v="14"/>
    <x v="16"/>
    <n v="118.5"/>
    <n v="28500"/>
    <n v="4.1578947368421052E-3"/>
  </r>
  <r>
    <n v="2020"/>
    <x v="1"/>
    <n v="14"/>
    <x v="17"/>
    <n v="0"/>
    <n v="28500"/>
    <n v="0"/>
  </r>
  <r>
    <n v="2020"/>
    <x v="1"/>
    <n v="14"/>
    <x v="18"/>
    <n v="0"/>
    <n v="28500"/>
    <n v="0"/>
  </r>
  <r>
    <n v="2020"/>
    <x v="1"/>
    <n v="14"/>
    <x v="19"/>
    <n v="0"/>
    <n v="28500"/>
    <n v="0"/>
  </r>
  <r>
    <n v="2020"/>
    <x v="1"/>
    <n v="14"/>
    <x v="20"/>
    <n v="0"/>
    <n v="28500"/>
    <n v="0"/>
  </r>
  <r>
    <n v="2020"/>
    <x v="1"/>
    <n v="14"/>
    <x v="21"/>
    <n v="0"/>
    <n v="28500"/>
    <n v="0"/>
  </r>
  <r>
    <n v="2020"/>
    <x v="1"/>
    <n v="14"/>
    <x v="22"/>
    <n v="0"/>
    <n v="28500"/>
    <n v="0"/>
  </r>
  <r>
    <n v="2020"/>
    <x v="1"/>
    <n v="14"/>
    <x v="23"/>
    <n v="0"/>
    <n v="28500"/>
    <n v="0"/>
  </r>
  <r>
    <n v="2020"/>
    <x v="1"/>
    <n v="15"/>
    <x v="0"/>
    <n v="0"/>
    <n v="28500"/>
    <n v="0"/>
  </r>
  <r>
    <n v="2020"/>
    <x v="1"/>
    <n v="15"/>
    <x v="1"/>
    <n v="0"/>
    <n v="28500"/>
    <n v="0"/>
  </r>
  <r>
    <n v="2020"/>
    <x v="1"/>
    <n v="15"/>
    <x v="2"/>
    <n v="0"/>
    <n v="28500"/>
    <n v="0"/>
  </r>
  <r>
    <n v="2020"/>
    <x v="1"/>
    <n v="15"/>
    <x v="3"/>
    <n v="0"/>
    <n v="28500"/>
    <n v="0"/>
  </r>
  <r>
    <n v="2020"/>
    <x v="1"/>
    <n v="15"/>
    <x v="4"/>
    <n v="0"/>
    <n v="28500"/>
    <n v="0"/>
  </r>
  <r>
    <n v="2020"/>
    <x v="1"/>
    <n v="15"/>
    <x v="5"/>
    <n v="0"/>
    <n v="28500"/>
    <n v="0"/>
  </r>
  <r>
    <n v="2020"/>
    <x v="1"/>
    <n v="15"/>
    <x v="6"/>
    <n v="0"/>
    <n v="28500"/>
    <n v="0"/>
  </r>
  <r>
    <n v="2020"/>
    <x v="1"/>
    <n v="15"/>
    <x v="7"/>
    <n v="0"/>
    <n v="28500"/>
    <n v="0"/>
  </r>
  <r>
    <n v="2020"/>
    <x v="1"/>
    <n v="15"/>
    <x v="8"/>
    <n v="13"/>
    <n v="28500"/>
    <n v="4.5614035087719298E-4"/>
  </r>
  <r>
    <n v="2020"/>
    <x v="1"/>
    <n v="15"/>
    <x v="9"/>
    <n v="1750.5"/>
    <n v="28500"/>
    <n v="6.1421052631578946E-2"/>
  </r>
  <r>
    <n v="2020"/>
    <x v="1"/>
    <n v="15"/>
    <x v="10"/>
    <n v="2688"/>
    <n v="28500"/>
    <n v="9.4315789473684214E-2"/>
  </r>
  <r>
    <n v="2020"/>
    <x v="1"/>
    <n v="15"/>
    <x v="11"/>
    <n v="2571"/>
    <n v="28500"/>
    <n v="9.0210526315789477E-2"/>
  </r>
  <r>
    <n v="2020"/>
    <x v="1"/>
    <n v="15"/>
    <x v="12"/>
    <n v="1930.5"/>
    <n v="28500"/>
    <n v="6.7736842105263165E-2"/>
  </r>
  <r>
    <n v="2020"/>
    <x v="1"/>
    <n v="15"/>
    <x v="13"/>
    <n v="1241.5"/>
    <n v="28500"/>
    <n v="4.3561403508771933E-2"/>
  </r>
  <r>
    <n v="2020"/>
    <x v="1"/>
    <n v="15"/>
    <x v="14"/>
    <n v="2873"/>
    <n v="28500"/>
    <n v="0.10080701754385965"/>
  </r>
  <r>
    <n v="2020"/>
    <x v="1"/>
    <n v="15"/>
    <x v="15"/>
    <n v="632.5"/>
    <n v="28500"/>
    <n v="2.2192982456140351E-2"/>
  </r>
  <r>
    <n v="2020"/>
    <x v="1"/>
    <n v="15"/>
    <x v="16"/>
    <n v="665.5"/>
    <n v="28500"/>
    <n v="2.3350877192982455E-2"/>
  </r>
  <r>
    <n v="2020"/>
    <x v="1"/>
    <n v="15"/>
    <x v="17"/>
    <n v="0"/>
    <n v="28500"/>
    <n v="0"/>
  </r>
  <r>
    <n v="2020"/>
    <x v="1"/>
    <n v="15"/>
    <x v="18"/>
    <n v="0"/>
    <n v="28500"/>
    <n v="0"/>
  </r>
  <r>
    <n v="2020"/>
    <x v="1"/>
    <n v="15"/>
    <x v="19"/>
    <n v="0"/>
    <n v="28500"/>
    <n v="0"/>
  </r>
  <r>
    <n v="2020"/>
    <x v="1"/>
    <n v="15"/>
    <x v="20"/>
    <n v="0"/>
    <n v="28500"/>
    <n v="0"/>
  </r>
  <r>
    <n v="2020"/>
    <x v="1"/>
    <n v="15"/>
    <x v="21"/>
    <n v="0"/>
    <n v="28500"/>
    <n v="0"/>
  </r>
  <r>
    <n v="2020"/>
    <x v="1"/>
    <n v="15"/>
    <x v="22"/>
    <n v="0"/>
    <n v="28500"/>
    <n v="0"/>
  </r>
  <r>
    <n v="2020"/>
    <x v="1"/>
    <n v="15"/>
    <x v="23"/>
    <n v="0"/>
    <n v="28500"/>
    <n v="0"/>
  </r>
  <r>
    <n v="2020"/>
    <x v="1"/>
    <n v="16"/>
    <x v="0"/>
    <n v="0"/>
    <n v="28500"/>
    <n v="0"/>
  </r>
  <r>
    <n v="2020"/>
    <x v="1"/>
    <n v="16"/>
    <x v="1"/>
    <n v="0"/>
    <n v="28500"/>
    <n v="0"/>
  </r>
  <r>
    <n v="2020"/>
    <x v="1"/>
    <n v="16"/>
    <x v="2"/>
    <n v="0"/>
    <n v="28500"/>
    <n v="0"/>
  </r>
  <r>
    <n v="2020"/>
    <x v="1"/>
    <n v="16"/>
    <x v="3"/>
    <n v="0"/>
    <n v="28500"/>
    <n v="0"/>
  </r>
  <r>
    <n v="2020"/>
    <x v="1"/>
    <n v="16"/>
    <x v="4"/>
    <n v="0"/>
    <n v="28500"/>
    <n v="0"/>
  </r>
  <r>
    <n v="2020"/>
    <x v="1"/>
    <n v="16"/>
    <x v="5"/>
    <n v="0"/>
    <n v="28500"/>
    <n v="0"/>
  </r>
  <r>
    <n v="2020"/>
    <x v="1"/>
    <n v="16"/>
    <x v="6"/>
    <n v="0"/>
    <n v="28500"/>
    <n v="0"/>
  </r>
  <r>
    <n v="2020"/>
    <x v="1"/>
    <n v="16"/>
    <x v="7"/>
    <n v="0"/>
    <n v="28500"/>
    <n v="0"/>
  </r>
  <r>
    <n v="2020"/>
    <x v="1"/>
    <n v="16"/>
    <x v="8"/>
    <n v="566"/>
    <n v="28500"/>
    <n v="1.9859649122807018E-2"/>
  </r>
  <r>
    <n v="2020"/>
    <x v="1"/>
    <n v="16"/>
    <x v="9"/>
    <n v="1735"/>
    <n v="28500"/>
    <n v="6.0877192982456141E-2"/>
  </r>
  <r>
    <n v="2020"/>
    <x v="1"/>
    <n v="16"/>
    <x v="10"/>
    <n v="1307.5"/>
    <n v="28500"/>
    <n v="4.5877192982456141E-2"/>
  </r>
  <r>
    <n v="2020"/>
    <x v="1"/>
    <n v="16"/>
    <x v="11"/>
    <n v="2450.5"/>
    <n v="28500"/>
    <n v="8.5982456140350882E-2"/>
  </r>
  <r>
    <n v="2020"/>
    <x v="1"/>
    <n v="16"/>
    <x v="12"/>
    <n v="1711.5"/>
    <n v="28500"/>
    <n v="6.0052631578947371E-2"/>
  </r>
  <r>
    <n v="2020"/>
    <x v="1"/>
    <n v="16"/>
    <x v="13"/>
    <n v="3393.5"/>
    <n v="28500"/>
    <n v="0.11907017543859649"/>
  </r>
  <r>
    <n v="2020"/>
    <x v="1"/>
    <n v="16"/>
    <x v="14"/>
    <n v="1767.5"/>
    <n v="28500"/>
    <n v="6.2017543859649124E-2"/>
  </r>
  <r>
    <n v="2020"/>
    <x v="1"/>
    <n v="16"/>
    <x v="15"/>
    <n v="1263.5"/>
    <n v="28500"/>
    <n v="4.4333333333333336E-2"/>
  </r>
  <r>
    <n v="2020"/>
    <x v="1"/>
    <n v="16"/>
    <x v="16"/>
    <n v="251.5"/>
    <n v="28500"/>
    <n v="8.8245614035087714E-3"/>
  </r>
  <r>
    <n v="2020"/>
    <x v="1"/>
    <n v="16"/>
    <x v="17"/>
    <n v="0"/>
    <n v="28500"/>
    <n v="0"/>
  </r>
  <r>
    <n v="2020"/>
    <x v="1"/>
    <n v="16"/>
    <x v="18"/>
    <n v="0"/>
    <n v="28500"/>
    <n v="0"/>
  </r>
  <r>
    <n v="2020"/>
    <x v="1"/>
    <n v="16"/>
    <x v="19"/>
    <n v="0"/>
    <n v="28500"/>
    <n v="0"/>
  </r>
  <r>
    <n v="2020"/>
    <x v="1"/>
    <n v="16"/>
    <x v="20"/>
    <n v="0"/>
    <n v="28500"/>
    <n v="0"/>
  </r>
  <r>
    <n v="2020"/>
    <x v="1"/>
    <n v="16"/>
    <x v="21"/>
    <n v="0"/>
    <n v="28500"/>
    <n v="0"/>
  </r>
  <r>
    <n v="2020"/>
    <x v="1"/>
    <n v="16"/>
    <x v="22"/>
    <n v="0"/>
    <n v="28500"/>
    <n v="0"/>
  </r>
  <r>
    <n v="2020"/>
    <x v="1"/>
    <n v="16"/>
    <x v="23"/>
    <n v="0"/>
    <n v="28500"/>
    <n v="0"/>
  </r>
  <r>
    <n v="2020"/>
    <x v="1"/>
    <n v="17"/>
    <x v="0"/>
    <n v="0"/>
    <n v="28500"/>
    <n v="0"/>
  </r>
  <r>
    <n v="2020"/>
    <x v="1"/>
    <n v="17"/>
    <x v="1"/>
    <n v="0"/>
    <n v="28500"/>
    <n v="0"/>
  </r>
  <r>
    <n v="2020"/>
    <x v="1"/>
    <n v="17"/>
    <x v="2"/>
    <n v="0"/>
    <n v="28500"/>
    <n v="0"/>
  </r>
  <r>
    <n v="2020"/>
    <x v="1"/>
    <n v="17"/>
    <x v="3"/>
    <n v="0"/>
    <n v="28500"/>
    <n v="0"/>
  </r>
  <r>
    <n v="2020"/>
    <x v="1"/>
    <n v="17"/>
    <x v="4"/>
    <n v="0"/>
    <n v="28500"/>
    <n v="0"/>
  </r>
  <r>
    <n v="2020"/>
    <x v="1"/>
    <n v="17"/>
    <x v="5"/>
    <n v="0"/>
    <n v="28500"/>
    <n v="0"/>
  </r>
  <r>
    <n v="2020"/>
    <x v="1"/>
    <n v="17"/>
    <x v="6"/>
    <n v="0"/>
    <n v="28500"/>
    <n v="0"/>
  </r>
  <r>
    <n v="2020"/>
    <x v="1"/>
    <n v="17"/>
    <x v="7"/>
    <n v="0"/>
    <n v="28500"/>
    <n v="0"/>
  </r>
  <r>
    <n v="2020"/>
    <x v="1"/>
    <n v="17"/>
    <x v="8"/>
    <n v="9701"/>
    <n v="28500"/>
    <n v="0.34038596491228068"/>
  </r>
  <r>
    <n v="2020"/>
    <x v="1"/>
    <n v="17"/>
    <x v="9"/>
    <n v="22178"/>
    <n v="28500"/>
    <n v="0.77817543859649119"/>
  </r>
  <r>
    <n v="2020"/>
    <x v="1"/>
    <n v="17"/>
    <x v="10"/>
    <n v="30980.5"/>
    <n v="28500"/>
    <n v="1.0870350877192982"/>
  </r>
  <r>
    <n v="2020"/>
    <x v="1"/>
    <n v="17"/>
    <x v="11"/>
    <n v="33178.5"/>
    <n v="28500"/>
    <n v="1.1641578947368421"/>
  </r>
  <r>
    <n v="2020"/>
    <x v="1"/>
    <n v="17"/>
    <x v="12"/>
    <n v="16379"/>
    <n v="28500"/>
    <n v="0.57470175438596494"/>
  </r>
  <r>
    <n v="2020"/>
    <x v="1"/>
    <n v="17"/>
    <x v="13"/>
    <n v="4038.5"/>
    <n v="28500"/>
    <n v="0.14170175438596491"/>
  </r>
  <r>
    <n v="2020"/>
    <x v="1"/>
    <n v="17"/>
    <x v="14"/>
    <n v="8364.5"/>
    <n v="28500"/>
    <n v="0.29349122807017541"/>
  </r>
  <r>
    <n v="2020"/>
    <x v="1"/>
    <n v="17"/>
    <x v="15"/>
    <n v="3776.5"/>
    <n v="28500"/>
    <n v="0.13250877192982455"/>
  </r>
  <r>
    <n v="2020"/>
    <x v="1"/>
    <n v="17"/>
    <x v="16"/>
    <n v="11125.5"/>
    <n v="28500"/>
    <n v="0.39036842105263159"/>
  </r>
  <r>
    <n v="2020"/>
    <x v="1"/>
    <n v="17"/>
    <x v="17"/>
    <n v="0"/>
    <n v="28500"/>
    <n v="0"/>
  </r>
  <r>
    <n v="2020"/>
    <x v="1"/>
    <n v="17"/>
    <x v="18"/>
    <n v="0"/>
    <n v="28500"/>
    <n v="0"/>
  </r>
  <r>
    <n v="2020"/>
    <x v="1"/>
    <n v="17"/>
    <x v="19"/>
    <n v="0"/>
    <n v="28500"/>
    <n v="0"/>
  </r>
  <r>
    <n v="2020"/>
    <x v="1"/>
    <n v="17"/>
    <x v="20"/>
    <n v="0"/>
    <n v="28500"/>
    <n v="0"/>
  </r>
  <r>
    <n v="2020"/>
    <x v="1"/>
    <n v="17"/>
    <x v="21"/>
    <n v="0"/>
    <n v="28500"/>
    <n v="0"/>
  </r>
  <r>
    <n v="2020"/>
    <x v="1"/>
    <n v="17"/>
    <x v="22"/>
    <n v="0"/>
    <n v="28500"/>
    <n v="0"/>
  </r>
  <r>
    <n v="2020"/>
    <x v="1"/>
    <n v="17"/>
    <x v="23"/>
    <n v="0"/>
    <n v="28500"/>
    <n v="0"/>
  </r>
  <r>
    <n v="2020"/>
    <x v="1"/>
    <n v="18"/>
    <x v="0"/>
    <n v="0"/>
    <n v="28500"/>
    <n v="0"/>
  </r>
  <r>
    <n v="2020"/>
    <x v="1"/>
    <n v="18"/>
    <x v="1"/>
    <n v="0"/>
    <n v="28500"/>
    <n v="0"/>
  </r>
  <r>
    <n v="2020"/>
    <x v="1"/>
    <n v="18"/>
    <x v="2"/>
    <n v="0"/>
    <n v="28500"/>
    <n v="0"/>
  </r>
  <r>
    <n v="2020"/>
    <x v="1"/>
    <n v="18"/>
    <x v="3"/>
    <n v="0"/>
    <n v="28500"/>
    <n v="0"/>
  </r>
  <r>
    <n v="2020"/>
    <x v="1"/>
    <n v="18"/>
    <x v="4"/>
    <n v="0"/>
    <n v="28500"/>
    <n v="0"/>
  </r>
  <r>
    <n v="2020"/>
    <x v="1"/>
    <n v="18"/>
    <x v="5"/>
    <n v="0"/>
    <n v="28500"/>
    <n v="0"/>
  </r>
  <r>
    <n v="2020"/>
    <x v="1"/>
    <n v="18"/>
    <x v="6"/>
    <n v="0"/>
    <n v="28500"/>
    <n v="0"/>
  </r>
  <r>
    <n v="2020"/>
    <x v="1"/>
    <n v="18"/>
    <x v="7"/>
    <n v="0"/>
    <n v="28500"/>
    <n v="0"/>
  </r>
  <r>
    <n v="2020"/>
    <x v="1"/>
    <n v="18"/>
    <x v="8"/>
    <n v="8465.5"/>
    <n v="28500"/>
    <n v="0.29703508771929826"/>
  </r>
  <r>
    <n v="2020"/>
    <x v="1"/>
    <n v="18"/>
    <x v="9"/>
    <n v="20431"/>
    <n v="28500"/>
    <n v="0.71687719298245611"/>
  </r>
  <r>
    <n v="2020"/>
    <x v="1"/>
    <n v="18"/>
    <x v="10"/>
    <n v="30275.5"/>
    <n v="28500"/>
    <n v="1.0622982456140351"/>
  </r>
  <r>
    <n v="2020"/>
    <x v="1"/>
    <n v="18"/>
    <x v="11"/>
    <n v="27410.5"/>
    <n v="28500"/>
    <n v="0.96177192982456139"/>
  </r>
  <r>
    <n v="2020"/>
    <x v="1"/>
    <n v="18"/>
    <x v="12"/>
    <n v="17417.5"/>
    <n v="28500"/>
    <n v="0.61114035087719298"/>
  </r>
  <r>
    <n v="2020"/>
    <x v="1"/>
    <n v="18"/>
    <x v="13"/>
    <n v="34535.5"/>
    <n v="28500"/>
    <n v="1.2117719298245615"/>
  </r>
  <r>
    <n v="2020"/>
    <x v="1"/>
    <n v="18"/>
    <x v="14"/>
    <n v="8578"/>
    <n v="28500"/>
    <n v="0.30098245614035085"/>
  </r>
  <r>
    <n v="2020"/>
    <x v="1"/>
    <n v="18"/>
    <x v="15"/>
    <n v="9603"/>
    <n v="28500"/>
    <n v="0.33694736842105261"/>
  </r>
  <r>
    <n v="2020"/>
    <x v="1"/>
    <n v="18"/>
    <x v="16"/>
    <n v="1638.5"/>
    <n v="28500"/>
    <n v="5.749122807017544E-2"/>
  </r>
  <r>
    <n v="2020"/>
    <x v="1"/>
    <n v="18"/>
    <x v="17"/>
    <n v="0"/>
    <n v="28500"/>
    <n v="0"/>
  </r>
  <r>
    <n v="2020"/>
    <x v="1"/>
    <n v="18"/>
    <x v="18"/>
    <n v="0"/>
    <n v="28500"/>
    <n v="0"/>
  </r>
  <r>
    <n v="2020"/>
    <x v="1"/>
    <n v="18"/>
    <x v="19"/>
    <n v="0"/>
    <n v="28500"/>
    <n v="0"/>
  </r>
  <r>
    <n v="2020"/>
    <x v="1"/>
    <n v="18"/>
    <x v="20"/>
    <n v="0"/>
    <n v="28500"/>
    <n v="0"/>
  </r>
  <r>
    <n v="2020"/>
    <x v="1"/>
    <n v="18"/>
    <x v="21"/>
    <n v="0"/>
    <n v="28500"/>
    <n v="0"/>
  </r>
  <r>
    <n v="2020"/>
    <x v="1"/>
    <n v="18"/>
    <x v="22"/>
    <n v="0"/>
    <n v="28500"/>
    <n v="0"/>
  </r>
  <r>
    <n v="2020"/>
    <x v="1"/>
    <n v="18"/>
    <x v="23"/>
    <n v="0"/>
    <n v="28500"/>
    <n v="0"/>
  </r>
  <r>
    <n v="2020"/>
    <x v="1"/>
    <n v="19"/>
    <x v="0"/>
    <n v="0"/>
    <n v="28500"/>
    <n v="0"/>
  </r>
  <r>
    <n v="2020"/>
    <x v="1"/>
    <n v="19"/>
    <x v="1"/>
    <n v="0"/>
    <n v="28500"/>
    <n v="0"/>
  </r>
  <r>
    <n v="2020"/>
    <x v="1"/>
    <n v="19"/>
    <x v="2"/>
    <n v="0"/>
    <n v="28500"/>
    <n v="0"/>
  </r>
  <r>
    <n v="2020"/>
    <x v="1"/>
    <n v="19"/>
    <x v="3"/>
    <n v="0"/>
    <n v="28500"/>
    <n v="0"/>
  </r>
  <r>
    <n v="2020"/>
    <x v="1"/>
    <n v="19"/>
    <x v="4"/>
    <n v="0"/>
    <n v="28500"/>
    <n v="0"/>
  </r>
  <r>
    <n v="2020"/>
    <x v="1"/>
    <n v="19"/>
    <x v="5"/>
    <n v="0"/>
    <n v="28500"/>
    <n v="0"/>
  </r>
  <r>
    <n v="2020"/>
    <x v="1"/>
    <n v="19"/>
    <x v="6"/>
    <n v="0"/>
    <n v="28500"/>
    <n v="0"/>
  </r>
  <r>
    <n v="2020"/>
    <x v="1"/>
    <n v="19"/>
    <x v="7"/>
    <n v="0"/>
    <n v="28500"/>
    <n v="0"/>
  </r>
  <r>
    <n v="2020"/>
    <x v="1"/>
    <n v="19"/>
    <x v="8"/>
    <n v="6115.5"/>
    <n v="28500"/>
    <n v="0.21457894736842106"/>
  </r>
  <r>
    <n v="2020"/>
    <x v="1"/>
    <n v="19"/>
    <x v="9"/>
    <n v="6336"/>
    <n v="28500"/>
    <n v="0.22231578947368422"/>
  </r>
  <r>
    <n v="2020"/>
    <x v="1"/>
    <n v="19"/>
    <x v="10"/>
    <n v="7513.5"/>
    <n v="28500"/>
    <n v="0.26363157894736844"/>
  </r>
  <r>
    <n v="2020"/>
    <x v="1"/>
    <n v="19"/>
    <x v="11"/>
    <n v="7962"/>
    <n v="28500"/>
    <n v="0.2793684210526316"/>
  </r>
  <r>
    <n v="2020"/>
    <x v="1"/>
    <n v="19"/>
    <x v="12"/>
    <n v="3483"/>
    <n v="28500"/>
    <n v="0.12221052631578948"/>
  </r>
  <r>
    <n v="2020"/>
    <x v="1"/>
    <n v="19"/>
    <x v="13"/>
    <n v="8616.5"/>
    <n v="28500"/>
    <n v="0.30233333333333334"/>
  </r>
  <r>
    <n v="2020"/>
    <x v="1"/>
    <n v="19"/>
    <x v="14"/>
    <n v="5638.5"/>
    <n v="28500"/>
    <n v="0.1978421052631579"/>
  </r>
  <r>
    <n v="2020"/>
    <x v="1"/>
    <n v="19"/>
    <x v="15"/>
    <n v="1850"/>
    <n v="28500"/>
    <n v="6.491228070175438E-2"/>
  </r>
  <r>
    <n v="2020"/>
    <x v="1"/>
    <n v="19"/>
    <x v="16"/>
    <n v="517"/>
    <n v="28500"/>
    <n v="1.8140350877192981E-2"/>
  </r>
  <r>
    <n v="2020"/>
    <x v="1"/>
    <n v="19"/>
    <x v="17"/>
    <n v="0"/>
    <n v="28500"/>
    <n v="0"/>
  </r>
  <r>
    <n v="2020"/>
    <x v="1"/>
    <n v="19"/>
    <x v="18"/>
    <n v="0"/>
    <n v="28500"/>
    <n v="0"/>
  </r>
  <r>
    <n v="2020"/>
    <x v="1"/>
    <n v="19"/>
    <x v="19"/>
    <n v="0"/>
    <n v="28500"/>
    <n v="0"/>
  </r>
  <r>
    <n v="2020"/>
    <x v="1"/>
    <n v="19"/>
    <x v="20"/>
    <n v="0"/>
    <n v="28500"/>
    <n v="0"/>
  </r>
  <r>
    <n v="2020"/>
    <x v="1"/>
    <n v="19"/>
    <x v="21"/>
    <n v="0"/>
    <n v="28500"/>
    <n v="0"/>
  </r>
  <r>
    <n v="2020"/>
    <x v="1"/>
    <n v="19"/>
    <x v="22"/>
    <n v="0"/>
    <n v="28500"/>
    <n v="0"/>
  </r>
  <r>
    <n v="2020"/>
    <x v="1"/>
    <n v="19"/>
    <x v="23"/>
    <n v="0"/>
    <n v="28500"/>
    <n v="0"/>
  </r>
  <r>
    <n v="2020"/>
    <x v="1"/>
    <n v="20"/>
    <x v="0"/>
    <n v="0"/>
    <n v="28500"/>
    <n v="0"/>
  </r>
  <r>
    <n v="2020"/>
    <x v="1"/>
    <n v="20"/>
    <x v="1"/>
    <n v="0"/>
    <n v="28500"/>
    <n v="0"/>
  </r>
  <r>
    <n v="2020"/>
    <x v="1"/>
    <n v="20"/>
    <x v="2"/>
    <n v="0"/>
    <n v="28500"/>
    <n v="0"/>
  </r>
  <r>
    <n v="2020"/>
    <x v="1"/>
    <n v="20"/>
    <x v="3"/>
    <n v="0"/>
    <n v="28500"/>
    <n v="0"/>
  </r>
  <r>
    <n v="2020"/>
    <x v="1"/>
    <n v="20"/>
    <x v="4"/>
    <n v="0"/>
    <n v="28500"/>
    <n v="0"/>
  </r>
  <r>
    <n v="2020"/>
    <x v="1"/>
    <n v="20"/>
    <x v="5"/>
    <n v="0"/>
    <n v="28500"/>
    <n v="0"/>
  </r>
  <r>
    <n v="2020"/>
    <x v="1"/>
    <n v="20"/>
    <x v="6"/>
    <n v="0"/>
    <n v="28500"/>
    <n v="0"/>
  </r>
  <r>
    <n v="2020"/>
    <x v="1"/>
    <n v="20"/>
    <x v="7"/>
    <n v="0"/>
    <n v="28500"/>
    <n v="0"/>
  </r>
  <r>
    <n v="2020"/>
    <x v="1"/>
    <n v="20"/>
    <x v="8"/>
    <n v="976.5"/>
    <n v="28500"/>
    <n v="3.4263157894736843E-2"/>
  </r>
  <r>
    <n v="2020"/>
    <x v="1"/>
    <n v="20"/>
    <x v="9"/>
    <n v="3931.5"/>
    <n v="28500"/>
    <n v="0.13794736842105262"/>
  </r>
  <r>
    <n v="2020"/>
    <x v="1"/>
    <n v="20"/>
    <x v="10"/>
    <n v="1833.5"/>
    <n v="28500"/>
    <n v="6.433333333333334E-2"/>
  </r>
  <r>
    <n v="2020"/>
    <x v="1"/>
    <n v="20"/>
    <x v="11"/>
    <n v="2281.5"/>
    <n v="28500"/>
    <n v="8.0052631578947375E-2"/>
  </r>
  <r>
    <n v="2020"/>
    <x v="1"/>
    <n v="20"/>
    <x v="12"/>
    <n v="7357"/>
    <n v="28500"/>
    <n v="0.258140350877193"/>
  </r>
  <r>
    <n v="2020"/>
    <x v="1"/>
    <n v="20"/>
    <x v="13"/>
    <n v="1719.5"/>
    <n v="28500"/>
    <n v="6.0333333333333336E-2"/>
  </r>
  <r>
    <n v="2020"/>
    <x v="1"/>
    <n v="20"/>
    <x v="14"/>
    <n v="1510.5"/>
    <n v="28500"/>
    <n v="5.2999999999999999E-2"/>
  </r>
  <r>
    <n v="2020"/>
    <x v="1"/>
    <n v="20"/>
    <x v="15"/>
    <n v="2279.5"/>
    <n v="28500"/>
    <n v="7.9982456140350877E-2"/>
  </r>
  <r>
    <n v="2020"/>
    <x v="1"/>
    <n v="20"/>
    <x v="16"/>
    <n v="6845"/>
    <n v="28500"/>
    <n v="0.24017543859649124"/>
  </r>
  <r>
    <n v="2020"/>
    <x v="1"/>
    <n v="20"/>
    <x v="17"/>
    <n v="0"/>
    <n v="28500"/>
    <n v="0"/>
  </r>
  <r>
    <n v="2020"/>
    <x v="1"/>
    <n v="20"/>
    <x v="18"/>
    <n v="0"/>
    <n v="28500"/>
    <n v="0"/>
  </r>
  <r>
    <n v="2020"/>
    <x v="1"/>
    <n v="20"/>
    <x v="19"/>
    <n v="0"/>
    <n v="28500"/>
    <n v="0"/>
  </r>
  <r>
    <n v="2020"/>
    <x v="1"/>
    <n v="20"/>
    <x v="20"/>
    <n v="0"/>
    <n v="28500"/>
    <n v="0"/>
  </r>
  <r>
    <n v="2020"/>
    <x v="1"/>
    <n v="20"/>
    <x v="21"/>
    <n v="0"/>
    <n v="28500"/>
    <n v="0"/>
  </r>
  <r>
    <n v="2020"/>
    <x v="1"/>
    <n v="20"/>
    <x v="22"/>
    <n v="0"/>
    <n v="28500"/>
    <n v="0"/>
  </r>
  <r>
    <n v="2020"/>
    <x v="1"/>
    <n v="20"/>
    <x v="23"/>
    <n v="0"/>
    <n v="28500"/>
    <n v="0"/>
  </r>
  <r>
    <n v="2020"/>
    <x v="1"/>
    <n v="21"/>
    <x v="0"/>
    <n v="0"/>
    <n v="28500"/>
    <n v="0"/>
  </r>
  <r>
    <n v="2020"/>
    <x v="1"/>
    <n v="21"/>
    <x v="1"/>
    <n v="0"/>
    <n v="28500"/>
    <n v="0"/>
  </r>
  <r>
    <n v="2020"/>
    <x v="1"/>
    <n v="21"/>
    <x v="2"/>
    <n v="0"/>
    <n v="28500"/>
    <n v="0"/>
  </r>
  <r>
    <n v="2020"/>
    <x v="1"/>
    <n v="21"/>
    <x v="3"/>
    <n v="0"/>
    <n v="28500"/>
    <n v="0"/>
  </r>
  <r>
    <n v="2020"/>
    <x v="1"/>
    <n v="21"/>
    <x v="4"/>
    <n v="0"/>
    <n v="28500"/>
    <n v="0"/>
  </r>
  <r>
    <n v="2020"/>
    <x v="1"/>
    <n v="21"/>
    <x v="5"/>
    <n v="0"/>
    <n v="28500"/>
    <n v="0"/>
  </r>
  <r>
    <n v="2020"/>
    <x v="1"/>
    <n v="21"/>
    <x v="6"/>
    <n v="0"/>
    <n v="28500"/>
    <n v="0"/>
  </r>
  <r>
    <n v="2020"/>
    <x v="1"/>
    <n v="21"/>
    <x v="7"/>
    <n v="0"/>
    <n v="28500"/>
    <n v="0"/>
  </r>
  <r>
    <n v="2020"/>
    <x v="1"/>
    <n v="21"/>
    <x v="8"/>
    <n v="2077.5"/>
    <n v="28500"/>
    <n v="7.2894736842105262E-2"/>
  </r>
  <r>
    <n v="2020"/>
    <x v="1"/>
    <n v="21"/>
    <x v="9"/>
    <n v="8005"/>
    <n v="28500"/>
    <n v="0.28087719298245611"/>
  </r>
  <r>
    <n v="2020"/>
    <x v="1"/>
    <n v="21"/>
    <x v="10"/>
    <n v="14628"/>
    <n v="28500"/>
    <n v="0.51326315789473687"/>
  </r>
  <r>
    <n v="2020"/>
    <x v="1"/>
    <n v="21"/>
    <x v="11"/>
    <n v="17534"/>
    <n v="28500"/>
    <n v="0.61522807017543857"/>
  </r>
  <r>
    <n v="2020"/>
    <x v="1"/>
    <n v="21"/>
    <x v="12"/>
    <n v="8993"/>
    <n v="28500"/>
    <n v="0.31554385964912279"/>
  </r>
  <r>
    <n v="2020"/>
    <x v="1"/>
    <n v="21"/>
    <x v="13"/>
    <n v="9474"/>
    <n v="28500"/>
    <n v="0.33242105263157895"/>
  </r>
  <r>
    <n v="2020"/>
    <x v="1"/>
    <n v="21"/>
    <x v="14"/>
    <n v="6528.5"/>
    <n v="28500"/>
    <n v="0.22907017543859648"/>
  </r>
  <r>
    <n v="2020"/>
    <x v="1"/>
    <n v="21"/>
    <x v="15"/>
    <n v="7046"/>
    <n v="28500"/>
    <n v="0.2472280701754386"/>
  </r>
  <r>
    <n v="2020"/>
    <x v="1"/>
    <n v="21"/>
    <x v="16"/>
    <n v="4090.5"/>
    <n v="28500"/>
    <n v="0.1435263157894737"/>
  </r>
  <r>
    <n v="2020"/>
    <x v="1"/>
    <n v="21"/>
    <x v="17"/>
    <n v="0"/>
    <n v="28500"/>
    <n v="0"/>
  </r>
  <r>
    <n v="2020"/>
    <x v="1"/>
    <n v="21"/>
    <x v="18"/>
    <n v="0"/>
    <n v="28500"/>
    <n v="0"/>
  </r>
  <r>
    <n v="2020"/>
    <x v="1"/>
    <n v="21"/>
    <x v="19"/>
    <n v="0"/>
    <n v="28500"/>
    <n v="0"/>
  </r>
  <r>
    <n v="2020"/>
    <x v="1"/>
    <n v="21"/>
    <x v="20"/>
    <n v="0"/>
    <n v="28500"/>
    <n v="0"/>
  </r>
  <r>
    <n v="2020"/>
    <x v="1"/>
    <n v="21"/>
    <x v="21"/>
    <n v="0"/>
    <n v="28500"/>
    <n v="0"/>
  </r>
  <r>
    <n v="2020"/>
    <x v="1"/>
    <n v="21"/>
    <x v="22"/>
    <n v="0"/>
    <n v="28500"/>
    <n v="0"/>
  </r>
  <r>
    <n v="2020"/>
    <x v="1"/>
    <n v="21"/>
    <x v="23"/>
    <n v="0"/>
    <n v="28500"/>
    <n v="0"/>
  </r>
  <r>
    <n v="2020"/>
    <x v="1"/>
    <n v="22"/>
    <x v="0"/>
    <n v="0"/>
    <n v="28500"/>
    <n v="0"/>
  </r>
  <r>
    <n v="2020"/>
    <x v="1"/>
    <n v="22"/>
    <x v="1"/>
    <n v="0"/>
    <n v="28500"/>
    <n v="0"/>
  </r>
  <r>
    <n v="2020"/>
    <x v="1"/>
    <n v="22"/>
    <x v="2"/>
    <n v="0"/>
    <n v="28500"/>
    <n v="0"/>
  </r>
  <r>
    <n v="2020"/>
    <x v="1"/>
    <n v="22"/>
    <x v="3"/>
    <n v="0"/>
    <n v="28500"/>
    <n v="0"/>
  </r>
  <r>
    <n v="2020"/>
    <x v="1"/>
    <n v="22"/>
    <x v="4"/>
    <n v="0"/>
    <n v="28500"/>
    <n v="0"/>
  </r>
  <r>
    <n v="2020"/>
    <x v="1"/>
    <n v="22"/>
    <x v="5"/>
    <n v="0"/>
    <n v="28500"/>
    <n v="0"/>
  </r>
  <r>
    <n v="2020"/>
    <x v="1"/>
    <n v="22"/>
    <x v="6"/>
    <n v="0"/>
    <n v="28500"/>
    <n v="0"/>
  </r>
  <r>
    <n v="2020"/>
    <x v="1"/>
    <n v="22"/>
    <x v="7"/>
    <n v="0"/>
    <n v="28500"/>
    <n v="0"/>
  </r>
  <r>
    <n v="2020"/>
    <x v="1"/>
    <n v="22"/>
    <x v="8"/>
    <n v="1807"/>
    <n v="28500"/>
    <n v="6.3403508771929823E-2"/>
  </r>
  <r>
    <n v="2020"/>
    <x v="1"/>
    <n v="22"/>
    <x v="9"/>
    <n v="5243.5"/>
    <n v="28500"/>
    <n v="0.18398245614035089"/>
  </r>
  <r>
    <n v="2020"/>
    <x v="1"/>
    <n v="22"/>
    <x v="10"/>
    <n v="3806.5"/>
    <n v="28500"/>
    <n v="0.13356140350877194"/>
  </r>
  <r>
    <n v="2020"/>
    <x v="1"/>
    <n v="22"/>
    <x v="11"/>
    <n v="8574"/>
    <n v="28500"/>
    <n v="0.30084210526315791"/>
  </r>
  <r>
    <n v="2020"/>
    <x v="1"/>
    <n v="22"/>
    <x v="12"/>
    <n v="24208.5"/>
    <n v="28500"/>
    <n v="0.84942105263157897"/>
  </r>
  <r>
    <n v="2020"/>
    <x v="1"/>
    <n v="22"/>
    <x v="13"/>
    <n v="23079.5"/>
    <n v="28500"/>
    <n v="0.80980701754385964"/>
  </r>
  <r>
    <n v="2020"/>
    <x v="1"/>
    <n v="22"/>
    <x v="14"/>
    <n v="8534.5"/>
    <n v="28500"/>
    <n v="0.2994561403508772"/>
  </r>
  <r>
    <n v="2020"/>
    <x v="1"/>
    <n v="22"/>
    <x v="15"/>
    <n v="1781"/>
    <n v="28500"/>
    <n v="6.2491228070175438E-2"/>
  </r>
  <r>
    <n v="2020"/>
    <x v="1"/>
    <n v="22"/>
    <x v="16"/>
    <n v="1701"/>
    <n v="28500"/>
    <n v="5.9684210526315791E-2"/>
  </r>
  <r>
    <n v="2020"/>
    <x v="1"/>
    <n v="22"/>
    <x v="17"/>
    <n v="0"/>
    <n v="28500"/>
    <n v="0"/>
  </r>
  <r>
    <n v="2020"/>
    <x v="1"/>
    <n v="22"/>
    <x v="18"/>
    <n v="0"/>
    <n v="28500"/>
    <n v="0"/>
  </r>
  <r>
    <n v="2020"/>
    <x v="1"/>
    <n v="22"/>
    <x v="19"/>
    <n v="0"/>
    <n v="28500"/>
    <n v="0"/>
  </r>
  <r>
    <n v="2020"/>
    <x v="1"/>
    <n v="22"/>
    <x v="20"/>
    <n v="0"/>
    <n v="28500"/>
    <n v="0"/>
  </r>
  <r>
    <n v="2020"/>
    <x v="1"/>
    <n v="22"/>
    <x v="21"/>
    <n v="0"/>
    <n v="28500"/>
    <n v="0"/>
  </r>
  <r>
    <n v="2020"/>
    <x v="1"/>
    <n v="22"/>
    <x v="22"/>
    <n v="0"/>
    <n v="28500"/>
    <n v="0"/>
  </r>
  <r>
    <n v="2020"/>
    <x v="1"/>
    <n v="22"/>
    <x v="23"/>
    <n v="0"/>
    <n v="28500"/>
    <n v="0"/>
  </r>
  <r>
    <n v="2020"/>
    <x v="1"/>
    <n v="23"/>
    <x v="0"/>
    <n v="0"/>
    <n v="28500"/>
    <n v="0"/>
  </r>
  <r>
    <n v="2020"/>
    <x v="1"/>
    <n v="23"/>
    <x v="1"/>
    <n v="0"/>
    <n v="28500"/>
    <n v="0"/>
  </r>
  <r>
    <n v="2020"/>
    <x v="1"/>
    <n v="23"/>
    <x v="2"/>
    <n v="0"/>
    <n v="28500"/>
    <n v="0"/>
  </r>
  <r>
    <n v="2020"/>
    <x v="1"/>
    <n v="23"/>
    <x v="3"/>
    <n v="0"/>
    <n v="28500"/>
    <n v="0"/>
  </r>
  <r>
    <n v="2020"/>
    <x v="1"/>
    <n v="23"/>
    <x v="4"/>
    <n v="0"/>
    <n v="28500"/>
    <n v="0"/>
  </r>
  <r>
    <n v="2020"/>
    <x v="1"/>
    <n v="23"/>
    <x v="5"/>
    <n v="0"/>
    <n v="28500"/>
    <n v="0"/>
  </r>
  <r>
    <n v="2020"/>
    <x v="1"/>
    <n v="23"/>
    <x v="6"/>
    <n v="0"/>
    <n v="28500"/>
    <n v="0"/>
  </r>
  <r>
    <n v="2020"/>
    <x v="1"/>
    <n v="23"/>
    <x v="7"/>
    <n v="0"/>
    <n v="28500"/>
    <n v="0"/>
  </r>
  <r>
    <n v="2020"/>
    <x v="1"/>
    <n v="23"/>
    <x v="8"/>
    <n v="538.5"/>
    <n v="28500"/>
    <n v="1.8894736842105263E-2"/>
  </r>
  <r>
    <n v="2020"/>
    <x v="1"/>
    <n v="23"/>
    <x v="9"/>
    <n v="2149.5"/>
    <n v="28500"/>
    <n v="7.5421052631578944E-2"/>
  </r>
  <r>
    <n v="2020"/>
    <x v="1"/>
    <n v="23"/>
    <x v="10"/>
    <n v="1994.5"/>
    <n v="28500"/>
    <n v="6.9982456140350882E-2"/>
  </r>
  <r>
    <n v="2020"/>
    <x v="1"/>
    <n v="23"/>
    <x v="11"/>
    <n v="9344"/>
    <n v="28500"/>
    <n v="0.32785964912280702"/>
  </r>
  <r>
    <n v="2020"/>
    <x v="1"/>
    <n v="23"/>
    <x v="12"/>
    <n v="11421.5"/>
    <n v="28500"/>
    <n v="0.40075438596491231"/>
  </r>
  <r>
    <n v="2020"/>
    <x v="1"/>
    <n v="23"/>
    <x v="13"/>
    <n v="2891.5"/>
    <n v="28500"/>
    <n v="0.10145614035087719"/>
  </r>
  <r>
    <n v="2020"/>
    <x v="1"/>
    <n v="23"/>
    <x v="14"/>
    <n v="5619.5"/>
    <n v="28500"/>
    <n v="0.19717543859649123"/>
  </r>
  <r>
    <n v="2020"/>
    <x v="1"/>
    <n v="23"/>
    <x v="15"/>
    <n v="14426.5"/>
    <n v="28500"/>
    <n v="0.50619298245614031"/>
  </r>
  <r>
    <n v="2020"/>
    <x v="1"/>
    <n v="23"/>
    <x v="16"/>
    <n v="6872.5"/>
    <n v="28500"/>
    <n v="0.24114035087719299"/>
  </r>
  <r>
    <n v="2020"/>
    <x v="1"/>
    <n v="23"/>
    <x v="17"/>
    <n v="0"/>
    <n v="28500"/>
    <n v="0"/>
  </r>
  <r>
    <n v="2020"/>
    <x v="1"/>
    <n v="23"/>
    <x v="18"/>
    <n v="0"/>
    <n v="28500"/>
    <n v="0"/>
  </r>
  <r>
    <n v="2020"/>
    <x v="1"/>
    <n v="23"/>
    <x v="19"/>
    <n v="0"/>
    <n v="28500"/>
    <n v="0"/>
  </r>
  <r>
    <n v="2020"/>
    <x v="1"/>
    <n v="23"/>
    <x v="20"/>
    <n v="0"/>
    <n v="28500"/>
    <n v="0"/>
  </r>
  <r>
    <n v="2020"/>
    <x v="1"/>
    <n v="23"/>
    <x v="21"/>
    <n v="0"/>
    <n v="28500"/>
    <n v="0"/>
  </r>
  <r>
    <n v="2020"/>
    <x v="1"/>
    <n v="23"/>
    <x v="22"/>
    <n v="0"/>
    <n v="28500"/>
    <n v="0"/>
  </r>
  <r>
    <n v="2020"/>
    <x v="1"/>
    <n v="23"/>
    <x v="23"/>
    <n v="0"/>
    <n v="28500"/>
    <n v="0"/>
  </r>
  <r>
    <n v="2020"/>
    <x v="1"/>
    <n v="24"/>
    <x v="0"/>
    <n v="0"/>
    <n v="28500"/>
    <n v="0"/>
  </r>
  <r>
    <n v="2020"/>
    <x v="1"/>
    <n v="24"/>
    <x v="1"/>
    <n v="0"/>
    <n v="28500"/>
    <n v="0"/>
  </r>
  <r>
    <n v="2020"/>
    <x v="1"/>
    <n v="24"/>
    <x v="2"/>
    <n v="0"/>
    <n v="28500"/>
    <n v="0"/>
  </r>
  <r>
    <n v="2020"/>
    <x v="1"/>
    <n v="24"/>
    <x v="3"/>
    <n v="0"/>
    <n v="28500"/>
    <n v="0"/>
  </r>
  <r>
    <n v="2020"/>
    <x v="1"/>
    <n v="24"/>
    <x v="4"/>
    <n v="0"/>
    <n v="28500"/>
    <n v="0"/>
  </r>
  <r>
    <n v="2020"/>
    <x v="1"/>
    <n v="24"/>
    <x v="5"/>
    <n v="0"/>
    <n v="28500"/>
    <n v="0"/>
  </r>
  <r>
    <n v="2020"/>
    <x v="1"/>
    <n v="24"/>
    <x v="6"/>
    <n v="0"/>
    <n v="28500"/>
    <n v="0"/>
  </r>
  <r>
    <n v="2020"/>
    <x v="1"/>
    <n v="24"/>
    <x v="7"/>
    <n v="0"/>
    <n v="28500"/>
    <n v="0"/>
  </r>
  <r>
    <n v="2020"/>
    <x v="1"/>
    <n v="24"/>
    <x v="8"/>
    <n v="1146.5"/>
    <n v="28500"/>
    <n v="4.0228070175438599E-2"/>
  </r>
  <r>
    <n v="2020"/>
    <x v="1"/>
    <n v="24"/>
    <x v="9"/>
    <n v="1945.5"/>
    <n v="28500"/>
    <n v="6.8263157894736845E-2"/>
  </r>
  <r>
    <n v="2020"/>
    <x v="1"/>
    <n v="24"/>
    <x v="10"/>
    <n v="2434.5"/>
    <n v="28500"/>
    <n v="8.5421052631578953E-2"/>
  </r>
  <r>
    <n v="2020"/>
    <x v="1"/>
    <n v="24"/>
    <x v="11"/>
    <n v="4623"/>
    <n v="28500"/>
    <n v="0.16221052631578947"/>
  </r>
  <r>
    <n v="2020"/>
    <x v="1"/>
    <n v="24"/>
    <x v="12"/>
    <n v="3364"/>
    <n v="28500"/>
    <n v="0.11803508771929824"/>
  </r>
  <r>
    <n v="2020"/>
    <x v="1"/>
    <n v="24"/>
    <x v="13"/>
    <n v="1467.5"/>
    <n v="28500"/>
    <n v="5.1491228070175442E-2"/>
  </r>
  <r>
    <n v="2020"/>
    <x v="1"/>
    <n v="24"/>
    <x v="14"/>
    <n v="2244"/>
    <n v="28500"/>
    <n v="7.8736842105263161E-2"/>
  </r>
  <r>
    <n v="2020"/>
    <x v="1"/>
    <n v="24"/>
    <x v="15"/>
    <n v="7380"/>
    <n v="28500"/>
    <n v="0.25894736842105265"/>
  </r>
  <r>
    <n v="2020"/>
    <x v="1"/>
    <n v="24"/>
    <x v="16"/>
    <n v="867"/>
    <n v="28500"/>
    <n v="3.0421052631578946E-2"/>
  </r>
  <r>
    <n v="2020"/>
    <x v="1"/>
    <n v="24"/>
    <x v="17"/>
    <n v="0"/>
    <n v="28500"/>
    <n v="0"/>
  </r>
  <r>
    <n v="2020"/>
    <x v="1"/>
    <n v="24"/>
    <x v="18"/>
    <n v="0"/>
    <n v="28500"/>
    <n v="0"/>
  </r>
  <r>
    <n v="2020"/>
    <x v="1"/>
    <n v="24"/>
    <x v="19"/>
    <n v="0"/>
    <n v="28500"/>
    <n v="0"/>
  </r>
  <r>
    <n v="2020"/>
    <x v="1"/>
    <n v="24"/>
    <x v="20"/>
    <n v="0"/>
    <n v="28500"/>
    <n v="0"/>
  </r>
  <r>
    <n v="2020"/>
    <x v="1"/>
    <n v="24"/>
    <x v="21"/>
    <n v="0"/>
    <n v="28500"/>
    <n v="0"/>
  </r>
  <r>
    <n v="2020"/>
    <x v="1"/>
    <n v="24"/>
    <x v="22"/>
    <n v="0"/>
    <n v="28500"/>
    <n v="0"/>
  </r>
  <r>
    <n v="2020"/>
    <x v="1"/>
    <n v="24"/>
    <x v="23"/>
    <n v="0"/>
    <n v="28500"/>
    <n v="0"/>
  </r>
  <r>
    <n v="2020"/>
    <x v="1"/>
    <n v="25"/>
    <x v="0"/>
    <n v="0"/>
    <n v="28500"/>
    <n v="0"/>
  </r>
  <r>
    <n v="2020"/>
    <x v="1"/>
    <n v="25"/>
    <x v="1"/>
    <n v="0"/>
    <n v="28500"/>
    <n v="0"/>
  </r>
  <r>
    <n v="2020"/>
    <x v="1"/>
    <n v="25"/>
    <x v="2"/>
    <n v="0"/>
    <n v="28500"/>
    <n v="0"/>
  </r>
  <r>
    <n v="2020"/>
    <x v="1"/>
    <n v="25"/>
    <x v="3"/>
    <n v="0"/>
    <n v="28500"/>
    <n v="0"/>
  </r>
  <r>
    <n v="2020"/>
    <x v="1"/>
    <n v="25"/>
    <x v="4"/>
    <n v="0"/>
    <n v="28500"/>
    <n v="0"/>
  </r>
  <r>
    <n v="2020"/>
    <x v="1"/>
    <n v="25"/>
    <x v="5"/>
    <n v="0"/>
    <n v="28500"/>
    <n v="0"/>
  </r>
  <r>
    <n v="2020"/>
    <x v="1"/>
    <n v="25"/>
    <x v="6"/>
    <n v="0"/>
    <n v="28500"/>
    <n v="0"/>
  </r>
  <r>
    <n v="2020"/>
    <x v="1"/>
    <n v="25"/>
    <x v="7"/>
    <n v="0"/>
    <n v="28500"/>
    <n v="0"/>
  </r>
  <r>
    <n v="2020"/>
    <x v="1"/>
    <n v="25"/>
    <x v="8"/>
    <n v="13011"/>
    <n v="28500"/>
    <n v="0.45652631578947367"/>
  </r>
  <r>
    <n v="2020"/>
    <x v="1"/>
    <n v="25"/>
    <x v="9"/>
    <n v="21813"/>
    <n v="28500"/>
    <n v="0.76536842105263159"/>
  </r>
  <r>
    <n v="2020"/>
    <x v="1"/>
    <n v="25"/>
    <x v="10"/>
    <n v="13197.5"/>
    <n v="28500"/>
    <n v="0.46307017543859647"/>
  </r>
  <r>
    <n v="2020"/>
    <x v="1"/>
    <n v="25"/>
    <x v="11"/>
    <n v="26452.5"/>
    <n v="28500"/>
    <n v="0.92815789473684207"/>
  </r>
  <r>
    <n v="2020"/>
    <x v="1"/>
    <n v="25"/>
    <x v="12"/>
    <n v="19667"/>
    <n v="28500"/>
    <n v="0.6900701754385965"/>
  </r>
  <r>
    <n v="2020"/>
    <x v="1"/>
    <n v="25"/>
    <x v="13"/>
    <n v="17375"/>
    <n v="28500"/>
    <n v="0.60964912280701755"/>
  </r>
  <r>
    <n v="2020"/>
    <x v="1"/>
    <n v="25"/>
    <x v="14"/>
    <n v="7755.5"/>
    <n v="28500"/>
    <n v="0.27212280701754388"/>
  </r>
  <r>
    <n v="2020"/>
    <x v="1"/>
    <n v="25"/>
    <x v="15"/>
    <n v="11880.5"/>
    <n v="28500"/>
    <n v="0.41685964912280704"/>
  </r>
  <r>
    <n v="2020"/>
    <x v="1"/>
    <n v="25"/>
    <x v="16"/>
    <n v="2417.5"/>
    <n v="28500"/>
    <n v="8.4824561403508775E-2"/>
  </r>
  <r>
    <n v="2020"/>
    <x v="1"/>
    <n v="25"/>
    <x v="17"/>
    <n v="0"/>
    <n v="28500"/>
    <n v="0"/>
  </r>
  <r>
    <n v="2020"/>
    <x v="1"/>
    <n v="25"/>
    <x v="18"/>
    <n v="0"/>
    <n v="28500"/>
    <n v="0"/>
  </r>
  <r>
    <n v="2020"/>
    <x v="1"/>
    <n v="25"/>
    <x v="19"/>
    <n v="0"/>
    <n v="28500"/>
    <n v="0"/>
  </r>
  <r>
    <n v="2020"/>
    <x v="1"/>
    <n v="25"/>
    <x v="20"/>
    <n v="0"/>
    <n v="28500"/>
    <n v="0"/>
  </r>
  <r>
    <n v="2020"/>
    <x v="1"/>
    <n v="25"/>
    <x v="21"/>
    <n v="0"/>
    <n v="28500"/>
    <n v="0"/>
  </r>
  <r>
    <n v="2020"/>
    <x v="1"/>
    <n v="25"/>
    <x v="22"/>
    <n v="0"/>
    <n v="28500"/>
    <n v="0"/>
  </r>
  <r>
    <n v="2020"/>
    <x v="1"/>
    <n v="25"/>
    <x v="23"/>
    <n v="0"/>
    <n v="28500"/>
    <n v="0"/>
  </r>
  <r>
    <n v="2020"/>
    <x v="1"/>
    <n v="26"/>
    <x v="0"/>
    <n v="0"/>
    <n v="28500"/>
    <n v="0"/>
  </r>
  <r>
    <n v="2020"/>
    <x v="1"/>
    <n v="26"/>
    <x v="1"/>
    <n v="0"/>
    <n v="28500"/>
    <n v="0"/>
  </r>
  <r>
    <n v="2020"/>
    <x v="1"/>
    <n v="26"/>
    <x v="2"/>
    <n v="0"/>
    <n v="28500"/>
    <n v="0"/>
  </r>
  <r>
    <n v="2020"/>
    <x v="1"/>
    <n v="26"/>
    <x v="3"/>
    <n v="0"/>
    <n v="28500"/>
    <n v="0"/>
  </r>
  <r>
    <n v="2020"/>
    <x v="1"/>
    <n v="26"/>
    <x v="4"/>
    <n v="0"/>
    <n v="28500"/>
    <n v="0"/>
  </r>
  <r>
    <n v="2020"/>
    <x v="1"/>
    <n v="26"/>
    <x v="5"/>
    <n v="0"/>
    <n v="28500"/>
    <n v="0"/>
  </r>
  <r>
    <n v="2020"/>
    <x v="1"/>
    <n v="26"/>
    <x v="6"/>
    <n v="0"/>
    <n v="28500"/>
    <n v="0"/>
  </r>
  <r>
    <n v="2020"/>
    <x v="1"/>
    <n v="26"/>
    <x v="7"/>
    <n v="0"/>
    <n v="28500"/>
    <n v="0"/>
  </r>
  <r>
    <n v="2020"/>
    <x v="1"/>
    <n v="26"/>
    <x v="8"/>
    <n v="14664"/>
    <n v="28500"/>
    <n v="0.51452631578947372"/>
  </r>
  <r>
    <n v="2020"/>
    <x v="1"/>
    <n v="26"/>
    <x v="9"/>
    <n v="26344.5"/>
    <n v="28500"/>
    <n v="0.92436842105263162"/>
  </r>
  <r>
    <n v="2020"/>
    <x v="1"/>
    <n v="26"/>
    <x v="10"/>
    <n v="25373"/>
    <n v="28500"/>
    <n v="0.89028070175438601"/>
  </r>
  <r>
    <n v="2020"/>
    <x v="1"/>
    <n v="26"/>
    <x v="11"/>
    <n v="14426"/>
    <n v="28500"/>
    <n v="0.50617543859649128"/>
  </r>
  <r>
    <n v="2020"/>
    <x v="1"/>
    <n v="26"/>
    <x v="12"/>
    <n v="2398"/>
    <n v="28500"/>
    <n v="8.4140350877192988E-2"/>
  </r>
  <r>
    <n v="2020"/>
    <x v="1"/>
    <n v="26"/>
    <x v="13"/>
    <n v="24224"/>
    <n v="28500"/>
    <n v="0.8499649122807017"/>
  </r>
  <r>
    <n v="2020"/>
    <x v="1"/>
    <n v="26"/>
    <x v="14"/>
    <n v="15392.5"/>
    <n v="28500"/>
    <n v="0.54008771929824562"/>
  </r>
  <r>
    <n v="2020"/>
    <x v="1"/>
    <n v="26"/>
    <x v="15"/>
    <n v="10858"/>
    <n v="28500"/>
    <n v="0.38098245614035087"/>
  </r>
  <r>
    <n v="2020"/>
    <x v="1"/>
    <n v="26"/>
    <x v="16"/>
    <n v="11131"/>
    <n v="28500"/>
    <n v="0.39056140350877194"/>
  </r>
  <r>
    <n v="2020"/>
    <x v="1"/>
    <n v="26"/>
    <x v="17"/>
    <n v="189"/>
    <n v="28500"/>
    <n v="6.6315789473684206E-3"/>
  </r>
  <r>
    <n v="2020"/>
    <x v="1"/>
    <n v="26"/>
    <x v="18"/>
    <n v="0"/>
    <n v="28500"/>
    <n v="0"/>
  </r>
  <r>
    <n v="2020"/>
    <x v="1"/>
    <n v="26"/>
    <x v="19"/>
    <n v="0"/>
    <n v="28500"/>
    <n v="0"/>
  </r>
  <r>
    <n v="2020"/>
    <x v="1"/>
    <n v="26"/>
    <x v="20"/>
    <n v="0"/>
    <n v="28500"/>
    <n v="0"/>
  </r>
  <r>
    <n v="2020"/>
    <x v="1"/>
    <n v="26"/>
    <x v="21"/>
    <n v="0"/>
    <n v="28500"/>
    <n v="0"/>
  </r>
  <r>
    <n v="2020"/>
    <x v="1"/>
    <n v="26"/>
    <x v="22"/>
    <n v="0"/>
    <n v="28500"/>
    <n v="0"/>
  </r>
  <r>
    <n v="2020"/>
    <x v="1"/>
    <n v="26"/>
    <x v="23"/>
    <n v="0"/>
    <n v="28500"/>
    <n v="0"/>
  </r>
  <r>
    <n v="2020"/>
    <x v="1"/>
    <n v="27"/>
    <x v="0"/>
    <n v="0"/>
    <n v="28500"/>
    <n v="0"/>
  </r>
  <r>
    <n v="2020"/>
    <x v="1"/>
    <n v="27"/>
    <x v="1"/>
    <n v="0"/>
    <n v="28500"/>
    <n v="0"/>
  </r>
  <r>
    <n v="2020"/>
    <x v="1"/>
    <n v="27"/>
    <x v="2"/>
    <n v="0"/>
    <n v="28500"/>
    <n v="0"/>
  </r>
  <r>
    <n v="2020"/>
    <x v="1"/>
    <n v="27"/>
    <x v="3"/>
    <n v="0"/>
    <n v="28500"/>
    <n v="0"/>
  </r>
  <r>
    <n v="2020"/>
    <x v="1"/>
    <n v="27"/>
    <x v="4"/>
    <n v="0"/>
    <n v="28500"/>
    <n v="0"/>
  </r>
  <r>
    <n v="2020"/>
    <x v="1"/>
    <n v="27"/>
    <x v="5"/>
    <n v="0"/>
    <n v="28500"/>
    <n v="0"/>
  </r>
  <r>
    <n v="2020"/>
    <x v="1"/>
    <n v="27"/>
    <x v="6"/>
    <n v="0"/>
    <n v="28500"/>
    <n v="0"/>
  </r>
  <r>
    <n v="2020"/>
    <x v="1"/>
    <n v="27"/>
    <x v="7"/>
    <n v="0"/>
    <n v="28500"/>
    <n v="0"/>
  </r>
  <r>
    <n v="2020"/>
    <x v="1"/>
    <n v="27"/>
    <x v="8"/>
    <n v="4070"/>
    <n v="28500"/>
    <n v="0.14280701754385966"/>
  </r>
  <r>
    <n v="2020"/>
    <x v="1"/>
    <n v="27"/>
    <x v="9"/>
    <n v="2799"/>
    <n v="28500"/>
    <n v="9.821052631578947E-2"/>
  </r>
  <r>
    <n v="2020"/>
    <x v="1"/>
    <n v="27"/>
    <x v="10"/>
    <n v="5720"/>
    <n v="28500"/>
    <n v="0.20070175438596491"/>
  </r>
  <r>
    <n v="2020"/>
    <x v="1"/>
    <n v="27"/>
    <x v="11"/>
    <n v="10385.5"/>
    <n v="28500"/>
    <n v="0.36440350877192984"/>
  </r>
  <r>
    <n v="2020"/>
    <x v="1"/>
    <n v="27"/>
    <x v="12"/>
    <n v="1290"/>
    <n v="28500"/>
    <n v="4.5263157894736845E-2"/>
  </r>
  <r>
    <n v="2020"/>
    <x v="1"/>
    <n v="27"/>
    <x v="13"/>
    <n v="10378"/>
    <n v="28500"/>
    <n v="0.36414035087719299"/>
  </r>
  <r>
    <n v="2020"/>
    <x v="1"/>
    <n v="27"/>
    <x v="14"/>
    <n v="3342.5"/>
    <n v="28500"/>
    <n v="0.11728070175438597"/>
  </r>
  <r>
    <n v="2020"/>
    <x v="1"/>
    <n v="27"/>
    <x v="15"/>
    <n v="16259.5"/>
    <n v="28500"/>
    <n v="0.57050877192982452"/>
  </r>
  <r>
    <n v="2020"/>
    <x v="1"/>
    <n v="27"/>
    <x v="16"/>
    <n v="13762.5"/>
    <n v="28500"/>
    <n v="0.48289473684210527"/>
  </r>
  <r>
    <n v="2020"/>
    <x v="1"/>
    <n v="27"/>
    <x v="17"/>
    <n v="205"/>
    <n v="28500"/>
    <n v="7.1929824561403509E-3"/>
  </r>
  <r>
    <n v="2020"/>
    <x v="1"/>
    <n v="27"/>
    <x v="18"/>
    <n v="0"/>
    <n v="28500"/>
    <n v="0"/>
  </r>
  <r>
    <n v="2020"/>
    <x v="1"/>
    <n v="27"/>
    <x v="19"/>
    <n v="0"/>
    <n v="28500"/>
    <n v="0"/>
  </r>
  <r>
    <n v="2020"/>
    <x v="1"/>
    <n v="27"/>
    <x v="20"/>
    <n v="0"/>
    <n v="28500"/>
    <n v="0"/>
  </r>
  <r>
    <n v="2020"/>
    <x v="1"/>
    <n v="27"/>
    <x v="21"/>
    <n v="0"/>
    <n v="28500"/>
    <n v="0"/>
  </r>
  <r>
    <n v="2020"/>
    <x v="1"/>
    <n v="27"/>
    <x v="22"/>
    <n v="0"/>
    <n v="28500"/>
    <n v="0"/>
  </r>
  <r>
    <n v="2020"/>
    <x v="1"/>
    <n v="27"/>
    <x v="23"/>
    <n v="0"/>
    <n v="28500"/>
    <n v="0"/>
  </r>
  <r>
    <n v="2020"/>
    <x v="1"/>
    <n v="28"/>
    <x v="0"/>
    <n v="0"/>
    <n v="28500"/>
    <n v="0"/>
  </r>
  <r>
    <n v="2020"/>
    <x v="1"/>
    <n v="28"/>
    <x v="1"/>
    <n v="0"/>
    <n v="28500"/>
    <n v="0"/>
  </r>
  <r>
    <n v="2020"/>
    <x v="1"/>
    <n v="28"/>
    <x v="2"/>
    <n v="0"/>
    <n v="28500"/>
    <n v="0"/>
  </r>
  <r>
    <n v="2020"/>
    <x v="1"/>
    <n v="28"/>
    <x v="3"/>
    <n v="0"/>
    <n v="28500"/>
    <n v="0"/>
  </r>
  <r>
    <n v="2020"/>
    <x v="1"/>
    <n v="28"/>
    <x v="4"/>
    <n v="0"/>
    <n v="28500"/>
    <n v="0"/>
  </r>
  <r>
    <n v="2020"/>
    <x v="1"/>
    <n v="28"/>
    <x v="5"/>
    <n v="0"/>
    <n v="28500"/>
    <n v="0"/>
  </r>
  <r>
    <n v="2020"/>
    <x v="1"/>
    <n v="28"/>
    <x v="6"/>
    <n v="0"/>
    <n v="28500"/>
    <n v="0"/>
  </r>
  <r>
    <n v="2020"/>
    <x v="1"/>
    <n v="28"/>
    <x v="7"/>
    <n v="0"/>
    <n v="28500"/>
    <n v="0"/>
  </r>
  <r>
    <n v="2020"/>
    <x v="1"/>
    <n v="28"/>
    <x v="8"/>
    <n v="2103.5"/>
    <n v="28500"/>
    <n v="7.3807017543859654E-2"/>
  </r>
  <r>
    <n v="2020"/>
    <x v="1"/>
    <n v="28"/>
    <x v="9"/>
    <n v="1795"/>
    <n v="28500"/>
    <n v="6.2982456140350876E-2"/>
  </r>
  <r>
    <n v="2020"/>
    <x v="1"/>
    <n v="28"/>
    <x v="10"/>
    <n v="2407.5"/>
    <n v="28500"/>
    <n v="8.4473684210526312E-2"/>
  </r>
  <r>
    <n v="2020"/>
    <x v="1"/>
    <n v="28"/>
    <x v="11"/>
    <n v="2602.5"/>
    <n v="28500"/>
    <n v="9.1315789473684211E-2"/>
  </r>
  <r>
    <n v="2020"/>
    <x v="1"/>
    <n v="28"/>
    <x v="12"/>
    <n v="5403.5"/>
    <n v="28500"/>
    <n v="0.18959649122807018"/>
  </r>
  <r>
    <n v="2020"/>
    <x v="1"/>
    <n v="28"/>
    <x v="13"/>
    <n v="5435.5"/>
    <n v="28500"/>
    <n v="0.19071929824561404"/>
  </r>
  <r>
    <n v="2020"/>
    <x v="1"/>
    <n v="28"/>
    <x v="14"/>
    <n v="2084.5"/>
    <n v="28500"/>
    <n v="7.3140350877192978E-2"/>
  </r>
  <r>
    <n v="2020"/>
    <x v="1"/>
    <n v="28"/>
    <x v="15"/>
    <n v="1296.5"/>
    <n v="28500"/>
    <n v="4.5491228070175437E-2"/>
  </r>
  <r>
    <n v="2020"/>
    <x v="1"/>
    <n v="28"/>
    <x v="16"/>
    <n v="1504.5"/>
    <n v="28500"/>
    <n v="5.2789473684210525E-2"/>
  </r>
  <r>
    <n v="2020"/>
    <x v="1"/>
    <n v="28"/>
    <x v="17"/>
    <n v="13.5"/>
    <n v="28500"/>
    <n v="4.7368421052631577E-4"/>
  </r>
  <r>
    <n v="2020"/>
    <x v="1"/>
    <n v="28"/>
    <x v="18"/>
    <n v="0"/>
    <n v="28500"/>
    <n v="0"/>
  </r>
  <r>
    <n v="2020"/>
    <x v="1"/>
    <n v="28"/>
    <x v="19"/>
    <n v="0"/>
    <n v="28500"/>
    <n v="0"/>
  </r>
  <r>
    <n v="2020"/>
    <x v="1"/>
    <n v="28"/>
    <x v="20"/>
    <n v="0"/>
    <n v="28500"/>
    <n v="0"/>
  </r>
  <r>
    <n v="2020"/>
    <x v="1"/>
    <n v="28"/>
    <x v="21"/>
    <n v="0"/>
    <n v="28500"/>
    <n v="0"/>
  </r>
  <r>
    <n v="2020"/>
    <x v="1"/>
    <n v="28"/>
    <x v="22"/>
    <n v="0"/>
    <n v="28500"/>
    <n v="0"/>
  </r>
  <r>
    <n v="2020"/>
    <x v="1"/>
    <n v="28"/>
    <x v="23"/>
    <n v="0"/>
    <n v="28500"/>
    <n v="0"/>
  </r>
  <r>
    <n v="2020"/>
    <x v="1"/>
    <n v="29"/>
    <x v="0"/>
    <n v="0"/>
    <n v="28500"/>
    <n v="0"/>
  </r>
  <r>
    <n v="2020"/>
    <x v="1"/>
    <n v="29"/>
    <x v="1"/>
    <n v="0"/>
    <n v="28500"/>
    <n v="0"/>
  </r>
  <r>
    <n v="2020"/>
    <x v="1"/>
    <n v="29"/>
    <x v="2"/>
    <n v="0"/>
    <n v="28500"/>
    <n v="0"/>
  </r>
  <r>
    <n v="2020"/>
    <x v="1"/>
    <n v="29"/>
    <x v="3"/>
    <n v="0"/>
    <n v="28500"/>
    <n v="0"/>
  </r>
  <r>
    <n v="2020"/>
    <x v="1"/>
    <n v="29"/>
    <x v="4"/>
    <n v="0"/>
    <n v="28500"/>
    <n v="0"/>
  </r>
  <r>
    <n v="2020"/>
    <x v="1"/>
    <n v="29"/>
    <x v="5"/>
    <n v="0"/>
    <n v="28500"/>
    <n v="0"/>
  </r>
  <r>
    <n v="2020"/>
    <x v="1"/>
    <n v="29"/>
    <x v="6"/>
    <n v="0"/>
    <n v="28500"/>
    <n v="0"/>
  </r>
  <r>
    <n v="2020"/>
    <x v="1"/>
    <n v="29"/>
    <x v="7"/>
    <n v="0"/>
    <n v="28500"/>
    <n v="0"/>
  </r>
  <r>
    <n v="2020"/>
    <x v="1"/>
    <n v="29"/>
    <x v="8"/>
    <n v="1013"/>
    <n v="28500"/>
    <n v="3.5543859649122808E-2"/>
  </r>
  <r>
    <n v="2020"/>
    <x v="1"/>
    <n v="29"/>
    <x v="9"/>
    <n v="2119.5"/>
    <n v="28500"/>
    <n v="7.4368421052631584E-2"/>
  </r>
  <r>
    <n v="2020"/>
    <x v="1"/>
    <n v="29"/>
    <x v="10"/>
    <n v="6919"/>
    <n v="28500"/>
    <n v="0.24277192982456142"/>
  </r>
  <r>
    <n v="2020"/>
    <x v="1"/>
    <n v="29"/>
    <x v="11"/>
    <n v="2753.5"/>
    <n v="28500"/>
    <n v="9.6614035087719305E-2"/>
  </r>
  <r>
    <n v="2020"/>
    <x v="1"/>
    <n v="29"/>
    <x v="12"/>
    <n v="40030.5"/>
    <n v="28500"/>
    <n v="1.4045789473684211"/>
  </r>
  <r>
    <n v="2020"/>
    <x v="1"/>
    <n v="29"/>
    <x v="13"/>
    <n v="31722"/>
    <n v="28500"/>
    <n v="1.1130526315789473"/>
  </r>
  <r>
    <n v="2020"/>
    <x v="1"/>
    <n v="29"/>
    <x v="14"/>
    <n v="33770.5"/>
    <n v="28500"/>
    <n v="1.1849298245614035"/>
  </r>
  <r>
    <n v="2020"/>
    <x v="1"/>
    <n v="29"/>
    <x v="15"/>
    <n v="24201"/>
    <n v="28500"/>
    <n v="0.84915789473684211"/>
  </r>
  <r>
    <n v="2020"/>
    <x v="1"/>
    <n v="29"/>
    <x v="16"/>
    <n v="198"/>
    <n v="28500"/>
    <n v="6.9473684210526318E-3"/>
  </r>
  <r>
    <n v="2020"/>
    <x v="1"/>
    <n v="29"/>
    <x v="17"/>
    <n v="490"/>
    <n v="28500"/>
    <n v="1.719298245614035E-2"/>
  </r>
  <r>
    <n v="2020"/>
    <x v="1"/>
    <n v="29"/>
    <x v="18"/>
    <n v="0"/>
    <n v="28500"/>
    <n v="0"/>
  </r>
  <r>
    <n v="2020"/>
    <x v="1"/>
    <n v="29"/>
    <x v="19"/>
    <n v="0"/>
    <n v="28500"/>
    <n v="0"/>
  </r>
  <r>
    <n v="2020"/>
    <x v="1"/>
    <n v="29"/>
    <x v="20"/>
    <n v="0"/>
    <n v="28500"/>
    <n v="0"/>
  </r>
  <r>
    <n v="2020"/>
    <x v="1"/>
    <n v="29"/>
    <x v="21"/>
    <n v="0"/>
    <n v="28500"/>
    <n v="0"/>
  </r>
  <r>
    <n v="2020"/>
    <x v="1"/>
    <n v="29"/>
    <x v="22"/>
    <n v="0"/>
    <n v="28500"/>
    <n v="0"/>
  </r>
  <r>
    <n v="2020"/>
    <x v="1"/>
    <n v="29"/>
    <x v="23"/>
    <n v="0"/>
    <n v="28500"/>
    <n v="0"/>
  </r>
  <r>
    <n v="2020"/>
    <x v="2"/>
    <n v="1"/>
    <x v="0"/>
    <n v="0"/>
    <n v="28500"/>
    <n v="0"/>
  </r>
  <r>
    <n v="2020"/>
    <x v="2"/>
    <n v="1"/>
    <x v="1"/>
    <n v="0"/>
    <n v="28500"/>
    <n v="0"/>
  </r>
  <r>
    <n v="2020"/>
    <x v="2"/>
    <n v="1"/>
    <x v="2"/>
    <n v="0"/>
    <n v="28500"/>
    <n v="0"/>
  </r>
  <r>
    <n v="2020"/>
    <x v="2"/>
    <n v="1"/>
    <x v="3"/>
    <n v="0"/>
    <n v="28500"/>
    <n v="0"/>
  </r>
  <r>
    <n v="2020"/>
    <x v="2"/>
    <n v="1"/>
    <x v="4"/>
    <n v="0"/>
    <n v="28500"/>
    <n v="0"/>
  </r>
  <r>
    <n v="2020"/>
    <x v="2"/>
    <n v="1"/>
    <x v="5"/>
    <n v="0"/>
    <n v="28500"/>
    <n v="0"/>
  </r>
  <r>
    <n v="2020"/>
    <x v="2"/>
    <n v="1"/>
    <x v="6"/>
    <n v="0"/>
    <n v="28500"/>
    <n v="0"/>
  </r>
  <r>
    <n v="2020"/>
    <x v="2"/>
    <n v="1"/>
    <x v="7"/>
    <n v="460"/>
    <n v="28500"/>
    <n v="1.6140350877192983E-2"/>
  </r>
  <r>
    <n v="2020"/>
    <x v="2"/>
    <n v="1"/>
    <x v="8"/>
    <n v="14329.5"/>
    <n v="28500"/>
    <n v="0.50278947368421056"/>
  </r>
  <r>
    <n v="2020"/>
    <x v="2"/>
    <n v="1"/>
    <x v="9"/>
    <n v="26823.5"/>
    <n v="28500"/>
    <n v="0.94117543859649122"/>
  </r>
  <r>
    <n v="2020"/>
    <x v="2"/>
    <n v="1"/>
    <x v="10"/>
    <n v="31579"/>
    <n v="28500"/>
    <n v="1.1080350877192982"/>
  </r>
  <r>
    <n v="2020"/>
    <x v="2"/>
    <n v="1"/>
    <x v="11"/>
    <n v="17936.5"/>
    <n v="28500"/>
    <n v="0.62935087719298244"/>
  </r>
  <r>
    <n v="2020"/>
    <x v="2"/>
    <n v="1"/>
    <x v="12"/>
    <n v="14331"/>
    <n v="28500"/>
    <n v="0.50284210526315787"/>
  </r>
  <r>
    <n v="2020"/>
    <x v="2"/>
    <n v="1"/>
    <x v="13"/>
    <n v="33829"/>
    <n v="28500"/>
    <n v="1.1869824561403508"/>
  </r>
  <r>
    <n v="2020"/>
    <x v="2"/>
    <n v="1"/>
    <x v="14"/>
    <n v="28004"/>
    <n v="28500"/>
    <n v="0.98259649122807013"/>
  </r>
  <r>
    <n v="2020"/>
    <x v="2"/>
    <n v="1"/>
    <x v="15"/>
    <n v="25338"/>
    <n v="28500"/>
    <n v="0.88905263157894732"/>
  </r>
  <r>
    <n v="2020"/>
    <x v="2"/>
    <n v="1"/>
    <x v="16"/>
    <n v="11830.5"/>
    <n v="28500"/>
    <n v="0.41510526315789475"/>
  </r>
  <r>
    <n v="2020"/>
    <x v="2"/>
    <n v="1"/>
    <x v="17"/>
    <n v="531.5"/>
    <n v="28500"/>
    <n v="1.8649122807017544E-2"/>
  </r>
  <r>
    <n v="2020"/>
    <x v="2"/>
    <n v="1"/>
    <x v="18"/>
    <n v="0"/>
    <n v="28500"/>
    <n v="0"/>
  </r>
  <r>
    <n v="2020"/>
    <x v="2"/>
    <n v="1"/>
    <x v="19"/>
    <n v="0"/>
    <n v="28500"/>
    <n v="0"/>
  </r>
  <r>
    <n v="2020"/>
    <x v="2"/>
    <n v="1"/>
    <x v="20"/>
    <n v="0"/>
    <n v="28500"/>
    <n v="0"/>
  </r>
  <r>
    <n v="2020"/>
    <x v="2"/>
    <n v="1"/>
    <x v="21"/>
    <n v="0"/>
    <n v="28500"/>
    <n v="0"/>
  </r>
  <r>
    <n v="2020"/>
    <x v="2"/>
    <n v="1"/>
    <x v="22"/>
    <n v="0"/>
    <n v="28500"/>
    <n v="0"/>
  </r>
  <r>
    <n v="2020"/>
    <x v="2"/>
    <n v="1"/>
    <x v="23"/>
    <n v="0"/>
    <n v="28500"/>
    <n v="0"/>
  </r>
  <r>
    <n v="2020"/>
    <x v="2"/>
    <n v="2"/>
    <x v="0"/>
    <n v="0"/>
    <n v="28500"/>
    <n v="0"/>
  </r>
  <r>
    <n v="2020"/>
    <x v="2"/>
    <n v="2"/>
    <x v="1"/>
    <n v="0"/>
    <n v="28500"/>
    <n v="0"/>
  </r>
  <r>
    <n v="2020"/>
    <x v="2"/>
    <n v="2"/>
    <x v="2"/>
    <n v="0"/>
    <n v="28500"/>
    <n v="0"/>
  </r>
  <r>
    <n v="2020"/>
    <x v="2"/>
    <n v="2"/>
    <x v="3"/>
    <n v="0"/>
    <n v="28500"/>
    <n v="0"/>
  </r>
  <r>
    <n v="2020"/>
    <x v="2"/>
    <n v="2"/>
    <x v="4"/>
    <n v="0"/>
    <n v="28500"/>
    <n v="0"/>
  </r>
  <r>
    <n v="2020"/>
    <x v="2"/>
    <n v="2"/>
    <x v="5"/>
    <n v="0"/>
    <n v="28500"/>
    <n v="0"/>
  </r>
  <r>
    <n v="2020"/>
    <x v="2"/>
    <n v="2"/>
    <x v="6"/>
    <n v="0"/>
    <n v="28500"/>
    <n v="0"/>
  </r>
  <r>
    <n v="2020"/>
    <x v="2"/>
    <n v="2"/>
    <x v="7"/>
    <n v="174"/>
    <n v="28500"/>
    <n v="6.1052631578947369E-3"/>
  </r>
  <r>
    <n v="2020"/>
    <x v="2"/>
    <n v="2"/>
    <x v="8"/>
    <n v="13106.5"/>
    <n v="28500"/>
    <n v="0.45987719298245616"/>
  </r>
  <r>
    <n v="2020"/>
    <x v="2"/>
    <n v="2"/>
    <x v="9"/>
    <n v="6892.5"/>
    <n v="28500"/>
    <n v="0.24184210526315789"/>
  </r>
  <r>
    <n v="2020"/>
    <x v="2"/>
    <n v="2"/>
    <x v="10"/>
    <n v="6647.5"/>
    <n v="28500"/>
    <n v="0.23324561403508773"/>
  </r>
  <r>
    <n v="2020"/>
    <x v="2"/>
    <n v="2"/>
    <x v="11"/>
    <n v="26961"/>
    <n v="28500"/>
    <n v="0.94599999999999995"/>
  </r>
  <r>
    <n v="2020"/>
    <x v="2"/>
    <n v="2"/>
    <x v="12"/>
    <n v="9508.5"/>
    <n v="28500"/>
    <n v="0.33363157894736845"/>
  </r>
  <r>
    <n v="2020"/>
    <x v="2"/>
    <n v="2"/>
    <x v="13"/>
    <n v="25952.5"/>
    <n v="28500"/>
    <n v="0.91061403508771932"/>
  </r>
  <r>
    <n v="2020"/>
    <x v="2"/>
    <n v="2"/>
    <x v="14"/>
    <n v="31339"/>
    <n v="28500"/>
    <n v="1.0996140350877193"/>
  </r>
  <r>
    <n v="2020"/>
    <x v="2"/>
    <n v="2"/>
    <x v="15"/>
    <n v="14752.5"/>
    <n v="28500"/>
    <n v="0.51763157894736844"/>
  </r>
  <r>
    <n v="2020"/>
    <x v="2"/>
    <n v="2"/>
    <x v="16"/>
    <n v="11128.5"/>
    <n v="28500"/>
    <n v="0.39047368421052631"/>
  </r>
  <r>
    <n v="2020"/>
    <x v="2"/>
    <n v="2"/>
    <x v="17"/>
    <n v="516"/>
    <n v="28500"/>
    <n v="1.8105263157894735E-2"/>
  </r>
  <r>
    <n v="2020"/>
    <x v="2"/>
    <n v="2"/>
    <x v="18"/>
    <n v="0"/>
    <n v="28500"/>
    <n v="0"/>
  </r>
  <r>
    <n v="2020"/>
    <x v="2"/>
    <n v="2"/>
    <x v="19"/>
    <n v="0"/>
    <n v="28500"/>
    <n v="0"/>
  </r>
  <r>
    <n v="2020"/>
    <x v="2"/>
    <n v="2"/>
    <x v="20"/>
    <n v="0"/>
    <n v="28500"/>
    <n v="0"/>
  </r>
  <r>
    <n v="2020"/>
    <x v="2"/>
    <n v="2"/>
    <x v="21"/>
    <n v="0"/>
    <n v="28500"/>
    <n v="0"/>
  </r>
  <r>
    <n v="2020"/>
    <x v="2"/>
    <n v="2"/>
    <x v="22"/>
    <n v="0"/>
    <n v="28500"/>
    <n v="0"/>
  </r>
  <r>
    <n v="2020"/>
    <x v="2"/>
    <n v="2"/>
    <x v="23"/>
    <n v="0"/>
    <n v="28500"/>
    <n v="0"/>
  </r>
  <r>
    <n v="2020"/>
    <x v="2"/>
    <n v="3"/>
    <x v="0"/>
    <n v="0"/>
    <n v="28500"/>
    <n v="0"/>
  </r>
  <r>
    <n v="2020"/>
    <x v="2"/>
    <n v="3"/>
    <x v="1"/>
    <n v="0"/>
    <n v="28500"/>
    <n v="0"/>
  </r>
  <r>
    <n v="2020"/>
    <x v="2"/>
    <n v="3"/>
    <x v="2"/>
    <n v="0"/>
    <n v="28500"/>
    <n v="0"/>
  </r>
  <r>
    <n v="2020"/>
    <x v="2"/>
    <n v="3"/>
    <x v="3"/>
    <n v="0"/>
    <n v="28500"/>
    <n v="0"/>
  </r>
  <r>
    <n v="2020"/>
    <x v="2"/>
    <n v="3"/>
    <x v="4"/>
    <n v="0"/>
    <n v="28500"/>
    <n v="0"/>
  </r>
  <r>
    <n v="2020"/>
    <x v="2"/>
    <n v="3"/>
    <x v="5"/>
    <n v="0"/>
    <n v="28500"/>
    <n v="0"/>
  </r>
  <r>
    <n v="2020"/>
    <x v="2"/>
    <n v="3"/>
    <x v="6"/>
    <n v="0"/>
    <n v="28500"/>
    <n v="0"/>
  </r>
  <r>
    <n v="2020"/>
    <x v="2"/>
    <n v="3"/>
    <x v="7"/>
    <n v="669.5"/>
    <n v="28500"/>
    <n v="2.3491228070175438E-2"/>
  </r>
  <r>
    <n v="2020"/>
    <x v="2"/>
    <n v="3"/>
    <x v="8"/>
    <n v="14383.5"/>
    <n v="28500"/>
    <n v="0.50468421052631574"/>
  </r>
  <r>
    <n v="2020"/>
    <x v="2"/>
    <n v="3"/>
    <x v="9"/>
    <n v="27139.5"/>
    <n v="28500"/>
    <n v="0.95226315789473681"/>
  </r>
  <r>
    <n v="2020"/>
    <x v="2"/>
    <n v="3"/>
    <x v="10"/>
    <n v="27536"/>
    <n v="28500"/>
    <n v="0.96617543859649124"/>
  </r>
  <r>
    <n v="2020"/>
    <x v="2"/>
    <n v="3"/>
    <x v="11"/>
    <n v="19795.5"/>
    <n v="28500"/>
    <n v="0.69457894736842107"/>
  </r>
  <r>
    <n v="2020"/>
    <x v="2"/>
    <n v="3"/>
    <x v="12"/>
    <n v="2718"/>
    <n v="28500"/>
    <n v="9.5368421052631575E-2"/>
  </r>
  <r>
    <n v="2020"/>
    <x v="2"/>
    <n v="3"/>
    <x v="13"/>
    <n v="3564.5"/>
    <n v="28500"/>
    <n v="0.1250701754385965"/>
  </r>
  <r>
    <n v="2020"/>
    <x v="2"/>
    <n v="3"/>
    <x v="14"/>
    <n v="4428"/>
    <n v="28500"/>
    <n v="0.15536842105263157"/>
  </r>
  <r>
    <n v="2020"/>
    <x v="2"/>
    <n v="3"/>
    <x v="15"/>
    <n v="3175.5"/>
    <n v="28500"/>
    <n v="0.11142105263157895"/>
  </r>
  <r>
    <n v="2020"/>
    <x v="2"/>
    <n v="3"/>
    <x v="16"/>
    <n v="9538"/>
    <n v="28500"/>
    <n v="0.33466666666666667"/>
  </r>
  <r>
    <n v="2020"/>
    <x v="2"/>
    <n v="3"/>
    <x v="17"/>
    <n v="121"/>
    <n v="28500"/>
    <n v="4.2456140350877192E-3"/>
  </r>
  <r>
    <n v="2020"/>
    <x v="2"/>
    <n v="3"/>
    <x v="18"/>
    <n v="0"/>
    <n v="28500"/>
    <n v="0"/>
  </r>
  <r>
    <n v="2020"/>
    <x v="2"/>
    <n v="3"/>
    <x v="19"/>
    <n v="0"/>
    <n v="28500"/>
    <n v="0"/>
  </r>
  <r>
    <n v="2020"/>
    <x v="2"/>
    <n v="3"/>
    <x v="20"/>
    <n v="0"/>
    <n v="28500"/>
    <n v="0"/>
  </r>
  <r>
    <n v="2020"/>
    <x v="2"/>
    <n v="3"/>
    <x v="21"/>
    <n v="0"/>
    <n v="28500"/>
    <n v="0"/>
  </r>
  <r>
    <n v="2020"/>
    <x v="2"/>
    <n v="3"/>
    <x v="22"/>
    <n v="0"/>
    <n v="28500"/>
    <n v="0"/>
  </r>
  <r>
    <n v="2020"/>
    <x v="2"/>
    <n v="3"/>
    <x v="23"/>
    <n v="0"/>
    <n v="28500"/>
    <n v="0"/>
  </r>
  <r>
    <n v="2020"/>
    <x v="2"/>
    <n v="4"/>
    <x v="0"/>
    <n v="0"/>
    <n v="28500"/>
    <n v="0"/>
  </r>
  <r>
    <n v="2020"/>
    <x v="2"/>
    <n v="4"/>
    <x v="1"/>
    <n v="0"/>
    <n v="28500"/>
    <n v="0"/>
  </r>
  <r>
    <n v="2020"/>
    <x v="2"/>
    <n v="4"/>
    <x v="2"/>
    <n v="0"/>
    <n v="28500"/>
    <n v="0"/>
  </r>
  <r>
    <n v="2020"/>
    <x v="2"/>
    <n v="4"/>
    <x v="3"/>
    <n v="0"/>
    <n v="28500"/>
    <n v="0"/>
  </r>
  <r>
    <n v="2020"/>
    <x v="2"/>
    <n v="4"/>
    <x v="4"/>
    <n v="0"/>
    <n v="28500"/>
    <n v="0"/>
  </r>
  <r>
    <n v="2020"/>
    <x v="2"/>
    <n v="4"/>
    <x v="5"/>
    <n v="0"/>
    <n v="28500"/>
    <n v="0"/>
  </r>
  <r>
    <n v="2020"/>
    <x v="2"/>
    <n v="4"/>
    <x v="6"/>
    <n v="0"/>
    <n v="28500"/>
    <n v="0"/>
  </r>
  <r>
    <n v="2020"/>
    <x v="2"/>
    <n v="4"/>
    <x v="7"/>
    <n v="178"/>
    <n v="28500"/>
    <n v="6.2456140350877192E-3"/>
  </r>
  <r>
    <n v="2020"/>
    <x v="2"/>
    <n v="4"/>
    <x v="8"/>
    <n v="3857"/>
    <n v="28500"/>
    <n v="0.13533333333333333"/>
  </r>
  <r>
    <n v="2020"/>
    <x v="2"/>
    <n v="4"/>
    <x v="9"/>
    <n v="6292"/>
    <n v="28500"/>
    <n v="0.2207719298245614"/>
  </r>
  <r>
    <n v="2020"/>
    <x v="2"/>
    <n v="4"/>
    <x v="10"/>
    <n v="7228.5"/>
    <n v="28500"/>
    <n v="0.25363157894736843"/>
  </r>
  <r>
    <n v="2020"/>
    <x v="2"/>
    <n v="4"/>
    <x v="11"/>
    <n v="15355"/>
    <n v="28500"/>
    <n v="0.53877192982456146"/>
  </r>
  <r>
    <n v="2020"/>
    <x v="2"/>
    <n v="4"/>
    <x v="12"/>
    <n v="16387"/>
    <n v="28500"/>
    <n v="0.57498245614035093"/>
  </r>
  <r>
    <n v="2020"/>
    <x v="2"/>
    <n v="4"/>
    <x v="13"/>
    <n v="10158.5"/>
    <n v="28500"/>
    <n v="0.35643859649122805"/>
  </r>
  <r>
    <n v="2020"/>
    <x v="2"/>
    <n v="4"/>
    <x v="14"/>
    <n v="2908.5"/>
    <n v="28500"/>
    <n v="0.10205263157894737"/>
  </r>
  <r>
    <n v="2020"/>
    <x v="2"/>
    <n v="4"/>
    <x v="15"/>
    <n v="2718.5"/>
    <n v="28500"/>
    <n v="9.5385964912280699E-2"/>
  </r>
  <r>
    <n v="2020"/>
    <x v="2"/>
    <n v="4"/>
    <x v="16"/>
    <n v="4525.5"/>
    <n v="28500"/>
    <n v="0.15878947368421054"/>
  </r>
  <r>
    <n v="2020"/>
    <x v="2"/>
    <n v="4"/>
    <x v="17"/>
    <n v="0"/>
    <n v="28500"/>
    <n v="0"/>
  </r>
  <r>
    <n v="2020"/>
    <x v="2"/>
    <n v="4"/>
    <x v="18"/>
    <n v="0"/>
    <n v="28500"/>
    <n v="0"/>
  </r>
  <r>
    <n v="2020"/>
    <x v="2"/>
    <n v="4"/>
    <x v="19"/>
    <n v="0"/>
    <n v="28500"/>
    <n v="0"/>
  </r>
  <r>
    <n v="2020"/>
    <x v="2"/>
    <n v="4"/>
    <x v="20"/>
    <n v="0"/>
    <n v="28500"/>
    <n v="0"/>
  </r>
  <r>
    <n v="2020"/>
    <x v="2"/>
    <n v="4"/>
    <x v="21"/>
    <n v="0"/>
    <n v="28500"/>
    <n v="0"/>
  </r>
  <r>
    <n v="2020"/>
    <x v="2"/>
    <n v="4"/>
    <x v="22"/>
    <n v="0"/>
    <n v="28500"/>
    <n v="0"/>
  </r>
  <r>
    <n v="2020"/>
    <x v="2"/>
    <n v="4"/>
    <x v="23"/>
    <n v="0"/>
    <n v="28500"/>
    <n v="0"/>
  </r>
  <r>
    <n v="2020"/>
    <x v="2"/>
    <n v="5"/>
    <x v="0"/>
    <n v="0"/>
    <n v="28500"/>
    <n v="0"/>
  </r>
  <r>
    <n v="2020"/>
    <x v="2"/>
    <n v="5"/>
    <x v="1"/>
    <n v="0"/>
    <n v="28500"/>
    <n v="0"/>
  </r>
  <r>
    <n v="2020"/>
    <x v="2"/>
    <n v="5"/>
    <x v="2"/>
    <n v="0"/>
    <n v="28500"/>
    <n v="0"/>
  </r>
  <r>
    <n v="2020"/>
    <x v="2"/>
    <n v="5"/>
    <x v="3"/>
    <n v="0"/>
    <n v="28500"/>
    <n v="0"/>
  </r>
  <r>
    <n v="2020"/>
    <x v="2"/>
    <n v="5"/>
    <x v="4"/>
    <n v="0"/>
    <n v="28500"/>
    <n v="0"/>
  </r>
  <r>
    <n v="2020"/>
    <x v="2"/>
    <n v="5"/>
    <x v="5"/>
    <n v="0"/>
    <n v="28500"/>
    <n v="0"/>
  </r>
  <r>
    <n v="2020"/>
    <x v="2"/>
    <n v="5"/>
    <x v="6"/>
    <n v="0"/>
    <n v="28500"/>
    <n v="0"/>
  </r>
  <r>
    <n v="2020"/>
    <x v="2"/>
    <n v="5"/>
    <x v="7"/>
    <n v="75.5"/>
    <n v="28500"/>
    <n v="2.6491228070175438E-3"/>
  </r>
  <r>
    <n v="2020"/>
    <x v="2"/>
    <n v="5"/>
    <x v="8"/>
    <n v="430"/>
    <n v="28500"/>
    <n v="1.5087719298245613E-2"/>
  </r>
  <r>
    <n v="2020"/>
    <x v="2"/>
    <n v="5"/>
    <x v="9"/>
    <n v="619.5"/>
    <n v="28500"/>
    <n v="2.1736842105263159E-2"/>
  </r>
  <r>
    <n v="2020"/>
    <x v="2"/>
    <n v="5"/>
    <x v="10"/>
    <n v="1752.5"/>
    <n v="28500"/>
    <n v="6.1491228070175437E-2"/>
  </r>
  <r>
    <n v="2020"/>
    <x v="2"/>
    <n v="5"/>
    <x v="11"/>
    <n v="2592.5"/>
    <n v="28500"/>
    <n v="9.0964912280701749E-2"/>
  </r>
  <r>
    <n v="2020"/>
    <x v="2"/>
    <n v="5"/>
    <x v="12"/>
    <n v="3140"/>
    <n v="28500"/>
    <n v="0.11017543859649123"/>
  </r>
  <r>
    <n v="2020"/>
    <x v="2"/>
    <n v="5"/>
    <x v="13"/>
    <n v="1346.5"/>
    <n v="28500"/>
    <n v="4.7245614035087723E-2"/>
  </r>
  <r>
    <n v="2020"/>
    <x v="2"/>
    <n v="5"/>
    <x v="14"/>
    <n v="3694"/>
    <n v="28500"/>
    <n v="0.12961403508771929"/>
  </r>
  <r>
    <n v="2020"/>
    <x v="2"/>
    <n v="5"/>
    <x v="15"/>
    <n v="1867"/>
    <n v="28500"/>
    <n v="6.5508771929824558E-2"/>
  </r>
  <r>
    <n v="2020"/>
    <x v="2"/>
    <n v="5"/>
    <x v="16"/>
    <n v="854.5"/>
    <n v="28500"/>
    <n v="2.9982456140350878E-2"/>
  </r>
  <r>
    <n v="2020"/>
    <x v="2"/>
    <n v="5"/>
    <x v="17"/>
    <n v="0"/>
    <n v="28500"/>
    <n v="0"/>
  </r>
  <r>
    <n v="2020"/>
    <x v="2"/>
    <n v="5"/>
    <x v="18"/>
    <n v="0"/>
    <n v="28500"/>
    <n v="0"/>
  </r>
  <r>
    <n v="2020"/>
    <x v="2"/>
    <n v="5"/>
    <x v="19"/>
    <n v="0"/>
    <n v="28500"/>
    <n v="0"/>
  </r>
  <r>
    <n v="2020"/>
    <x v="2"/>
    <n v="5"/>
    <x v="20"/>
    <n v="0"/>
    <n v="28500"/>
    <n v="0"/>
  </r>
  <r>
    <n v="2020"/>
    <x v="2"/>
    <n v="5"/>
    <x v="21"/>
    <n v="0"/>
    <n v="28500"/>
    <n v="0"/>
  </r>
  <r>
    <n v="2020"/>
    <x v="2"/>
    <n v="5"/>
    <x v="22"/>
    <n v="0"/>
    <n v="28500"/>
    <n v="0"/>
  </r>
  <r>
    <n v="2020"/>
    <x v="2"/>
    <n v="5"/>
    <x v="23"/>
    <n v="0"/>
    <n v="28500"/>
    <n v="0"/>
  </r>
  <r>
    <n v="2020"/>
    <x v="2"/>
    <n v="6"/>
    <x v="0"/>
    <n v="0"/>
    <n v="28500"/>
    <n v="0"/>
  </r>
  <r>
    <n v="2020"/>
    <x v="2"/>
    <n v="6"/>
    <x v="1"/>
    <n v="0"/>
    <n v="28500"/>
    <n v="0"/>
  </r>
  <r>
    <n v="2020"/>
    <x v="2"/>
    <n v="6"/>
    <x v="2"/>
    <n v="0"/>
    <n v="28500"/>
    <n v="0"/>
  </r>
  <r>
    <n v="2020"/>
    <x v="2"/>
    <n v="6"/>
    <x v="3"/>
    <n v="0"/>
    <n v="28500"/>
    <n v="0"/>
  </r>
  <r>
    <n v="2020"/>
    <x v="2"/>
    <n v="6"/>
    <x v="4"/>
    <n v="0"/>
    <n v="28500"/>
    <n v="0"/>
  </r>
  <r>
    <n v="2020"/>
    <x v="2"/>
    <n v="6"/>
    <x v="5"/>
    <n v="0"/>
    <n v="28500"/>
    <n v="0"/>
  </r>
  <r>
    <n v="2020"/>
    <x v="2"/>
    <n v="6"/>
    <x v="6"/>
    <n v="0"/>
    <n v="28500"/>
    <n v="0"/>
  </r>
  <r>
    <n v="2020"/>
    <x v="2"/>
    <n v="6"/>
    <x v="7"/>
    <n v="1188"/>
    <n v="28500"/>
    <n v="4.1684210526315789E-2"/>
  </r>
  <r>
    <n v="2020"/>
    <x v="2"/>
    <n v="6"/>
    <x v="8"/>
    <n v="16169"/>
    <n v="28500"/>
    <n v="0.56733333333333336"/>
  </r>
  <r>
    <n v="2020"/>
    <x v="2"/>
    <n v="6"/>
    <x v="9"/>
    <n v="25015.5"/>
    <n v="28500"/>
    <n v="0.87773684210526315"/>
  </r>
  <r>
    <n v="2020"/>
    <x v="2"/>
    <n v="6"/>
    <x v="10"/>
    <n v="24659"/>
    <n v="28500"/>
    <n v="0.86522807017543857"/>
  </r>
  <r>
    <n v="2020"/>
    <x v="2"/>
    <n v="6"/>
    <x v="11"/>
    <n v="35768.5"/>
    <n v="28500"/>
    <n v="1.2550350877192982"/>
  </r>
  <r>
    <n v="2020"/>
    <x v="2"/>
    <n v="6"/>
    <x v="12"/>
    <n v="33913.5"/>
    <n v="28500"/>
    <n v="1.1899473684210526"/>
  </r>
  <r>
    <n v="2020"/>
    <x v="2"/>
    <n v="6"/>
    <x v="13"/>
    <n v="35851"/>
    <n v="28500"/>
    <n v="1.2579298245614035"/>
  </r>
  <r>
    <n v="2020"/>
    <x v="2"/>
    <n v="6"/>
    <x v="14"/>
    <n v="29859"/>
    <n v="28500"/>
    <n v="1.0476842105263158"/>
  </r>
  <r>
    <n v="2020"/>
    <x v="2"/>
    <n v="6"/>
    <x v="15"/>
    <n v="26694"/>
    <n v="28500"/>
    <n v="0.93663157894736837"/>
  </r>
  <r>
    <n v="2020"/>
    <x v="2"/>
    <n v="6"/>
    <x v="16"/>
    <n v="14511.5"/>
    <n v="28500"/>
    <n v="0.50917543859649128"/>
  </r>
  <r>
    <n v="2020"/>
    <x v="2"/>
    <n v="6"/>
    <x v="17"/>
    <n v="821.5"/>
    <n v="28500"/>
    <n v="2.8824561403508774E-2"/>
  </r>
  <r>
    <n v="2020"/>
    <x v="2"/>
    <n v="6"/>
    <x v="18"/>
    <n v="0"/>
    <n v="28500"/>
    <n v="0"/>
  </r>
  <r>
    <n v="2020"/>
    <x v="2"/>
    <n v="6"/>
    <x v="19"/>
    <n v="0"/>
    <n v="28500"/>
    <n v="0"/>
  </r>
  <r>
    <n v="2020"/>
    <x v="2"/>
    <n v="6"/>
    <x v="20"/>
    <n v="0"/>
    <n v="28500"/>
    <n v="0"/>
  </r>
  <r>
    <n v="2020"/>
    <x v="2"/>
    <n v="6"/>
    <x v="21"/>
    <n v="0"/>
    <n v="28500"/>
    <n v="0"/>
  </r>
  <r>
    <n v="2020"/>
    <x v="2"/>
    <n v="6"/>
    <x v="22"/>
    <n v="0"/>
    <n v="28500"/>
    <n v="0"/>
  </r>
  <r>
    <n v="2020"/>
    <x v="2"/>
    <n v="6"/>
    <x v="23"/>
    <n v="0"/>
    <n v="28500"/>
    <n v="0"/>
  </r>
  <r>
    <n v="2020"/>
    <x v="2"/>
    <n v="7"/>
    <x v="0"/>
    <n v="0"/>
    <n v="28500"/>
    <n v="0"/>
  </r>
  <r>
    <n v="2020"/>
    <x v="2"/>
    <n v="7"/>
    <x v="1"/>
    <n v="0"/>
    <n v="28500"/>
    <n v="0"/>
  </r>
  <r>
    <n v="2020"/>
    <x v="2"/>
    <n v="7"/>
    <x v="2"/>
    <n v="0"/>
    <n v="28500"/>
    <n v="0"/>
  </r>
  <r>
    <n v="2020"/>
    <x v="2"/>
    <n v="7"/>
    <x v="3"/>
    <n v="0"/>
    <n v="28500"/>
    <n v="0"/>
  </r>
  <r>
    <n v="2020"/>
    <x v="2"/>
    <n v="7"/>
    <x v="4"/>
    <n v="0"/>
    <n v="28500"/>
    <n v="0"/>
  </r>
  <r>
    <n v="2020"/>
    <x v="2"/>
    <n v="7"/>
    <x v="5"/>
    <n v="0"/>
    <n v="28500"/>
    <n v="0"/>
  </r>
  <r>
    <n v="2020"/>
    <x v="2"/>
    <n v="7"/>
    <x v="6"/>
    <n v="0"/>
    <n v="28500"/>
    <n v="0"/>
  </r>
  <r>
    <n v="2020"/>
    <x v="2"/>
    <n v="7"/>
    <x v="7"/>
    <n v="553"/>
    <n v="28500"/>
    <n v="1.9403508771929825E-2"/>
  </r>
  <r>
    <n v="2020"/>
    <x v="2"/>
    <n v="7"/>
    <x v="8"/>
    <n v="3093"/>
    <n v="28500"/>
    <n v="0.10852631578947368"/>
  </r>
  <r>
    <n v="2020"/>
    <x v="2"/>
    <n v="7"/>
    <x v="9"/>
    <n v="5272"/>
    <n v="28500"/>
    <n v="0.18498245614035089"/>
  </r>
  <r>
    <n v="2020"/>
    <x v="2"/>
    <n v="7"/>
    <x v="10"/>
    <n v="8471.5"/>
    <n v="28500"/>
    <n v="0.2972456140350877"/>
  </r>
  <r>
    <n v="2020"/>
    <x v="2"/>
    <n v="7"/>
    <x v="11"/>
    <n v="13603"/>
    <n v="28500"/>
    <n v="0.47729824561403511"/>
  </r>
  <r>
    <n v="2020"/>
    <x v="2"/>
    <n v="7"/>
    <x v="12"/>
    <n v="11384.5"/>
    <n v="28500"/>
    <n v="0.39945614035087718"/>
  </r>
  <r>
    <n v="2020"/>
    <x v="2"/>
    <n v="7"/>
    <x v="13"/>
    <n v="20945.5"/>
    <n v="28500"/>
    <n v="0.73492982456140354"/>
  </r>
  <r>
    <n v="2020"/>
    <x v="2"/>
    <n v="7"/>
    <x v="14"/>
    <n v="14735"/>
    <n v="28500"/>
    <n v="0.51701754385964915"/>
  </r>
  <r>
    <n v="2020"/>
    <x v="2"/>
    <n v="7"/>
    <x v="15"/>
    <n v="13230"/>
    <n v="28500"/>
    <n v="0.46421052631578946"/>
  </r>
  <r>
    <n v="2020"/>
    <x v="2"/>
    <n v="7"/>
    <x v="16"/>
    <n v="4386.5"/>
    <n v="28500"/>
    <n v="0.15391228070175439"/>
  </r>
  <r>
    <n v="2020"/>
    <x v="2"/>
    <n v="7"/>
    <x v="17"/>
    <n v="1243.5"/>
    <n v="28500"/>
    <n v="4.3631578947368424E-2"/>
  </r>
  <r>
    <n v="2020"/>
    <x v="2"/>
    <n v="7"/>
    <x v="18"/>
    <n v="0"/>
    <n v="28500"/>
    <n v="0"/>
  </r>
  <r>
    <n v="2020"/>
    <x v="2"/>
    <n v="7"/>
    <x v="19"/>
    <n v="0"/>
    <n v="28500"/>
    <n v="0"/>
  </r>
  <r>
    <n v="2020"/>
    <x v="2"/>
    <n v="7"/>
    <x v="20"/>
    <n v="0"/>
    <n v="28500"/>
    <n v="0"/>
  </r>
  <r>
    <n v="2020"/>
    <x v="2"/>
    <n v="7"/>
    <x v="21"/>
    <n v="0"/>
    <n v="28500"/>
    <n v="0"/>
  </r>
  <r>
    <n v="2020"/>
    <x v="2"/>
    <n v="7"/>
    <x v="22"/>
    <n v="0"/>
    <n v="28500"/>
    <n v="0"/>
  </r>
  <r>
    <n v="2020"/>
    <x v="2"/>
    <n v="7"/>
    <x v="23"/>
    <n v="0"/>
    <n v="28500"/>
    <n v="0"/>
  </r>
  <r>
    <n v="2020"/>
    <x v="2"/>
    <n v="8"/>
    <x v="0"/>
    <n v="0"/>
    <n v="28500"/>
    <n v="0"/>
  </r>
  <r>
    <n v="2020"/>
    <x v="2"/>
    <n v="8"/>
    <x v="1"/>
    <n v="0"/>
    <n v="28500"/>
    <n v="0"/>
  </r>
  <r>
    <n v="2020"/>
    <x v="2"/>
    <n v="8"/>
    <x v="2"/>
    <n v="0"/>
    <n v="28500"/>
    <n v="0"/>
  </r>
  <r>
    <n v="2020"/>
    <x v="2"/>
    <n v="8"/>
    <x v="3"/>
    <n v="0"/>
    <n v="28500"/>
    <n v="0"/>
  </r>
  <r>
    <n v="2020"/>
    <x v="2"/>
    <n v="8"/>
    <x v="4"/>
    <n v="0"/>
    <n v="28500"/>
    <n v="0"/>
  </r>
  <r>
    <n v="2020"/>
    <x v="2"/>
    <n v="8"/>
    <x v="5"/>
    <n v="0"/>
    <n v="28500"/>
    <n v="0"/>
  </r>
  <r>
    <n v="2020"/>
    <x v="2"/>
    <n v="8"/>
    <x v="6"/>
    <n v="0"/>
    <n v="28500"/>
    <n v="0"/>
  </r>
  <r>
    <n v="2020"/>
    <x v="2"/>
    <n v="8"/>
    <x v="7"/>
    <n v="1171"/>
    <n v="28500"/>
    <n v="4.1087719298245617E-2"/>
  </r>
  <r>
    <n v="2020"/>
    <x v="2"/>
    <n v="8"/>
    <x v="8"/>
    <n v="14084"/>
    <n v="28500"/>
    <n v="0.49417543859649121"/>
  </r>
  <r>
    <n v="2020"/>
    <x v="2"/>
    <n v="8"/>
    <x v="9"/>
    <n v="4564.5"/>
    <n v="28500"/>
    <n v="0.16015789473684211"/>
  </r>
  <r>
    <n v="2020"/>
    <x v="2"/>
    <n v="8"/>
    <x v="10"/>
    <n v="23493"/>
    <n v="28500"/>
    <n v="0.82431578947368422"/>
  </r>
  <r>
    <n v="2020"/>
    <x v="2"/>
    <n v="8"/>
    <x v="11"/>
    <n v="27454.5"/>
    <n v="28500"/>
    <n v="0.96331578947368424"/>
  </r>
  <r>
    <n v="2020"/>
    <x v="2"/>
    <n v="8"/>
    <x v="12"/>
    <n v="12367.5"/>
    <n v="28500"/>
    <n v="0.43394736842105264"/>
  </r>
  <r>
    <n v="2020"/>
    <x v="2"/>
    <n v="8"/>
    <x v="13"/>
    <n v="6399"/>
    <n v="28500"/>
    <n v="0.22452631578947368"/>
  </r>
  <r>
    <n v="2020"/>
    <x v="2"/>
    <n v="8"/>
    <x v="14"/>
    <n v="11456.5"/>
    <n v="28500"/>
    <n v="0.40198245614035089"/>
  </r>
  <r>
    <n v="2020"/>
    <x v="2"/>
    <n v="8"/>
    <x v="15"/>
    <n v="22566"/>
    <n v="28500"/>
    <n v="0.79178947368421049"/>
  </r>
  <r>
    <n v="2020"/>
    <x v="2"/>
    <n v="8"/>
    <x v="16"/>
    <n v="6939"/>
    <n v="28500"/>
    <n v="0.24347368421052631"/>
  </r>
  <r>
    <n v="2020"/>
    <x v="2"/>
    <n v="8"/>
    <x v="17"/>
    <n v="3469.5"/>
    <n v="28500"/>
    <n v="0.12173684210526316"/>
  </r>
  <r>
    <n v="2020"/>
    <x v="2"/>
    <n v="8"/>
    <x v="18"/>
    <n v="0"/>
    <n v="28500"/>
    <n v="0"/>
  </r>
  <r>
    <n v="2020"/>
    <x v="2"/>
    <n v="8"/>
    <x v="19"/>
    <n v="0"/>
    <n v="28500"/>
    <n v="0"/>
  </r>
  <r>
    <n v="2020"/>
    <x v="2"/>
    <n v="8"/>
    <x v="20"/>
    <n v="0"/>
    <n v="28500"/>
    <n v="0"/>
  </r>
  <r>
    <n v="2020"/>
    <x v="2"/>
    <n v="8"/>
    <x v="21"/>
    <n v="0"/>
    <n v="28500"/>
    <n v="0"/>
  </r>
  <r>
    <n v="2020"/>
    <x v="2"/>
    <n v="8"/>
    <x v="22"/>
    <n v="0"/>
    <n v="28500"/>
    <n v="0"/>
  </r>
  <r>
    <n v="2020"/>
    <x v="2"/>
    <n v="8"/>
    <x v="23"/>
    <n v="0"/>
    <n v="28500"/>
    <n v="0"/>
  </r>
  <r>
    <n v="2020"/>
    <x v="2"/>
    <n v="9"/>
    <x v="0"/>
    <n v="0"/>
    <n v="28500"/>
    <n v="0"/>
  </r>
  <r>
    <n v="2020"/>
    <x v="2"/>
    <n v="9"/>
    <x v="1"/>
    <n v="0"/>
    <n v="28500"/>
    <n v="0"/>
  </r>
  <r>
    <n v="2020"/>
    <x v="2"/>
    <n v="9"/>
    <x v="2"/>
    <n v="0"/>
    <n v="28500"/>
    <n v="0"/>
  </r>
  <r>
    <n v="2020"/>
    <x v="2"/>
    <n v="9"/>
    <x v="3"/>
    <n v="0"/>
    <n v="28500"/>
    <n v="0"/>
  </r>
  <r>
    <n v="2020"/>
    <x v="2"/>
    <n v="9"/>
    <x v="4"/>
    <n v="0"/>
    <n v="28500"/>
    <n v="0"/>
  </r>
  <r>
    <n v="2020"/>
    <x v="2"/>
    <n v="9"/>
    <x v="5"/>
    <n v="0"/>
    <n v="28500"/>
    <n v="0"/>
  </r>
  <r>
    <n v="2020"/>
    <x v="2"/>
    <n v="9"/>
    <x v="6"/>
    <n v="0"/>
    <n v="28500"/>
    <n v="0"/>
  </r>
  <r>
    <n v="2020"/>
    <x v="2"/>
    <n v="9"/>
    <x v="7"/>
    <n v="4169.5"/>
    <n v="28500"/>
    <n v="0.14629824561403509"/>
  </r>
  <r>
    <n v="2020"/>
    <x v="2"/>
    <n v="9"/>
    <x v="8"/>
    <n v="16956"/>
    <n v="28500"/>
    <n v="0.59494736842105267"/>
  </r>
  <r>
    <n v="2020"/>
    <x v="2"/>
    <n v="9"/>
    <x v="9"/>
    <n v="27526.5"/>
    <n v="28500"/>
    <n v="0.96584210526315795"/>
  </r>
  <r>
    <n v="2020"/>
    <x v="2"/>
    <n v="9"/>
    <x v="10"/>
    <n v="28548"/>
    <n v="28500"/>
    <n v="1.0016842105263157"/>
  </r>
  <r>
    <n v="2020"/>
    <x v="2"/>
    <n v="9"/>
    <x v="11"/>
    <n v="5902"/>
    <n v="28500"/>
    <n v="0.20708771929824563"/>
  </r>
  <r>
    <n v="2020"/>
    <x v="2"/>
    <n v="9"/>
    <x v="12"/>
    <n v="20421"/>
    <n v="28500"/>
    <n v="0.71652631578947368"/>
  </r>
  <r>
    <n v="2020"/>
    <x v="2"/>
    <n v="9"/>
    <x v="13"/>
    <n v="17292.5"/>
    <n v="28500"/>
    <n v="0.60675438596491227"/>
  </r>
  <r>
    <n v="2020"/>
    <x v="2"/>
    <n v="9"/>
    <x v="14"/>
    <n v="15792.5"/>
    <n v="28500"/>
    <n v="0.55412280701754391"/>
  </r>
  <r>
    <n v="2020"/>
    <x v="2"/>
    <n v="9"/>
    <x v="15"/>
    <n v="8355"/>
    <n v="28500"/>
    <n v="0.29315789473684212"/>
  </r>
  <r>
    <n v="2020"/>
    <x v="2"/>
    <n v="9"/>
    <x v="16"/>
    <n v="1291"/>
    <n v="28500"/>
    <n v="4.5298245614035088E-2"/>
  </r>
  <r>
    <n v="2020"/>
    <x v="2"/>
    <n v="9"/>
    <x v="17"/>
    <n v="657"/>
    <n v="28500"/>
    <n v="2.305263157894737E-2"/>
  </r>
  <r>
    <n v="2020"/>
    <x v="2"/>
    <n v="9"/>
    <x v="18"/>
    <n v="0"/>
    <n v="28500"/>
    <n v="0"/>
  </r>
  <r>
    <n v="2020"/>
    <x v="2"/>
    <n v="9"/>
    <x v="19"/>
    <n v="0"/>
    <n v="28500"/>
    <n v="0"/>
  </r>
  <r>
    <n v="2020"/>
    <x v="2"/>
    <n v="9"/>
    <x v="20"/>
    <n v="0"/>
    <n v="28500"/>
    <n v="0"/>
  </r>
  <r>
    <n v="2020"/>
    <x v="2"/>
    <n v="9"/>
    <x v="21"/>
    <n v="0"/>
    <n v="28500"/>
    <n v="0"/>
  </r>
  <r>
    <n v="2020"/>
    <x v="2"/>
    <n v="9"/>
    <x v="22"/>
    <n v="0"/>
    <n v="28500"/>
    <n v="0"/>
  </r>
  <r>
    <n v="2020"/>
    <x v="2"/>
    <n v="9"/>
    <x v="23"/>
    <n v="0"/>
    <n v="28500"/>
    <n v="0"/>
  </r>
  <r>
    <n v="2020"/>
    <x v="2"/>
    <n v="10"/>
    <x v="0"/>
    <n v="0"/>
    <n v="28500"/>
    <n v="0"/>
  </r>
  <r>
    <n v="2020"/>
    <x v="2"/>
    <n v="10"/>
    <x v="1"/>
    <n v="0"/>
    <n v="28500"/>
    <n v="0"/>
  </r>
  <r>
    <n v="2020"/>
    <x v="2"/>
    <n v="10"/>
    <x v="2"/>
    <n v="0"/>
    <n v="28500"/>
    <n v="0"/>
  </r>
  <r>
    <n v="2020"/>
    <x v="2"/>
    <n v="10"/>
    <x v="3"/>
    <n v="0"/>
    <n v="28500"/>
    <n v="0"/>
  </r>
  <r>
    <n v="2020"/>
    <x v="2"/>
    <n v="10"/>
    <x v="4"/>
    <n v="0"/>
    <n v="28500"/>
    <n v="0"/>
  </r>
  <r>
    <n v="2020"/>
    <x v="2"/>
    <n v="10"/>
    <x v="5"/>
    <n v="0"/>
    <n v="28500"/>
    <n v="0"/>
  </r>
  <r>
    <n v="2020"/>
    <x v="2"/>
    <n v="10"/>
    <x v="6"/>
    <n v="0"/>
    <n v="28500"/>
    <n v="0"/>
  </r>
  <r>
    <n v="2020"/>
    <x v="2"/>
    <n v="10"/>
    <x v="7"/>
    <n v="1013.5"/>
    <n v="28500"/>
    <n v="3.5561403508771933E-2"/>
  </r>
  <r>
    <n v="2020"/>
    <x v="2"/>
    <n v="10"/>
    <x v="8"/>
    <n v="3446.5"/>
    <n v="28500"/>
    <n v="0.12092982456140351"/>
  </r>
  <r>
    <n v="2020"/>
    <x v="2"/>
    <n v="10"/>
    <x v="9"/>
    <n v="5137.5"/>
    <n v="28500"/>
    <n v="0.18026315789473685"/>
  </r>
  <r>
    <n v="2020"/>
    <x v="2"/>
    <n v="10"/>
    <x v="10"/>
    <n v="8248"/>
    <n v="28500"/>
    <n v="0.28940350877192983"/>
  </r>
  <r>
    <n v="2020"/>
    <x v="2"/>
    <n v="10"/>
    <x v="11"/>
    <n v="7118.5"/>
    <n v="28500"/>
    <n v="0.2497719298245614"/>
  </r>
  <r>
    <n v="2020"/>
    <x v="2"/>
    <n v="10"/>
    <x v="12"/>
    <n v="5730"/>
    <n v="28500"/>
    <n v="0.20105263157894737"/>
  </r>
  <r>
    <n v="2020"/>
    <x v="2"/>
    <n v="10"/>
    <x v="13"/>
    <n v="8380"/>
    <n v="28500"/>
    <n v="0.29403508771929826"/>
  </r>
  <r>
    <n v="2020"/>
    <x v="2"/>
    <n v="10"/>
    <x v="14"/>
    <n v="10855"/>
    <n v="28500"/>
    <n v="0.38087719298245615"/>
  </r>
  <r>
    <n v="2020"/>
    <x v="2"/>
    <n v="10"/>
    <x v="15"/>
    <n v="3134"/>
    <n v="28500"/>
    <n v="0.10996491228070175"/>
  </r>
  <r>
    <n v="2020"/>
    <x v="2"/>
    <n v="10"/>
    <x v="16"/>
    <n v="4153.5"/>
    <n v="28500"/>
    <n v="0.14573684210526316"/>
  </r>
  <r>
    <n v="2020"/>
    <x v="2"/>
    <n v="10"/>
    <x v="17"/>
    <n v="324"/>
    <n v="28500"/>
    <n v="1.136842105263158E-2"/>
  </r>
  <r>
    <n v="2020"/>
    <x v="2"/>
    <n v="10"/>
    <x v="18"/>
    <n v="0"/>
    <n v="28500"/>
    <n v="0"/>
  </r>
  <r>
    <n v="2020"/>
    <x v="2"/>
    <n v="10"/>
    <x v="19"/>
    <n v="0"/>
    <n v="28500"/>
    <n v="0"/>
  </r>
  <r>
    <n v="2020"/>
    <x v="2"/>
    <n v="10"/>
    <x v="20"/>
    <n v="0"/>
    <n v="28500"/>
    <n v="0"/>
  </r>
  <r>
    <n v="2020"/>
    <x v="2"/>
    <n v="10"/>
    <x v="21"/>
    <n v="0"/>
    <n v="28500"/>
    <n v="0"/>
  </r>
  <r>
    <n v="2020"/>
    <x v="2"/>
    <n v="10"/>
    <x v="22"/>
    <n v="0"/>
    <n v="28500"/>
    <n v="0"/>
  </r>
  <r>
    <n v="2020"/>
    <x v="2"/>
    <n v="10"/>
    <x v="23"/>
    <n v="0"/>
    <n v="28500"/>
    <n v="0"/>
  </r>
  <r>
    <n v="2020"/>
    <x v="2"/>
    <n v="11"/>
    <x v="0"/>
    <n v="0"/>
    <n v="28500"/>
    <n v="0"/>
  </r>
  <r>
    <n v="2020"/>
    <x v="2"/>
    <n v="11"/>
    <x v="1"/>
    <n v="0"/>
    <n v="28500"/>
    <n v="0"/>
  </r>
  <r>
    <n v="2020"/>
    <x v="2"/>
    <n v="11"/>
    <x v="2"/>
    <n v="0"/>
    <n v="28500"/>
    <n v="0"/>
  </r>
  <r>
    <n v="2020"/>
    <x v="2"/>
    <n v="11"/>
    <x v="3"/>
    <n v="0"/>
    <n v="28500"/>
    <n v="0"/>
  </r>
  <r>
    <n v="2020"/>
    <x v="2"/>
    <n v="11"/>
    <x v="4"/>
    <n v="0"/>
    <n v="28500"/>
    <n v="0"/>
  </r>
  <r>
    <n v="2020"/>
    <x v="2"/>
    <n v="11"/>
    <x v="5"/>
    <n v="0"/>
    <n v="28500"/>
    <n v="0"/>
  </r>
  <r>
    <n v="2020"/>
    <x v="2"/>
    <n v="11"/>
    <x v="6"/>
    <n v="0"/>
    <n v="28500"/>
    <n v="0"/>
  </r>
  <r>
    <n v="2020"/>
    <x v="2"/>
    <n v="11"/>
    <x v="7"/>
    <n v="1241.5"/>
    <n v="28500"/>
    <n v="4.3561403508771933E-2"/>
  </r>
  <r>
    <n v="2020"/>
    <x v="2"/>
    <n v="11"/>
    <x v="8"/>
    <n v="4502.5"/>
    <n v="28500"/>
    <n v="0.15798245614035089"/>
  </r>
  <r>
    <n v="2020"/>
    <x v="2"/>
    <n v="11"/>
    <x v="9"/>
    <n v="6426.5"/>
    <n v="28500"/>
    <n v="0.22549122807017544"/>
  </r>
  <r>
    <n v="2020"/>
    <x v="2"/>
    <n v="11"/>
    <x v="10"/>
    <n v="6467.5"/>
    <n v="28500"/>
    <n v="0.22692982456140351"/>
  </r>
  <r>
    <n v="2020"/>
    <x v="2"/>
    <n v="11"/>
    <x v="11"/>
    <n v="37293.5"/>
    <n v="28500"/>
    <n v="1.3085438596491228"/>
  </r>
  <r>
    <n v="2020"/>
    <x v="2"/>
    <n v="11"/>
    <x v="12"/>
    <n v="33373"/>
    <n v="28500"/>
    <n v="1.1709824561403508"/>
  </r>
  <r>
    <n v="2020"/>
    <x v="2"/>
    <n v="11"/>
    <x v="13"/>
    <n v="38030"/>
    <n v="28500"/>
    <n v="1.3343859649122807"/>
  </r>
  <r>
    <n v="2020"/>
    <x v="2"/>
    <n v="11"/>
    <x v="14"/>
    <n v="24680"/>
    <n v="28500"/>
    <n v="0.86596491228070172"/>
  </r>
  <r>
    <n v="2020"/>
    <x v="2"/>
    <n v="11"/>
    <x v="15"/>
    <n v="26593.5"/>
    <n v="28500"/>
    <n v="0.93310526315789477"/>
  </r>
  <r>
    <n v="2020"/>
    <x v="2"/>
    <n v="11"/>
    <x v="16"/>
    <n v="15298.5"/>
    <n v="28500"/>
    <n v="0.53678947368421048"/>
  </r>
  <r>
    <n v="2020"/>
    <x v="2"/>
    <n v="11"/>
    <x v="17"/>
    <n v="4129.5"/>
    <n v="28500"/>
    <n v="0.14489473684210527"/>
  </r>
  <r>
    <n v="2020"/>
    <x v="2"/>
    <n v="11"/>
    <x v="18"/>
    <n v="0"/>
    <n v="28500"/>
    <n v="0"/>
  </r>
  <r>
    <n v="2020"/>
    <x v="2"/>
    <n v="11"/>
    <x v="19"/>
    <n v="0"/>
    <n v="28500"/>
    <n v="0"/>
  </r>
  <r>
    <n v="2020"/>
    <x v="2"/>
    <n v="11"/>
    <x v="20"/>
    <n v="0"/>
    <n v="28500"/>
    <n v="0"/>
  </r>
  <r>
    <n v="2020"/>
    <x v="2"/>
    <n v="11"/>
    <x v="21"/>
    <n v="0"/>
    <n v="28500"/>
    <n v="0"/>
  </r>
  <r>
    <n v="2020"/>
    <x v="2"/>
    <n v="11"/>
    <x v="22"/>
    <n v="0"/>
    <n v="28500"/>
    <n v="0"/>
  </r>
  <r>
    <n v="2020"/>
    <x v="2"/>
    <n v="11"/>
    <x v="23"/>
    <n v="0"/>
    <n v="28500"/>
    <n v="0"/>
  </r>
  <r>
    <n v="2020"/>
    <x v="2"/>
    <n v="12"/>
    <x v="0"/>
    <n v="0"/>
    <n v="28500"/>
    <n v="0"/>
  </r>
  <r>
    <n v="2020"/>
    <x v="2"/>
    <n v="12"/>
    <x v="1"/>
    <n v="0"/>
    <n v="28500"/>
    <n v="0"/>
  </r>
  <r>
    <n v="2020"/>
    <x v="2"/>
    <n v="12"/>
    <x v="2"/>
    <n v="0"/>
    <n v="28500"/>
    <n v="0"/>
  </r>
  <r>
    <n v="2020"/>
    <x v="2"/>
    <n v="12"/>
    <x v="3"/>
    <n v="0"/>
    <n v="28500"/>
    <n v="0"/>
  </r>
  <r>
    <n v="2020"/>
    <x v="2"/>
    <n v="12"/>
    <x v="4"/>
    <n v="0"/>
    <n v="28500"/>
    <n v="0"/>
  </r>
  <r>
    <n v="2020"/>
    <x v="2"/>
    <n v="12"/>
    <x v="5"/>
    <n v="0"/>
    <n v="28500"/>
    <n v="0"/>
  </r>
  <r>
    <n v="2020"/>
    <x v="2"/>
    <n v="12"/>
    <x v="6"/>
    <n v="0"/>
    <n v="28500"/>
    <n v="0"/>
  </r>
  <r>
    <n v="2020"/>
    <x v="2"/>
    <n v="12"/>
    <x v="7"/>
    <n v="5309"/>
    <n v="28500"/>
    <n v="0.18628070175438596"/>
  </r>
  <r>
    <n v="2020"/>
    <x v="2"/>
    <n v="12"/>
    <x v="8"/>
    <n v="18048.5"/>
    <n v="28500"/>
    <n v="0.633280701754386"/>
  </r>
  <r>
    <n v="2020"/>
    <x v="2"/>
    <n v="12"/>
    <x v="9"/>
    <n v="27809.5"/>
    <n v="28500"/>
    <n v="0.9757719298245614"/>
  </r>
  <r>
    <n v="2020"/>
    <x v="2"/>
    <n v="12"/>
    <x v="10"/>
    <n v="12200.5"/>
    <n v="28500"/>
    <n v="0.42808771929824563"/>
  </r>
  <r>
    <n v="2020"/>
    <x v="2"/>
    <n v="12"/>
    <x v="11"/>
    <n v="34860.5"/>
    <n v="28500"/>
    <n v="1.2231754385964912"/>
  </r>
  <r>
    <n v="2020"/>
    <x v="2"/>
    <n v="12"/>
    <x v="12"/>
    <n v="31899.5"/>
    <n v="28500"/>
    <n v="1.119280701754386"/>
  </r>
  <r>
    <n v="2020"/>
    <x v="2"/>
    <n v="12"/>
    <x v="13"/>
    <n v="38153"/>
    <n v="28500"/>
    <n v="1.3387017543859649"/>
  </r>
  <r>
    <n v="2020"/>
    <x v="2"/>
    <n v="12"/>
    <x v="14"/>
    <n v="9657.5"/>
    <n v="28500"/>
    <n v="0.33885964912280703"/>
  </r>
  <r>
    <n v="2020"/>
    <x v="2"/>
    <n v="12"/>
    <x v="15"/>
    <n v="18220"/>
    <n v="28500"/>
    <n v="0.63929824561403503"/>
  </r>
  <r>
    <n v="2020"/>
    <x v="2"/>
    <n v="12"/>
    <x v="16"/>
    <n v="9188"/>
    <n v="28500"/>
    <n v="0.32238596491228072"/>
  </r>
  <r>
    <n v="2020"/>
    <x v="2"/>
    <n v="12"/>
    <x v="17"/>
    <n v="4805.5"/>
    <n v="28500"/>
    <n v="0.1686140350877193"/>
  </r>
  <r>
    <n v="2020"/>
    <x v="2"/>
    <n v="12"/>
    <x v="18"/>
    <n v="0"/>
    <n v="28500"/>
    <n v="0"/>
  </r>
  <r>
    <n v="2020"/>
    <x v="2"/>
    <n v="12"/>
    <x v="19"/>
    <n v="0"/>
    <n v="28500"/>
    <n v="0"/>
  </r>
  <r>
    <n v="2020"/>
    <x v="2"/>
    <n v="12"/>
    <x v="20"/>
    <n v="0"/>
    <n v="28500"/>
    <n v="0"/>
  </r>
  <r>
    <n v="2020"/>
    <x v="2"/>
    <n v="12"/>
    <x v="21"/>
    <n v="0"/>
    <n v="28500"/>
    <n v="0"/>
  </r>
  <r>
    <n v="2020"/>
    <x v="2"/>
    <n v="12"/>
    <x v="22"/>
    <n v="0"/>
    <n v="28500"/>
    <n v="0"/>
  </r>
  <r>
    <n v="2020"/>
    <x v="2"/>
    <n v="12"/>
    <x v="23"/>
    <n v="0"/>
    <n v="28500"/>
    <n v="0"/>
  </r>
  <r>
    <n v="2020"/>
    <x v="2"/>
    <n v="13"/>
    <x v="0"/>
    <n v="0"/>
    <n v="28500"/>
    <n v="0"/>
  </r>
  <r>
    <n v="2020"/>
    <x v="2"/>
    <n v="13"/>
    <x v="1"/>
    <n v="0"/>
    <n v="28500"/>
    <n v="0"/>
  </r>
  <r>
    <n v="2020"/>
    <x v="2"/>
    <n v="13"/>
    <x v="2"/>
    <n v="0"/>
    <n v="28500"/>
    <n v="0"/>
  </r>
  <r>
    <n v="2020"/>
    <x v="2"/>
    <n v="13"/>
    <x v="3"/>
    <n v="0"/>
    <n v="28500"/>
    <n v="0"/>
  </r>
  <r>
    <n v="2020"/>
    <x v="2"/>
    <n v="13"/>
    <x v="4"/>
    <n v="0"/>
    <n v="28500"/>
    <n v="0"/>
  </r>
  <r>
    <n v="2020"/>
    <x v="2"/>
    <n v="13"/>
    <x v="5"/>
    <n v="0"/>
    <n v="28500"/>
    <n v="0"/>
  </r>
  <r>
    <n v="2020"/>
    <x v="2"/>
    <n v="13"/>
    <x v="6"/>
    <n v="0"/>
    <n v="28500"/>
    <n v="0"/>
  </r>
  <r>
    <n v="2020"/>
    <x v="2"/>
    <n v="13"/>
    <x v="7"/>
    <n v="4891"/>
    <n v="28500"/>
    <n v="0.1716140350877193"/>
  </r>
  <r>
    <n v="2020"/>
    <x v="2"/>
    <n v="13"/>
    <x v="8"/>
    <n v="17498.5"/>
    <n v="28500"/>
    <n v="0.61398245614035085"/>
  </r>
  <r>
    <n v="2020"/>
    <x v="2"/>
    <n v="13"/>
    <x v="9"/>
    <n v="8365.5"/>
    <n v="28500"/>
    <n v="0.29352631578947369"/>
  </r>
  <r>
    <n v="2020"/>
    <x v="2"/>
    <n v="13"/>
    <x v="10"/>
    <n v="4245"/>
    <n v="28500"/>
    <n v="0.14894736842105263"/>
  </r>
  <r>
    <n v="2020"/>
    <x v="2"/>
    <n v="13"/>
    <x v="11"/>
    <n v="6789.5"/>
    <n v="28500"/>
    <n v="0.23822807017543859"/>
  </r>
  <r>
    <n v="2020"/>
    <x v="2"/>
    <n v="13"/>
    <x v="12"/>
    <n v="18789"/>
    <n v="28500"/>
    <n v="0.65926315789473688"/>
  </r>
  <r>
    <n v="2020"/>
    <x v="2"/>
    <n v="13"/>
    <x v="13"/>
    <n v="27373"/>
    <n v="28500"/>
    <n v="0.96045614035087723"/>
  </r>
  <r>
    <n v="2020"/>
    <x v="2"/>
    <n v="13"/>
    <x v="14"/>
    <n v="19580"/>
    <n v="28500"/>
    <n v="0.68701754385964908"/>
  </r>
  <r>
    <n v="2020"/>
    <x v="2"/>
    <n v="13"/>
    <x v="15"/>
    <n v="24468"/>
    <n v="28500"/>
    <n v="0.85852631578947369"/>
  </r>
  <r>
    <n v="2020"/>
    <x v="2"/>
    <n v="13"/>
    <x v="16"/>
    <n v="8771"/>
    <n v="28500"/>
    <n v="0.30775438596491228"/>
  </r>
  <r>
    <n v="2020"/>
    <x v="2"/>
    <n v="13"/>
    <x v="17"/>
    <n v="4346"/>
    <n v="28500"/>
    <n v="0.15249122807017543"/>
  </r>
  <r>
    <n v="2020"/>
    <x v="2"/>
    <n v="13"/>
    <x v="18"/>
    <n v="0"/>
    <n v="28500"/>
    <n v="0"/>
  </r>
  <r>
    <n v="2020"/>
    <x v="2"/>
    <n v="13"/>
    <x v="19"/>
    <n v="0"/>
    <n v="28500"/>
    <n v="0"/>
  </r>
  <r>
    <n v="2020"/>
    <x v="2"/>
    <n v="13"/>
    <x v="20"/>
    <n v="0"/>
    <n v="28500"/>
    <n v="0"/>
  </r>
  <r>
    <n v="2020"/>
    <x v="2"/>
    <n v="13"/>
    <x v="21"/>
    <n v="0"/>
    <n v="28500"/>
    <n v="0"/>
  </r>
  <r>
    <n v="2020"/>
    <x v="2"/>
    <n v="13"/>
    <x v="22"/>
    <n v="0"/>
    <n v="28500"/>
    <n v="0"/>
  </r>
  <r>
    <n v="2020"/>
    <x v="2"/>
    <n v="13"/>
    <x v="23"/>
    <n v="0"/>
    <n v="28500"/>
    <n v="0"/>
  </r>
  <r>
    <n v="2020"/>
    <x v="2"/>
    <n v="14"/>
    <x v="0"/>
    <n v="0"/>
    <n v="28500"/>
    <n v="0"/>
  </r>
  <r>
    <n v="2020"/>
    <x v="2"/>
    <n v="14"/>
    <x v="1"/>
    <n v="0"/>
    <n v="28500"/>
    <n v="0"/>
  </r>
  <r>
    <n v="2020"/>
    <x v="2"/>
    <n v="14"/>
    <x v="2"/>
    <n v="0"/>
    <n v="28500"/>
    <n v="0"/>
  </r>
  <r>
    <n v="2020"/>
    <x v="2"/>
    <n v="14"/>
    <x v="3"/>
    <n v="0"/>
    <n v="28500"/>
    <n v="0"/>
  </r>
  <r>
    <n v="2020"/>
    <x v="2"/>
    <n v="14"/>
    <x v="4"/>
    <n v="0"/>
    <n v="28500"/>
    <n v="0"/>
  </r>
  <r>
    <n v="2020"/>
    <x v="2"/>
    <n v="14"/>
    <x v="5"/>
    <n v="0"/>
    <n v="28500"/>
    <n v="0"/>
  </r>
  <r>
    <n v="2020"/>
    <x v="2"/>
    <n v="14"/>
    <x v="6"/>
    <n v="0"/>
    <n v="28500"/>
    <n v="0"/>
  </r>
  <r>
    <n v="2020"/>
    <x v="2"/>
    <n v="14"/>
    <x v="7"/>
    <n v="1743"/>
    <n v="28500"/>
    <n v="6.1157894736842106E-2"/>
  </r>
  <r>
    <n v="2020"/>
    <x v="2"/>
    <n v="14"/>
    <x v="8"/>
    <n v="2154.5"/>
    <n v="28500"/>
    <n v="7.5596491228070176E-2"/>
  </r>
  <r>
    <n v="2020"/>
    <x v="2"/>
    <n v="14"/>
    <x v="9"/>
    <n v="10713"/>
    <n v="28500"/>
    <n v="0.37589473684210528"/>
  </r>
  <r>
    <n v="2020"/>
    <x v="2"/>
    <n v="14"/>
    <x v="10"/>
    <n v="28019"/>
    <n v="28500"/>
    <n v="0.98312280701754384"/>
  </r>
  <r>
    <n v="2020"/>
    <x v="2"/>
    <n v="14"/>
    <x v="11"/>
    <n v="18709.5"/>
    <n v="28500"/>
    <n v="0.65647368421052632"/>
  </r>
  <r>
    <n v="2020"/>
    <x v="2"/>
    <n v="14"/>
    <x v="12"/>
    <n v="12782.5"/>
    <n v="28500"/>
    <n v="0.44850877192982458"/>
  </r>
  <r>
    <n v="2020"/>
    <x v="2"/>
    <n v="14"/>
    <x v="13"/>
    <n v="13334"/>
    <n v="28500"/>
    <n v="0.46785964912280703"/>
  </r>
  <r>
    <n v="2020"/>
    <x v="2"/>
    <n v="14"/>
    <x v="14"/>
    <n v="6722"/>
    <n v="28500"/>
    <n v="0.23585964912280702"/>
  </r>
  <r>
    <n v="2020"/>
    <x v="2"/>
    <n v="14"/>
    <x v="15"/>
    <n v="7121"/>
    <n v="28500"/>
    <n v="0.249859649122807"/>
  </r>
  <r>
    <n v="2020"/>
    <x v="2"/>
    <n v="14"/>
    <x v="16"/>
    <n v="6200"/>
    <n v="28500"/>
    <n v="0.21754385964912282"/>
  </r>
  <r>
    <n v="2020"/>
    <x v="2"/>
    <n v="14"/>
    <x v="17"/>
    <n v="832.5"/>
    <n v="28500"/>
    <n v="2.9210526315789475E-2"/>
  </r>
  <r>
    <n v="2020"/>
    <x v="2"/>
    <n v="14"/>
    <x v="18"/>
    <n v="0"/>
    <n v="28500"/>
    <n v="0"/>
  </r>
  <r>
    <n v="2020"/>
    <x v="2"/>
    <n v="14"/>
    <x v="19"/>
    <n v="0"/>
    <n v="28500"/>
    <n v="0"/>
  </r>
  <r>
    <n v="2020"/>
    <x v="2"/>
    <n v="14"/>
    <x v="20"/>
    <n v="0"/>
    <n v="28500"/>
    <n v="0"/>
  </r>
  <r>
    <n v="2020"/>
    <x v="2"/>
    <n v="14"/>
    <x v="21"/>
    <n v="0"/>
    <n v="28500"/>
    <n v="0"/>
  </r>
  <r>
    <n v="2020"/>
    <x v="2"/>
    <n v="14"/>
    <x v="22"/>
    <n v="0"/>
    <n v="28500"/>
    <n v="0"/>
  </r>
  <r>
    <n v="2020"/>
    <x v="2"/>
    <n v="14"/>
    <x v="23"/>
    <n v="0"/>
    <n v="28500"/>
    <n v="0"/>
  </r>
  <r>
    <n v="2020"/>
    <x v="2"/>
    <n v="15"/>
    <x v="0"/>
    <n v="0"/>
    <n v="28500"/>
    <n v="0"/>
  </r>
  <r>
    <n v="2020"/>
    <x v="2"/>
    <n v="15"/>
    <x v="1"/>
    <n v="0"/>
    <n v="28500"/>
    <n v="0"/>
  </r>
  <r>
    <n v="2020"/>
    <x v="2"/>
    <n v="15"/>
    <x v="2"/>
    <n v="0"/>
    <n v="28500"/>
    <n v="0"/>
  </r>
  <r>
    <n v="2020"/>
    <x v="2"/>
    <n v="15"/>
    <x v="3"/>
    <n v="0"/>
    <n v="28500"/>
    <n v="0"/>
  </r>
  <r>
    <n v="2020"/>
    <x v="2"/>
    <n v="15"/>
    <x v="4"/>
    <n v="0"/>
    <n v="28500"/>
    <n v="0"/>
  </r>
  <r>
    <n v="2020"/>
    <x v="2"/>
    <n v="15"/>
    <x v="5"/>
    <n v="0"/>
    <n v="28500"/>
    <n v="0"/>
  </r>
  <r>
    <n v="2020"/>
    <x v="2"/>
    <n v="15"/>
    <x v="6"/>
    <n v="0"/>
    <n v="28500"/>
    <n v="0"/>
  </r>
  <r>
    <n v="2020"/>
    <x v="2"/>
    <n v="15"/>
    <x v="7"/>
    <n v="5767"/>
    <n v="28500"/>
    <n v="0.20235087719298245"/>
  </r>
  <r>
    <n v="2020"/>
    <x v="2"/>
    <n v="15"/>
    <x v="8"/>
    <n v="5303"/>
    <n v="28500"/>
    <n v="0.1860701754385965"/>
  </r>
  <r>
    <n v="2020"/>
    <x v="2"/>
    <n v="15"/>
    <x v="9"/>
    <n v="4114"/>
    <n v="28500"/>
    <n v="0.14435087719298245"/>
  </r>
  <r>
    <n v="2020"/>
    <x v="2"/>
    <n v="15"/>
    <x v="10"/>
    <n v="6888.5"/>
    <n v="28500"/>
    <n v="0.24170175438596492"/>
  </r>
  <r>
    <n v="2020"/>
    <x v="2"/>
    <n v="15"/>
    <x v="11"/>
    <n v="14691.5"/>
    <n v="28500"/>
    <n v="0.51549122807017544"/>
  </r>
  <r>
    <n v="2020"/>
    <x v="2"/>
    <n v="15"/>
    <x v="12"/>
    <n v="3003.5"/>
    <n v="28500"/>
    <n v="0.10538596491228071"/>
  </r>
  <r>
    <n v="2020"/>
    <x v="2"/>
    <n v="15"/>
    <x v="13"/>
    <n v="4485"/>
    <n v="28500"/>
    <n v="0.15736842105263157"/>
  </r>
  <r>
    <n v="2020"/>
    <x v="2"/>
    <n v="15"/>
    <x v="14"/>
    <n v="2235"/>
    <n v="28500"/>
    <n v="7.8421052631578947E-2"/>
  </r>
  <r>
    <n v="2020"/>
    <x v="2"/>
    <n v="15"/>
    <x v="15"/>
    <n v="3816.5"/>
    <n v="28500"/>
    <n v="0.1339122807017544"/>
  </r>
  <r>
    <n v="2020"/>
    <x v="2"/>
    <n v="15"/>
    <x v="16"/>
    <n v="5971.5"/>
    <n v="28500"/>
    <n v="0.20952631578947367"/>
  </r>
  <r>
    <n v="2020"/>
    <x v="2"/>
    <n v="15"/>
    <x v="17"/>
    <n v="2321.5"/>
    <n v="28500"/>
    <n v="8.1456140350877199E-2"/>
  </r>
  <r>
    <n v="2020"/>
    <x v="2"/>
    <n v="15"/>
    <x v="18"/>
    <n v="0"/>
    <n v="28500"/>
    <n v="0"/>
  </r>
  <r>
    <n v="2020"/>
    <x v="2"/>
    <n v="15"/>
    <x v="19"/>
    <n v="0"/>
    <n v="28500"/>
    <n v="0"/>
  </r>
  <r>
    <n v="2020"/>
    <x v="2"/>
    <n v="15"/>
    <x v="20"/>
    <n v="0"/>
    <n v="28500"/>
    <n v="0"/>
  </r>
  <r>
    <n v="2020"/>
    <x v="2"/>
    <n v="15"/>
    <x v="21"/>
    <n v="0"/>
    <n v="28500"/>
    <n v="0"/>
  </r>
  <r>
    <n v="2020"/>
    <x v="2"/>
    <n v="15"/>
    <x v="22"/>
    <n v="0"/>
    <n v="28500"/>
    <n v="0"/>
  </r>
  <r>
    <n v="2020"/>
    <x v="2"/>
    <n v="15"/>
    <x v="23"/>
    <n v="0"/>
    <n v="28500"/>
    <n v="0"/>
  </r>
  <r>
    <n v="2020"/>
    <x v="2"/>
    <n v="16"/>
    <x v="0"/>
    <n v="0"/>
    <n v="28500"/>
    <n v="0"/>
  </r>
  <r>
    <n v="2020"/>
    <x v="2"/>
    <n v="16"/>
    <x v="1"/>
    <n v="0"/>
    <n v="28500"/>
    <n v="0"/>
  </r>
  <r>
    <n v="2020"/>
    <x v="2"/>
    <n v="16"/>
    <x v="2"/>
    <n v="0"/>
    <n v="28500"/>
    <n v="0"/>
  </r>
  <r>
    <n v="2020"/>
    <x v="2"/>
    <n v="16"/>
    <x v="3"/>
    <n v="0"/>
    <n v="28500"/>
    <n v="0"/>
  </r>
  <r>
    <n v="2020"/>
    <x v="2"/>
    <n v="16"/>
    <x v="4"/>
    <n v="0"/>
    <n v="28500"/>
    <n v="0"/>
  </r>
  <r>
    <n v="2020"/>
    <x v="2"/>
    <n v="16"/>
    <x v="5"/>
    <n v="0"/>
    <n v="28500"/>
    <n v="0"/>
  </r>
  <r>
    <n v="2020"/>
    <x v="2"/>
    <n v="16"/>
    <x v="6"/>
    <n v="0"/>
    <n v="28500"/>
    <n v="0"/>
  </r>
  <r>
    <n v="2020"/>
    <x v="2"/>
    <n v="16"/>
    <x v="7"/>
    <n v="6644.5"/>
    <n v="28500"/>
    <n v="0.23314035087719298"/>
  </r>
  <r>
    <n v="2020"/>
    <x v="2"/>
    <n v="16"/>
    <x v="8"/>
    <n v="18965.5"/>
    <n v="28500"/>
    <n v="0.66545614035087719"/>
  </r>
  <r>
    <n v="2020"/>
    <x v="2"/>
    <n v="16"/>
    <x v="9"/>
    <n v="29556.5"/>
    <n v="28500"/>
    <n v="1.0370701754385965"/>
  </r>
  <r>
    <n v="2020"/>
    <x v="2"/>
    <n v="16"/>
    <x v="10"/>
    <n v="33136.5"/>
    <n v="28500"/>
    <n v="1.1626842105263158"/>
  </r>
  <r>
    <n v="2020"/>
    <x v="2"/>
    <n v="16"/>
    <x v="11"/>
    <n v="31127.5"/>
    <n v="28500"/>
    <n v="1.0921929824561403"/>
  </r>
  <r>
    <n v="2020"/>
    <x v="2"/>
    <n v="16"/>
    <x v="12"/>
    <n v="41346"/>
    <n v="28500"/>
    <n v="1.4507368421052631"/>
  </r>
  <r>
    <n v="2020"/>
    <x v="2"/>
    <n v="16"/>
    <x v="13"/>
    <n v="38992.5"/>
    <n v="28500"/>
    <n v="1.368157894736842"/>
  </r>
  <r>
    <n v="2020"/>
    <x v="2"/>
    <n v="16"/>
    <x v="14"/>
    <n v="35904.5"/>
    <n v="28500"/>
    <n v="1.2598070175438596"/>
  </r>
  <r>
    <n v="2020"/>
    <x v="2"/>
    <n v="16"/>
    <x v="15"/>
    <n v="28459"/>
    <n v="28500"/>
    <n v="0.99856140350877198"/>
  </r>
  <r>
    <n v="2020"/>
    <x v="2"/>
    <n v="16"/>
    <x v="16"/>
    <n v="16527.5"/>
    <n v="28500"/>
    <n v="0.57991228070175438"/>
  </r>
  <r>
    <n v="2020"/>
    <x v="2"/>
    <n v="16"/>
    <x v="17"/>
    <n v="5553"/>
    <n v="28500"/>
    <n v="0.1948421052631579"/>
  </r>
  <r>
    <n v="2020"/>
    <x v="2"/>
    <n v="16"/>
    <x v="18"/>
    <n v="0"/>
    <n v="28500"/>
    <n v="0"/>
  </r>
  <r>
    <n v="2020"/>
    <x v="2"/>
    <n v="16"/>
    <x v="19"/>
    <n v="0"/>
    <n v="28500"/>
    <n v="0"/>
  </r>
  <r>
    <n v="2020"/>
    <x v="2"/>
    <n v="16"/>
    <x v="20"/>
    <n v="0"/>
    <n v="28500"/>
    <n v="0"/>
  </r>
  <r>
    <n v="2020"/>
    <x v="2"/>
    <n v="16"/>
    <x v="21"/>
    <n v="0"/>
    <n v="28500"/>
    <n v="0"/>
  </r>
  <r>
    <n v="2020"/>
    <x v="2"/>
    <n v="16"/>
    <x v="22"/>
    <n v="0"/>
    <n v="28500"/>
    <n v="0"/>
  </r>
  <r>
    <n v="2020"/>
    <x v="2"/>
    <n v="16"/>
    <x v="23"/>
    <n v="0"/>
    <n v="28500"/>
    <n v="0"/>
  </r>
  <r>
    <n v="2020"/>
    <x v="2"/>
    <n v="17"/>
    <x v="0"/>
    <n v="0"/>
    <n v="28500"/>
    <n v="0"/>
  </r>
  <r>
    <n v="2020"/>
    <x v="2"/>
    <n v="17"/>
    <x v="1"/>
    <n v="0"/>
    <n v="28500"/>
    <n v="0"/>
  </r>
  <r>
    <n v="2020"/>
    <x v="2"/>
    <n v="17"/>
    <x v="2"/>
    <n v="0"/>
    <n v="28500"/>
    <n v="0"/>
  </r>
  <r>
    <n v="2020"/>
    <x v="2"/>
    <n v="17"/>
    <x v="3"/>
    <n v="0"/>
    <n v="28500"/>
    <n v="0"/>
  </r>
  <r>
    <n v="2020"/>
    <x v="2"/>
    <n v="17"/>
    <x v="4"/>
    <n v="0"/>
    <n v="28500"/>
    <n v="0"/>
  </r>
  <r>
    <n v="2020"/>
    <x v="2"/>
    <n v="17"/>
    <x v="5"/>
    <n v="0"/>
    <n v="28500"/>
    <n v="0"/>
  </r>
  <r>
    <n v="2020"/>
    <x v="2"/>
    <n v="17"/>
    <x v="6"/>
    <n v="0"/>
    <n v="28500"/>
    <n v="0"/>
  </r>
  <r>
    <n v="2020"/>
    <x v="2"/>
    <n v="17"/>
    <x v="7"/>
    <n v="5562"/>
    <n v="28500"/>
    <n v="0.19515789473684211"/>
  </r>
  <r>
    <n v="2020"/>
    <x v="2"/>
    <n v="17"/>
    <x v="8"/>
    <n v="7184.5"/>
    <n v="28500"/>
    <n v="0.25208771929824564"/>
  </r>
  <r>
    <n v="2020"/>
    <x v="2"/>
    <n v="17"/>
    <x v="9"/>
    <n v="28104"/>
    <n v="28500"/>
    <n v="0.98610526315789471"/>
  </r>
  <r>
    <n v="2020"/>
    <x v="2"/>
    <n v="17"/>
    <x v="10"/>
    <n v="33247"/>
    <n v="28500"/>
    <n v="1.1665614035087719"/>
  </r>
  <r>
    <n v="2020"/>
    <x v="2"/>
    <n v="17"/>
    <x v="11"/>
    <n v="23366.5"/>
    <n v="28500"/>
    <n v="0.81987719298245609"/>
  </r>
  <r>
    <n v="2020"/>
    <x v="2"/>
    <n v="17"/>
    <x v="12"/>
    <n v="24630"/>
    <n v="28500"/>
    <n v="0.86421052631578943"/>
  </r>
  <r>
    <n v="2020"/>
    <x v="2"/>
    <n v="17"/>
    <x v="13"/>
    <n v="24694"/>
    <n v="28500"/>
    <n v="0.86645614035087715"/>
  </r>
  <r>
    <n v="2020"/>
    <x v="2"/>
    <n v="17"/>
    <x v="14"/>
    <n v="10724"/>
    <n v="28500"/>
    <n v="0.37628070175438594"/>
  </r>
  <r>
    <n v="2020"/>
    <x v="2"/>
    <n v="17"/>
    <x v="15"/>
    <n v="8949"/>
    <n v="28500"/>
    <n v="0.314"/>
  </r>
  <r>
    <n v="2020"/>
    <x v="2"/>
    <n v="17"/>
    <x v="16"/>
    <n v="5128.5"/>
    <n v="28500"/>
    <n v="0.17994736842105263"/>
  </r>
  <r>
    <n v="2020"/>
    <x v="2"/>
    <n v="17"/>
    <x v="17"/>
    <n v="1438.5"/>
    <n v="28500"/>
    <n v="5.0473684210526316E-2"/>
  </r>
  <r>
    <n v="2020"/>
    <x v="2"/>
    <n v="17"/>
    <x v="18"/>
    <n v="0"/>
    <n v="28500"/>
    <n v="0"/>
  </r>
  <r>
    <n v="2020"/>
    <x v="2"/>
    <n v="17"/>
    <x v="19"/>
    <n v="0"/>
    <n v="28500"/>
    <n v="0"/>
  </r>
  <r>
    <n v="2020"/>
    <x v="2"/>
    <n v="17"/>
    <x v="20"/>
    <n v="0"/>
    <n v="28500"/>
    <n v="0"/>
  </r>
  <r>
    <n v="2020"/>
    <x v="2"/>
    <n v="17"/>
    <x v="21"/>
    <n v="0"/>
    <n v="28500"/>
    <n v="0"/>
  </r>
  <r>
    <n v="2020"/>
    <x v="2"/>
    <n v="17"/>
    <x v="22"/>
    <n v="0"/>
    <n v="28500"/>
    <n v="0"/>
  </r>
  <r>
    <n v="2020"/>
    <x v="2"/>
    <n v="17"/>
    <x v="23"/>
    <n v="0"/>
    <n v="28500"/>
    <n v="0"/>
  </r>
  <r>
    <n v="2020"/>
    <x v="2"/>
    <n v="18"/>
    <x v="0"/>
    <n v="0"/>
    <n v="28500"/>
    <n v="0"/>
  </r>
  <r>
    <n v="2020"/>
    <x v="2"/>
    <n v="18"/>
    <x v="1"/>
    <n v="0"/>
    <n v="28500"/>
    <n v="0"/>
  </r>
  <r>
    <n v="2020"/>
    <x v="2"/>
    <n v="18"/>
    <x v="2"/>
    <n v="0"/>
    <n v="28500"/>
    <n v="0"/>
  </r>
  <r>
    <n v="2020"/>
    <x v="2"/>
    <n v="18"/>
    <x v="3"/>
    <n v="0"/>
    <n v="28500"/>
    <n v="0"/>
  </r>
  <r>
    <n v="2020"/>
    <x v="2"/>
    <n v="18"/>
    <x v="4"/>
    <n v="0"/>
    <n v="28500"/>
    <n v="0"/>
  </r>
  <r>
    <n v="2020"/>
    <x v="2"/>
    <n v="18"/>
    <x v="5"/>
    <n v="0"/>
    <n v="28500"/>
    <n v="0"/>
  </r>
  <r>
    <n v="2020"/>
    <x v="2"/>
    <n v="18"/>
    <x v="6"/>
    <n v="0"/>
    <n v="28500"/>
    <n v="0"/>
  </r>
  <r>
    <n v="2020"/>
    <x v="2"/>
    <n v="18"/>
    <x v="7"/>
    <n v="482.5"/>
    <n v="28500"/>
    <n v="1.692982456140351E-2"/>
  </r>
  <r>
    <n v="2020"/>
    <x v="2"/>
    <n v="18"/>
    <x v="8"/>
    <n v="1427.5"/>
    <n v="28500"/>
    <n v="5.0087719298245612E-2"/>
  </r>
  <r>
    <n v="2020"/>
    <x v="2"/>
    <n v="18"/>
    <x v="9"/>
    <n v="4641"/>
    <n v="28500"/>
    <n v="0.1628421052631579"/>
  </r>
  <r>
    <n v="2020"/>
    <x v="2"/>
    <n v="18"/>
    <x v="10"/>
    <n v="6212"/>
    <n v="28500"/>
    <n v="0.21796491228070175"/>
  </r>
  <r>
    <n v="2020"/>
    <x v="2"/>
    <n v="18"/>
    <x v="11"/>
    <n v="14819.5"/>
    <n v="28500"/>
    <n v="0.51998245614035088"/>
  </r>
  <r>
    <n v="2020"/>
    <x v="2"/>
    <n v="18"/>
    <x v="12"/>
    <n v="12590"/>
    <n v="28500"/>
    <n v="0.44175438596491229"/>
  </r>
  <r>
    <n v="2020"/>
    <x v="2"/>
    <n v="18"/>
    <x v="13"/>
    <n v="17446.5"/>
    <n v="28500"/>
    <n v="0.61215789473684212"/>
  </r>
  <r>
    <n v="2020"/>
    <x v="2"/>
    <n v="18"/>
    <x v="14"/>
    <n v="21432"/>
    <n v="28500"/>
    <n v="0.752"/>
  </r>
  <r>
    <n v="2020"/>
    <x v="2"/>
    <n v="18"/>
    <x v="15"/>
    <n v="11397"/>
    <n v="28500"/>
    <n v="0.39989473684210525"/>
  </r>
  <r>
    <n v="2020"/>
    <x v="2"/>
    <n v="18"/>
    <x v="16"/>
    <n v="13860"/>
    <n v="28500"/>
    <n v="0.4863157894736842"/>
  </r>
  <r>
    <n v="2020"/>
    <x v="2"/>
    <n v="18"/>
    <x v="17"/>
    <n v="3168.5"/>
    <n v="28500"/>
    <n v="0.11117543859649123"/>
  </r>
  <r>
    <n v="2020"/>
    <x v="2"/>
    <n v="18"/>
    <x v="18"/>
    <n v="0"/>
    <n v="28500"/>
    <n v="0"/>
  </r>
  <r>
    <n v="2020"/>
    <x v="2"/>
    <n v="18"/>
    <x v="19"/>
    <n v="0"/>
    <n v="28500"/>
    <n v="0"/>
  </r>
  <r>
    <n v="2020"/>
    <x v="2"/>
    <n v="18"/>
    <x v="20"/>
    <n v="0"/>
    <n v="28500"/>
    <n v="0"/>
  </r>
  <r>
    <n v="2020"/>
    <x v="2"/>
    <n v="18"/>
    <x v="21"/>
    <n v="0"/>
    <n v="28500"/>
    <n v="0"/>
  </r>
  <r>
    <n v="2020"/>
    <x v="2"/>
    <n v="18"/>
    <x v="22"/>
    <n v="0"/>
    <n v="28500"/>
    <n v="0"/>
  </r>
  <r>
    <n v="2020"/>
    <x v="2"/>
    <n v="18"/>
    <x v="23"/>
    <n v="0"/>
    <n v="28500"/>
    <n v="0"/>
  </r>
  <r>
    <n v="2020"/>
    <x v="2"/>
    <n v="19"/>
    <x v="0"/>
    <n v="0"/>
    <n v="28500"/>
    <n v="0"/>
  </r>
  <r>
    <n v="2020"/>
    <x v="2"/>
    <n v="19"/>
    <x v="1"/>
    <n v="0"/>
    <n v="28500"/>
    <n v="0"/>
  </r>
  <r>
    <n v="2020"/>
    <x v="2"/>
    <n v="19"/>
    <x v="2"/>
    <n v="0"/>
    <n v="28500"/>
    <n v="0"/>
  </r>
  <r>
    <n v="2020"/>
    <x v="2"/>
    <n v="19"/>
    <x v="3"/>
    <n v="0"/>
    <n v="28500"/>
    <n v="0"/>
  </r>
  <r>
    <n v="2020"/>
    <x v="2"/>
    <n v="19"/>
    <x v="4"/>
    <n v="0"/>
    <n v="28500"/>
    <n v="0"/>
  </r>
  <r>
    <n v="2020"/>
    <x v="2"/>
    <n v="19"/>
    <x v="5"/>
    <n v="0"/>
    <n v="28500"/>
    <n v="0"/>
  </r>
  <r>
    <n v="2020"/>
    <x v="2"/>
    <n v="19"/>
    <x v="6"/>
    <n v="0"/>
    <n v="28500"/>
    <n v="0"/>
  </r>
  <r>
    <n v="2020"/>
    <x v="2"/>
    <n v="19"/>
    <x v="7"/>
    <n v="1126"/>
    <n v="28500"/>
    <n v="3.9508771929824563E-2"/>
  </r>
  <r>
    <n v="2020"/>
    <x v="2"/>
    <n v="19"/>
    <x v="8"/>
    <n v="2119.5"/>
    <n v="28500"/>
    <n v="7.4368421052631584E-2"/>
  </r>
  <r>
    <n v="2020"/>
    <x v="2"/>
    <n v="19"/>
    <x v="9"/>
    <n v="1019.5"/>
    <n v="28500"/>
    <n v="3.5771929824561406E-2"/>
  </r>
  <r>
    <n v="2020"/>
    <x v="2"/>
    <n v="19"/>
    <x v="10"/>
    <n v="1229"/>
    <n v="28500"/>
    <n v="4.3122807017543861E-2"/>
  </r>
  <r>
    <n v="2020"/>
    <x v="2"/>
    <n v="19"/>
    <x v="11"/>
    <n v="1478.5"/>
    <n v="28500"/>
    <n v="5.187719298245614E-2"/>
  </r>
  <r>
    <n v="2020"/>
    <x v="2"/>
    <n v="19"/>
    <x v="12"/>
    <n v="2105"/>
    <n v="28500"/>
    <n v="7.3859649122807014E-2"/>
  </r>
  <r>
    <n v="2020"/>
    <x v="2"/>
    <n v="19"/>
    <x v="13"/>
    <n v="1841.5"/>
    <n v="28500"/>
    <n v="6.4614035087719304E-2"/>
  </r>
  <r>
    <n v="2020"/>
    <x v="2"/>
    <n v="19"/>
    <x v="14"/>
    <n v="2065.5"/>
    <n v="28500"/>
    <n v="7.2473684210526315E-2"/>
  </r>
  <r>
    <n v="2020"/>
    <x v="2"/>
    <n v="19"/>
    <x v="15"/>
    <n v="1585.5"/>
    <n v="28500"/>
    <n v="5.5631578947368421E-2"/>
  </r>
  <r>
    <n v="2020"/>
    <x v="2"/>
    <n v="19"/>
    <x v="16"/>
    <n v="4187"/>
    <n v="28500"/>
    <n v="0.14691228070175438"/>
  </r>
  <r>
    <n v="2020"/>
    <x v="2"/>
    <n v="19"/>
    <x v="17"/>
    <n v="1183.5"/>
    <n v="28500"/>
    <n v="4.1526315789473682E-2"/>
  </r>
  <r>
    <n v="2020"/>
    <x v="2"/>
    <n v="19"/>
    <x v="18"/>
    <n v="0"/>
    <n v="28500"/>
    <n v="0"/>
  </r>
  <r>
    <n v="2020"/>
    <x v="2"/>
    <n v="19"/>
    <x v="19"/>
    <n v="0"/>
    <n v="28500"/>
    <n v="0"/>
  </r>
  <r>
    <n v="2020"/>
    <x v="2"/>
    <n v="19"/>
    <x v="20"/>
    <n v="0"/>
    <n v="28500"/>
    <n v="0"/>
  </r>
  <r>
    <n v="2020"/>
    <x v="2"/>
    <n v="19"/>
    <x v="21"/>
    <n v="0"/>
    <n v="28500"/>
    <n v="0"/>
  </r>
  <r>
    <n v="2020"/>
    <x v="2"/>
    <n v="19"/>
    <x v="22"/>
    <n v="0"/>
    <n v="28500"/>
    <n v="0"/>
  </r>
  <r>
    <n v="2020"/>
    <x v="2"/>
    <n v="19"/>
    <x v="23"/>
    <n v="0"/>
    <n v="28500"/>
    <n v="0"/>
  </r>
  <r>
    <n v="2020"/>
    <x v="2"/>
    <n v="20"/>
    <x v="0"/>
    <n v="0"/>
    <n v="28500"/>
    <n v="0"/>
  </r>
  <r>
    <n v="2020"/>
    <x v="2"/>
    <n v="20"/>
    <x v="1"/>
    <n v="0"/>
    <n v="28500"/>
    <n v="0"/>
  </r>
  <r>
    <n v="2020"/>
    <x v="2"/>
    <n v="20"/>
    <x v="2"/>
    <n v="0"/>
    <n v="28500"/>
    <n v="0"/>
  </r>
  <r>
    <n v="2020"/>
    <x v="2"/>
    <n v="20"/>
    <x v="3"/>
    <n v="0"/>
    <n v="28500"/>
    <n v="0"/>
  </r>
  <r>
    <n v="2020"/>
    <x v="2"/>
    <n v="20"/>
    <x v="4"/>
    <n v="0"/>
    <n v="28500"/>
    <n v="0"/>
  </r>
  <r>
    <n v="2020"/>
    <x v="2"/>
    <n v="20"/>
    <x v="5"/>
    <n v="0"/>
    <n v="28500"/>
    <n v="0"/>
  </r>
  <r>
    <n v="2020"/>
    <x v="2"/>
    <n v="20"/>
    <x v="6"/>
    <n v="0"/>
    <n v="28500"/>
    <n v="0"/>
  </r>
  <r>
    <n v="2020"/>
    <x v="2"/>
    <n v="20"/>
    <x v="7"/>
    <n v="1983"/>
    <n v="28500"/>
    <n v="6.9578947368421046E-2"/>
  </r>
  <r>
    <n v="2020"/>
    <x v="2"/>
    <n v="20"/>
    <x v="8"/>
    <n v="10781.5"/>
    <n v="28500"/>
    <n v="0.37829824561403508"/>
  </r>
  <r>
    <n v="2020"/>
    <x v="2"/>
    <n v="20"/>
    <x v="9"/>
    <n v="10098"/>
    <n v="28500"/>
    <n v="0.3543157894736842"/>
  </r>
  <r>
    <n v="2020"/>
    <x v="2"/>
    <n v="20"/>
    <x v="10"/>
    <n v="11535.5"/>
    <n v="28500"/>
    <n v="0.40475438596491226"/>
  </r>
  <r>
    <n v="2020"/>
    <x v="2"/>
    <n v="20"/>
    <x v="11"/>
    <n v="13647.5"/>
    <n v="28500"/>
    <n v="0.47885964912280704"/>
  </r>
  <r>
    <n v="2020"/>
    <x v="2"/>
    <n v="20"/>
    <x v="12"/>
    <n v="16748"/>
    <n v="28500"/>
    <n v="0.58764912280701753"/>
  </r>
  <r>
    <n v="2020"/>
    <x v="2"/>
    <n v="20"/>
    <x v="13"/>
    <n v="17419.5"/>
    <n v="28500"/>
    <n v="0.61121052631578943"/>
  </r>
  <r>
    <n v="2020"/>
    <x v="2"/>
    <n v="20"/>
    <x v="14"/>
    <n v="5450"/>
    <n v="28500"/>
    <n v="0.19122807017543861"/>
  </r>
  <r>
    <n v="2020"/>
    <x v="2"/>
    <n v="20"/>
    <x v="15"/>
    <n v="6201"/>
    <n v="28500"/>
    <n v="0.21757894736842107"/>
  </r>
  <r>
    <n v="2020"/>
    <x v="2"/>
    <n v="20"/>
    <x v="16"/>
    <n v="8621"/>
    <n v="28500"/>
    <n v="0.30249122807017542"/>
  </r>
  <r>
    <n v="2020"/>
    <x v="2"/>
    <n v="20"/>
    <x v="17"/>
    <n v="2946.5"/>
    <n v="28500"/>
    <n v="0.10338596491228071"/>
  </r>
  <r>
    <n v="2020"/>
    <x v="2"/>
    <n v="20"/>
    <x v="18"/>
    <n v="0"/>
    <n v="28500"/>
    <n v="0"/>
  </r>
  <r>
    <n v="2020"/>
    <x v="2"/>
    <n v="20"/>
    <x v="19"/>
    <n v="0"/>
    <n v="28500"/>
    <n v="0"/>
  </r>
  <r>
    <n v="2020"/>
    <x v="2"/>
    <n v="20"/>
    <x v="20"/>
    <n v="0"/>
    <n v="28500"/>
    <n v="0"/>
  </r>
  <r>
    <n v="2020"/>
    <x v="2"/>
    <n v="20"/>
    <x v="21"/>
    <n v="0"/>
    <n v="28500"/>
    <n v="0"/>
  </r>
  <r>
    <n v="2020"/>
    <x v="2"/>
    <n v="20"/>
    <x v="22"/>
    <n v="0"/>
    <n v="28500"/>
    <n v="0"/>
  </r>
  <r>
    <n v="2020"/>
    <x v="2"/>
    <n v="20"/>
    <x v="23"/>
    <n v="0"/>
    <n v="28500"/>
    <n v="0"/>
  </r>
  <r>
    <n v="2020"/>
    <x v="2"/>
    <n v="21"/>
    <x v="0"/>
    <n v="0"/>
    <n v="28500"/>
    <n v="0"/>
  </r>
  <r>
    <n v="2020"/>
    <x v="2"/>
    <n v="21"/>
    <x v="1"/>
    <n v="0"/>
    <n v="28500"/>
    <n v="0"/>
  </r>
  <r>
    <n v="2020"/>
    <x v="2"/>
    <n v="21"/>
    <x v="2"/>
    <n v="0"/>
    <n v="28500"/>
    <n v="0"/>
  </r>
  <r>
    <n v="2020"/>
    <x v="2"/>
    <n v="21"/>
    <x v="3"/>
    <n v="0"/>
    <n v="28500"/>
    <n v="0"/>
  </r>
  <r>
    <n v="2020"/>
    <x v="2"/>
    <n v="21"/>
    <x v="4"/>
    <n v="0"/>
    <n v="28500"/>
    <n v="0"/>
  </r>
  <r>
    <n v="2020"/>
    <x v="2"/>
    <n v="21"/>
    <x v="5"/>
    <n v="0"/>
    <n v="28500"/>
    <n v="0"/>
  </r>
  <r>
    <n v="2020"/>
    <x v="2"/>
    <n v="21"/>
    <x v="6"/>
    <n v="0"/>
    <n v="28500"/>
    <n v="0"/>
  </r>
  <r>
    <n v="2020"/>
    <x v="2"/>
    <n v="21"/>
    <x v="7"/>
    <n v="5786"/>
    <n v="28500"/>
    <n v="0.20301754385964912"/>
  </r>
  <r>
    <n v="2020"/>
    <x v="2"/>
    <n v="21"/>
    <x v="8"/>
    <n v="13165.5"/>
    <n v="28500"/>
    <n v="0.46194736842105261"/>
  </r>
  <r>
    <n v="2020"/>
    <x v="2"/>
    <n v="21"/>
    <x v="9"/>
    <n v="25355"/>
    <n v="28500"/>
    <n v="0.88964912280701758"/>
  </r>
  <r>
    <n v="2020"/>
    <x v="2"/>
    <n v="21"/>
    <x v="10"/>
    <n v="40750.5"/>
    <n v="28500"/>
    <n v="1.4298421052631578"/>
  </r>
  <r>
    <n v="2020"/>
    <x v="2"/>
    <n v="21"/>
    <x v="11"/>
    <n v="45461.5"/>
    <n v="28500"/>
    <n v="1.5951403508771931"/>
  </r>
  <r>
    <n v="2020"/>
    <x v="2"/>
    <n v="21"/>
    <x v="12"/>
    <n v="45154.5"/>
    <n v="28500"/>
    <n v="1.5843684210526316"/>
  </r>
  <r>
    <n v="2020"/>
    <x v="2"/>
    <n v="21"/>
    <x v="13"/>
    <n v="45209"/>
    <n v="28500"/>
    <n v="1.5862807017543861"/>
  </r>
  <r>
    <n v="2020"/>
    <x v="2"/>
    <n v="21"/>
    <x v="14"/>
    <n v="35279"/>
    <n v="28500"/>
    <n v="1.2378596491228071"/>
  </r>
  <r>
    <n v="2020"/>
    <x v="2"/>
    <n v="21"/>
    <x v="15"/>
    <n v="29452.5"/>
    <n v="28500"/>
    <n v="1.033421052631579"/>
  </r>
  <r>
    <n v="2020"/>
    <x v="2"/>
    <n v="21"/>
    <x v="16"/>
    <n v="11221"/>
    <n v="28500"/>
    <n v="0.39371929824561402"/>
  </r>
  <r>
    <n v="2020"/>
    <x v="2"/>
    <n v="21"/>
    <x v="17"/>
    <n v="3455.5"/>
    <n v="28500"/>
    <n v="0.12124561403508773"/>
  </r>
  <r>
    <n v="2020"/>
    <x v="2"/>
    <n v="21"/>
    <x v="18"/>
    <n v="0"/>
    <n v="28500"/>
    <n v="0"/>
  </r>
  <r>
    <n v="2020"/>
    <x v="2"/>
    <n v="21"/>
    <x v="19"/>
    <n v="0"/>
    <n v="28500"/>
    <n v="0"/>
  </r>
  <r>
    <n v="2020"/>
    <x v="2"/>
    <n v="21"/>
    <x v="20"/>
    <n v="0"/>
    <n v="28500"/>
    <n v="0"/>
  </r>
  <r>
    <n v="2020"/>
    <x v="2"/>
    <n v="21"/>
    <x v="21"/>
    <n v="0"/>
    <n v="28500"/>
    <n v="0"/>
  </r>
  <r>
    <n v="2020"/>
    <x v="2"/>
    <n v="21"/>
    <x v="22"/>
    <n v="0"/>
    <n v="28500"/>
    <n v="0"/>
  </r>
  <r>
    <n v="2020"/>
    <x v="2"/>
    <n v="21"/>
    <x v="23"/>
    <n v="0"/>
    <n v="28500"/>
    <n v="0"/>
  </r>
  <r>
    <n v="2020"/>
    <x v="2"/>
    <n v="22"/>
    <x v="0"/>
    <n v="0"/>
    <n v="28500"/>
    <n v="0"/>
  </r>
  <r>
    <n v="2020"/>
    <x v="2"/>
    <n v="22"/>
    <x v="1"/>
    <n v="0"/>
    <n v="28500"/>
    <n v="0"/>
  </r>
  <r>
    <n v="2020"/>
    <x v="2"/>
    <n v="22"/>
    <x v="2"/>
    <n v="0"/>
    <n v="28500"/>
    <n v="0"/>
  </r>
  <r>
    <n v="2020"/>
    <x v="2"/>
    <n v="22"/>
    <x v="3"/>
    <n v="0"/>
    <n v="28500"/>
    <n v="0"/>
  </r>
  <r>
    <n v="2020"/>
    <x v="2"/>
    <n v="22"/>
    <x v="4"/>
    <n v="0"/>
    <n v="28500"/>
    <n v="0"/>
  </r>
  <r>
    <n v="2020"/>
    <x v="2"/>
    <n v="22"/>
    <x v="5"/>
    <n v="0"/>
    <n v="28500"/>
    <n v="0"/>
  </r>
  <r>
    <n v="2020"/>
    <x v="2"/>
    <n v="22"/>
    <x v="6"/>
    <n v="0"/>
    <n v="28500"/>
    <n v="0"/>
  </r>
  <r>
    <n v="2020"/>
    <x v="2"/>
    <n v="22"/>
    <x v="7"/>
    <n v="4934.5"/>
    <n v="28500"/>
    <n v="0.17314035087719298"/>
  </r>
  <r>
    <n v="2020"/>
    <x v="2"/>
    <n v="22"/>
    <x v="8"/>
    <n v="14071.5"/>
    <n v="28500"/>
    <n v="0.49373684210526314"/>
  </r>
  <r>
    <n v="2020"/>
    <x v="2"/>
    <n v="22"/>
    <x v="9"/>
    <n v="30605.5"/>
    <n v="28500"/>
    <n v="1.0738771929824562"/>
  </r>
  <r>
    <n v="2020"/>
    <x v="2"/>
    <n v="22"/>
    <x v="10"/>
    <n v="33475.5"/>
    <n v="28500"/>
    <n v="1.1745789473684209"/>
  </r>
  <r>
    <n v="2020"/>
    <x v="2"/>
    <n v="22"/>
    <x v="11"/>
    <n v="45512.5"/>
    <n v="28500"/>
    <n v="1.5969298245614034"/>
  </r>
  <r>
    <n v="2020"/>
    <x v="2"/>
    <n v="22"/>
    <x v="12"/>
    <n v="46795"/>
    <n v="28500"/>
    <n v="1.6419298245614036"/>
  </r>
  <r>
    <n v="2020"/>
    <x v="2"/>
    <n v="22"/>
    <x v="13"/>
    <n v="44854"/>
    <n v="28500"/>
    <n v="1.5738245614035087"/>
  </r>
  <r>
    <n v="2020"/>
    <x v="2"/>
    <n v="22"/>
    <x v="14"/>
    <n v="39511"/>
    <n v="28500"/>
    <n v="1.3863508771929824"/>
  </r>
  <r>
    <n v="2020"/>
    <x v="2"/>
    <n v="22"/>
    <x v="15"/>
    <n v="29568"/>
    <n v="28500"/>
    <n v="1.0374736842105263"/>
  </r>
  <r>
    <n v="2020"/>
    <x v="2"/>
    <n v="22"/>
    <x v="16"/>
    <n v="18772.5"/>
    <n v="28500"/>
    <n v="0.65868421052631576"/>
  </r>
  <r>
    <n v="2020"/>
    <x v="2"/>
    <n v="22"/>
    <x v="17"/>
    <n v="6379"/>
    <n v="28500"/>
    <n v="0.22382456140350876"/>
  </r>
  <r>
    <n v="2020"/>
    <x v="2"/>
    <n v="22"/>
    <x v="18"/>
    <n v="0"/>
    <n v="28500"/>
    <n v="0"/>
  </r>
  <r>
    <n v="2020"/>
    <x v="2"/>
    <n v="22"/>
    <x v="19"/>
    <n v="0"/>
    <n v="28500"/>
    <n v="0"/>
  </r>
  <r>
    <n v="2020"/>
    <x v="2"/>
    <n v="22"/>
    <x v="20"/>
    <n v="0"/>
    <n v="28500"/>
    <n v="0"/>
  </r>
  <r>
    <n v="2020"/>
    <x v="2"/>
    <n v="22"/>
    <x v="21"/>
    <n v="0"/>
    <n v="28500"/>
    <n v="0"/>
  </r>
  <r>
    <n v="2020"/>
    <x v="2"/>
    <n v="22"/>
    <x v="22"/>
    <n v="0"/>
    <n v="28500"/>
    <n v="0"/>
  </r>
  <r>
    <n v="2020"/>
    <x v="2"/>
    <n v="22"/>
    <x v="23"/>
    <n v="0"/>
    <n v="28500"/>
    <n v="0"/>
  </r>
  <r>
    <n v="2020"/>
    <x v="2"/>
    <n v="23"/>
    <x v="0"/>
    <n v="0"/>
    <n v="28500"/>
    <n v="0"/>
  </r>
  <r>
    <n v="2020"/>
    <x v="2"/>
    <n v="23"/>
    <x v="1"/>
    <n v="0"/>
    <n v="28500"/>
    <n v="0"/>
  </r>
  <r>
    <n v="2020"/>
    <x v="2"/>
    <n v="23"/>
    <x v="2"/>
    <n v="0"/>
    <n v="28500"/>
    <n v="0"/>
  </r>
  <r>
    <n v="2020"/>
    <x v="2"/>
    <n v="23"/>
    <x v="3"/>
    <n v="0"/>
    <n v="28500"/>
    <n v="0"/>
  </r>
  <r>
    <n v="2020"/>
    <x v="2"/>
    <n v="23"/>
    <x v="4"/>
    <n v="0"/>
    <n v="28500"/>
    <n v="0"/>
  </r>
  <r>
    <n v="2020"/>
    <x v="2"/>
    <n v="23"/>
    <x v="5"/>
    <n v="0"/>
    <n v="28500"/>
    <n v="0"/>
  </r>
  <r>
    <n v="2020"/>
    <x v="2"/>
    <n v="23"/>
    <x v="6"/>
    <n v="0"/>
    <n v="28500"/>
    <n v="0"/>
  </r>
  <r>
    <n v="2020"/>
    <x v="2"/>
    <n v="23"/>
    <x v="7"/>
    <n v="8893"/>
    <n v="28500"/>
    <n v="0.31203508771929822"/>
  </r>
  <r>
    <n v="2020"/>
    <x v="2"/>
    <n v="23"/>
    <x v="8"/>
    <n v="21786"/>
    <n v="28500"/>
    <n v="0.764421052631579"/>
  </r>
  <r>
    <n v="2020"/>
    <x v="2"/>
    <n v="23"/>
    <x v="9"/>
    <n v="32291"/>
    <n v="28500"/>
    <n v="1.133017543859649"/>
  </r>
  <r>
    <n v="2020"/>
    <x v="2"/>
    <n v="23"/>
    <x v="10"/>
    <n v="39119.5"/>
    <n v="28500"/>
    <n v="1.3726140350877194"/>
  </r>
  <r>
    <n v="2020"/>
    <x v="2"/>
    <n v="23"/>
    <x v="11"/>
    <n v="44609.5"/>
    <n v="28500"/>
    <n v="1.5652456140350877"/>
  </r>
  <r>
    <n v="2020"/>
    <x v="2"/>
    <n v="23"/>
    <x v="12"/>
    <n v="46053"/>
    <n v="28500"/>
    <n v="1.6158947368421053"/>
  </r>
  <r>
    <n v="2020"/>
    <x v="2"/>
    <n v="23"/>
    <x v="13"/>
    <n v="41907.5"/>
    <n v="28500"/>
    <n v="1.4704385964912281"/>
  </r>
  <r>
    <n v="2020"/>
    <x v="2"/>
    <n v="23"/>
    <x v="14"/>
    <n v="37532.5"/>
    <n v="28500"/>
    <n v="1.3169298245614036"/>
  </r>
  <r>
    <n v="2020"/>
    <x v="2"/>
    <n v="23"/>
    <x v="15"/>
    <n v="29256.5"/>
    <n v="28500"/>
    <n v="1.0265438596491228"/>
  </r>
  <r>
    <n v="2020"/>
    <x v="2"/>
    <n v="23"/>
    <x v="16"/>
    <n v="18682"/>
    <n v="28500"/>
    <n v="0.6555087719298246"/>
  </r>
  <r>
    <n v="2020"/>
    <x v="2"/>
    <n v="23"/>
    <x v="17"/>
    <n v="6491.5"/>
    <n v="28500"/>
    <n v="0.2277719298245614"/>
  </r>
  <r>
    <n v="2020"/>
    <x v="2"/>
    <n v="23"/>
    <x v="18"/>
    <n v="0"/>
    <n v="28500"/>
    <n v="0"/>
  </r>
  <r>
    <n v="2020"/>
    <x v="2"/>
    <n v="23"/>
    <x v="19"/>
    <n v="0"/>
    <n v="28500"/>
    <n v="0"/>
  </r>
  <r>
    <n v="2020"/>
    <x v="2"/>
    <n v="23"/>
    <x v="20"/>
    <n v="0"/>
    <n v="28500"/>
    <n v="0"/>
  </r>
  <r>
    <n v="2020"/>
    <x v="2"/>
    <n v="23"/>
    <x v="21"/>
    <n v="0"/>
    <n v="28500"/>
    <n v="0"/>
  </r>
  <r>
    <n v="2020"/>
    <x v="2"/>
    <n v="23"/>
    <x v="22"/>
    <n v="0"/>
    <n v="28500"/>
    <n v="0"/>
  </r>
  <r>
    <n v="2020"/>
    <x v="2"/>
    <n v="23"/>
    <x v="23"/>
    <n v="0"/>
    <n v="28500"/>
    <n v="0"/>
  </r>
  <r>
    <n v="2020"/>
    <x v="2"/>
    <n v="24"/>
    <x v="0"/>
    <n v="0"/>
    <n v="28500"/>
    <n v="0"/>
  </r>
  <r>
    <n v="2020"/>
    <x v="2"/>
    <n v="24"/>
    <x v="1"/>
    <n v="0"/>
    <n v="28500"/>
    <n v="0"/>
  </r>
  <r>
    <n v="2020"/>
    <x v="2"/>
    <n v="24"/>
    <x v="2"/>
    <n v="0"/>
    <n v="28500"/>
    <n v="0"/>
  </r>
  <r>
    <n v="2020"/>
    <x v="2"/>
    <n v="24"/>
    <x v="3"/>
    <n v="0"/>
    <n v="28500"/>
    <n v="0"/>
  </r>
  <r>
    <n v="2020"/>
    <x v="2"/>
    <n v="24"/>
    <x v="4"/>
    <n v="0"/>
    <n v="28500"/>
    <n v="0"/>
  </r>
  <r>
    <n v="2020"/>
    <x v="2"/>
    <n v="24"/>
    <x v="5"/>
    <n v="0"/>
    <n v="28500"/>
    <n v="0"/>
  </r>
  <r>
    <n v="2020"/>
    <x v="2"/>
    <n v="24"/>
    <x v="6"/>
    <n v="0"/>
    <n v="28500"/>
    <n v="0"/>
  </r>
  <r>
    <n v="2020"/>
    <x v="2"/>
    <n v="24"/>
    <x v="7"/>
    <n v="8767.5"/>
    <n v="28500"/>
    <n v="0.30763157894736842"/>
  </r>
  <r>
    <n v="2020"/>
    <x v="2"/>
    <n v="24"/>
    <x v="8"/>
    <n v="20772"/>
    <n v="28500"/>
    <n v="0.72884210526315785"/>
  </r>
  <r>
    <n v="2020"/>
    <x v="2"/>
    <n v="24"/>
    <x v="9"/>
    <n v="31238"/>
    <n v="28500"/>
    <n v="1.0960701754385964"/>
  </r>
  <r>
    <n v="2020"/>
    <x v="2"/>
    <n v="24"/>
    <x v="10"/>
    <n v="38328"/>
    <n v="28500"/>
    <n v="1.3448421052631578"/>
  </r>
  <r>
    <n v="2020"/>
    <x v="2"/>
    <n v="24"/>
    <x v="11"/>
    <n v="43278.5"/>
    <n v="28500"/>
    <n v="1.5185438596491228"/>
  </r>
  <r>
    <n v="2020"/>
    <x v="2"/>
    <n v="24"/>
    <x v="12"/>
    <n v="44741.5"/>
    <n v="28500"/>
    <n v="1.5698771929824562"/>
  </r>
  <r>
    <n v="2020"/>
    <x v="2"/>
    <n v="24"/>
    <x v="13"/>
    <n v="41484"/>
    <n v="28500"/>
    <n v="1.4555789473684211"/>
  </r>
  <r>
    <n v="2020"/>
    <x v="2"/>
    <n v="24"/>
    <x v="14"/>
    <n v="37334.5"/>
    <n v="28500"/>
    <n v="1.3099824561403508"/>
  </r>
  <r>
    <n v="2020"/>
    <x v="2"/>
    <n v="24"/>
    <x v="15"/>
    <n v="28743.5"/>
    <n v="28500"/>
    <n v="1.0085438596491227"/>
  </r>
  <r>
    <n v="2020"/>
    <x v="2"/>
    <n v="24"/>
    <x v="16"/>
    <n v="18413.5"/>
    <n v="28500"/>
    <n v="0.6460877192982456"/>
  </r>
  <r>
    <n v="2020"/>
    <x v="2"/>
    <n v="24"/>
    <x v="17"/>
    <n v="6090"/>
    <n v="28500"/>
    <n v="0.21368421052631578"/>
  </r>
  <r>
    <n v="2020"/>
    <x v="2"/>
    <n v="24"/>
    <x v="18"/>
    <n v="0"/>
    <n v="28500"/>
    <n v="0"/>
  </r>
  <r>
    <n v="2020"/>
    <x v="2"/>
    <n v="24"/>
    <x v="19"/>
    <n v="0"/>
    <n v="28500"/>
    <n v="0"/>
  </r>
  <r>
    <n v="2020"/>
    <x v="2"/>
    <n v="24"/>
    <x v="20"/>
    <n v="0"/>
    <n v="28500"/>
    <n v="0"/>
  </r>
  <r>
    <n v="2020"/>
    <x v="2"/>
    <n v="24"/>
    <x v="21"/>
    <n v="0"/>
    <n v="28500"/>
    <n v="0"/>
  </r>
  <r>
    <n v="2020"/>
    <x v="2"/>
    <n v="24"/>
    <x v="22"/>
    <n v="0"/>
    <n v="28500"/>
    <n v="0"/>
  </r>
  <r>
    <n v="2020"/>
    <x v="2"/>
    <n v="24"/>
    <x v="23"/>
    <n v="0"/>
    <n v="28500"/>
    <n v="0"/>
  </r>
  <r>
    <n v="2020"/>
    <x v="2"/>
    <n v="25"/>
    <x v="0"/>
    <n v="0"/>
    <n v="28500"/>
    <n v="0"/>
  </r>
  <r>
    <n v="2020"/>
    <x v="2"/>
    <n v="25"/>
    <x v="1"/>
    <n v="0"/>
    <n v="28500"/>
    <n v="0"/>
  </r>
  <r>
    <n v="2020"/>
    <x v="2"/>
    <n v="25"/>
    <x v="2"/>
    <n v="0"/>
    <n v="28500"/>
    <n v="0"/>
  </r>
  <r>
    <n v="2020"/>
    <x v="2"/>
    <n v="25"/>
    <x v="3"/>
    <n v="0"/>
    <n v="28500"/>
    <n v="0"/>
  </r>
  <r>
    <n v="2020"/>
    <x v="2"/>
    <n v="25"/>
    <x v="4"/>
    <n v="0"/>
    <n v="28500"/>
    <n v="0"/>
  </r>
  <r>
    <n v="2020"/>
    <x v="2"/>
    <n v="25"/>
    <x v="5"/>
    <n v="0"/>
    <n v="28500"/>
    <n v="0"/>
  </r>
  <r>
    <n v="2020"/>
    <x v="2"/>
    <n v="25"/>
    <x v="6"/>
    <n v="0"/>
    <n v="28500"/>
    <n v="0"/>
  </r>
  <r>
    <n v="2020"/>
    <x v="2"/>
    <n v="25"/>
    <x v="7"/>
    <n v="8670.5"/>
    <n v="28500"/>
    <n v="0.30422807017543857"/>
  </r>
  <r>
    <n v="2020"/>
    <x v="2"/>
    <n v="25"/>
    <x v="8"/>
    <n v="21193.5"/>
    <n v="28500"/>
    <n v="0.74363157894736842"/>
  </r>
  <r>
    <n v="2020"/>
    <x v="2"/>
    <n v="25"/>
    <x v="9"/>
    <n v="31169.5"/>
    <n v="28500"/>
    <n v="1.0936666666666666"/>
  </r>
  <r>
    <n v="2020"/>
    <x v="2"/>
    <n v="25"/>
    <x v="10"/>
    <n v="37698"/>
    <n v="28500"/>
    <n v="1.3227368421052632"/>
  </r>
  <r>
    <n v="2020"/>
    <x v="2"/>
    <n v="25"/>
    <x v="11"/>
    <n v="41704"/>
    <n v="28500"/>
    <n v="1.4632982456140351"/>
  </r>
  <r>
    <n v="2020"/>
    <x v="2"/>
    <n v="25"/>
    <x v="12"/>
    <n v="43715.5"/>
    <n v="28500"/>
    <n v="1.5338771929824562"/>
  </r>
  <r>
    <n v="2020"/>
    <x v="2"/>
    <n v="25"/>
    <x v="13"/>
    <n v="41187"/>
    <n v="28500"/>
    <n v="1.4451578947368422"/>
  </r>
  <r>
    <n v="2020"/>
    <x v="2"/>
    <n v="25"/>
    <x v="14"/>
    <n v="36819.5"/>
    <n v="28500"/>
    <n v="1.2919122807017545"/>
  </r>
  <r>
    <n v="2020"/>
    <x v="2"/>
    <n v="25"/>
    <x v="15"/>
    <n v="28648"/>
    <n v="28500"/>
    <n v="1.0051929824561403"/>
  </r>
  <r>
    <n v="2020"/>
    <x v="2"/>
    <n v="25"/>
    <x v="16"/>
    <n v="18342.5"/>
    <n v="28500"/>
    <n v="0.64359649122807017"/>
  </r>
  <r>
    <n v="2020"/>
    <x v="2"/>
    <n v="25"/>
    <x v="17"/>
    <n v="6475"/>
    <n v="28500"/>
    <n v="0.22719298245614036"/>
  </r>
  <r>
    <n v="2020"/>
    <x v="2"/>
    <n v="25"/>
    <x v="18"/>
    <n v="0"/>
    <n v="28500"/>
    <n v="0"/>
  </r>
  <r>
    <n v="2020"/>
    <x v="2"/>
    <n v="25"/>
    <x v="19"/>
    <n v="0"/>
    <n v="28500"/>
    <n v="0"/>
  </r>
  <r>
    <n v="2020"/>
    <x v="2"/>
    <n v="25"/>
    <x v="20"/>
    <n v="0"/>
    <n v="28500"/>
    <n v="0"/>
  </r>
  <r>
    <n v="2020"/>
    <x v="2"/>
    <n v="25"/>
    <x v="21"/>
    <n v="0"/>
    <n v="28500"/>
    <n v="0"/>
  </r>
  <r>
    <n v="2020"/>
    <x v="2"/>
    <n v="25"/>
    <x v="22"/>
    <n v="0"/>
    <n v="28500"/>
    <n v="0"/>
  </r>
  <r>
    <n v="2020"/>
    <x v="2"/>
    <n v="25"/>
    <x v="23"/>
    <n v="0"/>
    <n v="28500"/>
    <n v="0"/>
  </r>
  <r>
    <n v="2020"/>
    <x v="2"/>
    <n v="26"/>
    <x v="0"/>
    <n v="0"/>
    <n v="28500"/>
    <n v="0"/>
  </r>
  <r>
    <n v="2020"/>
    <x v="2"/>
    <n v="26"/>
    <x v="1"/>
    <n v="0"/>
    <n v="28500"/>
    <n v="0"/>
  </r>
  <r>
    <n v="2020"/>
    <x v="2"/>
    <n v="26"/>
    <x v="2"/>
    <n v="0"/>
    <n v="28500"/>
    <n v="0"/>
  </r>
  <r>
    <n v="2020"/>
    <x v="2"/>
    <n v="26"/>
    <x v="3"/>
    <n v="0"/>
    <n v="28500"/>
    <n v="0"/>
  </r>
  <r>
    <n v="2020"/>
    <x v="2"/>
    <n v="26"/>
    <x v="4"/>
    <n v="0"/>
    <n v="28500"/>
    <n v="0"/>
  </r>
  <r>
    <n v="2020"/>
    <x v="2"/>
    <n v="26"/>
    <x v="5"/>
    <n v="0"/>
    <n v="28500"/>
    <n v="0"/>
  </r>
  <r>
    <n v="2020"/>
    <x v="2"/>
    <n v="26"/>
    <x v="6"/>
    <n v="0"/>
    <n v="28500"/>
    <n v="0"/>
  </r>
  <r>
    <n v="2020"/>
    <x v="2"/>
    <n v="26"/>
    <x v="7"/>
    <n v="8147.5"/>
    <n v="28500"/>
    <n v="0.28587719298245612"/>
  </r>
  <r>
    <n v="2020"/>
    <x v="2"/>
    <n v="26"/>
    <x v="8"/>
    <n v="20604.5"/>
    <n v="28500"/>
    <n v="0.7229649122807017"/>
  </r>
  <r>
    <n v="2020"/>
    <x v="2"/>
    <n v="26"/>
    <x v="9"/>
    <n v="30729"/>
    <n v="28500"/>
    <n v="1.0782105263157895"/>
  </r>
  <r>
    <n v="2020"/>
    <x v="2"/>
    <n v="26"/>
    <x v="10"/>
    <n v="36980.5"/>
    <n v="28500"/>
    <n v="1.2975614035087719"/>
  </r>
  <r>
    <n v="2020"/>
    <x v="2"/>
    <n v="26"/>
    <x v="11"/>
    <n v="42488"/>
    <n v="28500"/>
    <n v="1.4908070175438597"/>
  </r>
  <r>
    <n v="2020"/>
    <x v="2"/>
    <n v="26"/>
    <x v="12"/>
    <n v="44929.5"/>
    <n v="28500"/>
    <n v="1.5764736842105262"/>
  </r>
  <r>
    <n v="2020"/>
    <x v="2"/>
    <n v="26"/>
    <x v="13"/>
    <n v="41853.5"/>
    <n v="28500"/>
    <n v="1.4685438596491227"/>
  </r>
  <r>
    <n v="2020"/>
    <x v="2"/>
    <n v="26"/>
    <x v="14"/>
    <n v="36860.5"/>
    <n v="28500"/>
    <n v="1.2933508771929825"/>
  </r>
  <r>
    <n v="2020"/>
    <x v="2"/>
    <n v="26"/>
    <x v="15"/>
    <n v="28488"/>
    <n v="28500"/>
    <n v="0.99957894736842101"/>
  </r>
  <r>
    <n v="2020"/>
    <x v="2"/>
    <n v="26"/>
    <x v="16"/>
    <n v="16591.5"/>
    <n v="28500"/>
    <n v="0.5821578947368421"/>
  </r>
  <r>
    <n v="2020"/>
    <x v="2"/>
    <n v="26"/>
    <x v="17"/>
    <n v="6823.5"/>
    <n v="28500"/>
    <n v="0.23942105263157895"/>
  </r>
  <r>
    <n v="2020"/>
    <x v="2"/>
    <n v="26"/>
    <x v="18"/>
    <n v="0"/>
    <n v="28500"/>
    <n v="0"/>
  </r>
  <r>
    <n v="2020"/>
    <x v="2"/>
    <n v="26"/>
    <x v="19"/>
    <n v="0"/>
    <n v="28500"/>
    <n v="0"/>
  </r>
  <r>
    <n v="2020"/>
    <x v="2"/>
    <n v="26"/>
    <x v="20"/>
    <n v="0"/>
    <n v="28500"/>
    <n v="0"/>
  </r>
  <r>
    <n v="2020"/>
    <x v="2"/>
    <n v="26"/>
    <x v="21"/>
    <n v="0"/>
    <n v="28500"/>
    <n v="0"/>
  </r>
  <r>
    <n v="2020"/>
    <x v="2"/>
    <n v="26"/>
    <x v="22"/>
    <n v="0"/>
    <n v="28500"/>
    <n v="0"/>
  </r>
  <r>
    <n v="2020"/>
    <x v="2"/>
    <n v="26"/>
    <x v="23"/>
    <n v="0"/>
    <n v="28500"/>
    <n v="0"/>
  </r>
  <r>
    <n v="2020"/>
    <x v="2"/>
    <n v="27"/>
    <x v="0"/>
    <n v="0"/>
    <n v="28500"/>
    <n v="0"/>
  </r>
  <r>
    <n v="2020"/>
    <x v="2"/>
    <n v="27"/>
    <x v="1"/>
    <n v="0"/>
    <n v="28500"/>
    <n v="0"/>
  </r>
  <r>
    <n v="2020"/>
    <x v="2"/>
    <n v="27"/>
    <x v="2"/>
    <n v="0"/>
    <n v="28500"/>
    <n v="0"/>
  </r>
  <r>
    <n v="2020"/>
    <x v="2"/>
    <n v="27"/>
    <x v="3"/>
    <n v="0"/>
    <n v="28500"/>
    <n v="0"/>
  </r>
  <r>
    <n v="2020"/>
    <x v="2"/>
    <n v="27"/>
    <x v="4"/>
    <n v="0"/>
    <n v="28500"/>
    <n v="0"/>
  </r>
  <r>
    <n v="2020"/>
    <x v="2"/>
    <n v="27"/>
    <x v="5"/>
    <n v="0"/>
    <n v="28500"/>
    <n v="0"/>
  </r>
  <r>
    <n v="2020"/>
    <x v="2"/>
    <n v="27"/>
    <x v="6"/>
    <n v="101"/>
    <n v="28500"/>
    <n v="3.5438596491228071E-3"/>
  </r>
  <r>
    <n v="2020"/>
    <x v="2"/>
    <n v="27"/>
    <x v="7"/>
    <n v="8265"/>
    <n v="28500"/>
    <n v="0.28999999999999998"/>
  </r>
  <r>
    <n v="2020"/>
    <x v="2"/>
    <n v="27"/>
    <x v="8"/>
    <n v="20152.5"/>
    <n v="28500"/>
    <n v="0.70710526315789479"/>
  </r>
  <r>
    <n v="2020"/>
    <x v="2"/>
    <n v="27"/>
    <x v="9"/>
    <n v="30483"/>
    <n v="28500"/>
    <n v="1.069578947368421"/>
  </r>
  <r>
    <n v="2020"/>
    <x v="2"/>
    <n v="27"/>
    <x v="10"/>
    <n v="37566"/>
    <n v="28500"/>
    <n v="1.3181052631578947"/>
  </r>
  <r>
    <n v="2020"/>
    <x v="2"/>
    <n v="27"/>
    <x v="11"/>
    <n v="42163.5"/>
    <n v="28500"/>
    <n v="1.479421052631579"/>
  </r>
  <r>
    <n v="2020"/>
    <x v="2"/>
    <n v="27"/>
    <x v="12"/>
    <n v="43700.5"/>
    <n v="28500"/>
    <n v="1.5333508771929825"/>
  </r>
  <r>
    <n v="2020"/>
    <x v="2"/>
    <n v="27"/>
    <x v="13"/>
    <n v="41156"/>
    <n v="28500"/>
    <n v="1.4440701754385965"/>
  </r>
  <r>
    <n v="2020"/>
    <x v="2"/>
    <n v="27"/>
    <x v="14"/>
    <n v="36456.5"/>
    <n v="28500"/>
    <n v="1.2791754385964913"/>
  </r>
  <r>
    <n v="2020"/>
    <x v="2"/>
    <n v="27"/>
    <x v="15"/>
    <n v="28349"/>
    <n v="28500"/>
    <n v="0.99470175438596486"/>
  </r>
  <r>
    <n v="2020"/>
    <x v="2"/>
    <n v="27"/>
    <x v="16"/>
    <n v="17767.5"/>
    <n v="28500"/>
    <n v="0.62342105263157899"/>
  </r>
  <r>
    <n v="2020"/>
    <x v="2"/>
    <n v="27"/>
    <x v="17"/>
    <n v="6198"/>
    <n v="28500"/>
    <n v="0.21747368421052632"/>
  </r>
  <r>
    <n v="2020"/>
    <x v="2"/>
    <n v="27"/>
    <x v="18"/>
    <n v="0"/>
    <n v="28500"/>
    <n v="0"/>
  </r>
  <r>
    <n v="2020"/>
    <x v="2"/>
    <n v="27"/>
    <x v="19"/>
    <n v="0"/>
    <n v="28500"/>
    <n v="0"/>
  </r>
  <r>
    <n v="2020"/>
    <x v="2"/>
    <n v="27"/>
    <x v="20"/>
    <n v="0"/>
    <n v="28500"/>
    <n v="0"/>
  </r>
  <r>
    <n v="2020"/>
    <x v="2"/>
    <n v="27"/>
    <x v="21"/>
    <n v="0"/>
    <n v="28500"/>
    <n v="0"/>
  </r>
  <r>
    <n v="2020"/>
    <x v="2"/>
    <n v="27"/>
    <x v="22"/>
    <n v="0"/>
    <n v="28500"/>
    <n v="0"/>
  </r>
  <r>
    <n v="2020"/>
    <x v="2"/>
    <n v="27"/>
    <x v="23"/>
    <n v="0"/>
    <n v="28500"/>
    <n v="0"/>
  </r>
  <r>
    <n v="2020"/>
    <x v="2"/>
    <n v="28"/>
    <x v="0"/>
    <n v="0"/>
    <n v="28500"/>
    <n v="0"/>
  </r>
  <r>
    <n v="2020"/>
    <x v="2"/>
    <n v="28"/>
    <x v="1"/>
    <n v="0"/>
    <n v="28500"/>
    <n v="0"/>
  </r>
  <r>
    <n v="2020"/>
    <x v="2"/>
    <n v="28"/>
    <x v="2"/>
    <n v="0"/>
    <n v="28500"/>
    <n v="0"/>
  </r>
  <r>
    <n v="2020"/>
    <x v="2"/>
    <n v="28"/>
    <x v="3"/>
    <n v="0"/>
    <n v="28500"/>
    <n v="0"/>
  </r>
  <r>
    <n v="2020"/>
    <x v="2"/>
    <n v="28"/>
    <x v="4"/>
    <n v="0"/>
    <n v="28500"/>
    <n v="0"/>
  </r>
  <r>
    <n v="2020"/>
    <x v="2"/>
    <n v="28"/>
    <x v="5"/>
    <n v="0"/>
    <n v="28500"/>
    <n v="0"/>
  </r>
  <r>
    <n v="2020"/>
    <x v="2"/>
    <n v="28"/>
    <x v="6"/>
    <n v="149"/>
    <n v="28500"/>
    <n v="5.2280701754385964E-3"/>
  </r>
  <r>
    <n v="2020"/>
    <x v="2"/>
    <n v="28"/>
    <x v="7"/>
    <n v="7880.5"/>
    <n v="28500"/>
    <n v="0.27650877192982454"/>
  </r>
  <r>
    <n v="2020"/>
    <x v="2"/>
    <n v="28"/>
    <x v="8"/>
    <n v="19564.5"/>
    <n v="28500"/>
    <n v="0.68647368421052635"/>
  </r>
  <r>
    <n v="2020"/>
    <x v="2"/>
    <n v="28"/>
    <x v="9"/>
    <n v="29597.5"/>
    <n v="28500"/>
    <n v="1.0385087719298245"/>
  </r>
  <r>
    <n v="2020"/>
    <x v="2"/>
    <n v="28"/>
    <x v="10"/>
    <n v="37089"/>
    <n v="28500"/>
    <n v="1.3013684210526315"/>
  </r>
  <r>
    <n v="2020"/>
    <x v="2"/>
    <n v="28"/>
    <x v="11"/>
    <n v="41351.5"/>
    <n v="28500"/>
    <n v="1.4509298245614035"/>
  </r>
  <r>
    <n v="2020"/>
    <x v="2"/>
    <n v="28"/>
    <x v="12"/>
    <n v="41232"/>
    <n v="28500"/>
    <n v="1.4467368421052631"/>
  </r>
  <r>
    <n v="2020"/>
    <x v="2"/>
    <n v="28"/>
    <x v="13"/>
    <n v="10662"/>
    <n v="28500"/>
    <n v="0.37410526315789472"/>
  </r>
  <r>
    <n v="2020"/>
    <x v="2"/>
    <n v="28"/>
    <x v="14"/>
    <n v="6483"/>
    <n v="28500"/>
    <n v="0.22747368421052633"/>
  </r>
  <r>
    <n v="2020"/>
    <x v="2"/>
    <n v="28"/>
    <x v="15"/>
    <n v="9599.5"/>
    <n v="28500"/>
    <n v="0.33682456140350875"/>
  </r>
  <r>
    <n v="2020"/>
    <x v="2"/>
    <n v="28"/>
    <x v="16"/>
    <n v="9846.5"/>
    <n v="28500"/>
    <n v="0.34549122807017546"/>
  </r>
  <r>
    <n v="2020"/>
    <x v="2"/>
    <n v="28"/>
    <x v="17"/>
    <n v="3933"/>
    <n v="28500"/>
    <n v="0.13800000000000001"/>
  </r>
  <r>
    <n v="2020"/>
    <x v="2"/>
    <n v="28"/>
    <x v="18"/>
    <n v="0"/>
    <n v="28500"/>
    <n v="0"/>
  </r>
  <r>
    <n v="2020"/>
    <x v="2"/>
    <n v="28"/>
    <x v="19"/>
    <n v="0"/>
    <n v="28500"/>
    <n v="0"/>
  </r>
  <r>
    <n v="2020"/>
    <x v="2"/>
    <n v="28"/>
    <x v="20"/>
    <n v="0"/>
    <n v="28500"/>
    <n v="0"/>
  </r>
  <r>
    <n v="2020"/>
    <x v="2"/>
    <n v="28"/>
    <x v="21"/>
    <n v="0"/>
    <n v="28500"/>
    <n v="0"/>
  </r>
  <r>
    <n v="2020"/>
    <x v="2"/>
    <n v="28"/>
    <x v="22"/>
    <n v="0"/>
    <n v="28500"/>
    <n v="0"/>
  </r>
  <r>
    <n v="2020"/>
    <x v="2"/>
    <n v="28"/>
    <x v="23"/>
    <n v="0"/>
    <n v="28500"/>
    <n v="0"/>
  </r>
  <r>
    <n v="2020"/>
    <x v="2"/>
    <n v="29"/>
    <x v="0"/>
    <n v="0"/>
    <n v="28500"/>
    <n v="0"/>
  </r>
  <r>
    <n v="2020"/>
    <x v="2"/>
    <n v="29"/>
    <x v="1"/>
    <n v="0"/>
    <n v="28500"/>
    <n v="0"/>
  </r>
  <r>
    <n v="2020"/>
    <x v="2"/>
    <n v="29"/>
    <x v="2"/>
    <n v="0"/>
    <n v="28500"/>
    <n v="0"/>
  </r>
  <r>
    <n v="2020"/>
    <x v="2"/>
    <n v="29"/>
    <x v="3"/>
    <n v="0"/>
    <n v="28500"/>
    <n v="0"/>
  </r>
  <r>
    <n v="2020"/>
    <x v="2"/>
    <n v="29"/>
    <x v="4"/>
    <n v="0"/>
    <n v="28500"/>
    <n v="0"/>
  </r>
  <r>
    <n v="2020"/>
    <x v="2"/>
    <n v="29"/>
    <x v="5"/>
    <n v="0"/>
    <n v="28500"/>
    <n v="0"/>
  </r>
  <r>
    <n v="2020"/>
    <x v="2"/>
    <n v="29"/>
    <x v="6"/>
    <n v="101"/>
    <n v="28500"/>
    <n v="3.5438596491228071E-3"/>
  </r>
  <r>
    <n v="2020"/>
    <x v="2"/>
    <n v="29"/>
    <x v="7"/>
    <n v="9354"/>
    <n v="28500"/>
    <n v="0.32821052631578945"/>
  </r>
  <r>
    <n v="2020"/>
    <x v="2"/>
    <n v="29"/>
    <x v="8"/>
    <n v="13618.5"/>
    <n v="28500"/>
    <n v="0.4778421052631579"/>
  </r>
  <r>
    <n v="2020"/>
    <x v="2"/>
    <n v="29"/>
    <x v="9"/>
    <n v="23688"/>
    <n v="28500"/>
    <n v="0.8311578947368421"/>
  </r>
  <r>
    <n v="2020"/>
    <x v="2"/>
    <n v="29"/>
    <x v="10"/>
    <n v="39422"/>
    <n v="28500"/>
    <n v="1.3832280701754387"/>
  </r>
  <r>
    <n v="2020"/>
    <x v="2"/>
    <n v="29"/>
    <x v="11"/>
    <n v="25759"/>
    <n v="28500"/>
    <n v="0.90382456140350875"/>
  </r>
  <r>
    <n v="2020"/>
    <x v="2"/>
    <n v="29"/>
    <x v="12"/>
    <n v="19489"/>
    <n v="28500"/>
    <n v="0.68382456140350878"/>
  </r>
  <r>
    <n v="2020"/>
    <x v="2"/>
    <n v="29"/>
    <x v="13"/>
    <n v="39702.5"/>
    <n v="28500"/>
    <n v="1.3930701754385966"/>
  </r>
  <r>
    <n v="2020"/>
    <x v="2"/>
    <n v="29"/>
    <x v="14"/>
    <n v="4215"/>
    <n v="28500"/>
    <n v="0.14789473684210527"/>
  </r>
  <r>
    <n v="2020"/>
    <x v="2"/>
    <n v="29"/>
    <x v="15"/>
    <n v="9280.5"/>
    <n v="28500"/>
    <n v="0.32563157894736844"/>
  </r>
  <r>
    <n v="2020"/>
    <x v="2"/>
    <n v="29"/>
    <x v="16"/>
    <n v="16979"/>
    <n v="28500"/>
    <n v="0.59575438596491226"/>
  </r>
  <r>
    <n v="2020"/>
    <x v="2"/>
    <n v="29"/>
    <x v="17"/>
    <n v="4273.5"/>
    <n v="28500"/>
    <n v="0.14994736842105263"/>
  </r>
  <r>
    <n v="2020"/>
    <x v="2"/>
    <n v="29"/>
    <x v="18"/>
    <n v="0"/>
    <n v="28500"/>
    <n v="0"/>
  </r>
  <r>
    <n v="2020"/>
    <x v="2"/>
    <n v="29"/>
    <x v="19"/>
    <n v="0"/>
    <n v="28500"/>
    <n v="0"/>
  </r>
  <r>
    <n v="2020"/>
    <x v="2"/>
    <n v="29"/>
    <x v="20"/>
    <n v="0"/>
    <n v="28500"/>
    <n v="0"/>
  </r>
  <r>
    <n v="2020"/>
    <x v="2"/>
    <n v="29"/>
    <x v="21"/>
    <n v="0"/>
    <n v="28500"/>
    <n v="0"/>
  </r>
  <r>
    <n v="2020"/>
    <x v="2"/>
    <n v="29"/>
    <x v="22"/>
    <n v="0"/>
    <n v="28500"/>
    <n v="0"/>
  </r>
  <r>
    <n v="2020"/>
    <x v="2"/>
    <n v="29"/>
    <x v="23"/>
    <n v="0"/>
    <n v="28500"/>
    <n v="0"/>
  </r>
  <r>
    <n v="2020"/>
    <x v="2"/>
    <n v="30"/>
    <x v="0"/>
    <n v="0"/>
    <n v="28500"/>
    <n v="0"/>
  </r>
  <r>
    <n v="2020"/>
    <x v="2"/>
    <n v="30"/>
    <x v="1"/>
    <n v="0"/>
    <n v="28500"/>
    <n v="0"/>
  </r>
  <r>
    <n v="2020"/>
    <x v="2"/>
    <n v="30"/>
    <x v="2"/>
    <n v="0"/>
    <n v="28500"/>
    <n v="0"/>
  </r>
  <r>
    <n v="2020"/>
    <x v="2"/>
    <n v="30"/>
    <x v="3"/>
    <n v="0"/>
    <n v="28500"/>
    <n v="0"/>
  </r>
  <r>
    <n v="2020"/>
    <x v="2"/>
    <n v="30"/>
    <x v="4"/>
    <n v="0"/>
    <n v="28500"/>
    <n v="0"/>
  </r>
  <r>
    <n v="2020"/>
    <x v="2"/>
    <n v="30"/>
    <x v="5"/>
    <n v="0"/>
    <n v="28500"/>
    <n v="0"/>
  </r>
  <r>
    <n v="2020"/>
    <x v="2"/>
    <n v="30"/>
    <x v="6"/>
    <n v="101.5"/>
    <n v="28500"/>
    <n v="3.5614035087719298E-3"/>
  </r>
  <r>
    <n v="2020"/>
    <x v="2"/>
    <n v="30"/>
    <x v="7"/>
    <n v="4353.5"/>
    <n v="28500"/>
    <n v="0.15275438596491228"/>
  </r>
  <r>
    <n v="2020"/>
    <x v="2"/>
    <n v="30"/>
    <x v="8"/>
    <n v="6367"/>
    <n v="28500"/>
    <n v="0.22340350877192983"/>
  </r>
  <r>
    <n v="2020"/>
    <x v="2"/>
    <n v="30"/>
    <x v="9"/>
    <n v="5281.5"/>
    <n v="28500"/>
    <n v="0.18531578947368421"/>
  </r>
  <r>
    <n v="2020"/>
    <x v="2"/>
    <n v="30"/>
    <x v="10"/>
    <n v="8051.5"/>
    <n v="28500"/>
    <n v="0.28250877192982454"/>
  </r>
  <r>
    <n v="2020"/>
    <x v="2"/>
    <n v="30"/>
    <x v="11"/>
    <n v="4225.5"/>
    <n v="28500"/>
    <n v="0.14826315789473685"/>
  </r>
  <r>
    <n v="2020"/>
    <x v="2"/>
    <n v="30"/>
    <x v="12"/>
    <n v="5812"/>
    <n v="28500"/>
    <n v="0.20392982456140352"/>
  </r>
  <r>
    <n v="2020"/>
    <x v="2"/>
    <n v="30"/>
    <x v="13"/>
    <n v="3294"/>
    <n v="28500"/>
    <n v="0.11557894736842106"/>
  </r>
  <r>
    <n v="2020"/>
    <x v="2"/>
    <n v="30"/>
    <x v="14"/>
    <n v="3172"/>
    <n v="28500"/>
    <n v="0.11129824561403509"/>
  </r>
  <r>
    <n v="2020"/>
    <x v="2"/>
    <n v="30"/>
    <x v="15"/>
    <n v="17484.5"/>
    <n v="28500"/>
    <n v="0.61349122807017542"/>
  </r>
  <r>
    <n v="2020"/>
    <x v="2"/>
    <n v="30"/>
    <x v="16"/>
    <n v="9763.5"/>
    <n v="28500"/>
    <n v="0.34257894736842104"/>
  </r>
  <r>
    <n v="2020"/>
    <x v="2"/>
    <n v="30"/>
    <x v="17"/>
    <n v="3846.5"/>
    <n v="28500"/>
    <n v="0.13496491228070176"/>
  </r>
  <r>
    <n v="2020"/>
    <x v="2"/>
    <n v="30"/>
    <x v="18"/>
    <n v="0"/>
    <n v="28500"/>
    <n v="0"/>
  </r>
  <r>
    <n v="2020"/>
    <x v="2"/>
    <n v="30"/>
    <x v="19"/>
    <n v="0"/>
    <n v="28500"/>
    <n v="0"/>
  </r>
  <r>
    <n v="2020"/>
    <x v="2"/>
    <n v="30"/>
    <x v="20"/>
    <n v="0"/>
    <n v="28500"/>
    <n v="0"/>
  </r>
  <r>
    <n v="2020"/>
    <x v="2"/>
    <n v="30"/>
    <x v="21"/>
    <n v="0"/>
    <n v="28500"/>
    <n v="0"/>
  </r>
  <r>
    <n v="2020"/>
    <x v="2"/>
    <n v="30"/>
    <x v="22"/>
    <n v="0"/>
    <n v="28500"/>
    <n v="0"/>
  </r>
  <r>
    <n v="2020"/>
    <x v="2"/>
    <n v="30"/>
    <x v="23"/>
    <n v="0"/>
    <n v="28500"/>
    <n v="0"/>
  </r>
  <r>
    <n v="2020"/>
    <x v="2"/>
    <n v="31"/>
    <x v="0"/>
    <n v="0"/>
    <n v="28500"/>
    <n v="0"/>
  </r>
  <r>
    <n v="2020"/>
    <x v="2"/>
    <n v="31"/>
    <x v="1"/>
    <n v="0"/>
    <n v="28500"/>
    <n v="0"/>
  </r>
  <r>
    <n v="2020"/>
    <x v="2"/>
    <n v="31"/>
    <x v="2"/>
    <n v="0"/>
    <n v="28500"/>
    <n v="0"/>
  </r>
  <r>
    <n v="2020"/>
    <x v="2"/>
    <n v="31"/>
    <x v="3"/>
    <n v="0"/>
    <n v="28500"/>
    <n v="0"/>
  </r>
  <r>
    <n v="2020"/>
    <x v="2"/>
    <n v="31"/>
    <x v="4"/>
    <n v="0"/>
    <n v="28500"/>
    <n v="0"/>
  </r>
  <r>
    <n v="2020"/>
    <x v="2"/>
    <n v="31"/>
    <x v="5"/>
    <n v="0"/>
    <n v="28500"/>
    <n v="0"/>
  </r>
  <r>
    <n v="2020"/>
    <x v="2"/>
    <n v="31"/>
    <x v="6"/>
    <n v="374.5"/>
    <n v="28500"/>
    <n v="1.3140350877192982E-2"/>
  </r>
  <r>
    <n v="2020"/>
    <x v="2"/>
    <n v="31"/>
    <x v="7"/>
    <n v="6370"/>
    <n v="28500"/>
    <n v="0.22350877192982457"/>
  </r>
  <r>
    <n v="2020"/>
    <x v="2"/>
    <n v="31"/>
    <x v="8"/>
    <n v="20226.5"/>
    <n v="28500"/>
    <n v="0.70970175438596494"/>
  </r>
  <r>
    <n v="2020"/>
    <x v="2"/>
    <n v="31"/>
    <x v="9"/>
    <n v="8680.5"/>
    <n v="28500"/>
    <n v="0.30457894736842106"/>
  </r>
  <r>
    <n v="2020"/>
    <x v="2"/>
    <n v="31"/>
    <x v="10"/>
    <n v="21767.5"/>
    <n v="28500"/>
    <n v="0.76377192982456144"/>
  </r>
  <r>
    <n v="2020"/>
    <x v="2"/>
    <n v="31"/>
    <x v="11"/>
    <n v="30364.5"/>
    <n v="28500"/>
    <n v="1.065421052631579"/>
  </r>
  <r>
    <n v="2020"/>
    <x v="2"/>
    <n v="31"/>
    <x v="12"/>
    <n v="16418.5"/>
    <n v="28500"/>
    <n v="0.57608771929824565"/>
  </r>
  <r>
    <n v="2020"/>
    <x v="2"/>
    <n v="31"/>
    <x v="13"/>
    <n v="27232"/>
    <n v="28500"/>
    <n v="0.95550877192982453"/>
  </r>
  <r>
    <n v="2020"/>
    <x v="2"/>
    <n v="31"/>
    <x v="14"/>
    <n v="8008"/>
    <n v="28500"/>
    <n v="0.28098245614035089"/>
  </r>
  <r>
    <n v="2020"/>
    <x v="2"/>
    <n v="31"/>
    <x v="15"/>
    <n v="17423.5"/>
    <n v="28500"/>
    <n v="0.61135087719298242"/>
  </r>
  <r>
    <n v="2020"/>
    <x v="2"/>
    <n v="31"/>
    <x v="16"/>
    <n v="18349"/>
    <n v="28500"/>
    <n v="0.64382456140350874"/>
  </r>
  <r>
    <n v="2020"/>
    <x v="2"/>
    <n v="31"/>
    <x v="17"/>
    <n v="7015"/>
    <n v="28500"/>
    <n v="0.24614035087719299"/>
  </r>
  <r>
    <n v="2020"/>
    <x v="2"/>
    <n v="31"/>
    <x v="18"/>
    <n v="0"/>
    <n v="28500"/>
    <n v="0"/>
  </r>
  <r>
    <n v="2020"/>
    <x v="2"/>
    <n v="31"/>
    <x v="19"/>
    <n v="0"/>
    <n v="28500"/>
    <n v="0"/>
  </r>
  <r>
    <n v="2020"/>
    <x v="2"/>
    <n v="31"/>
    <x v="20"/>
    <n v="0"/>
    <n v="28500"/>
    <n v="0"/>
  </r>
  <r>
    <n v="2020"/>
    <x v="2"/>
    <n v="31"/>
    <x v="21"/>
    <n v="0"/>
    <n v="28500"/>
    <n v="0"/>
  </r>
  <r>
    <n v="2020"/>
    <x v="2"/>
    <n v="31"/>
    <x v="22"/>
    <n v="0"/>
    <n v="28500"/>
    <n v="0"/>
  </r>
  <r>
    <n v="2020"/>
    <x v="2"/>
    <n v="31"/>
    <x v="23"/>
    <n v="0"/>
    <n v="28500"/>
    <n v="0"/>
  </r>
  <r>
    <n v="2020"/>
    <x v="3"/>
    <n v="1"/>
    <x v="0"/>
    <n v="0"/>
    <n v="28500"/>
    <n v="0"/>
  </r>
  <r>
    <n v="2020"/>
    <x v="3"/>
    <n v="1"/>
    <x v="1"/>
    <n v="0"/>
    <n v="28500"/>
    <n v="0"/>
  </r>
  <r>
    <n v="2020"/>
    <x v="3"/>
    <n v="1"/>
    <x v="2"/>
    <n v="0"/>
    <n v="28500"/>
    <n v="0"/>
  </r>
  <r>
    <n v="2020"/>
    <x v="3"/>
    <n v="1"/>
    <x v="3"/>
    <n v="0"/>
    <n v="28500"/>
    <n v="0"/>
  </r>
  <r>
    <n v="2020"/>
    <x v="3"/>
    <n v="1"/>
    <x v="4"/>
    <n v="0"/>
    <n v="28500"/>
    <n v="0"/>
  </r>
  <r>
    <n v="2020"/>
    <x v="3"/>
    <n v="1"/>
    <x v="5"/>
    <n v="0"/>
    <n v="28500"/>
    <n v="0"/>
  </r>
  <r>
    <n v="2020"/>
    <x v="3"/>
    <n v="1"/>
    <x v="6"/>
    <n v="604"/>
    <n v="28500"/>
    <n v="2.119298245614035E-2"/>
  </r>
  <r>
    <n v="2020"/>
    <x v="3"/>
    <n v="1"/>
    <x v="7"/>
    <n v="10041"/>
    <n v="28500"/>
    <n v="0.35231578947368419"/>
  </r>
  <r>
    <n v="2020"/>
    <x v="3"/>
    <n v="1"/>
    <x v="8"/>
    <n v="21844.5"/>
    <n v="28500"/>
    <n v="0.76647368421052631"/>
  </r>
  <r>
    <n v="2020"/>
    <x v="3"/>
    <n v="1"/>
    <x v="9"/>
    <n v="30851"/>
    <n v="28500"/>
    <n v="1.0824912280701755"/>
  </r>
  <r>
    <n v="2020"/>
    <x v="3"/>
    <n v="1"/>
    <x v="10"/>
    <n v="37739.5"/>
    <n v="28500"/>
    <n v="1.3241929824561403"/>
  </r>
  <r>
    <n v="2020"/>
    <x v="3"/>
    <n v="1"/>
    <x v="11"/>
    <n v="34082"/>
    <n v="28500"/>
    <n v="1.1958596491228071"/>
  </r>
  <r>
    <n v="2020"/>
    <x v="3"/>
    <n v="1"/>
    <x v="12"/>
    <n v="8410.5"/>
    <n v="28500"/>
    <n v="0.29510526315789476"/>
  </r>
  <r>
    <n v="2020"/>
    <x v="3"/>
    <n v="1"/>
    <x v="13"/>
    <n v="5160"/>
    <n v="28500"/>
    <n v="0.18105263157894738"/>
  </r>
  <r>
    <n v="2020"/>
    <x v="3"/>
    <n v="1"/>
    <x v="14"/>
    <n v="3627"/>
    <n v="28500"/>
    <n v="0.12726315789473686"/>
  </r>
  <r>
    <n v="2020"/>
    <x v="3"/>
    <n v="1"/>
    <x v="15"/>
    <n v="3948.5"/>
    <n v="28500"/>
    <n v="0.1385438596491228"/>
  </r>
  <r>
    <n v="2020"/>
    <x v="3"/>
    <n v="1"/>
    <x v="16"/>
    <n v="3329.5"/>
    <n v="28500"/>
    <n v="0.11682456140350878"/>
  </r>
  <r>
    <n v="2020"/>
    <x v="3"/>
    <n v="1"/>
    <x v="17"/>
    <n v="2007.5"/>
    <n v="28500"/>
    <n v="7.0438596491228064E-2"/>
  </r>
  <r>
    <n v="2020"/>
    <x v="3"/>
    <n v="1"/>
    <x v="18"/>
    <n v="0"/>
    <n v="28500"/>
    <n v="0"/>
  </r>
  <r>
    <n v="2020"/>
    <x v="3"/>
    <n v="1"/>
    <x v="19"/>
    <n v="0"/>
    <n v="28500"/>
    <n v="0"/>
  </r>
  <r>
    <n v="2020"/>
    <x v="3"/>
    <n v="1"/>
    <x v="20"/>
    <n v="0"/>
    <n v="28500"/>
    <n v="0"/>
  </r>
  <r>
    <n v="2020"/>
    <x v="3"/>
    <n v="1"/>
    <x v="21"/>
    <n v="0"/>
    <n v="28500"/>
    <n v="0"/>
  </r>
  <r>
    <n v="2020"/>
    <x v="3"/>
    <n v="1"/>
    <x v="22"/>
    <n v="0"/>
    <n v="28500"/>
    <n v="0"/>
  </r>
  <r>
    <n v="2020"/>
    <x v="3"/>
    <n v="1"/>
    <x v="23"/>
    <n v="0"/>
    <n v="28500"/>
    <n v="0"/>
  </r>
  <r>
    <n v="2020"/>
    <x v="3"/>
    <n v="2"/>
    <x v="0"/>
    <n v="0"/>
    <n v="28500"/>
    <n v="0"/>
  </r>
  <r>
    <n v="2020"/>
    <x v="3"/>
    <n v="2"/>
    <x v="1"/>
    <n v="0"/>
    <n v="28500"/>
    <n v="0"/>
  </r>
  <r>
    <n v="2020"/>
    <x v="3"/>
    <n v="2"/>
    <x v="2"/>
    <n v="0"/>
    <n v="28500"/>
    <n v="0"/>
  </r>
  <r>
    <n v="2020"/>
    <x v="3"/>
    <n v="2"/>
    <x v="3"/>
    <n v="0"/>
    <n v="28500"/>
    <n v="0"/>
  </r>
  <r>
    <n v="2020"/>
    <x v="3"/>
    <n v="2"/>
    <x v="4"/>
    <n v="0"/>
    <n v="28500"/>
    <n v="0"/>
  </r>
  <r>
    <n v="2020"/>
    <x v="3"/>
    <n v="2"/>
    <x v="5"/>
    <n v="0"/>
    <n v="28500"/>
    <n v="0"/>
  </r>
  <r>
    <n v="2020"/>
    <x v="3"/>
    <n v="2"/>
    <x v="6"/>
    <n v="285"/>
    <n v="28500"/>
    <n v="0.01"/>
  </r>
  <r>
    <n v="2020"/>
    <x v="3"/>
    <n v="2"/>
    <x v="7"/>
    <n v="3494.5"/>
    <n v="28500"/>
    <n v="0.1226140350877193"/>
  </r>
  <r>
    <n v="2020"/>
    <x v="3"/>
    <n v="2"/>
    <x v="8"/>
    <n v="6474.5"/>
    <n v="28500"/>
    <n v="0.22717543859649122"/>
  </r>
  <r>
    <n v="2020"/>
    <x v="3"/>
    <n v="2"/>
    <x v="9"/>
    <n v="26635.5"/>
    <n v="28500"/>
    <n v="0.93457894736842106"/>
  </r>
  <r>
    <n v="2020"/>
    <x v="3"/>
    <n v="2"/>
    <x v="10"/>
    <n v="29970.5"/>
    <n v="28500"/>
    <n v="1.0515964912280702"/>
  </r>
  <r>
    <n v="2020"/>
    <x v="3"/>
    <n v="2"/>
    <x v="11"/>
    <n v="8845.5"/>
    <n v="28500"/>
    <n v="0.31036842105263157"/>
  </r>
  <r>
    <n v="2020"/>
    <x v="3"/>
    <n v="2"/>
    <x v="12"/>
    <n v="5787"/>
    <n v="28500"/>
    <n v="0.20305263157894737"/>
  </r>
  <r>
    <n v="2020"/>
    <x v="3"/>
    <n v="2"/>
    <x v="13"/>
    <n v="14480.5"/>
    <n v="28500"/>
    <n v="0.50808771929824559"/>
  </r>
  <r>
    <n v="2020"/>
    <x v="3"/>
    <n v="2"/>
    <x v="14"/>
    <n v="15370"/>
    <n v="28500"/>
    <n v="0.53929824561403505"/>
  </r>
  <r>
    <n v="2020"/>
    <x v="3"/>
    <n v="2"/>
    <x v="15"/>
    <n v="7652.5"/>
    <n v="28500"/>
    <n v="0.26850877192982459"/>
  </r>
  <r>
    <n v="2020"/>
    <x v="3"/>
    <n v="2"/>
    <x v="16"/>
    <n v="6230.5"/>
    <n v="28500"/>
    <n v="0.21861403508771929"/>
  </r>
  <r>
    <n v="2020"/>
    <x v="3"/>
    <n v="2"/>
    <x v="17"/>
    <n v="3976.5"/>
    <n v="28500"/>
    <n v="0.13952631578947369"/>
  </r>
  <r>
    <n v="2020"/>
    <x v="3"/>
    <n v="2"/>
    <x v="18"/>
    <n v="57.5"/>
    <n v="28500"/>
    <n v="2.0175438596491228E-3"/>
  </r>
  <r>
    <n v="2020"/>
    <x v="3"/>
    <n v="2"/>
    <x v="19"/>
    <n v="0"/>
    <n v="28500"/>
    <n v="0"/>
  </r>
  <r>
    <n v="2020"/>
    <x v="3"/>
    <n v="2"/>
    <x v="20"/>
    <n v="0"/>
    <n v="28500"/>
    <n v="0"/>
  </r>
  <r>
    <n v="2020"/>
    <x v="3"/>
    <n v="2"/>
    <x v="21"/>
    <n v="0"/>
    <n v="28500"/>
    <n v="0"/>
  </r>
  <r>
    <n v="2020"/>
    <x v="3"/>
    <n v="2"/>
    <x v="22"/>
    <n v="0"/>
    <n v="28500"/>
    <n v="0"/>
  </r>
  <r>
    <n v="2020"/>
    <x v="3"/>
    <n v="2"/>
    <x v="23"/>
    <n v="0"/>
    <n v="28500"/>
    <n v="0"/>
  </r>
  <r>
    <n v="2020"/>
    <x v="3"/>
    <n v="3"/>
    <x v="0"/>
    <n v="0"/>
    <n v="28500"/>
    <n v="0"/>
  </r>
  <r>
    <n v="2020"/>
    <x v="3"/>
    <n v="3"/>
    <x v="1"/>
    <n v="0"/>
    <n v="28500"/>
    <n v="0"/>
  </r>
  <r>
    <n v="2020"/>
    <x v="3"/>
    <n v="3"/>
    <x v="2"/>
    <n v="0"/>
    <n v="28500"/>
    <n v="0"/>
  </r>
  <r>
    <n v="2020"/>
    <x v="3"/>
    <n v="3"/>
    <x v="3"/>
    <n v="0"/>
    <n v="28500"/>
    <n v="0"/>
  </r>
  <r>
    <n v="2020"/>
    <x v="3"/>
    <n v="3"/>
    <x v="4"/>
    <n v="0"/>
    <n v="28500"/>
    <n v="0"/>
  </r>
  <r>
    <n v="2020"/>
    <x v="3"/>
    <n v="3"/>
    <x v="5"/>
    <n v="0"/>
    <n v="28500"/>
    <n v="0"/>
  </r>
  <r>
    <n v="2020"/>
    <x v="3"/>
    <n v="3"/>
    <x v="6"/>
    <n v="254"/>
    <n v="28500"/>
    <n v="8.9122807017543854E-3"/>
  </r>
  <r>
    <n v="2020"/>
    <x v="3"/>
    <n v="3"/>
    <x v="7"/>
    <n v="1745.5"/>
    <n v="28500"/>
    <n v="6.1245614035087721E-2"/>
  </r>
  <r>
    <n v="2020"/>
    <x v="3"/>
    <n v="3"/>
    <x v="8"/>
    <n v="6136"/>
    <n v="28500"/>
    <n v="0.2152982456140351"/>
  </r>
  <r>
    <n v="2020"/>
    <x v="3"/>
    <n v="3"/>
    <x v="9"/>
    <n v="12928.5"/>
    <n v="28500"/>
    <n v="0.45363157894736844"/>
  </r>
  <r>
    <n v="2020"/>
    <x v="3"/>
    <n v="3"/>
    <x v="10"/>
    <n v="6060.5"/>
    <n v="28500"/>
    <n v="0.21264912280701753"/>
  </r>
  <r>
    <n v="2020"/>
    <x v="3"/>
    <n v="3"/>
    <x v="11"/>
    <n v="8503.5"/>
    <n v="28500"/>
    <n v="0.29836842105263156"/>
  </r>
  <r>
    <n v="2020"/>
    <x v="3"/>
    <n v="3"/>
    <x v="12"/>
    <n v="11488.5"/>
    <n v="28500"/>
    <n v="0.40310526315789474"/>
  </r>
  <r>
    <n v="2020"/>
    <x v="3"/>
    <n v="3"/>
    <x v="13"/>
    <n v="24649.5"/>
    <n v="28500"/>
    <n v="0.86489473684210527"/>
  </r>
  <r>
    <n v="2020"/>
    <x v="3"/>
    <n v="3"/>
    <x v="14"/>
    <n v="13432.5"/>
    <n v="28500"/>
    <n v="0.47131578947368419"/>
  </r>
  <r>
    <n v="2020"/>
    <x v="3"/>
    <n v="3"/>
    <x v="15"/>
    <n v="21587.5"/>
    <n v="28500"/>
    <n v="0.75745614035087716"/>
  </r>
  <r>
    <n v="2020"/>
    <x v="3"/>
    <n v="3"/>
    <x v="16"/>
    <n v="12166"/>
    <n v="28500"/>
    <n v="0.42687719298245613"/>
  </r>
  <r>
    <n v="2020"/>
    <x v="3"/>
    <n v="3"/>
    <x v="17"/>
    <n v="4909"/>
    <n v="28500"/>
    <n v="0.17224561403508773"/>
  </r>
  <r>
    <n v="2020"/>
    <x v="3"/>
    <n v="3"/>
    <x v="18"/>
    <n v="120"/>
    <n v="28500"/>
    <n v="4.2105263157894736E-3"/>
  </r>
  <r>
    <n v="2020"/>
    <x v="3"/>
    <n v="3"/>
    <x v="19"/>
    <n v="0"/>
    <n v="28500"/>
    <n v="0"/>
  </r>
  <r>
    <n v="2020"/>
    <x v="3"/>
    <n v="3"/>
    <x v="20"/>
    <n v="0"/>
    <n v="28500"/>
    <n v="0"/>
  </r>
  <r>
    <n v="2020"/>
    <x v="3"/>
    <n v="3"/>
    <x v="21"/>
    <n v="0"/>
    <n v="28500"/>
    <n v="0"/>
  </r>
  <r>
    <n v="2020"/>
    <x v="3"/>
    <n v="3"/>
    <x v="22"/>
    <n v="0"/>
    <n v="28500"/>
    <n v="0"/>
  </r>
  <r>
    <n v="2020"/>
    <x v="3"/>
    <n v="3"/>
    <x v="23"/>
    <n v="0"/>
    <n v="28500"/>
    <n v="0"/>
  </r>
  <r>
    <n v="2020"/>
    <x v="3"/>
    <n v="4"/>
    <x v="0"/>
    <n v="0"/>
    <n v="28500"/>
    <n v="0"/>
  </r>
  <r>
    <n v="2020"/>
    <x v="3"/>
    <n v="4"/>
    <x v="1"/>
    <n v="0"/>
    <n v="28500"/>
    <n v="0"/>
  </r>
  <r>
    <n v="2020"/>
    <x v="3"/>
    <n v="4"/>
    <x v="2"/>
    <n v="0"/>
    <n v="28500"/>
    <n v="0"/>
  </r>
  <r>
    <n v="2020"/>
    <x v="3"/>
    <n v="4"/>
    <x v="3"/>
    <n v="0"/>
    <n v="28500"/>
    <n v="0"/>
  </r>
  <r>
    <n v="2020"/>
    <x v="3"/>
    <n v="4"/>
    <x v="4"/>
    <n v="0"/>
    <n v="28500"/>
    <n v="0"/>
  </r>
  <r>
    <n v="2020"/>
    <x v="3"/>
    <n v="4"/>
    <x v="5"/>
    <n v="0"/>
    <n v="28500"/>
    <n v="0"/>
  </r>
  <r>
    <n v="2020"/>
    <x v="3"/>
    <n v="4"/>
    <x v="6"/>
    <n v="791"/>
    <n v="28500"/>
    <n v="2.7754385964912281E-2"/>
  </r>
  <r>
    <n v="2020"/>
    <x v="3"/>
    <n v="4"/>
    <x v="7"/>
    <n v="6340"/>
    <n v="28500"/>
    <n v="0.22245614035087719"/>
  </r>
  <r>
    <n v="2020"/>
    <x v="3"/>
    <n v="4"/>
    <x v="8"/>
    <n v="18939.5"/>
    <n v="28500"/>
    <n v="0.66454385964912277"/>
  </r>
  <r>
    <n v="2020"/>
    <x v="3"/>
    <n v="4"/>
    <x v="9"/>
    <n v="29119"/>
    <n v="28500"/>
    <n v="1.021719298245614"/>
  </r>
  <r>
    <n v="2020"/>
    <x v="3"/>
    <n v="4"/>
    <x v="10"/>
    <n v="37164"/>
    <n v="28500"/>
    <n v="1.304"/>
  </r>
  <r>
    <n v="2020"/>
    <x v="3"/>
    <n v="4"/>
    <x v="11"/>
    <n v="41839"/>
    <n v="28500"/>
    <n v="1.4680350877192982"/>
  </r>
  <r>
    <n v="2020"/>
    <x v="3"/>
    <n v="4"/>
    <x v="12"/>
    <n v="43089"/>
    <n v="28500"/>
    <n v="1.5118947368421052"/>
  </r>
  <r>
    <n v="2020"/>
    <x v="3"/>
    <n v="4"/>
    <x v="13"/>
    <n v="40354.5"/>
    <n v="28500"/>
    <n v="1.4159473684210526"/>
  </r>
  <r>
    <n v="2020"/>
    <x v="3"/>
    <n v="4"/>
    <x v="14"/>
    <n v="36302"/>
    <n v="28500"/>
    <n v="1.2737543859649123"/>
  </r>
  <r>
    <n v="2020"/>
    <x v="3"/>
    <n v="4"/>
    <x v="15"/>
    <n v="28651"/>
    <n v="28500"/>
    <n v="1.0052982456140351"/>
  </r>
  <r>
    <n v="2020"/>
    <x v="3"/>
    <n v="4"/>
    <x v="16"/>
    <n v="18567.5"/>
    <n v="28500"/>
    <n v="0.65149122807017545"/>
  </r>
  <r>
    <n v="2020"/>
    <x v="3"/>
    <n v="4"/>
    <x v="17"/>
    <n v="6912.5"/>
    <n v="28500"/>
    <n v="0.24254385964912281"/>
  </r>
  <r>
    <n v="2020"/>
    <x v="3"/>
    <n v="4"/>
    <x v="18"/>
    <n v="165"/>
    <n v="28500"/>
    <n v="5.7894736842105266E-3"/>
  </r>
  <r>
    <n v="2020"/>
    <x v="3"/>
    <n v="4"/>
    <x v="19"/>
    <n v="0"/>
    <n v="28500"/>
    <n v="0"/>
  </r>
  <r>
    <n v="2020"/>
    <x v="3"/>
    <n v="4"/>
    <x v="20"/>
    <n v="0"/>
    <n v="28500"/>
    <n v="0"/>
  </r>
  <r>
    <n v="2020"/>
    <x v="3"/>
    <n v="4"/>
    <x v="21"/>
    <n v="0"/>
    <n v="28500"/>
    <n v="0"/>
  </r>
  <r>
    <n v="2020"/>
    <x v="3"/>
    <n v="4"/>
    <x v="22"/>
    <n v="0"/>
    <n v="28500"/>
    <n v="0"/>
  </r>
  <r>
    <n v="2020"/>
    <x v="3"/>
    <n v="4"/>
    <x v="23"/>
    <n v="0"/>
    <n v="28500"/>
    <n v="0"/>
  </r>
  <r>
    <n v="2020"/>
    <x v="3"/>
    <n v="5"/>
    <x v="0"/>
    <n v="0"/>
    <n v="28500"/>
    <n v="0"/>
  </r>
  <r>
    <n v="2020"/>
    <x v="3"/>
    <n v="5"/>
    <x v="1"/>
    <n v="0"/>
    <n v="28500"/>
    <n v="0"/>
  </r>
  <r>
    <n v="2020"/>
    <x v="3"/>
    <n v="5"/>
    <x v="2"/>
    <n v="0"/>
    <n v="28500"/>
    <n v="0"/>
  </r>
  <r>
    <n v="2020"/>
    <x v="3"/>
    <n v="5"/>
    <x v="3"/>
    <n v="0"/>
    <n v="28500"/>
    <n v="0"/>
  </r>
  <r>
    <n v="2020"/>
    <x v="3"/>
    <n v="5"/>
    <x v="4"/>
    <n v="0"/>
    <n v="28500"/>
    <n v="0"/>
  </r>
  <r>
    <n v="2020"/>
    <x v="3"/>
    <n v="5"/>
    <x v="5"/>
    <n v="0"/>
    <n v="28500"/>
    <n v="0"/>
  </r>
  <r>
    <n v="2020"/>
    <x v="3"/>
    <n v="5"/>
    <x v="6"/>
    <n v="1021.5"/>
    <n v="28500"/>
    <n v="3.5842105263157897E-2"/>
  </r>
  <r>
    <n v="2020"/>
    <x v="3"/>
    <n v="5"/>
    <x v="7"/>
    <n v="10723.5"/>
    <n v="28500"/>
    <n v="0.37626315789473685"/>
  </r>
  <r>
    <n v="2020"/>
    <x v="3"/>
    <n v="5"/>
    <x v="8"/>
    <n v="22648"/>
    <n v="28500"/>
    <n v="0.79466666666666663"/>
  </r>
  <r>
    <n v="2020"/>
    <x v="3"/>
    <n v="5"/>
    <x v="9"/>
    <n v="32003"/>
    <n v="28500"/>
    <n v="1.1229122807017544"/>
  </r>
  <r>
    <n v="2020"/>
    <x v="3"/>
    <n v="5"/>
    <x v="10"/>
    <n v="38585"/>
    <n v="28500"/>
    <n v="1.353859649122807"/>
  </r>
  <r>
    <n v="2020"/>
    <x v="3"/>
    <n v="5"/>
    <x v="11"/>
    <n v="42476"/>
    <n v="28500"/>
    <n v="1.4903859649122806"/>
  </r>
  <r>
    <n v="2020"/>
    <x v="3"/>
    <n v="5"/>
    <x v="12"/>
    <n v="43696"/>
    <n v="28500"/>
    <n v="1.5331929824561403"/>
  </r>
  <r>
    <n v="2020"/>
    <x v="3"/>
    <n v="5"/>
    <x v="13"/>
    <n v="41412.5"/>
    <n v="28500"/>
    <n v="1.4530701754385964"/>
  </r>
  <r>
    <n v="2020"/>
    <x v="3"/>
    <n v="5"/>
    <x v="14"/>
    <n v="35909.5"/>
    <n v="28500"/>
    <n v="1.259982456140351"/>
  </r>
  <r>
    <n v="2020"/>
    <x v="3"/>
    <n v="5"/>
    <x v="15"/>
    <n v="28593.5"/>
    <n v="28500"/>
    <n v="1.0032807017543859"/>
  </r>
  <r>
    <n v="2020"/>
    <x v="3"/>
    <n v="5"/>
    <x v="16"/>
    <n v="18472"/>
    <n v="28500"/>
    <n v="0.64814035087719302"/>
  </r>
  <r>
    <n v="2020"/>
    <x v="3"/>
    <n v="5"/>
    <x v="17"/>
    <n v="7038"/>
    <n v="28500"/>
    <n v="0.24694736842105264"/>
  </r>
  <r>
    <n v="2020"/>
    <x v="3"/>
    <n v="5"/>
    <x v="18"/>
    <n v="254.5"/>
    <n v="28500"/>
    <n v="8.9298245614035082E-3"/>
  </r>
  <r>
    <n v="2020"/>
    <x v="3"/>
    <n v="5"/>
    <x v="19"/>
    <n v="0"/>
    <n v="28500"/>
    <n v="0"/>
  </r>
  <r>
    <n v="2020"/>
    <x v="3"/>
    <n v="5"/>
    <x v="20"/>
    <n v="0"/>
    <n v="28500"/>
    <n v="0"/>
  </r>
  <r>
    <n v="2020"/>
    <x v="3"/>
    <n v="5"/>
    <x v="21"/>
    <n v="0"/>
    <n v="28500"/>
    <n v="0"/>
  </r>
  <r>
    <n v="2020"/>
    <x v="3"/>
    <n v="5"/>
    <x v="22"/>
    <n v="0"/>
    <n v="28500"/>
    <n v="0"/>
  </r>
  <r>
    <n v="2020"/>
    <x v="3"/>
    <n v="5"/>
    <x v="23"/>
    <n v="0"/>
    <n v="28500"/>
    <n v="0"/>
  </r>
  <r>
    <n v="2020"/>
    <x v="3"/>
    <n v="6"/>
    <x v="0"/>
    <n v="0"/>
    <n v="28500"/>
    <n v="0"/>
  </r>
  <r>
    <n v="2020"/>
    <x v="3"/>
    <n v="6"/>
    <x v="1"/>
    <n v="0"/>
    <n v="28500"/>
    <n v="0"/>
  </r>
  <r>
    <n v="2020"/>
    <x v="3"/>
    <n v="6"/>
    <x v="2"/>
    <n v="0"/>
    <n v="28500"/>
    <n v="0"/>
  </r>
  <r>
    <n v="2020"/>
    <x v="3"/>
    <n v="6"/>
    <x v="3"/>
    <n v="0"/>
    <n v="28500"/>
    <n v="0"/>
  </r>
  <r>
    <n v="2020"/>
    <x v="3"/>
    <n v="6"/>
    <x v="4"/>
    <n v="0"/>
    <n v="28500"/>
    <n v="0"/>
  </r>
  <r>
    <n v="2020"/>
    <x v="3"/>
    <n v="6"/>
    <x v="5"/>
    <n v="0"/>
    <n v="28500"/>
    <n v="0"/>
  </r>
  <r>
    <n v="2020"/>
    <x v="3"/>
    <n v="6"/>
    <x v="6"/>
    <n v="1032"/>
    <n v="28500"/>
    <n v="3.6210526315789471E-2"/>
  </r>
  <r>
    <n v="2020"/>
    <x v="3"/>
    <n v="6"/>
    <x v="7"/>
    <n v="7228.5"/>
    <n v="28500"/>
    <n v="0.25363157894736843"/>
  </r>
  <r>
    <n v="2020"/>
    <x v="3"/>
    <n v="6"/>
    <x v="8"/>
    <n v="1775.5"/>
    <n v="28500"/>
    <n v="6.2298245614035089E-2"/>
  </r>
  <r>
    <n v="2020"/>
    <x v="3"/>
    <n v="6"/>
    <x v="9"/>
    <n v="8548"/>
    <n v="28500"/>
    <n v="0.29992982456140349"/>
  </r>
  <r>
    <n v="2020"/>
    <x v="3"/>
    <n v="6"/>
    <x v="10"/>
    <n v="5089.5"/>
    <n v="28500"/>
    <n v="0.17857894736842106"/>
  </r>
  <r>
    <n v="2020"/>
    <x v="3"/>
    <n v="6"/>
    <x v="11"/>
    <n v="35709.5"/>
    <n v="28500"/>
    <n v="1.2529649122807018"/>
  </r>
  <r>
    <n v="2020"/>
    <x v="3"/>
    <n v="6"/>
    <x v="12"/>
    <n v="39333"/>
    <n v="28500"/>
    <n v="1.3801052631578947"/>
  </r>
  <r>
    <n v="2020"/>
    <x v="3"/>
    <n v="6"/>
    <x v="13"/>
    <n v="18404.5"/>
    <n v="28500"/>
    <n v="0.64577192982456144"/>
  </r>
  <r>
    <n v="2020"/>
    <x v="3"/>
    <n v="6"/>
    <x v="14"/>
    <n v="14407.5"/>
    <n v="28500"/>
    <n v="0.50552631578947371"/>
  </r>
  <r>
    <n v="2020"/>
    <x v="3"/>
    <n v="6"/>
    <x v="15"/>
    <n v="10243.5"/>
    <n v="28500"/>
    <n v="0.35942105263157897"/>
  </r>
  <r>
    <n v="2020"/>
    <x v="3"/>
    <n v="6"/>
    <x v="16"/>
    <n v="8215.5"/>
    <n v="28500"/>
    <n v="0.28826315789473683"/>
  </r>
  <r>
    <n v="2020"/>
    <x v="3"/>
    <n v="6"/>
    <x v="17"/>
    <n v="3599.5"/>
    <n v="28500"/>
    <n v="0.12629824561403508"/>
  </r>
  <r>
    <n v="2020"/>
    <x v="3"/>
    <n v="6"/>
    <x v="18"/>
    <n v="4"/>
    <n v="28500"/>
    <n v="1.4035087719298245E-4"/>
  </r>
  <r>
    <n v="2020"/>
    <x v="3"/>
    <n v="6"/>
    <x v="19"/>
    <n v="0"/>
    <n v="28500"/>
    <n v="0"/>
  </r>
  <r>
    <n v="2020"/>
    <x v="3"/>
    <n v="6"/>
    <x v="20"/>
    <n v="0"/>
    <n v="28500"/>
    <n v="0"/>
  </r>
  <r>
    <n v="2020"/>
    <x v="3"/>
    <n v="6"/>
    <x v="21"/>
    <n v="0"/>
    <n v="28500"/>
    <n v="0"/>
  </r>
  <r>
    <n v="2020"/>
    <x v="3"/>
    <n v="6"/>
    <x v="22"/>
    <n v="0"/>
    <n v="28500"/>
    <n v="0"/>
  </r>
  <r>
    <n v="2020"/>
    <x v="3"/>
    <n v="6"/>
    <x v="23"/>
    <n v="0"/>
    <n v="28500"/>
    <n v="0"/>
  </r>
  <r>
    <n v="2020"/>
    <x v="3"/>
    <n v="7"/>
    <x v="0"/>
    <n v="0"/>
    <n v="28500"/>
    <n v="0"/>
  </r>
  <r>
    <n v="2020"/>
    <x v="3"/>
    <n v="7"/>
    <x v="1"/>
    <n v="0"/>
    <n v="28500"/>
    <n v="0"/>
  </r>
  <r>
    <n v="2020"/>
    <x v="3"/>
    <n v="7"/>
    <x v="2"/>
    <n v="0"/>
    <n v="28500"/>
    <n v="0"/>
  </r>
  <r>
    <n v="2020"/>
    <x v="3"/>
    <n v="7"/>
    <x v="3"/>
    <n v="0"/>
    <n v="28500"/>
    <n v="0"/>
  </r>
  <r>
    <n v="2020"/>
    <x v="3"/>
    <n v="7"/>
    <x v="4"/>
    <n v="0"/>
    <n v="28500"/>
    <n v="0"/>
  </r>
  <r>
    <n v="2020"/>
    <x v="3"/>
    <n v="7"/>
    <x v="5"/>
    <n v="0"/>
    <n v="28500"/>
    <n v="0"/>
  </r>
  <r>
    <n v="2020"/>
    <x v="3"/>
    <n v="7"/>
    <x v="6"/>
    <n v="1192.5"/>
    <n v="28500"/>
    <n v="4.1842105263157896E-2"/>
  </r>
  <r>
    <n v="2020"/>
    <x v="3"/>
    <n v="7"/>
    <x v="7"/>
    <n v="10502.5"/>
    <n v="28500"/>
    <n v="0.36850877192982456"/>
  </r>
  <r>
    <n v="2020"/>
    <x v="3"/>
    <n v="7"/>
    <x v="8"/>
    <n v="21303"/>
    <n v="28500"/>
    <n v="0.74747368421052629"/>
  </r>
  <r>
    <n v="2020"/>
    <x v="3"/>
    <n v="7"/>
    <x v="9"/>
    <n v="29695"/>
    <n v="28500"/>
    <n v="1.0419298245614035"/>
  </r>
  <r>
    <n v="2020"/>
    <x v="3"/>
    <n v="7"/>
    <x v="10"/>
    <n v="36247"/>
    <n v="28500"/>
    <n v="1.2718245614035089"/>
  </r>
  <r>
    <n v="2020"/>
    <x v="3"/>
    <n v="7"/>
    <x v="11"/>
    <n v="32726.5"/>
    <n v="28500"/>
    <n v="1.1482982456140352"/>
  </r>
  <r>
    <n v="2020"/>
    <x v="3"/>
    <n v="7"/>
    <x v="12"/>
    <n v="35752"/>
    <n v="28500"/>
    <n v="1.2544561403508772"/>
  </r>
  <r>
    <n v="2020"/>
    <x v="3"/>
    <n v="7"/>
    <x v="13"/>
    <n v="37896"/>
    <n v="28500"/>
    <n v="1.3296842105263158"/>
  </r>
  <r>
    <n v="2020"/>
    <x v="3"/>
    <n v="7"/>
    <x v="14"/>
    <n v="31336.5"/>
    <n v="28500"/>
    <n v="1.0995263157894737"/>
  </r>
  <r>
    <n v="2020"/>
    <x v="3"/>
    <n v="7"/>
    <x v="15"/>
    <n v="27730.5"/>
    <n v="28500"/>
    <n v="0.97299999999999998"/>
  </r>
  <r>
    <n v="2020"/>
    <x v="3"/>
    <n v="7"/>
    <x v="16"/>
    <n v="16045"/>
    <n v="28500"/>
    <n v="0.56298245614035092"/>
  </r>
  <r>
    <n v="2020"/>
    <x v="3"/>
    <n v="7"/>
    <x v="17"/>
    <n v="6776.5"/>
    <n v="28500"/>
    <n v="0.23777192982456141"/>
  </r>
  <r>
    <n v="2020"/>
    <x v="3"/>
    <n v="7"/>
    <x v="18"/>
    <n v="282"/>
    <n v="28500"/>
    <n v="9.8947368421052635E-3"/>
  </r>
  <r>
    <n v="2020"/>
    <x v="3"/>
    <n v="7"/>
    <x v="19"/>
    <n v="0"/>
    <n v="28500"/>
    <n v="0"/>
  </r>
  <r>
    <n v="2020"/>
    <x v="3"/>
    <n v="7"/>
    <x v="20"/>
    <n v="0"/>
    <n v="28500"/>
    <n v="0"/>
  </r>
  <r>
    <n v="2020"/>
    <x v="3"/>
    <n v="7"/>
    <x v="21"/>
    <n v="0"/>
    <n v="28500"/>
    <n v="0"/>
  </r>
  <r>
    <n v="2020"/>
    <x v="3"/>
    <n v="7"/>
    <x v="22"/>
    <n v="0"/>
    <n v="28500"/>
    <n v="0"/>
  </r>
  <r>
    <n v="2020"/>
    <x v="3"/>
    <n v="7"/>
    <x v="23"/>
    <n v="0"/>
    <n v="28500"/>
    <n v="0"/>
  </r>
  <r>
    <n v="2020"/>
    <x v="3"/>
    <n v="8"/>
    <x v="0"/>
    <n v="0"/>
    <n v="28500"/>
    <n v="0"/>
  </r>
  <r>
    <n v="2020"/>
    <x v="3"/>
    <n v="8"/>
    <x v="1"/>
    <n v="0"/>
    <n v="28500"/>
    <n v="0"/>
  </r>
  <r>
    <n v="2020"/>
    <x v="3"/>
    <n v="8"/>
    <x v="2"/>
    <n v="0"/>
    <n v="28500"/>
    <n v="0"/>
  </r>
  <r>
    <n v="2020"/>
    <x v="3"/>
    <n v="8"/>
    <x v="3"/>
    <n v="0"/>
    <n v="28500"/>
    <n v="0"/>
  </r>
  <r>
    <n v="2020"/>
    <x v="3"/>
    <n v="8"/>
    <x v="4"/>
    <n v="0"/>
    <n v="28500"/>
    <n v="0"/>
  </r>
  <r>
    <n v="2020"/>
    <x v="3"/>
    <n v="8"/>
    <x v="5"/>
    <n v="0"/>
    <n v="28500"/>
    <n v="0"/>
  </r>
  <r>
    <n v="2020"/>
    <x v="3"/>
    <n v="8"/>
    <x v="6"/>
    <n v="1355.5"/>
    <n v="28500"/>
    <n v="4.7561403508771929E-2"/>
  </r>
  <r>
    <n v="2020"/>
    <x v="3"/>
    <n v="8"/>
    <x v="7"/>
    <n v="9821"/>
    <n v="28500"/>
    <n v="0.34459649122807018"/>
  </r>
  <r>
    <n v="2020"/>
    <x v="3"/>
    <n v="8"/>
    <x v="8"/>
    <n v="20316.5"/>
    <n v="28500"/>
    <n v="0.71285964912280697"/>
  </r>
  <r>
    <n v="2020"/>
    <x v="3"/>
    <n v="8"/>
    <x v="9"/>
    <n v="28985"/>
    <n v="28500"/>
    <n v="1.0170175438596492"/>
  </r>
  <r>
    <n v="2020"/>
    <x v="3"/>
    <n v="8"/>
    <x v="10"/>
    <n v="30943"/>
    <n v="28500"/>
    <n v="1.0857192982456141"/>
  </r>
  <r>
    <n v="2020"/>
    <x v="3"/>
    <n v="8"/>
    <x v="11"/>
    <n v="38562.5"/>
    <n v="28500"/>
    <n v="1.3530701754385965"/>
  </r>
  <r>
    <n v="2020"/>
    <x v="3"/>
    <n v="8"/>
    <x v="12"/>
    <n v="27829"/>
    <n v="28500"/>
    <n v="0.97645614035087724"/>
  </r>
  <r>
    <n v="2020"/>
    <x v="3"/>
    <n v="8"/>
    <x v="13"/>
    <n v="28644.5"/>
    <n v="28500"/>
    <n v="1.0050701754385964"/>
  </r>
  <r>
    <n v="2020"/>
    <x v="3"/>
    <n v="8"/>
    <x v="14"/>
    <n v="17780.5"/>
    <n v="28500"/>
    <n v="0.62387719298245614"/>
  </r>
  <r>
    <n v="2020"/>
    <x v="3"/>
    <n v="8"/>
    <x v="15"/>
    <n v="16944.5"/>
    <n v="28500"/>
    <n v="0.59454385964912282"/>
  </r>
  <r>
    <n v="2020"/>
    <x v="3"/>
    <n v="8"/>
    <x v="16"/>
    <n v="9231.5"/>
    <n v="28500"/>
    <n v="0.32391228070175437"/>
  </r>
  <r>
    <n v="2020"/>
    <x v="3"/>
    <n v="8"/>
    <x v="17"/>
    <n v="3946.5"/>
    <n v="28500"/>
    <n v="0.1384736842105263"/>
  </r>
  <r>
    <n v="2020"/>
    <x v="3"/>
    <n v="8"/>
    <x v="18"/>
    <n v="73.5"/>
    <n v="28500"/>
    <n v="2.5789473684210526E-3"/>
  </r>
  <r>
    <n v="2020"/>
    <x v="3"/>
    <n v="8"/>
    <x v="19"/>
    <n v="0"/>
    <n v="28500"/>
    <n v="0"/>
  </r>
  <r>
    <n v="2020"/>
    <x v="3"/>
    <n v="8"/>
    <x v="20"/>
    <n v="0"/>
    <n v="28500"/>
    <n v="0"/>
  </r>
  <r>
    <n v="2020"/>
    <x v="3"/>
    <n v="8"/>
    <x v="21"/>
    <n v="0"/>
    <n v="28500"/>
    <n v="0"/>
  </r>
  <r>
    <n v="2020"/>
    <x v="3"/>
    <n v="8"/>
    <x v="22"/>
    <n v="0"/>
    <n v="28500"/>
    <n v="0"/>
  </r>
  <r>
    <n v="2020"/>
    <x v="3"/>
    <n v="8"/>
    <x v="23"/>
    <n v="0"/>
    <n v="28500"/>
    <n v="0"/>
  </r>
  <r>
    <n v="2020"/>
    <x v="3"/>
    <n v="9"/>
    <x v="0"/>
    <n v="0"/>
    <n v="28500"/>
    <n v="0"/>
  </r>
  <r>
    <n v="2020"/>
    <x v="3"/>
    <n v="9"/>
    <x v="1"/>
    <n v="0"/>
    <n v="28500"/>
    <n v="0"/>
  </r>
  <r>
    <n v="2020"/>
    <x v="3"/>
    <n v="9"/>
    <x v="2"/>
    <n v="0"/>
    <n v="28500"/>
    <n v="0"/>
  </r>
  <r>
    <n v="2020"/>
    <x v="3"/>
    <n v="9"/>
    <x v="3"/>
    <n v="0"/>
    <n v="28500"/>
    <n v="0"/>
  </r>
  <r>
    <n v="2020"/>
    <x v="3"/>
    <n v="9"/>
    <x v="4"/>
    <n v="0"/>
    <n v="28500"/>
    <n v="0"/>
  </r>
  <r>
    <n v="2020"/>
    <x v="3"/>
    <n v="9"/>
    <x v="5"/>
    <n v="0"/>
    <n v="28500"/>
    <n v="0"/>
  </r>
  <r>
    <n v="2020"/>
    <x v="3"/>
    <n v="9"/>
    <x v="6"/>
    <n v="1397.5"/>
    <n v="28500"/>
    <n v="4.9035087719298244E-2"/>
  </r>
  <r>
    <n v="2020"/>
    <x v="3"/>
    <n v="9"/>
    <x v="7"/>
    <n v="9929"/>
    <n v="28500"/>
    <n v="0.34838596491228069"/>
  </r>
  <r>
    <n v="2020"/>
    <x v="3"/>
    <n v="9"/>
    <x v="8"/>
    <n v="20621.5"/>
    <n v="28500"/>
    <n v="0.72356140350877196"/>
  </r>
  <r>
    <n v="2020"/>
    <x v="3"/>
    <n v="9"/>
    <x v="9"/>
    <n v="29304.5"/>
    <n v="28500"/>
    <n v="1.0282280701754385"/>
  </r>
  <r>
    <n v="2020"/>
    <x v="3"/>
    <n v="9"/>
    <x v="10"/>
    <n v="36257"/>
    <n v="28500"/>
    <n v="1.2721754385964912"/>
  </r>
  <r>
    <n v="2020"/>
    <x v="3"/>
    <n v="9"/>
    <x v="11"/>
    <n v="39871.5"/>
    <n v="28500"/>
    <n v="1.399"/>
  </r>
  <r>
    <n v="2020"/>
    <x v="3"/>
    <n v="9"/>
    <x v="12"/>
    <n v="41522"/>
    <n v="28500"/>
    <n v="1.4569122807017545"/>
  </r>
  <r>
    <n v="2020"/>
    <x v="3"/>
    <n v="9"/>
    <x v="13"/>
    <n v="38880"/>
    <n v="28500"/>
    <n v="1.3642105263157895"/>
  </r>
  <r>
    <n v="2020"/>
    <x v="3"/>
    <n v="9"/>
    <x v="14"/>
    <n v="33663.5"/>
    <n v="28500"/>
    <n v="1.1811754385964912"/>
  </r>
  <r>
    <n v="2020"/>
    <x v="3"/>
    <n v="9"/>
    <x v="15"/>
    <n v="25805.5"/>
    <n v="28500"/>
    <n v="0.90545614035087718"/>
  </r>
  <r>
    <n v="2020"/>
    <x v="3"/>
    <n v="9"/>
    <x v="16"/>
    <n v="16892.5"/>
    <n v="28500"/>
    <n v="0.59271929824561409"/>
  </r>
  <r>
    <n v="2020"/>
    <x v="3"/>
    <n v="9"/>
    <x v="17"/>
    <n v="6421.5"/>
    <n v="28500"/>
    <n v="0.22531578947368422"/>
  </r>
  <r>
    <n v="2020"/>
    <x v="3"/>
    <n v="9"/>
    <x v="18"/>
    <n v="469.5"/>
    <n v="28500"/>
    <n v="1.6473684210526317E-2"/>
  </r>
  <r>
    <n v="2020"/>
    <x v="3"/>
    <n v="9"/>
    <x v="19"/>
    <n v="0"/>
    <n v="28500"/>
    <n v="0"/>
  </r>
  <r>
    <n v="2020"/>
    <x v="3"/>
    <n v="9"/>
    <x v="20"/>
    <n v="0"/>
    <n v="28500"/>
    <n v="0"/>
  </r>
  <r>
    <n v="2020"/>
    <x v="3"/>
    <n v="9"/>
    <x v="21"/>
    <n v="0"/>
    <n v="28500"/>
    <n v="0"/>
  </r>
  <r>
    <n v="2020"/>
    <x v="3"/>
    <n v="9"/>
    <x v="22"/>
    <n v="0"/>
    <n v="28500"/>
    <n v="0"/>
  </r>
  <r>
    <n v="2020"/>
    <x v="3"/>
    <n v="9"/>
    <x v="23"/>
    <n v="0"/>
    <n v="28500"/>
    <n v="0"/>
  </r>
  <r>
    <n v="2020"/>
    <x v="3"/>
    <n v="10"/>
    <x v="0"/>
    <n v="0"/>
    <n v="28500"/>
    <n v="0"/>
  </r>
  <r>
    <n v="2020"/>
    <x v="3"/>
    <n v="10"/>
    <x v="1"/>
    <n v="0"/>
    <n v="28500"/>
    <n v="0"/>
  </r>
  <r>
    <n v="2020"/>
    <x v="3"/>
    <n v="10"/>
    <x v="2"/>
    <n v="0"/>
    <n v="28500"/>
    <n v="0"/>
  </r>
  <r>
    <n v="2020"/>
    <x v="3"/>
    <n v="10"/>
    <x v="3"/>
    <n v="0"/>
    <n v="28500"/>
    <n v="0"/>
  </r>
  <r>
    <n v="2020"/>
    <x v="3"/>
    <n v="10"/>
    <x v="4"/>
    <n v="0"/>
    <n v="28500"/>
    <n v="0"/>
  </r>
  <r>
    <n v="2020"/>
    <x v="3"/>
    <n v="10"/>
    <x v="5"/>
    <n v="0"/>
    <n v="28500"/>
    <n v="0"/>
  </r>
  <r>
    <n v="2020"/>
    <x v="3"/>
    <n v="10"/>
    <x v="6"/>
    <n v="1466.5"/>
    <n v="28500"/>
    <n v="5.1456140350877193E-2"/>
  </r>
  <r>
    <n v="2020"/>
    <x v="3"/>
    <n v="10"/>
    <x v="7"/>
    <n v="10275"/>
    <n v="28500"/>
    <n v="0.36052631578947369"/>
  </r>
  <r>
    <n v="2020"/>
    <x v="3"/>
    <n v="10"/>
    <x v="8"/>
    <n v="21681"/>
    <n v="28500"/>
    <n v="0.76073684210526316"/>
  </r>
  <r>
    <n v="2020"/>
    <x v="3"/>
    <n v="10"/>
    <x v="9"/>
    <n v="30585"/>
    <n v="28500"/>
    <n v="1.0731578947368421"/>
  </r>
  <r>
    <n v="2020"/>
    <x v="3"/>
    <n v="10"/>
    <x v="10"/>
    <n v="36665.5"/>
    <n v="28500"/>
    <n v="1.2865087719298245"/>
  </r>
  <r>
    <n v="2020"/>
    <x v="3"/>
    <n v="10"/>
    <x v="11"/>
    <n v="40021"/>
    <n v="28500"/>
    <n v="1.4042456140350876"/>
  </r>
  <r>
    <n v="2020"/>
    <x v="3"/>
    <n v="10"/>
    <x v="12"/>
    <n v="41088.5"/>
    <n v="28500"/>
    <n v="1.4417017543859649"/>
  </r>
  <r>
    <n v="2020"/>
    <x v="3"/>
    <n v="10"/>
    <x v="13"/>
    <n v="39149.5"/>
    <n v="28500"/>
    <n v="1.3736666666666666"/>
  </r>
  <r>
    <n v="2020"/>
    <x v="3"/>
    <n v="10"/>
    <x v="14"/>
    <n v="34282"/>
    <n v="28500"/>
    <n v="1.2028771929824562"/>
  </r>
  <r>
    <n v="2020"/>
    <x v="3"/>
    <n v="10"/>
    <x v="15"/>
    <n v="27036.5"/>
    <n v="28500"/>
    <n v="0.94864912280701752"/>
  </r>
  <r>
    <n v="2020"/>
    <x v="3"/>
    <n v="10"/>
    <x v="16"/>
    <n v="17584"/>
    <n v="28500"/>
    <n v="0.61698245614035085"/>
  </r>
  <r>
    <n v="2020"/>
    <x v="3"/>
    <n v="10"/>
    <x v="17"/>
    <n v="6599.5"/>
    <n v="28500"/>
    <n v="0.23156140350877194"/>
  </r>
  <r>
    <n v="2020"/>
    <x v="3"/>
    <n v="10"/>
    <x v="18"/>
    <n v="495"/>
    <n v="28500"/>
    <n v="1.7368421052631578E-2"/>
  </r>
  <r>
    <n v="2020"/>
    <x v="3"/>
    <n v="10"/>
    <x v="19"/>
    <n v="0"/>
    <n v="28500"/>
    <n v="0"/>
  </r>
  <r>
    <n v="2020"/>
    <x v="3"/>
    <n v="10"/>
    <x v="20"/>
    <n v="0"/>
    <n v="28500"/>
    <n v="0"/>
  </r>
  <r>
    <n v="2020"/>
    <x v="3"/>
    <n v="10"/>
    <x v="21"/>
    <n v="0"/>
    <n v="28500"/>
    <n v="0"/>
  </r>
  <r>
    <n v="2020"/>
    <x v="3"/>
    <n v="10"/>
    <x v="22"/>
    <n v="0"/>
    <n v="28500"/>
    <n v="0"/>
  </r>
  <r>
    <n v="2020"/>
    <x v="3"/>
    <n v="10"/>
    <x v="23"/>
    <n v="0"/>
    <n v="28500"/>
    <n v="0"/>
  </r>
  <r>
    <n v="2020"/>
    <x v="3"/>
    <n v="11"/>
    <x v="0"/>
    <n v="0"/>
    <n v="28500"/>
    <n v="0"/>
  </r>
  <r>
    <n v="2020"/>
    <x v="3"/>
    <n v="11"/>
    <x v="1"/>
    <n v="0"/>
    <n v="28500"/>
    <n v="0"/>
  </r>
  <r>
    <n v="2020"/>
    <x v="3"/>
    <n v="11"/>
    <x v="2"/>
    <n v="0"/>
    <n v="28500"/>
    <n v="0"/>
  </r>
  <r>
    <n v="2020"/>
    <x v="3"/>
    <n v="11"/>
    <x v="3"/>
    <n v="0"/>
    <n v="28500"/>
    <n v="0"/>
  </r>
  <r>
    <n v="2020"/>
    <x v="3"/>
    <n v="11"/>
    <x v="4"/>
    <n v="0"/>
    <n v="28500"/>
    <n v="0"/>
  </r>
  <r>
    <n v="2020"/>
    <x v="3"/>
    <n v="11"/>
    <x v="5"/>
    <n v="0"/>
    <n v="28500"/>
    <n v="0"/>
  </r>
  <r>
    <n v="2020"/>
    <x v="3"/>
    <n v="11"/>
    <x v="6"/>
    <n v="1606"/>
    <n v="28500"/>
    <n v="5.6350877192982457E-2"/>
  </r>
  <r>
    <n v="2020"/>
    <x v="3"/>
    <n v="11"/>
    <x v="7"/>
    <n v="10449.5"/>
    <n v="28500"/>
    <n v="0.36664912280701756"/>
  </r>
  <r>
    <n v="2020"/>
    <x v="3"/>
    <n v="11"/>
    <x v="8"/>
    <n v="20891.5"/>
    <n v="28500"/>
    <n v="0.73303508771929826"/>
  </r>
  <r>
    <n v="2020"/>
    <x v="3"/>
    <n v="11"/>
    <x v="9"/>
    <n v="29154.5"/>
    <n v="28500"/>
    <n v="1.0229649122807019"/>
  </r>
  <r>
    <n v="2020"/>
    <x v="3"/>
    <n v="11"/>
    <x v="10"/>
    <n v="34934.5"/>
    <n v="28500"/>
    <n v="1.2257719298245615"/>
  </r>
  <r>
    <n v="2020"/>
    <x v="3"/>
    <n v="11"/>
    <x v="11"/>
    <n v="38297"/>
    <n v="28500"/>
    <n v="1.3437543859649124"/>
  </r>
  <r>
    <n v="2020"/>
    <x v="3"/>
    <n v="11"/>
    <x v="12"/>
    <n v="39321"/>
    <n v="28500"/>
    <n v="1.3796842105263158"/>
  </r>
  <r>
    <n v="2020"/>
    <x v="3"/>
    <n v="11"/>
    <x v="13"/>
    <n v="36353.5"/>
    <n v="28500"/>
    <n v="1.2755614035087719"/>
  </r>
  <r>
    <n v="2020"/>
    <x v="3"/>
    <n v="11"/>
    <x v="14"/>
    <n v="9880"/>
    <n v="28500"/>
    <n v="0.34666666666666668"/>
  </r>
  <r>
    <n v="2020"/>
    <x v="3"/>
    <n v="11"/>
    <x v="15"/>
    <n v="12157"/>
    <n v="28500"/>
    <n v="0.42656140350877192"/>
  </r>
  <r>
    <n v="2020"/>
    <x v="3"/>
    <n v="11"/>
    <x v="16"/>
    <n v="12531"/>
    <n v="28500"/>
    <n v="0.43968421052631579"/>
  </r>
  <r>
    <n v="2020"/>
    <x v="3"/>
    <n v="11"/>
    <x v="17"/>
    <n v="6430.5"/>
    <n v="28500"/>
    <n v="0.22563157894736843"/>
  </r>
  <r>
    <n v="2020"/>
    <x v="3"/>
    <n v="11"/>
    <x v="18"/>
    <n v="541"/>
    <n v="28500"/>
    <n v="1.8982456140350878E-2"/>
  </r>
  <r>
    <n v="2020"/>
    <x v="3"/>
    <n v="11"/>
    <x v="19"/>
    <n v="0"/>
    <n v="28500"/>
    <n v="0"/>
  </r>
  <r>
    <n v="2020"/>
    <x v="3"/>
    <n v="11"/>
    <x v="20"/>
    <n v="0"/>
    <n v="28500"/>
    <n v="0"/>
  </r>
  <r>
    <n v="2020"/>
    <x v="3"/>
    <n v="11"/>
    <x v="21"/>
    <n v="0"/>
    <n v="28500"/>
    <n v="0"/>
  </r>
  <r>
    <n v="2020"/>
    <x v="3"/>
    <n v="11"/>
    <x v="22"/>
    <n v="0"/>
    <n v="28500"/>
    <n v="0"/>
  </r>
  <r>
    <n v="2020"/>
    <x v="3"/>
    <n v="11"/>
    <x v="23"/>
    <n v="0"/>
    <n v="28500"/>
    <n v="0"/>
  </r>
  <r>
    <n v="2020"/>
    <x v="3"/>
    <n v="12"/>
    <x v="0"/>
    <n v="0"/>
    <n v="28500"/>
    <n v="0"/>
  </r>
  <r>
    <n v="2020"/>
    <x v="3"/>
    <n v="12"/>
    <x v="1"/>
    <n v="0"/>
    <n v="28500"/>
    <n v="0"/>
  </r>
  <r>
    <n v="2020"/>
    <x v="3"/>
    <n v="12"/>
    <x v="2"/>
    <n v="0"/>
    <n v="28500"/>
    <n v="0"/>
  </r>
  <r>
    <n v="2020"/>
    <x v="3"/>
    <n v="12"/>
    <x v="3"/>
    <n v="0"/>
    <n v="28500"/>
    <n v="0"/>
  </r>
  <r>
    <n v="2020"/>
    <x v="3"/>
    <n v="12"/>
    <x v="4"/>
    <n v="0"/>
    <n v="28500"/>
    <n v="0"/>
  </r>
  <r>
    <n v="2020"/>
    <x v="3"/>
    <n v="12"/>
    <x v="5"/>
    <n v="0"/>
    <n v="28500"/>
    <n v="0"/>
  </r>
  <r>
    <n v="2020"/>
    <x v="3"/>
    <n v="12"/>
    <x v="6"/>
    <n v="1594"/>
    <n v="28500"/>
    <n v="5.592982456140351E-2"/>
  </r>
  <r>
    <n v="2020"/>
    <x v="3"/>
    <n v="12"/>
    <x v="7"/>
    <n v="8707.5"/>
    <n v="28500"/>
    <n v="0.3055263157894737"/>
  </r>
  <r>
    <n v="2020"/>
    <x v="3"/>
    <n v="12"/>
    <x v="8"/>
    <n v="20683"/>
    <n v="28500"/>
    <n v="0.72571929824561399"/>
  </r>
  <r>
    <n v="2020"/>
    <x v="3"/>
    <n v="12"/>
    <x v="9"/>
    <n v="26931"/>
    <n v="28500"/>
    <n v="0.94494736842105265"/>
  </r>
  <r>
    <n v="2020"/>
    <x v="3"/>
    <n v="12"/>
    <x v="10"/>
    <n v="32467.5"/>
    <n v="28500"/>
    <n v="1.1392105263157895"/>
  </r>
  <r>
    <n v="2020"/>
    <x v="3"/>
    <n v="12"/>
    <x v="11"/>
    <n v="32082.5"/>
    <n v="28500"/>
    <n v="1.1257017543859649"/>
  </r>
  <r>
    <n v="2020"/>
    <x v="3"/>
    <n v="12"/>
    <x v="12"/>
    <n v="33671"/>
    <n v="28500"/>
    <n v="1.1814385964912282"/>
  </r>
  <r>
    <n v="2020"/>
    <x v="3"/>
    <n v="12"/>
    <x v="13"/>
    <n v="33666.5"/>
    <n v="28500"/>
    <n v="1.181280701754386"/>
  </r>
  <r>
    <n v="2020"/>
    <x v="3"/>
    <n v="12"/>
    <x v="14"/>
    <n v="27144"/>
    <n v="28500"/>
    <n v="0.95242105263157895"/>
  </r>
  <r>
    <n v="2020"/>
    <x v="3"/>
    <n v="12"/>
    <x v="15"/>
    <n v="26349"/>
    <n v="28500"/>
    <n v="0.92452631578947364"/>
  </r>
  <r>
    <n v="2020"/>
    <x v="3"/>
    <n v="12"/>
    <x v="16"/>
    <n v="15928.5"/>
    <n v="28500"/>
    <n v="0.55889473684210522"/>
  </r>
  <r>
    <n v="2020"/>
    <x v="3"/>
    <n v="12"/>
    <x v="17"/>
    <n v="6813.5"/>
    <n v="28500"/>
    <n v="0.23907017543859649"/>
  </r>
  <r>
    <n v="2020"/>
    <x v="3"/>
    <n v="12"/>
    <x v="18"/>
    <n v="485"/>
    <n v="28500"/>
    <n v="1.7017543859649122E-2"/>
  </r>
  <r>
    <n v="2020"/>
    <x v="3"/>
    <n v="12"/>
    <x v="19"/>
    <n v="0"/>
    <n v="28500"/>
    <n v="0"/>
  </r>
  <r>
    <n v="2020"/>
    <x v="3"/>
    <n v="12"/>
    <x v="20"/>
    <n v="0"/>
    <n v="28500"/>
    <n v="0"/>
  </r>
  <r>
    <n v="2020"/>
    <x v="3"/>
    <n v="12"/>
    <x v="21"/>
    <n v="0"/>
    <n v="28500"/>
    <n v="0"/>
  </r>
  <r>
    <n v="2020"/>
    <x v="3"/>
    <n v="12"/>
    <x v="22"/>
    <n v="0"/>
    <n v="28500"/>
    <n v="0"/>
  </r>
  <r>
    <n v="2020"/>
    <x v="3"/>
    <n v="12"/>
    <x v="23"/>
    <n v="0"/>
    <n v="28500"/>
    <n v="0"/>
  </r>
  <r>
    <n v="2020"/>
    <x v="3"/>
    <n v="13"/>
    <x v="0"/>
    <n v="0"/>
    <n v="28500"/>
    <n v="0"/>
  </r>
  <r>
    <n v="2020"/>
    <x v="3"/>
    <n v="13"/>
    <x v="1"/>
    <n v="0"/>
    <n v="28500"/>
    <n v="0"/>
  </r>
  <r>
    <n v="2020"/>
    <x v="3"/>
    <n v="13"/>
    <x v="2"/>
    <n v="0"/>
    <n v="28500"/>
    <n v="0"/>
  </r>
  <r>
    <n v="2020"/>
    <x v="3"/>
    <n v="13"/>
    <x v="3"/>
    <n v="0"/>
    <n v="28500"/>
    <n v="0"/>
  </r>
  <r>
    <n v="2020"/>
    <x v="3"/>
    <n v="13"/>
    <x v="4"/>
    <n v="0"/>
    <n v="28500"/>
    <n v="0"/>
  </r>
  <r>
    <n v="2020"/>
    <x v="3"/>
    <n v="13"/>
    <x v="5"/>
    <n v="0"/>
    <n v="28500"/>
    <n v="0"/>
  </r>
  <r>
    <n v="2020"/>
    <x v="3"/>
    <n v="13"/>
    <x v="6"/>
    <n v="396.5"/>
    <n v="28500"/>
    <n v="1.3912280701754386E-2"/>
  </r>
  <r>
    <n v="2020"/>
    <x v="3"/>
    <n v="13"/>
    <x v="7"/>
    <n v="2847"/>
    <n v="28500"/>
    <n v="9.9894736842105258E-2"/>
  </r>
  <r>
    <n v="2020"/>
    <x v="3"/>
    <n v="13"/>
    <x v="8"/>
    <n v="6775"/>
    <n v="28500"/>
    <n v="0.23771929824561402"/>
  </r>
  <r>
    <n v="2020"/>
    <x v="3"/>
    <n v="13"/>
    <x v="9"/>
    <n v="10234"/>
    <n v="28500"/>
    <n v="0.35908771929824562"/>
  </r>
  <r>
    <n v="2020"/>
    <x v="3"/>
    <n v="13"/>
    <x v="10"/>
    <n v="23362"/>
    <n v="28500"/>
    <n v="0.81971929824561407"/>
  </r>
  <r>
    <n v="2020"/>
    <x v="3"/>
    <n v="13"/>
    <x v="11"/>
    <n v="21381.5"/>
    <n v="28500"/>
    <n v="0.75022807017543858"/>
  </r>
  <r>
    <n v="2020"/>
    <x v="3"/>
    <n v="13"/>
    <x v="12"/>
    <n v="34941.5"/>
    <n v="28500"/>
    <n v="1.2260175438596492"/>
  </r>
  <r>
    <n v="2020"/>
    <x v="3"/>
    <n v="13"/>
    <x v="13"/>
    <n v="40358"/>
    <n v="28500"/>
    <n v="1.4160701754385965"/>
  </r>
  <r>
    <n v="2020"/>
    <x v="3"/>
    <n v="13"/>
    <x v="14"/>
    <n v="27947.5"/>
    <n v="28500"/>
    <n v="0.98061403508771927"/>
  </r>
  <r>
    <n v="2020"/>
    <x v="3"/>
    <n v="13"/>
    <x v="15"/>
    <n v="30361"/>
    <n v="28500"/>
    <n v="1.0652982456140352"/>
  </r>
  <r>
    <n v="2020"/>
    <x v="3"/>
    <n v="13"/>
    <x v="16"/>
    <n v="18497.5"/>
    <n v="28500"/>
    <n v="0.6490350877192983"/>
  </r>
  <r>
    <n v="2020"/>
    <x v="3"/>
    <n v="13"/>
    <x v="17"/>
    <n v="7804"/>
    <n v="28500"/>
    <n v="0.27382456140350875"/>
  </r>
  <r>
    <n v="2020"/>
    <x v="3"/>
    <n v="13"/>
    <x v="18"/>
    <n v="667.5"/>
    <n v="28500"/>
    <n v="2.3421052631578947E-2"/>
  </r>
  <r>
    <n v="2020"/>
    <x v="3"/>
    <n v="13"/>
    <x v="19"/>
    <n v="0"/>
    <n v="28500"/>
    <n v="0"/>
  </r>
  <r>
    <n v="2020"/>
    <x v="3"/>
    <n v="13"/>
    <x v="20"/>
    <n v="0"/>
    <n v="28500"/>
    <n v="0"/>
  </r>
  <r>
    <n v="2020"/>
    <x v="3"/>
    <n v="13"/>
    <x v="21"/>
    <n v="0"/>
    <n v="28500"/>
    <n v="0"/>
  </r>
  <r>
    <n v="2020"/>
    <x v="3"/>
    <n v="13"/>
    <x v="22"/>
    <n v="0"/>
    <n v="28500"/>
    <n v="0"/>
  </r>
  <r>
    <n v="2020"/>
    <x v="3"/>
    <n v="13"/>
    <x v="23"/>
    <n v="0"/>
    <n v="28500"/>
    <n v="0"/>
  </r>
  <r>
    <n v="2020"/>
    <x v="3"/>
    <n v="14"/>
    <x v="0"/>
    <n v="0"/>
    <n v="28500"/>
    <n v="0"/>
  </r>
  <r>
    <n v="2020"/>
    <x v="3"/>
    <n v="14"/>
    <x v="1"/>
    <n v="0"/>
    <n v="28500"/>
    <n v="0"/>
  </r>
  <r>
    <n v="2020"/>
    <x v="3"/>
    <n v="14"/>
    <x v="2"/>
    <n v="0"/>
    <n v="28500"/>
    <n v="0"/>
  </r>
  <r>
    <n v="2020"/>
    <x v="3"/>
    <n v="14"/>
    <x v="3"/>
    <n v="0"/>
    <n v="28500"/>
    <n v="0"/>
  </r>
  <r>
    <n v="2020"/>
    <x v="3"/>
    <n v="14"/>
    <x v="4"/>
    <n v="0"/>
    <n v="28500"/>
    <n v="0"/>
  </r>
  <r>
    <n v="2020"/>
    <x v="3"/>
    <n v="14"/>
    <x v="5"/>
    <n v="0"/>
    <n v="28500"/>
    <n v="0"/>
  </r>
  <r>
    <n v="2020"/>
    <x v="3"/>
    <n v="14"/>
    <x v="6"/>
    <n v="1945"/>
    <n v="28500"/>
    <n v="6.8245614035087721E-2"/>
  </r>
  <r>
    <n v="2020"/>
    <x v="3"/>
    <n v="14"/>
    <x v="7"/>
    <n v="10803.5"/>
    <n v="28500"/>
    <n v="0.3790701754385965"/>
  </r>
  <r>
    <n v="2020"/>
    <x v="3"/>
    <n v="14"/>
    <x v="8"/>
    <n v="14397"/>
    <n v="28500"/>
    <n v="0.50515789473684214"/>
  </r>
  <r>
    <n v="2020"/>
    <x v="3"/>
    <n v="14"/>
    <x v="9"/>
    <n v="22493.5"/>
    <n v="28500"/>
    <n v="0.78924561403508775"/>
  </r>
  <r>
    <n v="2020"/>
    <x v="3"/>
    <n v="14"/>
    <x v="10"/>
    <n v="29954.5"/>
    <n v="28500"/>
    <n v="1.0510350877192982"/>
  </r>
  <r>
    <n v="2020"/>
    <x v="3"/>
    <n v="14"/>
    <x v="11"/>
    <n v="42068.5"/>
    <n v="28500"/>
    <n v="1.4760877192982456"/>
  </r>
  <r>
    <n v="2020"/>
    <x v="3"/>
    <n v="14"/>
    <x v="12"/>
    <n v="43459.5"/>
    <n v="28500"/>
    <n v="1.5248947368421053"/>
  </r>
  <r>
    <n v="2020"/>
    <x v="3"/>
    <n v="14"/>
    <x v="13"/>
    <n v="41393"/>
    <n v="28500"/>
    <n v="1.4523859649122808"/>
  </r>
  <r>
    <n v="2020"/>
    <x v="3"/>
    <n v="14"/>
    <x v="14"/>
    <n v="36547"/>
    <n v="28500"/>
    <n v="1.2823508771929824"/>
  </r>
  <r>
    <n v="2020"/>
    <x v="3"/>
    <n v="14"/>
    <x v="15"/>
    <n v="29198"/>
    <n v="28500"/>
    <n v="1.0244912280701755"/>
  </r>
  <r>
    <n v="2020"/>
    <x v="3"/>
    <n v="14"/>
    <x v="16"/>
    <n v="19222"/>
    <n v="28500"/>
    <n v="0.6744561403508772"/>
  </r>
  <r>
    <n v="2020"/>
    <x v="3"/>
    <n v="14"/>
    <x v="17"/>
    <n v="7630.5"/>
    <n v="28500"/>
    <n v="0.26773684210526316"/>
  </r>
  <r>
    <n v="2020"/>
    <x v="3"/>
    <n v="14"/>
    <x v="18"/>
    <n v="662"/>
    <n v="28500"/>
    <n v="2.3228070175438598E-2"/>
  </r>
  <r>
    <n v="2020"/>
    <x v="3"/>
    <n v="14"/>
    <x v="19"/>
    <n v="0"/>
    <n v="28500"/>
    <n v="0"/>
  </r>
  <r>
    <n v="2020"/>
    <x v="3"/>
    <n v="14"/>
    <x v="20"/>
    <n v="0"/>
    <n v="28500"/>
    <n v="0"/>
  </r>
  <r>
    <n v="2020"/>
    <x v="3"/>
    <n v="14"/>
    <x v="21"/>
    <n v="0"/>
    <n v="28500"/>
    <n v="0"/>
  </r>
  <r>
    <n v="2020"/>
    <x v="3"/>
    <n v="14"/>
    <x v="22"/>
    <n v="0"/>
    <n v="28500"/>
    <n v="0"/>
  </r>
  <r>
    <n v="2020"/>
    <x v="3"/>
    <n v="14"/>
    <x v="23"/>
    <n v="0"/>
    <n v="28500"/>
    <n v="0"/>
  </r>
  <r>
    <n v="2020"/>
    <x v="3"/>
    <n v="15"/>
    <x v="0"/>
    <n v="0"/>
    <n v="28500"/>
    <n v="0"/>
  </r>
  <r>
    <n v="2020"/>
    <x v="3"/>
    <n v="15"/>
    <x v="1"/>
    <n v="0"/>
    <n v="28500"/>
    <n v="0"/>
  </r>
  <r>
    <n v="2020"/>
    <x v="3"/>
    <n v="15"/>
    <x v="2"/>
    <n v="0"/>
    <n v="28500"/>
    <n v="0"/>
  </r>
  <r>
    <n v="2020"/>
    <x v="3"/>
    <n v="15"/>
    <x v="3"/>
    <n v="0"/>
    <n v="28500"/>
    <n v="0"/>
  </r>
  <r>
    <n v="2020"/>
    <x v="3"/>
    <n v="15"/>
    <x v="4"/>
    <n v="0"/>
    <n v="28500"/>
    <n v="0"/>
  </r>
  <r>
    <n v="2020"/>
    <x v="3"/>
    <n v="15"/>
    <x v="5"/>
    <n v="0"/>
    <n v="28500"/>
    <n v="0"/>
  </r>
  <r>
    <n v="2020"/>
    <x v="3"/>
    <n v="15"/>
    <x v="6"/>
    <n v="1834"/>
    <n v="28500"/>
    <n v="6.435087719298245E-2"/>
  </r>
  <r>
    <n v="2020"/>
    <x v="3"/>
    <n v="15"/>
    <x v="7"/>
    <n v="11989.5"/>
    <n v="28500"/>
    <n v="0.42068421052631577"/>
  </r>
  <r>
    <n v="2020"/>
    <x v="3"/>
    <n v="15"/>
    <x v="8"/>
    <n v="23037.5"/>
    <n v="28500"/>
    <n v="0.80833333333333335"/>
  </r>
  <r>
    <n v="2020"/>
    <x v="3"/>
    <n v="15"/>
    <x v="9"/>
    <n v="31207"/>
    <n v="28500"/>
    <n v="1.0949824561403509"/>
  </r>
  <r>
    <n v="2020"/>
    <x v="3"/>
    <n v="15"/>
    <x v="10"/>
    <n v="36160"/>
    <n v="28500"/>
    <n v="1.2687719298245614"/>
  </r>
  <r>
    <n v="2020"/>
    <x v="3"/>
    <n v="15"/>
    <x v="11"/>
    <n v="38715"/>
    <n v="28500"/>
    <n v="1.358421052631579"/>
  </r>
  <r>
    <n v="2020"/>
    <x v="3"/>
    <n v="15"/>
    <x v="12"/>
    <n v="41796.5"/>
    <n v="28500"/>
    <n v="1.4665438596491227"/>
  </r>
  <r>
    <n v="2020"/>
    <x v="3"/>
    <n v="15"/>
    <x v="13"/>
    <n v="40584"/>
    <n v="28500"/>
    <n v="1.4239999999999999"/>
  </r>
  <r>
    <n v="2020"/>
    <x v="3"/>
    <n v="15"/>
    <x v="14"/>
    <n v="35658"/>
    <n v="28500"/>
    <n v="1.251157894736842"/>
  </r>
  <r>
    <n v="2020"/>
    <x v="3"/>
    <n v="15"/>
    <x v="15"/>
    <n v="28196.5"/>
    <n v="28500"/>
    <n v="0.98935087719298243"/>
  </r>
  <r>
    <n v="2020"/>
    <x v="3"/>
    <n v="15"/>
    <x v="16"/>
    <n v="18631"/>
    <n v="28500"/>
    <n v="0.65371929824561403"/>
  </r>
  <r>
    <n v="2020"/>
    <x v="3"/>
    <n v="15"/>
    <x v="17"/>
    <n v="7407.5"/>
    <n v="28500"/>
    <n v="0.25991228070175437"/>
  </r>
  <r>
    <n v="2020"/>
    <x v="3"/>
    <n v="15"/>
    <x v="18"/>
    <n v="680"/>
    <n v="28500"/>
    <n v="2.3859649122807018E-2"/>
  </r>
  <r>
    <n v="2020"/>
    <x v="3"/>
    <n v="15"/>
    <x v="19"/>
    <n v="0"/>
    <n v="28500"/>
    <n v="0"/>
  </r>
  <r>
    <n v="2020"/>
    <x v="3"/>
    <n v="15"/>
    <x v="20"/>
    <n v="0"/>
    <n v="28500"/>
    <n v="0"/>
  </r>
  <r>
    <n v="2020"/>
    <x v="3"/>
    <n v="15"/>
    <x v="21"/>
    <n v="0"/>
    <n v="28500"/>
    <n v="0"/>
  </r>
  <r>
    <n v="2020"/>
    <x v="3"/>
    <n v="15"/>
    <x v="22"/>
    <n v="0"/>
    <n v="28500"/>
    <n v="0"/>
  </r>
  <r>
    <n v="2020"/>
    <x v="3"/>
    <n v="15"/>
    <x v="23"/>
    <n v="0"/>
    <n v="28500"/>
    <n v="0"/>
  </r>
  <r>
    <n v="2020"/>
    <x v="3"/>
    <n v="16"/>
    <x v="0"/>
    <n v="0"/>
    <n v="28500"/>
    <n v="0"/>
  </r>
  <r>
    <n v="2020"/>
    <x v="3"/>
    <n v="16"/>
    <x v="1"/>
    <n v="0"/>
    <n v="28500"/>
    <n v="0"/>
  </r>
  <r>
    <n v="2020"/>
    <x v="3"/>
    <n v="16"/>
    <x v="2"/>
    <n v="0"/>
    <n v="28500"/>
    <n v="0"/>
  </r>
  <r>
    <n v="2020"/>
    <x v="3"/>
    <n v="16"/>
    <x v="3"/>
    <n v="0"/>
    <n v="28500"/>
    <n v="0"/>
  </r>
  <r>
    <n v="2020"/>
    <x v="3"/>
    <n v="16"/>
    <x v="4"/>
    <n v="0"/>
    <n v="28500"/>
    <n v="0"/>
  </r>
  <r>
    <n v="2020"/>
    <x v="3"/>
    <n v="16"/>
    <x v="5"/>
    <n v="0"/>
    <n v="28500"/>
    <n v="0"/>
  </r>
  <r>
    <n v="2020"/>
    <x v="3"/>
    <n v="16"/>
    <x v="6"/>
    <n v="2231.5"/>
    <n v="28500"/>
    <n v="7.8298245614035089E-2"/>
  </r>
  <r>
    <n v="2020"/>
    <x v="3"/>
    <n v="16"/>
    <x v="7"/>
    <n v="8523.5"/>
    <n v="28500"/>
    <n v="0.29907017543859649"/>
  </r>
  <r>
    <n v="2020"/>
    <x v="3"/>
    <n v="16"/>
    <x v="8"/>
    <n v="17069"/>
    <n v="28500"/>
    <n v="0.5989122807017544"/>
  </r>
  <r>
    <n v="2020"/>
    <x v="3"/>
    <n v="16"/>
    <x v="9"/>
    <n v="28873"/>
    <n v="28500"/>
    <n v="1.0130877192982457"/>
  </r>
  <r>
    <n v="2020"/>
    <x v="3"/>
    <n v="16"/>
    <x v="10"/>
    <n v="35061"/>
    <n v="28500"/>
    <n v="1.2302105263157894"/>
  </r>
  <r>
    <n v="2020"/>
    <x v="3"/>
    <n v="16"/>
    <x v="11"/>
    <n v="35425"/>
    <n v="28500"/>
    <n v="1.2429824561403509"/>
  </r>
  <r>
    <n v="2020"/>
    <x v="3"/>
    <n v="16"/>
    <x v="12"/>
    <n v="23085"/>
    <n v="28500"/>
    <n v="0.81"/>
  </r>
  <r>
    <n v="2020"/>
    <x v="3"/>
    <n v="16"/>
    <x v="13"/>
    <n v="9783"/>
    <n v="28500"/>
    <n v="0.34326315789473683"/>
  </r>
  <r>
    <n v="2020"/>
    <x v="3"/>
    <n v="16"/>
    <x v="14"/>
    <n v="8619.5"/>
    <n v="28500"/>
    <n v="0.30243859649122806"/>
  </r>
  <r>
    <n v="2020"/>
    <x v="3"/>
    <n v="16"/>
    <x v="15"/>
    <n v="8368.5"/>
    <n v="28500"/>
    <n v="0.29363157894736841"/>
  </r>
  <r>
    <n v="2020"/>
    <x v="3"/>
    <n v="16"/>
    <x v="16"/>
    <n v="9988.5"/>
    <n v="28500"/>
    <n v="0.35047368421052633"/>
  </r>
  <r>
    <n v="2020"/>
    <x v="3"/>
    <n v="16"/>
    <x v="17"/>
    <n v="3414.5"/>
    <n v="28500"/>
    <n v="0.11980701754385965"/>
  </r>
  <r>
    <n v="2020"/>
    <x v="3"/>
    <n v="16"/>
    <x v="18"/>
    <n v="754.5"/>
    <n v="28500"/>
    <n v="2.6473684210526316E-2"/>
  </r>
  <r>
    <n v="2020"/>
    <x v="3"/>
    <n v="16"/>
    <x v="19"/>
    <n v="0"/>
    <n v="28500"/>
    <n v="0"/>
  </r>
  <r>
    <n v="2020"/>
    <x v="3"/>
    <n v="16"/>
    <x v="20"/>
    <n v="0"/>
    <n v="28500"/>
    <n v="0"/>
  </r>
  <r>
    <n v="2020"/>
    <x v="3"/>
    <n v="16"/>
    <x v="21"/>
    <n v="0"/>
    <n v="28500"/>
    <n v="0"/>
  </r>
  <r>
    <n v="2020"/>
    <x v="3"/>
    <n v="16"/>
    <x v="22"/>
    <n v="0"/>
    <n v="28500"/>
    <n v="0"/>
  </r>
  <r>
    <n v="2020"/>
    <x v="3"/>
    <n v="16"/>
    <x v="23"/>
    <n v="0"/>
    <n v="28500"/>
    <n v="0"/>
  </r>
  <r>
    <n v="2020"/>
    <x v="3"/>
    <n v="17"/>
    <x v="0"/>
    <n v="0"/>
    <n v="28500"/>
    <n v="0"/>
  </r>
  <r>
    <n v="2020"/>
    <x v="3"/>
    <n v="17"/>
    <x v="1"/>
    <n v="0"/>
    <n v="28500"/>
    <n v="0"/>
  </r>
  <r>
    <n v="2020"/>
    <x v="3"/>
    <n v="17"/>
    <x v="2"/>
    <n v="0"/>
    <n v="28500"/>
    <n v="0"/>
  </r>
  <r>
    <n v="2020"/>
    <x v="3"/>
    <n v="17"/>
    <x v="3"/>
    <n v="0"/>
    <n v="28500"/>
    <n v="0"/>
  </r>
  <r>
    <n v="2020"/>
    <x v="3"/>
    <n v="17"/>
    <x v="4"/>
    <n v="0"/>
    <n v="28500"/>
    <n v="0"/>
  </r>
  <r>
    <n v="2020"/>
    <x v="3"/>
    <n v="17"/>
    <x v="5"/>
    <n v="0"/>
    <n v="28500"/>
    <n v="0"/>
  </r>
  <r>
    <n v="2020"/>
    <x v="3"/>
    <n v="17"/>
    <x v="6"/>
    <n v="2280"/>
    <n v="28500"/>
    <n v="0.08"/>
  </r>
  <r>
    <n v="2020"/>
    <x v="3"/>
    <n v="17"/>
    <x v="7"/>
    <n v="10884"/>
    <n v="28500"/>
    <n v="0.38189473684210529"/>
  </r>
  <r>
    <n v="2020"/>
    <x v="3"/>
    <n v="17"/>
    <x v="8"/>
    <n v="13649"/>
    <n v="28500"/>
    <n v="0.4789122807017544"/>
  </r>
  <r>
    <n v="2020"/>
    <x v="3"/>
    <n v="17"/>
    <x v="9"/>
    <n v="24686.5"/>
    <n v="28500"/>
    <n v="0.8661929824561404"/>
  </r>
  <r>
    <n v="2020"/>
    <x v="3"/>
    <n v="17"/>
    <x v="10"/>
    <n v="17733"/>
    <n v="28500"/>
    <n v="0.62221052631578944"/>
  </r>
  <r>
    <n v="2020"/>
    <x v="3"/>
    <n v="17"/>
    <x v="11"/>
    <n v="9552.5"/>
    <n v="28500"/>
    <n v="0.33517543859649124"/>
  </r>
  <r>
    <n v="2020"/>
    <x v="3"/>
    <n v="17"/>
    <x v="12"/>
    <n v="19651"/>
    <n v="28500"/>
    <n v="0.68950877192982452"/>
  </r>
  <r>
    <n v="2020"/>
    <x v="3"/>
    <n v="17"/>
    <x v="13"/>
    <n v="12550.5"/>
    <n v="28500"/>
    <n v="0.44036842105263158"/>
  </r>
  <r>
    <n v="2020"/>
    <x v="3"/>
    <n v="17"/>
    <x v="14"/>
    <n v="4208.5"/>
    <n v="28500"/>
    <n v="0.14766666666666667"/>
  </r>
  <r>
    <n v="2020"/>
    <x v="3"/>
    <n v="17"/>
    <x v="15"/>
    <n v="5316"/>
    <n v="28500"/>
    <n v="0.18652631578947368"/>
  </r>
  <r>
    <n v="2020"/>
    <x v="3"/>
    <n v="17"/>
    <x v="16"/>
    <n v="3722.5"/>
    <n v="28500"/>
    <n v="0.13061403508771929"/>
  </r>
  <r>
    <n v="2020"/>
    <x v="3"/>
    <n v="17"/>
    <x v="17"/>
    <n v="5569"/>
    <n v="28500"/>
    <n v="0.19540350877192983"/>
  </r>
  <r>
    <n v="2020"/>
    <x v="3"/>
    <n v="17"/>
    <x v="18"/>
    <n v="571"/>
    <n v="28500"/>
    <n v="2.0035087719298246E-2"/>
  </r>
  <r>
    <n v="2020"/>
    <x v="3"/>
    <n v="17"/>
    <x v="19"/>
    <n v="0"/>
    <n v="28500"/>
    <n v="0"/>
  </r>
  <r>
    <n v="2020"/>
    <x v="3"/>
    <n v="17"/>
    <x v="20"/>
    <n v="0"/>
    <n v="28500"/>
    <n v="0"/>
  </r>
  <r>
    <n v="2020"/>
    <x v="3"/>
    <n v="17"/>
    <x v="21"/>
    <n v="0"/>
    <n v="28500"/>
    <n v="0"/>
  </r>
  <r>
    <n v="2020"/>
    <x v="3"/>
    <n v="17"/>
    <x v="22"/>
    <n v="0"/>
    <n v="28500"/>
    <n v="0"/>
  </r>
  <r>
    <n v="2020"/>
    <x v="3"/>
    <n v="17"/>
    <x v="23"/>
    <n v="0"/>
    <n v="28500"/>
    <n v="0"/>
  </r>
  <r>
    <n v="2020"/>
    <x v="3"/>
    <n v="18"/>
    <x v="0"/>
    <n v="0"/>
    <n v="28500"/>
    <n v="0"/>
  </r>
  <r>
    <n v="2020"/>
    <x v="3"/>
    <n v="18"/>
    <x v="1"/>
    <n v="0"/>
    <n v="28500"/>
    <n v="0"/>
  </r>
  <r>
    <n v="2020"/>
    <x v="3"/>
    <n v="18"/>
    <x v="2"/>
    <n v="0"/>
    <n v="28500"/>
    <n v="0"/>
  </r>
  <r>
    <n v="2020"/>
    <x v="3"/>
    <n v="18"/>
    <x v="3"/>
    <n v="0"/>
    <n v="28500"/>
    <n v="0"/>
  </r>
  <r>
    <n v="2020"/>
    <x v="3"/>
    <n v="18"/>
    <x v="4"/>
    <n v="0"/>
    <n v="28500"/>
    <n v="0"/>
  </r>
  <r>
    <n v="2020"/>
    <x v="3"/>
    <n v="18"/>
    <x v="5"/>
    <n v="0"/>
    <n v="28500"/>
    <n v="0"/>
  </r>
  <r>
    <n v="2020"/>
    <x v="3"/>
    <n v="18"/>
    <x v="6"/>
    <n v="2102"/>
    <n v="28500"/>
    <n v="7.3754385964912281E-2"/>
  </r>
  <r>
    <n v="2020"/>
    <x v="3"/>
    <n v="18"/>
    <x v="7"/>
    <n v="9304.5"/>
    <n v="28500"/>
    <n v="0.3264736842105263"/>
  </r>
  <r>
    <n v="2020"/>
    <x v="3"/>
    <n v="18"/>
    <x v="8"/>
    <n v="7355.5"/>
    <n v="28500"/>
    <n v="0.25808771929824559"/>
  </r>
  <r>
    <n v="2020"/>
    <x v="3"/>
    <n v="18"/>
    <x v="9"/>
    <n v="6145.5"/>
    <n v="28500"/>
    <n v="0.21563157894736842"/>
  </r>
  <r>
    <n v="2020"/>
    <x v="3"/>
    <n v="18"/>
    <x v="10"/>
    <n v="4737.5"/>
    <n v="28500"/>
    <n v="0.16622807017543859"/>
  </r>
  <r>
    <n v="2020"/>
    <x v="3"/>
    <n v="18"/>
    <x v="11"/>
    <n v="6445.5"/>
    <n v="28500"/>
    <n v="0.22615789473684211"/>
  </r>
  <r>
    <n v="2020"/>
    <x v="3"/>
    <n v="18"/>
    <x v="12"/>
    <n v="14840.5"/>
    <n v="28500"/>
    <n v="0.52071929824561403"/>
  </r>
  <r>
    <n v="2020"/>
    <x v="3"/>
    <n v="18"/>
    <x v="13"/>
    <n v="11939.5"/>
    <n v="28500"/>
    <n v="0.41892982456140349"/>
  </r>
  <r>
    <n v="2020"/>
    <x v="3"/>
    <n v="18"/>
    <x v="14"/>
    <n v="7955.5"/>
    <n v="28500"/>
    <n v="0.27914035087719297"/>
  </r>
  <r>
    <n v="2020"/>
    <x v="3"/>
    <n v="18"/>
    <x v="15"/>
    <n v="6605"/>
    <n v="28500"/>
    <n v="0.23175438596491227"/>
  </r>
  <r>
    <n v="2020"/>
    <x v="3"/>
    <n v="18"/>
    <x v="16"/>
    <n v="7142.5"/>
    <n v="28500"/>
    <n v="0.25061403508771929"/>
  </r>
  <r>
    <n v="2020"/>
    <x v="3"/>
    <n v="18"/>
    <x v="17"/>
    <n v="4024.5"/>
    <n v="28500"/>
    <n v="0.14121052631578948"/>
  </r>
  <r>
    <n v="2020"/>
    <x v="3"/>
    <n v="18"/>
    <x v="18"/>
    <n v="828.5"/>
    <n v="28500"/>
    <n v="2.9070175438596493E-2"/>
  </r>
  <r>
    <n v="2020"/>
    <x v="3"/>
    <n v="18"/>
    <x v="19"/>
    <n v="0"/>
    <n v="28500"/>
    <n v="0"/>
  </r>
  <r>
    <n v="2020"/>
    <x v="3"/>
    <n v="18"/>
    <x v="20"/>
    <n v="0"/>
    <n v="28500"/>
    <n v="0"/>
  </r>
  <r>
    <n v="2020"/>
    <x v="3"/>
    <n v="18"/>
    <x v="21"/>
    <n v="0"/>
    <n v="28500"/>
    <n v="0"/>
  </r>
  <r>
    <n v="2020"/>
    <x v="3"/>
    <n v="18"/>
    <x v="22"/>
    <n v="0"/>
    <n v="28500"/>
    <n v="0"/>
  </r>
  <r>
    <n v="2020"/>
    <x v="3"/>
    <n v="18"/>
    <x v="23"/>
    <n v="0"/>
    <n v="28500"/>
    <n v="0"/>
  </r>
  <r>
    <n v="2020"/>
    <x v="3"/>
    <n v="19"/>
    <x v="0"/>
    <n v="0"/>
    <n v="28500"/>
    <n v="0"/>
  </r>
  <r>
    <n v="2020"/>
    <x v="3"/>
    <n v="19"/>
    <x v="1"/>
    <n v="0"/>
    <n v="28500"/>
    <n v="0"/>
  </r>
  <r>
    <n v="2020"/>
    <x v="3"/>
    <n v="19"/>
    <x v="2"/>
    <n v="0"/>
    <n v="28500"/>
    <n v="0"/>
  </r>
  <r>
    <n v="2020"/>
    <x v="3"/>
    <n v="19"/>
    <x v="3"/>
    <n v="0"/>
    <n v="28500"/>
    <n v="0"/>
  </r>
  <r>
    <n v="2020"/>
    <x v="3"/>
    <n v="19"/>
    <x v="4"/>
    <n v="0"/>
    <n v="28500"/>
    <n v="0"/>
  </r>
  <r>
    <n v="2020"/>
    <x v="3"/>
    <n v="19"/>
    <x v="5"/>
    <n v="0"/>
    <n v="28500"/>
    <n v="0"/>
  </r>
  <r>
    <n v="2020"/>
    <x v="3"/>
    <n v="19"/>
    <x v="6"/>
    <n v="2462"/>
    <n v="28500"/>
    <n v="8.6385964912280705E-2"/>
  </r>
  <r>
    <n v="2020"/>
    <x v="3"/>
    <n v="19"/>
    <x v="7"/>
    <n v="12457.5"/>
    <n v="28500"/>
    <n v="0.43710526315789472"/>
  </r>
  <r>
    <n v="2020"/>
    <x v="3"/>
    <n v="19"/>
    <x v="8"/>
    <n v="24034.5"/>
    <n v="28500"/>
    <n v="0.84331578947368424"/>
  </r>
  <r>
    <n v="2020"/>
    <x v="3"/>
    <n v="19"/>
    <x v="9"/>
    <n v="32998.5"/>
    <n v="28500"/>
    <n v="1.1578421052631578"/>
  </r>
  <r>
    <n v="2020"/>
    <x v="3"/>
    <n v="19"/>
    <x v="10"/>
    <n v="39324.5"/>
    <n v="28500"/>
    <n v="1.3798070175438597"/>
  </r>
  <r>
    <n v="2020"/>
    <x v="3"/>
    <n v="19"/>
    <x v="11"/>
    <n v="43581"/>
    <n v="28500"/>
    <n v="1.529157894736842"/>
  </r>
  <r>
    <n v="2020"/>
    <x v="3"/>
    <n v="19"/>
    <x v="12"/>
    <n v="44102.5"/>
    <n v="28500"/>
    <n v="1.5474561403508771"/>
  </r>
  <r>
    <n v="2020"/>
    <x v="3"/>
    <n v="19"/>
    <x v="13"/>
    <n v="41770.5"/>
    <n v="28500"/>
    <n v="1.4656315789473684"/>
  </r>
  <r>
    <n v="2020"/>
    <x v="3"/>
    <n v="19"/>
    <x v="14"/>
    <n v="36658.5"/>
    <n v="28500"/>
    <n v="1.2862631578947368"/>
  </r>
  <r>
    <n v="2020"/>
    <x v="3"/>
    <n v="19"/>
    <x v="15"/>
    <n v="29069.5"/>
    <n v="28500"/>
    <n v="1.0199824561403508"/>
  </r>
  <r>
    <n v="2020"/>
    <x v="3"/>
    <n v="19"/>
    <x v="16"/>
    <n v="19129.5"/>
    <n v="28500"/>
    <n v="0.67121052631578948"/>
  </r>
  <r>
    <n v="2020"/>
    <x v="3"/>
    <n v="19"/>
    <x v="17"/>
    <n v="7669"/>
    <n v="28500"/>
    <n v="0.2690877192982456"/>
  </r>
  <r>
    <n v="2020"/>
    <x v="3"/>
    <n v="19"/>
    <x v="18"/>
    <n v="802.5"/>
    <n v="28500"/>
    <n v="2.8157894736842104E-2"/>
  </r>
  <r>
    <n v="2020"/>
    <x v="3"/>
    <n v="19"/>
    <x v="19"/>
    <n v="0"/>
    <n v="28500"/>
    <n v="0"/>
  </r>
  <r>
    <n v="2020"/>
    <x v="3"/>
    <n v="19"/>
    <x v="20"/>
    <n v="0"/>
    <n v="28500"/>
    <n v="0"/>
  </r>
  <r>
    <n v="2020"/>
    <x v="3"/>
    <n v="19"/>
    <x v="21"/>
    <n v="0"/>
    <n v="28500"/>
    <n v="0"/>
  </r>
  <r>
    <n v="2020"/>
    <x v="3"/>
    <n v="19"/>
    <x v="22"/>
    <n v="0"/>
    <n v="28500"/>
    <n v="0"/>
  </r>
  <r>
    <n v="2020"/>
    <x v="3"/>
    <n v="19"/>
    <x v="23"/>
    <n v="0"/>
    <n v="28500"/>
    <n v="0"/>
  </r>
  <r>
    <n v="2020"/>
    <x v="3"/>
    <n v="20"/>
    <x v="0"/>
    <n v="0"/>
    <n v="28500"/>
    <n v="0"/>
  </r>
  <r>
    <n v="2020"/>
    <x v="3"/>
    <n v="20"/>
    <x v="1"/>
    <n v="0"/>
    <n v="28500"/>
    <n v="0"/>
  </r>
  <r>
    <n v="2020"/>
    <x v="3"/>
    <n v="20"/>
    <x v="2"/>
    <n v="0"/>
    <n v="28500"/>
    <n v="0"/>
  </r>
  <r>
    <n v="2020"/>
    <x v="3"/>
    <n v="20"/>
    <x v="3"/>
    <n v="0"/>
    <n v="28500"/>
    <n v="0"/>
  </r>
  <r>
    <n v="2020"/>
    <x v="3"/>
    <n v="20"/>
    <x v="4"/>
    <n v="0"/>
    <n v="28500"/>
    <n v="0"/>
  </r>
  <r>
    <n v="2020"/>
    <x v="3"/>
    <n v="20"/>
    <x v="5"/>
    <n v="0"/>
    <n v="28500"/>
    <n v="0"/>
  </r>
  <r>
    <n v="2020"/>
    <x v="3"/>
    <n v="20"/>
    <x v="6"/>
    <n v="2319.5"/>
    <n v="28500"/>
    <n v="8.1385964912280701E-2"/>
  </r>
  <r>
    <n v="2020"/>
    <x v="3"/>
    <n v="20"/>
    <x v="7"/>
    <n v="13001.5"/>
    <n v="28500"/>
    <n v="0.45619298245614037"/>
  </r>
  <r>
    <n v="2020"/>
    <x v="3"/>
    <n v="20"/>
    <x v="8"/>
    <n v="24390.5"/>
    <n v="28500"/>
    <n v="0.85580701754385968"/>
  </r>
  <r>
    <n v="2020"/>
    <x v="3"/>
    <n v="20"/>
    <x v="9"/>
    <n v="34155"/>
    <n v="28500"/>
    <n v="1.1984210526315791"/>
  </r>
  <r>
    <n v="2020"/>
    <x v="3"/>
    <n v="20"/>
    <x v="10"/>
    <n v="40738"/>
    <n v="28500"/>
    <n v="1.4294035087719299"/>
  </r>
  <r>
    <n v="2020"/>
    <x v="3"/>
    <n v="20"/>
    <x v="11"/>
    <n v="44435"/>
    <n v="28500"/>
    <n v="1.5591228070175438"/>
  </r>
  <r>
    <n v="2020"/>
    <x v="3"/>
    <n v="20"/>
    <x v="12"/>
    <n v="45451.5"/>
    <n v="28500"/>
    <n v="1.5947894736842105"/>
  </r>
  <r>
    <n v="2020"/>
    <x v="3"/>
    <n v="20"/>
    <x v="13"/>
    <n v="43060.5"/>
    <n v="28500"/>
    <n v="1.5108947368421053"/>
  </r>
  <r>
    <n v="2020"/>
    <x v="3"/>
    <n v="20"/>
    <x v="14"/>
    <n v="37531"/>
    <n v="28500"/>
    <n v="1.3168771929824561"/>
  </r>
  <r>
    <n v="2020"/>
    <x v="3"/>
    <n v="20"/>
    <x v="15"/>
    <n v="29678.5"/>
    <n v="28500"/>
    <n v="1.0413508771929825"/>
  </r>
  <r>
    <n v="2020"/>
    <x v="3"/>
    <n v="20"/>
    <x v="16"/>
    <n v="19468"/>
    <n v="28500"/>
    <n v="0.68308771929824563"/>
  </r>
  <r>
    <n v="2020"/>
    <x v="3"/>
    <n v="20"/>
    <x v="17"/>
    <n v="7803.5"/>
    <n v="28500"/>
    <n v="0.27380701754385967"/>
  </r>
  <r>
    <n v="2020"/>
    <x v="3"/>
    <n v="20"/>
    <x v="18"/>
    <n v="862"/>
    <n v="28500"/>
    <n v="3.0245614035087718E-2"/>
  </r>
  <r>
    <n v="2020"/>
    <x v="3"/>
    <n v="20"/>
    <x v="19"/>
    <n v="0"/>
    <n v="28500"/>
    <n v="0"/>
  </r>
  <r>
    <n v="2020"/>
    <x v="3"/>
    <n v="20"/>
    <x v="20"/>
    <n v="0"/>
    <n v="28500"/>
    <n v="0"/>
  </r>
  <r>
    <n v="2020"/>
    <x v="3"/>
    <n v="20"/>
    <x v="21"/>
    <n v="0"/>
    <n v="28500"/>
    <n v="0"/>
  </r>
  <r>
    <n v="2020"/>
    <x v="3"/>
    <n v="20"/>
    <x v="22"/>
    <n v="0"/>
    <n v="28500"/>
    <n v="0"/>
  </r>
  <r>
    <n v="2020"/>
    <x v="3"/>
    <n v="20"/>
    <x v="23"/>
    <n v="0"/>
    <n v="28500"/>
    <n v="0"/>
  </r>
  <r>
    <n v="2020"/>
    <x v="3"/>
    <n v="21"/>
    <x v="0"/>
    <n v="0"/>
    <n v="28500"/>
    <n v="0"/>
  </r>
  <r>
    <n v="2020"/>
    <x v="3"/>
    <n v="21"/>
    <x v="1"/>
    <n v="0"/>
    <n v="28500"/>
    <n v="0"/>
  </r>
  <r>
    <n v="2020"/>
    <x v="3"/>
    <n v="21"/>
    <x v="2"/>
    <n v="0"/>
    <n v="28500"/>
    <n v="0"/>
  </r>
  <r>
    <n v="2020"/>
    <x v="3"/>
    <n v="21"/>
    <x v="3"/>
    <n v="0"/>
    <n v="28500"/>
    <n v="0"/>
  </r>
  <r>
    <n v="2020"/>
    <x v="3"/>
    <n v="21"/>
    <x v="4"/>
    <n v="0"/>
    <n v="28500"/>
    <n v="0"/>
  </r>
  <r>
    <n v="2020"/>
    <x v="3"/>
    <n v="21"/>
    <x v="5"/>
    <n v="0"/>
    <n v="28500"/>
    <n v="0"/>
  </r>
  <r>
    <n v="2020"/>
    <x v="3"/>
    <n v="21"/>
    <x v="6"/>
    <n v="2393"/>
    <n v="28500"/>
    <n v="8.3964912280701756E-2"/>
  </r>
  <r>
    <n v="2020"/>
    <x v="3"/>
    <n v="21"/>
    <x v="7"/>
    <n v="12850.5"/>
    <n v="28500"/>
    <n v="0.45089473684210524"/>
  </r>
  <r>
    <n v="2020"/>
    <x v="3"/>
    <n v="21"/>
    <x v="8"/>
    <n v="24340"/>
    <n v="28500"/>
    <n v="0.85403508771929826"/>
  </r>
  <r>
    <n v="2020"/>
    <x v="3"/>
    <n v="21"/>
    <x v="9"/>
    <n v="33815.5"/>
    <n v="28500"/>
    <n v="1.1865087719298246"/>
  </r>
  <r>
    <n v="2020"/>
    <x v="3"/>
    <n v="21"/>
    <x v="10"/>
    <n v="40351"/>
    <n v="28500"/>
    <n v="1.4158245614035088"/>
  </r>
  <r>
    <n v="2020"/>
    <x v="3"/>
    <n v="21"/>
    <x v="11"/>
    <n v="44159"/>
    <n v="28500"/>
    <n v="1.5494385964912281"/>
  </r>
  <r>
    <n v="2020"/>
    <x v="3"/>
    <n v="21"/>
    <x v="12"/>
    <n v="45243.5"/>
    <n v="28500"/>
    <n v="1.5874912280701754"/>
  </r>
  <r>
    <n v="2020"/>
    <x v="3"/>
    <n v="21"/>
    <x v="13"/>
    <n v="42475.5"/>
    <n v="28500"/>
    <n v="1.4903684210526316"/>
  </r>
  <r>
    <n v="2020"/>
    <x v="3"/>
    <n v="21"/>
    <x v="14"/>
    <n v="37117.5"/>
    <n v="28500"/>
    <n v="1.3023684210526316"/>
  </r>
  <r>
    <n v="2020"/>
    <x v="3"/>
    <n v="21"/>
    <x v="15"/>
    <n v="29098"/>
    <n v="28500"/>
    <n v="1.0209824561403509"/>
  </r>
  <r>
    <n v="2020"/>
    <x v="3"/>
    <n v="21"/>
    <x v="16"/>
    <n v="18727"/>
    <n v="28500"/>
    <n v="0.65708771929824561"/>
  </r>
  <r>
    <n v="2020"/>
    <x v="3"/>
    <n v="21"/>
    <x v="17"/>
    <n v="7544"/>
    <n v="28500"/>
    <n v="0.26470175438596494"/>
  </r>
  <r>
    <n v="2020"/>
    <x v="3"/>
    <n v="21"/>
    <x v="18"/>
    <n v="1043.5"/>
    <n v="28500"/>
    <n v="3.66140350877193E-2"/>
  </r>
  <r>
    <n v="2020"/>
    <x v="3"/>
    <n v="21"/>
    <x v="19"/>
    <n v="0"/>
    <n v="28500"/>
    <n v="0"/>
  </r>
  <r>
    <n v="2020"/>
    <x v="3"/>
    <n v="21"/>
    <x v="20"/>
    <n v="0"/>
    <n v="28500"/>
    <n v="0"/>
  </r>
  <r>
    <n v="2020"/>
    <x v="3"/>
    <n v="21"/>
    <x v="21"/>
    <n v="0"/>
    <n v="28500"/>
    <n v="0"/>
  </r>
  <r>
    <n v="2020"/>
    <x v="3"/>
    <n v="21"/>
    <x v="22"/>
    <n v="0"/>
    <n v="28500"/>
    <n v="0"/>
  </r>
  <r>
    <n v="2020"/>
    <x v="3"/>
    <n v="21"/>
    <x v="23"/>
    <n v="0"/>
    <n v="28500"/>
    <n v="0"/>
  </r>
  <r>
    <n v="2020"/>
    <x v="3"/>
    <n v="22"/>
    <x v="0"/>
    <n v="0"/>
    <n v="28500"/>
    <n v="0"/>
  </r>
  <r>
    <n v="2020"/>
    <x v="3"/>
    <n v="22"/>
    <x v="1"/>
    <n v="0"/>
    <n v="28500"/>
    <n v="0"/>
  </r>
  <r>
    <n v="2020"/>
    <x v="3"/>
    <n v="22"/>
    <x v="2"/>
    <n v="0"/>
    <n v="28500"/>
    <n v="0"/>
  </r>
  <r>
    <n v="2020"/>
    <x v="3"/>
    <n v="22"/>
    <x v="3"/>
    <n v="0"/>
    <n v="28500"/>
    <n v="0"/>
  </r>
  <r>
    <n v="2020"/>
    <x v="3"/>
    <n v="22"/>
    <x v="4"/>
    <n v="0"/>
    <n v="28500"/>
    <n v="0"/>
  </r>
  <r>
    <n v="2020"/>
    <x v="3"/>
    <n v="22"/>
    <x v="5"/>
    <n v="0"/>
    <n v="28500"/>
    <n v="0"/>
  </r>
  <r>
    <n v="2020"/>
    <x v="3"/>
    <n v="22"/>
    <x v="6"/>
    <n v="2553.5"/>
    <n v="28500"/>
    <n v="8.9596491228070174E-2"/>
  </r>
  <r>
    <n v="2020"/>
    <x v="3"/>
    <n v="22"/>
    <x v="7"/>
    <n v="13025.5"/>
    <n v="28500"/>
    <n v="0.45703508771929824"/>
  </r>
  <r>
    <n v="2020"/>
    <x v="3"/>
    <n v="22"/>
    <x v="8"/>
    <n v="24118"/>
    <n v="28500"/>
    <n v="0.84624561403508769"/>
  </r>
  <r>
    <n v="2020"/>
    <x v="3"/>
    <n v="22"/>
    <x v="9"/>
    <n v="33042.5"/>
    <n v="28500"/>
    <n v="1.1593859649122806"/>
  </r>
  <r>
    <n v="2020"/>
    <x v="3"/>
    <n v="22"/>
    <x v="10"/>
    <n v="39668"/>
    <n v="28500"/>
    <n v="1.391859649122807"/>
  </r>
  <r>
    <n v="2020"/>
    <x v="3"/>
    <n v="22"/>
    <x v="11"/>
    <n v="43512"/>
    <n v="28500"/>
    <n v="1.5267368421052632"/>
  </r>
  <r>
    <n v="2020"/>
    <x v="3"/>
    <n v="22"/>
    <x v="12"/>
    <n v="44342.5"/>
    <n v="28500"/>
    <n v="1.5558771929824562"/>
  </r>
  <r>
    <n v="2020"/>
    <x v="3"/>
    <n v="22"/>
    <x v="13"/>
    <n v="41795"/>
    <n v="28500"/>
    <n v="1.4664912280701754"/>
  </r>
  <r>
    <n v="2020"/>
    <x v="3"/>
    <n v="22"/>
    <x v="14"/>
    <n v="36891.5"/>
    <n v="28500"/>
    <n v="1.2944385964912282"/>
  </r>
  <r>
    <n v="2020"/>
    <x v="3"/>
    <n v="22"/>
    <x v="15"/>
    <n v="29227"/>
    <n v="28500"/>
    <n v="1.0255087719298246"/>
  </r>
  <r>
    <n v="2020"/>
    <x v="3"/>
    <n v="22"/>
    <x v="16"/>
    <n v="19064.5"/>
    <n v="28500"/>
    <n v="0.66892982456140349"/>
  </r>
  <r>
    <n v="2020"/>
    <x v="3"/>
    <n v="22"/>
    <x v="17"/>
    <n v="7736.5"/>
    <n v="28500"/>
    <n v="0.27145614035087717"/>
  </r>
  <r>
    <n v="2020"/>
    <x v="3"/>
    <n v="22"/>
    <x v="18"/>
    <n v="976"/>
    <n v="28500"/>
    <n v="3.4245614035087718E-2"/>
  </r>
  <r>
    <n v="2020"/>
    <x v="3"/>
    <n v="22"/>
    <x v="19"/>
    <n v="0"/>
    <n v="28500"/>
    <n v="0"/>
  </r>
  <r>
    <n v="2020"/>
    <x v="3"/>
    <n v="22"/>
    <x v="20"/>
    <n v="0"/>
    <n v="28500"/>
    <n v="0"/>
  </r>
  <r>
    <n v="2020"/>
    <x v="3"/>
    <n v="22"/>
    <x v="21"/>
    <n v="0"/>
    <n v="28500"/>
    <n v="0"/>
  </r>
  <r>
    <n v="2020"/>
    <x v="3"/>
    <n v="22"/>
    <x v="22"/>
    <n v="0"/>
    <n v="28500"/>
    <n v="0"/>
  </r>
  <r>
    <n v="2020"/>
    <x v="3"/>
    <n v="22"/>
    <x v="23"/>
    <n v="0"/>
    <n v="28500"/>
    <n v="0"/>
  </r>
  <r>
    <n v="2020"/>
    <x v="3"/>
    <n v="23"/>
    <x v="0"/>
    <n v="0"/>
    <n v="28500"/>
    <n v="0"/>
  </r>
  <r>
    <n v="2020"/>
    <x v="3"/>
    <n v="23"/>
    <x v="1"/>
    <n v="0"/>
    <n v="28500"/>
    <n v="0"/>
  </r>
  <r>
    <n v="2020"/>
    <x v="3"/>
    <n v="23"/>
    <x v="2"/>
    <n v="0"/>
    <n v="28500"/>
    <n v="0"/>
  </r>
  <r>
    <n v="2020"/>
    <x v="3"/>
    <n v="23"/>
    <x v="3"/>
    <n v="0"/>
    <n v="28500"/>
    <n v="0"/>
  </r>
  <r>
    <n v="2020"/>
    <x v="3"/>
    <n v="23"/>
    <x v="4"/>
    <n v="0"/>
    <n v="28500"/>
    <n v="0"/>
  </r>
  <r>
    <n v="2020"/>
    <x v="3"/>
    <n v="23"/>
    <x v="5"/>
    <n v="5.5"/>
    <n v="28500"/>
    <n v="1.9298245614035088E-4"/>
  </r>
  <r>
    <n v="2020"/>
    <x v="3"/>
    <n v="23"/>
    <x v="6"/>
    <n v="2713.5"/>
    <n v="28500"/>
    <n v="9.5210526315789468E-2"/>
  </r>
  <r>
    <n v="2020"/>
    <x v="3"/>
    <n v="23"/>
    <x v="7"/>
    <n v="12959"/>
    <n v="28500"/>
    <n v="0.45470175438596488"/>
  </r>
  <r>
    <n v="2020"/>
    <x v="3"/>
    <n v="23"/>
    <x v="8"/>
    <n v="23674"/>
    <n v="28500"/>
    <n v="0.83066666666666666"/>
  </r>
  <r>
    <n v="2020"/>
    <x v="3"/>
    <n v="23"/>
    <x v="9"/>
    <n v="32438.5"/>
    <n v="28500"/>
    <n v="1.1381929824561403"/>
  </r>
  <r>
    <n v="2020"/>
    <x v="3"/>
    <n v="23"/>
    <x v="10"/>
    <n v="38360"/>
    <n v="28500"/>
    <n v="1.3459649122807018"/>
  </r>
  <r>
    <n v="2020"/>
    <x v="3"/>
    <n v="23"/>
    <x v="11"/>
    <n v="41887"/>
    <n v="28500"/>
    <n v="1.469719298245614"/>
  </r>
  <r>
    <n v="2020"/>
    <x v="3"/>
    <n v="23"/>
    <x v="12"/>
    <n v="42405"/>
    <n v="28500"/>
    <n v="1.4878947368421052"/>
  </r>
  <r>
    <n v="2020"/>
    <x v="3"/>
    <n v="23"/>
    <x v="13"/>
    <n v="39764"/>
    <n v="28500"/>
    <n v="1.3952280701754387"/>
  </r>
  <r>
    <n v="2020"/>
    <x v="3"/>
    <n v="23"/>
    <x v="14"/>
    <n v="34990.5"/>
    <n v="28500"/>
    <n v="1.2277368421052632"/>
  </r>
  <r>
    <n v="2020"/>
    <x v="3"/>
    <n v="23"/>
    <x v="15"/>
    <n v="27612.5"/>
    <n v="28500"/>
    <n v="0.96885964912280698"/>
  </r>
  <r>
    <n v="2020"/>
    <x v="3"/>
    <n v="23"/>
    <x v="16"/>
    <n v="18182.5"/>
    <n v="28500"/>
    <n v="0.63798245614035087"/>
  </r>
  <r>
    <n v="2020"/>
    <x v="3"/>
    <n v="23"/>
    <x v="17"/>
    <n v="7581"/>
    <n v="28500"/>
    <n v="0.26600000000000001"/>
  </r>
  <r>
    <n v="2020"/>
    <x v="3"/>
    <n v="23"/>
    <x v="18"/>
    <n v="839"/>
    <n v="28500"/>
    <n v="2.943859649122807E-2"/>
  </r>
  <r>
    <n v="2020"/>
    <x v="3"/>
    <n v="23"/>
    <x v="19"/>
    <n v="0"/>
    <n v="28500"/>
    <n v="0"/>
  </r>
  <r>
    <n v="2020"/>
    <x v="3"/>
    <n v="23"/>
    <x v="20"/>
    <n v="0"/>
    <n v="28500"/>
    <n v="0"/>
  </r>
  <r>
    <n v="2020"/>
    <x v="3"/>
    <n v="23"/>
    <x v="21"/>
    <n v="0"/>
    <n v="28500"/>
    <n v="0"/>
  </r>
  <r>
    <n v="2020"/>
    <x v="3"/>
    <n v="23"/>
    <x v="22"/>
    <n v="0"/>
    <n v="28500"/>
    <n v="0"/>
  </r>
  <r>
    <n v="2020"/>
    <x v="3"/>
    <n v="23"/>
    <x v="23"/>
    <n v="0"/>
    <n v="28500"/>
    <n v="0"/>
  </r>
  <r>
    <n v="2020"/>
    <x v="3"/>
    <n v="24"/>
    <x v="0"/>
    <n v="0"/>
    <n v="28500"/>
    <n v="0"/>
  </r>
  <r>
    <n v="2020"/>
    <x v="3"/>
    <n v="24"/>
    <x v="1"/>
    <n v="0"/>
    <n v="28500"/>
    <n v="0"/>
  </r>
  <r>
    <n v="2020"/>
    <x v="3"/>
    <n v="24"/>
    <x v="2"/>
    <n v="0"/>
    <n v="28500"/>
    <n v="0"/>
  </r>
  <r>
    <n v="2020"/>
    <x v="3"/>
    <n v="24"/>
    <x v="3"/>
    <n v="0"/>
    <n v="28500"/>
    <n v="0"/>
  </r>
  <r>
    <n v="2020"/>
    <x v="3"/>
    <n v="24"/>
    <x v="4"/>
    <n v="0"/>
    <n v="28500"/>
    <n v="0"/>
  </r>
  <r>
    <n v="2020"/>
    <x v="3"/>
    <n v="24"/>
    <x v="5"/>
    <n v="40.5"/>
    <n v="28500"/>
    <n v="1.4210526315789475E-3"/>
  </r>
  <r>
    <n v="2020"/>
    <x v="3"/>
    <n v="24"/>
    <x v="6"/>
    <n v="2848"/>
    <n v="28500"/>
    <n v="9.9929824561403507E-2"/>
  </r>
  <r>
    <n v="2020"/>
    <x v="3"/>
    <n v="24"/>
    <x v="7"/>
    <n v="12311.5"/>
    <n v="28500"/>
    <n v="0.43198245614035086"/>
  </r>
  <r>
    <n v="2020"/>
    <x v="3"/>
    <n v="24"/>
    <x v="8"/>
    <n v="23027.5"/>
    <n v="28500"/>
    <n v="0.80798245614035091"/>
  </r>
  <r>
    <n v="2020"/>
    <x v="3"/>
    <n v="24"/>
    <x v="9"/>
    <n v="31437.5"/>
    <n v="28500"/>
    <n v="1.1030701754385965"/>
  </r>
  <r>
    <n v="2020"/>
    <x v="3"/>
    <n v="24"/>
    <x v="10"/>
    <n v="37550.5"/>
    <n v="28500"/>
    <n v="1.3175614035087719"/>
  </r>
  <r>
    <n v="2020"/>
    <x v="3"/>
    <n v="24"/>
    <x v="11"/>
    <n v="40742"/>
    <n v="28500"/>
    <n v="1.4295438596491228"/>
  </r>
  <r>
    <n v="2020"/>
    <x v="3"/>
    <n v="24"/>
    <x v="12"/>
    <n v="40959"/>
    <n v="28500"/>
    <n v="1.4371578947368422"/>
  </r>
  <r>
    <n v="2020"/>
    <x v="3"/>
    <n v="24"/>
    <x v="13"/>
    <n v="38836"/>
    <n v="28500"/>
    <n v="1.3626666666666667"/>
  </r>
  <r>
    <n v="2020"/>
    <x v="3"/>
    <n v="24"/>
    <x v="14"/>
    <n v="34241"/>
    <n v="28500"/>
    <n v="1.201438596491228"/>
  </r>
  <r>
    <n v="2020"/>
    <x v="3"/>
    <n v="24"/>
    <x v="15"/>
    <n v="26806"/>
    <n v="28500"/>
    <n v="0.94056140350877193"/>
  </r>
  <r>
    <n v="2020"/>
    <x v="3"/>
    <n v="24"/>
    <x v="16"/>
    <n v="15575.5"/>
    <n v="28500"/>
    <n v="0.54650877192982461"/>
  </r>
  <r>
    <n v="2020"/>
    <x v="3"/>
    <n v="24"/>
    <x v="17"/>
    <n v="7188"/>
    <n v="28500"/>
    <n v="0.2522105263157895"/>
  </r>
  <r>
    <n v="2020"/>
    <x v="3"/>
    <n v="24"/>
    <x v="18"/>
    <n v="1312.5"/>
    <n v="28500"/>
    <n v="4.6052631578947366E-2"/>
  </r>
  <r>
    <n v="2020"/>
    <x v="3"/>
    <n v="24"/>
    <x v="19"/>
    <n v="0"/>
    <n v="28500"/>
    <n v="0"/>
  </r>
  <r>
    <n v="2020"/>
    <x v="3"/>
    <n v="24"/>
    <x v="20"/>
    <n v="0"/>
    <n v="28500"/>
    <n v="0"/>
  </r>
  <r>
    <n v="2020"/>
    <x v="3"/>
    <n v="24"/>
    <x v="21"/>
    <n v="0"/>
    <n v="28500"/>
    <n v="0"/>
  </r>
  <r>
    <n v="2020"/>
    <x v="3"/>
    <n v="24"/>
    <x v="22"/>
    <n v="0"/>
    <n v="28500"/>
    <n v="0"/>
  </r>
  <r>
    <n v="2020"/>
    <x v="3"/>
    <n v="24"/>
    <x v="23"/>
    <n v="0"/>
    <n v="28500"/>
    <n v="0"/>
  </r>
  <r>
    <n v="2020"/>
    <x v="3"/>
    <n v="25"/>
    <x v="0"/>
    <n v="0"/>
    <n v="28500"/>
    <n v="0"/>
  </r>
  <r>
    <n v="2020"/>
    <x v="3"/>
    <n v="25"/>
    <x v="1"/>
    <n v="0"/>
    <n v="28500"/>
    <n v="0"/>
  </r>
  <r>
    <n v="2020"/>
    <x v="3"/>
    <n v="25"/>
    <x v="2"/>
    <n v="0"/>
    <n v="28500"/>
    <n v="0"/>
  </r>
  <r>
    <n v="2020"/>
    <x v="3"/>
    <n v="25"/>
    <x v="3"/>
    <n v="0"/>
    <n v="28500"/>
    <n v="0"/>
  </r>
  <r>
    <n v="2020"/>
    <x v="3"/>
    <n v="25"/>
    <x v="4"/>
    <n v="0"/>
    <n v="28500"/>
    <n v="0"/>
  </r>
  <r>
    <n v="2020"/>
    <x v="3"/>
    <n v="25"/>
    <x v="5"/>
    <n v="0"/>
    <n v="28500"/>
    <n v="0"/>
  </r>
  <r>
    <n v="2020"/>
    <x v="3"/>
    <n v="25"/>
    <x v="6"/>
    <n v="2292.5"/>
    <n v="28500"/>
    <n v="8.0438596491228073E-2"/>
  </r>
  <r>
    <n v="2020"/>
    <x v="3"/>
    <n v="25"/>
    <x v="7"/>
    <n v="5473"/>
    <n v="28500"/>
    <n v="0.19203508771929825"/>
  </r>
  <r>
    <n v="2020"/>
    <x v="3"/>
    <n v="25"/>
    <x v="8"/>
    <n v="6748.5"/>
    <n v="28500"/>
    <n v="0.23678947368421052"/>
  </r>
  <r>
    <n v="2020"/>
    <x v="3"/>
    <n v="25"/>
    <x v="9"/>
    <n v="11757"/>
    <n v="28500"/>
    <n v="0.41252631578947369"/>
  </r>
  <r>
    <n v="2020"/>
    <x v="3"/>
    <n v="25"/>
    <x v="10"/>
    <n v="12526.5"/>
    <n v="28500"/>
    <n v="0.43952631578947371"/>
  </r>
  <r>
    <n v="2020"/>
    <x v="3"/>
    <n v="25"/>
    <x v="11"/>
    <n v="39678"/>
    <n v="28500"/>
    <n v="1.3922105263157896"/>
  </r>
  <r>
    <n v="2020"/>
    <x v="3"/>
    <n v="25"/>
    <x v="12"/>
    <n v="42694"/>
    <n v="28500"/>
    <n v="1.4980350877192983"/>
  </r>
  <r>
    <n v="2020"/>
    <x v="3"/>
    <n v="25"/>
    <x v="13"/>
    <n v="40485"/>
    <n v="28500"/>
    <n v="1.4205263157894736"/>
  </r>
  <r>
    <n v="2020"/>
    <x v="3"/>
    <n v="25"/>
    <x v="14"/>
    <n v="35903.5"/>
    <n v="28500"/>
    <n v="1.2597719298245613"/>
  </r>
  <r>
    <n v="2020"/>
    <x v="3"/>
    <n v="25"/>
    <x v="15"/>
    <n v="28550"/>
    <n v="28500"/>
    <n v="1.0017543859649123"/>
  </r>
  <r>
    <n v="2020"/>
    <x v="3"/>
    <n v="25"/>
    <x v="16"/>
    <n v="18881.5"/>
    <n v="28500"/>
    <n v="0.6625087719298246"/>
  </r>
  <r>
    <n v="2020"/>
    <x v="3"/>
    <n v="25"/>
    <x v="17"/>
    <n v="7878"/>
    <n v="28500"/>
    <n v="0.27642105263157896"/>
  </r>
  <r>
    <n v="2020"/>
    <x v="3"/>
    <n v="25"/>
    <x v="18"/>
    <n v="923"/>
    <n v="28500"/>
    <n v="3.2385964912280699E-2"/>
  </r>
  <r>
    <n v="2020"/>
    <x v="3"/>
    <n v="25"/>
    <x v="19"/>
    <n v="0"/>
    <n v="28500"/>
    <n v="0"/>
  </r>
  <r>
    <n v="2020"/>
    <x v="3"/>
    <n v="25"/>
    <x v="20"/>
    <n v="0"/>
    <n v="28500"/>
    <n v="0"/>
  </r>
  <r>
    <n v="2020"/>
    <x v="3"/>
    <n v="25"/>
    <x v="21"/>
    <n v="0"/>
    <n v="28500"/>
    <n v="0"/>
  </r>
  <r>
    <n v="2020"/>
    <x v="3"/>
    <n v="25"/>
    <x v="22"/>
    <n v="0"/>
    <n v="28500"/>
    <n v="0"/>
  </r>
  <r>
    <n v="2020"/>
    <x v="3"/>
    <n v="25"/>
    <x v="23"/>
    <n v="0"/>
    <n v="28500"/>
    <n v="0"/>
  </r>
  <r>
    <n v="2020"/>
    <x v="3"/>
    <n v="26"/>
    <x v="0"/>
    <n v="0"/>
    <n v="28500"/>
    <n v="0"/>
  </r>
  <r>
    <n v="2020"/>
    <x v="3"/>
    <n v="26"/>
    <x v="1"/>
    <n v="0"/>
    <n v="28500"/>
    <n v="0"/>
  </r>
  <r>
    <n v="2020"/>
    <x v="3"/>
    <n v="26"/>
    <x v="2"/>
    <n v="0"/>
    <n v="28500"/>
    <n v="0"/>
  </r>
  <r>
    <n v="2020"/>
    <x v="3"/>
    <n v="26"/>
    <x v="3"/>
    <n v="0"/>
    <n v="28500"/>
    <n v="0"/>
  </r>
  <r>
    <n v="2020"/>
    <x v="3"/>
    <n v="26"/>
    <x v="4"/>
    <n v="0"/>
    <n v="28500"/>
    <n v="0"/>
  </r>
  <r>
    <n v="2020"/>
    <x v="3"/>
    <n v="26"/>
    <x v="5"/>
    <n v="196"/>
    <n v="28500"/>
    <n v="6.8771929824561406E-3"/>
  </r>
  <r>
    <n v="2020"/>
    <x v="3"/>
    <n v="26"/>
    <x v="6"/>
    <n v="2766"/>
    <n v="28500"/>
    <n v="9.7052631578947363E-2"/>
  </r>
  <r>
    <n v="2020"/>
    <x v="3"/>
    <n v="26"/>
    <x v="7"/>
    <n v="13348.5"/>
    <n v="28500"/>
    <n v="0.4683684210526316"/>
  </r>
  <r>
    <n v="2020"/>
    <x v="3"/>
    <n v="26"/>
    <x v="8"/>
    <n v="23938.5"/>
    <n v="28500"/>
    <n v="0.83994736842105266"/>
  </r>
  <r>
    <n v="2020"/>
    <x v="3"/>
    <n v="26"/>
    <x v="9"/>
    <n v="32070.5"/>
    <n v="28500"/>
    <n v="1.125280701754386"/>
  </r>
  <r>
    <n v="2020"/>
    <x v="3"/>
    <n v="26"/>
    <x v="10"/>
    <n v="37833.5"/>
    <n v="28500"/>
    <n v="1.3274912280701754"/>
  </r>
  <r>
    <n v="2020"/>
    <x v="3"/>
    <n v="26"/>
    <x v="11"/>
    <n v="40680.5"/>
    <n v="28500"/>
    <n v="1.4273859649122806"/>
  </r>
  <r>
    <n v="2020"/>
    <x v="3"/>
    <n v="26"/>
    <x v="12"/>
    <n v="41005.5"/>
    <n v="28500"/>
    <n v="1.4387894736842106"/>
  </r>
  <r>
    <n v="2020"/>
    <x v="3"/>
    <n v="26"/>
    <x v="13"/>
    <n v="38980"/>
    <n v="28500"/>
    <n v="1.3677192982456141"/>
  </r>
  <r>
    <n v="2020"/>
    <x v="3"/>
    <n v="26"/>
    <x v="14"/>
    <n v="33376"/>
    <n v="28500"/>
    <n v="1.1710877192982456"/>
  </r>
  <r>
    <n v="2020"/>
    <x v="3"/>
    <n v="26"/>
    <x v="15"/>
    <n v="27558"/>
    <n v="28500"/>
    <n v="0.96694736842105267"/>
  </r>
  <r>
    <n v="2020"/>
    <x v="3"/>
    <n v="26"/>
    <x v="16"/>
    <n v="18248.5"/>
    <n v="28500"/>
    <n v="0.64029824561403503"/>
  </r>
  <r>
    <n v="2020"/>
    <x v="3"/>
    <n v="26"/>
    <x v="17"/>
    <n v="7659.5"/>
    <n v="28500"/>
    <n v="0.2687543859649123"/>
  </r>
  <r>
    <n v="2020"/>
    <x v="3"/>
    <n v="26"/>
    <x v="18"/>
    <n v="1028.5"/>
    <n v="28500"/>
    <n v="3.6087719298245613E-2"/>
  </r>
  <r>
    <n v="2020"/>
    <x v="3"/>
    <n v="26"/>
    <x v="19"/>
    <n v="0"/>
    <n v="28500"/>
    <n v="0"/>
  </r>
  <r>
    <n v="2020"/>
    <x v="3"/>
    <n v="26"/>
    <x v="20"/>
    <n v="0"/>
    <n v="28500"/>
    <n v="0"/>
  </r>
  <r>
    <n v="2020"/>
    <x v="3"/>
    <n v="26"/>
    <x v="21"/>
    <n v="0"/>
    <n v="28500"/>
    <n v="0"/>
  </r>
  <r>
    <n v="2020"/>
    <x v="3"/>
    <n v="26"/>
    <x v="22"/>
    <n v="0"/>
    <n v="28500"/>
    <n v="0"/>
  </r>
  <r>
    <n v="2020"/>
    <x v="3"/>
    <n v="26"/>
    <x v="23"/>
    <n v="0"/>
    <n v="28500"/>
    <n v="0"/>
  </r>
  <r>
    <n v="2020"/>
    <x v="3"/>
    <n v="27"/>
    <x v="0"/>
    <n v="0"/>
    <n v="28500"/>
    <n v="0"/>
  </r>
  <r>
    <n v="2020"/>
    <x v="3"/>
    <n v="27"/>
    <x v="1"/>
    <n v="0"/>
    <n v="28500"/>
    <n v="0"/>
  </r>
  <r>
    <n v="2020"/>
    <x v="3"/>
    <n v="27"/>
    <x v="2"/>
    <n v="0"/>
    <n v="28500"/>
    <n v="0"/>
  </r>
  <r>
    <n v="2020"/>
    <x v="3"/>
    <n v="27"/>
    <x v="3"/>
    <n v="0"/>
    <n v="28500"/>
    <n v="0"/>
  </r>
  <r>
    <n v="2020"/>
    <x v="3"/>
    <n v="27"/>
    <x v="4"/>
    <n v="0"/>
    <n v="28500"/>
    <n v="0"/>
  </r>
  <r>
    <n v="2020"/>
    <x v="3"/>
    <n v="27"/>
    <x v="5"/>
    <n v="191.5"/>
    <n v="28500"/>
    <n v="6.7192982456140355E-3"/>
  </r>
  <r>
    <n v="2020"/>
    <x v="3"/>
    <n v="27"/>
    <x v="6"/>
    <n v="3136"/>
    <n v="28500"/>
    <n v="0.11003508771929825"/>
  </r>
  <r>
    <n v="2020"/>
    <x v="3"/>
    <n v="27"/>
    <x v="7"/>
    <n v="7846"/>
    <n v="28500"/>
    <n v="0.2752982456140351"/>
  </r>
  <r>
    <n v="2020"/>
    <x v="3"/>
    <n v="27"/>
    <x v="8"/>
    <n v="8270"/>
    <n v="28500"/>
    <n v="0.29017543859649125"/>
  </r>
  <r>
    <n v="2020"/>
    <x v="3"/>
    <n v="27"/>
    <x v="9"/>
    <n v="20007.5"/>
    <n v="28500"/>
    <n v="0.7020175438596491"/>
  </r>
  <r>
    <n v="2020"/>
    <x v="3"/>
    <n v="27"/>
    <x v="10"/>
    <n v="9174"/>
    <n v="28500"/>
    <n v="0.32189473684210529"/>
  </r>
  <r>
    <n v="2020"/>
    <x v="3"/>
    <n v="27"/>
    <x v="11"/>
    <n v="26211"/>
    <n v="28500"/>
    <n v="0.91968421052631577"/>
  </r>
  <r>
    <n v="2020"/>
    <x v="3"/>
    <n v="27"/>
    <x v="12"/>
    <n v="15503"/>
    <n v="28500"/>
    <n v="0.54396491228070176"/>
  </r>
  <r>
    <n v="2020"/>
    <x v="3"/>
    <n v="27"/>
    <x v="13"/>
    <n v="20601.5"/>
    <n v="28500"/>
    <n v="0.72285964912280698"/>
  </r>
  <r>
    <n v="2020"/>
    <x v="3"/>
    <n v="27"/>
    <x v="14"/>
    <n v="26601.5"/>
    <n v="28500"/>
    <n v="0.93338596491228065"/>
  </r>
  <r>
    <n v="2020"/>
    <x v="3"/>
    <n v="27"/>
    <x v="15"/>
    <n v="21497.5"/>
    <n v="28500"/>
    <n v="0.75429824561403513"/>
  </r>
  <r>
    <n v="2020"/>
    <x v="3"/>
    <n v="27"/>
    <x v="16"/>
    <n v="14762"/>
    <n v="28500"/>
    <n v="0.51796491228070174"/>
  </r>
  <r>
    <n v="2020"/>
    <x v="3"/>
    <n v="27"/>
    <x v="17"/>
    <n v="5307.5"/>
    <n v="28500"/>
    <n v="0.1862280701754386"/>
  </r>
  <r>
    <n v="2020"/>
    <x v="3"/>
    <n v="27"/>
    <x v="18"/>
    <n v="577.5"/>
    <n v="28500"/>
    <n v="2.0263157894736841E-2"/>
  </r>
  <r>
    <n v="2020"/>
    <x v="3"/>
    <n v="27"/>
    <x v="19"/>
    <n v="0"/>
    <n v="28500"/>
    <n v="0"/>
  </r>
  <r>
    <n v="2020"/>
    <x v="3"/>
    <n v="27"/>
    <x v="20"/>
    <n v="0"/>
    <n v="28500"/>
    <n v="0"/>
  </r>
  <r>
    <n v="2020"/>
    <x v="3"/>
    <n v="27"/>
    <x v="21"/>
    <n v="0"/>
    <n v="28500"/>
    <n v="0"/>
  </r>
  <r>
    <n v="2020"/>
    <x v="3"/>
    <n v="27"/>
    <x v="22"/>
    <n v="0"/>
    <n v="28500"/>
    <n v="0"/>
  </r>
  <r>
    <n v="2020"/>
    <x v="3"/>
    <n v="27"/>
    <x v="23"/>
    <n v="0"/>
    <n v="28500"/>
    <n v="0"/>
  </r>
  <r>
    <n v="2020"/>
    <x v="3"/>
    <n v="28"/>
    <x v="0"/>
    <n v="0"/>
    <n v="28500"/>
    <n v="0"/>
  </r>
  <r>
    <n v="2020"/>
    <x v="3"/>
    <n v="28"/>
    <x v="1"/>
    <n v="0"/>
    <n v="28500"/>
    <n v="0"/>
  </r>
  <r>
    <n v="2020"/>
    <x v="3"/>
    <n v="28"/>
    <x v="2"/>
    <n v="0"/>
    <n v="28500"/>
    <n v="0"/>
  </r>
  <r>
    <n v="2020"/>
    <x v="3"/>
    <n v="28"/>
    <x v="3"/>
    <n v="0"/>
    <n v="28500"/>
    <n v="0"/>
  </r>
  <r>
    <n v="2020"/>
    <x v="3"/>
    <n v="28"/>
    <x v="4"/>
    <n v="0"/>
    <n v="28500"/>
    <n v="0"/>
  </r>
  <r>
    <n v="2020"/>
    <x v="3"/>
    <n v="28"/>
    <x v="5"/>
    <n v="121"/>
    <n v="28500"/>
    <n v="4.2456140350877192E-3"/>
  </r>
  <r>
    <n v="2020"/>
    <x v="3"/>
    <n v="28"/>
    <x v="6"/>
    <n v="2686"/>
    <n v="28500"/>
    <n v="9.4245614035087716E-2"/>
  </r>
  <r>
    <n v="2020"/>
    <x v="3"/>
    <n v="28"/>
    <x v="7"/>
    <n v="707"/>
    <n v="28500"/>
    <n v="2.4807017543859649E-2"/>
  </r>
  <r>
    <n v="2020"/>
    <x v="3"/>
    <n v="28"/>
    <x v="8"/>
    <n v="1725.5"/>
    <n v="28500"/>
    <n v="6.054385964912281E-2"/>
  </r>
  <r>
    <n v="2020"/>
    <x v="3"/>
    <n v="28"/>
    <x v="9"/>
    <n v="3165.5"/>
    <n v="28500"/>
    <n v="0.11107017543859649"/>
  </r>
  <r>
    <n v="2020"/>
    <x v="3"/>
    <n v="28"/>
    <x v="10"/>
    <n v="3869"/>
    <n v="28500"/>
    <n v="0.13575438596491229"/>
  </r>
  <r>
    <n v="2020"/>
    <x v="3"/>
    <n v="28"/>
    <x v="11"/>
    <n v="4694.5"/>
    <n v="28500"/>
    <n v="0.16471929824561404"/>
  </r>
  <r>
    <n v="2020"/>
    <x v="3"/>
    <n v="28"/>
    <x v="12"/>
    <n v="4058"/>
    <n v="28500"/>
    <n v="0.1423859649122807"/>
  </r>
  <r>
    <n v="2020"/>
    <x v="3"/>
    <n v="28"/>
    <x v="13"/>
    <n v="3624"/>
    <n v="28500"/>
    <n v="0.12715789473684211"/>
  </r>
  <r>
    <n v="2020"/>
    <x v="3"/>
    <n v="28"/>
    <x v="14"/>
    <n v="1755"/>
    <n v="28500"/>
    <n v="6.1578947368421053E-2"/>
  </r>
  <r>
    <n v="2020"/>
    <x v="3"/>
    <n v="28"/>
    <x v="15"/>
    <n v="4138"/>
    <n v="28500"/>
    <n v="0.14519298245614035"/>
  </r>
  <r>
    <n v="2020"/>
    <x v="3"/>
    <n v="28"/>
    <x v="16"/>
    <n v="9314.5"/>
    <n v="28500"/>
    <n v="0.3268245614035088"/>
  </r>
  <r>
    <n v="2020"/>
    <x v="3"/>
    <n v="28"/>
    <x v="17"/>
    <n v="1397"/>
    <n v="28500"/>
    <n v="4.9017543859649119E-2"/>
  </r>
  <r>
    <n v="2020"/>
    <x v="3"/>
    <n v="28"/>
    <x v="18"/>
    <n v="753"/>
    <n v="28500"/>
    <n v="2.6421052631578946E-2"/>
  </r>
  <r>
    <n v="2020"/>
    <x v="3"/>
    <n v="28"/>
    <x v="19"/>
    <n v="0"/>
    <n v="28500"/>
    <n v="0"/>
  </r>
  <r>
    <n v="2020"/>
    <x v="3"/>
    <n v="28"/>
    <x v="20"/>
    <n v="0"/>
    <n v="28500"/>
    <n v="0"/>
  </r>
  <r>
    <n v="2020"/>
    <x v="3"/>
    <n v="28"/>
    <x v="21"/>
    <n v="0"/>
    <n v="28500"/>
    <n v="0"/>
  </r>
  <r>
    <n v="2020"/>
    <x v="3"/>
    <n v="28"/>
    <x v="22"/>
    <n v="0"/>
    <n v="28500"/>
    <n v="0"/>
  </r>
  <r>
    <n v="2020"/>
    <x v="3"/>
    <n v="28"/>
    <x v="23"/>
    <n v="0"/>
    <n v="28500"/>
    <n v="0"/>
  </r>
  <r>
    <n v="2020"/>
    <x v="3"/>
    <n v="29"/>
    <x v="0"/>
    <n v="0"/>
    <n v="28500"/>
    <n v="0"/>
  </r>
  <r>
    <n v="2020"/>
    <x v="3"/>
    <n v="29"/>
    <x v="1"/>
    <n v="0"/>
    <n v="28500"/>
    <n v="0"/>
  </r>
  <r>
    <n v="2020"/>
    <x v="3"/>
    <n v="29"/>
    <x v="2"/>
    <n v="0"/>
    <n v="28500"/>
    <n v="0"/>
  </r>
  <r>
    <n v="2020"/>
    <x v="3"/>
    <n v="29"/>
    <x v="3"/>
    <n v="0"/>
    <n v="28500"/>
    <n v="0"/>
  </r>
  <r>
    <n v="2020"/>
    <x v="3"/>
    <n v="29"/>
    <x v="4"/>
    <n v="0"/>
    <n v="28500"/>
    <n v="0"/>
  </r>
  <r>
    <n v="2020"/>
    <x v="3"/>
    <n v="29"/>
    <x v="5"/>
    <n v="39.5"/>
    <n v="28500"/>
    <n v="1.3859649122807017E-3"/>
  </r>
  <r>
    <n v="2020"/>
    <x v="3"/>
    <n v="29"/>
    <x v="6"/>
    <n v="1220.5"/>
    <n v="28500"/>
    <n v="4.2824561403508772E-2"/>
  </r>
  <r>
    <n v="2020"/>
    <x v="3"/>
    <n v="29"/>
    <x v="7"/>
    <n v="13006.5"/>
    <n v="28500"/>
    <n v="0.45636842105263159"/>
  </r>
  <r>
    <n v="2020"/>
    <x v="3"/>
    <n v="29"/>
    <x v="8"/>
    <n v="13746.5"/>
    <n v="28500"/>
    <n v="0.48233333333333334"/>
  </r>
  <r>
    <n v="2020"/>
    <x v="3"/>
    <n v="29"/>
    <x v="9"/>
    <n v="23619"/>
    <n v="28500"/>
    <n v="0.82873684210526311"/>
  </r>
  <r>
    <n v="2020"/>
    <x v="3"/>
    <n v="29"/>
    <x v="10"/>
    <n v="10227.5"/>
    <n v="28500"/>
    <n v="0.35885964912280705"/>
  </r>
  <r>
    <n v="2020"/>
    <x v="3"/>
    <n v="29"/>
    <x v="11"/>
    <n v="13277"/>
    <n v="28500"/>
    <n v="0.46585964912280703"/>
  </r>
  <r>
    <n v="2020"/>
    <x v="3"/>
    <n v="29"/>
    <x v="12"/>
    <n v="12783.5"/>
    <n v="28500"/>
    <n v="0.4485438596491228"/>
  </r>
  <r>
    <n v="2020"/>
    <x v="3"/>
    <n v="29"/>
    <x v="13"/>
    <n v="6867"/>
    <n v="28500"/>
    <n v="0.24094736842105263"/>
  </r>
  <r>
    <n v="2020"/>
    <x v="3"/>
    <n v="29"/>
    <x v="14"/>
    <n v="5614"/>
    <n v="28500"/>
    <n v="0.19698245614035087"/>
  </r>
  <r>
    <n v="2020"/>
    <x v="3"/>
    <n v="29"/>
    <x v="15"/>
    <n v="8924"/>
    <n v="28500"/>
    <n v="0.31312280701754386"/>
  </r>
  <r>
    <n v="2020"/>
    <x v="3"/>
    <n v="29"/>
    <x v="16"/>
    <n v="7068"/>
    <n v="28500"/>
    <n v="0.248"/>
  </r>
  <r>
    <n v="2020"/>
    <x v="3"/>
    <n v="29"/>
    <x v="17"/>
    <n v="4339.5"/>
    <n v="28500"/>
    <n v="0.15226315789473685"/>
  </r>
  <r>
    <n v="2020"/>
    <x v="3"/>
    <n v="29"/>
    <x v="18"/>
    <n v="1409.5"/>
    <n v="28500"/>
    <n v="4.9456140350877191E-2"/>
  </r>
  <r>
    <n v="2020"/>
    <x v="3"/>
    <n v="29"/>
    <x v="19"/>
    <n v="0"/>
    <n v="28500"/>
    <n v="0"/>
  </r>
  <r>
    <n v="2020"/>
    <x v="3"/>
    <n v="29"/>
    <x v="20"/>
    <n v="0"/>
    <n v="28500"/>
    <n v="0"/>
  </r>
  <r>
    <n v="2020"/>
    <x v="3"/>
    <n v="29"/>
    <x v="21"/>
    <n v="0"/>
    <n v="28500"/>
    <n v="0"/>
  </r>
  <r>
    <n v="2020"/>
    <x v="3"/>
    <n v="29"/>
    <x v="22"/>
    <n v="0"/>
    <n v="28500"/>
    <n v="0"/>
  </r>
  <r>
    <n v="2020"/>
    <x v="3"/>
    <n v="29"/>
    <x v="23"/>
    <n v="0"/>
    <n v="28500"/>
    <n v="0"/>
  </r>
  <r>
    <n v="2020"/>
    <x v="3"/>
    <n v="30"/>
    <x v="0"/>
    <n v="0"/>
    <n v="28500"/>
    <n v="0"/>
  </r>
  <r>
    <n v="2020"/>
    <x v="3"/>
    <n v="30"/>
    <x v="1"/>
    <n v="0"/>
    <n v="28500"/>
    <n v="0"/>
  </r>
  <r>
    <n v="2020"/>
    <x v="3"/>
    <n v="30"/>
    <x v="2"/>
    <n v="0"/>
    <n v="28500"/>
    <n v="0"/>
  </r>
  <r>
    <n v="2020"/>
    <x v="3"/>
    <n v="30"/>
    <x v="3"/>
    <n v="0"/>
    <n v="28500"/>
    <n v="0"/>
  </r>
  <r>
    <n v="2020"/>
    <x v="3"/>
    <n v="30"/>
    <x v="4"/>
    <n v="0"/>
    <n v="28500"/>
    <n v="0"/>
  </r>
  <r>
    <n v="2020"/>
    <x v="3"/>
    <n v="30"/>
    <x v="5"/>
    <n v="405.5"/>
    <n v="28500"/>
    <n v="1.4228070175438597E-2"/>
  </r>
  <r>
    <n v="2020"/>
    <x v="3"/>
    <n v="30"/>
    <x v="6"/>
    <n v="3267"/>
    <n v="28500"/>
    <n v="0.11463157894736842"/>
  </r>
  <r>
    <n v="2020"/>
    <x v="3"/>
    <n v="30"/>
    <x v="7"/>
    <n v="3253.5"/>
    <n v="28500"/>
    <n v="0.11415789473684211"/>
  </r>
  <r>
    <n v="2020"/>
    <x v="3"/>
    <n v="30"/>
    <x v="8"/>
    <n v="8321.5"/>
    <n v="28500"/>
    <n v="0.2919824561403509"/>
  </r>
  <r>
    <n v="2020"/>
    <x v="3"/>
    <n v="30"/>
    <x v="9"/>
    <n v="21296.5"/>
    <n v="28500"/>
    <n v="0.74724561403508771"/>
  </r>
  <r>
    <n v="2020"/>
    <x v="3"/>
    <n v="30"/>
    <x v="10"/>
    <n v="20387"/>
    <n v="28500"/>
    <n v="0.71533333333333338"/>
  </r>
  <r>
    <n v="2020"/>
    <x v="3"/>
    <n v="30"/>
    <x v="11"/>
    <n v="26333.5"/>
    <n v="28500"/>
    <n v="0.92398245614035091"/>
  </r>
  <r>
    <n v="2020"/>
    <x v="3"/>
    <n v="30"/>
    <x v="12"/>
    <n v="13087.5"/>
    <n v="28500"/>
    <n v="0.45921052631578946"/>
  </r>
  <r>
    <n v="2020"/>
    <x v="3"/>
    <n v="30"/>
    <x v="13"/>
    <n v="5944"/>
    <n v="28500"/>
    <n v="0.20856140350877192"/>
  </r>
  <r>
    <n v="2020"/>
    <x v="3"/>
    <n v="30"/>
    <x v="14"/>
    <n v="2679"/>
    <n v="28500"/>
    <n v="9.4E-2"/>
  </r>
  <r>
    <n v="2020"/>
    <x v="3"/>
    <n v="30"/>
    <x v="15"/>
    <n v="15699.5"/>
    <n v="28500"/>
    <n v="0.55085964912280705"/>
  </r>
  <r>
    <n v="2020"/>
    <x v="3"/>
    <n v="30"/>
    <x v="16"/>
    <n v="8334"/>
    <n v="28500"/>
    <n v="0.29242105263157897"/>
  </r>
  <r>
    <n v="2020"/>
    <x v="3"/>
    <n v="30"/>
    <x v="17"/>
    <n v="7763"/>
    <n v="28500"/>
    <n v="0.27238596491228068"/>
  </r>
  <r>
    <n v="2020"/>
    <x v="3"/>
    <n v="30"/>
    <x v="18"/>
    <n v="1094.5"/>
    <n v="28500"/>
    <n v="3.8403508771929822E-2"/>
  </r>
  <r>
    <n v="2020"/>
    <x v="3"/>
    <n v="30"/>
    <x v="19"/>
    <n v="0"/>
    <n v="28500"/>
    <n v="0"/>
  </r>
  <r>
    <n v="2020"/>
    <x v="3"/>
    <n v="30"/>
    <x v="20"/>
    <n v="0"/>
    <n v="28500"/>
    <n v="0"/>
  </r>
  <r>
    <n v="2020"/>
    <x v="3"/>
    <n v="30"/>
    <x v="21"/>
    <n v="0"/>
    <n v="28500"/>
    <n v="0"/>
  </r>
  <r>
    <n v="2020"/>
    <x v="3"/>
    <n v="30"/>
    <x v="22"/>
    <n v="0"/>
    <n v="28500"/>
    <n v="0"/>
  </r>
  <r>
    <n v="2020"/>
    <x v="3"/>
    <n v="30"/>
    <x v="23"/>
    <n v="0"/>
    <n v="28500"/>
    <n v="0"/>
  </r>
  <r>
    <n v="2020"/>
    <x v="4"/>
    <n v="1"/>
    <x v="0"/>
    <n v="0"/>
    <n v="28500"/>
    <n v="0"/>
  </r>
  <r>
    <n v="2020"/>
    <x v="4"/>
    <n v="1"/>
    <x v="1"/>
    <n v="0"/>
    <n v="28500"/>
    <n v="0"/>
  </r>
  <r>
    <n v="2020"/>
    <x v="4"/>
    <n v="1"/>
    <x v="2"/>
    <n v="0"/>
    <n v="28500"/>
    <n v="0"/>
  </r>
  <r>
    <n v="2020"/>
    <x v="4"/>
    <n v="1"/>
    <x v="3"/>
    <n v="0"/>
    <n v="28500"/>
    <n v="0"/>
  </r>
  <r>
    <n v="2020"/>
    <x v="4"/>
    <n v="1"/>
    <x v="4"/>
    <n v="0"/>
    <n v="28500"/>
    <n v="0"/>
  </r>
  <r>
    <n v="2020"/>
    <x v="4"/>
    <n v="1"/>
    <x v="5"/>
    <n v="295"/>
    <n v="28500"/>
    <n v="1.0350877192982456E-2"/>
  </r>
  <r>
    <n v="2020"/>
    <x v="4"/>
    <n v="1"/>
    <x v="6"/>
    <n v="1658"/>
    <n v="28500"/>
    <n v="5.8175438596491227E-2"/>
  </r>
  <r>
    <n v="2020"/>
    <x v="4"/>
    <n v="1"/>
    <x v="7"/>
    <n v="7305.5"/>
    <n v="28500"/>
    <n v="0.25633333333333336"/>
  </r>
  <r>
    <n v="2020"/>
    <x v="4"/>
    <n v="1"/>
    <x v="8"/>
    <n v="18906"/>
    <n v="28500"/>
    <n v="0.66336842105263161"/>
  </r>
  <r>
    <n v="2020"/>
    <x v="4"/>
    <n v="1"/>
    <x v="9"/>
    <n v="22073"/>
    <n v="28500"/>
    <n v="0.77449122807017545"/>
  </r>
  <r>
    <n v="2020"/>
    <x v="4"/>
    <n v="1"/>
    <x v="10"/>
    <n v="21966"/>
    <n v="28500"/>
    <n v="0.77073684210526316"/>
  </r>
  <r>
    <n v="2020"/>
    <x v="4"/>
    <n v="1"/>
    <x v="11"/>
    <n v="39035"/>
    <n v="28500"/>
    <n v="1.3696491228070176"/>
  </r>
  <r>
    <n v="2020"/>
    <x v="4"/>
    <n v="1"/>
    <x v="12"/>
    <n v="3392"/>
    <n v="28500"/>
    <n v="0.11901754385964912"/>
  </r>
  <r>
    <n v="2020"/>
    <x v="4"/>
    <n v="1"/>
    <x v="13"/>
    <n v="40302"/>
    <n v="28500"/>
    <n v="1.4141052631578948"/>
  </r>
  <r>
    <n v="2020"/>
    <x v="4"/>
    <n v="1"/>
    <x v="14"/>
    <n v="7887.5"/>
    <n v="28500"/>
    <n v="0.27675438596491231"/>
  </r>
  <r>
    <n v="2020"/>
    <x v="4"/>
    <n v="1"/>
    <x v="15"/>
    <n v="16808"/>
    <n v="28500"/>
    <n v="0.58975438596491225"/>
  </r>
  <r>
    <n v="2020"/>
    <x v="4"/>
    <n v="1"/>
    <x v="16"/>
    <n v="16957"/>
    <n v="28500"/>
    <n v="0.59498245614035083"/>
  </r>
  <r>
    <n v="2020"/>
    <x v="4"/>
    <n v="1"/>
    <x v="17"/>
    <n v="3981"/>
    <n v="28500"/>
    <n v="0.1396842105263158"/>
  </r>
  <r>
    <n v="2020"/>
    <x v="4"/>
    <n v="1"/>
    <x v="18"/>
    <n v="1082.5"/>
    <n v="28500"/>
    <n v="3.7982456140350875E-2"/>
  </r>
  <r>
    <n v="2020"/>
    <x v="4"/>
    <n v="1"/>
    <x v="19"/>
    <n v="0"/>
    <n v="28500"/>
    <n v="0"/>
  </r>
  <r>
    <n v="2020"/>
    <x v="4"/>
    <n v="1"/>
    <x v="20"/>
    <n v="0"/>
    <n v="28500"/>
    <n v="0"/>
  </r>
  <r>
    <n v="2020"/>
    <x v="4"/>
    <n v="1"/>
    <x v="21"/>
    <n v="0"/>
    <n v="28500"/>
    <n v="0"/>
  </r>
  <r>
    <n v="2020"/>
    <x v="4"/>
    <n v="1"/>
    <x v="22"/>
    <n v="0"/>
    <n v="28500"/>
    <n v="0"/>
  </r>
  <r>
    <n v="2020"/>
    <x v="4"/>
    <n v="1"/>
    <x v="23"/>
    <n v="0"/>
    <n v="28500"/>
    <n v="0"/>
  </r>
  <r>
    <n v="2020"/>
    <x v="4"/>
    <n v="2"/>
    <x v="0"/>
    <n v="0"/>
    <n v="28500"/>
    <n v="0"/>
  </r>
  <r>
    <n v="2020"/>
    <x v="4"/>
    <n v="2"/>
    <x v="1"/>
    <n v="0"/>
    <n v="28500"/>
    <n v="0"/>
  </r>
  <r>
    <n v="2020"/>
    <x v="4"/>
    <n v="2"/>
    <x v="2"/>
    <n v="0"/>
    <n v="28500"/>
    <n v="0"/>
  </r>
  <r>
    <n v="2020"/>
    <x v="4"/>
    <n v="2"/>
    <x v="3"/>
    <n v="0"/>
    <n v="28500"/>
    <n v="0"/>
  </r>
  <r>
    <n v="2020"/>
    <x v="4"/>
    <n v="2"/>
    <x v="4"/>
    <n v="0"/>
    <n v="28500"/>
    <n v="0"/>
  </r>
  <r>
    <n v="2020"/>
    <x v="4"/>
    <n v="2"/>
    <x v="5"/>
    <n v="551"/>
    <n v="28500"/>
    <n v="1.9333333333333334E-2"/>
  </r>
  <r>
    <n v="2020"/>
    <x v="4"/>
    <n v="2"/>
    <x v="6"/>
    <n v="3067.5"/>
    <n v="28500"/>
    <n v="0.10763157894736843"/>
  </r>
  <r>
    <n v="2020"/>
    <x v="4"/>
    <n v="2"/>
    <x v="7"/>
    <n v="14046.5"/>
    <n v="28500"/>
    <n v="0.492859649122807"/>
  </r>
  <r>
    <n v="2020"/>
    <x v="4"/>
    <n v="2"/>
    <x v="8"/>
    <n v="23200.5"/>
    <n v="28500"/>
    <n v="0.81405263157894736"/>
  </r>
  <r>
    <n v="2020"/>
    <x v="4"/>
    <n v="2"/>
    <x v="9"/>
    <n v="30028"/>
    <n v="28500"/>
    <n v="1.0536140350877192"/>
  </r>
  <r>
    <n v="2020"/>
    <x v="4"/>
    <n v="2"/>
    <x v="10"/>
    <n v="34441"/>
    <n v="28500"/>
    <n v="1.2084561403508771"/>
  </r>
  <r>
    <n v="2020"/>
    <x v="4"/>
    <n v="2"/>
    <x v="11"/>
    <n v="36464.5"/>
    <n v="28500"/>
    <n v="1.2794561403508773"/>
  </r>
  <r>
    <n v="2020"/>
    <x v="4"/>
    <n v="2"/>
    <x v="12"/>
    <n v="34305.5"/>
    <n v="28500"/>
    <n v="1.2037017543859649"/>
  </r>
  <r>
    <n v="2020"/>
    <x v="4"/>
    <n v="2"/>
    <x v="13"/>
    <n v="24806"/>
    <n v="28500"/>
    <n v="0.87038596491228071"/>
  </r>
  <r>
    <n v="2020"/>
    <x v="4"/>
    <n v="2"/>
    <x v="14"/>
    <n v="22614"/>
    <n v="28500"/>
    <n v="0.79347368421052633"/>
  </r>
  <r>
    <n v="2020"/>
    <x v="4"/>
    <n v="2"/>
    <x v="15"/>
    <n v="19818.5"/>
    <n v="28500"/>
    <n v="0.69538596491228066"/>
  </r>
  <r>
    <n v="2020"/>
    <x v="4"/>
    <n v="2"/>
    <x v="16"/>
    <n v="11668"/>
    <n v="28500"/>
    <n v="0.40940350877192982"/>
  </r>
  <r>
    <n v="2020"/>
    <x v="4"/>
    <n v="2"/>
    <x v="17"/>
    <n v="5827.5"/>
    <n v="28500"/>
    <n v="0.20447368421052631"/>
  </r>
  <r>
    <n v="2020"/>
    <x v="4"/>
    <n v="2"/>
    <x v="18"/>
    <n v="1793.5"/>
    <n v="28500"/>
    <n v="6.2929824561403502E-2"/>
  </r>
  <r>
    <n v="2020"/>
    <x v="4"/>
    <n v="2"/>
    <x v="19"/>
    <n v="0"/>
    <n v="28500"/>
    <n v="0"/>
  </r>
  <r>
    <n v="2020"/>
    <x v="4"/>
    <n v="2"/>
    <x v="20"/>
    <n v="0"/>
    <n v="28500"/>
    <n v="0"/>
  </r>
  <r>
    <n v="2020"/>
    <x v="4"/>
    <n v="2"/>
    <x v="21"/>
    <n v="0"/>
    <n v="28500"/>
    <n v="0"/>
  </r>
  <r>
    <n v="2020"/>
    <x v="4"/>
    <n v="2"/>
    <x v="22"/>
    <n v="0"/>
    <n v="28500"/>
    <n v="0"/>
  </r>
  <r>
    <n v="2020"/>
    <x v="4"/>
    <n v="2"/>
    <x v="23"/>
    <n v="0"/>
    <n v="28500"/>
    <n v="0"/>
  </r>
  <r>
    <n v="2020"/>
    <x v="4"/>
    <n v="3"/>
    <x v="0"/>
    <n v="0"/>
    <n v="28500"/>
    <n v="0"/>
  </r>
  <r>
    <n v="2020"/>
    <x v="4"/>
    <n v="3"/>
    <x v="1"/>
    <n v="0"/>
    <n v="28500"/>
    <n v="0"/>
  </r>
  <r>
    <n v="2020"/>
    <x v="4"/>
    <n v="3"/>
    <x v="2"/>
    <n v="0"/>
    <n v="28500"/>
    <n v="0"/>
  </r>
  <r>
    <n v="2020"/>
    <x v="4"/>
    <n v="3"/>
    <x v="3"/>
    <n v="0"/>
    <n v="28500"/>
    <n v="0"/>
  </r>
  <r>
    <n v="2020"/>
    <x v="4"/>
    <n v="3"/>
    <x v="4"/>
    <n v="0"/>
    <n v="28500"/>
    <n v="0"/>
  </r>
  <r>
    <n v="2020"/>
    <x v="4"/>
    <n v="3"/>
    <x v="5"/>
    <n v="579"/>
    <n v="28500"/>
    <n v="2.0315789473684211E-2"/>
  </r>
  <r>
    <n v="2020"/>
    <x v="4"/>
    <n v="3"/>
    <x v="6"/>
    <n v="2537"/>
    <n v="28500"/>
    <n v="8.901754385964912E-2"/>
  </r>
  <r>
    <n v="2020"/>
    <x v="4"/>
    <n v="3"/>
    <x v="7"/>
    <n v="8577.5"/>
    <n v="28500"/>
    <n v="0.30096491228070177"/>
  </r>
  <r>
    <n v="2020"/>
    <x v="4"/>
    <n v="3"/>
    <x v="8"/>
    <n v="12755.5"/>
    <n v="28500"/>
    <n v="0.44756140350877194"/>
  </r>
  <r>
    <n v="2020"/>
    <x v="4"/>
    <n v="3"/>
    <x v="9"/>
    <n v="13813.5"/>
    <n v="28500"/>
    <n v="0.48468421052631577"/>
  </r>
  <r>
    <n v="2020"/>
    <x v="4"/>
    <n v="3"/>
    <x v="10"/>
    <n v="9688.5"/>
    <n v="28500"/>
    <n v="0.33994736842105261"/>
  </r>
  <r>
    <n v="2020"/>
    <x v="4"/>
    <n v="3"/>
    <x v="11"/>
    <n v="9953"/>
    <n v="28500"/>
    <n v="0.34922807017543861"/>
  </r>
  <r>
    <n v="2020"/>
    <x v="4"/>
    <n v="3"/>
    <x v="12"/>
    <n v="9187"/>
    <n v="28500"/>
    <n v="0.32235087719298244"/>
  </r>
  <r>
    <n v="2020"/>
    <x v="4"/>
    <n v="3"/>
    <x v="13"/>
    <n v="5226.5"/>
    <n v="28500"/>
    <n v="0.18338596491228071"/>
  </r>
  <r>
    <n v="2020"/>
    <x v="4"/>
    <n v="3"/>
    <x v="14"/>
    <n v="4797"/>
    <n v="28500"/>
    <n v="0.16831578947368422"/>
  </r>
  <r>
    <n v="2020"/>
    <x v="4"/>
    <n v="3"/>
    <x v="15"/>
    <n v="4679.5"/>
    <n v="28500"/>
    <n v="0.16419298245614036"/>
  </r>
  <r>
    <n v="2020"/>
    <x v="4"/>
    <n v="3"/>
    <x v="16"/>
    <n v="5116.5"/>
    <n v="28500"/>
    <n v="0.17952631578947367"/>
  </r>
  <r>
    <n v="2020"/>
    <x v="4"/>
    <n v="3"/>
    <x v="17"/>
    <n v="3148.5"/>
    <n v="28500"/>
    <n v="0.11047368421052632"/>
  </r>
  <r>
    <n v="2020"/>
    <x v="4"/>
    <n v="3"/>
    <x v="18"/>
    <n v="1010.5"/>
    <n v="28500"/>
    <n v="3.5456140350877192E-2"/>
  </r>
  <r>
    <n v="2020"/>
    <x v="4"/>
    <n v="3"/>
    <x v="19"/>
    <n v="0"/>
    <n v="28500"/>
    <n v="0"/>
  </r>
  <r>
    <n v="2020"/>
    <x v="4"/>
    <n v="3"/>
    <x v="20"/>
    <n v="0"/>
    <n v="28500"/>
    <n v="0"/>
  </r>
  <r>
    <n v="2020"/>
    <x v="4"/>
    <n v="3"/>
    <x v="21"/>
    <n v="0"/>
    <n v="28500"/>
    <n v="0"/>
  </r>
  <r>
    <n v="2020"/>
    <x v="4"/>
    <n v="3"/>
    <x v="22"/>
    <n v="0"/>
    <n v="28500"/>
    <n v="0"/>
  </r>
  <r>
    <n v="2020"/>
    <x v="4"/>
    <n v="3"/>
    <x v="23"/>
    <n v="0"/>
    <n v="28500"/>
    <n v="0"/>
  </r>
  <r>
    <n v="2020"/>
    <x v="4"/>
    <n v="4"/>
    <x v="0"/>
    <n v="0"/>
    <n v="28500"/>
    <n v="0"/>
  </r>
  <r>
    <n v="2020"/>
    <x v="4"/>
    <n v="4"/>
    <x v="1"/>
    <n v="0"/>
    <n v="28500"/>
    <n v="0"/>
  </r>
  <r>
    <n v="2020"/>
    <x v="4"/>
    <n v="4"/>
    <x v="2"/>
    <n v="0"/>
    <n v="28500"/>
    <n v="0"/>
  </r>
  <r>
    <n v="2020"/>
    <x v="4"/>
    <n v="4"/>
    <x v="3"/>
    <n v="0"/>
    <n v="28500"/>
    <n v="0"/>
  </r>
  <r>
    <n v="2020"/>
    <x v="4"/>
    <n v="4"/>
    <x v="4"/>
    <n v="0"/>
    <n v="28500"/>
    <n v="0"/>
  </r>
  <r>
    <n v="2020"/>
    <x v="4"/>
    <n v="4"/>
    <x v="5"/>
    <n v="58"/>
    <n v="28500"/>
    <n v="2.0350877192982456E-3"/>
  </r>
  <r>
    <n v="2020"/>
    <x v="4"/>
    <n v="4"/>
    <x v="6"/>
    <n v="3683.5"/>
    <n v="28500"/>
    <n v="0.12924561403508772"/>
  </r>
  <r>
    <n v="2020"/>
    <x v="4"/>
    <n v="4"/>
    <x v="7"/>
    <n v="10358"/>
    <n v="28500"/>
    <n v="0.36343859649122806"/>
  </r>
  <r>
    <n v="2020"/>
    <x v="4"/>
    <n v="4"/>
    <x v="8"/>
    <n v="21131"/>
    <n v="28500"/>
    <n v="0.74143859649122812"/>
  </r>
  <r>
    <n v="2020"/>
    <x v="4"/>
    <n v="4"/>
    <x v="9"/>
    <n v="28630"/>
    <n v="28500"/>
    <n v="1.004561403508772"/>
  </r>
  <r>
    <n v="2020"/>
    <x v="4"/>
    <n v="4"/>
    <x v="10"/>
    <n v="24173.5"/>
    <n v="28500"/>
    <n v="0.84819298245614039"/>
  </r>
  <r>
    <n v="2020"/>
    <x v="4"/>
    <n v="4"/>
    <x v="11"/>
    <n v="37493.5"/>
    <n v="28500"/>
    <n v="1.3155614035087719"/>
  </r>
  <r>
    <n v="2020"/>
    <x v="4"/>
    <n v="4"/>
    <x v="12"/>
    <n v="38066.5"/>
    <n v="28500"/>
    <n v="1.3356666666666666"/>
  </r>
  <r>
    <n v="2020"/>
    <x v="4"/>
    <n v="4"/>
    <x v="13"/>
    <n v="39818"/>
    <n v="28500"/>
    <n v="1.3971228070175439"/>
  </r>
  <r>
    <n v="2020"/>
    <x v="4"/>
    <n v="4"/>
    <x v="14"/>
    <n v="35865.5"/>
    <n v="28500"/>
    <n v="1.2584385964912281"/>
  </r>
  <r>
    <n v="2020"/>
    <x v="4"/>
    <n v="4"/>
    <x v="15"/>
    <n v="28419"/>
    <n v="28500"/>
    <n v="0.99715789473684213"/>
  </r>
  <r>
    <n v="2020"/>
    <x v="4"/>
    <n v="4"/>
    <x v="16"/>
    <n v="18622.5"/>
    <n v="28500"/>
    <n v="0.6534210526315789"/>
  </r>
  <r>
    <n v="2020"/>
    <x v="4"/>
    <n v="4"/>
    <x v="17"/>
    <n v="7959.5"/>
    <n v="28500"/>
    <n v="0.27928070175438596"/>
  </r>
  <r>
    <n v="2020"/>
    <x v="4"/>
    <n v="4"/>
    <x v="18"/>
    <n v="1911.5"/>
    <n v="28500"/>
    <n v="6.7070175438596488E-2"/>
  </r>
  <r>
    <n v="2020"/>
    <x v="4"/>
    <n v="4"/>
    <x v="19"/>
    <n v="0"/>
    <n v="28500"/>
    <n v="0"/>
  </r>
  <r>
    <n v="2020"/>
    <x v="4"/>
    <n v="4"/>
    <x v="20"/>
    <n v="0"/>
    <n v="28500"/>
    <n v="0"/>
  </r>
  <r>
    <n v="2020"/>
    <x v="4"/>
    <n v="4"/>
    <x v="21"/>
    <n v="0"/>
    <n v="28500"/>
    <n v="0"/>
  </r>
  <r>
    <n v="2020"/>
    <x v="4"/>
    <n v="4"/>
    <x v="22"/>
    <n v="0"/>
    <n v="28500"/>
    <n v="0"/>
  </r>
  <r>
    <n v="2020"/>
    <x v="4"/>
    <n v="4"/>
    <x v="23"/>
    <n v="0"/>
    <n v="28500"/>
    <n v="0"/>
  </r>
  <r>
    <n v="2020"/>
    <x v="4"/>
    <n v="5"/>
    <x v="0"/>
    <n v="0"/>
    <n v="28500"/>
    <n v="0"/>
  </r>
  <r>
    <n v="2020"/>
    <x v="4"/>
    <n v="5"/>
    <x v="1"/>
    <n v="0"/>
    <n v="28500"/>
    <n v="0"/>
  </r>
  <r>
    <n v="2020"/>
    <x v="4"/>
    <n v="5"/>
    <x v="2"/>
    <n v="0"/>
    <n v="28500"/>
    <n v="0"/>
  </r>
  <r>
    <n v="2020"/>
    <x v="4"/>
    <n v="5"/>
    <x v="3"/>
    <n v="0"/>
    <n v="28500"/>
    <n v="0"/>
  </r>
  <r>
    <n v="2020"/>
    <x v="4"/>
    <n v="5"/>
    <x v="4"/>
    <n v="0"/>
    <n v="28500"/>
    <n v="0"/>
  </r>
  <r>
    <n v="2020"/>
    <x v="4"/>
    <n v="5"/>
    <x v="5"/>
    <n v="517"/>
    <n v="28500"/>
    <n v="1.8140350877192981E-2"/>
  </r>
  <r>
    <n v="2020"/>
    <x v="4"/>
    <n v="5"/>
    <x v="6"/>
    <n v="3600.5"/>
    <n v="28500"/>
    <n v="0.12633333333333333"/>
  </r>
  <r>
    <n v="2020"/>
    <x v="4"/>
    <n v="5"/>
    <x v="7"/>
    <n v="6863.5"/>
    <n v="28500"/>
    <n v="0.24082456140350877"/>
  </r>
  <r>
    <n v="2020"/>
    <x v="4"/>
    <n v="5"/>
    <x v="8"/>
    <n v="17385.5"/>
    <n v="28500"/>
    <n v="0.61001754385964913"/>
  </r>
  <r>
    <n v="2020"/>
    <x v="4"/>
    <n v="5"/>
    <x v="9"/>
    <n v="22389.5"/>
    <n v="28500"/>
    <n v="0.78559649122807018"/>
  </r>
  <r>
    <n v="2020"/>
    <x v="4"/>
    <n v="5"/>
    <x v="10"/>
    <n v="35580"/>
    <n v="28500"/>
    <n v="1.2484210526315789"/>
  </r>
  <r>
    <n v="2020"/>
    <x v="4"/>
    <n v="5"/>
    <x v="11"/>
    <n v="42204.5"/>
    <n v="28500"/>
    <n v="1.480859649122807"/>
  </r>
  <r>
    <n v="2020"/>
    <x v="4"/>
    <n v="5"/>
    <x v="12"/>
    <n v="44384.5"/>
    <n v="28500"/>
    <n v="1.5573508771929825"/>
  </r>
  <r>
    <n v="2020"/>
    <x v="4"/>
    <n v="5"/>
    <x v="13"/>
    <n v="42583"/>
    <n v="28500"/>
    <n v="1.4941403508771929"/>
  </r>
  <r>
    <n v="2020"/>
    <x v="4"/>
    <n v="5"/>
    <x v="14"/>
    <n v="37126.5"/>
    <n v="28500"/>
    <n v="1.3026842105263159"/>
  </r>
  <r>
    <n v="2020"/>
    <x v="4"/>
    <n v="5"/>
    <x v="15"/>
    <n v="29753.5"/>
    <n v="28500"/>
    <n v="1.0439824561403508"/>
  </r>
  <r>
    <n v="2020"/>
    <x v="4"/>
    <n v="5"/>
    <x v="16"/>
    <n v="19792.5"/>
    <n v="28500"/>
    <n v="0.69447368421052635"/>
  </r>
  <r>
    <n v="2020"/>
    <x v="4"/>
    <n v="5"/>
    <x v="17"/>
    <n v="8434"/>
    <n v="28500"/>
    <n v="0.29592982456140349"/>
  </r>
  <r>
    <n v="2020"/>
    <x v="4"/>
    <n v="5"/>
    <x v="18"/>
    <n v="1587.5"/>
    <n v="28500"/>
    <n v="5.5701754385964912E-2"/>
  </r>
  <r>
    <n v="2020"/>
    <x v="4"/>
    <n v="5"/>
    <x v="19"/>
    <n v="0"/>
    <n v="28500"/>
    <n v="0"/>
  </r>
  <r>
    <n v="2020"/>
    <x v="4"/>
    <n v="5"/>
    <x v="20"/>
    <n v="0"/>
    <n v="28500"/>
    <n v="0"/>
  </r>
  <r>
    <n v="2020"/>
    <x v="4"/>
    <n v="5"/>
    <x v="21"/>
    <n v="0"/>
    <n v="28500"/>
    <n v="0"/>
  </r>
  <r>
    <n v="2020"/>
    <x v="4"/>
    <n v="5"/>
    <x v="22"/>
    <n v="0"/>
    <n v="28500"/>
    <n v="0"/>
  </r>
  <r>
    <n v="2020"/>
    <x v="4"/>
    <n v="5"/>
    <x v="23"/>
    <n v="0"/>
    <n v="28500"/>
    <n v="0"/>
  </r>
  <r>
    <n v="2020"/>
    <x v="4"/>
    <n v="6"/>
    <x v="0"/>
    <n v="0"/>
    <n v="28500"/>
    <n v="0"/>
  </r>
  <r>
    <n v="2020"/>
    <x v="4"/>
    <n v="6"/>
    <x v="1"/>
    <n v="0"/>
    <n v="28500"/>
    <n v="0"/>
  </r>
  <r>
    <n v="2020"/>
    <x v="4"/>
    <n v="6"/>
    <x v="2"/>
    <n v="0"/>
    <n v="28500"/>
    <n v="0"/>
  </r>
  <r>
    <n v="2020"/>
    <x v="4"/>
    <n v="6"/>
    <x v="3"/>
    <n v="0"/>
    <n v="28500"/>
    <n v="0"/>
  </r>
  <r>
    <n v="2020"/>
    <x v="4"/>
    <n v="6"/>
    <x v="4"/>
    <n v="0"/>
    <n v="28500"/>
    <n v="0"/>
  </r>
  <r>
    <n v="2020"/>
    <x v="4"/>
    <n v="6"/>
    <x v="5"/>
    <n v="704"/>
    <n v="28500"/>
    <n v="2.4701754385964912E-2"/>
  </r>
  <r>
    <n v="2020"/>
    <x v="4"/>
    <n v="6"/>
    <x v="6"/>
    <n v="3487"/>
    <n v="28500"/>
    <n v="0.12235087719298246"/>
  </r>
  <r>
    <n v="2020"/>
    <x v="4"/>
    <n v="6"/>
    <x v="7"/>
    <n v="14099.5"/>
    <n v="28500"/>
    <n v="0.49471929824561406"/>
  </r>
  <r>
    <n v="2020"/>
    <x v="4"/>
    <n v="6"/>
    <x v="8"/>
    <n v="24505"/>
    <n v="28500"/>
    <n v="0.85982456140350882"/>
  </r>
  <r>
    <n v="2020"/>
    <x v="4"/>
    <n v="6"/>
    <x v="9"/>
    <n v="32693.5"/>
    <n v="28500"/>
    <n v="1.1471403508771929"/>
  </r>
  <r>
    <n v="2020"/>
    <x v="4"/>
    <n v="6"/>
    <x v="10"/>
    <n v="38578"/>
    <n v="28500"/>
    <n v="1.3536140350877193"/>
  </r>
  <r>
    <n v="2020"/>
    <x v="4"/>
    <n v="6"/>
    <x v="11"/>
    <n v="42054.5"/>
    <n v="28500"/>
    <n v="1.4755964912280701"/>
  </r>
  <r>
    <n v="2020"/>
    <x v="4"/>
    <n v="6"/>
    <x v="12"/>
    <n v="42946"/>
    <n v="28500"/>
    <n v="1.506877192982456"/>
  </r>
  <r>
    <n v="2020"/>
    <x v="4"/>
    <n v="6"/>
    <x v="13"/>
    <n v="40469.5"/>
    <n v="28500"/>
    <n v="1.4199824561403509"/>
  </r>
  <r>
    <n v="2020"/>
    <x v="4"/>
    <n v="6"/>
    <x v="14"/>
    <n v="35505.5"/>
    <n v="28500"/>
    <n v="1.2458070175438596"/>
  </r>
  <r>
    <n v="2020"/>
    <x v="4"/>
    <n v="6"/>
    <x v="15"/>
    <n v="28692"/>
    <n v="28500"/>
    <n v="1.0067368421052632"/>
  </r>
  <r>
    <n v="2020"/>
    <x v="4"/>
    <n v="6"/>
    <x v="16"/>
    <n v="19204.5"/>
    <n v="28500"/>
    <n v="0.67384210526315791"/>
  </r>
  <r>
    <n v="2020"/>
    <x v="4"/>
    <n v="6"/>
    <x v="17"/>
    <n v="8257.5"/>
    <n v="28500"/>
    <n v="0.28973684210526318"/>
  </r>
  <r>
    <n v="2020"/>
    <x v="4"/>
    <n v="6"/>
    <x v="18"/>
    <n v="1495"/>
    <n v="28500"/>
    <n v="5.2456140350877194E-2"/>
  </r>
  <r>
    <n v="2020"/>
    <x v="4"/>
    <n v="6"/>
    <x v="19"/>
    <n v="0"/>
    <n v="28500"/>
    <n v="0"/>
  </r>
  <r>
    <n v="2020"/>
    <x v="4"/>
    <n v="6"/>
    <x v="20"/>
    <n v="0"/>
    <n v="28500"/>
    <n v="0"/>
  </r>
  <r>
    <n v="2020"/>
    <x v="4"/>
    <n v="6"/>
    <x v="21"/>
    <n v="0"/>
    <n v="28500"/>
    <n v="0"/>
  </r>
  <r>
    <n v="2020"/>
    <x v="4"/>
    <n v="6"/>
    <x v="22"/>
    <n v="0"/>
    <n v="28500"/>
    <n v="0"/>
  </r>
  <r>
    <n v="2020"/>
    <x v="4"/>
    <n v="6"/>
    <x v="23"/>
    <n v="0"/>
    <n v="28500"/>
    <n v="0"/>
  </r>
  <r>
    <n v="2020"/>
    <x v="4"/>
    <n v="7"/>
    <x v="0"/>
    <n v="0"/>
    <n v="28500"/>
    <n v="0"/>
  </r>
  <r>
    <n v="2020"/>
    <x v="4"/>
    <n v="7"/>
    <x v="1"/>
    <n v="0"/>
    <n v="28500"/>
    <n v="0"/>
  </r>
  <r>
    <n v="2020"/>
    <x v="4"/>
    <n v="7"/>
    <x v="2"/>
    <n v="0"/>
    <n v="28500"/>
    <n v="0"/>
  </r>
  <r>
    <n v="2020"/>
    <x v="4"/>
    <n v="7"/>
    <x v="3"/>
    <n v="0"/>
    <n v="28500"/>
    <n v="0"/>
  </r>
  <r>
    <n v="2020"/>
    <x v="4"/>
    <n v="7"/>
    <x v="4"/>
    <n v="0"/>
    <n v="28500"/>
    <n v="0"/>
  </r>
  <r>
    <n v="2020"/>
    <x v="4"/>
    <n v="7"/>
    <x v="5"/>
    <n v="795"/>
    <n v="28500"/>
    <n v="2.7894736842105264E-2"/>
  </r>
  <r>
    <n v="2020"/>
    <x v="4"/>
    <n v="7"/>
    <x v="6"/>
    <n v="3849"/>
    <n v="28500"/>
    <n v="0.13505263157894737"/>
  </r>
  <r>
    <n v="2020"/>
    <x v="4"/>
    <n v="7"/>
    <x v="7"/>
    <n v="12987.5"/>
    <n v="28500"/>
    <n v="0.45570175438596489"/>
  </r>
  <r>
    <n v="2020"/>
    <x v="4"/>
    <n v="7"/>
    <x v="8"/>
    <n v="21901.5"/>
    <n v="28500"/>
    <n v="0.76847368421052631"/>
  </r>
  <r>
    <n v="2020"/>
    <x v="4"/>
    <n v="7"/>
    <x v="9"/>
    <n v="29976"/>
    <n v="28500"/>
    <n v="1.0517894736842106"/>
  </r>
  <r>
    <n v="2020"/>
    <x v="4"/>
    <n v="7"/>
    <x v="10"/>
    <n v="35344"/>
    <n v="28500"/>
    <n v="1.2401403508771929"/>
  </r>
  <r>
    <n v="2020"/>
    <x v="4"/>
    <n v="7"/>
    <x v="11"/>
    <n v="40468.5"/>
    <n v="28500"/>
    <n v="1.4199473684210526"/>
  </r>
  <r>
    <n v="2020"/>
    <x v="4"/>
    <n v="7"/>
    <x v="12"/>
    <n v="40423.5"/>
    <n v="28500"/>
    <n v="1.4183684210526315"/>
  </r>
  <r>
    <n v="2020"/>
    <x v="4"/>
    <n v="7"/>
    <x v="13"/>
    <n v="36688.5"/>
    <n v="28500"/>
    <n v="1.2873157894736842"/>
  </r>
  <r>
    <n v="2020"/>
    <x v="4"/>
    <n v="7"/>
    <x v="14"/>
    <n v="33229.5"/>
    <n v="28500"/>
    <n v="1.1659473684210526"/>
  </r>
  <r>
    <n v="2020"/>
    <x v="4"/>
    <n v="7"/>
    <x v="15"/>
    <n v="25933.5"/>
    <n v="28500"/>
    <n v="0.90994736842105262"/>
  </r>
  <r>
    <n v="2020"/>
    <x v="4"/>
    <n v="7"/>
    <x v="16"/>
    <n v="16878.5"/>
    <n v="28500"/>
    <n v="0.59222807017543855"/>
  </r>
  <r>
    <n v="2020"/>
    <x v="4"/>
    <n v="7"/>
    <x v="17"/>
    <n v="7885"/>
    <n v="28500"/>
    <n v="0.27666666666666667"/>
  </r>
  <r>
    <n v="2020"/>
    <x v="4"/>
    <n v="7"/>
    <x v="18"/>
    <n v="1886.5"/>
    <n v="28500"/>
    <n v="6.6192982456140345E-2"/>
  </r>
  <r>
    <n v="2020"/>
    <x v="4"/>
    <n v="7"/>
    <x v="19"/>
    <n v="0"/>
    <n v="28500"/>
    <n v="0"/>
  </r>
  <r>
    <n v="2020"/>
    <x v="4"/>
    <n v="7"/>
    <x v="20"/>
    <n v="0"/>
    <n v="28500"/>
    <n v="0"/>
  </r>
  <r>
    <n v="2020"/>
    <x v="4"/>
    <n v="7"/>
    <x v="21"/>
    <n v="0"/>
    <n v="28500"/>
    <n v="0"/>
  </r>
  <r>
    <n v="2020"/>
    <x v="4"/>
    <n v="7"/>
    <x v="22"/>
    <n v="0"/>
    <n v="28500"/>
    <n v="0"/>
  </r>
  <r>
    <n v="2020"/>
    <x v="4"/>
    <n v="7"/>
    <x v="23"/>
    <n v="0"/>
    <n v="28500"/>
    <n v="0"/>
  </r>
  <r>
    <n v="2020"/>
    <x v="4"/>
    <n v="8"/>
    <x v="0"/>
    <n v="0"/>
    <n v="28500"/>
    <n v="0"/>
  </r>
  <r>
    <n v="2020"/>
    <x v="4"/>
    <n v="8"/>
    <x v="1"/>
    <n v="0"/>
    <n v="28500"/>
    <n v="0"/>
  </r>
  <r>
    <n v="2020"/>
    <x v="4"/>
    <n v="8"/>
    <x v="2"/>
    <n v="0"/>
    <n v="28500"/>
    <n v="0"/>
  </r>
  <r>
    <n v="2020"/>
    <x v="4"/>
    <n v="8"/>
    <x v="3"/>
    <n v="0"/>
    <n v="28500"/>
    <n v="0"/>
  </r>
  <r>
    <n v="2020"/>
    <x v="4"/>
    <n v="8"/>
    <x v="4"/>
    <n v="0"/>
    <n v="28500"/>
    <n v="0"/>
  </r>
  <r>
    <n v="2020"/>
    <x v="4"/>
    <n v="8"/>
    <x v="5"/>
    <n v="724.5"/>
    <n v="28500"/>
    <n v="2.5421052631578948E-2"/>
  </r>
  <r>
    <n v="2020"/>
    <x v="4"/>
    <n v="8"/>
    <x v="6"/>
    <n v="3513.5"/>
    <n v="28500"/>
    <n v="0.12328070175438596"/>
  </r>
  <r>
    <n v="2020"/>
    <x v="4"/>
    <n v="8"/>
    <x v="7"/>
    <n v="13016"/>
    <n v="28500"/>
    <n v="0.45670175438596489"/>
  </r>
  <r>
    <n v="2020"/>
    <x v="4"/>
    <n v="8"/>
    <x v="8"/>
    <n v="19849.5"/>
    <n v="28500"/>
    <n v="0.69647368421052636"/>
  </r>
  <r>
    <n v="2020"/>
    <x v="4"/>
    <n v="8"/>
    <x v="9"/>
    <n v="24262"/>
    <n v="28500"/>
    <n v="0.85129824561403511"/>
  </r>
  <r>
    <n v="2020"/>
    <x v="4"/>
    <n v="8"/>
    <x v="10"/>
    <n v="26134"/>
    <n v="28500"/>
    <n v="0.9169824561403509"/>
  </r>
  <r>
    <n v="2020"/>
    <x v="4"/>
    <n v="8"/>
    <x v="11"/>
    <n v="22370"/>
    <n v="28500"/>
    <n v="0.78491228070175434"/>
  </r>
  <r>
    <n v="2020"/>
    <x v="4"/>
    <n v="8"/>
    <x v="12"/>
    <n v="39165"/>
    <n v="28500"/>
    <n v="1.3742105263157895"/>
  </r>
  <r>
    <n v="2020"/>
    <x v="4"/>
    <n v="8"/>
    <x v="13"/>
    <n v="37771.5"/>
    <n v="28500"/>
    <n v="1.3253157894736842"/>
  </r>
  <r>
    <n v="2020"/>
    <x v="4"/>
    <n v="8"/>
    <x v="14"/>
    <n v="33068.5"/>
    <n v="28500"/>
    <n v="1.1602982456140352"/>
  </r>
  <r>
    <n v="2020"/>
    <x v="4"/>
    <n v="8"/>
    <x v="15"/>
    <n v="26758"/>
    <n v="28500"/>
    <n v="0.93887719298245609"/>
  </r>
  <r>
    <n v="2020"/>
    <x v="4"/>
    <n v="8"/>
    <x v="16"/>
    <n v="18037"/>
    <n v="28500"/>
    <n v="0.63287719298245615"/>
  </r>
  <r>
    <n v="2020"/>
    <x v="4"/>
    <n v="8"/>
    <x v="17"/>
    <n v="7828.5"/>
    <n v="28500"/>
    <n v="0.27468421052631581"/>
  </r>
  <r>
    <n v="2020"/>
    <x v="4"/>
    <n v="8"/>
    <x v="18"/>
    <n v="1414.5"/>
    <n v="28500"/>
    <n v="4.9631578947368422E-2"/>
  </r>
  <r>
    <n v="2020"/>
    <x v="4"/>
    <n v="8"/>
    <x v="19"/>
    <n v="0"/>
    <n v="28500"/>
    <n v="0"/>
  </r>
  <r>
    <n v="2020"/>
    <x v="4"/>
    <n v="8"/>
    <x v="20"/>
    <n v="0"/>
    <n v="28500"/>
    <n v="0"/>
  </r>
  <r>
    <n v="2020"/>
    <x v="4"/>
    <n v="8"/>
    <x v="21"/>
    <n v="0"/>
    <n v="28500"/>
    <n v="0"/>
  </r>
  <r>
    <n v="2020"/>
    <x v="4"/>
    <n v="8"/>
    <x v="22"/>
    <n v="0"/>
    <n v="28500"/>
    <n v="0"/>
  </r>
  <r>
    <n v="2020"/>
    <x v="4"/>
    <n v="8"/>
    <x v="23"/>
    <n v="0"/>
    <n v="28500"/>
    <n v="0"/>
  </r>
  <r>
    <n v="2020"/>
    <x v="4"/>
    <n v="9"/>
    <x v="0"/>
    <n v="0"/>
    <n v="28500"/>
    <n v="0"/>
  </r>
  <r>
    <n v="2020"/>
    <x v="4"/>
    <n v="9"/>
    <x v="1"/>
    <n v="0"/>
    <n v="28500"/>
    <n v="0"/>
  </r>
  <r>
    <n v="2020"/>
    <x v="4"/>
    <n v="9"/>
    <x v="2"/>
    <n v="0"/>
    <n v="28500"/>
    <n v="0"/>
  </r>
  <r>
    <n v="2020"/>
    <x v="4"/>
    <n v="9"/>
    <x v="3"/>
    <n v="0"/>
    <n v="28500"/>
    <n v="0"/>
  </r>
  <r>
    <n v="2020"/>
    <x v="4"/>
    <n v="9"/>
    <x v="4"/>
    <n v="0"/>
    <n v="28500"/>
    <n v="0"/>
  </r>
  <r>
    <n v="2020"/>
    <x v="4"/>
    <n v="9"/>
    <x v="5"/>
    <n v="844"/>
    <n v="28500"/>
    <n v="2.9614035087719297E-2"/>
  </r>
  <r>
    <n v="2020"/>
    <x v="4"/>
    <n v="9"/>
    <x v="6"/>
    <n v="3636"/>
    <n v="28500"/>
    <n v="0.12757894736842104"/>
  </r>
  <r>
    <n v="2020"/>
    <x v="4"/>
    <n v="9"/>
    <x v="7"/>
    <n v="13306"/>
    <n v="28500"/>
    <n v="0.46687719298245611"/>
  </r>
  <r>
    <n v="2020"/>
    <x v="4"/>
    <n v="9"/>
    <x v="8"/>
    <n v="23334"/>
    <n v="28500"/>
    <n v="0.81873684210526321"/>
  </r>
  <r>
    <n v="2020"/>
    <x v="4"/>
    <n v="9"/>
    <x v="9"/>
    <n v="31255.5"/>
    <n v="28500"/>
    <n v="1.0966842105263157"/>
  </r>
  <r>
    <n v="2020"/>
    <x v="4"/>
    <n v="9"/>
    <x v="10"/>
    <n v="37652.5"/>
    <n v="28500"/>
    <n v="1.3211403508771931"/>
  </r>
  <r>
    <n v="2020"/>
    <x v="4"/>
    <n v="9"/>
    <x v="11"/>
    <n v="40945.5"/>
    <n v="28500"/>
    <n v="1.4366842105263158"/>
  </r>
  <r>
    <n v="2020"/>
    <x v="4"/>
    <n v="9"/>
    <x v="12"/>
    <n v="41160.5"/>
    <n v="28500"/>
    <n v="1.4442280701754386"/>
  </r>
  <r>
    <n v="2020"/>
    <x v="4"/>
    <n v="9"/>
    <x v="13"/>
    <n v="38972"/>
    <n v="28500"/>
    <n v="1.3674385964912281"/>
  </r>
  <r>
    <n v="2020"/>
    <x v="4"/>
    <n v="9"/>
    <x v="14"/>
    <n v="33875.5"/>
    <n v="28500"/>
    <n v="1.1886140350877192"/>
  </r>
  <r>
    <n v="2020"/>
    <x v="4"/>
    <n v="9"/>
    <x v="15"/>
    <n v="26915"/>
    <n v="28500"/>
    <n v="0.94438596491228066"/>
  </r>
  <r>
    <n v="2020"/>
    <x v="4"/>
    <n v="9"/>
    <x v="16"/>
    <n v="13762.5"/>
    <n v="28500"/>
    <n v="0.48289473684210527"/>
  </r>
  <r>
    <n v="2020"/>
    <x v="4"/>
    <n v="9"/>
    <x v="17"/>
    <n v="7476.5"/>
    <n v="28500"/>
    <n v="0.26233333333333331"/>
  </r>
  <r>
    <n v="2020"/>
    <x v="4"/>
    <n v="9"/>
    <x v="18"/>
    <n v="1886"/>
    <n v="28500"/>
    <n v="6.6175438596491234E-2"/>
  </r>
  <r>
    <n v="2020"/>
    <x v="4"/>
    <n v="9"/>
    <x v="19"/>
    <n v="0"/>
    <n v="28500"/>
    <n v="0"/>
  </r>
  <r>
    <n v="2020"/>
    <x v="4"/>
    <n v="9"/>
    <x v="20"/>
    <n v="0"/>
    <n v="28500"/>
    <n v="0"/>
  </r>
  <r>
    <n v="2020"/>
    <x v="4"/>
    <n v="9"/>
    <x v="21"/>
    <n v="0"/>
    <n v="28500"/>
    <n v="0"/>
  </r>
  <r>
    <n v="2020"/>
    <x v="4"/>
    <n v="9"/>
    <x v="22"/>
    <n v="0"/>
    <n v="28500"/>
    <n v="0"/>
  </r>
  <r>
    <n v="2020"/>
    <x v="4"/>
    <n v="9"/>
    <x v="23"/>
    <n v="0"/>
    <n v="28500"/>
    <n v="0"/>
  </r>
  <r>
    <n v="2020"/>
    <x v="4"/>
    <n v="10"/>
    <x v="0"/>
    <n v="0"/>
    <n v="28500"/>
    <n v="0"/>
  </r>
  <r>
    <n v="2020"/>
    <x v="4"/>
    <n v="10"/>
    <x v="1"/>
    <n v="0"/>
    <n v="28500"/>
    <n v="0"/>
  </r>
  <r>
    <n v="2020"/>
    <x v="4"/>
    <n v="10"/>
    <x v="2"/>
    <n v="0"/>
    <n v="28500"/>
    <n v="0"/>
  </r>
  <r>
    <n v="2020"/>
    <x v="4"/>
    <n v="10"/>
    <x v="3"/>
    <n v="0"/>
    <n v="28500"/>
    <n v="0"/>
  </r>
  <r>
    <n v="2020"/>
    <x v="4"/>
    <n v="10"/>
    <x v="4"/>
    <n v="0"/>
    <n v="28500"/>
    <n v="0"/>
  </r>
  <r>
    <n v="2020"/>
    <x v="4"/>
    <n v="10"/>
    <x v="5"/>
    <n v="927.5"/>
    <n v="28500"/>
    <n v="3.2543859649122805E-2"/>
  </r>
  <r>
    <n v="2020"/>
    <x v="4"/>
    <n v="10"/>
    <x v="6"/>
    <n v="4214"/>
    <n v="28500"/>
    <n v="0.14785964912280702"/>
  </r>
  <r>
    <n v="2020"/>
    <x v="4"/>
    <n v="10"/>
    <x v="7"/>
    <n v="10523"/>
    <n v="28500"/>
    <n v="0.36922807017543857"/>
  </r>
  <r>
    <n v="2020"/>
    <x v="4"/>
    <n v="10"/>
    <x v="8"/>
    <n v="12948.5"/>
    <n v="28500"/>
    <n v="0.45433333333333331"/>
  </r>
  <r>
    <n v="2020"/>
    <x v="4"/>
    <n v="10"/>
    <x v="9"/>
    <n v="20568"/>
    <n v="28500"/>
    <n v="0.72168421052631582"/>
  </r>
  <r>
    <n v="2020"/>
    <x v="4"/>
    <n v="10"/>
    <x v="10"/>
    <n v="27005"/>
    <n v="28500"/>
    <n v="0.9475438596491228"/>
  </r>
  <r>
    <n v="2020"/>
    <x v="4"/>
    <n v="10"/>
    <x v="11"/>
    <n v="19789"/>
    <n v="28500"/>
    <n v="0.6943508771929825"/>
  </r>
  <r>
    <n v="2020"/>
    <x v="4"/>
    <n v="10"/>
    <x v="12"/>
    <n v="9567.5"/>
    <n v="28500"/>
    <n v="0.33570175438596489"/>
  </r>
  <r>
    <n v="2020"/>
    <x v="4"/>
    <n v="10"/>
    <x v="13"/>
    <n v="5450"/>
    <n v="28500"/>
    <n v="0.19122807017543861"/>
  </r>
  <r>
    <n v="2020"/>
    <x v="4"/>
    <n v="10"/>
    <x v="14"/>
    <n v="2617"/>
    <n v="28500"/>
    <n v="9.1824561403508767E-2"/>
  </r>
  <r>
    <n v="2020"/>
    <x v="4"/>
    <n v="10"/>
    <x v="15"/>
    <n v="2419.5"/>
    <n v="28500"/>
    <n v="8.4894736842105259E-2"/>
  </r>
  <r>
    <n v="2020"/>
    <x v="4"/>
    <n v="10"/>
    <x v="16"/>
    <n v="2111"/>
    <n v="28500"/>
    <n v="7.4070175438596494E-2"/>
  </r>
  <r>
    <n v="2020"/>
    <x v="4"/>
    <n v="10"/>
    <x v="17"/>
    <n v="1684.5"/>
    <n v="28500"/>
    <n v="5.9105263157894737E-2"/>
  </r>
  <r>
    <n v="2020"/>
    <x v="4"/>
    <n v="10"/>
    <x v="18"/>
    <n v="401"/>
    <n v="28500"/>
    <n v="1.4070175438596491E-2"/>
  </r>
  <r>
    <n v="2020"/>
    <x v="4"/>
    <n v="10"/>
    <x v="19"/>
    <n v="0"/>
    <n v="28500"/>
    <n v="0"/>
  </r>
  <r>
    <n v="2020"/>
    <x v="4"/>
    <n v="10"/>
    <x v="20"/>
    <n v="0"/>
    <n v="28500"/>
    <n v="0"/>
  </r>
  <r>
    <n v="2020"/>
    <x v="4"/>
    <n v="10"/>
    <x v="21"/>
    <n v="0"/>
    <n v="28500"/>
    <n v="0"/>
  </r>
  <r>
    <n v="2020"/>
    <x v="4"/>
    <n v="10"/>
    <x v="22"/>
    <n v="0"/>
    <n v="28500"/>
    <n v="0"/>
  </r>
  <r>
    <n v="2020"/>
    <x v="4"/>
    <n v="10"/>
    <x v="23"/>
    <n v="0"/>
    <n v="28500"/>
    <n v="0"/>
  </r>
  <r>
    <n v="2020"/>
    <x v="4"/>
    <n v="11"/>
    <x v="0"/>
    <n v="0"/>
    <n v="28500"/>
    <n v="0"/>
  </r>
  <r>
    <n v="2020"/>
    <x v="4"/>
    <n v="11"/>
    <x v="1"/>
    <n v="0"/>
    <n v="28500"/>
    <n v="0"/>
  </r>
  <r>
    <n v="2020"/>
    <x v="4"/>
    <n v="11"/>
    <x v="2"/>
    <n v="0"/>
    <n v="28500"/>
    <n v="0"/>
  </r>
  <r>
    <n v="2020"/>
    <x v="4"/>
    <n v="11"/>
    <x v="3"/>
    <n v="0"/>
    <n v="28500"/>
    <n v="0"/>
  </r>
  <r>
    <n v="2020"/>
    <x v="4"/>
    <n v="11"/>
    <x v="4"/>
    <n v="0"/>
    <n v="28500"/>
    <n v="0"/>
  </r>
  <r>
    <n v="2020"/>
    <x v="4"/>
    <n v="11"/>
    <x v="5"/>
    <n v="735"/>
    <n v="28500"/>
    <n v="2.5789473684210525E-2"/>
  </r>
  <r>
    <n v="2020"/>
    <x v="4"/>
    <n v="11"/>
    <x v="6"/>
    <n v="3753"/>
    <n v="28500"/>
    <n v="0.13168421052631579"/>
  </r>
  <r>
    <n v="2020"/>
    <x v="4"/>
    <n v="11"/>
    <x v="7"/>
    <n v="14115.5"/>
    <n v="28500"/>
    <n v="0.49528070175438599"/>
  </r>
  <r>
    <n v="2020"/>
    <x v="4"/>
    <n v="11"/>
    <x v="8"/>
    <n v="23588.5"/>
    <n v="28500"/>
    <n v="0.82766666666666666"/>
  </r>
  <r>
    <n v="2020"/>
    <x v="4"/>
    <n v="11"/>
    <x v="9"/>
    <n v="16795"/>
    <n v="28500"/>
    <n v="0.5892982456140351"/>
  </r>
  <r>
    <n v="2020"/>
    <x v="4"/>
    <n v="11"/>
    <x v="10"/>
    <n v="16816.5"/>
    <n v="28500"/>
    <n v="0.59005263157894738"/>
  </r>
  <r>
    <n v="2020"/>
    <x v="4"/>
    <n v="11"/>
    <x v="11"/>
    <n v="20360"/>
    <n v="28500"/>
    <n v="0.71438596491228068"/>
  </r>
  <r>
    <n v="2020"/>
    <x v="4"/>
    <n v="11"/>
    <x v="12"/>
    <n v="23850.5"/>
    <n v="28500"/>
    <n v="0.83685964912280697"/>
  </r>
  <r>
    <n v="2020"/>
    <x v="4"/>
    <n v="11"/>
    <x v="13"/>
    <n v="13654.5"/>
    <n v="28500"/>
    <n v="0.47910526315789476"/>
  </r>
  <r>
    <n v="2020"/>
    <x v="4"/>
    <n v="11"/>
    <x v="14"/>
    <n v="17934"/>
    <n v="28500"/>
    <n v="0.62926315789473686"/>
  </r>
  <r>
    <n v="2020"/>
    <x v="4"/>
    <n v="11"/>
    <x v="15"/>
    <n v="17315.5"/>
    <n v="28500"/>
    <n v="0.60756140350877197"/>
  </r>
  <r>
    <n v="2020"/>
    <x v="4"/>
    <n v="11"/>
    <x v="16"/>
    <n v="16116"/>
    <n v="28500"/>
    <n v="0.56547368421052635"/>
  </r>
  <r>
    <n v="2020"/>
    <x v="4"/>
    <n v="11"/>
    <x v="17"/>
    <n v="8719"/>
    <n v="28500"/>
    <n v="0.3059298245614035"/>
  </r>
  <r>
    <n v="2020"/>
    <x v="4"/>
    <n v="11"/>
    <x v="18"/>
    <n v="2362.5"/>
    <n v="28500"/>
    <n v="8.2894736842105257E-2"/>
  </r>
  <r>
    <n v="2020"/>
    <x v="4"/>
    <n v="11"/>
    <x v="19"/>
    <n v="21.5"/>
    <n v="28500"/>
    <n v="7.5438596491228071E-4"/>
  </r>
  <r>
    <n v="2020"/>
    <x v="4"/>
    <n v="11"/>
    <x v="20"/>
    <n v="0"/>
    <n v="28500"/>
    <n v="0"/>
  </r>
  <r>
    <n v="2020"/>
    <x v="4"/>
    <n v="11"/>
    <x v="21"/>
    <n v="0"/>
    <n v="28500"/>
    <n v="0"/>
  </r>
  <r>
    <n v="2020"/>
    <x v="4"/>
    <n v="11"/>
    <x v="22"/>
    <n v="0"/>
    <n v="28500"/>
    <n v="0"/>
  </r>
  <r>
    <n v="2020"/>
    <x v="4"/>
    <n v="11"/>
    <x v="23"/>
    <n v="0"/>
    <n v="28500"/>
    <n v="0"/>
  </r>
  <r>
    <n v="2020"/>
    <x v="4"/>
    <n v="12"/>
    <x v="0"/>
    <n v="0"/>
    <n v="28500"/>
    <n v="0"/>
  </r>
  <r>
    <n v="2020"/>
    <x v="4"/>
    <n v="12"/>
    <x v="1"/>
    <n v="0"/>
    <n v="28500"/>
    <n v="0"/>
  </r>
  <r>
    <n v="2020"/>
    <x v="4"/>
    <n v="12"/>
    <x v="2"/>
    <n v="0"/>
    <n v="28500"/>
    <n v="0"/>
  </r>
  <r>
    <n v="2020"/>
    <x v="4"/>
    <n v="12"/>
    <x v="3"/>
    <n v="0"/>
    <n v="28500"/>
    <n v="0"/>
  </r>
  <r>
    <n v="2020"/>
    <x v="4"/>
    <n v="12"/>
    <x v="4"/>
    <n v="0"/>
    <n v="28500"/>
    <n v="0"/>
  </r>
  <r>
    <n v="2020"/>
    <x v="4"/>
    <n v="12"/>
    <x v="5"/>
    <n v="903.5"/>
    <n v="28500"/>
    <n v="3.1701754385964911E-2"/>
  </r>
  <r>
    <n v="2020"/>
    <x v="4"/>
    <n v="12"/>
    <x v="6"/>
    <n v="3653"/>
    <n v="28500"/>
    <n v="0.12817543859649122"/>
  </r>
  <r>
    <n v="2020"/>
    <x v="4"/>
    <n v="12"/>
    <x v="7"/>
    <n v="14849.5"/>
    <n v="28500"/>
    <n v="0.5210350877192983"/>
  </r>
  <r>
    <n v="2020"/>
    <x v="4"/>
    <n v="12"/>
    <x v="8"/>
    <n v="25238.5"/>
    <n v="28500"/>
    <n v="0.88556140350877188"/>
  </r>
  <r>
    <n v="2020"/>
    <x v="4"/>
    <n v="12"/>
    <x v="9"/>
    <n v="33533"/>
    <n v="28500"/>
    <n v="1.1765964912280702"/>
  </r>
  <r>
    <n v="2020"/>
    <x v="4"/>
    <n v="12"/>
    <x v="10"/>
    <n v="38274"/>
    <n v="28500"/>
    <n v="1.3429473684210527"/>
  </r>
  <r>
    <n v="2020"/>
    <x v="4"/>
    <n v="12"/>
    <x v="11"/>
    <n v="37848.5"/>
    <n v="28500"/>
    <n v="1.3280175438596491"/>
  </r>
  <r>
    <n v="2020"/>
    <x v="4"/>
    <n v="12"/>
    <x v="12"/>
    <n v="31381"/>
    <n v="28500"/>
    <n v="1.1010877192982456"/>
  </r>
  <r>
    <n v="2020"/>
    <x v="4"/>
    <n v="12"/>
    <x v="13"/>
    <n v="31021"/>
    <n v="28500"/>
    <n v="1.0884561403508772"/>
  </r>
  <r>
    <n v="2020"/>
    <x v="4"/>
    <n v="12"/>
    <x v="14"/>
    <n v="23447.5"/>
    <n v="28500"/>
    <n v="0.82271929824561407"/>
  </r>
  <r>
    <n v="2020"/>
    <x v="4"/>
    <n v="12"/>
    <x v="15"/>
    <n v="20010.5"/>
    <n v="28500"/>
    <n v="0.70212280701754382"/>
  </r>
  <r>
    <n v="2020"/>
    <x v="4"/>
    <n v="12"/>
    <x v="16"/>
    <n v="17092"/>
    <n v="28500"/>
    <n v="0.59971929824561399"/>
  </r>
  <r>
    <n v="2020"/>
    <x v="4"/>
    <n v="12"/>
    <x v="17"/>
    <n v="8353"/>
    <n v="28500"/>
    <n v="0.29308771929824562"/>
  </r>
  <r>
    <n v="2020"/>
    <x v="4"/>
    <n v="12"/>
    <x v="18"/>
    <n v="1886.5"/>
    <n v="28500"/>
    <n v="6.6192982456140345E-2"/>
  </r>
  <r>
    <n v="2020"/>
    <x v="4"/>
    <n v="12"/>
    <x v="19"/>
    <n v="0"/>
    <n v="28500"/>
    <n v="0"/>
  </r>
  <r>
    <n v="2020"/>
    <x v="4"/>
    <n v="12"/>
    <x v="20"/>
    <n v="0"/>
    <n v="28500"/>
    <n v="0"/>
  </r>
  <r>
    <n v="2020"/>
    <x v="4"/>
    <n v="12"/>
    <x v="21"/>
    <n v="0"/>
    <n v="28500"/>
    <n v="0"/>
  </r>
  <r>
    <n v="2020"/>
    <x v="4"/>
    <n v="12"/>
    <x v="22"/>
    <n v="0"/>
    <n v="28500"/>
    <n v="0"/>
  </r>
  <r>
    <n v="2020"/>
    <x v="4"/>
    <n v="12"/>
    <x v="23"/>
    <n v="0"/>
    <n v="28500"/>
    <n v="0"/>
  </r>
  <r>
    <n v="2020"/>
    <x v="4"/>
    <n v="13"/>
    <x v="0"/>
    <n v="0"/>
    <n v="28500"/>
    <n v="0"/>
  </r>
  <r>
    <n v="2020"/>
    <x v="4"/>
    <n v="13"/>
    <x v="1"/>
    <n v="0"/>
    <n v="28500"/>
    <n v="0"/>
  </r>
  <r>
    <n v="2020"/>
    <x v="4"/>
    <n v="13"/>
    <x v="2"/>
    <n v="0"/>
    <n v="28500"/>
    <n v="0"/>
  </r>
  <r>
    <n v="2020"/>
    <x v="4"/>
    <n v="13"/>
    <x v="3"/>
    <n v="0"/>
    <n v="28500"/>
    <n v="0"/>
  </r>
  <r>
    <n v="2020"/>
    <x v="4"/>
    <n v="13"/>
    <x v="4"/>
    <n v="0"/>
    <n v="28500"/>
    <n v="0"/>
  </r>
  <r>
    <n v="2020"/>
    <x v="4"/>
    <n v="13"/>
    <x v="5"/>
    <n v="1087"/>
    <n v="28500"/>
    <n v="3.8140350877192981E-2"/>
  </r>
  <r>
    <n v="2020"/>
    <x v="4"/>
    <n v="13"/>
    <x v="6"/>
    <n v="4620"/>
    <n v="28500"/>
    <n v="0.16210526315789472"/>
  </r>
  <r>
    <n v="2020"/>
    <x v="4"/>
    <n v="13"/>
    <x v="7"/>
    <n v="9403"/>
    <n v="28500"/>
    <n v="0.32992982456140352"/>
  </r>
  <r>
    <n v="2020"/>
    <x v="4"/>
    <n v="13"/>
    <x v="8"/>
    <n v="6933"/>
    <n v="28500"/>
    <n v="0.24326315789473685"/>
  </r>
  <r>
    <n v="2020"/>
    <x v="4"/>
    <n v="13"/>
    <x v="9"/>
    <n v="13205.5"/>
    <n v="28500"/>
    <n v="0.46335087719298246"/>
  </r>
  <r>
    <n v="2020"/>
    <x v="4"/>
    <n v="13"/>
    <x v="10"/>
    <n v="8066.5"/>
    <n v="28500"/>
    <n v="0.28303508771929825"/>
  </r>
  <r>
    <n v="2020"/>
    <x v="4"/>
    <n v="13"/>
    <x v="11"/>
    <n v="7199"/>
    <n v="28500"/>
    <n v="0.25259649122807015"/>
  </r>
  <r>
    <n v="2020"/>
    <x v="4"/>
    <n v="13"/>
    <x v="12"/>
    <n v="6140.5"/>
    <n v="28500"/>
    <n v="0.21545614035087721"/>
  </r>
  <r>
    <n v="2020"/>
    <x v="4"/>
    <n v="13"/>
    <x v="13"/>
    <n v="11583.5"/>
    <n v="28500"/>
    <n v="0.40643859649122804"/>
  </r>
  <r>
    <n v="2020"/>
    <x v="4"/>
    <n v="13"/>
    <x v="14"/>
    <n v="12568"/>
    <n v="28500"/>
    <n v="0.44098245614035086"/>
  </r>
  <r>
    <n v="2020"/>
    <x v="4"/>
    <n v="13"/>
    <x v="15"/>
    <n v="22174"/>
    <n v="28500"/>
    <n v="0.77803508771929819"/>
  </r>
  <r>
    <n v="2020"/>
    <x v="4"/>
    <n v="13"/>
    <x v="16"/>
    <n v="10522.5"/>
    <n v="28500"/>
    <n v="0.36921052631578949"/>
  </r>
  <r>
    <n v="2020"/>
    <x v="4"/>
    <n v="13"/>
    <x v="17"/>
    <n v="3118.5"/>
    <n v="28500"/>
    <n v="0.10942105263157895"/>
  </r>
  <r>
    <n v="2020"/>
    <x v="4"/>
    <n v="13"/>
    <x v="18"/>
    <n v="1043"/>
    <n v="28500"/>
    <n v="3.6596491228070176E-2"/>
  </r>
  <r>
    <n v="2020"/>
    <x v="4"/>
    <n v="13"/>
    <x v="19"/>
    <n v="0"/>
    <n v="28500"/>
    <n v="0"/>
  </r>
  <r>
    <n v="2020"/>
    <x v="4"/>
    <n v="13"/>
    <x v="20"/>
    <n v="0"/>
    <n v="28500"/>
    <n v="0"/>
  </r>
  <r>
    <n v="2020"/>
    <x v="4"/>
    <n v="13"/>
    <x v="21"/>
    <n v="0"/>
    <n v="28500"/>
    <n v="0"/>
  </r>
  <r>
    <n v="2020"/>
    <x v="4"/>
    <n v="13"/>
    <x v="22"/>
    <n v="0"/>
    <n v="28500"/>
    <n v="0"/>
  </r>
  <r>
    <n v="2020"/>
    <x v="4"/>
    <n v="13"/>
    <x v="23"/>
    <n v="0"/>
    <n v="28500"/>
    <n v="0"/>
  </r>
  <r>
    <n v="2020"/>
    <x v="4"/>
    <n v="14"/>
    <x v="0"/>
    <n v="0"/>
    <n v="28500"/>
    <n v="0"/>
  </r>
  <r>
    <n v="2020"/>
    <x v="4"/>
    <n v="14"/>
    <x v="1"/>
    <n v="0"/>
    <n v="28500"/>
    <n v="0"/>
  </r>
  <r>
    <n v="2020"/>
    <x v="4"/>
    <n v="14"/>
    <x v="2"/>
    <n v="0"/>
    <n v="28500"/>
    <n v="0"/>
  </r>
  <r>
    <n v="2020"/>
    <x v="4"/>
    <n v="14"/>
    <x v="3"/>
    <n v="0"/>
    <n v="28500"/>
    <n v="0"/>
  </r>
  <r>
    <n v="2020"/>
    <x v="4"/>
    <n v="14"/>
    <x v="4"/>
    <n v="0"/>
    <n v="28500"/>
    <n v="0"/>
  </r>
  <r>
    <n v="2020"/>
    <x v="4"/>
    <n v="14"/>
    <x v="5"/>
    <n v="966.5"/>
    <n v="28500"/>
    <n v="3.3912280701754387E-2"/>
  </r>
  <r>
    <n v="2020"/>
    <x v="4"/>
    <n v="14"/>
    <x v="6"/>
    <n v="3721.5"/>
    <n v="28500"/>
    <n v="0.13057894736842104"/>
  </r>
  <r>
    <n v="2020"/>
    <x v="4"/>
    <n v="14"/>
    <x v="7"/>
    <n v="13045"/>
    <n v="28500"/>
    <n v="0.45771929824561403"/>
  </r>
  <r>
    <n v="2020"/>
    <x v="4"/>
    <n v="14"/>
    <x v="8"/>
    <n v="16869.5"/>
    <n v="28500"/>
    <n v="0.59191228070175439"/>
  </r>
  <r>
    <n v="2020"/>
    <x v="4"/>
    <n v="14"/>
    <x v="9"/>
    <n v="20015"/>
    <n v="28500"/>
    <n v="0.70228070175438595"/>
  </r>
  <r>
    <n v="2020"/>
    <x v="4"/>
    <n v="14"/>
    <x v="10"/>
    <n v="14119.5"/>
    <n v="28500"/>
    <n v="0.49542105263157893"/>
  </r>
  <r>
    <n v="2020"/>
    <x v="4"/>
    <n v="14"/>
    <x v="11"/>
    <n v="6108.5"/>
    <n v="28500"/>
    <n v="0.21433333333333332"/>
  </r>
  <r>
    <n v="2020"/>
    <x v="4"/>
    <n v="14"/>
    <x v="12"/>
    <n v="15429"/>
    <n v="28500"/>
    <n v="0.54136842105263161"/>
  </r>
  <r>
    <n v="2020"/>
    <x v="4"/>
    <n v="14"/>
    <x v="13"/>
    <n v="14755.5"/>
    <n v="28500"/>
    <n v="0.51773684210526316"/>
  </r>
  <r>
    <n v="2020"/>
    <x v="4"/>
    <n v="14"/>
    <x v="14"/>
    <n v="20736.5"/>
    <n v="28500"/>
    <n v="0.72759649122807013"/>
  </r>
  <r>
    <n v="2020"/>
    <x v="4"/>
    <n v="14"/>
    <x v="15"/>
    <n v="21944.5"/>
    <n v="28500"/>
    <n v="0.76998245614035088"/>
  </r>
  <r>
    <n v="2020"/>
    <x v="4"/>
    <n v="14"/>
    <x v="16"/>
    <n v="17940.5"/>
    <n v="28500"/>
    <n v="0.62949122807017543"/>
  </r>
  <r>
    <n v="2020"/>
    <x v="4"/>
    <n v="14"/>
    <x v="17"/>
    <n v="8617"/>
    <n v="28500"/>
    <n v="0.30235087719298248"/>
  </r>
  <r>
    <n v="2020"/>
    <x v="4"/>
    <n v="14"/>
    <x v="18"/>
    <n v="1162"/>
    <n v="28500"/>
    <n v="4.0771929824561404E-2"/>
  </r>
  <r>
    <n v="2020"/>
    <x v="4"/>
    <n v="14"/>
    <x v="19"/>
    <n v="166"/>
    <n v="28500"/>
    <n v="5.8245614035087722E-3"/>
  </r>
  <r>
    <n v="2020"/>
    <x v="4"/>
    <n v="14"/>
    <x v="20"/>
    <n v="0"/>
    <n v="28500"/>
    <n v="0"/>
  </r>
  <r>
    <n v="2020"/>
    <x v="4"/>
    <n v="14"/>
    <x v="21"/>
    <n v="0"/>
    <n v="28500"/>
    <n v="0"/>
  </r>
  <r>
    <n v="2020"/>
    <x v="4"/>
    <n v="14"/>
    <x v="22"/>
    <n v="0"/>
    <n v="28500"/>
    <n v="0"/>
  </r>
  <r>
    <n v="2020"/>
    <x v="4"/>
    <n v="14"/>
    <x v="23"/>
    <n v="0"/>
    <n v="28500"/>
    <n v="0"/>
  </r>
  <r>
    <n v="2020"/>
    <x v="4"/>
    <n v="15"/>
    <x v="0"/>
    <n v="0"/>
    <n v="28500"/>
    <n v="0"/>
  </r>
  <r>
    <n v="2020"/>
    <x v="4"/>
    <n v="15"/>
    <x v="1"/>
    <n v="0"/>
    <n v="28500"/>
    <n v="0"/>
  </r>
  <r>
    <n v="2020"/>
    <x v="4"/>
    <n v="15"/>
    <x v="2"/>
    <n v="0"/>
    <n v="28500"/>
    <n v="0"/>
  </r>
  <r>
    <n v="2020"/>
    <x v="4"/>
    <n v="15"/>
    <x v="3"/>
    <n v="0"/>
    <n v="28500"/>
    <n v="0"/>
  </r>
  <r>
    <n v="2020"/>
    <x v="4"/>
    <n v="15"/>
    <x v="4"/>
    <n v="0"/>
    <n v="28500"/>
    <n v="0"/>
  </r>
  <r>
    <n v="2020"/>
    <x v="4"/>
    <n v="15"/>
    <x v="5"/>
    <n v="1037.5"/>
    <n v="28500"/>
    <n v="3.6403508771929827E-2"/>
  </r>
  <r>
    <n v="2020"/>
    <x v="4"/>
    <n v="15"/>
    <x v="6"/>
    <n v="3732"/>
    <n v="28500"/>
    <n v="0.13094736842105262"/>
  </r>
  <r>
    <n v="2020"/>
    <x v="4"/>
    <n v="15"/>
    <x v="7"/>
    <n v="14600"/>
    <n v="28500"/>
    <n v="0.512280701754386"/>
  </r>
  <r>
    <n v="2020"/>
    <x v="4"/>
    <n v="15"/>
    <x v="8"/>
    <n v="24627"/>
    <n v="28500"/>
    <n v="0.86410526315789471"/>
  </r>
  <r>
    <n v="2020"/>
    <x v="4"/>
    <n v="15"/>
    <x v="9"/>
    <n v="32547"/>
    <n v="28500"/>
    <n v="1.1419999999999999"/>
  </r>
  <r>
    <n v="2020"/>
    <x v="4"/>
    <n v="15"/>
    <x v="10"/>
    <n v="38004.5"/>
    <n v="28500"/>
    <n v="1.3334912280701754"/>
  </r>
  <r>
    <n v="2020"/>
    <x v="4"/>
    <n v="15"/>
    <x v="11"/>
    <n v="40385"/>
    <n v="28500"/>
    <n v="1.4170175438596491"/>
  </r>
  <r>
    <n v="2020"/>
    <x v="4"/>
    <n v="15"/>
    <x v="12"/>
    <n v="41012"/>
    <n v="28500"/>
    <n v="1.4390175438596491"/>
  </r>
  <r>
    <n v="2020"/>
    <x v="4"/>
    <n v="15"/>
    <x v="13"/>
    <n v="37837.5"/>
    <n v="28500"/>
    <n v="1.3276315789473685"/>
  </r>
  <r>
    <n v="2020"/>
    <x v="4"/>
    <n v="15"/>
    <x v="14"/>
    <n v="33294"/>
    <n v="28500"/>
    <n v="1.1682105263157894"/>
  </r>
  <r>
    <n v="2020"/>
    <x v="4"/>
    <n v="15"/>
    <x v="15"/>
    <n v="27357"/>
    <n v="28500"/>
    <n v="0.95989473684210525"/>
  </r>
  <r>
    <n v="2020"/>
    <x v="4"/>
    <n v="15"/>
    <x v="16"/>
    <n v="18350"/>
    <n v="28500"/>
    <n v="0.64385964912280702"/>
  </r>
  <r>
    <n v="2020"/>
    <x v="4"/>
    <n v="15"/>
    <x v="17"/>
    <n v="8281"/>
    <n v="28500"/>
    <n v="0.29056140350877191"/>
  </r>
  <r>
    <n v="2020"/>
    <x v="4"/>
    <n v="15"/>
    <x v="18"/>
    <n v="2017.5"/>
    <n v="28500"/>
    <n v="7.0789473684210527E-2"/>
  </r>
  <r>
    <n v="2020"/>
    <x v="4"/>
    <n v="15"/>
    <x v="19"/>
    <n v="55"/>
    <n v="28500"/>
    <n v="1.9298245614035089E-3"/>
  </r>
  <r>
    <n v="2020"/>
    <x v="4"/>
    <n v="15"/>
    <x v="20"/>
    <n v="0"/>
    <n v="28500"/>
    <n v="0"/>
  </r>
  <r>
    <n v="2020"/>
    <x v="4"/>
    <n v="15"/>
    <x v="21"/>
    <n v="0"/>
    <n v="28500"/>
    <n v="0"/>
  </r>
  <r>
    <n v="2020"/>
    <x v="4"/>
    <n v="15"/>
    <x v="22"/>
    <n v="0"/>
    <n v="28500"/>
    <n v="0"/>
  </r>
  <r>
    <n v="2020"/>
    <x v="4"/>
    <n v="15"/>
    <x v="23"/>
    <n v="0"/>
    <n v="28500"/>
    <n v="0"/>
  </r>
  <r>
    <n v="2020"/>
    <x v="4"/>
    <n v="16"/>
    <x v="0"/>
    <n v="0"/>
    <n v="28500"/>
    <n v="0"/>
  </r>
  <r>
    <n v="2020"/>
    <x v="4"/>
    <n v="16"/>
    <x v="1"/>
    <n v="0"/>
    <n v="28500"/>
    <n v="0"/>
  </r>
  <r>
    <n v="2020"/>
    <x v="4"/>
    <n v="16"/>
    <x v="2"/>
    <n v="0"/>
    <n v="28500"/>
    <n v="0"/>
  </r>
  <r>
    <n v="2020"/>
    <x v="4"/>
    <n v="16"/>
    <x v="3"/>
    <n v="0"/>
    <n v="28500"/>
    <n v="0"/>
  </r>
  <r>
    <n v="2020"/>
    <x v="4"/>
    <n v="16"/>
    <x v="4"/>
    <n v="0"/>
    <n v="28500"/>
    <n v="0"/>
  </r>
  <r>
    <n v="2020"/>
    <x v="4"/>
    <n v="16"/>
    <x v="5"/>
    <n v="322.5"/>
    <n v="28500"/>
    <n v="1.1315789473684211E-2"/>
  </r>
  <r>
    <n v="2020"/>
    <x v="4"/>
    <n v="16"/>
    <x v="6"/>
    <n v="4290.5"/>
    <n v="28500"/>
    <n v="0.15054385964912281"/>
  </r>
  <r>
    <n v="2020"/>
    <x v="4"/>
    <n v="16"/>
    <x v="7"/>
    <n v="5031.5"/>
    <n v="28500"/>
    <n v="0.17654385964912281"/>
  </r>
  <r>
    <n v="2020"/>
    <x v="4"/>
    <n v="16"/>
    <x v="8"/>
    <n v="14728"/>
    <n v="28500"/>
    <n v="0.51677192982456144"/>
  </r>
  <r>
    <n v="2020"/>
    <x v="4"/>
    <n v="16"/>
    <x v="9"/>
    <n v="23419"/>
    <n v="28500"/>
    <n v="0.82171929824561407"/>
  </r>
  <r>
    <n v="2020"/>
    <x v="4"/>
    <n v="16"/>
    <x v="10"/>
    <n v="33207"/>
    <n v="28500"/>
    <n v="1.1651578947368422"/>
  </r>
  <r>
    <n v="2020"/>
    <x v="4"/>
    <n v="16"/>
    <x v="11"/>
    <n v="21592.5"/>
    <n v="28500"/>
    <n v="0.75763157894736843"/>
  </r>
  <r>
    <n v="2020"/>
    <x v="4"/>
    <n v="16"/>
    <x v="12"/>
    <n v="16311"/>
    <n v="28500"/>
    <n v="0.57231578947368422"/>
  </r>
  <r>
    <n v="2020"/>
    <x v="4"/>
    <n v="16"/>
    <x v="13"/>
    <n v="17900.5"/>
    <n v="28500"/>
    <n v="0.62808771929824558"/>
  </r>
  <r>
    <n v="2020"/>
    <x v="4"/>
    <n v="16"/>
    <x v="14"/>
    <n v="25877"/>
    <n v="28500"/>
    <n v="0.90796491228070175"/>
  </r>
  <r>
    <n v="2020"/>
    <x v="4"/>
    <n v="16"/>
    <x v="15"/>
    <n v="21469"/>
    <n v="28500"/>
    <n v="0.75329824561403513"/>
  </r>
  <r>
    <n v="2020"/>
    <x v="4"/>
    <n v="16"/>
    <x v="16"/>
    <n v="13910.5"/>
    <n v="28500"/>
    <n v="0.48808771929824563"/>
  </r>
  <r>
    <n v="2020"/>
    <x v="4"/>
    <n v="16"/>
    <x v="17"/>
    <n v="7530.5"/>
    <n v="28500"/>
    <n v="0.26422807017543859"/>
  </r>
  <r>
    <n v="2020"/>
    <x v="4"/>
    <n v="16"/>
    <x v="18"/>
    <n v="2554.5"/>
    <n v="28500"/>
    <n v="8.9631578947368423E-2"/>
  </r>
  <r>
    <n v="2020"/>
    <x v="4"/>
    <n v="16"/>
    <x v="19"/>
    <n v="37"/>
    <n v="28500"/>
    <n v="1.2982456140350877E-3"/>
  </r>
  <r>
    <n v="2020"/>
    <x v="4"/>
    <n v="16"/>
    <x v="20"/>
    <n v="0"/>
    <n v="28500"/>
    <n v="0"/>
  </r>
  <r>
    <n v="2020"/>
    <x v="4"/>
    <n v="16"/>
    <x v="21"/>
    <n v="0"/>
    <n v="28500"/>
    <n v="0"/>
  </r>
  <r>
    <n v="2020"/>
    <x v="4"/>
    <n v="16"/>
    <x v="22"/>
    <n v="0"/>
    <n v="28500"/>
    <n v="0"/>
  </r>
  <r>
    <n v="2020"/>
    <x v="4"/>
    <n v="16"/>
    <x v="23"/>
    <n v="0"/>
    <n v="28500"/>
    <n v="0"/>
  </r>
  <r>
    <n v="2020"/>
    <x v="4"/>
    <n v="17"/>
    <x v="0"/>
    <n v="0"/>
    <n v="28500"/>
    <n v="0"/>
  </r>
  <r>
    <n v="2020"/>
    <x v="4"/>
    <n v="17"/>
    <x v="1"/>
    <n v="0"/>
    <n v="28500"/>
    <n v="0"/>
  </r>
  <r>
    <n v="2020"/>
    <x v="4"/>
    <n v="17"/>
    <x v="2"/>
    <n v="0"/>
    <n v="28500"/>
    <n v="0"/>
  </r>
  <r>
    <n v="2020"/>
    <x v="4"/>
    <n v="17"/>
    <x v="3"/>
    <n v="0"/>
    <n v="28500"/>
    <n v="0"/>
  </r>
  <r>
    <n v="2020"/>
    <x v="4"/>
    <n v="17"/>
    <x v="4"/>
    <n v="0"/>
    <n v="28500"/>
    <n v="0"/>
  </r>
  <r>
    <n v="2020"/>
    <x v="4"/>
    <n v="17"/>
    <x v="5"/>
    <n v="1148.5"/>
    <n v="28500"/>
    <n v="4.029824561403509E-2"/>
  </r>
  <r>
    <n v="2020"/>
    <x v="4"/>
    <n v="17"/>
    <x v="6"/>
    <n v="3840"/>
    <n v="28500"/>
    <n v="0.13473684210526315"/>
  </r>
  <r>
    <n v="2020"/>
    <x v="4"/>
    <n v="17"/>
    <x v="7"/>
    <n v="13521.5"/>
    <n v="28500"/>
    <n v="0.47443859649122805"/>
  </r>
  <r>
    <n v="2020"/>
    <x v="4"/>
    <n v="17"/>
    <x v="8"/>
    <n v="10116"/>
    <n v="28500"/>
    <n v="0.35494736842105262"/>
  </r>
  <r>
    <n v="2020"/>
    <x v="4"/>
    <n v="17"/>
    <x v="9"/>
    <n v="15358.5"/>
    <n v="28500"/>
    <n v="0.53889473684210532"/>
  </r>
  <r>
    <n v="2020"/>
    <x v="4"/>
    <n v="17"/>
    <x v="10"/>
    <n v="20833.5"/>
    <n v="28500"/>
    <n v="0.73099999999999998"/>
  </r>
  <r>
    <n v="2020"/>
    <x v="4"/>
    <n v="17"/>
    <x v="11"/>
    <n v="31125.5"/>
    <n v="28500"/>
    <n v="1.0921228070175439"/>
  </r>
  <r>
    <n v="2020"/>
    <x v="4"/>
    <n v="17"/>
    <x v="12"/>
    <n v="38678"/>
    <n v="28500"/>
    <n v="1.3571228070175438"/>
  </r>
  <r>
    <n v="2020"/>
    <x v="4"/>
    <n v="17"/>
    <x v="13"/>
    <n v="33762"/>
    <n v="28500"/>
    <n v="1.1846315789473685"/>
  </r>
  <r>
    <n v="2020"/>
    <x v="4"/>
    <n v="17"/>
    <x v="14"/>
    <n v="27345.5"/>
    <n v="28500"/>
    <n v="0.95949122807017539"/>
  </r>
  <r>
    <n v="2020"/>
    <x v="4"/>
    <n v="17"/>
    <x v="15"/>
    <n v="25744.5"/>
    <n v="28500"/>
    <n v="0.90331578947368418"/>
  </r>
  <r>
    <n v="2020"/>
    <x v="4"/>
    <n v="17"/>
    <x v="16"/>
    <n v="16751"/>
    <n v="28500"/>
    <n v="0.58775438596491225"/>
  </r>
  <r>
    <n v="2020"/>
    <x v="4"/>
    <n v="17"/>
    <x v="17"/>
    <n v="8205"/>
    <n v="28500"/>
    <n v="0.28789473684210526"/>
  </r>
  <r>
    <n v="2020"/>
    <x v="4"/>
    <n v="17"/>
    <x v="18"/>
    <n v="2481.5"/>
    <n v="28500"/>
    <n v="8.7070175438596492E-2"/>
  </r>
  <r>
    <n v="2020"/>
    <x v="4"/>
    <n v="17"/>
    <x v="19"/>
    <n v="54"/>
    <n v="28500"/>
    <n v="1.8947368421052631E-3"/>
  </r>
  <r>
    <n v="2020"/>
    <x v="4"/>
    <n v="17"/>
    <x v="20"/>
    <n v="0"/>
    <n v="28500"/>
    <n v="0"/>
  </r>
  <r>
    <n v="2020"/>
    <x v="4"/>
    <n v="17"/>
    <x v="21"/>
    <n v="0"/>
    <n v="28500"/>
    <n v="0"/>
  </r>
  <r>
    <n v="2020"/>
    <x v="4"/>
    <n v="17"/>
    <x v="22"/>
    <n v="0"/>
    <n v="28500"/>
    <n v="0"/>
  </r>
  <r>
    <n v="2020"/>
    <x v="4"/>
    <n v="17"/>
    <x v="23"/>
    <n v="0"/>
    <n v="28500"/>
    <n v="0"/>
  </r>
  <r>
    <n v="2020"/>
    <x v="4"/>
    <n v="18"/>
    <x v="0"/>
    <n v="0"/>
    <n v="28500"/>
    <n v="0"/>
  </r>
  <r>
    <n v="2020"/>
    <x v="4"/>
    <n v="18"/>
    <x v="1"/>
    <n v="0"/>
    <n v="28500"/>
    <n v="0"/>
  </r>
  <r>
    <n v="2020"/>
    <x v="4"/>
    <n v="18"/>
    <x v="2"/>
    <n v="0"/>
    <n v="28500"/>
    <n v="0"/>
  </r>
  <r>
    <n v="2020"/>
    <x v="4"/>
    <n v="18"/>
    <x v="3"/>
    <n v="0"/>
    <n v="28500"/>
    <n v="0"/>
  </r>
  <r>
    <n v="2020"/>
    <x v="4"/>
    <n v="18"/>
    <x v="4"/>
    <n v="0"/>
    <n v="28500"/>
    <n v="0"/>
  </r>
  <r>
    <n v="2020"/>
    <x v="4"/>
    <n v="18"/>
    <x v="5"/>
    <n v="754"/>
    <n v="28500"/>
    <n v="2.6456140350877191E-2"/>
  </r>
  <r>
    <n v="2020"/>
    <x v="4"/>
    <n v="18"/>
    <x v="6"/>
    <n v="4892.5"/>
    <n v="28500"/>
    <n v="0.17166666666666666"/>
  </r>
  <r>
    <n v="2020"/>
    <x v="4"/>
    <n v="18"/>
    <x v="7"/>
    <n v="14166"/>
    <n v="28500"/>
    <n v="0.49705263157894736"/>
  </r>
  <r>
    <n v="2020"/>
    <x v="4"/>
    <n v="18"/>
    <x v="8"/>
    <n v="24055.5"/>
    <n v="28500"/>
    <n v="0.84405263157894739"/>
  </r>
  <r>
    <n v="2020"/>
    <x v="4"/>
    <n v="18"/>
    <x v="9"/>
    <n v="32632"/>
    <n v="28500"/>
    <n v="1.1449824561403508"/>
  </r>
  <r>
    <n v="2020"/>
    <x v="4"/>
    <n v="18"/>
    <x v="10"/>
    <n v="38685"/>
    <n v="28500"/>
    <n v="1.3573684210526316"/>
  </r>
  <r>
    <n v="2020"/>
    <x v="4"/>
    <n v="18"/>
    <x v="11"/>
    <n v="40879"/>
    <n v="28500"/>
    <n v="1.4343508771929825"/>
  </r>
  <r>
    <n v="2020"/>
    <x v="4"/>
    <n v="18"/>
    <x v="12"/>
    <n v="41800.5"/>
    <n v="28500"/>
    <n v="1.4666842105263158"/>
  </r>
  <r>
    <n v="2020"/>
    <x v="4"/>
    <n v="18"/>
    <x v="13"/>
    <n v="38083.5"/>
    <n v="28500"/>
    <n v="1.3362631578947368"/>
  </r>
  <r>
    <n v="2020"/>
    <x v="4"/>
    <n v="18"/>
    <x v="14"/>
    <n v="24444.5"/>
    <n v="28500"/>
    <n v="0.85770175438596497"/>
  </r>
  <r>
    <n v="2020"/>
    <x v="4"/>
    <n v="18"/>
    <x v="15"/>
    <n v="15002.5"/>
    <n v="28500"/>
    <n v="0.52640350877192987"/>
  </r>
  <r>
    <n v="2020"/>
    <x v="4"/>
    <n v="18"/>
    <x v="16"/>
    <n v="18335"/>
    <n v="28500"/>
    <n v="0.64333333333333331"/>
  </r>
  <r>
    <n v="2020"/>
    <x v="4"/>
    <n v="18"/>
    <x v="17"/>
    <n v="8480"/>
    <n v="28500"/>
    <n v="0.29754385964912283"/>
  </r>
  <r>
    <n v="2020"/>
    <x v="4"/>
    <n v="18"/>
    <x v="18"/>
    <n v="1306.5"/>
    <n v="28500"/>
    <n v="4.5842105263157892E-2"/>
  </r>
  <r>
    <n v="2020"/>
    <x v="4"/>
    <n v="18"/>
    <x v="19"/>
    <n v="227"/>
    <n v="28500"/>
    <n v="7.9649122807017546E-3"/>
  </r>
  <r>
    <n v="2020"/>
    <x v="4"/>
    <n v="18"/>
    <x v="20"/>
    <n v="0"/>
    <n v="28500"/>
    <n v="0"/>
  </r>
  <r>
    <n v="2020"/>
    <x v="4"/>
    <n v="18"/>
    <x v="21"/>
    <n v="0"/>
    <n v="28500"/>
    <n v="0"/>
  </r>
  <r>
    <n v="2020"/>
    <x v="4"/>
    <n v="18"/>
    <x v="22"/>
    <n v="0"/>
    <n v="28500"/>
    <n v="0"/>
  </r>
  <r>
    <n v="2020"/>
    <x v="4"/>
    <n v="18"/>
    <x v="23"/>
    <n v="0"/>
    <n v="28500"/>
    <n v="0"/>
  </r>
  <r>
    <n v="2020"/>
    <x v="4"/>
    <n v="19"/>
    <x v="0"/>
    <n v="0"/>
    <n v="28500"/>
    <n v="0"/>
  </r>
  <r>
    <n v="2020"/>
    <x v="4"/>
    <n v="19"/>
    <x v="1"/>
    <n v="0"/>
    <n v="28500"/>
    <n v="0"/>
  </r>
  <r>
    <n v="2020"/>
    <x v="4"/>
    <n v="19"/>
    <x v="2"/>
    <n v="0"/>
    <n v="28500"/>
    <n v="0"/>
  </r>
  <r>
    <n v="2020"/>
    <x v="4"/>
    <n v="19"/>
    <x v="3"/>
    <n v="0"/>
    <n v="28500"/>
    <n v="0"/>
  </r>
  <r>
    <n v="2020"/>
    <x v="4"/>
    <n v="19"/>
    <x v="4"/>
    <n v="0"/>
    <n v="28500"/>
    <n v="0"/>
  </r>
  <r>
    <n v="2020"/>
    <x v="4"/>
    <n v="19"/>
    <x v="5"/>
    <n v="1091"/>
    <n v="28500"/>
    <n v="3.8280701754385964E-2"/>
  </r>
  <r>
    <n v="2020"/>
    <x v="4"/>
    <n v="19"/>
    <x v="6"/>
    <n v="4766"/>
    <n v="28500"/>
    <n v="0.16722807017543859"/>
  </r>
  <r>
    <n v="2020"/>
    <x v="4"/>
    <n v="19"/>
    <x v="7"/>
    <n v="6671"/>
    <n v="28500"/>
    <n v="0.23407017543859648"/>
  </r>
  <r>
    <n v="2020"/>
    <x v="4"/>
    <n v="19"/>
    <x v="8"/>
    <n v="23160"/>
    <n v="28500"/>
    <n v="0.81263157894736837"/>
  </r>
  <r>
    <n v="2020"/>
    <x v="4"/>
    <n v="19"/>
    <x v="9"/>
    <n v="31169"/>
    <n v="28500"/>
    <n v="1.0936491228070175"/>
  </r>
  <r>
    <n v="2020"/>
    <x v="4"/>
    <n v="19"/>
    <x v="10"/>
    <n v="36776.5"/>
    <n v="28500"/>
    <n v="1.2904035087719299"/>
  </r>
  <r>
    <n v="2020"/>
    <x v="4"/>
    <n v="19"/>
    <x v="11"/>
    <n v="39743"/>
    <n v="28500"/>
    <n v="1.3944912280701753"/>
  </r>
  <r>
    <n v="2020"/>
    <x v="4"/>
    <n v="19"/>
    <x v="12"/>
    <n v="40031"/>
    <n v="28500"/>
    <n v="1.4045964912280702"/>
  </r>
  <r>
    <n v="2020"/>
    <x v="4"/>
    <n v="19"/>
    <x v="13"/>
    <n v="38150"/>
    <n v="28500"/>
    <n v="1.3385964912280701"/>
  </r>
  <r>
    <n v="2020"/>
    <x v="4"/>
    <n v="19"/>
    <x v="14"/>
    <n v="33720.5"/>
    <n v="28500"/>
    <n v="1.1831754385964912"/>
  </r>
  <r>
    <n v="2020"/>
    <x v="4"/>
    <n v="19"/>
    <x v="15"/>
    <n v="26741.5"/>
    <n v="28500"/>
    <n v="0.93829824561403508"/>
  </r>
  <r>
    <n v="2020"/>
    <x v="4"/>
    <n v="19"/>
    <x v="16"/>
    <n v="18246"/>
    <n v="28500"/>
    <n v="0.64021052631578945"/>
  </r>
  <r>
    <n v="2020"/>
    <x v="4"/>
    <n v="19"/>
    <x v="17"/>
    <n v="8118.5"/>
    <n v="28500"/>
    <n v="0.28485964912280703"/>
  </r>
  <r>
    <n v="2020"/>
    <x v="4"/>
    <n v="19"/>
    <x v="18"/>
    <n v="1424.5"/>
    <n v="28500"/>
    <n v="4.9982456140350878E-2"/>
  </r>
  <r>
    <n v="2020"/>
    <x v="4"/>
    <n v="19"/>
    <x v="19"/>
    <n v="372.5"/>
    <n v="28500"/>
    <n v="1.3070175438596491E-2"/>
  </r>
  <r>
    <n v="2020"/>
    <x v="4"/>
    <n v="19"/>
    <x v="20"/>
    <n v="0"/>
    <n v="28500"/>
    <n v="0"/>
  </r>
  <r>
    <n v="2020"/>
    <x v="4"/>
    <n v="19"/>
    <x v="21"/>
    <n v="0"/>
    <n v="28500"/>
    <n v="0"/>
  </r>
  <r>
    <n v="2020"/>
    <x v="4"/>
    <n v="19"/>
    <x v="22"/>
    <n v="0"/>
    <n v="28500"/>
    <n v="0"/>
  </r>
  <r>
    <n v="2020"/>
    <x v="4"/>
    <n v="19"/>
    <x v="23"/>
    <n v="0"/>
    <n v="28500"/>
    <n v="0"/>
  </r>
  <r>
    <n v="2020"/>
    <x v="4"/>
    <n v="20"/>
    <x v="0"/>
    <n v="0"/>
    <n v="28500"/>
    <n v="0"/>
  </r>
  <r>
    <n v="2020"/>
    <x v="4"/>
    <n v="20"/>
    <x v="1"/>
    <n v="0"/>
    <n v="28500"/>
    <n v="0"/>
  </r>
  <r>
    <n v="2020"/>
    <x v="4"/>
    <n v="20"/>
    <x v="2"/>
    <n v="0"/>
    <n v="28500"/>
    <n v="0"/>
  </r>
  <r>
    <n v="2020"/>
    <x v="4"/>
    <n v="20"/>
    <x v="3"/>
    <n v="0"/>
    <n v="28500"/>
    <n v="0"/>
  </r>
  <r>
    <n v="2020"/>
    <x v="4"/>
    <n v="20"/>
    <x v="4"/>
    <n v="0"/>
    <n v="28500"/>
    <n v="0"/>
  </r>
  <r>
    <n v="2020"/>
    <x v="4"/>
    <n v="20"/>
    <x v="5"/>
    <n v="1082.5"/>
    <n v="28500"/>
    <n v="3.7982456140350875E-2"/>
  </r>
  <r>
    <n v="2020"/>
    <x v="4"/>
    <n v="20"/>
    <x v="6"/>
    <n v="3916.5"/>
    <n v="28500"/>
    <n v="0.13742105263157894"/>
  </r>
  <r>
    <n v="2020"/>
    <x v="4"/>
    <n v="20"/>
    <x v="7"/>
    <n v="13530"/>
    <n v="28500"/>
    <n v="0.47473684210526318"/>
  </r>
  <r>
    <n v="2020"/>
    <x v="4"/>
    <n v="20"/>
    <x v="8"/>
    <n v="23008"/>
    <n v="28500"/>
    <n v="0.80729824561403507"/>
  </r>
  <r>
    <n v="2020"/>
    <x v="4"/>
    <n v="20"/>
    <x v="9"/>
    <n v="30798.5"/>
    <n v="28500"/>
    <n v="1.0806491228070176"/>
  </r>
  <r>
    <n v="2020"/>
    <x v="4"/>
    <n v="20"/>
    <x v="10"/>
    <n v="36333"/>
    <n v="28500"/>
    <n v="1.274842105263158"/>
  </r>
  <r>
    <n v="2020"/>
    <x v="4"/>
    <n v="20"/>
    <x v="11"/>
    <n v="37870.5"/>
    <n v="28500"/>
    <n v="1.3287894736842105"/>
  </r>
  <r>
    <n v="2020"/>
    <x v="4"/>
    <n v="20"/>
    <x v="12"/>
    <n v="40090"/>
    <n v="28500"/>
    <n v="1.4066666666666667"/>
  </r>
  <r>
    <n v="2020"/>
    <x v="4"/>
    <n v="20"/>
    <x v="13"/>
    <n v="38303.5"/>
    <n v="28500"/>
    <n v="1.3439824561403508"/>
  </r>
  <r>
    <n v="2020"/>
    <x v="4"/>
    <n v="20"/>
    <x v="14"/>
    <n v="34015"/>
    <n v="28500"/>
    <n v="1.1935087719298245"/>
  </r>
  <r>
    <n v="2020"/>
    <x v="4"/>
    <n v="20"/>
    <x v="15"/>
    <n v="27759.5"/>
    <n v="28500"/>
    <n v="0.97401754385964912"/>
  </r>
  <r>
    <n v="2020"/>
    <x v="4"/>
    <n v="20"/>
    <x v="16"/>
    <n v="18796.5"/>
    <n v="28500"/>
    <n v="0.65952631578947374"/>
  </r>
  <r>
    <n v="2020"/>
    <x v="4"/>
    <n v="20"/>
    <x v="17"/>
    <n v="8332.5"/>
    <n v="28500"/>
    <n v="0.29236842105263156"/>
  </r>
  <r>
    <n v="2020"/>
    <x v="4"/>
    <n v="20"/>
    <x v="18"/>
    <n v="1176.5"/>
    <n v="28500"/>
    <n v="4.1280701754385966E-2"/>
  </r>
  <r>
    <n v="2020"/>
    <x v="4"/>
    <n v="20"/>
    <x v="19"/>
    <n v="399.5"/>
    <n v="28500"/>
    <n v="1.4017543859649123E-2"/>
  </r>
  <r>
    <n v="2020"/>
    <x v="4"/>
    <n v="20"/>
    <x v="20"/>
    <n v="0"/>
    <n v="28500"/>
    <n v="0"/>
  </r>
  <r>
    <n v="2020"/>
    <x v="4"/>
    <n v="20"/>
    <x v="21"/>
    <n v="0"/>
    <n v="28500"/>
    <n v="0"/>
  </r>
  <r>
    <n v="2020"/>
    <x v="4"/>
    <n v="20"/>
    <x v="22"/>
    <n v="0"/>
    <n v="28500"/>
    <n v="0"/>
  </r>
  <r>
    <n v="2020"/>
    <x v="4"/>
    <n v="20"/>
    <x v="23"/>
    <n v="0"/>
    <n v="28500"/>
    <n v="0"/>
  </r>
  <r>
    <n v="2020"/>
    <x v="4"/>
    <n v="21"/>
    <x v="0"/>
    <n v="0"/>
    <n v="28500"/>
    <n v="0"/>
  </r>
  <r>
    <n v="2020"/>
    <x v="4"/>
    <n v="21"/>
    <x v="1"/>
    <n v="0"/>
    <n v="28500"/>
    <n v="0"/>
  </r>
  <r>
    <n v="2020"/>
    <x v="4"/>
    <n v="21"/>
    <x v="2"/>
    <n v="0"/>
    <n v="28500"/>
    <n v="0"/>
  </r>
  <r>
    <n v="2020"/>
    <x v="4"/>
    <n v="21"/>
    <x v="3"/>
    <n v="0"/>
    <n v="28500"/>
    <n v="0"/>
  </r>
  <r>
    <n v="2020"/>
    <x v="4"/>
    <n v="21"/>
    <x v="4"/>
    <n v="0"/>
    <n v="28500"/>
    <n v="0"/>
  </r>
  <r>
    <n v="2020"/>
    <x v="4"/>
    <n v="21"/>
    <x v="5"/>
    <n v="1516"/>
    <n v="28500"/>
    <n v="5.3192982456140347E-2"/>
  </r>
  <r>
    <n v="2020"/>
    <x v="4"/>
    <n v="21"/>
    <x v="6"/>
    <n v="4627.5"/>
    <n v="28500"/>
    <n v="0.16236842105263158"/>
  </r>
  <r>
    <n v="2020"/>
    <x v="4"/>
    <n v="21"/>
    <x v="7"/>
    <n v="10032.5"/>
    <n v="28500"/>
    <n v="0.35201754385964912"/>
  </r>
  <r>
    <n v="2020"/>
    <x v="4"/>
    <n v="21"/>
    <x v="8"/>
    <n v="23224.5"/>
    <n v="28500"/>
    <n v="0.81489473684210523"/>
  </r>
  <r>
    <n v="2020"/>
    <x v="4"/>
    <n v="21"/>
    <x v="9"/>
    <n v="30432.5"/>
    <n v="28500"/>
    <n v="1.0678070175438596"/>
  </r>
  <r>
    <n v="2020"/>
    <x v="4"/>
    <n v="21"/>
    <x v="10"/>
    <n v="35797"/>
    <n v="28500"/>
    <n v="1.2560350877192983"/>
  </r>
  <r>
    <n v="2020"/>
    <x v="4"/>
    <n v="21"/>
    <x v="11"/>
    <n v="38679"/>
    <n v="28500"/>
    <n v="1.3571578947368421"/>
  </r>
  <r>
    <n v="2020"/>
    <x v="4"/>
    <n v="21"/>
    <x v="12"/>
    <n v="37448"/>
    <n v="28500"/>
    <n v="1.3139649122807018"/>
  </r>
  <r>
    <n v="2020"/>
    <x v="4"/>
    <n v="21"/>
    <x v="13"/>
    <n v="33339"/>
    <n v="28500"/>
    <n v="1.1697894736842105"/>
  </r>
  <r>
    <n v="2020"/>
    <x v="4"/>
    <n v="21"/>
    <x v="14"/>
    <n v="32289"/>
    <n v="28500"/>
    <n v="1.1329473684210527"/>
  </r>
  <r>
    <n v="2020"/>
    <x v="4"/>
    <n v="21"/>
    <x v="15"/>
    <n v="24179.5"/>
    <n v="28500"/>
    <n v="0.84840350877192983"/>
  </r>
  <r>
    <n v="2020"/>
    <x v="4"/>
    <n v="21"/>
    <x v="16"/>
    <n v="16713"/>
    <n v="28500"/>
    <n v="0.58642105263157895"/>
  </r>
  <r>
    <n v="2020"/>
    <x v="4"/>
    <n v="21"/>
    <x v="17"/>
    <n v="8060.5"/>
    <n v="28500"/>
    <n v="0.28282456140350876"/>
  </r>
  <r>
    <n v="2020"/>
    <x v="4"/>
    <n v="21"/>
    <x v="18"/>
    <n v="2314.5"/>
    <n v="28500"/>
    <n v="8.1210526315789469E-2"/>
  </r>
  <r>
    <n v="2020"/>
    <x v="4"/>
    <n v="21"/>
    <x v="19"/>
    <n v="17"/>
    <n v="28500"/>
    <n v="5.9649122807017548E-4"/>
  </r>
  <r>
    <n v="2020"/>
    <x v="4"/>
    <n v="21"/>
    <x v="20"/>
    <n v="0"/>
    <n v="28500"/>
    <n v="0"/>
  </r>
  <r>
    <n v="2020"/>
    <x v="4"/>
    <n v="21"/>
    <x v="21"/>
    <n v="0"/>
    <n v="28500"/>
    <n v="0"/>
  </r>
  <r>
    <n v="2020"/>
    <x v="4"/>
    <n v="21"/>
    <x v="22"/>
    <n v="0"/>
    <n v="28500"/>
    <n v="0"/>
  </r>
  <r>
    <n v="2020"/>
    <x v="4"/>
    <n v="21"/>
    <x v="23"/>
    <n v="0"/>
    <n v="28500"/>
    <n v="0"/>
  </r>
  <r>
    <n v="2020"/>
    <x v="4"/>
    <n v="22"/>
    <x v="0"/>
    <n v="0"/>
    <n v="28500"/>
    <n v="0"/>
  </r>
  <r>
    <n v="2020"/>
    <x v="4"/>
    <n v="22"/>
    <x v="1"/>
    <n v="0"/>
    <n v="28500"/>
    <n v="0"/>
  </r>
  <r>
    <n v="2020"/>
    <x v="4"/>
    <n v="22"/>
    <x v="2"/>
    <n v="0"/>
    <n v="28500"/>
    <n v="0"/>
  </r>
  <r>
    <n v="2020"/>
    <x v="4"/>
    <n v="22"/>
    <x v="3"/>
    <n v="0"/>
    <n v="28500"/>
    <n v="0"/>
  </r>
  <r>
    <n v="2020"/>
    <x v="4"/>
    <n v="22"/>
    <x v="4"/>
    <n v="0"/>
    <n v="28500"/>
    <n v="0"/>
  </r>
  <r>
    <n v="2020"/>
    <x v="4"/>
    <n v="22"/>
    <x v="5"/>
    <n v="466"/>
    <n v="28500"/>
    <n v="1.6350877192982456E-2"/>
  </r>
  <r>
    <n v="2020"/>
    <x v="4"/>
    <n v="22"/>
    <x v="6"/>
    <n v="2960"/>
    <n v="28500"/>
    <n v="0.10385964912280701"/>
  </r>
  <r>
    <n v="2020"/>
    <x v="4"/>
    <n v="22"/>
    <x v="7"/>
    <n v="7969"/>
    <n v="28500"/>
    <n v="0.27961403508771931"/>
  </r>
  <r>
    <n v="2020"/>
    <x v="4"/>
    <n v="22"/>
    <x v="8"/>
    <n v="13057.5"/>
    <n v="28500"/>
    <n v="0.4581578947368421"/>
  </r>
  <r>
    <n v="2020"/>
    <x v="4"/>
    <n v="22"/>
    <x v="9"/>
    <n v="15694.5"/>
    <n v="28500"/>
    <n v="0.55068421052631578"/>
  </r>
  <r>
    <n v="2020"/>
    <x v="4"/>
    <n v="22"/>
    <x v="10"/>
    <n v="18244.5"/>
    <n v="28500"/>
    <n v="0.64015789473684215"/>
  </r>
  <r>
    <n v="2020"/>
    <x v="4"/>
    <n v="22"/>
    <x v="11"/>
    <n v="41279.5"/>
    <n v="28500"/>
    <n v="1.4484035087719298"/>
  </r>
  <r>
    <n v="2020"/>
    <x v="4"/>
    <n v="22"/>
    <x v="12"/>
    <n v="41669"/>
    <n v="28500"/>
    <n v="1.4620701754385965"/>
  </r>
  <r>
    <n v="2020"/>
    <x v="4"/>
    <n v="22"/>
    <x v="13"/>
    <n v="40138.5"/>
    <n v="28500"/>
    <n v="1.4083684210526315"/>
  </r>
  <r>
    <n v="2020"/>
    <x v="4"/>
    <n v="22"/>
    <x v="14"/>
    <n v="35309"/>
    <n v="28500"/>
    <n v="1.2389122807017543"/>
  </r>
  <r>
    <n v="2020"/>
    <x v="4"/>
    <n v="22"/>
    <x v="15"/>
    <n v="26638"/>
    <n v="28500"/>
    <n v="0.93466666666666665"/>
  </r>
  <r>
    <n v="2020"/>
    <x v="4"/>
    <n v="22"/>
    <x v="16"/>
    <n v="14474.5"/>
    <n v="28500"/>
    <n v="0.50787719298245615"/>
  </r>
  <r>
    <n v="2020"/>
    <x v="4"/>
    <n v="22"/>
    <x v="17"/>
    <n v="8663"/>
    <n v="28500"/>
    <n v="0.30396491228070177"/>
  </r>
  <r>
    <n v="2020"/>
    <x v="4"/>
    <n v="22"/>
    <x v="18"/>
    <n v="2730.5"/>
    <n v="28500"/>
    <n v="9.5807017543859646E-2"/>
  </r>
  <r>
    <n v="2020"/>
    <x v="4"/>
    <n v="22"/>
    <x v="19"/>
    <n v="182"/>
    <n v="28500"/>
    <n v="6.3859649122807016E-3"/>
  </r>
  <r>
    <n v="2020"/>
    <x v="4"/>
    <n v="22"/>
    <x v="20"/>
    <n v="0"/>
    <n v="28500"/>
    <n v="0"/>
  </r>
  <r>
    <n v="2020"/>
    <x v="4"/>
    <n v="22"/>
    <x v="21"/>
    <n v="0"/>
    <n v="28500"/>
    <n v="0"/>
  </r>
  <r>
    <n v="2020"/>
    <x v="4"/>
    <n v="22"/>
    <x v="22"/>
    <n v="0"/>
    <n v="28500"/>
    <n v="0"/>
  </r>
  <r>
    <n v="2020"/>
    <x v="4"/>
    <n v="22"/>
    <x v="23"/>
    <n v="0"/>
    <n v="28500"/>
    <n v="0"/>
  </r>
  <r>
    <n v="2020"/>
    <x v="4"/>
    <n v="23"/>
    <x v="0"/>
    <n v="0"/>
    <n v="28500"/>
    <n v="0"/>
  </r>
  <r>
    <n v="2020"/>
    <x v="4"/>
    <n v="23"/>
    <x v="1"/>
    <n v="0"/>
    <n v="28500"/>
    <n v="0"/>
  </r>
  <r>
    <n v="2020"/>
    <x v="4"/>
    <n v="23"/>
    <x v="2"/>
    <n v="0"/>
    <n v="28500"/>
    <n v="0"/>
  </r>
  <r>
    <n v="2020"/>
    <x v="4"/>
    <n v="23"/>
    <x v="3"/>
    <n v="0"/>
    <n v="28500"/>
    <n v="0"/>
  </r>
  <r>
    <n v="2020"/>
    <x v="4"/>
    <n v="23"/>
    <x v="4"/>
    <n v="0"/>
    <n v="28500"/>
    <n v="0"/>
  </r>
  <r>
    <n v="2020"/>
    <x v="4"/>
    <n v="23"/>
    <x v="5"/>
    <n v="1219.5"/>
    <n v="28500"/>
    <n v="4.2789473684210523E-2"/>
  </r>
  <r>
    <n v="2020"/>
    <x v="4"/>
    <n v="23"/>
    <x v="6"/>
    <n v="4066.5"/>
    <n v="28500"/>
    <n v="0.1426842105263158"/>
  </r>
  <r>
    <n v="2020"/>
    <x v="4"/>
    <n v="23"/>
    <x v="7"/>
    <n v="12055.5"/>
    <n v="28500"/>
    <n v="0.42299999999999999"/>
  </r>
  <r>
    <n v="2020"/>
    <x v="4"/>
    <n v="23"/>
    <x v="8"/>
    <n v="21580.5"/>
    <n v="28500"/>
    <n v="0.75721052631578945"/>
  </r>
  <r>
    <n v="2020"/>
    <x v="4"/>
    <n v="23"/>
    <x v="9"/>
    <n v="26524"/>
    <n v="28500"/>
    <n v="0.93066666666666664"/>
  </r>
  <r>
    <n v="2020"/>
    <x v="4"/>
    <n v="23"/>
    <x v="10"/>
    <n v="26596"/>
    <n v="28500"/>
    <n v="0.93319298245614035"/>
  </r>
  <r>
    <n v="2020"/>
    <x v="4"/>
    <n v="23"/>
    <x v="11"/>
    <n v="41943"/>
    <n v="28500"/>
    <n v="1.4716842105263157"/>
  </r>
  <r>
    <n v="2020"/>
    <x v="4"/>
    <n v="23"/>
    <x v="12"/>
    <n v="41506"/>
    <n v="28500"/>
    <n v="1.4563508771929825"/>
  </r>
  <r>
    <n v="2020"/>
    <x v="4"/>
    <n v="23"/>
    <x v="13"/>
    <n v="29601"/>
    <n v="28500"/>
    <n v="1.0386315789473684"/>
  </r>
  <r>
    <n v="2020"/>
    <x v="4"/>
    <n v="23"/>
    <x v="14"/>
    <n v="25546"/>
    <n v="28500"/>
    <n v="0.89635087719298245"/>
  </r>
  <r>
    <n v="2020"/>
    <x v="4"/>
    <n v="23"/>
    <x v="15"/>
    <n v="10086"/>
    <n v="28500"/>
    <n v="0.35389473684210526"/>
  </r>
  <r>
    <n v="2020"/>
    <x v="4"/>
    <n v="23"/>
    <x v="16"/>
    <n v="11446"/>
    <n v="28500"/>
    <n v="0.40161403508771931"/>
  </r>
  <r>
    <n v="2020"/>
    <x v="4"/>
    <n v="23"/>
    <x v="17"/>
    <n v="8843"/>
    <n v="28500"/>
    <n v="0.31028070175438599"/>
  </r>
  <r>
    <n v="2020"/>
    <x v="4"/>
    <n v="23"/>
    <x v="18"/>
    <n v="2842.5"/>
    <n v="28500"/>
    <n v="9.9736842105263152E-2"/>
  </r>
  <r>
    <n v="2020"/>
    <x v="4"/>
    <n v="23"/>
    <x v="19"/>
    <n v="497"/>
    <n v="28500"/>
    <n v="1.7438596491228069E-2"/>
  </r>
  <r>
    <n v="2020"/>
    <x v="4"/>
    <n v="23"/>
    <x v="20"/>
    <n v="0"/>
    <n v="28500"/>
    <n v="0"/>
  </r>
  <r>
    <n v="2020"/>
    <x v="4"/>
    <n v="23"/>
    <x v="21"/>
    <n v="0"/>
    <n v="28500"/>
    <n v="0"/>
  </r>
  <r>
    <n v="2020"/>
    <x v="4"/>
    <n v="23"/>
    <x v="22"/>
    <n v="0"/>
    <n v="28500"/>
    <n v="0"/>
  </r>
  <r>
    <n v="2020"/>
    <x v="4"/>
    <n v="23"/>
    <x v="23"/>
    <n v="0"/>
    <n v="28500"/>
    <n v="0"/>
  </r>
  <r>
    <n v="2020"/>
    <x v="4"/>
    <n v="24"/>
    <x v="0"/>
    <n v="0"/>
    <n v="28500"/>
    <n v="0"/>
  </r>
  <r>
    <n v="2020"/>
    <x v="4"/>
    <n v="24"/>
    <x v="1"/>
    <n v="0"/>
    <n v="28500"/>
    <n v="0"/>
  </r>
  <r>
    <n v="2020"/>
    <x v="4"/>
    <n v="24"/>
    <x v="2"/>
    <n v="0"/>
    <n v="28500"/>
    <n v="0"/>
  </r>
  <r>
    <n v="2020"/>
    <x v="4"/>
    <n v="24"/>
    <x v="3"/>
    <n v="0"/>
    <n v="28500"/>
    <n v="0"/>
  </r>
  <r>
    <n v="2020"/>
    <x v="4"/>
    <n v="24"/>
    <x v="4"/>
    <n v="0"/>
    <n v="28500"/>
    <n v="0"/>
  </r>
  <r>
    <n v="2020"/>
    <x v="4"/>
    <n v="24"/>
    <x v="5"/>
    <n v="1092"/>
    <n v="28500"/>
    <n v="3.8315789473684213E-2"/>
  </r>
  <r>
    <n v="2020"/>
    <x v="4"/>
    <n v="24"/>
    <x v="6"/>
    <n v="4842.5"/>
    <n v="28500"/>
    <n v="0.16991228070175438"/>
  </r>
  <r>
    <n v="2020"/>
    <x v="4"/>
    <n v="24"/>
    <x v="7"/>
    <n v="12629.5"/>
    <n v="28500"/>
    <n v="0.443140350877193"/>
  </r>
  <r>
    <n v="2020"/>
    <x v="4"/>
    <n v="24"/>
    <x v="8"/>
    <n v="7577.5"/>
    <n v="28500"/>
    <n v="0.26587719298245616"/>
  </r>
  <r>
    <n v="2020"/>
    <x v="4"/>
    <n v="24"/>
    <x v="9"/>
    <n v="20976.5"/>
    <n v="28500"/>
    <n v="0.73601754385964913"/>
  </r>
  <r>
    <n v="2020"/>
    <x v="4"/>
    <n v="24"/>
    <x v="10"/>
    <n v="22088.5"/>
    <n v="28500"/>
    <n v="0.7750350877192983"/>
  </r>
  <r>
    <n v="2020"/>
    <x v="4"/>
    <n v="24"/>
    <x v="11"/>
    <n v="32460.5"/>
    <n v="28500"/>
    <n v="1.1389649122807017"/>
  </r>
  <r>
    <n v="2020"/>
    <x v="4"/>
    <n v="24"/>
    <x v="12"/>
    <n v="19447.5"/>
    <n v="28500"/>
    <n v="0.68236842105263162"/>
  </r>
  <r>
    <n v="2020"/>
    <x v="4"/>
    <n v="24"/>
    <x v="13"/>
    <n v="23889"/>
    <n v="28500"/>
    <n v="0.83821052631578952"/>
  </r>
  <r>
    <n v="2020"/>
    <x v="4"/>
    <n v="24"/>
    <x v="14"/>
    <n v="24521"/>
    <n v="28500"/>
    <n v="0.8603859649122807"/>
  </r>
  <r>
    <n v="2020"/>
    <x v="4"/>
    <n v="24"/>
    <x v="15"/>
    <n v="12595.5"/>
    <n v="28500"/>
    <n v="0.44194736842105264"/>
  </r>
  <r>
    <n v="2020"/>
    <x v="4"/>
    <n v="24"/>
    <x v="16"/>
    <n v="8245.5"/>
    <n v="28500"/>
    <n v="0.28931578947368419"/>
  </r>
  <r>
    <n v="2020"/>
    <x v="4"/>
    <n v="24"/>
    <x v="17"/>
    <n v="5701"/>
    <n v="28500"/>
    <n v="0.20003508771929823"/>
  </r>
  <r>
    <n v="2020"/>
    <x v="4"/>
    <n v="24"/>
    <x v="18"/>
    <n v="2660"/>
    <n v="28500"/>
    <n v="9.3333333333333338E-2"/>
  </r>
  <r>
    <n v="2020"/>
    <x v="4"/>
    <n v="24"/>
    <x v="19"/>
    <n v="487"/>
    <n v="28500"/>
    <n v="1.7087719298245613E-2"/>
  </r>
  <r>
    <n v="2020"/>
    <x v="4"/>
    <n v="24"/>
    <x v="20"/>
    <n v="0"/>
    <n v="28500"/>
    <n v="0"/>
  </r>
  <r>
    <n v="2020"/>
    <x v="4"/>
    <n v="24"/>
    <x v="21"/>
    <n v="0"/>
    <n v="28500"/>
    <n v="0"/>
  </r>
  <r>
    <n v="2020"/>
    <x v="4"/>
    <n v="24"/>
    <x v="22"/>
    <n v="0"/>
    <n v="28500"/>
    <n v="0"/>
  </r>
  <r>
    <n v="2020"/>
    <x v="4"/>
    <n v="24"/>
    <x v="23"/>
    <n v="0"/>
    <n v="28500"/>
    <n v="0"/>
  </r>
  <r>
    <n v="2020"/>
    <x v="4"/>
    <n v="25"/>
    <x v="0"/>
    <n v="0"/>
    <n v="28500"/>
    <n v="0"/>
  </r>
  <r>
    <n v="2020"/>
    <x v="4"/>
    <n v="25"/>
    <x v="1"/>
    <n v="0"/>
    <n v="28500"/>
    <n v="0"/>
  </r>
  <r>
    <n v="2020"/>
    <x v="4"/>
    <n v="25"/>
    <x v="2"/>
    <n v="0"/>
    <n v="28500"/>
    <n v="0"/>
  </r>
  <r>
    <n v="2020"/>
    <x v="4"/>
    <n v="25"/>
    <x v="3"/>
    <n v="0"/>
    <n v="28500"/>
    <n v="0"/>
  </r>
  <r>
    <n v="2020"/>
    <x v="4"/>
    <n v="25"/>
    <x v="4"/>
    <n v="0"/>
    <n v="28500"/>
    <n v="0"/>
  </r>
  <r>
    <n v="2020"/>
    <x v="4"/>
    <n v="25"/>
    <x v="5"/>
    <n v="1323"/>
    <n v="28500"/>
    <n v="4.6421052631578946E-2"/>
  </r>
  <r>
    <n v="2020"/>
    <x v="4"/>
    <n v="25"/>
    <x v="6"/>
    <n v="4138.5"/>
    <n v="28500"/>
    <n v="0.14521052631578948"/>
  </r>
  <r>
    <n v="2020"/>
    <x v="4"/>
    <n v="25"/>
    <x v="7"/>
    <n v="13893"/>
    <n v="28500"/>
    <n v="0.48747368421052634"/>
  </r>
  <r>
    <n v="2020"/>
    <x v="4"/>
    <n v="25"/>
    <x v="8"/>
    <n v="23407"/>
    <n v="28500"/>
    <n v="0.82129824561403508"/>
  </r>
  <r>
    <n v="2020"/>
    <x v="4"/>
    <n v="25"/>
    <x v="9"/>
    <n v="30328"/>
    <n v="28500"/>
    <n v="1.0641403508771929"/>
  </r>
  <r>
    <n v="2020"/>
    <x v="4"/>
    <n v="25"/>
    <x v="10"/>
    <n v="32147.5"/>
    <n v="28500"/>
    <n v="1.1279824561403509"/>
  </r>
  <r>
    <n v="2020"/>
    <x v="4"/>
    <n v="25"/>
    <x v="11"/>
    <n v="37040"/>
    <n v="28500"/>
    <n v="1.2996491228070175"/>
  </r>
  <r>
    <n v="2020"/>
    <x v="4"/>
    <n v="25"/>
    <x v="12"/>
    <n v="37639"/>
    <n v="28500"/>
    <n v="1.3206666666666667"/>
  </r>
  <r>
    <n v="2020"/>
    <x v="4"/>
    <n v="25"/>
    <x v="13"/>
    <n v="31156"/>
    <n v="28500"/>
    <n v="1.0931929824561404"/>
  </r>
  <r>
    <n v="2020"/>
    <x v="4"/>
    <n v="25"/>
    <x v="14"/>
    <n v="25299"/>
    <n v="28500"/>
    <n v="0.88768421052631574"/>
  </r>
  <r>
    <n v="2020"/>
    <x v="4"/>
    <n v="25"/>
    <x v="15"/>
    <n v="22307.5"/>
    <n v="28500"/>
    <n v="0.78271929824561404"/>
  </r>
  <r>
    <n v="2020"/>
    <x v="4"/>
    <n v="25"/>
    <x v="16"/>
    <n v="15790"/>
    <n v="28500"/>
    <n v="0.55403508771929821"/>
  </r>
  <r>
    <n v="2020"/>
    <x v="4"/>
    <n v="25"/>
    <x v="17"/>
    <n v="8570.5"/>
    <n v="28500"/>
    <n v="0.30071929824561405"/>
  </r>
  <r>
    <n v="2020"/>
    <x v="4"/>
    <n v="25"/>
    <x v="18"/>
    <n v="1067.5"/>
    <n v="28500"/>
    <n v="3.7456140350877194E-2"/>
  </r>
  <r>
    <n v="2020"/>
    <x v="4"/>
    <n v="25"/>
    <x v="19"/>
    <n v="593"/>
    <n v="28500"/>
    <n v="2.0807017543859649E-2"/>
  </r>
  <r>
    <n v="2020"/>
    <x v="4"/>
    <n v="25"/>
    <x v="20"/>
    <n v="0"/>
    <n v="28500"/>
    <n v="0"/>
  </r>
  <r>
    <n v="2020"/>
    <x v="4"/>
    <n v="25"/>
    <x v="21"/>
    <n v="0"/>
    <n v="28500"/>
    <n v="0"/>
  </r>
  <r>
    <n v="2020"/>
    <x v="4"/>
    <n v="25"/>
    <x v="22"/>
    <n v="0"/>
    <n v="28500"/>
    <n v="0"/>
  </r>
  <r>
    <n v="2020"/>
    <x v="4"/>
    <n v="25"/>
    <x v="23"/>
    <n v="0"/>
    <n v="28500"/>
    <n v="0"/>
  </r>
  <r>
    <n v="2020"/>
    <x v="4"/>
    <n v="26"/>
    <x v="0"/>
    <n v="0"/>
    <n v="28500"/>
    <n v="0"/>
  </r>
  <r>
    <n v="2020"/>
    <x v="4"/>
    <n v="26"/>
    <x v="1"/>
    <n v="0"/>
    <n v="28500"/>
    <n v="0"/>
  </r>
  <r>
    <n v="2020"/>
    <x v="4"/>
    <n v="26"/>
    <x v="2"/>
    <n v="0"/>
    <n v="28500"/>
    <n v="0"/>
  </r>
  <r>
    <n v="2020"/>
    <x v="4"/>
    <n v="26"/>
    <x v="3"/>
    <n v="0"/>
    <n v="28500"/>
    <n v="0"/>
  </r>
  <r>
    <n v="2020"/>
    <x v="4"/>
    <n v="26"/>
    <x v="4"/>
    <n v="0"/>
    <n v="28500"/>
    <n v="0"/>
  </r>
  <r>
    <n v="2020"/>
    <x v="4"/>
    <n v="26"/>
    <x v="5"/>
    <n v="1218"/>
    <n v="28500"/>
    <n v="4.2736842105263156E-2"/>
  </r>
  <r>
    <n v="2020"/>
    <x v="4"/>
    <n v="26"/>
    <x v="6"/>
    <n v="4086.5"/>
    <n v="28500"/>
    <n v="0.1433859649122807"/>
  </r>
  <r>
    <n v="2020"/>
    <x v="4"/>
    <n v="26"/>
    <x v="7"/>
    <n v="13378"/>
    <n v="28500"/>
    <n v="0.46940350877192982"/>
  </r>
  <r>
    <n v="2020"/>
    <x v="4"/>
    <n v="26"/>
    <x v="8"/>
    <n v="22224"/>
    <n v="28500"/>
    <n v="0.77978947368421048"/>
  </r>
  <r>
    <n v="2020"/>
    <x v="4"/>
    <n v="26"/>
    <x v="9"/>
    <n v="29714.5"/>
    <n v="28500"/>
    <n v="1.0426140350877193"/>
  </r>
  <r>
    <n v="2020"/>
    <x v="4"/>
    <n v="26"/>
    <x v="10"/>
    <n v="34649.5"/>
    <n v="28500"/>
    <n v="1.2157719298245615"/>
  </r>
  <r>
    <n v="2020"/>
    <x v="4"/>
    <n v="26"/>
    <x v="11"/>
    <n v="37818.5"/>
    <n v="28500"/>
    <n v="1.3269649122807017"/>
  </r>
  <r>
    <n v="2020"/>
    <x v="4"/>
    <n v="26"/>
    <x v="12"/>
    <n v="35752.5"/>
    <n v="28500"/>
    <n v="1.2544736842105264"/>
  </r>
  <r>
    <n v="2020"/>
    <x v="4"/>
    <n v="26"/>
    <x v="13"/>
    <n v="34349"/>
    <n v="28500"/>
    <n v="1.2052280701754385"/>
  </r>
  <r>
    <n v="2020"/>
    <x v="4"/>
    <n v="26"/>
    <x v="14"/>
    <n v="31884"/>
    <n v="28500"/>
    <n v="1.1187368421052633"/>
  </r>
  <r>
    <n v="2020"/>
    <x v="4"/>
    <n v="26"/>
    <x v="15"/>
    <n v="21517.5"/>
    <n v="28500"/>
    <n v="0.755"/>
  </r>
  <r>
    <n v="2020"/>
    <x v="4"/>
    <n v="26"/>
    <x v="16"/>
    <n v="12847.5"/>
    <n v="28500"/>
    <n v="0.45078947368421052"/>
  </r>
  <r>
    <n v="2020"/>
    <x v="4"/>
    <n v="26"/>
    <x v="17"/>
    <n v="6858"/>
    <n v="28500"/>
    <n v="0.24063157894736842"/>
  </r>
  <r>
    <n v="2020"/>
    <x v="4"/>
    <n v="26"/>
    <x v="18"/>
    <n v="2251"/>
    <n v="28500"/>
    <n v="7.8982456140350876E-2"/>
  </r>
  <r>
    <n v="2020"/>
    <x v="4"/>
    <n v="26"/>
    <x v="19"/>
    <n v="642"/>
    <n v="28500"/>
    <n v="2.2526315789473682E-2"/>
  </r>
  <r>
    <n v="2020"/>
    <x v="4"/>
    <n v="26"/>
    <x v="20"/>
    <n v="0"/>
    <n v="28500"/>
    <n v="0"/>
  </r>
  <r>
    <n v="2020"/>
    <x v="4"/>
    <n v="26"/>
    <x v="21"/>
    <n v="0"/>
    <n v="28500"/>
    <n v="0"/>
  </r>
  <r>
    <n v="2020"/>
    <x v="4"/>
    <n v="26"/>
    <x v="22"/>
    <n v="0"/>
    <n v="28500"/>
    <n v="0"/>
  </r>
  <r>
    <n v="2020"/>
    <x v="4"/>
    <n v="26"/>
    <x v="23"/>
    <n v="0"/>
    <n v="28500"/>
    <n v="0"/>
  </r>
  <r>
    <n v="2020"/>
    <x v="4"/>
    <n v="27"/>
    <x v="0"/>
    <n v="0"/>
    <n v="28500"/>
    <n v="0"/>
  </r>
  <r>
    <n v="2020"/>
    <x v="4"/>
    <n v="27"/>
    <x v="1"/>
    <n v="0"/>
    <n v="28500"/>
    <n v="0"/>
  </r>
  <r>
    <n v="2020"/>
    <x v="4"/>
    <n v="27"/>
    <x v="2"/>
    <n v="0"/>
    <n v="28500"/>
    <n v="0"/>
  </r>
  <r>
    <n v="2020"/>
    <x v="4"/>
    <n v="27"/>
    <x v="3"/>
    <n v="0"/>
    <n v="28500"/>
    <n v="0"/>
  </r>
  <r>
    <n v="2020"/>
    <x v="4"/>
    <n v="27"/>
    <x v="4"/>
    <n v="0"/>
    <n v="28500"/>
    <n v="0"/>
  </r>
  <r>
    <n v="2020"/>
    <x v="4"/>
    <n v="27"/>
    <x v="5"/>
    <n v="1428.5"/>
    <n v="28500"/>
    <n v="5.0122807017543861E-2"/>
  </r>
  <r>
    <n v="2020"/>
    <x v="4"/>
    <n v="27"/>
    <x v="6"/>
    <n v="4322"/>
    <n v="28500"/>
    <n v="0.15164912280701753"/>
  </r>
  <r>
    <n v="2020"/>
    <x v="4"/>
    <n v="27"/>
    <x v="7"/>
    <n v="13176"/>
    <n v="28500"/>
    <n v="0.46231578947368424"/>
  </r>
  <r>
    <n v="2020"/>
    <x v="4"/>
    <n v="27"/>
    <x v="8"/>
    <n v="22349.5"/>
    <n v="28500"/>
    <n v="0.78419298245614033"/>
  </r>
  <r>
    <n v="2020"/>
    <x v="4"/>
    <n v="27"/>
    <x v="9"/>
    <n v="29119.5"/>
    <n v="28500"/>
    <n v="1.0217368421052631"/>
  </r>
  <r>
    <n v="2020"/>
    <x v="4"/>
    <n v="27"/>
    <x v="10"/>
    <n v="33490"/>
    <n v="28500"/>
    <n v="1.1750877192982456"/>
  </r>
  <r>
    <n v="2020"/>
    <x v="4"/>
    <n v="27"/>
    <x v="11"/>
    <n v="32711.5"/>
    <n v="28500"/>
    <n v="1.1477719298245614"/>
  </r>
  <r>
    <n v="2020"/>
    <x v="4"/>
    <n v="27"/>
    <x v="12"/>
    <n v="15019.5"/>
    <n v="28500"/>
    <n v="0.52700000000000002"/>
  </r>
  <r>
    <n v="2020"/>
    <x v="4"/>
    <n v="27"/>
    <x v="13"/>
    <n v="14275"/>
    <n v="28500"/>
    <n v="0.50087719298245614"/>
  </r>
  <r>
    <n v="2020"/>
    <x v="4"/>
    <n v="27"/>
    <x v="14"/>
    <n v="27485.5"/>
    <n v="28500"/>
    <n v="0.96440350877192982"/>
  </r>
  <r>
    <n v="2020"/>
    <x v="4"/>
    <n v="27"/>
    <x v="15"/>
    <n v="23592"/>
    <n v="28500"/>
    <n v="0.82778947368421052"/>
  </r>
  <r>
    <n v="2020"/>
    <x v="4"/>
    <n v="27"/>
    <x v="16"/>
    <n v="16039"/>
    <n v="28500"/>
    <n v="0.56277192982456137"/>
  </r>
  <r>
    <n v="2020"/>
    <x v="4"/>
    <n v="27"/>
    <x v="17"/>
    <n v="8266"/>
    <n v="28500"/>
    <n v="0.29003508771929826"/>
  </r>
  <r>
    <n v="2020"/>
    <x v="4"/>
    <n v="27"/>
    <x v="18"/>
    <n v="2614"/>
    <n v="28500"/>
    <n v="9.1719298245614034E-2"/>
  </r>
  <r>
    <n v="2020"/>
    <x v="4"/>
    <n v="27"/>
    <x v="19"/>
    <n v="0"/>
    <n v="28500"/>
    <n v="0"/>
  </r>
  <r>
    <n v="2020"/>
    <x v="4"/>
    <n v="27"/>
    <x v="20"/>
    <n v="0"/>
    <n v="28500"/>
    <n v="0"/>
  </r>
  <r>
    <n v="2020"/>
    <x v="4"/>
    <n v="27"/>
    <x v="21"/>
    <n v="0"/>
    <n v="28500"/>
    <n v="0"/>
  </r>
  <r>
    <n v="2020"/>
    <x v="4"/>
    <n v="27"/>
    <x v="22"/>
    <n v="0"/>
    <n v="28500"/>
    <n v="0"/>
  </r>
  <r>
    <n v="2020"/>
    <x v="4"/>
    <n v="27"/>
    <x v="23"/>
    <n v="0"/>
    <n v="28500"/>
    <n v="0"/>
  </r>
  <r>
    <n v="2020"/>
    <x v="4"/>
    <n v="28"/>
    <x v="0"/>
    <n v="0"/>
    <n v="28500"/>
    <n v="0"/>
  </r>
  <r>
    <n v="2020"/>
    <x v="4"/>
    <n v="28"/>
    <x v="1"/>
    <n v="0"/>
    <n v="28500"/>
    <n v="0"/>
  </r>
  <r>
    <n v="2020"/>
    <x v="4"/>
    <n v="28"/>
    <x v="2"/>
    <n v="0"/>
    <n v="28500"/>
    <n v="0"/>
  </r>
  <r>
    <n v="2020"/>
    <x v="4"/>
    <n v="28"/>
    <x v="3"/>
    <n v="0"/>
    <n v="28500"/>
    <n v="0"/>
  </r>
  <r>
    <n v="2020"/>
    <x v="4"/>
    <n v="28"/>
    <x v="4"/>
    <n v="0"/>
    <n v="28500"/>
    <n v="0"/>
  </r>
  <r>
    <n v="2020"/>
    <x v="4"/>
    <n v="28"/>
    <x v="5"/>
    <n v="1184"/>
    <n v="28500"/>
    <n v="4.1543859649122807E-2"/>
  </r>
  <r>
    <n v="2020"/>
    <x v="4"/>
    <n v="28"/>
    <x v="6"/>
    <n v="4633.5"/>
    <n v="28500"/>
    <n v="0.16257894736842105"/>
  </r>
  <r>
    <n v="2020"/>
    <x v="4"/>
    <n v="28"/>
    <x v="7"/>
    <n v="12323.5"/>
    <n v="28500"/>
    <n v="0.43240350877192985"/>
  </r>
  <r>
    <n v="2020"/>
    <x v="4"/>
    <n v="28"/>
    <x v="8"/>
    <n v="23812"/>
    <n v="28500"/>
    <n v="0.83550877192982453"/>
  </r>
  <r>
    <n v="2020"/>
    <x v="4"/>
    <n v="28"/>
    <x v="9"/>
    <n v="31984"/>
    <n v="28500"/>
    <n v="1.1222456140350878"/>
  </r>
  <r>
    <n v="2020"/>
    <x v="4"/>
    <n v="28"/>
    <x v="10"/>
    <n v="37757"/>
    <n v="28500"/>
    <n v="1.3248070175438595"/>
  </r>
  <r>
    <n v="2020"/>
    <x v="4"/>
    <n v="28"/>
    <x v="11"/>
    <n v="41323"/>
    <n v="28500"/>
    <n v="1.4499298245614034"/>
  </r>
  <r>
    <n v="2020"/>
    <x v="4"/>
    <n v="28"/>
    <x v="12"/>
    <n v="41690"/>
    <n v="28500"/>
    <n v="1.4628070175438597"/>
  </r>
  <r>
    <n v="2020"/>
    <x v="4"/>
    <n v="28"/>
    <x v="13"/>
    <n v="40147.5"/>
    <n v="28500"/>
    <n v="1.4086842105263158"/>
  </r>
  <r>
    <n v="2020"/>
    <x v="4"/>
    <n v="28"/>
    <x v="14"/>
    <n v="35247"/>
    <n v="28500"/>
    <n v="1.2367368421052631"/>
  </r>
  <r>
    <n v="2020"/>
    <x v="4"/>
    <n v="28"/>
    <x v="15"/>
    <n v="28715"/>
    <n v="28500"/>
    <n v="1.0075438596491229"/>
  </r>
  <r>
    <n v="2020"/>
    <x v="4"/>
    <n v="28"/>
    <x v="16"/>
    <n v="19342.5"/>
    <n v="28500"/>
    <n v="0.67868421052631578"/>
  </r>
  <r>
    <n v="2020"/>
    <x v="4"/>
    <n v="28"/>
    <x v="17"/>
    <n v="8992"/>
    <n v="28500"/>
    <n v="0.31550877192982457"/>
  </r>
  <r>
    <n v="2020"/>
    <x v="4"/>
    <n v="28"/>
    <x v="18"/>
    <n v="1594.5"/>
    <n v="28500"/>
    <n v="5.5947368421052635E-2"/>
  </r>
  <r>
    <n v="2020"/>
    <x v="4"/>
    <n v="28"/>
    <x v="19"/>
    <n v="610"/>
    <n v="28500"/>
    <n v="2.1403508771929824E-2"/>
  </r>
  <r>
    <n v="2020"/>
    <x v="4"/>
    <n v="28"/>
    <x v="20"/>
    <n v="0"/>
    <n v="28500"/>
    <n v="0"/>
  </r>
  <r>
    <n v="2020"/>
    <x v="4"/>
    <n v="28"/>
    <x v="21"/>
    <n v="0"/>
    <n v="28500"/>
    <n v="0"/>
  </r>
  <r>
    <n v="2020"/>
    <x v="4"/>
    <n v="28"/>
    <x v="22"/>
    <n v="0"/>
    <n v="28500"/>
    <n v="0"/>
  </r>
  <r>
    <n v="2020"/>
    <x v="4"/>
    <n v="28"/>
    <x v="23"/>
    <n v="0"/>
    <n v="28500"/>
    <n v="0"/>
  </r>
  <r>
    <n v="2020"/>
    <x v="4"/>
    <n v="29"/>
    <x v="0"/>
    <n v="0"/>
    <n v="28500"/>
    <n v="0"/>
  </r>
  <r>
    <n v="2020"/>
    <x v="4"/>
    <n v="29"/>
    <x v="1"/>
    <n v="0"/>
    <n v="28500"/>
    <n v="0"/>
  </r>
  <r>
    <n v="2020"/>
    <x v="4"/>
    <n v="29"/>
    <x v="2"/>
    <n v="0"/>
    <n v="28500"/>
    <n v="0"/>
  </r>
  <r>
    <n v="2020"/>
    <x v="4"/>
    <n v="29"/>
    <x v="3"/>
    <n v="0"/>
    <n v="28500"/>
    <n v="0"/>
  </r>
  <r>
    <n v="2020"/>
    <x v="4"/>
    <n v="29"/>
    <x v="4"/>
    <n v="0"/>
    <n v="28500"/>
    <n v="0"/>
  </r>
  <r>
    <n v="2020"/>
    <x v="4"/>
    <n v="29"/>
    <x v="5"/>
    <n v="1381.5"/>
    <n v="28500"/>
    <n v="4.8473684210526315E-2"/>
  </r>
  <r>
    <n v="2020"/>
    <x v="4"/>
    <n v="29"/>
    <x v="6"/>
    <n v="4049.5"/>
    <n v="28500"/>
    <n v="0.14208771929824562"/>
  </r>
  <r>
    <n v="2020"/>
    <x v="4"/>
    <n v="29"/>
    <x v="7"/>
    <n v="14242"/>
    <n v="28500"/>
    <n v="0.49971929824561401"/>
  </r>
  <r>
    <n v="2020"/>
    <x v="4"/>
    <n v="29"/>
    <x v="8"/>
    <n v="24018"/>
    <n v="28500"/>
    <n v="0.84273684210526312"/>
  </r>
  <r>
    <n v="2020"/>
    <x v="4"/>
    <n v="29"/>
    <x v="9"/>
    <n v="31712.5"/>
    <n v="28500"/>
    <n v="1.112719298245614"/>
  </r>
  <r>
    <n v="2020"/>
    <x v="4"/>
    <n v="29"/>
    <x v="10"/>
    <n v="37272"/>
    <n v="28500"/>
    <n v="1.3077894736842106"/>
  </r>
  <r>
    <n v="2020"/>
    <x v="4"/>
    <n v="29"/>
    <x v="11"/>
    <n v="41006"/>
    <n v="28500"/>
    <n v="1.4388070175438596"/>
  </r>
  <r>
    <n v="2020"/>
    <x v="4"/>
    <n v="29"/>
    <x v="12"/>
    <n v="41622.5"/>
    <n v="28500"/>
    <n v="1.4604385964912281"/>
  </r>
  <r>
    <n v="2020"/>
    <x v="4"/>
    <n v="29"/>
    <x v="13"/>
    <n v="39968"/>
    <n v="28500"/>
    <n v="1.4023859649122807"/>
  </r>
  <r>
    <n v="2020"/>
    <x v="4"/>
    <n v="29"/>
    <x v="14"/>
    <n v="35369.5"/>
    <n v="28500"/>
    <n v="1.2410350877192982"/>
  </r>
  <r>
    <n v="2020"/>
    <x v="4"/>
    <n v="29"/>
    <x v="15"/>
    <n v="28540"/>
    <n v="28500"/>
    <n v="1.0014035087719297"/>
  </r>
  <r>
    <n v="2020"/>
    <x v="4"/>
    <n v="29"/>
    <x v="16"/>
    <n v="19435"/>
    <n v="28500"/>
    <n v="0.6819298245614035"/>
  </r>
  <r>
    <n v="2020"/>
    <x v="4"/>
    <n v="29"/>
    <x v="17"/>
    <n v="9025"/>
    <n v="28500"/>
    <n v="0.31666666666666665"/>
  </r>
  <r>
    <n v="2020"/>
    <x v="4"/>
    <n v="29"/>
    <x v="18"/>
    <n v="1326"/>
    <n v="28500"/>
    <n v="4.6526315789473686E-2"/>
  </r>
  <r>
    <n v="2020"/>
    <x v="4"/>
    <n v="29"/>
    <x v="19"/>
    <n v="580.5"/>
    <n v="28500"/>
    <n v="2.0368421052631577E-2"/>
  </r>
  <r>
    <n v="2020"/>
    <x v="4"/>
    <n v="29"/>
    <x v="20"/>
    <n v="0"/>
    <n v="28500"/>
    <n v="0"/>
  </r>
  <r>
    <n v="2020"/>
    <x v="4"/>
    <n v="29"/>
    <x v="21"/>
    <n v="0"/>
    <n v="28500"/>
    <n v="0"/>
  </r>
  <r>
    <n v="2020"/>
    <x v="4"/>
    <n v="29"/>
    <x v="22"/>
    <n v="0"/>
    <n v="28500"/>
    <n v="0"/>
  </r>
  <r>
    <n v="2020"/>
    <x v="4"/>
    <n v="29"/>
    <x v="23"/>
    <n v="0"/>
    <n v="28500"/>
    <n v="0"/>
  </r>
  <r>
    <n v="2020"/>
    <x v="4"/>
    <n v="30"/>
    <x v="0"/>
    <n v="0"/>
    <n v="28500"/>
    <n v="0"/>
  </r>
  <r>
    <n v="2020"/>
    <x v="4"/>
    <n v="30"/>
    <x v="1"/>
    <n v="0"/>
    <n v="28500"/>
    <n v="0"/>
  </r>
  <r>
    <n v="2020"/>
    <x v="4"/>
    <n v="30"/>
    <x v="2"/>
    <n v="0"/>
    <n v="28500"/>
    <n v="0"/>
  </r>
  <r>
    <n v="2020"/>
    <x v="4"/>
    <n v="30"/>
    <x v="3"/>
    <n v="0"/>
    <n v="28500"/>
    <n v="0"/>
  </r>
  <r>
    <n v="2020"/>
    <x v="4"/>
    <n v="30"/>
    <x v="4"/>
    <n v="0"/>
    <n v="28500"/>
    <n v="0"/>
  </r>
  <r>
    <n v="2020"/>
    <x v="4"/>
    <n v="30"/>
    <x v="5"/>
    <n v="1649.5"/>
    <n v="28500"/>
    <n v="5.7877192982456138E-2"/>
  </r>
  <r>
    <n v="2020"/>
    <x v="4"/>
    <n v="30"/>
    <x v="6"/>
    <n v="5234"/>
    <n v="28500"/>
    <n v="0.18364912280701753"/>
  </r>
  <r>
    <n v="2020"/>
    <x v="4"/>
    <n v="30"/>
    <x v="7"/>
    <n v="13946.5"/>
    <n v="28500"/>
    <n v="0.48935087719298248"/>
  </r>
  <r>
    <n v="2020"/>
    <x v="4"/>
    <n v="30"/>
    <x v="8"/>
    <n v="23898.5"/>
    <n v="28500"/>
    <n v="0.83854385964912281"/>
  </r>
  <r>
    <n v="2020"/>
    <x v="4"/>
    <n v="30"/>
    <x v="9"/>
    <n v="31663"/>
    <n v="28500"/>
    <n v="1.110982456140351"/>
  </r>
  <r>
    <n v="2020"/>
    <x v="4"/>
    <n v="30"/>
    <x v="10"/>
    <n v="37393"/>
    <n v="28500"/>
    <n v="1.3120350877192983"/>
  </r>
  <r>
    <n v="2020"/>
    <x v="4"/>
    <n v="30"/>
    <x v="11"/>
    <n v="40845.5"/>
    <n v="28500"/>
    <n v="1.4331754385964912"/>
  </r>
  <r>
    <n v="2020"/>
    <x v="4"/>
    <n v="30"/>
    <x v="12"/>
    <n v="41988"/>
    <n v="28500"/>
    <n v="1.4732631578947368"/>
  </r>
  <r>
    <n v="2020"/>
    <x v="4"/>
    <n v="30"/>
    <x v="13"/>
    <n v="40106"/>
    <n v="28500"/>
    <n v="1.4072280701754385"/>
  </r>
  <r>
    <n v="2020"/>
    <x v="4"/>
    <n v="30"/>
    <x v="14"/>
    <n v="35470"/>
    <n v="28500"/>
    <n v="1.244561403508772"/>
  </r>
  <r>
    <n v="2020"/>
    <x v="4"/>
    <n v="30"/>
    <x v="15"/>
    <n v="28770.5"/>
    <n v="28500"/>
    <n v="1.0094912280701753"/>
  </r>
  <r>
    <n v="2020"/>
    <x v="4"/>
    <n v="30"/>
    <x v="16"/>
    <n v="19445.5"/>
    <n v="28500"/>
    <n v="0.68229824561403507"/>
  </r>
  <r>
    <n v="2020"/>
    <x v="4"/>
    <n v="30"/>
    <x v="17"/>
    <n v="9047.5"/>
    <n v="28500"/>
    <n v="0.31745614035087721"/>
  </r>
  <r>
    <n v="2020"/>
    <x v="4"/>
    <n v="30"/>
    <x v="18"/>
    <n v="1467"/>
    <n v="28500"/>
    <n v="5.1473684210526317E-2"/>
  </r>
  <r>
    <n v="2020"/>
    <x v="4"/>
    <n v="30"/>
    <x v="19"/>
    <n v="687"/>
    <n v="28500"/>
    <n v="2.4105263157894737E-2"/>
  </r>
  <r>
    <n v="2020"/>
    <x v="4"/>
    <n v="30"/>
    <x v="20"/>
    <n v="0"/>
    <n v="28500"/>
    <n v="0"/>
  </r>
  <r>
    <n v="2020"/>
    <x v="4"/>
    <n v="30"/>
    <x v="21"/>
    <n v="0"/>
    <n v="28500"/>
    <n v="0"/>
  </r>
  <r>
    <n v="2020"/>
    <x v="4"/>
    <n v="30"/>
    <x v="22"/>
    <n v="0"/>
    <n v="28500"/>
    <n v="0"/>
  </r>
  <r>
    <n v="2020"/>
    <x v="4"/>
    <n v="30"/>
    <x v="23"/>
    <n v="0"/>
    <n v="28500"/>
    <n v="0"/>
  </r>
  <r>
    <n v="2020"/>
    <x v="4"/>
    <n v="31"/>
    <x v="0"/>
    <n v="0"/>
    <n v="28500"/>
    <n v="0"/>
  </r>
  <r>
    <n v="2020"/>
    <x v="4"/>
    <n v="31"/>
    <x v="1"/>
    <n v="0"/>
    <n v="28500"/>
    <n v="0"/>
  </r>
  <r>
    <n v="2020"/>
    <x v="4"/>
    <n v="31"/>
    <x v="2"/>
    <n v="0"/>
    <n v="28500"/>
    <n v="0"/>
  </r>
  <r>
    <n v="2020"/>
    <x v="4"/>
    <n v="31"/>
    <x v="3"/>
    <n v="0"/>
    <n v="28500"/>
    <n v="0"/>
  </r>
  <r>
    <n v="2020"/>
    <x v="4"/>
    <n v="31"/>
    <x v="4"/>
    <n v="0"/>
    <n v="28500"/>
    <n v="0"/>
  </r>
  <r>
    <n v="2020"/>
    <x v="4"/>
    <n v="31"/>
    <x v="5"/>
    <n v="1533"/>
    <n v="28500"/>
    <n v="5.3789473684210526E-2"/>
  </r>
  <r>
    <n v="2020"/>
    <x v="4"/>
    <n v="31"/>
    <x v="6"/>
    <n v="4269"/>
    <n v="28500"/>
    <n v="0.14978947368421053"/>
  </r>
  <r>
    <n v="2020"/>
    <x v="4"/>
    <n v="31"/>
    <x v="7"/>
    <n v="13954"/>
    <n v="28500"/>
    <n v="0.48961403508771928"/>
  </r>
  <r>
    <n v="2020"/>
    <x v="4"/>
    <n v="31"/>
    <x v="8"/>
    <n v="23454.5"/>
    <n v="28500"/>
    <n v="0.82296491228070179"/>
  </r>
  <r>
    <n v="2020"/>
    <x v="4"/>
    <n v="31"/>
    <x v="9"/>
    <n v="31092.5"/>
    <n v="28500"/>
    <n v="1.0909649122807017"/>
  </r>
  <r>
    <n v="2020"/>
    <x v="4"/>
    <n v="31"/>
    <x v="10"/>
    <n v="36254.5"/>
    <n v="28500"/>
    <n v="1.2720877192982456"/>
  </r>
  <r>
    <n v="2020"/>
    <x v="4"/>
    <n v="31"/>
    <x v="11"/>
    <n v="38818.5"/>
    <n v="28500"/>
    <n v="1.3620526315789474"/>
  </r>
  <r>
    <n v="2020"/>
    <x v="4"/>
    <n v="31"/>
    <x v="12"/>
    <n v="41521.5"/>
    <n v="28500"/>
    <n v="1.4568947368421052"/>
  </r>
  <r>
    <n v="2020"/>
    <x v="4"/>
    <n v="31"/>
    <x v="13"/>
    <n v="39790.5"/>
    <n v="28500"/>
    <n v="1.396157894736842"/>
  </r>
  <r>
    <n v="2020"/>
    <x v="4"/>
    <n v="31"/>
    <x v="14"/>
    <n v="35633.5"/>
    <n v="28500"/>
    <n v="1.250298245614035"/>
  </r>
  <r>
    <n v="2020"/>
    <x v="4"/>
    <n v="31"/>
    <x v="15"/>
    <n v="28476.5"/>
    <n v="28500"/>
    <n v="0.99917543859649127"/>
  </r>
  <r>
    <n v="2020"/>
    <x v="4"/>
    <n v="31"/>
    <x v="16"/>
    <n v="19487.5"/>
    <n v="28500"/>
    <n v="0.68377192982456136"/>
  </r>
  <r>
    <n v="2020"/>
    <x v="4"/>
    <n v="31"/>
    <x v="17"/>
    <n v="9125"/>
    <n v="28500"/>
    <n v="0.32017543859649122"/>
  </r>
  <r>
    <n v="2020"/>
    <x v="4"/>
    <n v="31"/>
    <x v="18"/>
    <n v="1444.5"/>
    <n v="28500"/>
    <n v="5.068421052631579E-2"/>
  </r>
  <r>
    <n v="2020"/>
    <x v="4"/>
    <n v="31"/>
    <x v="19"/>
    <n v="604.5"/>
    <n v="28500"/>
    <n v="2.1210526315789475E-2"/>
  </r>
  <r>
    <n v="2020"/>
    <x v="4"/>
    <n v="31"/>
    <x v="20"/>
    <n v="0"/>
    <n v="28500"/>
    <n v="0"/>
  </r>
  <r>
    <n v="2020"/>
    <x v="4"/>
    <n v="31"/>
    <x v="21"/>
    <n v="0"/>
    <n v="28500"/>
    <n v="0"/>
  </r>
  <r>
    <n v="2020"/>
    <x v="4"/>
    <n v="31"/>
    <x v="22"/>
    <n v="0"/>
    <n v="28500"/>
    <n v="0"/>
  </r>
  <r>
    <n v="2020"/>
    <x v="4"/>
    <n v="31"/>
    <x v="23"/>
    <n v="0"/>
    <n v="28500"/>
    <n v="0"/>
  </r>
  <r>
    <n v="2020"/>
    <x v="5"/>
    <n v="1"/>
    <x v="0"/>
    <n v="0"/>
    <n v="28500"/>
    <n v="0"/>
  </r>
  <r>
    <n v="2020"/>
    <x v="5"/>
    <n v="1"/>
    <x v="1"/>
    <n v="0"/>
    <n v="28500"/>
    <n v="0"/>
  </r>
  <r>
    <n v="2020"/>
    <x v="5"/>
    <n v="1"/>
    <x v="2"/>
    <n v="0"/>
    <n v="28500"/>
    <n v="0"/>
  </r>
  <r>
    <n v="2020"/>
    <x v="5"/>
    <n v="1"/>
    <x v="3"/>
    <n v="0"/>
    <n v="28500"/>
    <n v="0"/>
  </r>
  <r>
    <n v="2020"/>
    <x v="5"/>
    <n v="1"/>
    <x v="4"/>
    <n v="0"/>
    <n v="28500"/>
    <n v="0"/>
  </r>
  <r>
    <n v="2020"/>
    <x v="5"/>
    <n v="1"/>
    <x v="5"/>
    <n v="1307"/>
    <n v="28500"/>
    <n v="4.5859649122807017E-2"/>
  </r>
  <r>
    <n v="2020"/>
    <x v="5"/>
    <n v="1"/>
    <x v="6"/>
    <n v="4204.5"/>
    <n v="28500"/>
    <n v="0.14752631578947367"/>
  </r>
  <r>
    <n v="2020"/>
    <x v="5"/>
    <n v="1"/>
    <x v="7"/>
    <n v="13801.5"/>
    <n v="28500"/>
    <n v="0.48426315789473684"/>
  </r>
  <r>
    <n v="2020"/>
    <x v="5"/>
    <n v="1"/>
    <x v="8"/>
    <n v="23405"/>
    <n v="28500"/>
    <n v="0.82122807017543864"/>
  </r>
  <r>
    <n v="2020"/>
    <x v="5"/>
    <n v="1"/>
    <x v="9"/>
    <n v="30894"/>
    <n v="28500"/>
    <n v="1.0840000000000001"/>
  </r>
  <r>
    <n v="2020"/>
    <x v="5"/>
    <n v="1"/>
    <x v="10"/>
    <n v="36626.5"/>
    <n v="28500"/>
    <n v="1.285140350877193"/>
  </r>
  <r>
    <n v="2020"/>
    <x v="5"/>
    <n v="1"/>
    <x v="11"/>
    <n v="40216.5"/>
    <n v="28500"/>
    <n v="1.4111052631578946"/>
  </r>
  <r>
    <n v="2020"/>
    <x v="5"/>
    <n v="1"/>
    <x v="12"/>
    <n v="40772.5"/>
    <n v="28500"/>
    <n v="1.4306140350877192"/>
  </r>
  <r>
    <n v="2020"/>
    <x v="5"/>
    <n v="1"/>
    <x v="13"/>
    <n v="38851.5"/>
    <n v="28500"/>
    <n v="1.3632105263157894"/>
  </r>
  <r>
    <n v="2020"/>
    <x v="5"/>
    <n v="1"/>
    <x v="14"/>
    <n v="34492.5"/>
    <n v="28500"/>
    <n v="1.2102631578947369"/>
  </r>
  <r>
    <n v="2020"/>
    <x v="5"/>
    <n v="1"/>
    <x v="15"/>
    <n v="27802.5"/>
    <n v="28500"/>
    <n v="0.97552631578947369"/>
  </r>
  <r>
    <n v="2020"/>
    <x v="5"/>
    <n v="1"/>
    <x v="16"/>
    <n v="18938"/>
    <n v="28500"/>
    <n v="0.66449122807017547"/>
  </r>
  <r>
    <n v="2020"/>
    <x v="5"/>
    <n v="1"/>
    <x v="17"/>
    <n v="8948"/>
    <n v="28500"/>
    <n v="0.31396491228070178"/>
  </r>
  <r>
    <n v="2020"/>
    <x v="5"/>
    <n v="1"/>
    <x v="18"/>
    <n v="1516.5"/>
    <n v="28500"/>
    <n v="5.3210526315789472E-2"/>
  </r>
  <r>
    <n v="2020"/>
    <x v="5"/>
    <n v="1"/>
    <x v="19"/>
    <n v="712"/>
    <n v="28500"/>
    <n v="2.4982456140350877E-2"/>
  </r>
  <r>
    <n v="2020"/>
    <x v="5"/>
    <n v="1"/>
    <x v="20"/>
    <n v="0"/>
    <n v="28500"/>
    <n v="0"/>
  </r>
  <r>
    <n v="2020"/>
    <x v="5"/>
    <n v="1"/>
    <x v="21"/>
    <n v="0"/>
    <n v="28500"/>
    <n v="0"/>
  </r>
  <r>
    <n v="2020"/>
    <x v="5"/>
    <n v="1"/>
    <x v="22"/>
    <n v="0"/>
    <n v="28500"/>
    <n v="0"/>
  </r>
  <r>
    <n v="2020"/>
    <x v="5"/>
    <n v="1"/>
    <x v="23"/>
    <n v="0"/>
    <n v="28500"/>
    <n v="0"/>
  </r>
  <r>
    <n v="2020"/>
    <x v="5"/>
    <n v="2"/>
    <x v="0"/>
    <n v="0"/>
    <n v="28500"/>
    <n v="0"/>
  </r>
  <r>
    <n v="2020"/>
    <x v="5"/>
    <n v="2"/>
    <x v="1"/>
    <n v="0"/>
    <n v="28500"/>
    <n v="0"/>
  </r>
  <r>
    <n v="2020"/>
    <x v="5"/>
    <n v="2"/>
    <x v="2"/>
    <n v="0"/>
    <n v="28500"/>
    <n v="0"/>
  </r>
  <r>
    <n v="2020"/>
    <x v="5"/>
    <n v="2"/>
    <x v="3"/>
    <n v="0"/>
    <n v="28500"/>
    <n v="0"/>
  </r>
  <r>
    <n v="2020"/>
    <x v="5"/>
    <n v="2"/>
    <x v="4"/>
    <n v="0"/>
    <n v="28500"/>
    <n v="0"/>
  </r>
  <r>
    <n v="2020"/>
    <x v="5"/>
    <n v="2"/>
    <x v="5"/>
    <n v="1381"/>
    <n v="28500"/>
    <n v="4.845614035087719E-2"/>
  </r>
  <r>
    <n v="2020"/>
    <x v="5"/>
    <n v="2"/>
    <x v="6"/>
    <n v="4612.5"/>
    <n v="28500"/>
    <n v="0.1618421052631579"/>
  </r>
  <r>
    <n v="2020"/>
    <x v="5"/>
    <n v="2"/>
    <x v="7"/>
    <n v="13641"/>
    <n v="28500"/>
    <n v="0.47863157894736841"/>
  </r>
  <r>
    <n v="2020"/>
    <x v="5"/>
    <n v="2"/>
    <x v="8"/>
    <n v="23843"/>
    <n v="28500"/>
    <n v="0.83659649122807023"/>
  </r>
  <r>
    <n v="2020"/>
    <x v="5"/>
    <n v="2"/>
    <x v="9"/>
    <n v="30930.5"/>
    <n v="28500"/>
    <n v="1.085280701754386"/>
  </r>
  <r>
    <n v="2020"/>
    <x v="5"/>
    <n v="2"/>
    <x v="10"/>
    <n v="36116"/>
    <n v="28500"/>
    <n v="1.2672280701754386"/>
  </r>
  <r>
    <n v="2020"/>
    <x v="5"/>
    <n v="2"/>
    <x v="11"/>
    <n v="39135.5"/>
    <n v="28500"/>
    <n v="1.3731754385964912"/>
  </r>
  <r>
    <n v="2020"/>
    <x v="5"/>
    <n v="2"/>
    <x v="12"/>
    <n v="39506"/>
    <n v="28500"/>
    <n v="1.3861754385964913"/>
  </r>
  <r>
    <n v="2020"/>
    <x v="5"/>
    <n v="2"/>
    <x v="13"/>
    <n v="37766.5"/>
    <n v="28500"/>
    <n v="1.3251403508771931"/>
  </r>
  <r>
    <n v="2020"/>
    <x v="5"/>
    <n v="2"/>
    <x v="14"/>
    <n v="33920"/>
    <n v="28500"/>
    <n v="1.1901754385964913"/>
  </r>
  <r>
    <n v="2020"/>
    <x v="5"/>
    <n v="2"/>
    <x v="15"/>
    <n v="20691"/>
    <n v="28500"/>
    <n v="0.72599999999999998"/>
  </r>
  <r>
    <n v="2020"/>
    <x v="5"/>
    <n v="2"/>
    <x v="16"/>
    <n v="14255"/>
    <n v="28500"/>
    <n v="0.50017543859649127"/>
  </r>
  <r>
    <n v="2020"/>
    <x v="5"/>
    <n v="2"/>
    <x v="17"/>
    <n v="8833.5"/>
    <n v="28500"/>
    <n v="0.30994736842105264"/>
  </r>
  <r>
    <n v="2020"/>
    <x v="5"/>
    <n v="2"/>
    <x v="18"/>
    <n v="1566"/>
    <n v="28500"/>
    <n v="5.4947368421052634E-2"/>
  </r>
  <r>
    <n v="2020"/>
    <x v="5"/>
    <n v="2"/>
    <x v="19"/>
    <n v="761.5"/>
    <n v="28500"/>
    <n v="2.6719298245614035E-2"/>
  </r>
  <r>
    <n v="2020"/>
    <x v="5"/>
    <n v="2"/>
    <x v="20"/>
    <n v="0"/>
    <n v="28500"/>
    <n v="0"/>
  </r>
  <r>
    <n v="2020"/>
    <x v="5"/>
    <n v="2"/>
    <x v="21"/>
    <n v="0"/>
    <n v="28500"/>
    <n v="0"/>
  </r>
  <r>
    <n v="2020"/>
    <x v="5"/>
    <n v="2"/>
    <x v="22"/>
    <n v="0"/>
    <n v="28500"/>
    <n v="0"/>
  </r>
  <r>
    <n v="2020"/>
    <x v="5"/>
    <n v="2"/>
    <x v="23"/>
    <n v="0"/>
    <n v="28500"/>
    <n v="0"/>
  </r>
  <r>
    <n v="2020"/>
    <x v="5"/>
    <n v="3"/>
    <x v="0"/>
    <n v="0"/>
    <n v="28500"/>
    <n v="0"/>
  </r>
  <r>
    <n v="2020"/>
    <x v="5"/>
    <n v="3"/>
    <x v="1"/>
    <n v="0"/>
    <n v="28500"/>
    <n v="0"/>
  </r>
  <r>
    <n v="2020"/>
    <x v="5"/>
    <n v="3"/>
    <x v="2"/>
    <n v="0"/>
    <n v="28500"/>
    <n v="0"/>
  </r>
  <r>
    <n v="2020"/>
    <x v="5"/>
    <n v="3"/>
    <x v="3"/>
    <n v="0"/>
    <n v="28500"/>
    <n v="0"/>
  </r>
  <r>
    <n v="2020"/>
    <x v="5"/>
    <n v="3"/>
    <x v="4"/>
    <n v="0"/>
    <n v="28500"/>
    <n v="0"/>
  </r>
  <r>
    <n v="2020"/>
    <x v="5"/>
    <n v="3"/>
    <x v="5"/>
    <n v="258"/>
    <n v="28500"/>
    <n v="9.0526315789473677E-3"/>
  </r>
  <r>
    <n v="2020"/>
    <x v="5"/>
    <n v="3"/>
    <x v="6"/>
    <n v="2436"/>
    <n v="28500"/>
    <n v="8.5473684210526313E-2"/>
  </r>
  <r>
    <n v="2020"/>
    <x v="5"/>
    <n v="3"/>
    <x v="7"/>
    <n v="8498.5"/>
    <n v="28500"/>
    <n v="0.29819298245614034"/>
  </r>
  <r>
    <n v="2020"/>
    <x v="5"/>
    <n v="3"/>
    <x v="8"/>
    <n v="6029.5"/>
    <n v="28500"/>
    <n v="0.21156140350877192"/>
  </r>
  <r>
    <n v="2020"/>
    <x v="5"/>
    <n v="3"/>
    <x v="9"/>
    <n v="7796"/>
    <n v="28500"/>
    <n v="0.27354385964912281"/>
  </r>
  <r>
    <n v="2020"/>
    <x v="5"/>
    <n v="3"/>
    <x v="10"/>
    <n v="10890.5"/>
    <n v="28500"/>
    <n v="0.38212280701754386"/>
  </r>
  <r>
    <n v="2020"/>
    <x v="5"/>
    <n v="3"/>
    <x v="11"/>
    <n v="18204.5"/>
    <n v="28500"/>
    <n v="0.6387543859649123"/>
  </r>
  <r>
    <n v="2020"/>
    <x v="5"/>
    <n v="3"/>
    <x v="12"/>
    <n v="24072"/>
    <n v="28500"/>
    <n v="0.8446315789473684"/>
  </r>
  <r>
    <n v="2020"/>
    <x v="5"/>
    <n v="3"/>
    <x v="13"/>
    <n v="9944.5"/>
    <n v="28500"/>
    <n v="0.34892982456140353"/>
  </r>
  <r>
    <n v="2020"/>
    <x v="5"/>
    <n v="3"/>
    <x v="14"/>
    <n v="8832.5"/>
    <n v="28500"/>
    <n v="0.30991228070175436"/>
  </r>
  <r>
    <n v="2020"/>
    <x v="5"/>
    <n v="3"/>
    <x v="15"/>
    <n v="3394.5"/>
    <n v="28500"/>
    <n v="0.11910526315789474"/>
  </r>
  <r>
    <n v="2020"/>
    <x v="5"/>
    <n v="3"/>
    <x v="16"/>
    <n v="4687.5"/>
    <n v="28500"/>
    <n v="0.16447368421052633"/>
  </r>
  <r>
    <n v="2020"/>
    <x v="5"/>
    <n v="3"/>
    <x v="17"/>
    <n v="5461.5"/>
    <n v="28500"/>
    <n v="0.19163157894736843"/>
  </r>
  <r>
    <n v="2020"/>
    <x v="5"/>
    <n v="3"/>
    <x v="18"/>
    <n v="838.5"/>
    <n v="28500"/>
    <n v="2.9421052631578948E-2"/>
  </r>
  <r>
    <n v="2020"/>
    <x v="5"/>
    <n v="3"/>
    <x v="19"/>
    <n v="0"/>
    <n v="28500"/>
    <n v="0"/>
  </r>
  <r>
    <n v="2020"/>
    <x v="5"/>
    <n v="3"/>
    <x v="20"/>
    <n v="0"/>
    <n v="28500"/>
    <n v="0"/>
  </r>
  <r>
    <n v="2020"/>
    <x v="5"/>
    <n v="3"/>
    <x v="21"/>
    <n v="0"/>
    <n v="28500"/>
    <n v="0"/>
  </r>
  <r>
    <n v="2020"/>
    <x v="5"/>
    <n v="3"/>
    <x v="22"/>
    <n v="0"/>
    <n v="28500"/>
    <n v="0"/>
  </r>
  <r>
    <n v="2020"/>
    <x v="5"/>
    <n v="3"/>
    <x v="23"/>
    <n v="0"/>
    <n v="28500"/>
    <n v="0"/>
  </r>
  <r>
    <n v="2020"/>
    <x v="5"/>
    <n v="4"/>
    <x v="0"/>
    <n v="0"/>
    <n v="28500"/>
    <n v="0"/>
  </r>
  <r>
    <n v="2020"/>
    <x v="5"/>
    <n v="4"/>
    <x v="1"/>
    <n v="0"/>
    <n v="28500"/>
    <n v="0"/>
  </r>
  <r>
    <n v="2020"/>
    <x v="5"/>
    <n v="4"/>
    <x v="2"/>
    <n v="0"/>
    <n v="28500"/>
    <n v="0"/>
  </r>
  <r>
    <n v="2020"/>
    <x v="5"/>
    <n v="4"/>
    <x v="3"/>
    <n v="0"/>
    <n v="28500"/>
    <n v="0"/>
  </r>
  <r>
    <n v="2020"/>
    <x v="5"/>
    <n v="4"/>
    <x v="4"/>
    <n v="0"/>
    <n v="28500"/>
    <n v="0"/>
  </r>
  <r>
    <n v="2020"/>
    <x v="5"/>
    <n v="4"/>
    <x v="5"/>
    <n v="453.5"/>
    <n v="28500"/>
    <n v="1.5912280701754385E-2"/>
  </r>
  <r>
    <n v="2020"/>
    <x v="5"/>
    <n v="4"/>
    <x v="6"/>
    <n v="2534"/>
    <n v="28500"/>
    <n v="8.8912280701754387E-2"/>
  </r>
  <r>
    <n v="2020"/>
    <x v="5"/>
    <n v="4"/>
    <x v="7"/>
    <n v="1964"/>
    <n v="28500"/>
    <n v="6.8912280701754383E-2"/>
  </r>
  <r>
    <n v="2020"/>
    <x v="5"/>
    <n v="4"/>
    <x v="8"/>
    <n v="3543.5"/>
    <n v="28500"/>
    <n v="0.12433333333333334"/>
  </r>
  <r>
    <n v="2020"/>
    <x v="5"/>
    <n v="4"/>
    <x v="9"/>
    <n v="9402"/>
    <n v="28500"/>
    <n v="0.32989473684210524"/>
  </r>
  <r>
    <n v="2020"/>
    <x v="5"/>
    <n v="4"/>
    <x v="10"/>
    <n v="9353.5"/>
    <n v="28500"/>
    <n v="0.32819298245614037"/>
  </r>
  <r>
    <n v="2020"/>
    <x v="5"/>
    <n v="4"/>
    <x v="11"/>
    <n v="15920"/>
    <n v="28500"/>
    <n v="0.5585964912280702"/>
  </r>
  <r>
    <n v="2020"/>
    <x v="5"/>
    <n v="4"/>
    <x v="12"/>
    <n v="35429.5"/>
    <n v="28500"/>
    <n v="1.243140350877193"/>
  </r>
  <r>
    <n v="2020"/>
    <x v="5"/>
    <n v="4"/>
    <x v="13"/>
    <n v="21481"/>
    <n v="28500"/>
    <n v="0.75371929824561401"/>
  </r>
  <r>
    <n v="2020"/>
    <x v="5"/>
    <n v="4"/>
    <x v="14"/>
    <n v="5033.5"/>
    <n v="28500"/>
    <n v="0.17661403508771931"/>
  </r>
  <r>
    <n v="2020"/>
    <x v="5"/>
    <n v="4"/>
    <x v="15"/>
    <n v="12516.5"/>
    <n v="28500"/>
    <n v="0.43917543859649122"/>
  </r>
  <r>
    <n v="2020"/>
    <x v="5"/>
    <n v="4"/>
    <x v="16"/>
    <n v="3863"/>
    <n v="28500"/>
    <n v="0.1355438596491228"/>
  </r>
  <r>
    <n v="2020"/>
    <x v="5"/>
    <n v="4"/>
    <x v="17"/>
    <n v="3806"/>
    <n v="28500"/>
    <n v="0.1335438596491228"/>
  </r>
  <r>
    <n v="2020"/>
    <x v="5"/>
    <n v="4"/>
    <x v="18"/>
    <n v="985.5"/>
    <n v="28500"/>
    <n v="3.4578947368421049E-2"/>
  </r>
  <r>
    <n v="2020"/>
    <x v="5"/>
    <n v="4"/>
    <x v="19"/>
    <n v="798.5"/>
    <n v="28500"/>
    <n v="2.8017543859649122E-2"/>
  </r>
  <r>
    <n v="2020"/>
    <x v="5"/>
    <n v="4"/>
    <x v="20"/>
    <n v="0"/>
    <n v="28500"/>
    <n v="0"/>
  </r>
  <r>
    <n v="2020"/>
    <x v="5"/>
    <n v="4"/>
    <x v="21"/>
    <n v="0"/>
    <n v="28500"/>
    <n v="0"/>
  </r>
  <r>
    <n v="2020"/>
    <x v="5"/>
    <n v="4"/>
    <x v="22"/>
    <n v="0"/>
    <n v="28500"/>
    <n v="0"/>
  </r>
  <r>
    <n v="2020"/>
    <x v="5"/>
    <n v="4"/>
    <x v="23"/>
    <n v="0"/>
    <n v="28500"/>
    <n v="0"/>
  </r>
  <r>
    <n v="2020"/>
    <x v="5"/>
    <n v="5"/>
    <x v="0"/>
    <n v="0"/>
    <n v="28500"/>
    <n v="0"/>
  </r>
  <r>
    <n v="2020"/>
    <x v="5"/>
    <n v="5"/>
    <x v="1"/>
    <n v="0"/>
    <n v="28500"/>
    <n v="0"/>
  </r>
  <r>
    <n v="2020"/>
    <x v="5"/>
    <n v="5"/>
    <x v="2"/>
    <n v="0"/>
    <n v="28500"/>
    <n v="0"/>
  </r>
  <r>
    <n v="2020"/>
    <x v="5"/>
    <n v="5"/>
    <x v="3"/>
    <n v="0"/>
    <n v="28500"/>
    <n v="0"/>
  </r>
  <r>
    <n v="2020"/>
    <x v="5"/>
    <n v="5"/>
    <x v="4"/>
    <n v="0"/>
    <n v="28500"/>
    <n v="0"/>
  </r>
  <r>
    <n v="2020"/>
    <x v="5"/>
    <n v="5"/>
    <x v="5"/>
    <n v="1757.5"/>
    <n v="28500"/>
    <n v="6.1666666666666668E-2"/>
  </r>
  <r>
    <n v="2020"/>
    <x v="5"/>
    <n v="5"/>
    <x v="6"/>
    <n v="5386"/>
    <n v="28500"/>
    <n v="0.18898245614035089"/>
  </r>
  <r>
    <n v="2020"/>
    <x v="5"/>
    <n v="5"/>
    <x v="7"/>
    <n v="10329.5"/>
    <n v="28500"/>
    <n v="0.36243859649122806"/>
  </r>
  <r>
    <n v="2020"/>
    <x v="5"/>
    <n v="5"/>
    <x v="8"/>
    <n v="6922"/>
    <n v="28500"/>
    <n v="0.24287719298245614"/>
  </r>
  <r>
    <n v="2020"/>
    <x v="5"/>
    <n v="5"/>
    <x v="9"/>
    <n v="3931.5"/>
    <n v="28500"/>
    <n v="0.13794736842105262"/>
  </r>
  <r>
    <n v="2020"/>
    <x v="5"/>
    <n v="5"/>
    <x v="10"/>
    <n v="7893.5"/>
    <n v="28500"/>
    <n v="0.27696491228070175"/>
  </r>
  <r>
    <n v="2020"/>
    <x v="5"/>
    <n v="5"/>
    <x v="11"/>
    <n v="32881"/>
    <n v="28500"/>
    <n v="1.1537192982456141"/>
  </r>
  <r>
    <n v="2020"/>
    <x v="5"/>
    <n v="5"/>
    <x v="12"/>
    <n v="6260"/>
    <n v="28500"/>
    <n v="0.21964912280701754"/>
  </r>
  <r>
    <n v="2020"/>
    <x v="5"/>
    <n v="5"/>
    <x v="13"/>
    <n v="19894.5"/>
    <n v="28500"/>
    <n v="0.69805263157894737"/>
  </r>
  <r>
    <n v="2020"/>
    <x v="5"/>
    <n v="5"/>
    <x v="14"/>
    <n v="33410.5"/>
    <n v="28500"/>
    <n v="1.1722982456140352"/>
  </r>
  <r>
    <n v="2020"/>
    <x v="5"/>
    <n v="5"/>
    <x v="15"/>
    <n v="27924"/>
    <n v="28500"/>
    <n v="0.97978947368421054"/>
  </r>
  <r>
    <n v="2020"/>
    <x v="5"/>
    <n v="5"/>
    <x v="16"/>
    <n v="5977"/>
    <n v="28500"/>
    <n v="0.20971929824561403"/>
  </r>
  <r>
    <n v="2020"/>
    <x v="5"/>
    <n v="5"/>
    <x v="17"/>
    <n v="4668"/>
    <n v="28500"/>
    <n v="0.16378947368421051"/>
  </r>
  <r>
    <n v="2020"/>
    <x v="5"/>
    <n v="5"/>
    <x v="18"/>
    <n v="3432"/>
    <n v="28500"/>
    <n v="0.12042105263157894"/>
  </r>
  <r>
    <n v="2020"/>
    <x v="5"/>
    <n v="5"/>
    <x v="19"/>
    <n v="735"/>
    <n v="28500"/>
    <n v="2.5789473684210525E-2"/>
  </r>
  <r>
    <n v="2020"/>
    <x v="5"/>
    <n v="5"/>
    <x v="20"/>
    <n v="0"/>
    <n v="28500"/>
    <n v="0"/>
  </r>
  <r>
    <n v="2020"/>
    <x v="5"/>
    <n v="5"/>
    <x v="21"/>
    <n v="0"/>
    <n v="28500"/>
    <n v="0"/>
  </r>
  <r>
    <n v="2020"/>
    <x v="5"/>
    <n v="5"/>
    <x v="22"/>
    <n v="0"/>
    <n v="28500"/>
    <n v="0"/>
  </r>
  <r>
    <n v="2020"/>
    <x v="5"/>
    <n v="5"/>
    <x v="23"/>
    <n v="0"/>
    <n v="28500"/>
    <n v="0"/>
  </r>
  <r>
    <n v="2020"/>
    <x v="5"/>
    <n v="6"/>
    <x v="0"/>
    <n v="0"/>
    <n v="28500"/>
    <n v="0"/>
  </r>
  <r>
    <n v="2020"/>
    <x v="5"/>
    <n v="6"/>
    <x v="1"/>
    <n v="0"/>
    <n v="28500"/>
    <n v="0"/>
  </r>
  <r>
    <n v="2020"/>
    <x v="5"/>
    <n v="6"/>
    <x v="2"/>
    <n v="0"/>
    <n v="28500"/>
    <n v="0"/>
  </r>
  <r>
    <n v="2020"/>
    <x v="5"/>
    <n v="6"/>
    <x v="3"/>
    <n v="0"/>
    <n v="28500"/>
    <n v="0"/>
  </r>
  <r>
    <n v="2020"/>
    <x v="5"/>
    <n v="6"/>
    <x v="4"/>
    <n v="0"/>
    <n v="28500"/>
    <n v="0"/>
  </r>
  <r>
    <n v="2020"/>
    <x v="5"/>
    <n v="6"/>
    <x v="5"/>
    <n v="1271.5"/>
    <n v="28500"/>
    <n v="4.46140350877193E-2"/>
  </r>
  <r>
    <n v="2020"/>
    <x v="5"/>
    <n v="6"/>
    <x v="6"/>
    <n v="4020.5"/>
    <n v="28500"/>
    <n v="0.14107017543859648"/>
  </r>
  <r>
    <n v="2020"/>
    <x v="5"/>
    <n v="6"/>
    <x v="7"/>
    <n v="14492.5"/>
    <n v="28500"/>
    <n v="0.50850877192982458"/>
  </r>
  <r>
    <n v="2020"/>
    <x v="5"/>
    <n v="6"/>
    <x v="8"/>
    <n v="22903.5"/>
    <n v="28500"/>
    <n v="0.80363157894736847"/>
  </r>
  <r>
    <n v="2020"/>
    <x v="5"/>
    <n v="6"/>
    <x v="9"/>
    <n v="19494"/>
    <n v="28500"/>
    <n v="0.68400000000000005"/>
  </r>
  <r>
    <n v="2020"/>
    <x v="5"/>
    <n v="6"/>
    <x v="10"/>
    <n v="16033"/>
    <n v="28500"/>
    <n v="0.56256140350877193"/>
  </r>
  <r>
    <n v="2020"/>
    <x v="5"/>
    <n v="6"/>
    <x v="11"/>
    <n v="8287.5"/>
    <n v="28500"/>
    <n v="0.29078947368421054"/>
  </r>
  <r>
    <n v="2020"/>
    <x v="5"/>
    <n v="6"/>
    <x v="12"/>
    <n v="8411"/>
    <n v="28500"/>
    <n v="0.29512280701754384"/>
  </r>
  <r>
    <n v="2020"/>
    <x v="5"/>
    <n v="6"/>
    <x v="13"/>
    <n v="9219"/>
    <n v="28500"/>
    <n v="0.3234736842105263"/>
  </r>
  <r>
    <n v="2020"/>
    <x v="5"/>
    <n v="6"/>
    <x v="14"/>
    <n v="13014.5"/>
    <n v="28500"/>
    <n v="0.45664912280701753"/>
  </r>
  <r>
    <n v="2020"/>
    <x v="5"/>
    <n v="6"/>
    <x v="15"/>
    <n v="6655.5"/>
    <n v="28500"/>
    <n v="0.23352631578947369"/>
  </r>
  <r>
    <n v="2020"/>
    <x v="5"/>
    <n v="6"/>
    <x v="16"/>
    <n v="2947.5"/>
    <n v="28500"/>
    <n v="0.10342105263157894"/>
  </r>
  <r>
    <n v="2020"/>
    <x v="5"/>
    <n v="6"/>
    <x v="17"/>
    <n v="2715"/>
    <n v="28500"/>
    <n v="9.5263157894736841E-2"/>
  </r>
  <r>
    <n v="2020"/>
    <x v="5"/>
    <n v="6"/>
    <x v="18"/>
    <n v="591.5"/>
    <n v="28500"/>
    <n v="2.0754385964912282E-2"/>
  </r>
  <r>
    <n v="2020"/>
    <x v="5"/>
    <n v="6"/>
    <x v="19"/>
    <n v="4"/>
    <n v="28500"/>
    <n v="1.4035087719298245E-4"/>
  </r>
  <r>
    <n v="2020"/>
    <x v="5"/>
    <n v="6"/>
    <x v="20"/>
    <n v="0"/>
    <n v="28500"/>
    <n v="0"/>
  </r>
  <r>
    <n v="2020"/>
    <x v="5"/>
    <n v="6"/>
    <x v="21"/>
    <n v="0"/>
    <n v="28500"/>
    <n v="0"/>
  </r>
  <r>
    <n v="2020"/>
    <x v="5"/>
    <n v="6"/>
    <x v="22"/>
    <n v="0"/>
    <n v="28500"/>
    <n v="0"/>
  </r>
  <r>
    <n v="2020"/>
    <x v="5"/>
    <n v="6"/>
    <x v="23"/>
    <n v="0"/>
    <n v="28500"/>
    <n v="0"/>
  </r>
  <r>
    <n v="2020"/>
    <x v="5"/>
    <n v="7"/>
    <x v="0"/>
    <n v="0"/>
    <n v="28500"/>
    <n v="0"/>
  </r>
  <r>
    <n v="2020"/>
    <x v="5"/>
    <n v="7"/>
    <x v="1"/>
    <n v="0"/>
    <n v="28500"/>
    <n v="0"/>
  </r>
  <r>
    <n v="2020"/>
    <x v="5"/>
    <n v="7"/>
    <x v="2"/>
    <n v="0"/>
    <n v="28500"/>
    <n v="0"/>
  </r>
  <r>
    <n v="2020"/>
    <x v="5"/>
    <n v="7"/>
    <x v="3"/>
    <n v="0"/>
    <n v="28500"/>
    <n v="0"/>
  </r>
  <r>
    <n v="2020"/>
    <x v="5"/>
    <n v="7"/>
    <x v="4"/>
    <n v="0"/>
    <n v="28500"/>
    <n v="0"/>
  </r>
  <r>
    <n v="2020"/>
    <x v="5"/>
    <n v="7"/>
    <x v="5"/>
    <n v="2016"/>
    <n v="28500"/>
    <n v="7.0736842105263154E-2"/>
  </r>
  <r>
    <n v="2020"/>
    <x v="5"/>
    <n v="7"/>
    <x v="6"/>
    <n v="5347.5"/>
    <n v="28500"/>
    <n v="0.18763157894736843"/>
  </r>
  <r>
    <n v="2020"/>
    <x v="5"/>
    <n v="7"/>
    <x v="7"/>
    <n v="13219.5"/>
    <n v="28500"/>
    <n v="0.46384210526315789"/>
  </r>
  <r>
    <n v="2020"/>
    <x v="5"/>
    <n v="7"/>
    <x v="8"/>
    <n v="23370.5"/>
    <n v="28500"/>
    <n v="0.82001754385964909"/>
  </r>
  <r>
    <n v="2020"/>
    <x v="5"/>
    <n v="7"/>
    <x v="9"/>
    <n v="28351.5"/>
    <n v="28500"/>
    <n v="0.99478947368421056"/>
  </r>
  <r>
    <n v="2020"/>
    <x v="5"/>
    <n v="7"/>
    <x v="10"/>
    <n v="23035.5"/>
    <n v="28500"/>
    <n v="0.80826315789473679"/>
  </r>
  <r>
    <n v="2020"/>
    <x v="5"/>
    <n v="7"/>
    <x v="11"/>
    <n v="35099.5"/>
    <n v="28500"/>
    <n v="1.2315614035087719"/>
  </r>
  <r>
    <n v="2020"/>
    <x v="5"/>
    <n v="7"/>
    <x v="12"/>
    <n v="26570.5"/>
    <n v="28500"/>
    <n v="0.93229824561403507"/>
  </r>
  <r>
    <n v="2020"/>
    <x v="5"/>
    <n v="7"/>
    <x v="13"/>
    <n v="14932.5"/>
    <n v="28500"/>
    <n v="0.52394736842105261"/>
  </r>
  <r>
    <n v="2020"/>
    <x v="5"/>
    <n v="7"/>
    <x v="14"/>
    <n v="6920.5"/>
    <n v="28500"/>
    <n v="0.24282456140350878"/>
  </r>
  <r>
    <n v="2020"/>
    <x v="5"/>
    <n v="7"/>
    <x v="15"/>
    <n v="4704.5"/>
    <n v="28500"/>
    <n v="0.16507017543859648"/>
  </r>
  <r>
    <n v="2020"/>
    <x v="5"/>
    <n v="7"/>
    <x v="16"/>
    <n v="4915.5"/>
    <n v="28500"/>
    <n v="0.17247368421052631"/>
  </r>
  <r>
    <n v="2020"/>
    <x v="5"/>
    <n v="7"/>
    <x v="17"/>
    <n v="2781.5"/>
    <n v="28500"/>
    <n v="9.7596491228070181E-2"/>
  </r>
  <r>
    <n v="2020"/>
    <x v="5"/>
    <n v="7"/>
    <x v="18"/>
    <n v="351"/>
    <n v="28500"/>
    <n v="1.2315789473684211E-2"/>
  </r>
  <r>
    <n v="2020"/>
    <x v="5"/>
    <n v="7"/>
    <x v="19"/>
    <n v="921"/>
    <n v="28500"/>
    <n v="3.2315789473684207E-2"/>
  </r>
  <r>
    <n v="2020"/>
    <x v="5"/>
    <n v="7"/>
    <x v="20"/>
    <n v="0"/>
    <n v="28500"/>
    <n v="0"/>
  </r>
  <r>
    <n v="2020"/>
    <x v="5"/>
    <n v="7"/>
    <x v="21"/>
    <n v="0"/>
    <n v="28500"/>
    <n v="0"/>
  </r>
  <r>
    <n v="2020"/>
    <x v="5"/>
    <n v="7"/>
    <x v="22"/>
    <n v="0"/>
    <n v="28500"/>
    <n v="0"/>
  </r>
  <r>
    <n v="2020"/>
    <x v="5"/>
    <n v="7"/>
    <x v="23"/>
    <n v="0"/>
    <n v="28500"/>
    <n v="0"/>
  </r>
  <r>
    <n v="2020"/>
    <x v="5"/>
    <n v="8"/>
    <x v="0"/>
    <n v="0"/>
    <n v="28500"/>
    <n v="0"/>
  </r>
  <r>
    <n v="2020"/>
    <x v="5"/>
    <n v="8"/>
    <x v="1"/>
    <n v="0"/>
    <n v="28500"/>
    <n v="0"/>
  </r>
  <r>
    <n v="2020"/>
    <x v="5"/>
    <n v="8"/>
    <x v="2"/>
    <n v="0"/>
    <n v="28500"/>
    <n v="0"/>
  </r>
  <r>
    <n v="2020"/>
    <x v="5"/>
    <n v="8"/>
    <x v="3"/>
    <n v="0"/>
    <n v="28500"/>
    <n v="0"/>
  </r>
  <r>
    <n v="2020"/>
    <x v="5"/>
    <n v="8"/>
    <x v="4"/>
    <n v="0"/>
    <n v="28500"/>
    <n v="0"/>
  </r>
  <r>
    <n v="2020"/>
    <x v="5"/>
    <n v="8"/>
    <x v="5"/>
    <n v="1597"/>
    <n v="28500"/>
    <n v="5.6035087719298243E-2"/>
  </r>
  <r>
    <n v="2020"/>
    <x v="5"/>
    <n v="8"/>
    <x v="6"/>
    <n v="5388.5"/>
    <n v="28500"/>
    <n v="0.1890701754385965"/>
  </r>
  <r>
    <n v="2020"/>
    <x v="5"/>
    <n v="8"/>
    <x v="7"/>
    <n v="8403.5"/>
    <n v="28500"/>
    <n v="0.29485964912280704"/>
  </r>
  <r>
    <n v="2020"/>
    <x v="5"/>
    <n v="8"/>
    <x v="8"/>
    <n v="11997.5"/>
    <n v="28500"/>
    <n v="0.42096491228070176"/>
  </r>
  <r>
    <n v="2020"/>
    <x v="5"/>
    <n v="8"/>
    <x v="9"/>
    <n v="17035.5"/>
    <n v="28500"/>
    <n v="0.59773684210526312"/>
  </r>
  <r>
    <n v="2020"/>
    <x v="5"/>
    <n v="8"/>
    <x v="10"/>
    <n v="17698.5"/>
    <n v="28500"/>
    <n v="0.621"/>
  </r>
  <r>
    <n v="2020"/>
    <x v="5"/>
    <n v="8"/>
    <x v="11"/>
    <n v="10884.5"/>
    <n v="28500"/>
    <n v="0.38191228070175437"/>
  </r>
  <r>
    <n v="2020"/>
    <x v="5"/>
    <n v="8"/>
    <x v="12"/>
    <n v="12224"/>
    <n v="28500"/>
    <n v="0.42891228070175441"/>
  </r>
  <r>
    <n v="2020"/>
    <x v="5"/>
    <n v="8"/>
    <x v="13"/>
    <n v="14188.5"/>
    <n v="28500"/>
    <n v="0.49784210526315792"/>
  </r>
  <r>
    <n v="2020"/>
    <x v="5"/>
    <n v="8"/>
    <x v="14"/>
    <n v="9062.5"/>
    <n v="28500"/>
    <n v="0.31798245614035087"/>
  </r>
  <r>
    <n v="2020"/>
    <x v="5"/>
    <n v="8"/>
    <x v="15"/>
    <n v="11854.5"/>
    <n v="28500"/>
    <n v="0.41594736842105262"/>
  </r>
  <r>
    <n v="2020"/>
    <x v="5"/>
    <n v="8"/>
    <x v="16"/>
    <n v="9067"/>
    <n v="28500"/>
    <n v="0.318140350877193"/>
  </r>
  <r>
    <n v="2020"/>
    <x v="5"/>
    <n v="8"/>
    <x v="17"/>
    <n v="7738.5"/>
    <n v="28500"/>
    <n v="0.27152631578947367"/>
  </r>
  <r>
    <n v="2020"/>
    <x v="5"/>
    <n v="8"/>
    <x v="18"/>
    <n v="3159.5"/>
    <n v="28500"/>
    <n v="0.11085964912280702"/>
  </r>
  <r>
    <n v="2020"/>
    <x v="5"/>
    <n v="8"/>
    <x v="19"/>
    <n v="1010"/>
    <n v="28500"/>
    <n v="3.5438596491228068E-2"/>
  </r>
  <r>
    <n v="2020"/>
    <x v="5"/>
    <n v="8"/>
    <x v="20"/>
    <n v="0"/>
    <n v="28500"/>
    <n v="0"/>
  </r>
  <r>
    <n v="2020"/>
    <x v="5"/>
    <n v="8"/>
    <x v="21"/>
    <n v="0"/>
    <n v="28500"/>
    <n v="0"/>
  </r>
  <r>
    <n v="2020"/>
    <x v="5"/>
    <n v="8"/>
    <x v="22"/>
    <n v="0"/>
    <n v="28500"/>
    <n v="0"/>
  </r>
  <r>
    <n v="2020"/>
    <x v="5"/>
    <n v="8"/>
    <x v="23"/>
    <n v="0"/>
    <n v="28500"/>
    <n v="0"/>
  </r>
  <r>
    <n v="2020"/>
    <x v="5"/>
    <n v="9"/>
    <x v="0"/>
    <n v="0"/>
    <n v="28500"/>
    <n v="0"/>
  </r>
  <r>
    <n v="2020"/>
    <x v="5"/>
    <n v="9"/>
    <x v="1"/>
    <n v="0"/>
    <n v="28500"/>
    <n v="0"/>
  </r>
  <r>
    <n v="2020"/>
    <x v="5"/>
    <n v="9"/>
    <x v="2"/>
    <n v="0"/>
    <n v="28500"/>
    <n v="0"/>
  </r>
  <r>
    <n v="2020"/>
    <x v="5"/>
    <n v="9"/>
    <x v="3"/>
    <n v="0"/>
    <n v="28500"/>
    <n v="0"/>
  </r>
  <r>
    <n v="2020"/>
    <x v="5"/>
    <n v="9"/>
    <x v="4"/>
    <n v="0"/>
    <n v="28500"/>
    <n v="0"/>
  </r>
  <r>
    <n v="2020"/>
    <x v="5"/>
    <n v="9"/>
    <x v="5"/>
    <n v="1521"/>
    <n v="28500"/>
    <n v="5.3368421052631579E-2"/>
  </r>
  <r>
    <n v="2020"/>
    <x v="5"/>
    <n v="9"/>
    <x v="6"/>
    <n v="5323"/>
    <n v="28500"/>
    <n v="0.18677192982456139"/>
  </r>
  <r>
    <n v="2020"/>
    <x v="5"/>
    <n v="9"/>
    <x v="7"/>
    <n v="10161"/>
    <n v="28500"/>
    <n v="0.35652631578947369"/>
  </r>
  <r>
    <n v="2020"/>
    <x v="5"/>
    <n v="9"/>
    <x v="8"/>
    <n v="21047"/>
    <n v="28500"/>
    <n v="0.73849122807017542"/>
  </r>
  <r>
    <n v="2020"/>
    <x v="5"/>
    <n v="9"/>
    <x v="9"/>
    <n v="29361.5"/>
    <n v="28500"/>
    <n v="1.0302280701754385"/>
  </r>
  <r>
    <n v="2020"/>
    <x v="5"/>
    <n v="9"/>
    <x v="10"/>
    <n v="36477"/>
    <n v="28500"/>
    <n v="1.2798947368421052"/>
  </r>
  <r>
    <n v="2020"/>
    <x v="5"/>
    <n v="9"/>
    <x v="11"/>
    <n v="33853.5"/>
    <n v="28500"/>
    <n v="1.1878421052631578"/>
  </r>
  <r>
    <n v="2020"/>
    <x v="5"/>
    <n v="9"/>
    <x v="12"/>
    <n v="11850.5"/>
    <n v="28500"/>
    <n v="0.41580701754385962"/>
  </r>
  <r>
    <n v="2020"/>
    <x v="5"/>
    <n v="9"/>
    <x v="13"/>
    <n v="24444"/>
    <n v="28500"/>
    <n v="0.85768421052631583"/>
  </r>
  <r>
    <n v="2020"/>
    <x v="5"/>
    <n v="9"/>
    <x v="14"/>
    <n v="23359"/>
    <n v="28500"/>
    <n v="0.81961403508771935"/>
  </r>
  <r>
    <n v="2020"/>
    <x v="5"/>
    <n v="9"/>
    <x v="15"/>
    <n v="18332"/>
    <n v="28500"/>
    <n v="0.64322807017543859"/>
  </r>
  <r>
    <n v="2020"/>
    <x v="5"/>
    <n v="9"/>
    <x v="16"/>
    <n v="12584"/>
    <n v="28500"/>
    <n v="0.44154385964912279"/>
  </r>
  <r>
    <n v="2020"/>
    <x v="5"/>
    <n v="9"/>
    <x v="17"/>
    <n v="7466.5"/>
    <n v="28500"/>
    <n v="0.26198245614035087"/>
  </r>
  <r>
    <n v="2020"/>
    <x v="5"/>
    <n v="9"/>
    <x v="18"/>
    <n v="1207.5"/>
    <n v="28500"/>
    <n v="4.2368421052631576E-2"/>
  </r>
  <r>
    <n v="2020"/>
    <x v="5"/>
    <n v="9"/>
    <x v="19"/>
    <n v="998.5"/>
    <n v="28500"/>
    <n v="3.5035087719298245E-2"/>
  </r>
  <r>
    <n v="2020"/>
    <x v="5"/>
    <n v="9"/>
    <x v="20"/>
    <n v="0"/>
    <n v="28500"/>
    <n v="0"/>
  </r>
  <r>
    <n v="2020"/>
    <x v="5"/>
    <n v="9"/>
    <x v="21"/>
    <n v="0"/>
    <n v="28500"/>
    <n v="0"/>
  </r>
  <r>
    <n v="2020"/>
    <x v="5"/>
    <n v="9"/>
    <x v="22"/>
    <n v="0"/>
    <n v="28500"/>
    <n v="0"/>
  </r>
  <r>
    <n v="2020"/>
    <x v="5"/>
    <n v="9"/>
    <x v="23"/>
    <n v="0"/>
    <n v="28500"/>
    <n v="0"/>
  </r>
  <r>
    <n v="2020"/>
    <x v="5"/>
    <n v="10"/>
    <x v="0"/>
    <n v="0"/>
    <n v="28500"/>
    <n v="0"/>
  </r>
  <r>
    <n v="2020"/>
    <x v="5"/>
    <n v="10"/>
    <x v="1"/>
    <n v="0"/>
    <n v="28500"/>
    <n v="0"/>
  </r>
  <r>
    <n v="2020"/>
    <x v="5"/>
    <n v="10"/>
    <x v="2"/>
    <n v="0"/>
    <n v="28500"/>
    <n v="0"/>
  </r>
  <r>
    <n v="2020"/>
    <x v="5"/>
    <n v="10"/>
    <x v="3"/>
    <n v="0"/>
    <n v="28500"/>
    <n v="0"/>
  </r>
  <r>
    <n v="2020"/>
    <x v="5"/>
    <n v="10"/>
    <x v="4"/>
    <n v="0"/>
    <n v="28500"/>
    <n v="0"/>
  </r>
  <r>
    <n v="2020"/>
    <x v="5"/>
    <n v="10"/>
    <x v="5"/>
    <n v="140.5"/>
    <n v="28500"/>
    <n v="4.9298245614035089E-3"/>
  </r>
  <r>
    <n v="2020"/>
    <x v="5"/>
    <n v="10"/>
    <x v="6"/>
    <n v="922.5"/>
    <n v="28500"/>
    <n v="3.2368421052631581E-2"/>
  </r>
  <r>
    <n v="2020"/>
    <x v="5"/>
    <n v="10"/>
    <x v="7"/>
    <n v="2950.5"/>
    <n v="28500"/>
    <n v="0.10352631578947369"/>
  </r>
  <r>
    <n v="2020"/>
    <x v="5"/>
    <n v="10"/>
    <x v="8"/>
    <n v="5678.5"/>
    <n v="28500"/>
    <n v="0.19924561403508773"/>
  </r>
  <r>
    <n v="2020"/>
    <x v="5"/>
    <n v="10"/>
    <x v="9"/>
    <n v="4277.5"/>
    <n v="28500"/>
    <n v="0.1500877192982456"/>
  </r>
  <r>
    <n v="2020"/>
    <x v="5"/>
    <n v="10"/>
    <x v="10"/>
    <n v="5613.5"/>
    <n v="28500"/>
    <n v="0.19696491228070176"/>
  </r>
  <r>
    <n v="2020"/>
    <x v="5"/>
    <n v="10"/>
    <x v="11"/>
    <n v="6955.5"/>
    <n v="28500"/>
    <n v="0.24405263157894738"/>
  </r>
  <r>
    <n v="2020"/>
    <x v="5"/>
    <n v="10"/>
    <x v="12"/>
    <n v="4014"/>
    <n v="28500"/>
    <n v="0.14084210526315791"/>
  </r>
  <r>
    <n v="2020"/>
    <x v="5"/>
    <n v="10"/>
    <x v="13"/>
    <n v="5401.5"/>
    <n v="28500"/>
    <n v="0.18952631578947368"/>
  </r>
  <r>
    <n v="2020"/>
    <x v="5"/>
    <n v="10"/>
    <x v="14"/>
    <n v="9288"/>
    <n v="28500"/>
    <n v="0.32589473684210524"/>
  </r>
  <r>
    <n v="2020"/>
    <x v="5"/>
    <n v="10"/>
    <x v="15"/>
    <n v="5407.5"/>
    <n v="28500"/>
    <n v="0.18973684210526315"/>
  </r>
  <r>
    <n v="2020"/>
    <x v="5"/>
    <n v="10"/>
    <x v="16"/>
    <n v="3570.5"/>
    <n v="28500"/>
    <n v="0.12528070175438596"/>
  </r>
  <r>
    <n v="2020"/>
    <x v="5"/>
    <n v="10"/>
    <x v="17"/>
    <n v="4178"/>
    <n v="28500"/>
    <n v="0.14659649122807017"/>
  </r>
  <r>
    <n v="2020"/>
    <x v="5"/>
    <n v="10"/>
    <x v="18"/>
    <n v="2449"/>
    <n v="28500"/>
    <n v="8.5929824561403509E-2"/>
  </r>
  <r>
    <n v="2020"/>
    <x v="5"/>
    <n v="10"/>
    <x v="19"/>
    <n v="707"/>
    <n v="28500"/>
    <n v="2.4807017543859649E-2"/>
  </r>
  <r>
    <n v="2020"/>
    <x v="5"/>
    <n v="10"/>
    <x v="20"/>
    <n v="0"/>
    <n v="28500"/>
    <n v="0"/>
  </r>
  <r>
    <n v="2020"/>
    <x v="5"/>
    <n v="10"/>
    <x v="21"/>
    <n v="0"/>
    <n v="28500"/>
    <n v="0"/>
  </r>
  <r>
    <n v="2020"/>
    <x v="5"/>
    <n v="10"/>
    <x v="22"/>
    <n v="0"/>
    <n v="28500"/>
    <n v="0"/>
  </r>
  <r>
    <n v="2020"/>
    <x v="5"/>
    <n v="10"/>
    <x v="23"/>
    <n v="0"/>
    <n v="28500"/>
    <n v="0"/>
  </r>
  <r>
    <n v="2020"/>
    <x v="5"/>
    <n v="11"/>
    <x v="0"/>
    <n v="0"/>
    <n v="28500"/>
    <n v="0"/>
  </r>
  <r>
    <n v="2020"/>
    <x v="5"/>
    <n v="11"/>
    <x v="1"/>
    <n v="0"/>
    <n v="28500"/>
    <n v="0"/>
  </r>
  <r>
    <n v="2020"/>
    <x v="5"/>
    <n v="11"/>
    <x v="2"/>
    <n v="0"/>
    <n v="28500"/>
    <n v="0"/>
  </r>
  <r>
    <n v="2020"/>
    <x v="5"/>
    <n v="11"/>
    <x v="3"/>
    <n v="0"/>
    <n v="28500"/>
    <n v="0"/>
  </r>
  <r>
    <n v="2020"/>
    <x v="5"/>
    <n v="11"/>
    <x v="4"/>
    <n v="0"/>
    <n v="28500"/>
    <n v="0"/>
  </r>
  <r>
    <n v="2020"/>
    <x v="5"/>
    <n v="11"/>
    <x v="5"/>
    <n v="1987"/>
    <n v="28500"/>
    <n v="6.9719298245614042E-2"/>
  </r>
  <r>
    <n v="2020"/>
    <x v="5"/>
    <n v="11"/>
    <x v="6"/>
    <n v="4972.5"/>
    <n v="28500"/>
    <n v="0.17447368421052631"/>
  </r>
  <r>
    <n v="2020"/>
    <x v="5"/>
    <n v="11"/>
    <x v="7"/>
    <n v="2381"/>
    <n v="28500"/>
    <n v="8.3543859649122809E-2"/>
  </r>
  <r>
    <n v="2020"/>
    <x v="5"/>
    <n v="11"/>
    <x v="8"/>
    <n v="9851"/>
    <n v="28500"/>
    <n v="0.34564912280701754"/>
  </r>
  <r>
    <n v="2020"/>
    <x v="5"/>
    <n v="11"/>
    <x v="9"/>
    <n v="4197.5"/>
    <n v="28500"/>
    <n v="0.14728070175438596"/>
  </r>
  <r>
    <n v="2020"/>
    <x v="5"/>
    <n v="11"/>
    <x v="10"/>
    <n v="2307.5"/>
    <n v="28500"/>
    <n v="8.0964912280701753E-2"/>
  </r>
  <r>
    <n v="2020"/>
    <x v="5"/>
    <n v="11"/>
    <x v="11"/>
    <n v="3668.5"/>
    <n v="28500"/>
    <n v="0.12871929824561404"/>
  </r>
  <r>
    <n v="2020"/>
    <x v="5"/>
    <n v="11"/>
    <x v="12"/>
    <n v="4779"/>
    <n v="28500"/>
    <n v="0.1676842105263158"/>
  </r>
  <r>
    <n v="2020"/>
    <x v="5"/>
    <n v="11"/>
    <x v="13"/>
    <n v="26618"/>
    <n v="28500"/>
    <n v="0.93396491228070178"/>
  </r>
  <r>
    <n v="2020"/>
    <x v="5"/>
    <n v="11"/>
    <x v="14"/>
    <n v="30536.5"/>
    <n v="28500"/>
    <n v="1.0714561403508771"/>
  </r>
  <r>
    <n v="2020"/>
    <x v="5"/>
    <n v="11"/>
    <x v="15"/>
    <n v="16146"/>
    <n v="28500"/>
    <n v="0.56652631578947366"/>
  </r>
  <r>
    <n v="2020"/>
    <x v="5"/>
    <n v="11"/>
    <x v="16"/>
    <n v="5984.5"/>
    <n v="28500"/>
    <n v="0.20998245614035088"/>
  </r>
  <r>
    <n v="2020"/>
    <x v="5"/>
    <n v="11"/>
    <x v="17"/>
    <n v="6266"/>
    <n v="28500"/>
    <n v="0.219859649122807"/>
  </r>
  <r>
    <n v="2020"/>
    <x v="5"/>
    <n v="11"/>
    <x v="18"/>
    <n v="1174.5"/>
    <n v="28500"/>
    <n v="4.1210526315789475E-2"/>
  </r>
  <r>
    <n v="2020"/>
    <x v="5"/>
    <n v="11"/>
    <x v="19"/>
    <n v="116"/>
    <n v="28500"/>
    <n v="4.0701754385964913E-3"/>
  </r>
  <r>
    <n v="2020"/>
    <x v="5"/>
    <n v="11"/>
    <x v="20"/>
    <n v="0"/>
    <n v="28500"/>
    <n v="0"/>
  </r>
  <r>
    <n v="2020"/>
    <x v="5"/>
    <n v="11"/>
    <x v="21"/>
    <n v="0"/>
    <n v="28500"/>
    <n v="0"/>
  </r>
  <r>
    <n v="2020"/>
    <x v="5"/>
    <n v="11"/>
    <x v="22"/>
    <n v="0"/>
    <n v="28500"/>
    <n v="0"/>
  </r>
  <r>
    <n v="2020"/>
    <x v="5"/>
    <n v="11"/>
    <x v="23"/>
    <n v="0"/>
    <n v="28500"/>
    <n v="0"/>
  </r>
  <r>
    <n v="2020"/>
    <x v="5"/>
    <n v="12"/>
    <x v="0"/>
    <n v="0"/>
    <n v="28500"/>
    <n v="0"/>
  </r>
  <r>
    <n v="2020"/>
    <x v="5"/>
    <n v="12"/>
    <x v="1"/>
    <n v="0"/>
    <n v="28500"/>
    <n v="0"/>
  </r>
  <r>
    <n v="2020"/>
    <x v="5"/>
    <n v="12"/>
    <x v="2"/>
    <n v="0"/>
    <n v="28500"/>
    <n v="0"/>
  </r>
  <r>
    <n v="2020"/>
    <x v="5"/>
    <n v="12"/>
    <x v="3"/>
    <n v="0"/>
    <n v="28500"/>
    <n v="0"/>
  </r>
  <r>
    <n v="2020"/>
    <x v="5"/>
    <n v="12"/>
    <x v="4"/>
    <n v="0"/>
    <n v="28500"/>
    <n v="0"/>
  </r>
  <r>
    <n v="2020"/>
    <x v="5"/>
    <n v="12"/>
    <x v="5"/>
    <n v="1902"/>
    <n v="28500"/>
    <n v="6.6736842105263164E-2"/>
  </r>
  <r>
    <n v="2020"/>
    <x v="5"/>
    <n v="12"/>
    <x v="6"/>
    <n v="4296"/>
    <n v="28500"/>
    <n v="0.15073684210526317"/>
  </r>
  <r>
    <n v="2020"/>
    <x v="5"/>
    <n v="12"/>
    <x v="7"/>
    <n v="6615.5"/>
    <n v="28500"/>
    <n v="0.23212280701754387"/>
  </r>
  <r>
    <n v="2020"/>
    <x v="5"/>
    <n v="12"/>
    <x v="8"/>
    <n v="15172.5"/>
    <n v="28500"/>
    <n v="0.5323684210526316"/>
  </r>
  <r>
    <n v="2020"/>
    <x v="5"/>
    <n v="12"/>
    <x v="9"/>
    <n v="19143"/>
    <n v="28500"/>
    <n v="0.67168421052631577"/>
  </r>
  <r>
    <n v="2020"/>
    <x v="5"/>
    <n v="12"/>
    <x v="10"/>
    <n v="15421.5"/>
    <n v="28500"/>
    <n v="0.54110526315789476"/>
  </r>
  <r>
    <n v="2020"/>
    <x v="5"/>
    <n v="12"/>
    <x v="11"/>
    <n v="5394"/>
    <n v="28500"/>
    <n v="0.18926315789473686"/>
  </r>
  <r>
    <n v="2020"/>
    <x v="5"/>
    <n v="12"/>
    <x v="12"/>
    <n v="5597"/>
    <n v="28500"/>
    <n v="0.19638596491228069"/>
  </r>
  <r>
    <n v="2020"/>
    <x v="5"/>
    <n v="12"/>
    <x v="13"/>
    <n v="7678.5"/>
    <n v="28500"/>
    <n v="0.26942105263157895"/>
  </r>
  <r>
    <n v="2020"/>
    <x v="5"/>
    <n v="12"/>
    <x v="14"/>
    <n v="3603"/>
    <n v="28500"/>
    <n v="0.12642105263157893"/>
  </r>
  <r>
    <n v="2020"/>
    <x v="5"/>
    <n v="12"/>
    <x v="15"/>
    <n v="3159"/>
    <n v="28500"/>
    <n v="0.11084210526315789"/>
  </r>
  <r>
    <n v="2020"/>
    <x v="5"/>
    <n v="12"/>
    <x v="16"/>
    <n v="3720"/>
    <n v="28500"/>
    <n v="0.13052631578947368"/>
  </r>
  <r>
    <n v="2020"/>
    <x v="5"/>
    <n v="12"/>
    <x v="17"/>
    <n v="2748.5"/>
    <n v="28500"/>
    <n v="9.6438596491228074E-2"/>
  </r>
  <r>
    <n v="2020"/>
    <x v="5"/>
    <n v="12"/>
    <x v="18"/>
    <n v="3119"/>
    <n v="28500"/>
    <n v="0.10943859649122807"/>
  </r>
  <r>
    <n v="2020"/>
    <x v="5"/>
    <n v="12"/>
    <x v="19"/>
    <n v="93.5"/>
    <n v="28500"/>
    <n v="3.2807017543859647E-3"/>
  </r>
  <r>
    <n v="2020"/>
    <x v="5"/>
    <n v="12"/>
    <x v="20"/>
    <n v="0"/>
    <n v="28500"/>
    <n v="0"/>
  </r>
  <r>
    <n v="2020"/>
    <x v="5"/>
    <n v="12"/>
    <x v="21"/>
    <n v="0"/>
    <n v="28500"/>
    <n v="0"/>
  </r>
  <r>
    <n v="2020"/>
    <x v="5"/>
    <n v="12"/>
    <x v="22"/>
    <n v="0"/>
    <n v="28500"/>
    <n v="0"/>
  </r>
  <r>
    <n v="2020"/>
    <x v="5"/>
    <n v="12"/>
    <x v="23"/>
    <n v="0"/>
    <n v="28500"/>
    <n v="0"/>
  </r>
  <r>
    <n v="2020"/>
    <x v="5"/>
    <n v="13"/>
    <x v="0"/>
    <n v="0"/>
    <n v="28500"/>
    <n v="0"/>
  </r>
  <r>
    <n v="2020"/>
    <x v="5"/>
    <n v="13"/>
    <x v="1"/>
    <n v="0"/>
    <n v="28500"/>
    <n v="0"/>
  </r>
  <r>
    <n v="2020"/>
    <x v="5"/>
    <n v="13"/>
    <x v="2"/>
    <n v="0"/>
    <n v="28500"/>
    <n v="0"/>
  </r>
  <r>
    <n v="2020"/>
    <x v="5"/>
    <n v="13"/>
    <x v="3"/>
    <n v="0"/>
    <n v="28500"/>
    <n v="0"/>
  </r>
  <r>
    <n v="2020"/>
    <x v="5"/>
    <n v="13"/>
    <x v="4"/>
    <n v="117.5"/>
    <n v="28500"/>
    <n v="4.1228070175438596E-3"/>
  </r>
  <r>
    <n v="2020"/>
    <x v="5"/>
    <n v="13"/>
    <x v="5"/>
    <n v="1862.5"/>
    <n v="28500"/>
    <n v="6.5350877192982451E-2"/>
  </r>
  <r>
    <n v="2020"/>
    <x v="5"/>
    <n v="13"/>
    <x v="6"/>
    <n v="1531.5"/>
    <n v="28500"/>
    <n v="5.3736842105263159E-2"/>
  </r>
  <r>
    <n v="2020"/>
    <x v="5"/>
    <n v="13"/>
    <x v="7"/>
    <n v="13155"/>
    <n v="28500"/>
    <n v="0.46157894736842103"/>
  </r>
  <r>
    <n v="2020"/>
    <x v="5"/>
    <n v="13"/>
    <x v="8"/>
    <n v="17915"/>
    <n v="28500"/>
    <n v="0.62859649122807015"/>
  </r>
  <r>
    <n v="2020"/>
    <x v="5"/>
    <n v="13"/>
    <x v="9"/>
    <n v="29880"/>
    <n v="28500"/>
    <n v="1.0484210526315789"/>
  </r>
  <r>
    <n v="2020"/>
    <x v="5"/>
    <n v="13"/>
    <x v="10"/>
    <n v="36393.5"/>
    <n v="28500"/>
    <n v="1.2769649122807019"/>
  </r>
  <r>
    <n v="2020"/>
    <x v="5"/>
    <n v="13"/>
    <x v="11"/>
    <n v="39548.5"/>
    <n v="28500"/>
    <n v="1.3876666666666666"/>
  </r>
  <r>
    <n v="2020"/>
    <x v="5"/>
    <n v="13"/>
    <x v="12"/>
    <n v="30489"/>
    <n v="28500"/>
    <n v="1.0697894736842106"/>
  </r>
  <r>
    <n v="2020"/>
    <x v="5"/>
    <n v="13"/>
    <x v="13"/>
    <n v="32220"/>
    <n v="28500"/>
    <n v="1.1305263157894736"/>
  </r>
  <r>
    <n v="2020"/>
    <x v="5"/>
    <n v="13"/>
    <x v="14"/>
    <n v="10131.5"/>
    <n v="28500"/>
    <n v="0.35549122807017541"/>
  </r>
  <r>
    <n v="2020"/>
    <x v="5"/>
    <n v="13"/>
    <x v="15"/>
    <n v="16928"/>
    <n v="28500"/>
    <n v="0.59396491228070181"/>
  </r>
  <r>
    <n v="2020"/>
    <x v="5"/>
    <n v="13"/>
    <x v="16"/>
    <n v="16621.5"/>
    <n v="28500"/>
    <n v="0.58321052631578951"/>
  </r>
  <r>
    <n v="2020"/>
    <x v="5"/>
    <n v="13"/>
    <x v="17"/>
    <n v="5268"/>
    <n v="28500"/>
    <n v="0.18484210526315789"/>
  </r>
  <r>
    <n v="2020"/>
    <x v="5"/>
    <n v="13"/>
    <x v="18"/>
    <n v="1638.5"/>
    <n v="28500"/>
    <n v="5.749122807017544E-2"/>
  </r>
  <r>
    <n v="2020"/>
    <x v="5"/>
    <n v="13"/>
    <x v="19"/>
    <n v="773.5"/>
    <n v="28500"/>
    <n v="2.7140350877192982E-2"/>
  </r>
  <r>
    <n v="2020"/>
    <x v="5"/>
    <n v="13"/>
    <x v="20"/>
    <n v="0"/>
    <n v="28500"/>
    <n v="0"/>
  </r>
  <r>
    <n v="2020"/>
    <x v="5"/>
    <n v="13"/>
    <x v="21"/>
    <n v="0"/>
    <n v="28500"/>
    <n v="0"/>
  </r>
  <r>
    <n v="2020"/>
    <x v="5"/>
    <n v="13"/>
    <x v="22"/>
    <n v="0"/>
    <n v="28500"/>
    <n v="0"/>
  </r>
  <r>
    <n v="2020"/>
    <x v="5"/>
    <n v="13"/>
    <x v="23"/>
    <n v="0"/>
    <n v="28500"/>
    <n v="0"/>
  </r>
  <r>
    <n v="2020"/>
    <x v="5"/>
    <n v="14"/>
    <x v="0"/>
    <n v="0"/>
    <n v="28500"/>
    <n v="0"/>
  </r>
  <r>
    <n v="2020"/>
    <x v="5"/>
    <n v="14"/>
    <x v="1"/>
    <n v="0"/>
    <n v="28500"/>
    <n v="0"/>
  </r>
  <r>
    <n v="2020"/>
    <x v="5"/>
    <n v="14"/>
    <x v="2"/>
    <n v="0"/>
    <n v="28500"/>
    <n v="0"/>
  </r>
  <r>
    <n v="2020"/>
    <x v="5"/>
    <n v="14"/>
    <x v="3"/>
    <n v="0"/>
    <n v="28500"/>
    <n v="0"/>
  </r>
  <r>
    <n v="2020"/>
    <x v="5"/>
    <n v="14"/>
    <x v="4"/>
    <n v="140"/>
    <n v="28500"/>
    <n v="4.9122807017543861E-3"/>
  </r>
  <r>
    <n v="2020"/>
    <x v="5"/>
    <n v="14"/>
    <x v="5"/>
    <n v="1366.5"/>
    <n v="28500"/>
    <n v="4.7947368421052634E-2"/>
  </r>
  <r>
    <n v="2020"/>
    <x v="5"/>
    <n v="14"/>
    <x v="6"/>
    <n v="4050"/>
    <n v="28500"/>
    <n v="0.14210526315789473"/>
  </r>
  <r>
    <n v="2020"/>
    <x v="5"/>
    <n v="14"/>
    <x v="7"/>
    <n v="12963"/>
    <n v="28500"/>
    <n v="0.45484210526315788"/>
  </r>
  <r>
    <n v="2020"/>
    <x v="5"/>
    <n v="14"/>
    <x v="8"/>
    <n v="16748"/>
    <n v="28500"/>
    <n v="0.58764912280701753"/>
  </r>
  <r>
    <n v="2020"/>
    <x v="5"/>
    <n v="14"/>
    <x v="9"/>
    <n v="18197.5"/>
    <n v="28500"/>
    <n v="0.63850877192982458"/>
  </r>
  <r>
    <n v="2020"/>
    <x v="5"/>
    <n v="14"/>
    <x v="10"/>
    <n v="30323"/>
    <n v="28500"/>
    <n v="1.0639649122807018"/>
  </r>
  <r>
    <n v="2020"/>
    <x v="5"/>
    <n v="14"/>
    <x v="11"/>
    <n v="18748"/>
    <n v="28500"/>
    <n v="0.65782456140350876"/>
  </r>
  <r>
    <n v="2020"/>
    <x v="5"/>
    <n v="14"/>
    <x v="12"/>
    <n v="23516"/>
    <n v="28500"/>
    <n v="0.82512280701754381"/>
  </r>
  <r>
    <n v="2020"/>
    <x v="5"/>
    <n v="14"/>
    <x v="13"/>
    <n v="14449.5"/>
    <n v="28500"/>
    <n v="0.50700000000000001"/>
  </r>
  <r>
    <n v="2020"/>
    <x v="5"/>
    <n v="14"/>
    <x v="14"/>
    <n v="8942.5"/>
    <n v="28500"/>
    <n v="0.31377192982456142"/>
  </r>
  <r>
    <n v="2020"/>
    <x v="5"/>
    <n v="14"/>
    <x v="15"/>
    <n v="14101"/>
    <n v="28500"/>
    <n v="0.49477192982456142"/>
  </r>
  <r>
    <n v="2020"/>
    <x v="5"/>
    <n v="14"/>
    <x v="16"/>
    <n v="12101.5"/>
    <n v="28500"/>
    <n v="0.42461403508771928"/>
  </r>
  <r>
    <n v="2020"/>
    <x v="5"/>
    <n v="14"/>
    <x v="17"/>
    <n v="9100.5"/>
    <n v="28500"/>
    <n v="0.31931578947368422"/>
  </r>
  <r>
    <n v="2020"/>
    <x v="5"/>
    <n v="14"/>
    <x v="18"/>
    <n v="2542.5"/>
    <n v="28500"/>
    <n v="8.9210526315789476E-2"/>
  </r>
  <r>
    <n v="2020"/>
    <x v="5"/>
    <n v="14"/>
    <x v="19"/>
    <n v="1138.5"/>
    <n v="28500"/>
    <n v="3.9947368421052634E-2"/>
  </r>
  <r>
    <n v="2020"/>
    <x v="5"/>
    <n v="14"/>
    <x v="20"/>
    <n v="0"/>
    <n v="28500"/>
    <n v="0"/>
  </r>
  <r>
    <n v="2020"/>
    <x v="5"/>
    <n v="14"/>
    <x v="21"/>
    <n v="0"/>
    <n v="28500"/>
    <n v="0"/>
  </r>
  <r>
    <n v="2020"/>
    <x v="5"/>
    <n v="14"/>
    <x v="22"/>
    <n v="0"/>
    <n v="28500"/>
    <n v="0"/>
  </r>
  <r>
    <n v="2020"/>
    <x v="5"/>
    <n v="14"/>
    <x v="23"/>
    <n v="0"/>
    <n v="28500"/>
    <n v="0"/>
  </r>
  <r>
    <n v="2020"/>
    <x v="5"/>
    <n v="15"/>
    <x v="0"/>
    <n v="0"/>
    <n v="28500"/>
    <n v="0"/>
  </r>
  <r>
    <n v="2020"/>
    <x v="5"/>
    <n v="15"/>
    <x v="1"/>
    <n v="0"/>
    <n v="28500"/>
    <n v="0"/>
  </r>
  <r>
    <n v="2020"/>
    <x v="5"/>
    <n v="15"/>
    <x v="2"/>
    <n v="0"/>
    <n v="28500"/>
    <n v="0"/>
  </r>
  <r>
    <n v="2020"/>
    <x v="5"/>
    <n v="15"/>
    <x v="3"/>
    <n v="0"/>
    <n v="28500"/>
    <n v="0"/>
  </r>
  <r>
    <n v="2020"/>
    <x v="5"/>
    <n v="15"/>
    <x v="4"/>
    <n v="0"/>
    <n v="28500"/>
    <n v="0"/>
  </r>
  <r>
    <n v="2020"/>
    <x v="5"/>
    <n v="15"/>
    <x v="5"/>
    <n v="1439.5"/>
    <n v="28500"/>
    <n v="5.0508771929824559E-2"/>
  </r>
  <r>
    <n v="2020"/>
    <x v="5"/>
    <n v="15"/>
    <x v="6"/>
    <n v="3941"/>
    <n v="28500"/>
    <n v="0.13828070175438598"/>
  </r>
  <r>
    <n v="2020"/>
    <x v="5"/>
    <n v="15"/>
    <x v="7"/>
    <n v="13288.5"/>
    <n v="28500"/>
    <n v="0.46626315789473682"/>
  </r>
  <r>
    <n v="2020"/>
    <x v="5"/>
    <n v="15"/>
    <x v="8"/>
    <n v="22445.5"/>
    <n v="28500"/>
    <n v="0.78756140350877191"/>
  </r>
  <r>
    <n v="2020"/>
    <x v="5"/>
    <n v="15"/>
    <x v="9"/>
    <n v="29590.5"/>
    <n v="28500"/>
    <n v="1.0382631578947368"/>
  </r>
  <r>
    <n v="2020"/>
    <x v="5"/>
    <n v="15"/>
    <x v="10"/>
    <n v="28314"/>
    <n v="28500"/>
    <n v="0.99347368421052629"/>
  </r>
  <r>
    <n v="2020"/>
    <x v="5"/>
    <n v="15"/>
    <x v="11"/>
    <n v="17135.5"/>
    <n v="28500"/>
    <n v="0.60124561403508769"/>
  </r>
  <r>
    <n v="2020"/>
    <x v="5"/>
    <n v="15"/>
    <x v="12"/>
    <n v="4579.5"/>
    <n v="28500"/>
    <n v="0.16068421052631579"/>
  </r>
  <r>
    <n v="2020"/>
    <x v="5"/>
    <n v="15"/>
    <x v="13"/>
    <n v="6924.5"/>
    <n v="28500"/>
    <n v="0.24296491228070174"/>
  </r>
  <r>
    <n v="2020"/>
    <x v="5"/>
    <n v="15"/>
    <x v="14"/>
    <n v="5932.5"/>
    <n v="28500"/>
    <n v="0.2081578947368421"/>
  </r>
  <r>
    <n v="2020"/>
    <x v="5"/>
    <n v="15"/>
    <x v="15"/>
    <n v="2925"/>
    <n v="28500"/>
    <n v="0.10263157894736842"/>
  </r>
  <r>
    <n v="2020"/>
    <x v="5"/>
    <n v="15"/>
    <x v="16"/>
    <n v="5845.5"/>
    <n v="28500"/>
    <n v="0.20510526315789473"/>
  </r>
  <r>
    <n v="2020"/>
    <x v="5"/>
    <n v="15"/>
    <x v="17"/>
    <n v="8688"/>
    <n v="28500"/>
    <n v="0.30484210526315791"/>
  </r>
  <r>
    <n v="2020"/>
    <x v="5"/>
    <n v="15"/>
    <x v="18"/>
    <n v="2599.5"/>
    <n v="28500"/>
    <n v="9.1210526315789478E-2"/>
  </r>
  <r>
    <n v="2020"/>
    <x v="5"/>
    <n v="15"/>
    <x v="19"/>
    <n v="1071.5"/>
    <n v="28500"/>
    <n v="3.7596491228070177E-2"/>
  </r>
  <r>
    <n v="2020"/>
    <x v="5"/>
    <n v="15"/>
    <x v="20"/>
    <n v="0"/>
    <n v="28500"/>
    <n v="0"/>
  </r>
  <r>
    <n v="2020"/>
    <x v="5"/>
    <n v="15"/>
    <x v="21"/>
    <n v="0"/>
    <n v="28500"/>
    <n v="0"/>
  </r>
  <r>
    <n v="2020"/>
    <x v="5"/>
    <n v="15"/>
    <x v="22"/>
    <n v="0"/>
    <n v="28500"/>
    <n v="0"/>
  </r>
  <r>
    <n v="2020"/>
    <x v="5"/>
    <n v="15"/>
    <x v="23"/>
    <n v="0"/>
    <n v="28500"/>
    <n v="0"/>
  </r>
  <r>
    <n v="2020"/>
    <x v="5"/>
    <n v="16"/>
    <x v="0"/>
    <n v="0"/>
    <n v="28500"/>
    <n v="0"/>
  </r>
  <r>
    <n v="2020"/>
    <x v="5"/>
    <n v="16"/>
    <x v="1"/>
    <n v="0"/>
    <n v="28500"/>
    <n v="0"/>
  </r>
  <r>
    <n v="2020"/>
    <x v="5"/>
    <n v="16"/>
    <x v="2"/>
    <n v="0"/>
    <n v="28500"/>
    <n v="0"/>
  </r>
  <r>
    <n v="2020"/>
    <x v="5"/>
    <n v="16"/>
    <x v="3"/>
    <n v="0"/>
    <n v="28500"/>
    <n v="0"/>
  </r>
  <r>
    <n v="2020"/>
    <x v="5"/>
    <n v="16"/>
    <x v="4"/>
    <n v="0"/>
    <n v="28500"/>
    <n v="0"/>
  </r>
  <r>
    <n v="2020"/>
    <x v="5"/>
    <n v="16"/>
    <x v="5"/>
    <n v="1969.5"/>
    <n v="28500"/>
    <n v="6.9105263157894739E-2"/>
  </r>
  <r>
    <n v="2020"/>
    <x v="5"/>
    <n v="16"/>
    <x v="6"/>
    <n v="4864"/>
    <n v="28500"/>
    <n v="0.17066666666666666"/>
  </r>
  <r>
    <n v="2020"/>
    <x v="5"/>
    <n v="16"/>
    <x v="7"/>
    <n v="13199"/>
    <n v="28500"/>
    <n v="0.46312280701754388"/>
  </r>
  <r>
    <n v="2020"/>
    <x v="5"/>
    <n v="16"/>
    <x v="8"/>
    <n v="20181.5"/>
    <n v="28500"/>
    <n v="0.70812280701754382"/>
  </r>
  <r>
    <n v="2020"/>
    <x v="5"/>
    <n v="16"/>
    <x v="9"/>
    <n v="13513"/>
    <n v="28500"/>
    <n v="0.47414035087719297"/>
  </r>
  <r>
    <n v="2020"/>
    <x v="5"/>
    <n v="16"/>
    <x v="10"/>
    <n v="22735"/>
    <n v="28500"/>
    <n v="0.79771929824561405"/>
  </r>
  <r>
    <n v="2020"/>
    <x v="5"/>
    <n v="16"/>
    <x v="11"/>
    <n v="3650.5"/>
    <n v="28500"/>
    <n v="0.12808771929824561"/>
  </r>
  <r>
    <n v="2020"/>
    <x v="5"/>
    <n v="16"/>
    <x v="12"/>
    <n v="26966"/>
    <n v="28500"/>
    <n v="0.94617543859649123"/>
  </r>
  <r>
    <n v="2020"/>
    <x v="5"/>
    <n v="16"/>
    <x v="13"/>
    <n v="24448.5"/>
    <n v="28500"/>
    <n v="0.85784210526315785"/>
  </r>
  <r>
    <n v="2020"/>
    <x v="5"/>
    <n v="16"/>
    <x v="14"/>
    <n v="16801.5"/>
    <n v="28500"/>
    <n v="0.58952631578947368"/>
  </r>
  <r>
    <n v="2020"/>
    <x v="5"/>
    <n v="16"/>
    <x v="15"/>
    <n v="16675.5"/>
    <n v="28500"/>
    <n v="0.58510526315789468"/>
  </r>
  <r>
    <n v="2020"/>
    <x v="5"/>
    <n v="16"/>
    <x v="16"/>
    <n v="18819.5"/>
    <n v="28500"/>
    <n v="0.66033333333333333"/>
  </r>
  <r>
    <n v="2020"/>
    <x v="5"/>
    <n v="16"/>
    <x v="17"/>
    <n v="9333.5"/>
    <n v="28500"/>
    <n v="0.32749122807017544"/>
  </r>
  <r>
    <n v="2020"/>
    <x v="5"/>
    <n v="16"/>
    <x v="18"/>
    <n v="2805"/>
    <n v="28500"/>
    <n v="9.8421052631578951E-2"/>
  </r>
  <r>
    <n v="2020"/>
    <x v="5"/>
    <n v="16"/>
    <x v="19"/>
    <n v="1138"/>
    <n v="28500"/>
    <n v="3.992982456140351E-2"/>
  </r>
  <r>
    <n v="2020"/>
    <x v="5"/>
    <n v="16"/>
    <x v="20"/>
    <n v="0"/>
    <n v="28500"/>
    <n v="0"/>
  </r>
  <r>
    <n v="2020"/>
    <x v="5"/>
    <n v="16"/>
    <x v="21"/>
    <n v="0"/>
    <n v="28500"/>
    <n v="0"/>
  </r>
  <r>
    <n v="2020"/>
    <x v="5"/>
    <n v="16"/>
    <x v="22"/>
    <n v="0"/>
    <n v="28500"/>
    <n v="0"/>
  </r>
  <r>
    <n v="2020"/>
    <x v="5"/>
    <n v="16"/>
    <x v="23"/>
    <n v="0"/>
    <n v="28500"/>
    <n v="0"/>
  </r>
  <r>
    <n v="2020"/>
    <x v="5"/>
    <n v="17"/>
    <x v="0"/>
    <n v="0"/>
    <n v="28500"/>
    <n v="0"/>
  </r>
  <r>
    <n v="2020"/>
    <x v="5"/>
    <n v="17"/>
    <x v="1"/>
    <n v="0"/>
    <n v="28500"/>
    <n v="0"/>
  </r>
  <r>
    <n v="2020"/>
    <x v="5"/>
    <n v="17"/>
    <x v="2"/>
    <n v="0"/>
    <n v="28500"/>
    <n v="0"/>
  </r>
  <r>
    <n v="2020"/>
    <x v="5"/>
    <n v="17"/>
    <x v="3"/>
    <n v="0"/>
    <n v="28500"/>
    <n v="0"/>
  </r>
  <r>
    <n v="2020"/>
    <x v="5"/>
    <n v="17"/>
    <x v="4"/>
    <n v="0"/>
    <n v="28500"/>
    <n v="0"/>
  </r>
  <r>
    <n v="2020"/>
    <x v="5"/>
    <n v="17"/>
    <x v="5"/>
    <n v="1963.5"/>
    <n v="28500"/>
    <n v="6.8894736842105259E-2"/>
  </r>
  <r>
    <n v="2020"/>
    <x v="5"/>
    <n v="17"/>
    <x v="6"/>
    <n v="3254"/>
    <n v="28500"/>
    <n v="0.11417543859649122"/>
  </r>
  <r>
    <n v="2020"/>
    <x v="5"/>
    <n v="17"/>
    <x v="7"/>
    <n v="8698.5"/>
    <n v="28500"/>
    <n v="0.30521052631578949"/>
  </r>
  <r>
    <n v="2020"/>
    <x v="5"/>
    <n v="17"/>
    <x v="8"/>
    <n v="13969"/>
    <n v="28500"/>
    <n v="0.49014035087719299"/>
  </r>
  <r>
    <n v="2020"/>
    <x v="5"/>
    <n v="17"/>
    <x v="9"/>
    <n v="18633.5"/>
    <n v="28500"/>
    <n v="0.65380701754385961"/>
  </r>
  <r>
    <n v="2020"/>
    <x v="5"/>
    <n v="17"/>
    <x v="10"/>
    <n v="19599"/>
    <n v="28500"/>
    <n v="0.68768421052631579"/>
  </r>
  <r>
    <n v="2020"/>
    <x v="5"/>
    <n v="17"/>
    <x v="11"/>
    <n v="13503"/>
    <n v="28500"/>
    <n v="0.47378947368421054"/>
  </r>
  <r>
    <n v="2020"/>
    <x v="5"/>
    <n v="17"/>
    <x v="12"/>
    <n v="9940.5"/>
    <n v="28500"/>
    <n v="0.34878947368421054"/>
  </r>
  <r>
    <n v="2020"/>
    <x v="5"/>
    <n v="17"/>
    <x v="13"/>
    <n v="8121.5"/>
    <n v="28500"/>
    <n v="0.28496491228070175"/>
  </r>
  <r>
    <n v="2020"/>
    <x v="5"/>
    <n v="17"/>
    <x v="14"/>
    <n v="6082.5"/>
    <n v="28500"/>
    <n v="0.21342105263157896"/>
  </r>
  <r>
    <n v="2020"/>
    <x v="5"/>
    <n v="17"/>
    <x v="15"/>
    <n v="3140"/>
    <n v="28500"/>
    <n v="0.11017543859649123"/>
  </r>
  <r>
    <n v="2020"/>
    <x v="5"/>
    <n v="17"/>
    <x v="16"/>
    <n v="5559"/>
    <n v="28500"/>
    <n v="0.19505263157894737"/>
  </r>
  <r>
    <n v="2020"/>
    <x v="5"/>
    <n v="17"/>
    <x v="17"/>
    <n v="2310.5"/>
    <n v="28500"/>
    <n v="8.1070175438596487E-2"/>
  </r>
  <r>
    <n v="2020"/>
    <x v="5"/>
    <n v="17"/>
    <x v="18"/>
    <n v="1394.5"/>
    <n v="28500"/>
    <n v="4.8929824561403511E-2"/>
  </r>
  <r>
    <n v="2020"/>
    <x v="5"/>
    <n v="17"/>
    <x v="19"/>
    <n v="1114.5"/>
    <n v="28500"/>
    <n v="3.910526315789474E-2"/>
  </r>
  <r>
    <n v="2020"/>
    <x v="5"/>
    <n v="17"/>
    <x v="20"/>
    <n v="0"/>
    <n v="28500"/>
    <n v="0"/>
  </r>
  <r>
    <n v="2020"/>
    <x v="5"/>
    <n v="17"/>
    <x v="21"/>
    <n v="0"/>
    <n v="28500"/>
    <n v="0"/>
  </r>
  <r>
    <n v="2020"/>
    <x v="5"/>
    <n v="17"/>
    <x v="22"/>
    <n v="0"/>
    <n v="28500"/>
    <n v="0"/>
  </r>
  <r>
    <n v="2020"/>
    <x v="5"/>
    <n v="17"/>
    <x v="23"/>
    <n v="0"/>
    <n v="28500"/>
    <n v="0"/>
  </r>
  <r>
    <n v="2020"/>
    <x v="5"/>
    <n v="18"/>
    <x v="0"/>
    <n v="0"/>
    <n v="28500"/>
    <n v="0"/>
  </r>
  <r>
    <n v="2020"/>
    <x v="5"/>
    <n v="18"/>
    <x v="1"/>
    <n v="0"/>
    <n v="28500"/>
    <n v="0"/>
  </r>
  <r>
    <n v="2020"/>
    <x v="5"/>
    <n v="18"/>
    <x v="2"/>
    <n v="0"/>
    <n v="28500"/>
    <n v="0"/>
  </r>
  <r>
    <n v="2020"/>
    <x v="5"/>
    <n v="18"/>
    <x v="3"/>
    <n v="0"/>
    <n v="28500"/>
    <n v="0"/>
  </r>
  <r>
    <n v="2020"/>
    <x v="5"/>
    <n v="18"/>
    <x v="4"/>
    <n v="0"/>
    <n v="28500"/>
    <n v="0"/>
  </r>
  <r>
    <n v="2020"/>
    <x v="5"/>
    <n v="18"/>
    <x v="5"/>
    <n v="95.5"/>
    <n v="28500"/>
    <n v="3.3508771929824563E-3"/>
  </r>
  <r>
    <n v="2020"/>
    <x v="5"/>
    <n v="18"/>
    <x v="6"/>
    <n v="846"/>
    <n v="28500"/>
    <n v="2.9684210526315789E-2"/>
  </r>
  <r>
    <n v="2020"/>
    <x v="5"/>
    <n v="18"/>
    <x v="7"/>
    <n v="4708"/>
    <n v="28500"/>
    <n v="0.16519298245614036"/>
  </r>
  <r>
    <n v="2020"/>
    <x v="5"/>
    <n v="18"/>
    <x v="8"/>
    <n v="15132.5"/>
    <n v="28500"/>
    <n v="0.53096491228070175"/>
  </r>
  <r>
    <n v="2020"/>
    <x v="5"/>
    <n v="18"/>
    <x v="9"/>
    <n v="5497"/>
    <n v="28500"/>
    <n v="0.19287719298245615"/>
  </r>
  <r>
    <n v="2020"/>
    <x v="5"/>
    <n v="18"/>
    <x v="10"/>
    <n v="2529"/>
    <n v="28500"/>
    <n v="8.8736842105263156E-2"/>
  </r>
  <r>
    <n v="2020"/>
    <x v="5"/>
    <n v="18"/>
    <x v="11"/>
    <n v="3519"/>
    <n v="28500"/>
    <n v="0.12347368421052632"/>
  </r>
  <r>
    <n v="2020"/>
    <x v="5"/>
    <n v="18"/>
    <x v="12"/>
    <n v="9202.5"/>
    <n v="28500"/>
    <n v="0.32289473684210529"/>
  </r>
  <r>
    <n v="2020"/>
    <x v="5"/>
    <n v="18"/>
    <x v="13"/>
    <n v="29160"/>
    <n v="28500"/>
    <n v="1.023157894736842"/>
  </r>
  <r>
    <n v="2020"/>
    <x v="5"/>
    <n v="18"/>
    <x v="14"/>
    <n v="30007"/>
    <n v="28500"/>
    <n v="1.0528771929824561"/>
  </r>
  <r>
    <n v="2020"/>
    <x v="5"/>
    <n v="18"/>
    <x v="15"/>
    <n v="25126"/>
    <n v="28500"/>
    <n v="0.88161403508771929"/>
  </r>
  <r>
    <n v="2020"/>
    <x v="5"/>
    <n v="18"/>
    <x v="16"/>
    <n v="18064"/>
    <n v="28500"/>
    <n v="0.63382456140350873"/>
  </r>
  <r>
    <n v="2020"/>
    <x v="5"/>
    <n v="18"/>
    <x v="17"/>
    <n v="9383"/>
    <n v="28500"/>
    <n v="0.32922807017543859"/>
  </r>
  <r>
    <n v="2020"/>
    <x v="5"/>
    <n v="18"/>
    <x v="18"/>
    <n v="2111.5"/>
    <n v="28500"/>
    <n v="7.4087719298245619E-2"/>
  </r>
  <r>
    <n v="2020"/>
    <x v="5"/>
    <n v="18"/>
    <x v="19"/>
    <n v="1120"/>
    <n v="28500"/>
    <n v="3.9298245614035089E-2"/>
  </r>
  <r>
    <n v="2020"/>
    <x v="5"/>
    <n v="18"/>
    <x v="20"/>
    <n v="0"/>
    <n v="28500"/>
    <n v="0"/>
  </r>
  <r>
    <n v="2020"/>
    <x v="5"/>
    <n v="18"/>
    <x v="21"/>
    <n v="0"/>
    <n v="28500"/>
    <n v="0"/>
  </r>
  <r>
    <n v="2020"/>
    <x v="5"/>
    <n v="18"/>
    <x v="22"/>
    <n v="0"/>
    <n v="28500"/>
    <n v="0"/>
  </r>
  <r>
    <n v="2020"/>
    <x v="5"/>
    <n v="18"/>
    <x v="23"/>
    <n v="0"/>
    <n v="28500"/>
    <n v="0"/>
  </r>
  <r>
    <n v="2020"/>
    <x v="5"/>
    <n v="19"/>
    <x v="0"/>
    <n v="0"/>
    <n v="28500"/>
    <n v="0"/>
  </r>
  <r>
    <n v="2020"/>
    <x v="5"/>
    <n v="19"/>
    <x v="1"/>
    <n v="0"/>
    <n v="28500"/>
    <n v="0"/>
  </r>
  <r>
    <n v="2020"/>
    <x v="5"/>
    <n v="19"/>
    <x v="2"/>
    <n v="0"/>
    <n v="28500"/>
    <n v="0"/>
  </r>
  <r>
    <n v="2020"/>
    <x v="5"/>
    <n v="19"/>
    <x v="3"/>
    <n v="0"/>
    <n v="28500"/>
    <n v="0"/>
  </r>
  <r>
    <n v="2020"/>
    <x v="5"/>
    <n v="19"/>
    <x v="4"/>
    <n v="0"/>
    <n v="28500"/>
    <n v="0"/>
  </r>
  <r>
    <n v="2020"/>
    <x v="5"/>
    <n v="19"/>
    <x v="5"/>
    <n v="116.5"/>
    <n v="28500"/>
    <n v="4.087719298245614E-3"/>
  </r>
  <r>
    <n v="2020"/>
    <x v="5"/>
    <n v="19"/>
    <x v="6"/>
    <n v="946.5"/>
    <n v="28500"/>
    <n v="3.3210526315789475E-2"/>
  </r>
  <r>
    <n v="2020"/>
    <x v="5"/>
    <n v="19"/>
    <x v="7"/>
    <n v="2435"/>
    <n v="28500"/>
    <n v="8.5438596491228064E-2"/>
  </r>
  <r>
    <n v="2020"/>
    <x v="5"/>
    <n v="19"/>
    <x v="8"/>
    <n v="6558"/>
    <n v="28500"/>
    <n v="0.23010526315789473"/>
  </r>
  <r>
    <n v="2020"/>
    <x v="5"/>
    <n v="19"/>
    <x v="9"/>
    <n v="7899"/>
    <n v="28500"/>
    <n v="0.2771578947368421"/>
  </r>
  <r>
    <n v="2020"/>
    <x v="5"/>
    <n v="19"/>
    <x v="10"/>
    <n v="20916"/>
    <n v="28500"/>
    <n v="0.73389473684210527"/>
  </r>
  <r>
    <n v="2020"/>
    <x v="5"/>
    <n v="19"/>
    <x v="11"/>
    <n v="16798.5"/>
    <n v="28500"/>
    <n v="0.58942105263157896"/>
  </r>
  <r>
    <n v="2020"/>
    <x v="5"/>
    <n v="19"/>
    <x v="12"/>
    <n v="10205.5"/>
    <n v="28500"/>
    <n v="0.35808771929824562"/>
  </r>
  <r>
    <n v="2020"/>
    <x v="5"/>
    <n v="19"/>
    <x v="13"/>
    <n v="15385.5"/>
    <n v="28500"/>
    <n v="0.5398421052631579"/>
  </r>
  <r>
    <n v="2020"/>
    <x v="5"/>
    <n v="19"/>
    <x v="14"/>
    <n v="12742"/>
    <n v="28500"/>
    <n v="0.44708771929824559"/>
  </r>
  <r>
    <n v="2020"/>
    <x v="5"/>
    <n v="19"/>
    <x v="15"/>
    <n v="17963"/>
    <n v="28500"/>
    <n v="0.630280701754386"/>
  </r>
  <r>
    <n v="2020"/>
    <x v="5"/>
    <n v="19"/>
    <x v="16"/>
    <n v="11124"/>
    <n v="28500"/>
    <n v="0.39031578947368423"/>
  </r>
  <r>
    <n v="2020"/>
    <x v="5"/>
    <n v="19"/>
    <x v="17"/>
    <n v="4300.5"/>
    <n v="28500"/>
    <n v="0.15089473684210528"/>
  </r>
  <r>
    <n v="2020"/>
    <x v="5"/>
    <n v="19"/>
    <x v="18"/>
    <n v="3540"/>
    <n v="28500"/>
    <n v="0.12421052631578948"/>
  </r>
  <r>
    <n v="2020"/>
    <x v="5"/>
    <n v="19"/>
    <x v="19"/>
    <n v="73.5"/>
    <n v="28500"/>
    <n v="2.5789473684210526E-3"/>
  </r>
  <r>
    <n v="2020"/>
    <x v="5"/>
    <n v="19"/>
    <x v="20"/>
    <n v="0"/>
    <n v="28500"/>
    <n v="0"/>
  </r>
  <r>
    <n v="2020"/>
    <x v="5"/>
    <n v="19"/>
    <x v="21"/>
    <n v="0"/>
    <n v="28500"/>
    <n v="0"/>
  </r>
  <r>
    <n v="2020"/>
    <x v="5"/>
    <n v="19"/>
    <x v="22"/>
    <n v="0"/>
    <n v="28500"/>
    <n v="0"/>
  </r>
  <r>
    <n v="2020"/>
    <x v="5"/>
    <n v="19"/>
    <x v="23"/>
    <n v="0"/>
    <n v="28500"/>
    <n v="0"/>
  </r>
  <r>
    <n v="2020"/>
    <x v="5"/>
    <n v="20"/>
    <x v="0"/>
    <n v="0"/>
    <n v="28500"/>
    <n v="0"/>
  </r>
  <r>
    <n v="2020"/>
    <x v="5"/>
    <n v="20"/>
    <x v="1"/>
    <n v="0"/>
    <n v="28500"/>
    <n v="0"/>
  </r>
  <r>
    <n v="2020"/>
    <x v="5"/>
    <n v="20"/>
    <x v="2"/>
    <n v="0"/>
    <n v="28500"/>
    <n v="0"/>
  </r>
  <r>
    <n v="2020"/>
    <x v="5"/>
    <n v="20"/>
    <x v="3"/>
    <n v="0"/>
    <n v="28500"/>
    <n v="0"/>
  </r>
  <r>
    <n v="2020"/>
    <x v="5"/>
    <n v="20"/>
    <x v="4"/>
    <n v="118"/>
    <n v="28500"/>
    <n v="4.1403508771929824E-3"/>
  </r>
  <r>
    <n v="2020"/>
    <x v="5"/>
    <n v="20"/>
    <x v="5"/>
    <n v="1271"/>
    <n v="28500"/>
    <n v="4.4596491228070176E-2"/>
  </r>
  <r>
    <n v="2020"/>
    <x v="5"/>
    <n v="20"/>
    <x v="6"/>
    <n v="3946.5"/>
    <n v="28500"/>
    <n v="0.1384736842105263"/>
  </r>
  <r>
    <n v="2020"/>
    <x v="5"/>
    <n v="20"/>
    <x v="7"/>
    <n v="10450.5"/>
    <n v="28500"/>
    <n v="0.36668421052631578"/>
  </r>
  <r>
    <n v="2020"/>
    <x v="5"/>
    <n v="20"/>
    <x v="8"/>
    <n v="17510.5"/>
    <n v="28500"/>
    <n v="0.61440350877192984"/>
  </r>
  <r>
    <n v="2020"/>
    <x v="5"/>
    <n v="20"/>
    <x v="9"/>
    <n v="20182"/>
    <n v="28500"/>
    <n v="0.70814035087719296"/>
  </r>
  <r>
    <n v="2020"/>
    <x v="5"/>
    <n v="20"/>
    <x v="10"/>
    <n v="28781"/>
    <n v="28500"/>
    <n v="1.0098596491228071"/>
  </r>
  <r>
    <n v="2020"/>
    <x v="5"/>
    <n v="20"/>
    <x v="11"/>
    <n v="10368.5"/>
    <n v="28500"/>
    <n v="0.36380701754385963"/>
  </r>
  <r>
    <n v="2020"/>
    <x v="5"/>
    <n v="20"/>
    <x v="12"/>
    <n v="25632"/>
    <n v="28500"/>
    <n v="0.89936842105263159"/>
  </r>
  <r>
    <n v="2020"/>
    <x v="5"/>
    <n v="20"/>
    <x v="13"/>
    <n v="27285.5"/>
    <n v="28500"/>
    <n v="0.95738596491228067"/>
  </r>
  <r>
    <n v="2020"/>
    <x v="5"/>
    <n v="20"/>
    <x v="14"/>
    <n v="32125.5"/>
    <n v="28500"/>
    <n v="1.1272105263157894"/>
  </r>
  <r>
    <n v="2020"/>
    <x v="5"/>
    <n v="20"/>
    <x v="15"/>
    <n v="25263"/>
    <n v="28500"/>
    <n v="0.886421052631579"/>
  </r>
  <r>
    <n v="2020"/>
    <x v="5"/>
    <n v="20"/>
    <x v="16"/>
    <n v="19229"/>
    <n v="28500"/>
    <n v="0.67470175438596491"/>
  </r>
  <r>
    <n v="2020"/>
    <x v="5"/>
    <n v="20"/>
    <x v="17"/>
    <n v="9710.5"/>
    <n v="28500"/>
    <n v="0.34071929824561403"/>
  </r>
  <r>
    <n v="2020"/>
    <x v="5"/>
    <n v="20"/>
    <x v="18"/>
    <n v="1821.5"/>
    <n v="28500"/>
    <n v="6.3912280701754393E-2"/>
  </r>
  <r>
    <n v="2020"/>
    <x v="5"/>
    <n v="20"/>
    <x v="19"/>
    <n v="1206"/>
    <n v="28500"/>
    <n v="4.2315789473684209E-2"/>
  </r>
  <r>
    <n v="2020"/>
    <x v="5"/>
    <n v="20"/>
    <x v="20"/>
    <n v="0"/>
    <n v="28500"/>
    <n v="0"/>
  </r>
  <r>
    <n v="2020"/>
    <x v="5"/>
    <n v="20"/>
    <x v="21"/>
    <n v="0"/>
    <n v="28500"/>
    <n v="0"/>
  </r>
  <r>
    <n v="2020"/>
    <x v="5"/>
    <n v="20"/>
    <x v="22"/>
    <n v="0"/>
    <n v="28500"/>
    <n v="0"/>
  </r>
  <r>
    <n v="2020"/>
    <x v="5"/>
    <n v="20"/>
    <x v="23"/>
    <n v="0"/>
    <n v="28500"/>
    <n v="0"/>
  </r>
  <r>
    <n v="2020"/>
    <x v="5"/>
    <n v="21"/>
    <x v="0"/>
    <n v="0"/>
    <n v="28500"/>
    <n v="0"/>
  </r>
  <r>
    <n v="2020"/>
    <x v="5"/>
    <n v="21"/>
    <x v="1"/>
    <n v="0"/>
    <n v="28500"/>
    <n v="0"/>
  </r>
  <r>
    <n v="2020"/>
    <x v="5"/>
    <n v="21"/>
    <x v="2"/>
    <n v="0"/>
    <n v="28500"/>
    <n v="0"/>
  </r>
  <r>
    <n v="2020"/>
    <x v="5"/>
    <n v="21"/>
    <x v="3"/>
    <n v="0"/>
    <n v="28500"/>
    <n v="0"/>
  </r>
  <r>
    <n v="2020"/>
    <x v="5"/>
    <n v="21"/>
    <x v="4"/>
    <n v="0"/>
    <n v="28500"/>
    <n v="0"/>
  </r>
  <r>
    <n v="2020"/>
    <x v="5"/>
    <n v="21"/>
    <x v="5"/>
    <n v="1751.5"/>
    <n v="28500"/>
    <n v="6.1456140350877195E-2"/>
  </r>
  <r>
    <n v="2020"/>
    <x v="5"/>
    <n v="21"/>
    <x v="6"/>
    <n v="1532"/>
    <n v="28500"/>
    <n v="5.3754385964912284E-2"/>
  </r>
  <r>
    <n v="2020"/>
    <x v="5"/>
    <n v="21"/>
    <x v="7"/>
    <n v="3041"/>
    <n v="28500"/>
    <n v="0.10670175438596491"/>
  </r>
  <r>
    <n v="2020"/>
    <x v="5"/>
    <n v="21"/>
    <x v="8"/>
    <n v="4954.5"/>
    <n v="28500"/>
    <n v="0.17384210526315788"/>
  </r>
  <r>
    <n v="2020"/>
    <x v="5"/>
    <n v="21"/>
    <x v="9"/>
    <n v="14607.5"/>
    <n v="28500"/>
    <n v="0.51254385964912286"/>
  </r>
  <r>
    <n v="2020"/>
    <x v="5"/>
    <n v="21"/>
    <x v="10"/>
    <n v="29950"/>
    <n v="28500"/>
    <n v="1.0508771929824561"/>
  </r>
  <r>
    <n v="2020"/>
    <x v="5"/>
    <n v="21"/>
    <x v="11"/>
    <n v="25218.5"/>
    <n v="28500"/>
    <n v="0.88485964912280701"/>
  </r>
  <r>
    <n v="2020"/>
    <x v="5"/>
    <n v="21"/>
    <x v="12"/>
    <n v="29013.5"/>
    <n v="28500"/>
    <n v="1.018017543859649"/>
  </r>
  <r>
    <n v="2020"/>
    <x v="5"/>
    <n v="21"/>
    <x v="13"/>
    <n v="28351.5"/>
    <n v="28500"/>
    <n v="0.99478947368421056"/>
  </r>
  <r>
    <n v="2020"/>
    <x v="5"/>
    <n v="21"/>
    <x v="14"/>
    <n v="16844.5"/>
    <n v="28500"/>
    <n v="0.59103508771929825"/>
  </r>
  <r>
    <n v="2020"/>
    <x v="5"/>
    <n v="21"/>
    <x v="15"/>
    <n v="21217"/>
    <n v="28500"/>
    <n v="0.74445614035087715"/>
  </r>
  <r>
    <n v="2020"/>
    <x v="5"/>
    <n v="21"/>
    <x v="16"/>
    <n v="14434"/>
    <n v="28500"/>
    <n v="0.50645614035087716"/>
  </r>
  <r>
    <n v="2020"/>
    <x v="5"/>
    <n v="21"/>
    <x v="17"/>
    <n v="9679"/>
    <n v="28500"/>
    <n v="0.33961403508771931"/>
  </r>
  <r>
    <n v="2020"/>
    <x v="5"/>
    <n v="21"/>
    <x v="18"/>
    <n v="3083.5"/>
    <n v="28500"/>
    <n v="0.10819298245614035"/>
  </r>
  <r>
    <n v="2020"/>
    <x v="5"/>
    <n v="21"/>
    <x v="19"/>
    <n v="1049.5"/>
    <n v="28500"/>
    <n v="3.6824561403508774E-2"/>
  </r>
  <r>
    <n v="2020"/>
    <x v="5"/>
    <n v="21"/>
    <x v="20"/>
    <n v="0"/>
    <n v="28500"/>
    <n v="0"/>
  </r>
  <r>
    <n v="2020"/>
    <x v="5"/>
    <n v="21"/>
    <x v="21"/>
    <n v="0"/>
    <n v="28500"/>
    <n v="0"/>
  </r>
  <r>
    <n v="2020"/>
    <x v="5"/>
    <n v="21"/>
    <x v="22"/>
    <n v="0"/>
    <n v="28500"/>
    <n v="0"/>
  </r>
  <r>
    <n v="2020"/>
    <x v="5"/>
    <n v="21"/>
    <x v="23"/>
    <n v="0"/>
    <n v="28500"/>
    <n v="0"/>
  </r>
  <r>
    <n v="2020"/>
    <x v="5"/>
    <n v="22"/>
    <x v="0"/>
    <n v="0"/>
    <n v="28500"/>
    <n v="0"/>
  </r>
  <r>
    <n v="2020"/>
    <x v="5"/>
    <n v="22"/>
    <x v="1"/>
    <n v="0"/>
    <n v="28500"/>
    <n v="0"/>
  </r>
  <r>
    <n v="2020"/>
    <x v="5"/>
    <n v="22"/>
    <x v="2"/>
    <n v="0"/>
    <n v="28500"/>
    <n v="0"/>
  </r>
  <r>
    <n v="2020"/>
    <x v="5"/>
    <n v="22"/>
    <x v="3"/>
    <n v="0"/>
    <n v="28500"/>
    <n v="0"/>
  </r>
  <r>
    <n v="2020"/>
    <x v="5"/>
    <n v="22"/>
    <x v="4"/>
    <n v="38.5"/>
    <n v="28500"/>
    <n v="1.3508771929824561E-3"/>
  </r>
  <r>
    <n v="2020"/>
    <x v="5"/>
    <n v="22"/>
    <x v="5"/>
    <n v="1450"/>
    <n v="28500"/>
    <n v="5.0877192982456139E-2"/>
  </r>
  <r>
    <n v="2020"/>
    <x v="5"/>
    <n v="22"/>
    <x v="6"/>
    <n v="3840"/>
    <n v="28500"/>
    <n v="0.13473684210526315"/>
  </r>
  <r>
    <n v="2020"/>
    <x v="5"/>
    <n v="22"/>
    <x v="7"/>
    <n v="13201"/>
    <n v="28500"/>
    <n v="0.46319298245614038"/>
  </r>
  <r>
    <n v="2020"/>
    <x v="5"/>
    <n v="22"/>
    <x v="8"/>
    <n v="22696"/>
    <n v="28500"/>
    <n v="0.79635087719298248"/>
  </r>
  <r>
    <n v="2020"/>
    <x v="5"/>
    <n v="22"/>
    <x v="9"/>
    <n v="30182"/>
    <n v="28500"/>
    <n v="1.0590175438596492"/>
  </r>
  <r>
    <n v="2020"/>
    <x v="5"/>
    <n v="22"/>
    <x v="10"/>
    <n v="34868"/>
    <n v="28500"/>
    <n v="1.223438596491228"/>
  </r>
  <r>
    <n v="2020"/>
    <x v="5"/>
    <n v="22"/>
    <x v="11"/>
    <n v="39697.5"/>
    <n v="28500"/>
    <n v="1.3928947368421052"/>
  </r>
  <r>
    <n v="2020"/>
    <x v="5"/>
    <n v="22"/>
    <x v="12"/>
    <n v="40898"/>
    <n v="28500"/>
    <n v="1.4350175438596491"/>
  </r>
  <r>
    <n v="2020"/>
    <x v="5"/>
    <n v="22"/>
    <x v="13"/>
    <n v="37582.5"/>
    <n v="28500"/>
    <n v="1.3186842105263157"/>
  </r>
  <r>
    <n v="2020"/>
    <x v="5"/>
    <n v="22"/>
    <x v="14"/>
    <n v="34143"/>
    <n v="28500"/>
    <n v="1.198"/>
  </r>
  <r>
    <n v="2020"/>
    <x v="5"/>
    <n v="22"/>
    <x v="15"/>
    <n v="27757.5"/>
    <n v="28500"/>
    <n v="0.97394736842105267"/>
  </r>
  <r>
    <n v="2020"/>
    <x v="5"/>
    <n v="22"/>
    <x v="16"/>
    <n v="19446.5"/>
    <n v="28500"/>
    <n v="0.68233333333333335"/>
  </r>
  <r>
    <n v="2020"/>
    <x v="5"/>
    <n v="22"/>
    <x v="17"/>
    <n v="9761.5"/>
    <n v="28500"/>
    <n v="0.34250877192982454"/>
  </r>
  <r>
    <n v="2020"/>
    <x v="5"/>
    <n v="22"/>
    <x v="18"/>
    <n v="2034.5"/>
    <n v="28500"/>
    <n v="7.1385964912280706E-2"/>
  </r>
  <r>
    <n v="2020"/>
    <x v="5"/>
    <n v="22"/>
    <x v="19"/>
    <n v="957"/>
    <n v="28500"/>
    <n v="3.3578947368421055E-2"/>
  </r>
  <r>
    <n v="2020"/>
    <x v="5"/>
    <n v="22"/>
    <x v="20"/>
    <n v="0"/>
    <n v="28500"/>
    <n v="0"/>
  </r>
  <r>
    <n v="2020"/>
    <x v="5"/>
    <n v="22"/>
    <x v="21"/>
    <n v="0"/>
    <n v="28500"/>
    <n v="0"/>
  </r>
  <r>
    <n v="2020"/>
    <x v="5"/>
    <n v="22"/>
    <x v="22"/>
    <n v="0"/>
    <n v="28500"/>
    <n v="0"/>
  </r>
  <r>
    <n v="2020"/>
    <x v="5"/>
    <n v="22"/>
    <x v="23"/>
    <n v="0"/>
    <n v="28500"/>
    <n v="0"/>
  </r>
  <r>
    <n v="2020"/>
    <x v="5"/>
    <n v="23"/>
    <x v="0"/>
    <n v="0"/>
    <n v="28500"/>
    <n v="0"/>
  </r>
  <r>
    <n v="2020"/>
    <x v="5"/>
    <n v="23"/>
    <x v="1"/>
    <n v="0"/>
    <n v="28500"/>
    <n v="0"/>
  </r>
  <r>
    <n v="2020"/>
    <x v="5"/>
    <n v="23"/>
    <x v="2"/>
    <n v="0"/>
    <n v="28500"/>
    <n v="0"/>
  </r>
  <r>
    <n v="2020"/>
    <x v="5"/>
    <n v="23"/>
    <x v="3"/>
    <n v="0"/>
    <n v="28500"/>
    <n v="0"/>
  </r>
  <r>
    <n v="2020"/>
    <x v="5"/>
    <n v="23"/>
    <x v="4"/>
    <n v="37.5"/>
    <n v="28500"/>
    <n v="1.3157894736842105E-3"/>
  </r>
  <r>
    <n v="2020"/>
    <x v="5"/>
    <n v="23"/>
    <x v="5"/>
    <n v="1631.5"/>
    <n v="28500"/>
    <n v="5.7245614035087718E-2"/>
  </r>
  <r>
    <n v="2020"/>
    <x v="5"/>
    <n v="23"/>
    <x v="6"/>
    <n v="3992.5"/>
    <n v="28500"/>
    <n v="0.14008771929824562"/>
  </r>
  <r>
    <n v="2020"/>
    <x v="5"/>
    <n v="23"/>
    <x v="7"/>
    <n v="12800.5"/>
    <n v="28500"/>
    <n v="0.44914035087719301"/>
  </r>
  <r>
    <n v="2020"/>
    <x v="5"/>
    <n v="23"/>
    <x v="8"/>
    <n v="22057"/>
    <n v="28500"/>
    <n v="0.77392982456140347"/>
  </r>
  <r>
    <n v="2020"/>
    <x v="5"/>
    <n v="23"/>
    <x v="9"/>
    <n v="29640"/>
    <n v="28500"/>
    <n v="1.04"/>
  </r>
  <r>
    <n v="2020"/>
    <x v="5"/>
    <n v="23"/>
    <x v="10"/>
    <n v="34968.5"/>
    <n v="28500"/>
    <n v="1.2269649122807018"/>
  </r>
  <r>
    <n v="2020"/>
    <x v="5"/>
    <n v="23"/>
    <x v="11"/>
    <n v="38194"/>
    <n v="28500"/>
    <n v="1.340140350877193"/>
  </r>
  <r>
    <n v="2020"/>
    <x v="5"/>
    <n v="23"/>
    <x v="12"/>
    <n v="38523"/>
    <n v="28500"/>
    <n v="1.3516842105263158"/>
  </r>
  <r>
    <n v="2020"/>
    <x v="5"/>
    <n v="23"/>
    <x v="13"/>
    <n v="36658"/>
    <n v="28500"/>
    <n v="1.2862456140350877"/>
  </r>
  <r>
    <n v="2020"/>
    <x v="5"/>
    <n v="23"/>
    <x v="14"/>
    <n v="32738.5"/>
    <n v="28500"/>
    <n v="1.148719298245614"/>
  </r>
  <r>
    <n v="2020"/>
    <x v="5"/>
    <n v="23"/>
    <x v="15"/>
    <n v="26448.5"/>
    <n v="28500"/>
    <n v="0.92801754385964907"/>
  </r>
  <r>
    <n v="2020"/>
    <x v="5"/>
    <n v="23"/>
    <x v="16"/>
    <n v="18512"/>
    <n v="28500"/>
    <n v="0.64954385964912276"/>
  </r>
  <r>
    <n v="2020"/>
    <x v="5"/>
    <n v="23"/>
    <x v="17"/>
    <n v="9465"/>
    <n v="28500"/>
    <n v="0.33210526315789474"/>
  </r>
  <r>
    <n v="2020"/>
    <x v="5"/>
    <n v="23"/>
    <x v="18"/>
    <n v="3315.5"/>
    <n v="28500"/>
    <n v="0.11633333333333333"/>
  </r>
  <r>
    <n v="2020"/>
    <x v="5"/>
    <n v="23"/>
    <x v="19"/>
    <n v="1023"/>
    <n v="28500"/>
    <n v="3.5894736842105264E-2"/>
  </r>
  <r>
    <n v="2020"/>
    <x v="5"/>
    <n v="23"/>
    <x v="20"/>
    <n v="0"/>
    <n v="28500"/>
    <n v="0"/>
  </r>
  <r>
    <n v="2020"/>
    <x v="5"/>
    <n v="23"/>
    <x v="21"/>
    <n v="0"/>
    <n v="28500"/>
    <n v="0"/>
  </r>
  <r>
    <n v="2020"/>
    <x v="5"/>
    <n v="23"/>
    <x v="22"/>
    <n v="0"/>
    <n v="28500"/>
    <n v="0"/>
  </r>
  <r>
    <n v="2020"/>
    <x v="5"/>
    <n v="23"/>
    <x v="23"/>
    <n v="0"/>
    <n v="28500"/>
    <n v="0"/>
  </r>
  <r>
    <n v="2020"/>
    <x v="5"/>
    <n v="24"/>
    <x v="0"/>
    <n v="0"/>
    <n v="28500"/>
    <n v="0"/>
  </r>
  <r>
    <n v="2020"/>
    <x v="5"/>
    <n v="24"/>
    <x v="1"/>
    <n v="0"/>
    <n v="28500"/>
    <n v="0"/>
  </r>
  <r>
    <n v="2020"/>
    <x v="5"/>
    <n v="24"/>
    <x v="2"/>
    <n v="0"/>
    <n v="28500"/>
    <n v="0"/>
  </r>
  <r>
    <n v="2020"/>
    <x v="5"/>
    <n v="24"/>
    <x v="3"/>
    <n v="0"/>
    <n v="28500"/>
    <n v="0"/>
  </r>
  <r>
    <n v="2020"/>
    <x v="5"/>
    <n v="24"/>
    <x v="4"/>
    <n v="0"/>
    <n v="28500"/>
    <n v="0"/>
  </r>
  <r>
    <n v="2020"/>
    <x v="5"/>
    <n v="24"/>
    <x v="5"/>
    <n v="1898.5"/>
    <n v="28500"/>
    <n v="6.6614035087719292E-2"/>
  </r>
  <r>
    <n v="2020"/>
    <x v="5"/>
    <n v="24"/>
    <x v="6"/>
    <n v="4473"/>
    <n v="28500"/>
    <n v="0.15694736842105264"/>
  </r>
  <r>
    <n v="2020"/>
    <x v="5"/>
    <n v="24"/>
    <x v="7"/>
    <n v="12553.5"/>
    <n v="28500"/>
    <n v="0.4404736842105263"/>
  </r>
  <r>
    <n v="2020"/>
    <x v="5"/>
    <n v="24"/>
    <x v="8"/>
    <n v="21492"/>
    <n v="28500"/>
    <n v="0.75410526315789472"/>
  </r>
  <r>
    <n v="2020"/>
    <x v="5"/>
    <n v="24"/>
    <x v="9"/>
    <n v="29278"/>
    <n v="28500"/>
    <n v="1.0272982456140352"/>
  </r>
  <r>
    <n v="2020"/>
    <x v="5"/>
    <n v="24"/>
    <x v="10"/>
    <n v="35038"/>
    <n v="28500"/>
    <n v="1.2294035087719297"/>
  </r>
  <r>
    <n v="2020"/>
    <x v="5"/>
    <n v="24"/>
    <x v="11"/>
    <n v="38138.5"/>
    <n v="28500"/>
    <n v="1.3381929824561403"/>
  </r>
  <r>
    <n v="2020"/>
    <x v="5"/>
    <n v="24"/>
    <x v="12"/>
    <n v="38608"/>
    <n v="28500"/>
    <n v="1.3546666666666667"/>
  </r>
  <r>
    <n v="2020"/>
    <x v="5"/>
    <n v="24"/>
    <x v="13"/>
    <n v="37144.5"/>
    <n v="28500"/>
    <n v="1.3033157894736842"/>
  </r>
  <r>
    <n v="2020"/>
    <x v="5"/>
    <n v="24"/>
    <x v="14"/>
    <n v="33313"/>
    <n v="28500"/>
    <n v="1.1688771929824562"/>
  </r>
  <r>
    <n v="2020"/>
    <x v="5"/>
    <n v="24"/>
    <x v="15"/>
    <n v="27067"/>
    <n v="28500"/>
    <n v="0.94971929824561407"/>
  </r>
  <r>
    <n v="2020"/>
    <x v="5"/>
    <n v="24"/>
    <x v="16"/>
    <n v="18995"/>
    <n v="28500"/>
    <n v="0.66649122807017547"/>
  </r>
  <r>
    <n v="2020"/>
    <x v="5"/>
    <n v="24"/>
    <x v="17"/>
    <n v="9565"/>
    <n v="28500"/>
    <n v="0.33561403508771931"/>
  </r>
  <r>
    <n v="2020"/>
    <x v="5"/>
    <n v="24"/>
    <x v="18"/>
    <n v="2112.5"/>
    <n v="28500"/>
    <n v="7.4122807017543854E-2"/>
  </r>
  <r>
    <n v="2020"/>
    <x v="5"/>
    <n v="24"/>
    <x v="19"/>
    <n v="989.5"/>
    <n v="28500"/>
    <n v="3.4719298245614032E-2"/>
  </r>
  <r>
    <n v="2020"/>
    <x v="5"/>
    <n v="24"/>
    <x v="20"/>
    <n v="0"/>
    <n v="28500"/>
    <n v="0"/>
  </r>
  <r>
    <n v="2020"/>
    <x v="5"/>
    <n v="24"/>
    <x v="21"/>
    <n v="0"/>
    <n v="28500"/>
    <n v="0"/>
  </r>
  <r>
    <n v="2020"/>
    <x v="5"/>
    <n v="24"/>
    <x v="22"/>
    <n v="0"/>
    <n v="28500"/>
    <n v="0"/>
  </r>
  <r>
    <n v="2020"/>
    <x v="5"/>
    <n v="24"/>
    <x v="23"/>
    <n v="0"/>
    <n v="28500"/>
    <n v="0"/>
  </r>
  <r>
    <n v="2020"/>
    <x v="5"/>
    <n v="25"/>
    <x v="0"/>
    <n v="0"/>
    <n v="28500"/>
    <n v="0"/>
  </r>
  <r>
    <n v="2020"/>
    <x v="5"/>
    <n v="25"/>
    <x v="1"/>
    <n v="0"/>
    <n v="28500"/>
    <n v="0"/>
  </r>
  <r>
    <n v="2020"/>
    <x v="5"/>
    <n v="25"/>
    <x v="2"/>
    <n v="0"/>
    <n v="28500"/>
    <n v="0"/>
  </r>
  <r>
    <n v="2020"/>
    <x v="5"/>
    <n v="25"/>
    <x v="3"/>
    <n v="0"/>
    <n v="28500"/>
    <n v="0"/>
  </r>
  <r>
    <n v="2020"/>
    <x v="5"/>
    <n v="25"/>
    <x v="4"/>
    <n v="35"/>
    <n v="28500"/>
    <n v="1.2280701754385965E-3"/>
  </r>
  <r>
    <n v="2020"/>
    <x v="5"/>
    <n v="25"/>
    <x v="5"/>
    <n v="1457.5"/>
    <n v="28500"/>
    <n v="5.1140350877192979E-2"/>
  </r>
  <r>
    <n v="2020"/>
    <x v="5"/>
    <n v="25"/>
    <x v="6"/>
    <n v="3755.5"/>
    <n v="28500"/>
    <n v="0.1317719298245614"/>
  </r>
  <r>
    <n v="2020"/>
    <x v="5"/>
    <n v="25"/>
    <x v="7"/>
    <n v="12779"/>
    <n v="28500"/>
    <n v="0.44838596491228072"/>
  </r>
  <r>
    <n v="2020"/>
    <x v="5"/>
    <n v="25"/>
    <x v="8"/>
    <n v="22065.5"/>
    <n v="28500"/>
    <n v="0.7742280701754386"/>
  </r>
  <r>
    <n v="2020"/>
    <x v="5"/>
    <n v="25"/>
    <x v="9"/>
    <n v="29528.5"/>
    <n v="28500"/>
    <n v="1.0360877192982456"/>
  </r>
  <r>
    <n v="2020"/>
    <x v="5"/>
    <n v="25"/>
    <x v="10"/>
    <n v="34843.5"/>
    <n v="28500"/>
    <n v="1.222578947368421"/>
  </r>
  <r>
    <n v="2020"/>
    <x v="5"/>
    <n v="25"/>
    <x v="11"/>
    <n v="37751"/>
    <n v="28500"/>
    <n v="1.3245964912280701"/>
  </r>
  <r>
    <n v="2020"/>
    <x v="5"/>
    <n v="25"/>
    <x v="12"/>
    <n v="38567"/>
    <n v="28500"/>
    <n v="1.3532280701754387"/>
  </r>
  <r>
    <n v="2020"/>
    <x v="5"/>
    <n v="25"/>
    <x v="13"/>
    <n v="37022.5"/>
    <n v="28500"/>
    <n v="1.2990350877192982"/>
  </r>
  <r>
    <n v="2020"/>
    <x v="5"/>
    <n v="25"/>
    <x v="14"/>
    <n v="32972.5"/>
    <n v="28500"/>
    <n v="1.1569298245614035"/>
  </r>
  <r>
    <n v="2020"/>
    <x v="5"/>
    <n v="25"/>
    <x v="15"/>
    <n v="26653.5"/>
    <n v="28500"/>
    <n v="0.93521052631578949"/>
  </r>
  <r>
    <n v="2020"/>
    <x v="5"/>
    <n v="25"/>
    <x v="16"/>
    <n v="18862.5"/>
    <n v="28500"/>
    <n v="0.6618421052631579"/>
  </r>
  <r>
    <n v="2020"/>
    <x v="5"/>
    <n v="25"/>
    <x v="17"/>
    <n v="9537.5"/>
    <n v="28500"/>
    <n v="0.33464912280701753"/>
  </r>
  <r>
    <n v="2020"/>
    <x v="5"/>
    <n v="25"/>
    <x v="18"/>
    <n v="2083.5"/>
    <n v="28500"/>
    <n v="7.3105263157894743E-2"/>
  </r>
  <r>
    <n v="2020"/>
    <x v="5"/>
    <n v="25"/>
    <x v="19"/>
    <n v="953.5"/>
    <n v="28500"/>
    <n v="3.3456140350877191E-2"/>
  </r>
  <r>
    <n v="2020"/>
    <x v="5"/>
    <n v="25"/>
    <x v="20"/>
    <n v="0"/>
    <n v="28500"/>
    <n v="0"/>
  </r>
  <r>
    <n v="2020"/>
    <x v="5"/>
    <n v="25"/>
    <x v="21"/>
    <n v="0"/>
    <n v="28500"/>
    <n v="0"/>
  </r>
  <r>
    <n v="2020"/>
    <x v="5"/>
    <n v="25"/>
    <x v="22"/>
    <n v="0"/>
    <n v="28500"/>
    <n v="0"/>
  </r>
  <r>
    <n v="2020"/>
    <x v="5"/>
    <n v="25"/>
    <x v="23"/>
    <n v="0"/>
    <n v="28500"/>
    <n v="0"/>
  </r>
  <r>
    <n v="2020"/>
    <x v="5"/>
    <n v="26"/>
    <x v="0"/>
    <n v="0"/>
    <n v="28500"/>
    <n v="0"/>
  </r>
  <r>
    <n v="2020"/>
    <x v="5"/>
    <n v="26"/>
    <x v="1"/>
    <n v="0"/>
    <n v="28500"/>
    <n v="0"/>
  </r>
  <r>
    <n v="2020"/>
    <x v="5"/>
    <n v="26"/>
    <x v="2"/>
    <n v="0"/>
    <n v="28500"/>
    <n v="0"/>
  </r>
  <r>
    <n v="2020"/>
    <x v="5"/>
    <n v="26"/>
    <x v="3"/>
    <n v="0"/>
    <n v="28500"/>
    <n v="0"/>
  </r>
  <r>
    <n v="2020"/>
    <x v="5"/>
    <n v="26"/>
    <x v="4"/>
    <n v="0"/>
    <n v="28500"/>
    <n v="0"/>
  </r>
  <r>
    <n v="2020"/>
    <x v="5"/>
    <n v="26"/>
    <x v="5"/>
    <n v="1746.5"/>
    <n v="28500"/>
    <n v="6.1280701754385963E-2"/>
  </r>
  <r>
    <n v="2020"/>
    <x v="5"/>
    <n v="26"/>
    <x v="6"/>
    <n v="4209"/>
    <n v="28500"/>
    <n v="0.14768421052631578"/>
  </r>
  <r>
    <n v="2020"/>
    <x v="5"/>
    <n v="26"/>
    <x v="7"/>
    <n v="11358"/>
    <n v="28500"/>
    <n v="0.39852631578947367"/>
  </r>
  <r>
    <n v="2020"/>
    <x v="5"/>
    <n v="26"/>
    <x v="8"/>
    <n v="19561.5"/>
    <n v="28500"/>
    <n v="0.68636842105263163"/>
  </r>
  <r>
    <n v="2020"/>
    <x v="5"/>
    <n v="26"/>
    <x v="9"/>
    <n v="28418.5"/>
    <n v="28500"/>
    <n v="0.99714035087719299"/>
  </r>
  <r>
    <n v="2020"/>
    <x v="5"/>
    <n v="26"/>
    <x v="10"/>
    <n v="34134.5"/>
    <n v="28500"/>
    <n v="1.1977017543859649"/>
  </r>
  <r>
    <n v="2020"/>
    <x v="5"/>
    <n v="26"/>
    <x v="11"/>
    <n v="36960"/>
    <n v="28500"/>
    <n v="1.2968421052631578"/>
  </r>
  <r>
    <n v="2020"/>
    <x v="5"/>
    <n v="26"/>
    <x v="12"/>
    <n v="37926"/>
    <n v="28500"/>
    <n v="1.3307368421052632"/>
  </r>
  <r>
    <n v="2020"/>
    <x v="5"/>
    <n v="26"/>
    <x v="13"/>
    <n v="36461.5"/>
    <n v="28500"/>
    <n v="1.2793508771929825"/>
  </r>
  <r>
    <n v="2020"/>
    <x v="5"/>
    <n v="26"/>
    <x v="14"/>
    <n v="32778.5"/>
    <n v="28500"/>
    <n v="1.1501228070175438"/>
  </r>
  <r>
    <n v="2020"/>
    <x v="5"/>
    <n v="26"/>
    <x v="15"/>
    <n v="26830"/>
    <n v="28500"/>
    <n v="0.9414035087719298"/>
  </r>
  <r>
    <n v="2020"/>
    <x v="5"/>
    <n v="26"/>
    <x v="16"/>
    <n v="18832"/>
    <n v="28500"/>
    <n v="0.66077192982456145"/>
  </r>
  <r>
    <n v="2020"/>
    <x v="5"/>
    <n v="26"/>
    <x v="17"/>
    <n v="9492.5"/>
    <n v="28500"/>
    <n v="0.33307017543859652"/>
  </r>
  <r>
    <n v="2020"/>
    <x v="5"/>
    <n v="26"/>
    <x v="18"/>
    <n v="3607.5"/>
    <n v="28500"/>
    <n v="0.12657894736842104"/>
  </r>
  <r>
    <n v="2020"/>
    <x v="5"/>
    <n v="26"/>
    <x v="19"/>
    <n v="887"/>
    <n v="28500"/>
    <n v="3.1122807017543861E-2"/>
  </r>
  <r>
    <n v="2020"/>
    <x v="5"/>
    <n v="26"/>
    <x v="20"/>
    <n v="0"/>
    <n v="28500"/>
    <n v="0"/>
  </r>
  <r>
    <n v="2020"/>
    <x v="5"/>
    <n v="26"/>
    <x v="21"/>
    <n v="0"/>
    <n v="28500"/>
    <n v="0"/>
  </r>
  <r>
    <n v="2020"/>
    <x v="5"/>
    <n v="26"/>
    <x v="22"/>
    <n v="0"/>
    <n v="28500"/>
    <n v="0"/>
  </r>
  <r>
    <n v="2020"/>
    <x v="5"/>
    <n v="26"/>
    <x v="23"/>
    <n v="0"/>
    <n v="28500"/>
    <n v="0"/>
  </r>
  <r>
    <n v="2020"/>
    <x v="5"/>
    <n v="27"/>
    <x v="0"/>
    <n v="0"/>
    <n v="28500"/>
    <n v="0"/>
  </r>
  <r>
    <n v="2020"/>
    <x v="5"/>
    <n v="27"/>
    <x v="1"/>
    <n v="0"/>
    <n v="28500"/>
    <n v="0"/>
  </r>
  <r>
    <n v="2020"/>
    <x v="5"/>
    <n v="27"/>
    <x v="2"/>
    <n v="0"/>
    <n v="28500"/>
    <n v="0"/>
  </r>
  <r>
    <n v="2020"/>
    <x v="5"/>
    <n v="27"/>
    <x v="3"/>
    <n v="0"/>
    <n v="28500"/>
    <n v="0"/>
  </r>
  <r>
    <n v="2020"/>
    <x v="5"/>
    <n v="27"/>
    <x v="4"/>
    <n v="0"/>
    <n v="28500"/>
    <n v="0"/>
  </r>
  <r>
    <n v="2020"/>
    <x v="5"/>
    <n v="27"/>
    <x v="5"/>
    <n v="1221.5"/>
    <n v="28500"/>
    <n v="4.2859649122807014E-2"/>
  </r>
  <r>
    <n v="2020"/>
    <x v="5"/>
    <n v="27"/>
    <x v="6"/>
    <n v="4954.5"/>
    <n v="28500"/>
    <n v="0.17384210526315788"/>
  </r>
  <r>
    <n v="2020"/>
    <x v="5"/>
    <n v="27"/>
    <x v="7"/>
    <n v="6320"/>
    <n v="28500"/>
    <n v="0.22175438596491229"/>
  </r>
  <r>
    <n v="2020"/>
    <x v="5"/>
    <n v="27"/>
    <x v="8"/>
    <n v="4182.5"/>
    <n v="28500"/>
    <n v="0.14675438596491228"/>
  </r>
  <r>
    <n v="2020"/>
    <x v="5"/>
    <n v="27"/>
    <x v="9"/>
    <n v="3747"/>
    <n v="28500"/>
    <n v="0.13147368421052633"/>
  </r>
  <r>
    <n v="2020"/>
    <x v="5"/>
    <n v="27"/>
    <x v="10"/>
    <n v="13433"/>
    <n v="28500"/>
    <n v="0.47133333333333333"/>
  </r>
  <r>
    <n v="2020"/>
    <x v="5"/>
    <n v="27"/>
    <x v="11"/>
    <n v="4489"/>
    <n v="28500"/>
    <n v="0.15750877192982457"/>
  </r>
  <r>
    <n v="2020"/>
    <x v="5"/>
    <n v="27"/>
    <x v="12"/>
    <n v="15123.5"/>
    <n v="28500"/>
    <n v="0.53064912280701759"/>
  </r>
  <r>
    <n v="2020"/>
    <x v="5"/>
    <n v="27"/>
    <x v="13"/>
    <n v="11953.5"/>
    <n v="28500"/>
    <n v="0.41942105263157897"/>
  </r>
  <r>
    <n v="2020"/>
    <x v="5"/>
    <n v="27"/>
    <x v="14"/>
    <n v="5439"/>
    <n v="28500"/>
    <n v="0.1908421052631579"/>
  </r>
  <r>
    <n v="2020"/>
    <x v="5"/>
    <n v="27"/>
    <x v="15"/>
    <n v="12537"/>
    <n v="28500"/>
    <n v="0.43989473684210528"/>
  </r>
  <r>
    <n v="2020"/>
    <x v="5"/>
    <n v="27"/>
    <x v="16"/>
    <n v="5296.5"/>
    <n v="28500"/>
    <n v="0.18584210526315789"/>
  </r>
  <r>
    <n v="2020"/>
    <x v="5"/>
    <n v="27"/>
    <x v="17"/>
    <n v="8199"/>
    <n v="28500"/>
    <n v="0.28768421052631576"/>
  </r>
  <r>
    <n v="2020"/>
    <x v="5"/>
    <n v="27"/>
    <x v="18"/>
    <n v="1544"/>
    <n v="28500"/>
    <n v="5.4175438596491231E-2"/>
  </r>
  <r>
    <n v="2020"/>
    <x v="5"/>
    <n v="27"/>
    <x v="19"/>
    <n v="463.5"/>
    <n v="28500"/>
    <n v="1.626315789473684E-2"/>
  </r>
  <r>
    <n v="2020"/>
    <x v="5"/>
    <n v="27"/>
    <x v="20"/>
    <n v="0"/>
    <n v="28500"/>
    <n v="0"/>
  </r>
  <r>
    <n v="2020"/>
    <x v="5"/>
    <n v="27"/>
    <x v="21"/>
    <n v="0"/>
    <n v="28500"/>
    <n v="0"/>
  </r>
  <r>
    <n v="2020"/>
    <x v="5"/>
    <n v="27"/>
    <x v="22"/>
    <n v="0"/>
    <n v="28500"/>
    <n v="0"/>
  </r>
  <r>
    <n v="2020"/>
    <x v="5"/>
    <n v="27"/>
    <x v="23"/>
    <n v="0"/>
    <n v="28500"/>
    <n v="0"/>
  </r>
  <r>
    <n v="2020"/>
    <x v="5"/>
    <n v="28"/>
    <x v="0"/>
    <n v="0"/>
    <n v="28500"/>
    <n v="0"/>
  </r>
  <r>
    <n v="2020"/>
    <x v="5"/>
    <n v="28"/>
    <x v="1"/>
    <n v="0"/>
    <n v="28500"/>
    <n v="0"/>
  </r>
  <r>
    <n v="2020"/>
    <x v="5"/>
    <n v="28"/>
    <x v="2"/>
    <n v="0"/>
    <n v="28500"/>
    <n v="0"/>
  </r>
  <r>
    <n v="2020"/>
    <x v="5"/>
    <n v="28"/>
    <x v="3"/>
    <n v="0"/>
    <n v="28500"/>
    <n v="0"/>
  </r>
  <r>
    <n v="2020"/>
    <x v="5"/>
    <n v="28"/>
    <x v="4"/>
    <n v="37.5"/>
    <n v="28500"/>
    <n v="1.3157894736842105E-3"/>
  </r>
  <r>
    <n v="2020"/>
    <x v="5"/>
    <n v="28"/>
    <x v="5"/>
    <n v="1337"/>
    <n v="28500"/>
    <n v="4.6912280701754384E-2"/>
  </r>
  <r>
    <n v="2020"/>
    <x v="5"/>
    <n v="28"/>
    <x v="6"/>
    <n v="3902"/>
    <n v="28500"/>
    <n v="0.13691228070175437"/>
  </r>
  <r>
    <n v="2020"/>
    <x v="5"/>
    <n v="28"/>
    <x v="7"/>
    <n v="12980.5"/>
    <n v="28500"/>
    <n v="0.45545614035087717"/>
  </r>
  <r>
    <n v="2020"/>
    <x v="5"/>
    <n v="28"/>
    <x v="8"/>
    <n v="21284.5"/>
    <n v="28500"/>
    <n v="0.74682456140350872"/>
  </r>
  <r>
    <n v="2020"/>
    <x v="5"/>
    <n v="28"/>
    <x v="9"/>
    <n v="25455.5"/>
    <n v="28500"/>
    <n v="0.89317543859649118"/>
  </r>
  <r>
    <n v="2020"/>
    <x v="5"/>
    <n v="28"/>
    <x v="10"/>
    <n v="24098"/>
    <n v="28500"/>
    <n v="0.84554385964912282"/>
  </r>
  <r>
    <n v="2020"/>
    <x v="5"/>
    <n v="28"/>
    <x v="11"/>
    <n v="25945.5"/>
    <n v="28500"/>
    <n v="0.9103684210526316"/>
  </r>
  <r>
    <n v="2020"/>
    <x v="5"/>
    <n v="28"/>
    <x v="12"/>
    <n v="9395"/>
    <n v="28500"/>
    <n v="0.32964912280701753"/>
  </r>
  <r>
    <n v="2020"/>
    <x v="5"/>
    <n v="28"/>
    <x v="13"/>
    <n v="25668"/>
    <n v="28500"/>
    <n v="0.90063157894736845"/>
  </r>
  <r>
    <n v="2020"/>
    <x v="5"/>
    <n v="28"/>
    <x v="14"/>
    <n v="29917.5"/>
    <n v="28500"/>
    <n v="1.0497368421052631"/>
  </r>
  <r>
    <n v="2020"/>
    <x v="5"/>
    <n v="28"/>
    <x v="15"/>
    <n v="25572"/>
    <n v="28500"/>
    <n v="0.89726315789473687"/>
  </r>
  <r>
    <n v="2020"/>
    <x v="5"/>
    <n v="28"/>
    <x v="16"/>
    <n v="18276.5"/>
    <n v="28500"/>
    <n v="0.64128070175438601"/>
  </r>
  <r>
    <n v="2020"/>
    <x v="5"/>
    <n v="28"/>
    <x v="17"/>
    <n v="10236"/>
    <n v="28500"/>
    <n v="0.35915789473684212"/>
  </r>
  <r>
    <n v="2020"/>
    <x v="5"/>
    <n v="28"/>
    <x v="18"/>
    <n v="2068.5"/>
    <n v="28500"/>
    <n v="7.2578947368421048E-2"/>
  </r>
  <r>
    <n v="2020"/>
    <x v="5"/>
    <n v="28"/>
    <x v="19"/>
    <n v="904"/>
    <n v="28500"/>
    <n v="3.1719298245614036E-2"/>
  </r>
  <r>
    <n v="2020"/>
    <x v="5"/>
    <n v="28"/>
    <x v="20"/>
    <n v="0"/>
    <n v="28500"/>
    <n v="0"/>
  </r>
  <r>
    <n v="2020"/>
    <x v="5"/>
    <n v="28"/>
    <x v="21"/>
    <n v="0"/>
    <n v="28500"/>
    <n v="0"/>
  </r>
  <r>
    <n v="2020"/>
    <x v="5"/>
    <n v="28"/>
    <x v="22"/>
    <n v="0"/>
    <n v="28500"/>
    <n v="0"/>
  </r>
  <r>
    <n v="2020"/>
    <x v="5"/>
    <n v="28"/>
    <x v="23"/>
    <n v="0"/>
    <n v="28500"/>
    <n v="0"/>
  </r>
  <r>
    <n v="2020"/>
    <x v="5"/>
    <n v="29"/>
    <x v="0"/>
    <n v="0"/>
    <n v="28500"/>
    <n v="0"/>
  </r>
  <r>
    <n v="2020"/>
    <x v="5"/>
    <n v="29"/>
    <x v="1"/>
    <n v="0"/>
    <n v="28500"/>
    <n v="0"/>
  </r>
  <r>
    <n v="2020"/>
    <x v="5"/>
    <n v="29"/>
    <x v="2"/>
    <n v="0"/>
    <n v="28500"/>
    <n v="0"/>
  </r>
  <r>
    <n v="2020"/>
    <x v="5"/>
    <n v="29"/>
    <x v="3"/>
    <n v="0"/>
    <n v="28500"/>
    <n v="0"/>
  </r>
  <r>
    <n v="2020"/>
    <x v="5"/>
    <n v="29"/>
    <x v="4"/>
    <n v="0"/>
    <n v="28500"/>
    <n v="0"/>
  </r>
  <r>
    <n v="2020"/>
    <x v="5"/>
    <n v="29"/>
    <x v="5"/>
    <n v="1741.5"/>
    <n v="28500"/>
    <n v="6.1105263157894739E-2"/>
  </r>
  <r>
    <n v="2020"/>
    <x v="5"/>
    <n v="29"/>
    <x v="6"/>
    <n v="3475.5"/>
    <n v="28500"/>
    <n v="0.12194736842105264"/>
  </r>
  <r>
    <n v="2020"/>
    <x v="5"/>
    <n v="29"/>
    <x v="7"/>
    <n v="6271"/>
    <n v="28500"/>
    <n v="0.22003508771929825"/>
  </r>
  <r>
    <n v="2020"/>
    <x v="5"/>
    <n v="29"/>
    <x v="8"/>
    <n v="15207.5"/>
    <n v="28500"/>
    <n v="0.53359649122807018"/>
  </r>
  <r>
    <n v="2020"/>
    <x v="5"/>
    <n v="29"/>
    <x v="9"/>
    <n v="13369.5"/>
    <n v="28500"/>
    <n v="0.46910526315789475"/>
  </r>
  <r>
    <n v="2020"/>
    <x v="5"/>
    <n v="29"/>
    <x v="10"/>
    <n v="17266"/>
    <n v="28500"/>
    <n v="0.60582456140350882"/>
  </r>
  <r>
    <n v="2020"/>
    <x v="5"/>
    <n v="29"/>
    <x v="11"/>
    <n v="36027"/>
    <n v="28500"/>
    <n v="1.2641052631578948"/>
  </r>
  <r>
    <n v="2020"/>
    <x v="5"/>
    <n v="29"/>
    <x v="12"/>
    <n v="28904"/>
    <n v="28500"/>
    <n v="1.0141754385964912"/>
  </r>
  <r>
    <n v="2020"/>
    <x v="5"/>
    <n v="29"/>
    <x v="13"/>
    <n v="24962.5"/>
    <n v="28500"/>
    <n v="0.87587719298245614"/>
  </r>
  <r>
    <n v="2020"/>
    <x v="5"/>
    <n v="29"/>
    <x v="14"/>
    <n v="27502"/>
    <n v="28500"/>
    <n v="0.96498245614035083"/>
  </r>
  <r>
    <n v="2020"/>
    <x v="5"/>
    <n v="29"/>
    <x v="15"/>
    <n v="21900.5"/>
    <n v="28500"/>
    <n v="0.76843859649122803"/>
  </r>
  <r>
    <n v="2020"/>
    <x v="5"/>
    <n v="29"/>
    <x v="16"/>
    <n v="6523.5"/>
    <n v="28500"/>
    <n v="0.22889473684210526"/>
  </r>
  <r>
    <n v="2020"/>
    <x v="5"/>
    <n v="29"/>
    <x v="17"/>
    <n v="5973"/>
    <n v="28500"/>
    <n v="0.20957894736842106"/>
  </r>
  <r>
    <n v="2020"/>
    <x v="5"/>
    <n v="29"/>
    <x v="18"/>
    <n v="2161.5"/>
    <n v="28500"/>
    <n v="7.5842105263157891E-2"/>
  </r>
  <r>
    <n v="2020"/>
    <x v="5"/>
    <n v="29"/>
    <x v="19"/>
    <n v="905.5"/>
    <n v="28500"/>
    <n v="3.1771929824561403E-2"/>
  </r>
  <r>
    <n v="2020"/>
    <x v="5"/>
    <n v="29"/>
    <x v="20"/>
    <n v="0"/>
    <n v="28500"/>
    <n v="0"/>
  </r>
  <r>
    <n v="2020"/>
    <x v="5"/>
    <n v="29"/>
    <x v="21"/>
    <n v="0"/>
    <n v="28500"/>
    <n v="0"/>
  </r>
  <r>
    <n v="2020"/>
    <x v="5"/>
    <n v="29"/>
    <x v="22"/>
    <n v="0"/>
    <n v="28500"/>
    <n v="0"/>
  </r>
  <r>
    <n v="2020"/>
    <x v="5"/>
    <n v="29"/>
    <x v="23"/>
    <n v="0"/>
    <n v="28500"/>
    <n v="0"/>
  </r>
  <r>
    <n v="2020"/>
    <x v="5"/>
    <n v="30"/>
    <x v="0"/>
    <n v="0"/>
    <n v="28500"/>
    <n v="0"/>
  </r>
  <r>
    <n v="2020"/>
    <x v="5"/>
    <n v="30"/>
    <x v="1"/>
    <n v="0"/>
    <n v="28500"/>
    <n v="0"/>
  </r>
  <r>
    <n v="2020"/>
    <x v="5"/>
    <n v="30"/>
    <x v="2"/>
    <n v="0"/>
    <n v="28500"/>
    <n v="0"/>
  </r>
  <r>
    <n v="2020"/>
    <x v="5"/>
    <n v="30"/>
    <x v="3"/>
    <n v="0"/>
    <n v="28500"/>
    <n v="0"/>
  </r>
  <r>
    <n v="2020"/>
    <x v="5"/>
    <n v="30"/>
    <x v="4"/>
    <n v="0"/>
    <n v="28500"/>
    <n v="0"/>
  </r>
  <r>
    <n v="2020"/>
    <x v="5"/>
    <n v="30"/>
    <x v="5"/>
    <n v="1771.5"/>
    <n v="28500"/>
    <n v="6.2157894736842106E-2"/>
  </r>
  <r>
    <n v="2020"/>
    <x v="5"/>
    <n v="30"/>
    <x v="6"/>
    <n v="4530.5"/>
    <n v="28500"/>
    <n v="0.15896491228070175"/>
  </r>
  <r>
    <n v="2020"/>
    <x v="5"/>
    <n v="30"/>
    <x v="7"/>
    <n v="4349.5"/>
    <n v="28500"/>
    <n v="0.15261403508771929"/>
  </r>
  <r>
    <n v="2020"/>
    <x v="5"/>
    <n v="30"/>
    <x v="8"/>
    <n v="3758"/>
    <n v="28500"/>
    <n v="0.13185964912280701"/>
  </r>
  <r>
    <n v="2020"/>
    <x v="5"/>
    <n v="30"/>
    <x v="9"/>
    <n v="5516"/>
    <n v="28500"/>
    <n v="0.1935438596491228"/>
  </r>
  <r>
    <n v="2020"/>
    <x v="5"/>
    <n v="30"/>
    <x v="10"/>
    <n v="5357"/>
    <n v="28500"/>
    <n v="0.18796491228070175"/>
  </r>
  <r>
    <n v="2020"/>
    <x v="5"/>
    <n v="30"/>
    <x v="11"/>
    <n v="5077.5"/>
    <n v="28500"/>
    <n v="0.1781578947368421"/>
  </r>
  <r>
    <n v="2020"/>
    <x v="5"/>
    <n v="30"/>
    <x v="12"/>
    <n v="9485"/>
    <n v="28500"/>
    <n v="0.33280701754385966"/>
  </r>
  <r>
    <n v="2020"/>
    <x v="5"/>
    <n v="30"/>
    <x v="13"/>
    <n v="5539"/>
    <n v="28500"/>
    <n v="0.19435087719298247"/>
  </r>
  <r>
    <n v="2020"/>
    <x v="5"/>
    <n v="30"/>
    <x v="14"/>
    <n v="4691"/>
    <n v="28500"/>
    <n v="0.16459649122807019"/>
  </r>
  <r>
    <n v="2020"/>
    <x v="5"/>
    <n v="30"/>
    <x v="15"/>
    <n v="4647.5"/>
    <n v="28500"/>
    <n v="0.1630701754385965"/>
  </r>
  <r>
    <n v="2020"/>
    <x v="5"/>
    <n v="30"/>
    <x v="16"/>
    <n v="5416"/>
    <n v="28500"/>
    <n v="0.19003508771929825"/>
  </r>
  <r>
    <n v="2020"/>
    <x v="5"/>
    <n v="30"/>
    <x v="17"/>
    <n v="2163.5"/>
    <n v="28500"/>
    <n v="7.5912280701754389E-2"/>
  </r>
  <r>
    <n v="2020"/>
    <x v="5"/>
    <n v="30"/>
    <x v="18"/>
    <n v="936.5"/>
    <n v="28500"/>
    <n v="3.2859649122807019E-2"/>
  </r>
  <r>
    <n v="2020"/>
    <x v="5"/>
    <n v="30"/>
    <x v="19"/>
    <n v="73.5"/>
    <n v="28500"/>
    <n v="2.5789473684210526E-3"/>
  </r>
  <r>
    <n v="2020"/>
    <x v="5"/>
    <n v="30"/>
    <x v="20"/>
    <n v="0"/>
    <n v="28500"/>
    <n v="0"/>
  </r>
  <r>
    <n v="2020"/>
    <x v="5"/>
    <n v="30"/>
    <x v="21"/>
    <n v="0"/>
    <n v="28500"/>
    <n v="0"/>
  </r>
  <r>
    <n v="2020"/>
    <x v="5"/>
    <n v="30"/>
    <x v="22"/>
    <n v="0"/>
    <n v="28500"/>
    <n v="0"/>
  </r>
  <r>
    <n v="2020"/>
    <x v="5"/>
    <n v="30"/>
    <x v="23"/>
    <n v="0"/>
    <n v="28500"/>
    <n v="0"/>
  </r>
  <r>
    <n v="2020"/>
    <x v="6"/>
    <n v="1"/>
    <x v="0"/>
    <n v="0"/>
    <n v="28500"/>
    <n v="0"/>
  </r>
  <r>
    <n v="2020"/>
    <x v="6"/>
    <n v="1"/>
    <x v="1"/>
    <n v="0"/>
    <n v="28500"/>
    <n v="0"/>
  </r>
  <r>
    <n v="2020"/>
    <x v="6"/>
    <n v="1"/>
    <x v="2"/>
    <n v="0"/>
    <n v="28500"/>
    <n v="0"/>
  </r>
  <r>
    <n v="2020"/>
    <x v="6"/>
    <n v="1"/>
    <x v="3"/>
    <n v="0"/>
    <n v="28500"/>
    <n v="0"/>
  </r>
  <r>
    <n v="2020"/>
    <x v="6"/>
    <n v="1"/>
    <x v="4"/>
    <n v="0"/>
    <n v="28500"/>
    <n v="0"/>
  </r>
  <r>
    <n v="2020"/>
    <x v="6"/>
    <n v="1"/>
    <x v="5"/>
    <n v="1325.5"/>
    <n v="28500"/>
    <n v="4.6508771929824562E-2"/>
  </r>
  <r>
    <n v="2020"/>
    <x v="6"/>
    <n v="1"/>
    <x v="6"/>
    <n v="3738"/>
    <n v="28500"/>
    <n v="0.13115789473684211"/>
  </r>
  <r>
    <n v="2020"/>
    <x v="6"/>
    <n v="1"/>
    <x v="7"/>
    <n v="12224.5"/>
    <n v="28500"/>
    <n v="0.42892982456140349"/>
  </r>
  <r>
    <n v="2020"/>
    <x v="6"/>
    <n v="1"/>
    <x v="8"/>
    <n v="21726"/>
    <n v="28500"/>
    <n v="0.76231578947368417"/>
  </r>
  <r>
    <n v="2020"/>
    <x v="6"/>
    <n v="1"/>
    <x v="9"/>
    <n v="21458"/>
    <n v="28500"/>
    <n v="0.75291228070175442"/>
  </r>
  <r>
    <n v="2020"/>
    <x v="6"/>
    <n v="1"/>
    <x v="10"/>
    <n v="14878"/>
    <n v="28500"/>
    <n v="0.5220350877192983"/>
  </r>
  <r>
    <n v="2020"/>
    <x v="6"/>
    <n v="1"/>
    <x v="11"/>
    <n v="13529"/>
    <n v="28500"/>
    <n v="0.4747017543859649"/>
  </r>
  <r>
    <n v="2020"/>
    <x v="6"/>
    <n v="1"/>
    <x v="12"/>
    <n v="34972.5"/>
    <n v="28500"/>
    <n v="1.2271052631578947"/>
  </r>
  <r>
    <n v="2020"/>
    <x v="6"/>
    <n v="1"/>
    <x v="13"/>
    <n v="3699"/>
    <n v="28500"/>
    <n v="0.12978947368421054"/>
  </r>
  <r>
    <n v="2020"/>
    <x v="6"/>
    <n v="1"/>
    <x v="14"/>
    <n v="4834"/>
    <n v="28500"/>
    <n v="0.1696140350877193"/>
  </r>
  <r>
    <n v="2020"/>
    <x v="6"/>
    <n v="1"/>
    <x v="15"/>
    <n v="3026.5"/>
    <n v="28500"/>
    <n v="0.10619298245614035"/>
  </r>
  <r>
    <n v="2020"/>
    <x v="6"/>
    <n v="1"/>
    <x v="16"/>
    <n v="2770.5"/>
    <n v="28500"/>
    <n v="9.7210526315789469E-2"/>
  </r>
  <r>
    <n v="2020"/>
    <x v="6"/>
    <n v="1"/>
    <x v="17"/>
    <n v="3245"/>
    <n v="28500"/>
    <n v="0.11385964912280702"/>
  </r>
  <r>
    <n v="2020"/>
    <x v="6"/>
    <n v="1"/>
    <x v="18"/>
    <n v="1230"/>
    <n v="28500"/>
    <n v="4.3157894736842103E-2"/>
  </r>
  <r>
    <n v="2020"/>
    <x v="6"/>
    <n v="1"/>
    <x v="19"/>
    <n v="574"/>
    <n v="28500"/>
    <n v="2.0140350877192983E-2"/>
  </r>
  <r>
    <n v="2020"/>
    <x v="6"/>
    <n v="1"/>
    <x v="20"/>
    <n v="0"/>
    <n v="28500"/>
    <n v="0"/>
  </r>
  <r>
    <n v="2020"/>
    <x v="6"/>
    <n v="1"/>
    <x v="21"/>
    <n v="0"/>
    <n v="28500"/>
    <n v="0"/>
  </r>
  <r>
    <n v="2020"/>
    <x v="6"/>
    <n v="1"/>
    <x v="22"/>
    <n v="0"/>
    <n v="28500"/>
    <n v="0"/>
  </r>
  <r>
    <n v="2020"/>
    <x v="6"/>
    <n v="1"/>
    <x v="23"/>
    <n v="0"/>
    <n v="28500"/>
    <n v="0"/>
  </r>
  <r>
    <n v="2020"/>
    <x v="6"/>
    <n v="2"/>
    <x v="0"/>
    <n v="0"/>
    <n v="28500"/>
    <n v="0"/>
  </r>
  <r>
    <n v="2020"/>
    <x v="6"/>
    <n v="2"/>
    <x v="1"/>
    <n v="0"/>
    <n v="28500"/>
    <n v="0"/>
  </r>
  <r>
    <n v="2020"/>
    <x v="6"/>
    <n v="2"/>
    <x v="2"/>
    <n v="0"/>
    <n v="28500"/>
    <n v="0"/>
  </r>
  <r>
    <n v="2020"/>
    <x v="6"/>
    <n v="2"/>
    <x v="3"/>
    <n v="0"/>
    <n v="28500"/>
    <n v="0"/>
  </r>
  <r>
    <n v="2020"/>
    <x v="6"/>
    <n v="2"/>
    <x v="4"/>
    <n v="0"/>
    <n v="28500"/>
    <n v="0"/>
  </r>
  <r>
    <n v="2020"/>
    <x v="6"/>
    <n v="2"/>
    <x v="5"/>
    <n v="1769"/>
    <n v="28500"/>
    <n v="6.2070175438596491E-2"/>
  </r>
  <r>
    <n v="2020"/>
    <x v="6"/>
    <n v="2"/>
    <x v="6"/>
    <n v="3411.5"/>
    <n v="28500"/>
    <n v="0.11970175438596491"/>
  </r>
  <r>
    <n v="2020"/>
    <x v="6"/>
    <n v="2"/>
    <x v="7"/>
    <n v="12891"/>
    <n v="28500"/>
    <n v="0.45231578947368423"/>
  </r>
  <r>
    <n v="2020"/>
    <x v="6"/>
    <n v="2"/>
    <x v="8"/>
    <n v="6619"/>
    <n v="28500"/>
    <n v="0.23224561403508773"/>
  </r>
  <r>
    <n v="2020"/>
    <x v="6"/>
    <n v="2"/>
    <x v="9"/>
    <n v="12928.5"/>
    <n v="28500"/>
    <n v="0.45363157894736844"/>
  </r>
  <r>
    <n v="2020"/>
    <x v="6"/>
    <n v="2"/>
    <x v="10"/>
    <n v="5972.5"/>
    <n v="28500"/>
    <n v="0.20956140350877192"/>
  </r>
  <r>
    <n v="2020"/>
    <x v="6"/>
    <n v="2"/>
    <x v="11"/>
    <n v="27166"/>
    <n v="28500"/>
    <n v="0.95319298245614037"/>
  </r>
  <r>
    <n v="2020"/>
    <x v="6"/>
    <n v="2"/>
    <x v="12"/>
    <n v="14900.5"/>
    <n v="28500"/>
    <n v="0.52282456140350875"/>
  </r>
  <r>
    <n v="2020"/>
    <x v="6"/>
    <n v="2"/>
    <x v="13"/>
    <n v="13697.5"/>
    <n v="28500"/>
    <n v="0.48061403508771927"/>
  </r>
  <r>
    <n v="2020"/>
    <x v="6"/>
    <n v="2"/>
    <x v="14"/>
    <n v="32147.5"/>
    <n v="28500"/>
    <n v="1.1279824561403509"/>
  </r>
  <r>
    <n v="2020"/>
    <x v="6"/>
    <n v="2"/>
    <x v="15"/>
    <n v="12616"/>
    <n v="28500"/>
    <n v="0.44266666666666665"/>
  </r>
  <r>
    <n v="2020"/>
    <x v="6"/>
    <n v="2"/>
    <x v="16"/>
    <n v="13921.5"/>
    <n v="28500"/>
    <n v="0.48847368421052634"/>
  </r>
  <r>
    <n v="2020"/>
    <x v="6"/>
    <n v="2"/>
    <x v="17"/>
    <n v="9975.5"/>
    <n v="28500"/>
    <n v="0.35001754385964912"/>
  </r>
  <r>
    <n v="2020"/>
    <x v="6"/>
    <n v="2"/>
    <x v="18"/>
    <n v="1028"/>
    <n v="28500"/>
    <n v="3.6070175438596488E-2"/>
  </r>
  <r>
    <n v="2020"/>
    <x v="6"/>
    <n v="2"/>
    <x v="19"/>
    <n v="18.5"/>
    <n v="28500"/>
    <n v="6.4912280701754385E-4"/>
  </r>
  <r>
    <n v="2020"/>
    <x v="6"/>
    <n v="2"/>
    <x v="20"/>
    <n v="0"/>
    <n v="28500"/>
    <n v="0"/>
  </r>
  <r>
    <n v="2020"/>
    <x v="6"/>
    <n v="2"/>
    <x v="21"/>
    <n v="0"/>
    <n v="28500"/>
    <n v="0"/>
  </r>
  <r>
    <n v="2020"/>
    <x v="6"/>
    <n v="2"/>
    <x v="22"/>
    <n v="0"/>
    <n v="28500"/>
    <n v="0"/>
  </r>
  <r>
    <n v="2020"/>
    <x v="6"/>
    <n v="2"/>
    <x v="23"/>
    <n v="0"/>
    <n v="28500"/>
    <n v="0"/>
  </r>
  <r>
    <n v="2020"/>
    <x v="6"/>
    <n v="3"/>
    <x v="0"/>
    <n v="0"/>
    <n v="28500"/>
    <n v="0"/>
  </r>
  <r>
    <n v="2020"/>
    <x v="6"/>
    <n v="3"/>
    <x v="1"/>
    <n v="0"/>
    <n v="28500"/>
    <n v="0"/>
  </r>
  <r>
    <n v="2020"/>
    <x v="6"/>
    <n v="3"/>
    <x v="2"/>
    <n v="0"/>
    <n v="28500"/>
    <n v="0"/>
  </r>
  <r>
    <n v="2020"/>
    <x v="6"/>
    <n v="3"/>
    <x v="3"/>
    <n v="0"/>
    <n v="28500"/>
    <n v="0"/>
  </r>
  <r>
    <n v="2020"/>
    <x v="6"/>
    <n v="3"/>
    <x v="4"/>
    <n v="0"/>
    <n v="28500"/>
    <n v="0"/>
  </r>
  <r>
    <n v="2020"/>
    <x v="6"/>
    <n v="3"/>
    <x v="5"/>
    <n v="1571"/>
    <n v="28500"/>
    <n v="5.5122807017543858E-2"/>
  </r>
  <r>
    <n v="2020"/>
    <x v="6"/>
    <n v="3"/>
    <x v="6"/>
    <n v="3915"/>
    <n v="28500"/>
    <n v="0.13736842105263158"/>
  </r>
  <r>
    <n v="2020"/>
    <x v="6"/>
    <n v="3"/>
    <x v="7"/>
    <n v="12486"/>
    <n v="28500"/>
    <n v="0.43810526315789472"/>
  </r>
  <r>
    <n v="2020"/>
    <x v="6"/>
    <n v="3"/>
    <x v="8"/>
    <n v="19135.5"/>
    <n v="28500"/>
    <n v="0.67142105263157892"/>
  </r>
  <r>
    <n v="2020"/>
    <x v="6"/>
    <n v="3"/>
    <x v="9"/>
    <n v="18702.5"/>
    <n v="28500"/>
    <n v="0.6562280701754386"/>
  </r>
  <r>
    <n v="2020"/>
    <x v="6"/>
    <n v="3"/>
    <x v="10"/>
    <n v="29418"/>
    <n v="28500"/>
    <n v="1.0322105263157895"/>
  </r>
  <r>
    <n v="2020"/>
    <x v="6"/>
    <n v="3"/>
    <x v="11"/>
    <n v="36837.5"/>
    <n v="28500"/>
    <n v="1.2925438596491228"/>
  </r>
  <r>
    <n v="2020"/>
    <x v="6"/>
    <n v="3"/>
    <x v="12"/>
    <n v="33301"/>
    <n v="28500"/>
    <n v="1.1684561403508773"/>
  </r>
  <r>
    <n v="2020"/>
    <x v="6"/>
    <n v="3"/>
    <x v="13"/>
    <n v="30194.5"/>
    <n v="28500"/>
    <n v="1.0594561403508771"/>
  </r>
  <r>
    <n v="2020"/>
    <x v="6"/>
    <n v="3"/>
    <x v="14"/>
    <n v="29493.5"/>
    <n v="28500"/>
    <n v="1.034859649122807"/>
  </r>
  <r>
    <n v="2020"/>
    <x v="6"/>
    <n v="3"/>
    <x v="15"/>
    <n v="16359.5"/>
    <n v="28500"/>
    <n v="0.57401754385964909"/>
  </r>
  <r>
    <n v="2020"/>
    <x v="6"/>
    <n v="3"/>
    <x v="16"/>
    <n v="11243"/>
    <n v="28500"/>
    <n v="0.39449122807017545"/>
  </r>
  <r>
    <n v="2020"/>
    <x v="6"/>
    <n v="3"/>
    <x v="17"/>
    <n v="5575.5"/>
    <n v="28500"/>
    <n v="0.19563157894736843"/>
  </r>
  <r>
    <n v="2020"/>
    <x v="6"/>
    <n v="3"/>
    <x v="18"/>
    <n v="550.5"/>
    <n v="28500"/>
    <n v="1.931578947368421E-2"/>
  </r>
  <r>
    <n v="2020"/>
    <x v="6"/>
    <n v="3"/>
    <x v="19"/>
    <n v="94"/>
    <n v="28500"/>
    <n v="3.2982456140350875E-3"/>
  </r>
  <r>
    <n v="2020"/>
    <x v="6"/>
    <n v="3"/>
    <x v="20"/>
    <n v="0"/>
    <n v="28500"/>
    <n v="0"/>
  </r>
  <r>
    <n v="2020"/>
    <x v="6"/>
    <n v="3"/>
    <x v="21"/>
    <n v="0"/>
    <n v="28500"/>
    <n v="0"/>
  </r>
  <r>
    <n v="2020"/>
    <x v="6"/>
    <n v="3"/>
    <x v="22"/>
    <n v="0"/>
    <n v="28500"/>
    <n v="0"/>
  </r>
  <r>
    <n v="2020"/>
    <x v="6"/>
    <n v="3"/>
    <x v="23"/>
    <n v="0"/>
    <n v="28500"/>
    <n v="0"/>
  </r>
  <r>
    <n v="2020"/>
    <x v="6"/>
    <n v="4"/>
    <x v="0"/>
    <n v="0"/>
    <n v="28500"/>
    <n v="0"/>
  </r>
  <r>
    <n v="2020"/>
    <x v="6"/>
    <n v="4"/>
    <x v="1"/>
    <n v="0"/>
    <n v="28500"/>
    <n v="0"/>
  </r>
  <r>
    <n v="2020"/>
    <x v="6"/>
    <n v="4"/>
    <x v="2"/>
    <n v="0"/>
    <n v="28500"/>
    <n v="0"/>
  </r>
  <r>
    <n v="2020"/>
    <x v="6"/>
    <n v="4"/>
    <x v="3"/>
    <n v="0"/>
    <n v="28500"/>
    <n v="0"/>
  </r>
  <r>
    <n v="2020"/>
    <x v="6"/>
    <n v="4"/>
    <x v="4"/>
    <n v="0"/>
    <n v="28500"/>
    <n v="0"/>
  </r>
  <r>
    <n v="2020"/>
    <x v="6"/>
    <n v="4"/>
    <x v="5"/>
    <n v="1513"/>
    <n v="28500"/>
    <n v="5.3087719298245614E-2"/>
  </r>
  <r>
    <n v="2020"/>
    <x v="6"/>
    <n v="4"/>
    <x v="6"/>
    <n v="1244.5"/>
    <n v="28500"/>
    <n v="4.3666666666666666E-2"/>
  </r>
  <r>
    <n v="2020"/>
    <x v="6"/>
    <n v="4"/>
    <x v="7"/>
    <n v="2023"/>
    <n v="28500"/>
    <n v="7.0982456140350883E-2"/>
  </r>
  <r>
    <n v="2020"/>
    <x v="6"/>
    <n v="4"/>
    <x v="8"/>
    <n v="9633.5"/>
    <n v="28500"/>
    <n v="0.33801754385964911"/>
  </r>
  <r>
    <n v="2020"/>
    <x v="6"/>
    <n v="4"/>
    <x v="9"/>
    <n v="8597"/>
    <n v="28500"/>
    <n v="0.30164912280701756"/>
  </r>
  <r>
    <n v="2020"/>
    <x v="6"/>
    <n v="4"/>
    <x v="10"/>
    <n v="6414.5"/>
    <n v="28500"/>
    <n v="0.2250701754385965"/>
  </r>
  <r>
    <n v="2020"/>
    <x v="6"/>
    <n v="4"/>
    <x v="11"/>
    <n v="8227.5"/>
    <n v="28500"/>
    <n v="0.28868421052631577"/>
  </r>
  <r>
    <n v="2020"/>
    <x v="6"/>
    <n v="4"/>
    <x v="12"/>
    <n v="7490.5"/>
    <n v="28500"/>
    <n v="0.26282456140350879"/>
  </r>
  <r>
    <n v="2020"/>
    <x v="6"/>
    <n v="4"/>
    <x v="13"/>
    <n v="5638.5"/>
    <n v="28500"/>
    <n v="0.1978421052631579"/>
  </r>
  <r>
    <n v="2020"/>
    <x v="6"/>
    <n v="4"/>
    <x v="14"/>
    <n v="12457"/>
    <n v="28500"/>
    <n v="0.43708771929824564"/>
  </r>
  <r>
    <n v="2020"/>
    <x v="6"/>
    <n v="4"/>
    <x v="15"/>
    <n v="5537"/>
    <n v="28500"/>
    <n v="0.19428070175438597"/>
  </r>
  <r>
    <n v="2020"/>
    <x v="6"/>
    <n v="4"/>
    <x v="16"/>
    <n v="4775"/>
    <n v="28500"/>
    <n v="0.1675438596491228"/>
  </r>
  <r>
    <n v="2020"/>
    <x v="6"/>
    <n v="4"/>
    <x v="17"/>
    <n v="4554"/>
    <n v="28500"/>
    <n v="0.15978947368421054"/>
  </r>
  <r>
    <n v="2020"/>
    <x v="6"/>
    <n v="4"/>
    <x v="18"/>
    <n v="1439.5"/>
    <n v="28500"/>
    <n v="5.0508771929824559E-2"/>
  </r>
  <r>
    <n v="2020"/>
    <x v="6"/>
    <n v="4"/>
    <x v="19"/>
    <n v="545"/>
    <n v="28500"/>
    <n v="1.9122807017543861E-2"/>
  </r>
  <r>
    <n v="2020"/>
    <x v="6"/>
    <n v="4"/>
    <x v="20"/>
    <n v="0"/>
    <n v="28500"/>
    <n v="0"/>
  </r>
  <r>
    <n v="2020"/>
    <x v="6"/>
    <n v="4"/>
    <x v="21"/>
    <n v="0"/>
    <n v="28500"/>
    <n v="0"/>
  </r>
  <r>
    <n v="2020"/>
    <x v="6"/>
    <n v="4"/>
    <x v="22"/>
    <n v="0"/>
    <n v="28500"/>
    <n v="0"/>
  </r>
  <r>
    <n v="2020"/>
    <x v="6"/>
    <n v="4"/>
    <x v="23"/>
    <n v="0"/>
    <n v="28500"/>
    <n v="0"/>
  </r>
  <r>
    <n v="2020"/>
    <x v="6"/>
    <n v="5"/>
    <x v="0"/>
    <n v="0"/>
    <n v="28500"/>
    <n v="0"/>
  </r>
  <r>
    <n v="2020"/>
    <x v="6"/>
    <n v="5"/>
    <x v="1"/>
    <n v="0"/>
    <n v="28500"/>
    <n v="0"/>
  </r>
  <r>
    <n v="2020"/>
    <x v="6"/>
    <n v="5"/>
    <x v="2"/>
    <n v="0"/>
    <n v="28500"/>
    <n v="0"/>
  </r>
  <r>
    <n v="2020"/>
    <x v="6"/>
    <n v="5"/>
    <x v="3"/>
    <n v="0"/>
    <n v="28500"/>
    <n v="0"/>
  </r>
  <r>
    <n v="2020"/>
    <x v="6"/>
    <n v="5"/>
    <x v="4"/>
    <n v="0"/>
    <n v="28500"/>
    <n v="0"/>
  </r>
  <r>
    <n v="2020"/>
    <x v="6"/>
    <n v="5"/>
    <x v="5"/>
    <n v="902"/>
    <n v="28500"/>
    <n v="3.1649122807017545E-2"/>
  </r>
  <r>
    <n v="2020"/>
    <x v="6"/>
    <n v="5"/>
    <x v="6"/>
    <n v="3473.5"/>
    <n v="28500"/>
    <n v="0.12187719298245614"/>
  </r>
  <r>
    <n v="2020"/>
    <x v="6"/>
    <n v="5"/>
    <x v="7"/>
    <n v="7807.5"/>
    <n v="28500"/>
    <n v="0.27394736842105261"/>
  </r>
  <r>
    <n v="2020"/>
    <x v="6"/>
    <n v="5"/>
    <x v="8"/>
    <n v="18147"/>
    <n v="28500"/>
    <n v="0.63673684210526316"/>
  </r>
  <r>
    <n v="2020"/>
    <x v="6"/>
    <n v="5"/>
    <x v="9"/>
    <n v="29235.5"/>
    <n v="28500"/>
    <n v="1.0258070175438596"/>
  </r>
  <r>
    <n v="2020"/>
    <x v="6"/>
    <n v="5"/>
    <x v="10"/>
    <n v="34850.5"/>
    <n v="28500"/>
    <n v="1.2228245614035087"/>
  </r>
  <r>
    <n v="2020"/>
    <x v="6"/>
    <n v="5"/>
    <x v="11"/>
    <n v="39327.5"/>
    <n v="28500"/>
    <n v="1.3799122807017543"/>
  </r>
  <r>
    <n v="2020"/>
    <x v="6"/>
    <n v="5"/>
    <x v="12"/>
    <n v="40745.5"/>
    <n v="28500"/>
    <n v="1.4296666666666666"/>
  </r>
  <r>
    <n v="2020"/>
    <x v="6"/>
    <n v="5"/>
    <x v="13"/>
    <n v="38950.5"/>
    <n v="28500"/>
    <n v="1.3666842105263157"/>
  </r>
  <r>
    <n v="2020"/>
    <x v="6"/>
    <n v="5"/>
    <x v="14"/>
    <n v="32447.5"/>
    <n v="28500"/>
    <n v="1.1385087719298246"/>
  </r>
  <r>
    <n v="2020"/>
    <x v="6"/>
    <n v="5"/>
    <x v="15"/>
    <n v="29502.5"/>
    <n v="28500"/>
    <n v="1.0351754385964913"/>
  </r>
  <r>
    <n v="2020"/>
    <x v="6"/>
    <n v="5"/>
    <x v="16"/>
    <n v="18851.5"/>
    <n v="28500"/>
    <n v="0.66145614035087719"/>
  </r>
  <r>
    <n v="2020"/>
    <x v="6"/>
    <n v="5"/>
    <x v="17"/>
    <n v="10233.5"/>
    <n v="28500"/>
    <n v="0.35907017543859648"/>
  </r>
  <r>
    <n v="2020"/>
    <x v="6"/>
    <n v="5"/>
    <x v="18"/>
    <n v="3110.5"/>
    <n v="28500"/>
    <n v="0.10914035087719298"/>
  </r>
  <r>
    <n v="2020"/>
    <x v="6"/>
    <n v="5"/>
    <x v="19"/>
    <n v="996.5"/>
    <n v="28500"/>
    <n v="3.4964912280701754E-2"/>
  </r>
  <r>
    <n v="2020"/>
    <x v="6"/>
    <n v="5"/>
    <x v="20"/>
    <n v="0"/>
    <n v="28500"/>
    <n v="0"/>
  </r>
  <r>
    <n v="2020"/>
    <x v="6"/>
    <n v="5"/>
    <x v="21"/>
    <n v="0"/>
    <n v="28500"/>
    <n v="0"/>
  </r>
  <r>
    <n v="2020"/>
    <x v="6"/>
    <n v="5"/>
    <x v="22"/>
    <n v="0"/>
    <n v="28500"/>
    <n v="0"/>
  </r>
  <r>
    <n v="2020"/>
    <x v="6"/>
    <n v="5"/>
    <x v="23"/>
    <n v="0"/>
    <n v="28500"/>
    <n v="0"/>
  </r>
  <r>
    <n v="2020"/>
    <x v="6"/>
    <n v="6"/>
    <x v="0"/>
    <n v="0"/>
    <n v="28500"/>
    <n v="0"/>
  </r>
  <r>
    <n v="2020"/>
    <x v="6"/>
    <n v="6"/>
    <x v="1"/>
    <n v="0"/>
    <n v="28500"/>
    <n v="0"/>
  </r>
  <r>
    <n v="2020"/>
    <x v="6"/>
    <n v="6"/>
    <x v="2"/>
    <n v="0"/>
    <n v="28500"/>
    <n v="0"/>
  </r>
  <r>
    <n v="2020"/>
    <x v="6"/>
    <n v="6"/>
    <x v="3"/>
    <n v="0"/>
    <n v="28500"/>
    <n v="0"/>
  </r>
  <r>
    <n v="2020"/>
    <x v="6"/>
    <n v="6"/>
    <x v="4"/>
    <n v="0"/>
    <n v="28500"/>
    <n v="0"/>
  </r>
  <r>
    <n v="2020"/>
    <x v="6"/>
    <n v="6"/>
    <x v="5"/>
    <n v="1409"/>
    <n v="28500"/>
    <n v="4.9438596491228073E-2"/>
  </r>
  <r>
    <n v="2020"/>
    <x v="6"/>
    <n v="6"/>
    <x v="6"/>
    <n v="3187"/>
    <n v="28500"/>
    <n v="0.11182456140350877"/>
  </r>
  <r>
    <n v="2020"/>
    <x v="6"/>
    <n v="6"/>
    <x v="7"/>
    <n v="12557"/>
    <n v="28500"/>
    <n v="0.44059649122807015"/>
  </r>
  <r>
    <n v="2020"/>
    <x v="6"/>
    <n v="6"/>
    <x v="8"/>
    <n v="17831.5"/>
    <n v="28500"/>
    <n v="0.6256666666666667"/>
  </r>
  <r>
    <n v="2020"/>
    <x v="6"/>
    <n v="6"/>
    <x v="9"/>
    <n v="7915.5"/>
    <n v="28500"/>
    <n v="0.27773684210526317"/>
  </r>
  <r>
    <n v="2020"/>
    <x v="6"/>
    <n v="6"/>
    <x v="10"/>
    <n v="26368"/>
    <n v="28500"/>
    <n v="0.92519298245614034"/>
  </r>
  <r>
    <n v="2020"/>
    <x v="6"/>
    <n v="6"/>
    <x v="11"/>
    <n v="21893"/>
    <n v="28500"/>
    <n v="0.76817543859649118"/>
  </r>
  <r>
    <n v="2020"/>
    <x v="6"/>
    <n v="6"/>
    <x v="12"/>
    <n v="10905"/>
    <n v="28500"/>
    <n v="0.38263157894736843"/>
  </r>
  <r>
    <n v="2020"/>
    <x v="6"/>
    <n v="6"/>
    <x v="13"/>
    <n v="13304"/>
    <n v="28500"/>
    <n v="0.46680701754385967"/>
  </r>
  <r>
    <n v="2020"/>
    <x v="6"/>
    <n v="6"/>
    <x v="14"/>
    <n v="23720.5"/>
    <n v="28500"/>
    <n v="0.83229824561403509"/>
  </r>
  <r>
    <n v="2020"/>
    <x v="6"/>
    <n v="6"/>
    <x v="15"/>
    <n v="11579.5"/>
    <n v="28500"/>
    <n v="0.4062982456140351"/>
  </r>
  <r>
    <n v="2020"/>
    <x v="6"/>
    <n v="6"/>
    <x v="16"/>
    <n v="9933.5"/>
    <n v="28500"/>
    <n v="0.34854385964912282"/>
  </r>
  <r>
    <n v="2020"/>
    <x v="6"/>
    <n v="6"/>
    <x v="17"/>
    <n v="8276"/>
    <n v="28500"/>
    <n v="0.29038596491228069"/>
  </r>
  <r>
    <n v="2020"/>
    <x v="6"/>
    <n v="6"/>
    <x v="18"/>
    <n v="3601.5"/>
    <n v="28500"/>
    <n v="0.12636842105263157"/>
  </r>
  <r>
    <n v="2020"/>
    <x v="6"/>
    <n v="6"/>
    <x v="19"/>
    <n v="1209"/>
    <n v="28500"/>
    <n v="4.242105263157895E-2"/>
  </r>
  <r>
    <n v="2020"/>
    <x v="6"/>
    <n v="6"/>
    <x v="20"/>
    <n v="0"/>
    <n v="28500"/>
    <n v="0"/>
  </r>
  <r>
    <n v="2020"/>
    <x v="6"/>
    <n v="6"/>
    <x v="21"/>
    <n v="0"/>
    <n v="28500"/>
    <n v="0"/>
  </r>
  <r>
    <n v="2020"/>
    <x v="6"/>
    <n v="6"/>
    <x v="22"/>
    <n v="0"/>
    <n v="28500"/>
    <n v="0"/>
  </r>
  <r>
    <n v="2020"/>
    <x v="6"/>
    <n v="6"/>
    <x v="23"/>
    <n v="0"/>
    <n v="28500"/>
    <n v="0"/>
  </r>
  <r>
    <n v="2020"/>
    <x v="6"/>
    <n v="7"/>
    <x v="0"/>
    <n v="0"/>
    <n v="28500"/>
    <n v="0"/>
  </r>
  <r>
    <n v="2020"/>
    <x v="6"/>
    <n v="7"/>
    <x v="1"/>
    <n v="0"/>
    <n v="28500"/>
    <n v="0"/>
  </r>
  <r>
    <n v="2020"/>
    <x v="6"/>
    <n v="7"/>
    <x v="2"/>
    <n v="0"/>
    <n v="28500"/>
    <n v="0"/>
  </r>
  <r>
    <n v="2020"/>
    <x v="6"/>
    <n v="7"/>
    <x v="3"/>
    <n v="0"/>
    <n v="28500"/>
    <n v="0"/>
  </r>
  <r>
    <n v="2020"/>
    <x v="6"/>
    <n v="7"/>
    <x v="4"/>
    <n v="0"/>
    <n v="28500"/>
    <n v="0"/>
  </r>
  <r>
    <n v="2020"/>
    <x v="6"/>
    <n v="7"/>
    <x v="5"/>
    <n v="1405.5"/>
    <n v="28500"/>
    <n v="4.9315789473684209E-2"/>
  </r>
  <r>
    <n v="2020"/>
    <x v="6"/>
    <n v="7"/>
    <x v="6"/>
    <n v="3452"/>
    <n v="28500"/>
    <n v="0.12112280701754385"/>
  </r>
  <r>
    <n v="2020"/>
    <x v="6"/>
    <n v="7"/>
    <x v="7"/>
    <n v="12381.5"/>
    <n v="28500"/>
    <n v="0.43443859649122807"/>
  </r>
  <r>
    <n v="2020"/>
    <x v="6"/>
    <n v="7"/>
    <x v="8"/>
    <n v="21984.5"/>
    <n v="28500"/>
    <n v="0.77138596491228073"/>
  </r>
  <r>
    <n v="2020"/>
    <x v="6"/>
    <n v="7"/>
    <x v="9"/>
    <n v="27686.5"/>
    <n v="28500"/>
    <n v="0.97145614035087724"/>
  </r>
  <r>
    <n v="2020"/>
    <x v="6"/>
    <n v="7"/>
    <x v="10"/>
    <n v="16590"/>
    <n v="28500"/>
    <n v="0.58210526315789479"/>
  </r>
  <r>
    <n v="2020"/>
    <x v="6"/>
    <n v="7"/>
    <x v="11"/>
    <n v="21379.5"/>
    <n v="28500"/>
    <n v="0.75015789473684213"/>
  </r>
  <r>
    <n v="2020"/>
    <x v="6"/>
    <n v="7"/>
    <x v="12"/>
    <n v="25099.5"/>
    <n v="28500"/>
    <n v="0.88068421052631574"/>
  </r>
  <r>
    <n v="2020"/>
    <x v="6"/>
    <n v="7"/>
    <x v="13"/>
    <n v="17408.5"/>
    <n v="28500"/>
    <n v="0.61082456140350883"/>
  </r>
  <r>
    <n v="2020"/>
    <x v="6"/>
    <n v="7"/>
    <x v="14"/>
    <n v="9950.5"/>
    <n v="28500"/>
    <n v="0.34914035087719297"/>
  </r>
  <r>
    <n v="2020"/>
    <x v="6"/>
    <n v="7"/>
    <x v="15"/>
    <n v="6993.5"/>
    <n v="28500"/>
    <n v="0.24538596491228071"/>
  </r>
  <r>
    <n v="2020"/>
    <x v="6"/>
    <n v="7"/>
    <x v="16"/>
    <n v="5728"/>
    <n v="28500"/>
    <n v="0.20098245614035087"/>
  </r>
  <r>
    <n v="2020"/>
    <x v="6"/>
    <n v="7"/>
    <x v="17"/>
    <n v="3789"/>
    <n v="28500"/>
    <n v="0.13294736842105262"/>
  </r>
  <r>
    <n v="2020"/>
    <x v="6"/>
    <n v="7"/>
    <x v="18"/>
    <n v="3635"/>
    <n v="28500"/>
    <n v="0.12754385964912282"/>
  </r>
  <r>
    <n v="2020"/>
    <x v="6"/>
    <n v="7"/>
    <x v="19"/>
    <n v="330"/>
    <n v="28500"/>
    <n v="1.1578947368421053E-2"/>
  </r>
  <r>
    <n v="2020"/>
    <x v="6"/>
    <n v="7"/>
    <x v="20"/>
    <n v="0"/>
    <n v="28500"/>
    <n v="0"/>
  </r>
  <r>
    <n v="2020"/>
    <x v="6"/>
    <n v="7"/>
    <x v="21"/>
    <n v="0"/>
    <n v="28500"/>
    <n v="0"/>
  </r>
  <r>
    <n v="2020"/>
    <x v="6"/>
    <n v="7"/>
    <x v="22"/>
    <n v="0"/>
    <n v="28500"/>
    <n v="0"/>
  </r>
  <r>
    <n v="2020"/>
    <x v="6"/>
    <n v="7"/>
    <x v="23"/>
    <n v="0"/>
    <n v="28500"/>
    <n v="0"/>
  </r>
  <r>
    <n v="2020"/>
    <x v="6"/>
    <n v="8"/>
    <x v="0"/>
    <n v="0"/>
    <n v="28500"/>
    <n v="0"/>
  </r>
  <r>
    <n v="2020"/>
    <x v="6"/>
    <n v="8"/>
    <x v="1"/>
    <n v="0"/>
    <n v="28500"/>
    <n v="0"/>
  </r>
  <r>
    <n v="2020"/>
    <x v="6"/>
    <n v="8"/>
    <x v="2"/>
    <n v="0"/>
    <n v="28500"/>
    <n v="0"/>
  </r>
  <r>
    <n v="2020"/>
    <x v="6"/>
    <n v="8"/>
    <x v="3"/>
    <n v="0"/>
    <n v="28500"/>
    <n v="0"/>
  </r>
  <r>
    <n v="2020"/>
    <x v="6"/>
    <n v="8"/>
    <x v="4"/>
    <n v="0"/>
    <n v="28500"/>
    <n v="0"/>
  </r>
  <r>
    <n v="2020"/>
    <x v="6"/>
    <n v="8"/>
    <x v="5"/>
    <n v="94.5"/>
    <n v="28500"/>
    <n v="3.3157894736842103E-3"/>
  </r>
  <r>
    <n v="2020"/>
    <x v="6"/>
    <n v="8"/>
    <x v="6"/>
    <n v="620"/>
    <n v="28500"/>
    <n v="2.175438596491228E-2"/>
  </r>
  <r>
    <n v="2020"/>
    <x v="6"/>
    <n v="8"/>
    <x v="7"/>
    <n v="3151.5"/>
    <n v="28500"/>
    <n v="0.11057894736842105"/>
  </r>
  <r>
    <n v="2020"/>
    <x v="6"/>
    <n v="8"/>
    <x v="8"/>
    <n v="3680.5"/>
    <n v="28500"/>
    <n v="0.12914035087719297"/>
  </r>
  <r>
    <n v="2020"/>
    <x v="6"/>
    <n v="8"/>
    <x v="9"/>
    <n v="6137.5"/>
    <n v="28500"/>
    <n v="0.21535087719298246"/>
  </r>
  <r>
    <n v="2020"/>
    <x v="6"/>
    <n v="8"/>
    <x v="10"/>
    <n v="6322"/>
    <n v="28500"/>
    <n v="0.22182456140350879"/>
  </r>
  <r>
    <n v="2020"/>
    <x v="6"/>
    <n v="8"/>
    <x v="11"/>
    <n v="6346"/>
    <n v="28500"/>
    <n v="0.22266666666666668"/>
  </r>
  <r>
    <n v="2020"/>
    <x v="6"/>
    <n v="8"/>
    <x v="12"/>
    <n v="5874.5"/>
    <n v="28500"/>
    <n v="0.20612280701754385"/>
  </r>
  <r>
    <n v="2020"/>
    <x v="6"/>
    <n v="8"/>
    <x v="13"/>
    <n v="6061.5"/>
    <n v="28500"/>
    <n v="0.21268421052631578"/>
  </r>
  <r>
    <n v="2020"/>
    <x v="6"/>
    <n v="8"/>
    <x v="14"/>
    <n v="8337"/>
    <n v="28500"/>
    <n v="0.29252631578947369"/>
  </r>
  <r>
    <n v="2020"/>
    <x v="6"/>
    <n v="8"/>
    <x v="15"/>
    <n v="8838"/>
    <n v="28500"/>
    <n v="0.31010526315789472"/>
  </r>
  <r>
    <n v="2020"/>
    <x v="6"/>
    <n v="8"/>
    <x v="16"/>
    <n v="10421.5"/>
    <n v="28500"/>
    <n v="0.36566666666666664"/>
  </r>
  <r>
    <n v="2020"/>
    <x v="6"/>
    <n v="8"/>
    <x v="17"/>
    <n v="2137.5"/>
    <n v="28500"/>
    <n v="7.4999999999999997E-2"/>
  </r>
  <r>
    <n v="2020"/>
    <x v="6"/>
    <n v="8"/>
    <x v="18"/>
    <n v="2861"/>
    <n v="28500"/>
    <n v="0.1003859649122807"/>
  </r>
  <r>
    <n v="2020"/>
    <x v="6"/>
    <n v="8"/>
    <x v="19"/>
    <n v="1082"/>
    <n v="28500"/>
    <n v="3.7964912280701757E-2"/>
  </r>
  <r>
    <n v="2020"/>
    <x v="6"/>
    <n v="8"/>
    <x v="20"/>
    <n v="0"/>
    <n v="28500"/>
    <n v="0"/>
  </r>
  <r>
    <n v="2020"/>
    <x v="6"/>
    <n v="8"/>
    <x v="21"/>
    <n v="0"/>
    <n v="28500"/>
    <n v="0"/>
  </r>
  <r>
    <n v="2020"/>
    <x v="6"/>
    <n v="8"/>
    <x v="22"/>
    <n v="0"/>
    <n v="28500"/>
    <n v="0"/>
  </r>
  <r>
    <n v="2020"/>
    <x v="6"/>
    <n v="8"/>
    <x v="23"/>
    <n v="0"/>
    <n v="28500"/>
    <n v="0"/>
  </r>
  <r>
    <n v="2020"/>
    <x v="6"/>
    <n v="9"/>
    <x v="0"/>
    <n v="0"/>
    <n v="28500"/>
    <n v="0"/>
  </r>
  <r>
    <n v="2020"/>
    <x v="6"/>
    <n v="9"/>
    <x v="1"/>
    <n v="0"/>
    <n v="28500"/>
    <n v="0"/>
  </r>
  <r>
    <n v="2020"/>
    <x v="6"/>
    <n v="9"/>
    <x v="2"/>
    <n v="0"/>
    <n v="28500"/>
    <n v="0"/>
  </r>
  <r>
    <n v="2020"/>
    <x v="6"/>
    <n v="9"/>
    <x v="3"/>
    <n v="0"/>
    <n v="28500"/>
    <n v="0"/>
  </r>
  <r>
    <n v="2020"/>
    <x v="6"/>
    <n v="9"/>
    <x v="4"/>
    <n v="0"/>
    <n v="28500"/>
    <n v="0"/>
  </r>
  <r>
    <n v="2020"/>
    <x v="6"/>
    <n v="9"/>
    <x v="5"/>
    <n v="882"/>
    <n v="28500"/>
    <n v="3.0947368421052633E-2"/>
  </r>
  <r>
    <n v="2020"/>
    <x v="6"/>
    <n v="9"/>
    <x v="6"/>
    <n v="3636.5"/>
    <n v="28500"/>
    <n v="0.12759649122807018"/>
  </r>
  <r>
    <n v="2020"/>
    <x v="6"/>
    <n v="9"/>
    <x v="7"/>
    <n v="5868.5"/>
    <n v="28500"/>
    <n v="0.20591228070175438"/>
  </r>
  <r>
    <n v="2020"/>
    <x v="6"/>
    <n v="9"/>
    <x v="8"/>
    <n v="6966.5"/>
    <n v="28500"/>
    <n v="0.24443859649122807"/>
  </r>
  <r>
    <n v="2020"/>
    <x v="6"/>
    <n v="9"/>
    <x v="9"/>
    <n v="4844"/>
    <n v="28500"/>
    <n v="0.16996491228070176"/>
  </r>
  <r>
    <n v="2020"/>
    <x v="6"/>
    <n v="9"/>
    <x v="10"/>
    <n v="7634.5"/>
    <n v="28500"/>
    <n v="0.26787719298245616"/>
  </r>
  <r>
    <n v="2020"/>
    <x v="6"/>
    <n v="9"/>
    <x v="11"/>
    <n v="5997.5"/>
    <n v="28500"/>
    <n v="0.21043859649122806"/>
  </r>
  <r>
    <n v="2020"/>
    <x v="6"/>
    <n v="9"/>
    <x v="12"/>
    <n v="4190.5"/>
    <n v="28500"/>
    <n v="0.14703508771929824"/>
  </r>
  <r>
    <n v="2020"/>
    <x v="6"/>
    <n v="9"/>
    <x v="13"/>
    <n v="5447.5"/>
    <n v="28500"/>
    <n v="0.19114035087719297"/>
  </r>
  <r>
    <n v="2020"/>
    <x v="6"/>
    <n v="9"/>
    <x v="14"/>
    <n v="3773"/>
    <n v="28500"/>
    <n v="0.13238596491228069"/>
  </r>
  <r>
    <n v="2020"/>
    <x v="6"/>
    <n v="9"/>
    <x v="15"/>
    <n v="3880"/>
    <n v="28500"/>
    <n v="0.13614035087719298"/>
  </r>
  <r>
    <n v="2020"/>
    <x v="6"/>
    <n v="9"/>
    <x v="16"/>
    <n v="7847.5"/>
    <n v="28500"/>
    <n v="0.27535087719298246"/>
  </r>
  <r>
    <n v="2020"/>
    <x v="6"/>
    <n v="9"/>
    <x v="17"/>
    <n v="3891.5"/>
    <n v="28500"/>
    <n v="0.1365438596491228"/>
  </r>
  <r>
    <n v="2020"/>
    <x v="6"/>
    <n v="9"/>
    <x v="18"/>
    <n v="767"/>
    <n v="28500"/>
    <n v="2.6912280701754387E-2"/>
  </r>
  <r>
    <n v="2020"/>
    <x v="6"/>
    <n v="9"/>
    <x v="19"/>
    <n v="3"/>
    <n v="28500"/>
    <n v="1.0526315789473685E-4"/>
  </r>
  <r>
    <n v="2020"/>
    <x v="6"/>
    <n v="9"/>
    <x v="20"/>
    <n v="0"/>
    <n v="28500"/>
    <n v="0"/>
  </r>
  <r>
    <n v="2020"/>
    <x v="6"/>
    <n v="9"/>
    <x v="21"/>
    <n v="0"/>
    <n v="28500"/>
    <n v="0"/>
  </r>
  <r>
    <n v="2020"/>
    <x v="6"/>
    <n v="9"/>
    <x v="22"/>
    <n v="0"/>
    <n v="28500"/>
    <n v="0"/>
  </r>
  <r>
    <n v="2020"/>
    <x v="6"/>
    <n v="9"/>
    <x v="23"/>
    <n v="0"/>
    <n v="28500"/>
    <n v="0"/>
  </r>
  <r>
    <n v="2020"/>
    <x v="6"/>
    <n v="10"/>
    <x v="0"/>
    <n v="0"/>
    <n v="28500"/>
    <n v="0"/>
  </r>
  <r>
    <n v="2020"/>
    <x v="6"/>
    <n v="10"/>
    <x v="1"/>
    <n v="0"/>
    <n v="28500"/>
    <n v="0"/>
  </r>
  <r>
    <n v="2020"/>
    <x v="6"/>
    <n v="10"/>
    <x v="2"/>
    <n v="0"/>
    <n v="28500"/>
    <n v="0"/>
  </r>
  <r>
    <n v="2020"/>
    <x v="6"/>
    <n v="10"/>
    <x v="3"/>
    <n v="0"/>
    <n v="28500"/>
    <n v="0"/>
  </r>
  <r>
    <n v="2020"/>
    <x v="6"/>
    <n v="10"/>
    <x v="4"/>
    <n v="0"/>
    <n v="28500"/>
    <n v="0"/>
  </r>
  <r>
    <n v="2020"/>
    <x v="6"/>
    <n v="10"/>
    <x v="5"/>
    <n v="338"/>
    <n v="28500"/>
    <n v="1.1859649122807018E-2"/>
  </r>
  <r>
    <n v="2020"/>
    <x v="6"/>
    <n v="10"/>
    <x v="6"/>
    <n v="4354.5"/>
    <n v="28500"/>
    <n v="0.15278947368421053"/>
  </r>
  <r>
    <n v="2020"/>
    <x v="6"/>
    <n v="10"/>
    <x v="7"/>
    <n v="8376.5"/>
    <n v="28500"/>
    <n v="0.2939122807017544"/>
  </r>
  <r>
    <n v="2020"/>
    <x v="6"/>
    <n v="10"/>
    <x v="8"/>
    <n v="9029"/>
    <n v="28500"/>
    <n v="0.31680701754385965"/>
  </r>
  <r>
    <n v="2020"/>
    <x v="6"/>
    <n v="10"/>
    <x v="9"/>
    <n v="26724.5"/>
    <n v="28500"/>
    <n v="0.93770175438596493"/>
  </r>
  <r>
    <n v="2020"/>
    <x v="6"/>
    <n v="10"/>
    <x v="10"/>
    <n v="33501"/>
    <n v="28500"/>
    <n v="1.1754736842105262"/>
  </r>
  <r>
    <n v="2020"/>
    <x v="6"/>
    <n v="10"/>
    <x v="11"/>
    <n v="18670"/>
    <n v="28500"/>
    <n v="0.65508771929824561"/>
  </r>
  <r>
    <n v="2020"/>
    <x v="6"/>
    <n v="10"/>
    <x v="12"/>
    <n v="22426"/>
    <n v="28500"/>
    <n v="0.78687719298245618"/>
  </r>
  <r>
    <n v="2020"/>
    <x v="6"/>
    <n v="10"/>
    <x v="13"/>
    <n v="14240.5"/>
    <n v="28500"/>
    <n v="0.49966666666666665"/>
  </r>
  <r>
    <n v="2020"/>
    <x v="6"/>
    <n v="10"/>
    <x v="14"/>
    <n v="15498"/>
    <n v="28500"/>
    <n v="0.54378947368421049"/>
  </r>
  <r>
    <n v="2020"/>
    <x v="6"/>
    <n v="10"/>
    <x v="15"/>
    <n v="17246.5"/>
    <n v="28500"/>
    <n v="0.60514035087719298"/>
  </r>
  <r>
    <n v="2020"/>
    <x v="6"/>
    <n v="10"/>
    <x v="16"/>
    <n v="11809.5"/>
    <n v="28500"/>
    <n v="0.41436842105263155"/>
  </r>
  <r>
    <n v="2020"/>
    <x v="6"/>
    <n v="10"/>
    <x v="17"/>
    <n v="9386"/>
    <n v="28500"/>
    <n v="0.32933333333333331"/>
  </r>
  <r>
    <n v="2020"/>
    <x v="6"/>
    <n v="10"/>
    <x v="18"/>
    <n v="3749"/>
    <n v="28500"/>
    <n v="0.1315438596491228"/>
  </r>
  <r>
    <n v="2020"/>
    <x v="6"/>
    <n v="10"/>
    <x v="19"/>
    <n v="842"/>
    <n v="28500"/>
    <n v="2.9543859649122806E-2"/>
  </r>
  <r>
    <n v="2020"/>
    <x v="6"/>
    <n v="10"/>
    <x v="20"/>
    <n v="0"/>
    <n v="28500"/>
    <n v="0"/>
  </r>
  <r>
    <n v="2020"/>
    <x v="6"/>
    <n v="10"/>
    <x v="21"/>
    <n v="0"/>
    <n v="28500"/>
    <n v="0"/>
  </r>
  <r>
    <n v="2020"/>
    <x v="6"/>
    <n v="10"/>
    <x v="22"/>
    <n v="0"/>
    <n v="28500"/>
    <n v="0"/>
  </r>
  <r>
    <n v="2020"/>
    <x v="6"/>
    <n v="10"/>
    <x v="23"/>
    <n v="0"/>
    <n v="28500"/>
    <n v="0"/>
  </r>
  <r>
    <n v="2020"/>
    <x v="6"/>
    <n v="11"/>
    <x v="0"/>
    <n v="0"/>
    <n v="28500"/>
    <n v="0"/>
  </r>
  <r>
    <n v="2020"/>
    <x v="6"/>
    <n v="11"/>
    <x v="1"/>
    <n v="0"/>
    <n v="28500"/>
    <n v="0"/>
  </r>
  <r>
    <n v="2020"/>
    <x v="6"/>
    <n v="11"/>
    <x v="2"/>
    <n v="0"/>
    <n v="28500"/>
    <n v="0"/>
  </r>
  <r>
    <n v="2020"/>
    <x v="6"/>
    <n v="11"/>
    <x v="3"/>
    <n v="0"/>
    <n v="28500"/>
    <n v="0"/>
  </r>
  <r>
    <n v="2020"/>
    <x v="6"/>
    <n v="11"/>
    <x v="4"/>
    <n v="0"/>
    <n v="28500"/>
    <n v="0"/>
  </r>
  <r>
    <n v="2020"/>
    <x v="6"/>
    <n v="11"/>
    <x v="5"/>
    <n v="1188.5"/>
    <n v="28500"/>
    <n v="4.1701754385964913E-2"/>
  </r>
  <r>
    <n v="2020"/>
    <x v="6"/>
    <n v="11"/>
    <x v="6"/>
    <n v="3210"/>
    <n v="28500"/>
    <n v="0.11263157894736842"/>
  </r>
  <r>
    <n v="2020"/>
    <x v="6"/>
    <n v="11"/>
    <x v="7"/>
    <n v="12800"/>
    <n v="28500"/>
    <n v="0.44912280701754387"/>
  </r>
  <r>
    <n v="2020"/>
    <x v="6"/>
    <n v="11"/>
    <x v="8"/>
    <n v="21799.5"/>
    <n v="28500"/>
    <n v="0.76489473684210529"/>
  </r>
  <r>
    <n v="2020"/>
    <x v="6"/>
    <n v="11"/>
    <x v="9"/>
    <n v="23450.5"/>
    <n v="28500"/>
    <n v="0.82282456140350879"/>
  </r>
  <r>
    <n v="2020"/>
    <x v="6"/>
    <n v="11"/>
    <x v="10"/>
    <n v="26548.5"/>
    <n v="28500"/>
    <n v="0.93152631578947365"/>
  </r>
  <r>
    <n v="2020"/>
    <x v="6"/>
    <n v="11"/>
    <x v="11"/>
    <n v="31317.5"/>
    <n v="28500"/>
    <n v="1.0988596491228071"/>
  </r>
  <r>
    <n v="2020"/>
    <x v="6"/>
    <n v="11"/>
    <x v="12"/>
    <n v="27525.5"/>
    <n v="28500"/>
    <n v="0.96580701754385967"/>
  </r>
  <r>
    <n v="2020"/>
    <x v="6"/>
    <n v="11"/>
    <x v="13"/>
    <n v="20001.5"/>
    <n v="28500"/>
    <n v="0.70180701754385966"/>
  </r>
  <r>
    <n v="2020"/>
    <x v="6"/>
    <n v="11"/>
    <x v="14"/>
    <n v="22846"/>
    <n v="28500"/>
    <n v="0.80161403508771933"/>
  </r>
  <r>
    <n v="2020"/>
    <x v="6"/>
    <n v="11"/>
    <x v="15"/>
    <n v="8015.5"/>
    <n v="28500"/>
    <n v="0.28124561403508774"/>
  </r>
  <r>
    <n v="2020"/>
    <x v="6"/>
    <n v="11"/>
    <x v="16"/>
    <n v="16464"/>
    <n v="28500"/>
    <n v="0.5776842105263158"/>
  </r>
  <r>
    <n v="2020"/>
    <x v="6"/>
    <n v="11"/>
    <x v="17"/>
    <n v="10004"/>
    <n v="28500"/>
    <n v="0.35101754385964912"/>
  </r>
  <r>
    <n v="2020"/>
    <x v="6"/>
    <n v="11"/>
    <x v="18"/>
    <n v="3628.5"/>
    <n v="28500"/>
    <n v="0.12731578947368422"/>
  </r>
  <r>
    <n v="2020"/>
    <x v="6"/>
    <n v="11"/>
    <x v="19"/>
    <n v="1022.5"/>
    <n v="28500"/>
    <n v="3.5877192982456139E-2"/>
  </r>
  <r>
    <n v="2020"/>
    <x v="6"/>
    <n v="11"/>
    <x v="20"/>
    <n v="0"/>
    <n v="28500"/>
    <n v="0"/>
  </r>
  <r>
    <n v="2020"/>
    <x v="6"/>
    <n v="11"/>
    <x v="21"/>
    <n v="0"/>
    <n v="28500"/>
    <n v="0"/>
  </r>
  <r>
    <n v="2020"/>
    <x v="6"/>
    <n v="11"/>
    <x v="22"/>
    <n v="0"/>
    <n v="28500"/>
    <n v="0"/>
  </r>
  <r>
    <n v="2020"/>
    <x v="6"/>
    <n v="11"/>
    <x v="23"/>
    <n v="0"/>
    <n v="28500"/>
    <n v="0"/>
  </r>
  <r>
    <n v="2020"/>
    <x v="6"/>
    <n v="12"/>
    <x v="0"/>
    <n v="0"/>
    <n v="28500"/>
    <n v="0"/>
  </r>
  <r>
    <n v="2020"/>
    <x v="6"/>
    <n v="12"/>
    <x v="1"/>
    <n v="0"/>
    <n v="28500"/>
    <n v="0"/>
  </r>
  <r>
    <n v="2020"/>
    <x v="6"/>
    <n v="12"/>
    <x v="2"/>
    <n v="0"/>
    <n v="28500"/>
    <n v="0"/>
  </r>
  <r>
    <n v="2020"/>
    <x v="6"/>
    <n v="12"/>
    <x v="3"/>
    <n v="0"/>
    <n v="28500"/>
    <n v="0"/>
  </r>
  <r>
    <n v="2020"/>
    <x v="6"/>
    <n v="12"/>
    <x v="4"/>
    <n v="0"/>
    <n v="28500"/>
    <n v="0"/>
  </r>
  <r>
    <n v="2020"/>
    <x v="6"/>
    <n v="12"/>
    <x v="5"/>
    <n v="1276"/>
    <n v="28500"/>
    <n v="4.47719298245614E-2"/>
  </r>
  <r>
    <n v="2020"/>
    <x v="6"/>
    <n v="12"/>
    <x v="6"/>
    <n v="3248"/>
    <n v="28500"/>
    <n v="0.11396491228070176"/>
  </r>
  <r>
    <n v="2020"/>
    <x v="6"/>
    <n v="12"/>
    <x v="7"/>
    <n v="12249"/>
    <n v="28500"/>
    <n v="0.4297894736842105"/>
  </r>
  <r>
    <n v="2020"/>
    <x v="6"/>
    <n v="12"/>
    <x v="8"/>
    <n v="20662"/>
    <n v="28500"/>
    <n v="0.72498245614035084"/>
  </r>
  <r>
    <n v="2020"/>
    <x v="6"/>
    <n v="12"/>
    <x v="9"/>
    <n v="23124.5"/>
    <n v="28500"/>
    <n v="0.81138596491228065"/>
  </r>
  <r>
    <n v="2020"/>
    <x v="6"/>
    <n v="12"/>
    <x v="10"/>
    <n v="26246"/>
    <n v="28500"/>
    <n v="0.92091228070175435"/>
  </r>
  <r>
    <n v="2020"/>
    <x v="6"/>
    <n v="12"/>
    <x v="11"/>
    <n v="28050.5"/>
    <n v="28500"/>
    <n v="0.98422807017543856"/>
  </r>
  <r>
    <n v="2020"/>
    <x v="6"/>
    <n v="12"/>
    <x v="12"/>
    <n v="32153"/>
    <n v="28500"/>
    <n v="1.1281754385964913"/>
  </r>
  <r>
    <n v="2020"/>
    <x v="6"/>
    <n v="12"/>
    <x v="13"/>
    <n v="29768.5"/>
    <n v="28500"/>
    <n v="1.0445087719298245"/>
  </r>
  <r>
    <n v="2020"/>
    <x v="6"/>
    <n v="12"/>
    <x v="14"/>
    <n v="28846.5"/>
    <n v="28500"/>
    <n v="1.0121578947368421"/>
  </r>
  <r>
    <n v="2020"/>
    <x v="6"/>
    <n v="12"/>
    <x v="15"/>
    <n v="25194"/>
    <n v="28500"/>
    <n v="0.88400000000000001"/>
  </r>
  <r>
    <n v="2020"/>
    <x v="6"/>
    <n v="12"/>
    <x v="16"/>
    <n v="17293.5"/>
    <n v="28500"/>
    <n v="0.60678947368421055"/>
  </r>
  <r>
    <n v="2020"/>
    <x v="6"/>
    <n v="12"/>
    <x v="17"/>
    <n v="9538"/>
    <n v="28500"/>
    <n v="0.33466666666666667"/>
  </r>
  <r>
    <n v="2020"/>
    <x v="6"/>
    <n v="12"/>
    <x v="18"/>
    <n v="2523.5"/>
    <n v="28500"/>
    <n v="8.8543859649122814E-2"/>
  </r>
  <r>
    <n v="2020"/>
    <x v="6"/>
    <n v="12"/>
    <x v="19"/>
    <n v="1069.5"/>
    <n v="28500"/>
    <n v="3.7526315789473685E-2"/>
  </r>
  <r>
    <n v="2020"/>
    <x v="6"/>
    <n v="12"/>
    <x v="20"/>
    <n v="0"/>
    <n v="28500"/>
    <n v="0"/>
  </r>
  <r>
    <n v="2020"/>
    <x v="6"/>
    <n v="12"/>
    <x v="21"/>
    <n v="0"/>
    <n v="28500"/>
    <n v="0"/>
  </r>
  <r>
    <n v="2020"/>
    <x v="6"/>
    <n v="12"/>
    <x v="22"/>
    <n v="0"/>
    <n v="28500"/>
    <n v="0"/>
  </r>
  <r>
    <n v="2020"/>
    <x v="6"/>
    <n v="12"/>
    <x v="23"/>
    <n v="0"/>
    <n v="28500"/>
    <n v="0"/>
  </r>
  <r>
    <n v="2020"/>
    <x v="6"/>
    <n v="13"/>
    <x v="0"/>
    <n v="0"/>
    <n v="28500"/>
    <n v="0"/>
  </r>
  <r>
    <n v="2020"/>
    <x v="6"/>
    <n v="13"/>
    <x v="1"/>
    <n v="0"/>
    <n v="28500"/>
    <n v="0"/>
  </r>
  <r>
    <n v="2020"/>
    <x v="6"/>
    <n v="13"/>
    <x v="2"/>
    <n v="0"/>
    <n v="28500"/>
    <n v="0"/>
  </r>
  <r>
    <n v="2020"/>
    <x v="6"/>
    <n v="13"/>
    <x v="3"/>
    <n v="0"/>
    <n v="28500"/>
    <n v="0"/>
  </r>
  <r>
    <n v="2020"/>
    <x v="6"/>
    <n v="13"/>
    <x v="4"/>
    <n v="0"/>
    <n v="28500"/>
    <n v="0"/>
  </r>
  <r>
    <n v="2020"/>
    <x v="6"/>
    <n v="13"/>
    <x v="5"/>
    <n v="1440.5"/>
    <n v="28500"/>
    <n v="5.0543859649122808E-2"/>
  </r>
  <r>
    <n v="2020"/>
    <x v="6"/>
    <n v="13"/>
    <x v="6"/>
    <n v="3881"/>
    <n v="28500"/>
    <n v="0.13617543859649123"/>
  </r>
  <r>
    <n v="2020"/>
    <x v="6"/>
    <n v="13"/>
    <x v="7"/>
    <n v="11240"/>
    <n v="28500"/>
    <n v="0.39438596491228073"/>
  </r>
  <r>
    <n v="2020"/>
    <x v="6"/>
    <n v="13"/>
    <x v="8"/>
    <n v="21510"/>
    <n v="28500"/>
    <n v="0.75473684210526315"/>
  </r>
  <r>
    <n v="2020"/>
    <x v="6"/>
    <n v="13"/>
    <x v="9"/>
    <n v="29470"/>
    <n v="28500"/>
    <n v="1.0340350877192983"/>
  </r>
  <r>
    <n v="2020"/>
    <x v="6"/>
    <n v="13"/>
    <x v="10"/>
    <n v="35326.5"/>
    <n v="28500"/>
    <n v="1.2395263157894736"/>
  </r>
  <r>
    <n v="2020"/>
    <x v="6"/>
    <n v="13"/>
    <x v="11"/>
    <n v="38530.5"/>
    <n v="28500"/>
    <n v="1.3519473684210526"/>
  </r>
  <r>
    <n v="2020"/>
    <x v="6"/>
    <n v="13"/>
    <x v="12"/>
    <n v="36026"/>
    <n v="28500"/>
    <n v="1.2640701754385966"/>
  </r>
  <r>
    <n v="2020"/>
    <x v="6"/>
    <n v="13"/>
    <x v="13"/>
    <n v="36797.5"/>
    <n v="28500"/>
    <n v="1.291140350877193"/>
  </r>
  <r>
    <n v="2020"/>
    <x v="6"/>
    <n v="13"/>
    <x v="14"/>
    <n v="22527.5"/>
    <n v="28500"/>
    <n v="0.79043859649122805"/>
  </r>
  <r>
    <n v="2020"/>
    <x v="6"/>
    <n v="13"/>
    <x v="15"/>
    <n v="22541.5"/>
    <n v="28500"/>
    <n v="0.79092982456140348"/>
  </r>
  <r>
    <n v="2020"/>
    <x v="6"/>
    <n v="13"/>
    <x v="16"/>
    <n v="19162.5"/>
    <n v="28500"/>
    <n v="0.67236842105263162"/>
  </r>
  <r>
    <n v="2020"/>
    <x v="6"/>
    <n v="13"/>
    <x v="17"/>
    <n v="9636.5"/>
    <n v="28500"/>
    <n v="0.33812280701754388"/>
  </r>
  <r>
    <n v="2020"/>
    <x v="6"/>
    <n v="13"/>
    <x v="18"/>
    <n v="3203.5"/>
    <n v="28500"/>
    <n v="0.11240350877192982"/>
  </r>
  <r>
    <n v="2020"/>
    <x v="6"/>
    <n v="13"/>
    <x v="19"/>
    <n v="2.5"/>
    <n v="28500"/>
    <n v="8.7719298245614029E-5"/>
  </r>
  <r>
    <n v="2020"/>
    <x v="6"/>
    <n v="13"/>
    <x v="20"/>
    <n v="0"/>
    <n v="28500"/>
    <n v="0"/>
  </r>
  <r>
    <n v="2020"/>
    <x v="6"/>
    <n v="13"/>
    <x v="21"/>
    <n v="0"/>
    <n v="28500"/>
    <n v="0"/>
  </r>
  <r>
    <n v="2020"/>
    <x v="6"/>
    <n v="13"/>
    <x v="22"/>
    <n v="0"/>
    <n v="28500"/>
    <n v="0"/>
  </r>
  <r>
    <n v="2020"/>
    <x v="6"/>
    <n v="13"/>
    <x v="23"/>
    <n v="0"/>
    <n v="28500"/>
    <n v="0"/>
  </r>
  <r>
    <n v="2020"/>
    <x v="6"/>
    <n v="14"/>
    <x v="0"/>
    <n v="0"/>
    <n v="28500"/>
    <n v="0"/>
  </r>
  <r>
    <n v="2020"/>
    <x v="6"/>
    <n v="14"/>
    <x v="1"/>
    <n v="0"/>
    <n v="28500"/>
    <n v="0"/>
  </r>
  <r>
    <n v="2020"/>
    <x v="6"/>
    <n v="14"/>
    <x v="2"/>
    <n v="0"/>
    <n v="28500"/>
    <n v="0"/>
  </r>
  <r>
    <n v="2020"/>
    <x v="6"/>
    <n v="14"/>
    <x v="3"/>
    <n v="0"/>
    <n v="28500"/>
    <n v="0"/>
  </r>
  <r>
    <n v="2020"/>
    <x v="6"/>
    <n v="14"/>
    <x v="4"/>
    <n v="0"/>
    <n v="28500"/>
    <n v="0"/>
  </r>
  <r>
    <n v="2020"/>
    <x v="6"/>
    <n v="14"/>
    <x v="5"/>
    <n v="281"/>
    <n v="28500"/>
    <n v="9.8596491228070179E-3"/>
  </r>
  <r>
    <n v="2020"/>
    <x v="6"/>
    <n v="14"/>
    <x v="6"/>
    <n v="3777"/>
    <n v="28500"/>
    <n v="0.13252631578947369"/>
  </r>
  <r>
    <n v="2020"/>
    <x v="6"/>
    <n v="14"/>
    <x v="7"/>
    <n v="9182"/>
    <n v="28500"/>
    <n v="0.32217543859649123"/>
  </r>
  <r>
    <n v="2020"/>
    <x v="6"/>
    <n v="14"/>
    <x v="8"/>
    <n v="16270.5"/>
    <n v="28500"/>
    <n v="0.57089473684210523"/>
  </r>
  <r>
    <n v="2020"/>
    <x v="6"/>
    <n v="14"/>
    <x v="9"/>
    <n v="25109"/>
    <n v="28500"/>
    <n v="0.88101754385964914"/>
  </r>
  <r>
    <n v="2020"/>
    <x v="6"/>
    <n v="14"/>
    <x v="10"/>
    <n v="13175"/>
    <n v="28500"/>
    <n v="0.46228070175438596"/>
  </r>
  <r>
    <n v="2020"/>
    <x v="6"/>
    <n v="14"/>
    <x v="11"/>
    <n v="10785.5"/>
    <n v="28500"/>
    <n v="0.37843859649122807"/>
  </r>
  <r>
    <n v="2020"/>
    <x v="6"/>
    <n v="14"/>
    <x v="12"/>
    <n v="16210.5"/>
    <n v="28500"/>
    <n v="0.56878947368421051"/>
  </r>
  <r>
    <n v="2020"/>
    <x v="6"/>
    <n v="14"/>
    <x v="13"/>
    <n v="17313"/>
    <n v="28500"/>
    <n v="0.60747368421052628"/>
  </r>
  <r>
    <n v="2020"/>
    <x v="6"/>
    <n v="14"/>
    <x v="14"/>
    <n v="11637"/>
    <n v="28500"/>
    <n v="0.40831578947368419"/>
  </r>
  <r>
    <n v="2020"/>
    <x v="6"/>
    <n v="14"/>
    <x v="15"/>
    <n v="6245"/>
    <n v="28500"/>
    <n v="0.21912280701754386"/>
  </r>
  <r>
    <n v="2020"/>
    <x v="6"/>
    <n v="14"/>
    <x v="16"/>
    <n v="9461"/>
    <n v="28500"/>
    <n v="0.33196491228070174"/>
  </r>
  <r>
    <n v="2020"/>
    <x v="6"/>
    <n v="14"/>
    <x v="17"/>
    <n v="6813.5"/>
    <n v="28500"/>
    <n v="0.23907017543859649"/>
  </r>
  <r>
    <n v="2020"/>
    <x v="6"/>
    <n v="14"/>
    <x v="18"/>
    <n v="896.5"/>
    <n v="28500"/>
    <n v="3.1456140350877196E-2"/>
  </r>
  <r>
    <n v="2020"/>
    <x v="6"/>
    <n v="14"/>
    <x v="19"/>
    <n v="3"/>
    <n v="28500"/>
    <n v="1.0526315789473685E-4"/>
  </r>
  <r>
    <n v="2020"/>
    <x v="6"/>
    <n v="14"/>
    <x v="20"/>
    <n v="0"/>
    <n v="28500"/>
    <n v="0"/>
  </r>
  <r>
    <n v="2020"/>
    <x v="6"/>
    <n v="14"/>
    <x v="21"/>
    <n v="0"/>
    <n v="28500"/>
    <n v="0"/>
  </r>
  <r>
    <n v="2020"/>
    <x v="6"/>
    <n v="14"/>
    <x v="22"/>
    <n v="0"/>
    <n v="28500"/>
    <n v="0"/>
  </r>
  <r>
    <n v="2020"/>
    <x v="6"/>
    <n v="14"/>
    <x v="23"/>
    <n v="0"/>
    <n v="28500"/>
    <n v="0"/>
  </r>
  <r>
    <n v="2020"/>
    <x v="6"/>
    <n v="15"/>
    <x v="0"/>
    <n v="0"/>
    <n v="28500"/>
    <n v="0"/>
  </r>
  <r>
    <n v="2020"/>
    <x v="6"/>
    <n v="15"/>
    <x v="1"/>
    <n v="0"/>
    <n v="28500"/>
    <n v="0"/>
  </r>
  <r>
    <n v="2020"/>
    <x v="6"/>
    <n v="15"/>
    <x v="2"/>
    <n v="0"/>
    <n v="28500"/>
    <n v="0"/>
  </r>
  <r>
    <n v="2020"/>
    <x v="6"/>
    <n v="15"/>
    <x v="3"/>
    <n v="0"/>
    <n v="28500"/>
    <n v="0"/>
  </r>
  <r>
    <n v="2020"/>
    <x v="6"/>
    <n v="15"/>
    <x v="4"/>
    <n v="0"/>
    <n v="28500"/>
    <n v="0"/>
  </r>
  <r>
    <n v="2020"/>
    <x v="6"/>
    <n v="15"/>
    <x v="5"/>
    <n v="1266.5"/>
    <n v="28500"/>
    <n v="4.4438596491228069E-2"/>
  </r>
  <r>
    <n v="2020"/>
    <x v="6"/>
    <n v="15"/>
    <x v="6"/>
    <n v="4090"/>
    <n v="28500"/>
    <n v="0.14350877192982456"/>
  </r>
  <r>
    <n v="2020"/>
    <x v="6"/>
    <n v="15"/>
    <x v="7"/>
    <n v="10868"/>
    <n v="28500"/>
    <n v="0.38133333333333336"/>
  </r>
  <r>
    <n v="2020"/>
    <x v="6"/>
    <n v="15"/>
    <x v="8"/>
    <n v="19599"/>
    <n v="28500"/>
    <n v="0.68768421052631579"/>
  </r>
  <r>
    <n v="2020"/>
    <x v="6"/>
    <n v="15"/>
    <x v="9"/>
    <n v="18183"/>
    <n v="28500"/>
    <n v="0.63800000000000001"/>
  </r>
  <r>
    <n v="2020"/>
    <x v="6"/>
    <n v="15"/>
    <x v="10"/>
    <n v="15328.5"/>
    <n v="28500"/>
    <n v="0.5378421052631579"/>
  </r>
  <r>
    <n v="2020"/>
    <x v="6"/>
    <n v="15"/>
    <x v="11"/>
    <n v="16753"/>
    <n v="28500"/>
    <n v="0.58782456140350881"/>
  </r>
  <r>
    <n v="2020"/>
    <x v="6"/>
    <n v="15"/>
    <x v="12"/>
    <n v="6949"/>
    <n v="28500"/>
    <n v="0.24382456140350878"/>
  </r>
  <r>
    <n v="2020"/>
    <x v="6"/>
    <n v="15"/>
    <x v="13"/>
    <n v="11555"/>
    <n v="28500"/>
    <n v="0.40543859649122804"/>
  </r>
  <r>
    <n v="2020"/>
    <x v="6"/>
    <n v="15"/>
    <x v="14"/>
    <n v="5903"/>
    <n v="28500"/>
    <n v="0.20712280701754385"/>
  </r>
  <r>
    <n v="2020"/>
    <x v="6"/>
    <n v="15"/>
    <x v="15"/>
    <n v="4098"/>
    <n v="28500"/>
    <n v="0.14378947368421052"/>
  </r>
  <r>
    <n v="2020"/>
    <x v="6"/>
    <n v="15"/>
    <x v="16"/>
    <n v="3004.5"/>
    <n v="28500"/>
    <n v="0.10542105263157894"/>
  </r>
  <r>
    <n v="2020"/>
    <x v="6"/>
    <n v="15"/>
    <x v="17"/>
    <n v="1797.5"/>
    <n v="28500"/>
    <n v="6.3070175438596485E-2"/>
  </r>
  <r>
    <n v="2020"/>
    <x v="6"/>
    <n v="15"/>
    <x v="18"/>
    <n v="1376"/>
    <n v="28500"/>
    <n v="4.8280701754385966E-2"/>
  </r>
  <r>
    <n v="2020"/>
    <x v="6"/>
    <n v="15"/>
    <x v="19"/>
    <n v="54"/>
    <n v="28500"/>
    <n v="1.8947368421052631E-3"/>
  </r>
  <r>
    <n v="2020"/>
    <x v="6"/>
    <n v="15"/>
    <x v="20"/>
    <n v="0"/>
    <n v="28500"/>
    <n v="0"/>
  </r>
  <r>
    <n v="2020"/>
    <x v="6"/>
    <n v="15"/>
    <x v="21"/>
    <n v="0"/>
    <n v="28500"/>
    <n v="0"/>
  </r>
  <r>
    <n v="2020"/>
    <x v="6"/>
    <n v="15"/>
    <x v="22"/>
    <n v="0"/>
    <n v="28500"/>
    <n v="0"/>
  </r>
  <r>
    <n v="2020"/>
    <x v="6"/>
    <n v="15"/>
    <x v="23"/>
    <n v="0"/>
    <n v="28500"/>
    <n v="0"/>
  </r>
  <r>
    <n v="2020"/>
    <x v="6"/>
    <n v="16"/>
    <x v="0"/>
    <n v="0"/>
    <n v="28500"/>
    <n v="0"/>
  </r>
  <r>
    <n v="2020"/>
    <x v="6"/>
    <n v="16"/>
    <x v="1"/>
    <n v="0"/>
    <n v="28500"/>
    <n v="0"/>
  </r>
  <r>
    <n v="2020"/>
    <x v="6"/>
    <n v="16"/>
    <x v="2"/>
    <n v="0"/>
    <n v="28500"/>
    <n v="0"/>
  </r>
  <r>
    <n v="2020"/>
    <x v="6"/>
    <n v="16"/>
    <x v="3"/>
    <n v="0"/>
    <n v="28500"/>
    <n v="0"/>
  </r>
  <r>
    <n v="2020"/>
    <x v="6"/>
    <n v="16"/>
    <x v="4"/>
    <n v="0"/>
    <n v="28500"/>
    <n v="0"/>
  </r>
  <r>
    <n v="2020"/>
    <x v="6"/>
    <n v="16"/>
    <x v="5"/>
    <n v="386.5"/>
    <n v="28500"/>
    <n v="1.356140350877193E-2"/>
  </r>
  <r>
    <n v="2020"/>
    <x v="6"/>
    <n v="16"/>
    <x v="6"/>
    <n v="1213.5"/>
    <n v="28500"/>
    <n v="4.257894736842105E-2"/>
  </r>
  <r>
    <n v="2020"/>
    <x v="6"/>
    <n v="16"/>
    <x v="7"/>
    <n v="3441.5"/>
    <n v="28500"/>
    <n v="0.12075438596491228"/>
  </r>
  <r>
    <n v="2020"/>
    <x v="6"/>
    <n v="16"/>
    <x v="8"/>
    <n v="5266.5"/>
    <n v="28500"/>
    <n v="0.18478947368421053"/>
  </r>
  <r>
    <n v="2020"/>
    <x v="6"/>
    <n v="16"/>
    <x v="9"/>
    <n v="4525"/>
    <n v="28500"/>
    <n v="0.1587719298245614"/>
  </r>
  <r>
    <n v="2020"/>
    <x v="6"/>
    <n v="16"/>
    <x v="10"/>
    <n v="4745.5"/>
    <n v="28500"/>
    <n v="0.16650877192982455"/>
  </r>
  <r>
    <n v="2020"/>
    <x v="6"/>
    <n v="16"/>
    <x v="11"/>
    <n v="5074.5"/>
    <n v="28500"/>
    <n v="0.17805263157894738"/>
  </r>
  <r>
    <n v="2020"/>
    <x v="6"/>
    <n v="16"/>
    <x v="12"/>
    <n v="14882.5"/>
    <n v="28500"/>
    <n v="0.52219298245614032"/>
  </r>
  <r>
    <n v="2020"/>
    <x v="6"/>
    <n v="16"/>
    <x v="13"/>
    <n v="17176"/>
    <n v="28500"/>
    <n v="0.60266666666666668"/>
  </r>
  <r>
    <n v="2020"/>
    <x v="6"/>
    <n v="16"/>
    <x v="14"/>
    <n v="21718"/>
    <n v="28500"/>
    <n v="0.76203508771929829"/>
  </r>
  <r>
    <n v="2020"/>
    <x v="6"/>
    <n v="16"/>
    <x v="15"/>
    <n v="13168"/>
    <n v="28500"/>
    <n v="0.46203508771929824"/>
  </r>
  <r>
    <n v="2020"/>
    <x v="6"/>
    <n v="16"/>
    <x v="16"/>
    <n v="16603.5"/>
    <n v="28500"/>
    <n v="0.58257894736842109"/>
  </r>
  <r>
    <n v="2020"/>
    <x v="6"/>
    <n v="16"/>
    <x v="17"/>
    <n v="8038"/>
    <n v="28500"/>
    <n v="0.28203508771929825"/>
  </r>
  <r>
    <n v="2020"/>
    <x v="6"/>
    <n v="16"/>
    <x v="18"/>
    <n v="3326.5"/>
    <n v="28500"/>
    <n v="0.11671929824561403"/>
  </r>
  <r>
    <n v="2020"/>
    <x v="6"/>
    <n v="16"/>
    <x v="19"/>
    <n v="374"/>
    <n v="28500"/>
    <n v="1.3122807017543859E-2"/>
  </r>
  <r>
    <n v="2020"/>
    <x v="6"/>
    <n v="16"/>
    <x v="20"/>
    <n v="0"/>
    <n v="28500"/>
    <n v="0"/>
  </r>
  <r>
    <n v="2020"/>
    <x v="6"/>
    <n v="16"/>
    <x v="21"/>
    <n v="0"/>
    <n v="28500"/>
    <n v="0"/>
  </r>
  <r>
    <n v="2020"/>
    <x v="6"/>
    <n v="16"/>
    <x v="22"/>
    <n v="0"/>
    <n v="28500"/>
    <n v="0"/>
  </r>
  <r>
    <n v="2020"/>
    <x v="6"/>
    <n v="16"/>
    <x v="23"/>
    <n v="0"/>
    <n v="28500"/>
    <n v="0"/>
  </r>
  <r>
    <n v="2020"/>
    <x v="6"/>
    <n v="17"/>
    <x v="0"/>
    <n v="0"/>
    <n v="28500"/>
    <n v="0"/>
  </r>
  <r>
    <n v="2020"/>
    <x v="6"/>
    <n v="17"/>
    <x v="1"/>
    <n v="0"/>
    <n v="28500"/>
    <n v="0"/>
  </r>
  <r>
    <n v="2020"/>
    <x v="6"/>
    <n v="17"/>
    <x v="2"/>
    <n v="0"/>
    <n v="28500"/>
    <n v="0"/>
  </r>
  <r>
    <n v="2020"/>
    <x v="6"/>
    <n v="17"/>
    <x v="3"/>
    <n v="0"/>
    <n v="28500"/>
    <n v="0"/>
  </r>
  <r>
    <n v="2020"/>
    <x v="6"/>
    <n v="17"/>
    <x v="4"/>
    <n v="0"/>
    <n v="28500"/>
    <n v="0"/>
  </r>
  <r>
    <n v="2020"/>
    <x v="6"/>
    <n v="17"/>
    <x v="5"/>
    <n v="1279"/>
    <n v="28500"/>
    <n v="4.4877192982456141E-2"/>
  </r>
  <r>
    <n v="2020"/>
    <x v="6"/>
    <n v="17"/>
    <x v="6"/>
    <n v="3539"/>
    <n v="28500"/>
    <n v="0.12417543859649123"/>
  </r>
  <r>
    <n v="2020"/>
    <x v="6"/>
    <n v="17"/>
    <x v="7"/>
    <n v="9427"/>
    <n v="28500"/>
    <n v="0.33077192982456138"/>
  </r>
  <r>
    <n v="2020"/>
    <x v="6"/>
    <n v="17"/>
    <x v="8"/>
    <n v="13966.5"/>
    <n v="28500"/>
    <n v="0.49005263157894735"/>
  </r>
  <r>
    <n v="2020"/>
    <x v="6"/>
    <n v="17"/>
    <x v="9"/>
    <n v="18933"/>
    <n v="28500"/>
    <n v="0.66431578947368419"/>
  </r>
  <r>
    <n v="2020"/>
    <x v="6"/>
    <n v="17"/>
    <x v="10"/>
    <n v="30955.5"/>
    <n v="28500"/>
    <n v="1.0861578947368422"/>
  </r>
  <r>
    <n v="2020"/>
    <x v="6"/>
    <n v="17"/>
    <x v="11"/>
    <n v="33456.5"/>
    <n v="28500"/>
    <n v="1.1739122807017544"/>
  </r>
  <r>
    <n v="2020"/>
    <x v="6"/>
    <n v="17"/>
    <x v="12"/>
    <n v="32285"/>
    <n v="28500"/>
    <n v="1.1328070175438596"/>
  </r>
  <r>
    <n v="2020"/>
    <x v="6"/>
    <n v="17"/>
    <x v="13"/>
    <n v="35305.5"/>
    <n v="28500"/>
    <n v="1.2387894736842104"/>
  </r>
  <r>
    <n v="2020"/>
    <x v="6"/>
    <n v="17"/>
    <x v="14"/>
    <n v="29391"/>
    <n v="28500"/>
    <n v="1.0312631578947369"/>
  </r>
  <r>
    <n v="2020"/>
    <x v="6"/>
    <n v="17"/>
    <x v="15"/>
    <n v="26832.5"/>
    <n v="28500"/>
    <n v="0.94149122807017549"/>
  </r>
  <r>
    <n v="2020"/>
    <x v="6"/>
    <n v="17"/>
    <x v="16"/>
    <n v="18899.5"/>
    <n v="28500"/>
    <n v="0.66314035087719303"/>
  </r>
  <r>
    <n v="2020"/>
    <x v="6"/>
    <n v="17"/>
    <x v="17"/>
    <n v="9825"/>
    <n v="28500"/>
    <n v="0.34473684210526317"/>
  </r>
  <r>
    <n v="2020"/>
    <x v="6"/>
    <n v="17"/>
    <x v="18"/>
    <n v="2791.5"/>
    <n v="28500"/>
    <n v="9.794736842105263E-2"/>
  </r>
  <r>
    <n v="2020"/>
    <x v="6"/>
    <n v="17"/>
    <x v="19"/>
    <n v="871.5"/>
    <n v="28500"/>
    <n v="3.0578947368421053E-2"/>
  </r>
  <r>
    <n v="2020"/>
    <x v="6"/>
    <n v="17"/>
    <x v="20"/>
    <n v="0"/>
    <n v="28500"/>
    <n v="0"/>
  </r>
  <r>
    <n v="2020"/>
    <x v="6"/>
    <n v="17"/>
    <x v="21"/>
    <n v="0"/>
    <n v="28500"/>
    <n v="0"/>
  </r>
  <r>
    <n v="2020"/>
    <x v="6"/>
    <n v="17"/>
    <x v="22"/>
    <n v="0"/>
    <n v="28500"/>
    <n v="0"/>
  </r>
  <r>
    <n v="2020"/>
    <x v="6"/>
    <n v="17"/>
    <x v="23"/>
    <n v="0"/>
    <n v="28500"/>
    <n v="0"/>
  </r>
  <r>
    <n v="2020"/>
    <x v="6"/>
    <n v="18"/>
    <x v="0"/>
    <n v="0"/>
    <n v="28500"/>
    <n v="0"/>
  </r>
  <r>
    <n v="2020"/>
    <x v="6"/>
    <n v="18"/>
    <x v="1"/>
    <n v="0"/>
    <n v="28500"/>
    <n v="0"/>
  </r>
  <r>
    <n v="2020"/>
    <x v="6"/>
    <n v="18"/>
    <x v="2"/>
    <n v="0"/>
    <n v="28500"/>
    <n v="0"/>
  </r>
  <r>
    <n v="2020"/>
    <x v="6"/>
    <n v="18"/>
    <x v="3"/>
    <n v="0"/>
    <n v="28500"/>
    <n v="0"/>
  </r>
  <r>
    <n v="2020"/>
    <x v="6"/>
    <n v="18"/>
    <x v="4"/>
    <n v="0"/>
    <n v="28500"/>
    <n v="0"/>
  </r>
  <r>
    <n v="2020"/>
    <x v="6"/>
    <n v="18"/>
    <x v="5"/>
    <n v="1168"/>
    <n v="28500"/>
    <n v="4.0982456140350877E-2"/>
  </r>
  <r>
    <n v="2020"/>
    <x v="6"/>
    <n v="18"/>
    <x v="6"/>
    <n v="3285.5"/>
    <n v="28500"/>
    <n v="0.11528070175438597"/>
  </r>
  <r>
    <n v="2020"/>
    <x v="6"/>
    <n v="18"/>
    <x v="7"/>
    <n v="10260.5"/>
    <n v="28500"/>
    <n v="0.36001754385964913"/>
  </r>
  <r>
    <n v="2020"/>
    <x v="6"/>
    <n v="18"/>
    <x v="8"/>
    <n v="18522"/>
    <n v="28500"/>
    <n v="0.6498947368421053"/>
  </r>
  <r>
    <n v="2020"/>
    <x v="6"/>
    <n v="18"/>
    <x v="9"/>
    <n v="20775.5"/>
    <n v="28500"/>
    <n v="0.7289649122807017"/>
  </r>
  <r>
    <n v="2020"/>
    <x v="6"/>
    <n v="18"/>
    <x v="10"/>
    <n v="25704"/>
    <n v="28500"/>
    <n v="0.9018947368421053"/>
  </r>
  <r>
    <n v="2020"/>
    <x v="6"/>
    <n v="18"/>
    <x v="11"/>
    <n v="37313.5"/>
    <n v="28500"/>
    <n v="1.3092456140350877"/>
  </r>
  <r>
    <n v="2020"/>
    <x v="6"/>
    <n v="18"/>
    <x v="12"/>
    <n v="38124.5"/>
    <n v="28500"/>
    <n v="1.3377017543859648"/>
  </r>
  <r>
    <n v="2020"/>
    <x v="6"/>
    <n v="18"/>
    <x v="13"/>
    <n v="35773.5"/>
    <n v="28500"/>
    <n v="1.2552105263157896"/>
  </r>
  <r>
    <n v="2020"/>
    <x v="6"/>
    <n v="18"/>
    <x v="14"/>
    <n v="33918"/>
    <n v="28500"/>
    <n v="1.1901052631578948"/>
  </r>
  <r>
    <n v="2020"/>
    <x v="6"/>
    <n v="18"/>
    <x v="15"/>
    <n v="27836"/>
    <n v="28500"/>
    <n v="0.97670175438596496"/>
  </r>
  <r>
    <n v="2020"/>
    <x v="6"/>
    <n v="18"/>
    <x v="16"/>
    <n v="19345.5"/>
    <n v="28500"/>
    <n v="0.6787894736842105"/>
  </r>
  <r>
    <n v="2020"/>
    <x v="6"/>
    <n v="18"/>
    <x v="17"/>
    <n v="9906"/>
    <n v="28500"/>
    <n v="0.34757894736842104"/>
  </r>
  <r>
    <n v="2020"/>
    <x v="6"/>
    <n v="18"/>
    <x v="18"/>
    <n v="2683"/>
    <n v="28500"/>
    <n v="9.4140350877192983E-2"/>
  </r>
  <r>
    <n v="2020"/>
    <x v="6"/>
    <n v="18"/>
    <x v="19"/>
    <n v="730.5"/>
    <n v="28500"/>
    <n v="2.5631578947368422E-2"/>
  </r>
  <r>
    <n v="2020"/>
    <x v="6"/>
    <n v="18"/>
    <x v="20"/>
    <n v="0"/>
    <n v="28500"/>
    <n v="0"/>
  </r>
  <r>
    <n v="2020"/>
    <x v="6"/>
    <n v="18"/>
    <x v="21"/>
    <n v="0"/>
    <n v="28500"/>
    <n v="0"/>
  </r>
  <r>
    <n v="2020"/>
    <x v="6"/>
    <n v="18"/>
    <x v="22"/>
    <n v="0"/>
    <n v="28500"/>
    <n v="0"/>
  </r>
  <r>
    <n v="2020"/>
    <x v="6"/>
    <n v="18"/>
    <x v="23"/>
    <n v="0"/>
    <n v="28500"/>
    <n v="0"/>
  </r>
  <r>
    <n v="2020"/>
    <x v="6"/>
    <n v="19"/>
    <x v="0"/>
    <n v="0"/>
    <n v="28500"/>
    <n v="0"/>
  </r>
  <r>
    <n v="2020"/>
    <x v="6"/>
    <n v="19"/>
    <x v="1"/>
    <n v="0"/>
    <n v="28500"/>
    <n v="0"/>
  </r>
  <r>
    <n v="2020"/>
    <x v="6"/>
    <n v="19"/>
    <x v="2"/>
    <n v="0"/>
    <n v="28500"/>
    <n v="0"/>
  </r>
  <r>
    <n v="2020"/>
    <x v="6"/>
    <n v="19"/>
    <x v="3"/>
    <n v="0"/>
    <n v="28500"/>
    <n v="0"/>
  </r>
  <r>
    <n v="2020"/>
    <x v="6"/>
    <n v="19"/>
    <x v="4"/>
    <n v="0"/>
    <n v="28500"/>
    <n v="0"/>
  </r>
  <r>
    <n v="2020"/>
    <x v="6"/>
    <n v="19"/>
    <x v="5"/>
    <n v="1094.5"/>
    <n v="28500"/>
    <n v="3.8403508771929822E-2"/>
  </r>
  <r>
    <n v="2020"/>
    <x v="6"/>
    <n v="19"/>
    <x v="6"/>
    <n v="3614"/>
    <n v="28500"/>
    <n v="0.12680701754385965"/>
  </r>
  <r>
    <n v="2020"/>
    <x v="6"/>
    <n v="19"/>
    <x v="7"/>
    <n v="7081"/>
    <n v="28500"/>
    <n v="0.24845614035087718"/>
  </r>
  <r>
    <n v="2020"/>
    <x v="6"/>
    <n v="19"/>
    <x v="8"/>
    <n v="5650.5"/>
    <n v="28500"/>
    <n v="0.19826315789473684"/>
  </r>
  <r>
    <n v="2020"/>
    <x v="6"/>
    <n v="19"/>
    <x v="9"/>
    <n v="6428"/>
    <n v="28500"/>
    <n v="0.2255438596491228"/>
  </r>
  <r>
    <n v="2020"/>
    <x v="6"/>
    <n v="19"/>
    <x v="10"/>
    <n v="4546"/>
    <n v="28500"/>
    <n v="0.15950877192982457"/>
  </r>
  <r>
    <n v="2020"/>
    <x v="6"/>
    <n v="19"/>
    <x v="11"/>
    <n v="9653"/>
    <n v="28500"/>
    <n v="0.33870175438596489"/>
  </r>
  <r>
    <n v="2020"/>
    <x v="6"/>
    <n v="19"/>
    <x v="12"/>
    <n v="11596"/>
    <n v="28500"/>
    <n v="0.40687719298245612"/>
  </r>
  <r>
    <n v="2020"/>
    <x v="6"/>
    <n v="19"/>
    <x v="13"/>
    <n v="8671"/>
    <n v="28500"/>
    <n v="0.30424561403508771"/>
  </r>
  <r>
    <n v="2020"/>
    <x v="6"/>
    <n v="19"/>
    <x v="14"/>
    <n v="12065.5"/>
    <n v="28500"/>
    <n v="0.42335087719298248"/>
  </r>
  <r>
    <n v="2020"/>
    <x v="6"/>
    <n v="19"/>
    <x v="15"/>
    <n v="20607"/>
    <n v="28500"/>
    <n v="0.72305263157894739"/>
  </r>
  <r>
    <n v="2020"/>
    <x v="6"/>
    <n v="19"/>
    <x v="16"/>
    <n v="2918"/>
    <n v="28500"/>
    <n v="0.10238596491228071"/>
  </r>
  <r>
    <n v="2020"/>
    <x v="6"/>
    <n v="19"/>
    <x v="17"/>
    <n v="3586.5"/>
    <n v="28500"/>
    <n v="0.12584210526315789"/>
  </r>
  <r>
    <n v="2020"/>
    <x v="6"/>
    <n v="19"/>
    <x v="18"/>
    <n v="2505.5"/>
    <n v="28500"/>
    <n v="8.7912280701754386E-2"/>
  </r>
  <r>
    <n v="2020"/>
    <x v="6"/>
    <n v="19"/>
    <x v="19"/>
    <n v="837"/>
    <n v="28500"/>
    <n v="2.9368421052631578E-2"/>
  </r>
  <r>
    <n v="2020"/>
    <x v="6"/>
    <n v="19"/>
    <x v="20"/>
    <n v="0"/>
    <n v="28500"/>
    <n v="0"/>
  </r>
  <r>
    <n v="2020"/>
    <x v="6"/>
    <n v="19"/>
    <x v="21"/>
    <n v="0"/>
    <n v="28500"/>
    <n v="0"/>
  </r>
  <r>
    <n v="2020"/>
    <x v="6"/>
    <n v="19"/>
    <x v="22"/>
    <n v="0"/>
    <n v="28500"/>
    <n v="0"/>
  </r>
  <r>
    <n v="2020"/>
    <x v="6"/>
    <n v="19"/>
    <x v="23"/>
    <n v="0"/>
    <n v="28500"/>
    <n v="0"/>
  </r>
  <r>
    <n v="2020"/>
    <x v="6"/>
    <n v="20"/>
    <x v="0"/>
    <n v="0"/>
    <n v="28500"/>
    <n v="0"/>
  </r>
  <r>
    <n v="2020"/>
    <x v="6"/>
    <n v="20"/>
    <x v="1"/>
    <n v="0"/>
    <n v="28500"/>
    <n v="0"/>
  </r>
  <r>
    <n v="2020"/>
    <x v="6"/>
    <n v="20"/>
    <x v="2"/>
    <n v="0"/>
    <n v="28500"/>
    <n v="0"/>
  </r>
  <r>
    <n v="2020"/>
    <x v="6"/>
    <n v="20"/>
    <x v="3"/>
    <n v="0"/>
    <n v="28500"/>
    <n v="0"/>
  </r>
  <r>
    <n v="2020"/>
    <x v="6"/>
    <n v="20"/>
    <x v="4"/>
    <n v="0"/>
    <n v="28500"/>
    <n v="0"/>
  </r>
  <r>
    <n v="2020"/>
    <x v="6"/>
    <n v="20"/>
    <x v="5"/>
    <n v="1086"/>
    <n v="28500"/>
    <n v="3.8105263157894739E-2"/>
  </r>
  <r>
    <n v="2020"/>
    <x v="6"/>
    <n v="20"/>
    <x v="6"/>
    <n v="3026"/>
    <n v="28500"/>
    <n v="0.10617543859649123"/>
  </r>
  <r>
    <n v="2020"/>
    <x v="6"/>
    <n v="20"/>
    <x v="7"/>
    <n v="11554"/>
    <n v="28500"/>
    <n v="0.40540350877192982"/>
  </r>
  <r>
    <n v="2020"/>
    <x v="6"/>
    <n v="20"/>
    <x v="8"/>
    <n v="20738.5"/>
    <n v="28500"/>
    <n v="0.72766666666666668"/>
  </r>
  <r>
    <n v="2020"/>
    <x v="6"/>
    <n v="20"/>
    <x v="9"/>
    <n v="25097"/>
    <n v="28500"/>
    <n v="0.88059649122807016"/>
  </r>
  <r>
    <n v="2020"/>
    <x v="6"/>
    <n v="20"/>
    <x v="10"/>
    <n v="32152.5"/>
    <n v="28500"/>
    <n v="1.128157894736842"/>
  </r>
  <r>
    <n v="2020"/>
    <x v="6"/>
    <n v="20"/>
    <x v="11"/>
    <n v="30599.5"/>
    <n v="28500"/>
    <n v="1.0736666666666668"/>
  </r>
  <r>
    <n v="2020"/>
    <x v="6"/>
    <n v="20"/>
    <x v="12"/>
    <n v="33139"/>
    <n v="28500"/>
    <n v="1.1627719298245613"/>
  </r>
  <r>
    <n v="2020"/>
    <x v="6"/>
    <n v="20"/>
    <x v="13"/>
    <n v="37996"/>
    <n v="28500"/>
    <n v="1.3331929824561404"/>
  </r>
  <r>
    <n v="2020"/>
    <x v="6"/>
    <n v="20"/>
    <x v="14"/>
    <n v="32463.5"/>
    <n v="28500"/>
    <n v="1.1390701754385966"/>
  </r>
  <r>
    <n v="2020"/>
    <x v="6"/>
    <n v="20"/>
    <x v="15"/>
    <n v="28075.5"/>
    <n v="28500"/>
    <n v="0.98510526315789471"/>
  </r>
  <r>
    <n v="2020"/>
    <x v="6"/>
    <n v="20"/>
    <x v="16"/>
    <n v="19759.5"/>
    <n v="28500"/>
    <n v="0.69331578947368422"/>
  </r>
  <r>
    <n v="2020"/>
    <x v="6"/>
    <n v="20"/>
    <x v="17"/>
    <n v="10170"/>
    <n v="28500"/>
    <n v="0.3568421052631579"/>
  </r>
  <r>
    <n v="2020"/>
    <x v="6"/>
    <n v="20"/>
    <x v="18"/>
    <n v="2686.5"/>
    <n v="28500"/>
    <n v="9.426315789473684E-2"/>
  </r>
  <r>
    <n v="2020"/>
    <x v="6"/>
    <n v="20"/>
    <x v="19"/>
    <n v="862.5"/>
    <n v="28500"/>
    <n v="3.0263157894736843E-2"/>
  </r>
  <r>
    <n v="2020"/>
    <x v="6"/>
    <n v="20"/>
    <x v="20"/>
    <n v="0"/>
    <n v="28500"/>
    <n v="0"/>
  </r>
  <r>
    <n v="2020"/>
    <x v="6"/>
    <n v="20"/>
    <x v="21"/>
    <n v="0"/>
    <n v="28500"/>
    <n v="0"/>
  </r>
  <r>
    <n v="2020"/>
    <x v="6"/>
    <n v="20"/>
    <x v="22"/>
    <n v="0"/>
    <n v="28500"/>
    <n v="0"/>
  </r>
  <r>
    <n v="2020"/>
    <x v="6"/>
    <n v="20"/>
    <x v="23"/>
    <n v="0"/>
    <n v="28500"/>
    <n v="0"/>
  </r>
  <r>
    <n v="2020"/>
    <x v="6"/>
    <n v="21"/>
    <x v="0"/>
    <n v="0"/>
    <n v="28500"/>
    <n v="0"/>
  </r>
  <r>
    <n v="2020"/>
    <x v="6"/>
    <n v="21"/>
    <x v="1"/>
    <n v="0"/>
    <n v="28500"/>
    <n v="0"/>
  </r>
  <r>
    <n v="2020"/>
    <x v="6"/>
    <n v="21"/>
    <x v="2"/>
    <n v="0"/>
    <n v="28500"/>
    <n v="0"/>
  </r>
  <r>
    <n v="2020"/>
    <x v="6"/>
    <n v="21"/>
    <x v="3"/>
    <n v="0"/>
    <n v="28500"/>
    <n v="0"/>
  </r>
  <r>
    <n v="2020"/>
    <x v="6"/>
    <n v="21"/>
    <x v="4"/>
    <n v="0"/>
    <n v="28500"/>
    <n v="0"/>
  </r>
  <r>
    <n v="2020"/>
    <x v="6"/>
    <n v="21"/>
    <x v="5"/>
    <n v="1028"/>
    <n v="28500"/>
    <n v="3.6070175438596488E-2"/>
  </r>
  <r>
    <n v="2020"/>
    <x v="6"/>
    <n v="21"/>
    <x v="6"/>
    <n v="2971"/>
    <n v="28500"/>
    <n v="0.10424561403508772"/>
  </r>
  <r>
    <n v="2020"/>
    <x v="6"/>
    <n v="21"/>
    <x v="7"/>
    <n v="12098.5"/>
    <n v="28500"/>
    <n v="0.42450877192982456"/>
  </r>
  <r>
    <n v="2020"/>
    <x v="6"/>
    <n v="21"/>
    <x v="8"/>
    <n v="21952.5"/>
    <n v="28500"/>
    <n v="0.77026315789473687"/>
  </r>
  <r>
    <n v="2020"/>
    <x v="6"/>
    <n v="21"/>
    <x v="9"/>
    <n v="29653.5"/>
    <n v="28500"/>
    <n v="1.0404736842105262"/>
  </r>
  <r>
    <n v="2020"/>
    <x v="6"/>
    <n v="21"/>
    <x v="10"/>
    <n v="28495"/>
    <n v="28500"/>
    <n v="0.99982456140350873"/>
  </r>
  <r>
    <n v="2020"/>
    <x v="6"/>
    <n v="21"/>
    <x v="11"/>
    <n v="31264"/>
    <n v="28500"/>
    <n v="1.0969824561403509"/>
  </r>
  <r>
    <n v="2020"/>
    <x v="6"/>
    <n v="21"/>
    <x v="12"/>
    <n v="32986.5"/>
    <n v="28500"/>
    <n v="1.1574210526315789"/>
  </r>
  <r>
    <n v="2020"/>
    <x v="6"/>
    <n v="21"/>
    <x v="13"/>
    <n v="31905"/>
    <n v="28500"/>
    <n v="1.1194736842105264"/>
  </r>
  <r>
    <n v="2020"/>
    <x v="6"/>
    <n v="21"/>
    <x v="14"/>
    <n v="30430"/>
    <n v="28500"/>
    <n v="1.0677192982456141"/>
  </r>
  <r>
    <n v="2020"/>
    <x v="6"/>
    <n v="21"/>
    <x v="15"/>
    <n v="21781.5"/>
    <n v="28500"/>
    <n v="0.76426315789473687"/>
  </r>
  <r>
    <n v="2020"/>
    <x v="6"/>
    <n v="21"/>
    <x v="16"/>
    <n v="18093.5"/>
    <n v="28500"/>
    <n v="0.63485964912280701"/>
  </r>
  <r>
    <n v="2020"/>
    <x v="6"/>
    <n v="21"/>
    <x v="17"/>
    <n v="9230"/>
    <n v="28500"/>
    <n v="0.32385964912280701"/>
  </r>
  <r>
    <n v="2020"/>
    <x v="6"/>
    <n v="21"/>
    <x v="18"/>
    <n v="3057.5"/>
    <n v="28500"/>
    <n v="0.10728070175438596"/>
  </r>
  <r>
    <n v="2020"/>
    <x v="6"/>
    <n v="21"/>
    <x v="19"/>
    <n v="803"/>
    <n v="28500"/>
    <n v="2.8175438596491229E-2"/>
  </r>
  <r>
    <n v="2020"/>
    <x v="6"/>
    <n v="21"/>
    <x v="20"/>
    <n v="0"/>
    <n v="28500"/>
    <n v="0"/>
  </r>
  <r>
    <n v="2020"/>
    <x v="6"/>
    <n v="21"/>
    <x v="21"/>
    <n v="0"/>
    <n v="28500"/>
    <n v="0"/>
  </r>
  <r>
    <n v="2020"/>
    <x v="6"/>
    <n v="21"/>
    <x v="22"/>
    <n v="0"/>
    <n v="28500"/>
    <n v="0"/>
  </r>
  <r>
    <n v="2020"/>
    <x v="6"/>
    <n v="21"/>
    <x v="23"/>
    <n v="0"/>
    <n v="28500"/>
    <n v="0"/>
  </r>
  <r>
    <n v="2020"/>
    <x v="6"/>
    <n v="22"/>
    <x v="0"/>
    <n v="0"/>
    <n v="28500"/>
    <n v="0"/>
  </r>
  <r>
    <n v="2020"/>
    <x v="6"/>
    <n v="22"/>
    <x v="1"/>
    <n v="0"/>
    <n v="28500"/>
    <n v="0"/>
  </r>
  <r>
    <n v="2020"/>
    <x v="6"/>
    <n v="22"/>
    <x v="2"/>
    <n v="0"/>
    <n v="28500"/>
    <n v="0"/>
  </r>
  <r>
    <n v="2020"/>
    <x v="6"/>
    <n v="22"/>
    <x v="3"/>
    <n v="0"/>
    <n v="28500"/>
    <n v="0"/>
  </r>
  <r>
    <n v="2020"/>
    <x v="6"/>
    <n v="22"/>
    <x v="4"/>
    <n v="0"/>
    <n v="28500"/>
    <n v="0"/>
  </r>
  <r>
    <n v="2020"/>
    <x v="6"/>
    <n v="22"/>
    <x v="5"/>
    <n v="953"/>
    <n v="28500"/>
    <n v="3.3438596491228073E-2"/>
  </r>
  <r>
    <n v="2020"/>
    <x v="6"/>
    <n v="22"/>
    <x v="6"/>
    <n v="2805"/>
    <n v="28500"/>
    <n v="9.8421052631578951E-2"/>
  </r>
  <r>
    <n v="2020"/>
    <x v="6"/>
    <n v="22"/>
    <x v="7"/>
    <n v="10396.5"/>
    <n v="28500"/>
    <n v="0.36478947368421055"/>
  </r>
  <r>
    <n v="2020"/>
    <x v="6"/>
    <n v="22"/>
    <x v="8"/>
    <n v="18206.5"/>
    <n v="28500"/>
    <n v="0.63882456140350874"/>
  </r>
  <r>
    <n v="2020"/>
    <x v="6"/>
    <n v="22"/>
    <x v="9"/>
    <n v="29503"/>
    <n v="28500"/>
    <n v="1.0351929824561403"/>
  </r>
  <r>
    <n v="2020"/>
    <x v="6"/>
    <n v="22"/>
    <x v="10"/>
    <n v="34319"/>
    <n v="28500"/>
    <n v="1.2041754385964911"/>
  </r>
  <r>
    <n v="2020"/>
    <x v="6"/>
    <n v="22"/>
    <x v="11"/>
    <n v="30442"/>
    <n v="28500"/>
    <n v="1.0681403508771929"/>
  </r>
  <r>
    <n v="2020"/>
    <x v="6"/>
    <n v="22"/>
    <x v="12"/>
    <n v="19912"/>
    <n v="28500"/>
    <n v="0.69866666666666666"/>
  </r>
  <r>
    <n v="2020"/>
    <x v="6"/>
    <n v="22"/>
    <x v="13"/>
    <n v="27010.5"/>
    <n v="28500"/>
    <n v="0.94773684210526321"/>
  </r>
  <r>
    <n v="2020"/>
    <x v="6"/>
    <n v="22"/>
    <x v="14"/>
    <n v="21293"/>
    <n v="28500"/>
    <n v="0.74712280701754386"/>
  </r>
  <r>
    <n v="2020"/>
    <x v="6"/>
    <n v="22"/>
    <x v="15"/>
    <n v="25774"/>
    <n v="28500"/>
    <n v="0.90435087719298246"/>
  </r>
  <r>
    <n v="2020"/>
    <x v="6"/>
    <n v="22"/>
    <x v="16"/>
    <n v="18369"/>
    <n v="28500"/>
    <n v="0.64452631578947372"/>
  </r>
  <r>
    <n v="2020"/>
    <x v="6"/>
    <n v="22"/>
    <x v="17"/>
    <n v="9830"/>
    <n v="28500"/>
    <n v="0.34491228070175439"/>
  </r>
  <r>
    <n v="2020"/>
    <x v="6"/>
    <n v="22"/>
    <x v="18"/>
    <n v="2085"/>
    <n v="28500"/>
    <n v="7.3157894736842102E-2"/>
  </r>
  <r>
    <n v="2020"/>
    <x v="6"/>
    <n v="22"/>
    <x v="19"/>
    <n v="739"/>
    <n v="28500"/>
    <n v="2.5929824561403508E-2"/>
  </r>
  <r>
    <n v="2020"/>
    <x v="6"/>
    <n v="22"/>
    <x v="20"/>
    <n v="0"/>
    <n v="28500"/>
    <n v="0"/>
  </r>
  <r>
    <n v="2020"/>
    <x v="6"/>
    <n v="22"/>
    <x v="21"/>
    <n v="0"/>
    <n v="28500"/>
    <n v="0"/>
  </r>
  <r>
    <n v="2020"/>
    <x v="6"/>
    <n v="22"/>
    <x v="22"/>
    <n v="0"/>
    <n v="28500"/>
    <n v="0"/>
  </r>
  <r>
    <n v="2020"/>
    <x v="6"/>
    <n v="22"/>
    <x v="23"/>
    <n v="0"/>
    <n v="28500"/>
    <n v="0"/>
  </r>
  <r>
    <n v="2020"/>
    <x v="6"/>
    <n v="23"/>
    <x v="0"/>
    <n v="0"/>
    <n v="28500"/>
    <n v="0"/>
  </r>
  <r>
    <n v="2020"/>
    <x v="6"/>
    <n v="23"/>
    <x v="1"/>
    <n v="0"/>
    <n v="28500"/>
    <n v="0"/>
  </r>
  <r>
    <n v="2020"/>
    <x v="6"/>
    <n v="23"/>
    <x v="2"/>
    <n v="0"/>
    <n v="28500"/>
    <n v="0"/>
  </r>
  <r>
    <n v="2020"/>
    <x v="6"/>
    <n v="23"/>
    <x v="3"/>
    <n v="0"/>
    <n v="28500"/>
    <n v="0"/>
  </r>
  <r>
    <n v="2020"/>
    <x v="6"/>
    <n v="23"/>
    <x v="4"/>
    <n v="0"/>
    <n v="28500"/>
    <n v="0"/>
  </r>
  <r>
    <n v="2020"/>
    <x v="6"/>
    <n v="23"/>
    <x v="5"/>
    <n v="558.5"/>
    <n v="28500"/>
    <n v="1.9596491228070174E-2"/>
  </r>
  <r>
    <n v="2020"/>
    <x v="6"/>
    <n v="23"/>
    <x v="6"/>
    <n v="3284.5"/>
    <n v="28500"/>
    <n v="0.11524561403508772"/>
  </r>
  <r>
    <n v="2020"/>
    <x v="6"/>
    <n v="23"/>
    <x v="7"/>
    <n v="7488.5"/>
    <n v="28500"/>
    <n v="0.2627543859649123"/>
  </r>
  <r>
    <n v="2020"/>
    <x v="6"/>
    <n v="23"/>
    <x v="8"/>
    <n v="9217"/>
    <n v="28500"/>
    <n v="0.3234035087719298"/>
  </r>
  <r>
    <n v="2020"/>
    <x v="6"/>
    <n v="23"/>
    <x v="9"/>
    <n v="15880"/>
    <n v="28500"/>
    <n v="0.55719298245614035"/>
  </r>
  <r>
    <n v="2020"/>
    <x v="6"/>
    <n v="23"/>
    <x v="10"/>
    <n v="21956"/>
    <n v="28500"/>
    <n v="0.77038596491228073"/>
  </r>
  <r>
    <n v="2020"/>
    <x v="6"/>
    <n v="23"/>
    <x v="11"/>
    <n v="37016.5"/>
    <n v="28500"/>
    <n v="1.2988245614035088"/>
  </r>
  <r>
    <n v="2020"/>
    <x v="6"/>
    <n v="23"/>
    <x v="12"/>
    <n v="13240.5"/>
    <n v="28500"/>
    <n v="0.46457894736842104"/>
  </r>
  <r>
    <n v="2020"/>
    <x v="6"/>
    <n v="23"/>
    <x v="13"/>
    <n v="35817.5"/>
    <n v="28500"/>
    <n v="1.2567543859649122"/>
  </r>
  <r>
    <n v="2020"/>
    <x v="6"/>
    <n v="23"/>
    <x v="14"/>
    <n v="33033.5"/>
    <n v="28500"/>
    <n v="1.1590701754385966"/>
  </r>
  <r>
    <n v="2020"/>
    <x v="6"/>
    <n v="23"/>
    <x v="15"/>
    <n v="27063"/>
    <n v="28500"/>
    <n v="0.94957894736842108"/>
  </r>
  <r>
    <n v="2020"/>
    <x v="6"/>
    <n v="23"/>
    <x v="16"/>
    <n v="13703.5"/>
    <n v="28500"/>
    <n v="0.48082456140350877"/>
  </r>
  <r>
    <n v="2020"/>
    <x v="6"/>
    <n v="23"/>
    <x v="17"/>
    <n v="7472.5"/>
    <n v="28500"/>
    <n v="0.26219298245614037"/>
  </r>
  <r>
    <n v="2020"/>
    <x v="6"/>
    <n v="23"/>
    <x v="18"/>
    <n v="2602.5"/>
    <n v="28500"/>
    <n v="9.1315789473684211E-2"/>
  </r>
  <r>
    <n v="2020"/>
    <x v="6"/>
    <n v="23"/>
    <x v="19"/>
    <n v="323.5"/>
    <n v="28500"/>
    <n v="1.1350877192982457E-2"/>
  </r>
  <r>
    <n v="2020"/>
    <x v="6"/>
    <n v="23"/>
    <x v="20"/>
    <n v="0"/>
    <n v="28500"/>
    <n v="0"/>
  </r>
  <r>
    <n v="2020"/>
    <x v="6"/>
    <n v="23"/>
    <x v="21"/>
    <n v="0"/>
    <n v="28500"/>
    <n v="0"/>
  </r>
  <r>
    <n v="2020"/>
    <x v="6"/>
    <n v="23"/>
    <x v="22"/>
    <n v="0"/>
    <n v="28500"/>
    <n v="0"/>
  </r>
  <r>
    <n v="2020"/>
    <x v="6"/>
    <n v="23"/>
    <x v="23"/>
    <n v="0"/>
    <n v="28500"/>
    <n v="0"/>
  </r>
  <r>
    <n v="2020"/>
    <x v="6"/>
    <n v="24"/>
    <x v="0"/>
    <n v="0"/>
    <n v="28500"/>
    <n v="0"/>
  </r>
  <r>
    <n v="2020"/>
    <x v="6"/>
    <n v="24"/>
    <x v="1"/>
    <n v="0"/>
    <n v="28500"/>
    <n v="0"/>
  </r>
  <r>
    <n v="2020"/>
    <x v="6"/>
    <n v="24"/>
    <x v="2"/>
    <n v="0"/>
    <n v="28500"/>
    <n v="0"/>
  </r>
  <r>
    <n v="2020"/>
    <x v="6"/>
    <n v="24"/>
    <x v="3"/>
    <n v="0"/>
    <n v="28500"/>
    <n v="0"/>
  </r>
  <r>
    <n v="2020"/>
    <x v="6"/>
    <n v="24"/>
    <x v="4"/>
    <n v="0"/>
    <n v="28500"/>
    <n v="0"/>
  </r>
  <r>
    <n v="2020"/>
    <x v="6"/>
    <n v="24"/>
    <x v="5"/>
    <n v="439"/>
    <n v="28500"/>
    <n v="1.5403508771929825E-2"/>
  </r>
  <r>
    <n v="2020"/>
    <x v="6"/>
    <n v="24"/>
    <x v="6"/>
    <n v="3069.5"/>
    <n v="28500"/>
    <n v="0.10770175438596491"/>
  </r>
  <r>
    <n v="2020"/>
    <x v="6"/>
    <n v="24"/>
    <x v="7"/>
    <n v="6104.5"/>
    <n v="28500"/>
    <n v="0.21419298245614035"/>
  </r>
  <r>
    <n v="2020"/>
    <x v="6"/>
    <n v="24"/>
    <x v="8"/>
    <n v="9107"/>
    <n v="28500"/>
    <n v="0.3195438596491228"/>
  </r>
  <r>
    <n v="2020"/>
    <x v="6"/>
    <n v="24"/>
    <x v="9"/>
    <n v="20596.5"/>
    <n v="28500"/>
    <n v="0.72268421052631582"/>
  </r>
  <r>
    <n v="2020"/>
    <x v="6"/>
    <n v="24"/>
    <x v="10"/>
    <n v="12865.5"/>
    <n v="28500"/>
    <n v="0.45142105263157895"/>
  </r>
  <r>
    <n v="2020"/>
    <x v="6"/>
    <n v="24"/>
    <x v="11"/>
    <n v="13816.5"/>
    <n v="28500"/>
    <n v="0.48478947368421055"/>
  </r>
  <r>
    <n v="2020"/>
    <x v="6"/>
    <n v="24"/>
    <x v="12"/>
    <n v="24889.5"/>
    <n v="28500"/>
    <n v="0.87331578947368416"/>
  </r>
  <r>
    <n v="2020"/>
    <x v="6"/>
    <n v="24"/>
    <x v="13"/>
    <n v="9018.5"/>
    <n v="28500"/>
    <n v="0.31643859649122807"/>
  </r>
  <r>
    <n v="2020"/>
    <x v="6"/>
    <n v="24"/>
    <x v="14"/>
    <n v="11177"/>
    <n v="28500"/>
    <n v="0.39217543859649123"/>
  </r>
  <r>
    <n v="2020"/>
    <x v="6"/>
    <n v="24"/>
    <x v="15"/>
    <n v="10228.5"/>
    <n v="28500"/>
    <n v="0.35889473684210527"/>
  </r>
  <r>
    <n v="2020"/>
    <x v="6"/>
    <n v="24"/>
    <x v="16"/>
    <n v="13965"/>
    <n v="28500"/>
    <n v="0.49"/>
  </r>
  <r>
    <n v="2020"/>
    <x v="6"/>
    <n v="24"/>
    <x v="17"/>
    <n v="9171.5"/>
    <n v="28500"/>
    <n v="0.32180701754385965"/>
  </r>
  <r>
    <n v="2020"/>
    <x v="6"/>
    <n v="24"/>
    <x v="18"/>
    <n v="2114.5"/>
    <n v="28500"/>
    <n v="7.4192982456140352E-2"/>
  </r>
  <r>
    <n v="2020"/>
    <x v="6"/>
    <n v="24"/>
    <x v="19"/>
    <n v="509"/>
    <n v="28500"/>
    <n v="1.7859649122807016E-2"/>
  </r>
  <r>
    <n v="2020"/>
    <x v="6"/>
    <n v="24"/>
    <x v="20"/>
    <n v="0"/>
    <n v="28500"/>
    <n v="0"/>
  </r>
  <r>
    <n v="2020"/>
    <x v="6"/>
    <n v="24"/>
    <x v="21"/>
    <n v="0"/>
    <n v="28500"/>
    <n v="0"/>
  </r>
  <r>
    <n v="2020"/>
    <x v="6"/>
    <n v="24"/>
    <x v="22"/>
    <n v="0"/>
    <n v="28500"/>
    <n v="0"/>
  </r>
  <r>
    <n v="2020"/>
    <x v="6"/>
    <n v="24"/>
    <x v="23"/>
    <n v="0"/>
    <n v="28500"/>
    <n v="0"/>
  </r>
  <r>
    <n v="2020"/>
    <x v="6"/>
    <n v="25"/>
    <x v="0"/>
    <n v="0"/>
    <n v="28500"/>
    <n v="0"/>
  </r>
  <r>
    <n v="2020"/>
    <x v="6"/>
    <n v="25"/>
    <x v="1"/>
    <n v="0"/>
    <n v="28500"/>
    <n v="0"/>
  </r>
  <r>
    <n v="2020"/>
    <x v="6"/>
    <n v="25"/>
    <x v="2"/>
    <n v="0"/>
    <n v="28500"/>
    <n v="0"/>
  </r>
  <r>
    <n v="2020"/>
    <x v="6"/>
    <n v="25"/>
    <x v="3"/>
    <n v="0"/>
    <n v="28500"/>
    <n v="0"/>
  </r>
  <r>
    <n v="2020"/>
    <x v="6"/>
    <n v="25"/>
    <x v="4"/>
    <n v="0"/>
    <n v="28500"/>
    <n v="0"/>
  </r>
  <r>
    <n v="2020"/>
    <x v="6"/>
    <n v="25"/>
    <x v="5"/>
    <n v="329"/>
    <n v="28500"/>
    <n v="1.1543859649122808E-2"/>
  </r>
  <r>
    <n v="2020"/>
    <x v="6"/>
    <n v="25"/>
    <x v="6"/>
    <n v="770"/>
    <n v="28500"/>
    <n v="2.7017543859649124E-2"/>
  </r>
  <r>
    <n v="2020"/>
    <x v="6"/>
    <n v="25"/>
    <x v="7"/>
    <n v="3761"/>
    <n v="28500"/>
    <n v="0.13196491228070176"/>
  </r>
  <r>
    <n v="2020"/>
    <x v="6"/>
    <n v="25"/>
    <x v="8"/>
    <n v="3381"/>
    <n v="28500"/>
    <n v="0.11863157894736842"/>
  </r>
  <r>
    <n v="2020"/>
    <x v="6"/>
    <n v="25"/>
    <x v="9"/>
    <n v="4285.5"/>
    <n v="28500"/>
    <n v="0.15036842105263157"/>
  </r>
  <r>
    <n v="2020"/>
    <x v="6"/>
    <n v="25"/>
    <x v="10"/>
    <n v="7766.5"/>
    <n v="28500"/>
    <n v="0.27250877192982453"/>
  </r>
  <r>
    <n v="2020"/>
    <x v="6"/>
    <n v="25"/>
    <x v="11"/>
    <n v="7635"/>
    <n v="28500"/>
    <n v="0.26789473684210524"/>
  </r>
  <r>
    <n v="2020"/>
    <x v="6"/>
    <n v="25"/>
    <x v="12"/>
    <n v="10861"/>
    <n v="28500"/>
    <n v="0.38108771929824559"/>
  </r>
  <r>
    <n v="2020"/>
    <x v="6"/>
    <n v="25"/>
    <x v="13"/>
    <n v="7167"/>
    <n v="28500"/>
    <n v="0.25147368421052629"/>
  </r>
  <r>
    <n v="2020"/>
    <x v="6"/>
    <n v="25"/>
    <x v="14"/>
    <n v="3675.5"/>
    <n v="28500"/>
    <n v="0.12896491228070175"/>
  </r>
  <r>
    <n v="2020"/>
    <x v="6"/>
    <n v="25"/>
    <x v="15"/>
    <n v="2537"/>
    <n v="28500"/>
    <n v="8.901754385964912E-2"/>
  </r>
  <r>
    <n v="2020"/>
    <x v="6"/>
    <n v="25"/>
    <x v="16"/>
    <n v="1864"/>
    <n v="28500"/>
    <n v="6.5403508771929825E-2"/>
  </r>
  <r>
    <n v="2020"/>
    <x v="6"/>
    <n v="25"/>
    <x v="17"/>
    <n v="645"/>
    <n v="28500"/>
    <n v="2.2631578947368423E-2"/>
  </r>
  <r>
    <n v="2020"/>
    <x v="6"/>
    <n v="25"/>
    <x v="18"/>
    <n v="237"/>
    <n v="28500"/>
    <n v="8.3157894736842104E-3"/>
  </r>
  <r>
    <n v="2020"/>
    <x v="6"/>
    <n v="25"/>
    <x v="19"/>
    <n v="692"/>
    <n v="28500"/>
    <n v="2.4280701754385965E-2"/>
  </r>
  <r>
    <n v="2020"/>
    <x v="6"/>
    <n v="25"/>
    <x v="20"/>
    <n v="0"/>
    <n v="28500"/>
    <n v="0"/>
  </r>
  <r>
    <n v="2020"/>
    <x v="6"/>
    <n v="25"/>
    <x v="21"/>
    <n v="0"/>
    <n v="28500"/>
    <n v="0"/>
  </r>
  <r>
    <n v="2020"/>
    <x v="6"/>
    <n v="25"/>
    <x v="22"/>
    <n v="0"/>
    <n v="28500"/>
    <n v="0"/>
  </r>
  <r>
    <n v="2020"/>
    <x v="6"/>
    <n v="25"/>
    <x v="23"/>
    <n v="0"/>
    <n v="28500"/>
    <n v="0"/>
  </r>
  <r>
    <n v="2020"/>
    <x v="6"/>
    <n v="26"/>
    <x v="0"/>
    <n v="0"/>
    <n v="28500"/>
    <n v="0"/>
  </r>
  <r>
    <n v="2020"/>
    <x v="6"/>
    <n v="26"/>
    <x v="1"/>
    <n v="0"/>
    <n v="28500"/>
    <n v="0"/>
  </r>
  <r>
    <n v="2020"/>
    <x v="6"/>
    <n v="26"/>
    <x v="2"/>
    <n v="0"/>
    <n v="28500"/>
    <n v="0"/>
  </r>
  <r>
    <n v="2020"/>
    <x v="6"/>
    <n v="26"/>
    <x v="3"/>
    <n v="0"/>
    <n v="28500"/>
    <n v="0"/>
  </r>
  <r>
    <n v="2020"/>
    <x v="6"/>
    <n v="26"/>
    <x v="4"/>
    <n v="0"/>
    <n v="28500"/>
    <n v="0"/>
  </r>
  <r>
    <n v="2020"/>
    <x v="6"/>
    <n v="26"/>
    <x v="5"/>
    <n v="828.5"/>
    <n v="28500"/>
    <n v="2.9070175438596493E-2"/>
  </r>
  <r>
    <n v="2020"/>
    <x v="6"/>
    <n v="26"/>
    <x v="6"/>
    <n v="2644.5"/>
    <n v="28500"/>
    <n v="9.2789473684210533E-2"/>
  </r>
  <r>
    <n v="2020"/>
    <x v="6"/>
    <n v="26"/>
    <x v="7"/>
    <n v="6664"/>
    <n v="28500"/>
    <n v="0.23382456140350877"/>
  </r>
  <r>
    <n v="2020"/>
    <x v="6"/>
    <n v="26"/>
    <x v="8"/>
    <n v="10798"/>
    <n v="28500"/>
    <n v="0.37887719298245615"/>
  </r>
  <r>
    <n v="2020"/>
    <x v="6"/>
    <n v="26"/>
    <x v="9"/>
    <n v="23061"/>
    <n v="28500"/>
    <n v="0.80915789473684208"/>
  </r>
  <r>
    <n v="2020"/>
    <x v="6"/>
    <n v="26"/>
    <x v="10"/>
    <n v="14379.5"/>
    <n v="28500"/>
    <n v="0.50454385964912285"/>
  </r>
  <r>
    <n v="2020"/>
    <x v="6"/>
    <n v="26"/>
    <x v="11"/>
    <n v="23175"/>
    <n v="28500"/>
    <n v="0.81315789473684208"/>
  </r>
  <r>
    <n v="2020"/>
    <x v="6"/>
    <n v="26"/>
    <x v="12"/>
    <n v="29313"/>
    <n v="28500"/>
    <n v="1.0285263157894737"/>
  </r>
  <r>
    <n v="2020"/>
    <x v="6"/>
    <n v="26"/>
    <x v="13"/>
    <n v="28459.5"/>
    <n v="28500"/>
    <n v="0.99857894736842101"/>
  </r>
  <r>
    <n v="2020"/>
    <x v="6"/>
    <n v="26"/>
    <x v="14"/>
    <n v="16229"/>
    <n v="28500"/>
    <n v="0.56943859649122808"/>
  </r>
  <r>
    <n v="2020"/>
    <x v="6"/>
    <n v="26"/>
    <x v="15"/>
    <n v="6538"/>
    <n v="28500"/>
    <n v="0.22940350877192983"/>
  </r>
  <r>
    <n v="2020"/>
    <x v="6"/>
    <n v="26"/>
    <x v="16"/>
    <n v="5788.5"/>
    <n v="28500"/>
    <n v="0.20310526315789473"/>
  </r>
  <r>
    <n v="2020"/>
    <x v="6"/>
    <n v="26"/>
    <x v="17"/>
    <n v="5961"/>
    <n v="28500"/>
    <n v="0.2091578947368421"/>
  </r>
  <r>
    <n v="2020"/>
    <x v="6"/>
    <n v="26"/>
    <x v="18"/>
    <n v="2987"/>
    <n v="28500"/>
    <n v="0.10480701754385965"/>
  </r>
  <r>
    <n v="2020"/>
    <x v="6"/>
    <n v="26"/>
    <x v="19"/>
    <n v="113"/>
    <n v="28500"/>
    <n v="3.9649122807017545E-3"/>
  </r>
  <r>
    <n v="2020"/>
    <x v="6"/>
    <n v="26"/>
    <x v="20"/>
    <n v="0"/>
    <n v="28500"/>
    <n v="0"/>
  </r>
  <r>
    <n v="2020"/>
    <x v="6"/>
    <n v="26"/>
    <x v="21"/>
    <n v="0"/>
    <n v="28500"/>
    <n v="0"/>
  </r>
  <r>
    <n v="2020"/>
    <x v="6"/>
    <n v="26"/>
    <x v="22"/>
    <n v="0"/>
    <n v="28500"/>
    <n v="0"/>
  </r>
  <r>
    <n v="2020"/>
    <x v="6"/>
    <n v="26"/>
    <x v="23"/>
    <n v="0"/>
    <n v="28500"/>
    <n v="0"/>
  </r>
  <r>
    <n v="2020"/>
    <x v="6"/>
    <n v="27"/>
    <x v="0"/>
    <n v="0"/>
    <n v="28500"/>
    <n v="0"/>
  </r>
  <r>
    <n v="2020"/>
    <x v="6"/>
    <n v="27"/>
    <x v="1"/>
    <n v="0"/>
    <n v="28500"/>
    <n v="0"/>
  </r>
  <r>
    <n v="2020"/>
    <x v="6"/>
    <n v="27"/>
    <x v="2"/>
    <n v="0"/>
    <n v="28500"/>
    <n v="0"/>
  </r>
  <r>
    <n v="2020"/>
    <x v="6"/>
    <n v="27"/>
    <x v="3"/>
    <n v="0"/>
    <n v="28500"/>
    <n v="0"/>
  </r>
  <r>
    <n v="2020"/>
    <x v="6"/>
    <n v="27"/>
    <x v="4"/>
    <n v="0"/>
    <n v="28500"/>
    <n v="0"/>
  </r>
  <r>
    <n v="2020"/>
    <x v="6"/>
    <n v="27"/>
    <x v="5"/>
    <n v="36.5"/>
    <n v="28500"/>
    <n v="1.2807017543859649E-3"/>
  </r>
  <r>
    <n v="2020"/>
    <x v="6"/>
    <n v="27"/>
    <x v="6"/>
    <n v="649.5"/>
    <n v="28500"/>
    <n v="2.2789473684210526E-2"/>
  </r>
  <r>
    <n v="2020"/>
    <x v="6"/>
    <n v="27"/>
    <x v="7"/>
    <n v="2538"/>
    <n v="28500"/>
    <n v="8.9052631578947369E-2"/>
  </r>
  <r>
    <n v="2020"/>
    <x v="6"/>
    <n v="27"/>
    <x v="8"/>
    <n v="4411"/>
    <n v="28500"/>
    <n v="0.15477192982456139"/>
  </r>
  <r>
    <n v="2020"/>
    <x v="6"/>
    <n v="27"/>
    <x v="9"/>
    <n v="5205.5"/>
    <n v="28500"/>
    <n v="0.18264912280701753"/>
  </r>
  <r>
    <n v="2020"/>
    <x v="6"/>
    <n v="27"/>
    <x v="10"/>
    <n v="28126.5"/>
    <n v="28500"/>
    <n v="0.98689473684210527"/>
  </r>
  <r>
    <n v="2020"/>
    <x v="6"/>
    <n v="27"/>
    <x v="11"/>
    <n v="3102"/>
    <n v="28500"/>
    <n v="0.10884210526315789"/>
  </r>
  <r>
    <n v="2020"/>
    <x v="6"/>
    <n v="27"/>
    <x v="12"/>
    <n v="4175"/>
    <n v="28500"/>
    <n v="0.14649122807017545"/>
  </r>
  <r>
    <n v="2020"/>
    <x v="6"/>
    <n v="27"/>
    <x v="13"/>
    <n v="11096"/>
    <n v="28500"/>
    <n v="0.38933333333333331"/>
  </r>
  <r>
    <n v="2020"/>
    <x v="6"/>
    <n v="27"/>
    <x v="14"/>
    <n v="4940"/>
    <n v="28500"/>
    <n v="0.17333333333333334"/>
  </r>
  <r>
    <n v="2020"/>
    <x v="6"/>
    <n v="27"/>
    <x v="15"/>
    <n v="6744"/>
    <n v="28500"/>
    <n v="0.23663157894736842"/>
  </r>
  <r>
    <n v="2020"/>
    <x v="6"/>
    <n v="27"/>
    <x v="16"/>
    <n v="8572.5"/>
    <n v="28500"/>
    <n v="0.30078947368421055"/>
  </r>
  <r>
    <n v="2020"/>
    <x v="6"/>
    <n v="27"/>
    <x v="17"/>
    <n v="5624"/>
    <n v="28500"/>
    <n v="0.19733333333333333"/>
  </r>
  <r>
    <n v="2020"/>
    <x v="6"/>
    <n v="27"/>
    <x v="18"/>
    <n v="2067.5"/>
    <n v="28500"/>
    <n v="7.2543859649122813E-2"/>
  </r>
  <r>
    <n v="2020"/>
    <x v="6"/>
    <n v="27"/>
    <x v="19"/>
    <n v="0"/>
    <n v="28500"/>
    <n v="0"/>
  </r>
  <r>
    <n v="2020"/>
    <x v="6"/>
    <n v="27"/>
    <x v="20"/>
    <n v="0"/>
    <n v="28500"/>
    <n v="0"/>
  </r>
  <r>
    <n v="2020"/>
    <x v="6"/>
    <n v="27"/>
    <x v="21"/>
    <n v="0"/>
    <n v="28500"/>
    <n v="0"/>
  </r>
  <r>
    <n v="2020"/>
    <x v="6"/>
    <n v="27"/>
    <x v="22"/>
    <n v="0"/>
    <n v="28500"/>
    <n v="0"/>
  </r>
  <r>
    <n v="2020"/>
    <x v="6"/>
    <n v="27"/>
    <x v="23"/>
    <n v="0"/>
    <n v="28500"/>
    <n v="0"/>
  </r>
  <r>
    <n v="2020"/>
    <x v="6"/>
    <n v="28"/>
    <x v="0"/>
    <n v="0"/>
    <n v="28500"/>
    <n v="0"/>
  </r>
  <r>
    <n v="2020"/>
    <x v="6"/>
    <n v="28"/>
    <x v="1"/>
    <n v="0"/>
    <n v="28500"/>
    <n v="0"/>
  </r>
  <r>
    <n v="2020"/>
    <x v="6"/>
    <n v="28"/>
    <x v="2"/>
    <n v="0"/>
    <n v="28500"/>
    <n v="0"/>
  </r>
  <r>
    <n v="2020"/>
    <x v="6"/>
    <n v="28"/>
    <x v="3"/>
    <n v="0"/>
    <n v="28500"/>
    <n v="0"/>
  </r>
  <r>
    <n v="2020"/>
    <x v="6"/>
    <n v="28"/>
    <x v="4"/>
    <n v="0"/>
    <n v="28500"/>
    <n v="0"/>
  </r>
  <r>
    <n v="2020"/>
    <x v="6"/>
    <n v="28"/>
    <x v="5"/>
    <n v="797.5"/>
    <n v="28500"/>
    <n v="2.7982456140350876E-2"/>
  </r>
  <r>
    <n v="2020"/>
    <x v="6"/>
    <n v="28"/>
    <x v="6"/>
    <n v="2773.5"/>
    <n v="28500"/>
    <n v="9.7315789473684217E-2"/>
  </r>
  <r>
    <n v="2020"/>
    <x v="6"/>
    <n v="28"/>
    <x v="7"/>
    <n v="10601"/>
    <n v="28500"/>
    <n v="0.37196491228070178"/>
  </r>
  <r>
    <n v="2020"/>
    <x v="6"/>
    <n v="28"/>
    <x v="8"/>
    <n v="21820.5"/>
    <n v="28500"/>
    <n v="0.76563157894736844"/>
  </r>
  <r>
    <n v="2020"/>
    <x v="6"/>
    <n v="28"/>
    <x v="9"/>
    <n v="21334.5"/>
    <n v="28500"/>
    <n v="0.74857894736842101"/>
  </r>
  <r>
    <n v="2020"/>
    <x v="6"/>
    <n v="28"/>
    <x v="10"/>
    <n v="27848.5"/>
    <n v="28500"/>
    <n v="0.97714035087719298"/>
  </r>
  <r>
    <n v="2020"/>
    <x v="6"/>
    <n v="28"/>
    <x v="11"/>
    <n v="19555.5"/>
    <n v="28500"/>
    <n v="0.68615789473684208"/>
  </r>
  <r>
    <n v="2020"/>
    <x v="6"/>
    <n v="28"/>
    <x v="12"/>
    <n v="23558"/>
    <n v="28500"/>
    <n v="0.82659649122807022"/>
  </r>
  <r>
    <n v="2020"/>
    <x v="6"/>
    <n v="28"/>
    <x v="13"/>
    <n v="22201"/>
    <n v="28500"/>
    <n v="0.77898245614035089"/>
  </r>
  <r>
    <n v="2020"/>
    <x v="6"/>
    <n v="28"/>
    <x v="14"/>
    <n v="21772.5"/>
    <n v="28500"/>
    <n v="0.7639473684210526"/>
  </r>
  <r>
    <n v="2020"/>
    <x v="6"/>
    <n v="28"/>
    <x v="15"/>
    <n v="11839.5"/>
    <n v="28500"/>
    <n v="0.41542105263157897"/>
  </r>
  <r>
    <n v="2020"/>
    <x v="6"/>
    <n v="28"/>
    <x v="16"/>
    <n v="14270.5"/>
    <n v="28500"/>
    <n v="0.50071929824561401"/>
  </r>
  <r>
    <n v="2020"/>
    <x v="6"/>
    <n v="28"/>
    <x v="17"/>
    <n v="9132"/>
    <n v="28500"/>
    <n v="0.32042105263157894"/>
  </r>
  <r>
    <n v="2020"/>
    <x v="6"/>
    <n v="28"/>
    <x v="18"/>
    <n v="3004"/>
    <n v="28500"/>
    <n v="0.10540350877192982"/>
  </r>
  <r>
    <n v="2020"/>
    <x v="6"/>
    <n v="28"/>
    <x v="19"/>
    <n v="407"/>
    <n v="28500"/>
    <n v="1.4280701754385965E-2"/>
  </r>
  <r>
    <n v="2020"/>
    <x v="6"/>
    <n v="28"/>
    <x v="20"/>
    <n v="0"/>
    <n v="28500"/>
    <n v="0"/>
  </r>
  <r>
    <n v="2020"/>
    <x v="6"/>
    <n v="28"/>
    <x v="21"/>
    <n v="0"/>
    <n v="28500"/>
    <n v="0"/>
  </r>
  <r>
    <n v="2020"/>
    <x v="6"/>
    <n v="28"/>
    <x v="22"/>
    <n v="0"/>
    <n v="28500"/>
    <n v="0"/>
  </r>
  <r>
    <n v="2020"/>
    <x v="6"/>
    <n v="28"/>
    <x v="23"/>
    <n v="0"/>
    <n v="28500"/>
    <n v="0"/>
  </r>
  <r>
    <n v="2020"/>
    <x v="6"/>
    <n v="29"/>
    <x v="0"/>
    <n v="0"/>
    <n v="28500"/>
    <n v="0"/>
  </r>
  <r>
    <n v="2020"/>
    <x v="6"/>
    <n v="29"/>
    <x v="1"/>
    <n v="0"/>
    <n v="28500"/>
    <n v="0"/>
  </r>
  <r>
    <n v="2020"/>
    <x v="6"/>
    <n v="29"/>
    <x v="2"/>
    <n v="0"/>
    <n v="28500"/>
    <n v="0"/>
  </r>
  <r>
    <n v="2020"/>
    <x v="6"/>
    <n v="29"/>
    <x v="3"/>
    <n v="0"/>
    <n v="28500"/>
    <n v="0"/>
  </r>
  <r>
    <n v="2020"/>
    <x v="6"/>
    <n v="29"/>
    <x v="4"/>
    <n v="0"/>
    <n v="28500"/>
    <n v="0"/>
  </r>
  <r>
    <n v="2020"/>
    <x v="6"/>
    <n v="29"/>
    <x v="5"/>
    <n v="775.5"/>
    <n v="28500"/>
    <n v="2.7210526315789473E-2"/>
  </r>
  <r>
    <n v="2020"/>
    <x v="6"/>
    <n v="29"/>
    <x v="6"/>
    <n v="2825"/>
    <n v="28500"/>
    <n v="9.9122807017543862E-2"/>
  </r>
  <r>
    <n v="2020"/>
    <x v="6"/>
    <n v="29"/>
    <x v="7"/>
    <n v="11369"/>
    <n v="28500"/>
    <n v="0.39891228070175438"/>
  </r>
  <r>
    <n v="2020"/>
    <x v="6"/>
    <n v="29"/>
    <x v="8"/>
    <n v="21406"/>
    <n v="28500"/>
    <n v="0.75108771929824558"/>
  </r>
  <r>
    <n v="2020"/>
    <x v="6"/>
    <n v="29"/>
    <x v="9"/>
    <n v="28068"/>
    <n v="28500"/>
    <n v="0.98484210526315785"/>
  </r>
  <r>
    <n v="2020"/>
    <x v="6"/>
    <n v="29"/>
    <x v="10"/>
    <n v="34847.5"/>
    <n v="28500"/>
    <n v="1.2227192982456141"/>
  </r>
  <r>
    <n v="2020"/>
    <x v="6"/>
    <n v="29"/>
    <x v="11"/>
    <n v="38083"/>
    <n v="28500"/>
    <n v="1.3362456140350878"/>
  </r>
  <r>
    <n v="2020"/>
    <x v="6"/>
    <n v="29"/>
    <x v="12"/>
    <n v="39873"/>
    <n v="28500"/>
    <n v="1.3990526315789473"/>
  </r>
  <r>
    <n v="2020"/>
    <x v="6"/>
    <n v="29"/>
    <x v="13"/>
    <n v="39294.5"/>
    <n v="28500"/>
    <n v="1.3787543859649123"/>
  </r>
  <r>
    <n v="2020"/>
    <x v="6"/>
    <n v="29"/>
    <x v="14"/>
    <n v="30719"/>
    <n v="28500"/>
    <n v="1.077859649122807"/>
  </r>
  <r>
    <n v="2020"/>
    <x v="6"/>
    <n v="29"/>
    <x v="15"/>
    <n v="22952"/>
    <n v="28500"/>
    <n v="0.80533333333333335"/>
  </r>
  <r>
    <n v="2020"/>
    <x v="6"/>
    <n v="29"/>
    <x v="16"/>
    <n v="18941"/>
    <n v="28500"/>
    <n v="0.66459649122807019"/>
  </r>
  <r>
    <n v="2020"/>
    <x v="6"/>
    <n v="29"/>
    <x v="17"/>
    <n v="8379.5"/>
    <n v="28500"/>
    <n v="0.29401754385964912"/>
  </r>
  <r>
    <n v="2020"/>
    <x v="6"/>
    <n v="29"/>
    <x v="18"/>
    <n v="2801.5"/>
    <n v="28500"/>
    <n v="9.8298245614035093E-2"/>
  </r>
  <r>
    <n v="2020"/>
    <x v="6"/>
    <n v="29"/>
    <x v="19"/>
    <n v="456.5"/>
    <n v="28500"/>
    <n v="1.6017543859649121E-2"/>
  </r>
  <r>
    <n v="2020"/>
    <x v="6"/>
    <n v="29"/>
    <x v="20"/>
    <n v="0"/>
    <n v="28500"/>
    <n v="0"/>
  </r>
  <r>
    <n v="2020"/>
    <x v="6"/>
    <n v="29"/>
    <x v="21"/>
    <n v="0"/>
    <n v="28500"/>
    <n v="0"/>
  </r>
  <r>
    <n v="2020"/>
    <x v="6"/>
    <n v="29"/>
    <x v="22"/>
    <n v="0"/>
    <n v="28500"/>
    <n v="0"/>
  </r>
  <r>
    <n v="2020"/>
    <x v="6"/>
    <n v="29"/>
    <x v="23"/>
    <n v="0"/>
    <n v="28500"/>
    <n v="0"/>
  </r>
  <r>
    <n v="2020"/>
    <x v="6"/>
    <n v="30"/>
    <x v="0"/>
    <n v="0"/>
    <n v="28500"/>
    <n v="0"/>
  </r>
  <r>
    <n v="2020"/>
    <x v="6"/>
    <n v="30"/>
    <x v="1"/>
    <n v="0"/>
    <n v="28500"/>
    <n v="0"/>
  </r>
  <r>
    <n v="2020"/>
    <x v="6"/>
    <n v="30"/>
    <x v="2"/>
    <n v="0"/>
    <n v="28500"/>
    <n v="0"/>
  </r>
  <r>
    <n v="2020"/>
    <x v="6"/>
    <n v="30"/>
    <x v="3"/>
    <n v="0"/>
    <n v="28500"/>
    <n v="0"/>
  </r>
  <r>
    <n v="2020"/>
    <x v="6"/>
    <n v="30"/>
    <x v="4"/>
    <n v="0"/>
    <n v="28500"/>
    <n v="0"/>
  </r>
  <r>
    <n v="2020"/>
    <x v="6"/>
    <n v="30"/>
    <x v="5"/>
    <n v="679.5"/>
    <n v="28500"/>
    <n v="2.3842105263157894E-2"/>
  </r>
  <r>
    <n v="2020"/>
    <x v="6"/>
    <n v="30"/>
    <x v="6"/>
    <n v="2613"/>
    <n v="28500"/>
    <n v="9.1684210526315785E-2"/>
  </r>
  <r>
    <n v="2020"/>
    <x v="6"/>
    <n v="30"/>
    <x v="7"/>
    <n v="11330.5"/>
    <n v="28500"/>
    <n v="0.39756140350877195"/>
  </r>
  <r>
    <n v="2020"/>
    <x v="6"/>
    <n v="30"/>
    <x v="8"/>
    <n v="21223"/>
    <n v="28500"/>
    <n v="0.7446666666666667"/>
  </r>
  <r>
    <n v="2020"/>
    <x v="6"/>
    <n v="30"/>
    <x v="9"/>
    <n v="28927"/>
    <n v="28500"/>
    <n v="1.0149824561403509"/>
  </r>
  <r>
    <n v="2020"/>
    <x v="6"/>
    <n v="30"/>
    <x v="10"/>
    <n v="34909"/>
    <n v="28500"/>
    <n v="1.2248771929824562"/>
  </r>
  <r>
    <n v="2020"/>
    <x v="6"/>
    <n v="30"/>
    <x v="11"/>
    <n v="38838.5"/>
    <n v="28500"/>
    <n v="1.3627543859649123"/>
  </r>
  <r>
    <n v="2020"/>
    <x v="6"/>
    <n v="30"/>
    <x v="12"/>
    <n v="38228.5"/>
    <n v="28500"/>
    <n v="1.3413508771929825"/>
  </r>
  <r>
    <n v="2020"/>
    <x v="6"/>
    <n v="30"/>
    <x v="13"/>
    <n v="37617.5"/>
    <n v="28500"/>
    <n v="1.3199122807017545"/>
  </r>
  <r>
    <n v="2020"/>
    <x v="6"/>
    <n v="30"/>
    <x v="14"/>
    <n v="34053.5"/>
    <n v="28500"/>
    <n v="1.194859649122807"/>
  </r>
  <r>
    <n v="2020"/>
    <x v="6"/>
    <n v="30"/>
    <x v="15"/>
    <n v="24616"/>
    <n v="28500"/>
    <n v="0.863719298245614"/>
  </r>
  <r>
    <n v="2020"/>
    <x v="6"/>
    <n v="30"/>
    <x v="16"/>
    <n v="19428.5"/>
    <n v="28500"/>
    <n v="0.68170175438596492"/>
  </r>
  <r>
    <n v="2020"/>
    <x v="6"/>
    <n v="30"/>
    <x v="17"/>
    <n v="9300"/>
    <n v="28500"/>
    <n v="0.32631578947368423"/>
  </r>
  <r>
    <n v="2020"/>
    <x v="6"/>
    <n v="30"/>
    <x v="18"/>
    <n v="1398"/>
    <n v="28500"/>
    <n v="4.9052631578947369E-2"/>
  </r>
  <r>
    <n v="2020"/>
    <x v="6"/>
    <n v="30"/>
    <x v="19"/>
    <n v="447"/>
    <n v="28500"/>
    <n v="1.568421052631579E-2"/>
  </r>
  <r>
    <n v="2020"/>
    <x v="6"/>
    <n v="30"/>
    <x v="20"/>
    <n v="0"/>
    <n v="28500"/>
    <n v="0"/>
  </r>
  <r>
    <n v="2020"/>
    <x v="6"/>
    <n v="30"/>
    <x v="21"/>
    <n v="0"/>
    <n v="28500"/>
    <n v="0"/>
  </r>
  <r>
    <n v="2020"/>
    <x v="6"/>
    <n v="30"/>
    <x v="22"/>
    <n v="0"/>
    <n v="28500"/>
    <n v="0"/>
  </r>
  <r>
    <n v="2020"/>
    <x v="6"/>
    <n v="30"/>
    <x v="23"/>
    <n v="0"/>
    <n v="28500"/>
    <n v="0"/>
  </r>
  <r>
    <n v="2020"/>
    <x v="6"/>
    <n v="31"/>
    <x v="0"/>
    <n v="0"/>
    <n v="28500"/>
    <n v="0"/>
  </r>
  <r>
    <n v="2020"/>
    <x v="6"/>
    <n v="31"/>
    <x v="1"/>
    <n v="0"/>
    <n v="28500"/>
    <n v="0"/>
  </r>
  <r>
    <n v="2020"/>
    <x v="6"/>
    <n v="31"/>
    <x v="2"/>
    <n v="0"/>
    <n v="28500"/>
    <n v="0"/>
  </r>
  <r>
    <n v="2020"/>
    <x v="6"/>
    <n v="31"/>
    <x v="3"/>
    <n v="0"/>
    <n v="28500"/>
    <n v="0"/>
  </r>
  <r>
    <n v="2020"/>
    <x v="6"/>
    <n v="31"/>
    <x v="4"/>
    <n v="0"/>
    <n v="28500"/>
    <n v="0"/>
  </r>
  <r>
    <n v="2020"/>
    <x v="6"/>
    <n v="31"/>
    <x v="5"/>
    <n v="719"/>
    <n v="28500"/>
    <n v="2.5228070175438596E-2"/>
  </r>
  <r>
    <n v="2020"/>
    <x v="6"/>
    <n v="31"/>
    <x v="6"/>
    <n v="2677"/>
    <n v="28500"/>
    <n v="9.3929824561403502E-2"/>
  </r>
  <r>
    <n v="2020"/>
    <x v="6"/>
    <n v="31"/>
    <x v="7"/>
    <n v="10916"/>
    <n v="28500"/>
    <n v="0.38301754385964915"/>
  </r>
  <r>
    <n v="2020"/>
    <x v="6"/>
    <n v="31"/>
    <x v="8"/>
    <n v="20449"/>
    <n v="28500"/>
    <n v="0.71750877192982454"/>
  </r>
  <r>
    <n v="2020"/>
    <x v="6"/>
    <n v="31"/>
    <x v="9"/>
    <n v="28011.5"/>
    <n v="28500"/>
    <n v="0.98285964912280699"/>
  </r>
  <r>
    <n v="2020"/>
    <x v="6"/>
    <n v="31"/>
    <x v="10"/>
    <n v="33312.5"/>
    <n v="28500"/>
    <n v="1.1688596491228069"/>
  </r>
  <r>
    <n v="2020"/>
    <x v="6"/>
    <n v="31"/>
    <x v="11"/>
    <n v="37981.5"/>
    <n v="28500"/>
    <n v="1.3326842105263157"/>
  </r>
  <r>
    <n v="2020"/>
    <x v="6"/>
    <n v="31"/>
    <x v="12"/>
    <n v="38714"/>
    <n v="28500"/>
    <n v="1.3583859649122807"/>
  </r>
  <r>
    <n v="2020"/>
    <x v="6"/>
    <n v="31"/>
    <x v="13"/>
    <n v="37244.5"/>
    <n v="28500"/>
    <n v="1.3068245614035088"/>
  </r>
  <r>
    <n v="2020"/>
    <x v="6"/>
    <n v="31"/>
    <x v="14"/>
    <n v="33024.5"/>
    <n v="28500"/>
    <n v="1.1587543859649123"/>
  </r>
  <r>
    <n v="2020"/>
    <x v="6"/>
    <n v="31"/>
    <x v="15"/>
    <n v="22001"/>
    <n v="28500"/>
    <n v="0.77196491228070174"/>
  </r>
  <r>
    <n v="2020"/>
    <x v="6"/>
    <n v="31"/>
    <x v="16"/>
    <n v="10048"/>
    <n v="28500"/>
    <n v="0.35256140350877191"/>
  </r>
  <r>
    <n v="2020"/>
    <x v="6"/>
    <n v="31"/>
    <x v="17"/>
    <n v="1237.5"/>
    <n v="28500"/>
    <n v="4.3421052631578951E-2"/>
  </r>
  <r>
    <n v="2020"/>
    <x v="6"/>
    <n v="31"/>
    <x v="18"/>
    <n v="1996"/>
    <n v="28500"/>
    <n v="7.0035087719298242E-2"/>
  </r>
  <r>
    <n v="2020"/>
    <x v="6"/>
    <n v="31"/>
    <x v="19"/>
    <n v="266.5"/>
    <n v="28500"/>
    <n v="9.3508771929824569E-3"/>
  </r>
  <r>
    <n v="2020"/>
    <x v="6"/>
    <n v="31"/>
    <x v="20"/>
    <n v="0"/>
    <n v="28500"/>
    <n v="0"/>
  </r>
  <r>
    <n v="2020"/>
    <x v="6"/>
    <n v="31"/>
    <x v="21"/>
    <n v="0"/>
    <n v="28500"/>
    <n v="0"/>
  </r>
  <r>
    <n v="2020"/>
    <x v="6"/>
    <n v="31"/>
    <x v="22"/>
    <n v="0"/>
    <n v="28500"/>
    <n v="0"/>
  </r>
  <r>
    <n v="2020"/>
    <x v="6"/>
    <n v="31"/>
    <x v="23"/>
    <n v="0"/>
    <n v="28500"/>
    <n v="0"/>
  </r>
  <r>
    <n v="2020"/>
    <x v="7"/>
    <n v="1"/>
    <x v="0"/>
    <n v="0"/>
    <n v="28500"/>
    <n v="0"/>
  </r>
  <r>
    <n v="2020"/>
    <x v="7"/>
    <n v="1"/>
    <x v="1"/>
    <n v="0"/>
    <n v="28500"/>
    <n v="0"/>
  </r>
  <r>
    <n v="2020"/>
    <x v="7"/>
    <n v="1"/>
    <x v="2"/>
    <n v="0"/>
    <n v="28500"/>
    <n v="0"/>
  </r>
  <r>
    <n v="2020"/>
    <x v="7"/>
    <n v="1"/>
    <x v="3"/>
    <n v="0"/>
    <n v="28500"/>
    <n v="0"/>
  </r>
  <r>
    <n v="2020"/>
    <x v="7"/>
    <n v="1"/>
    <x v="4"/>
    <n v="0"/>
    <n v="28500"/>
    <n v="0"/>
  </r>
  <r>
    <n v="2020"/>
    <x v="7"/>
    <n v="1"/>
    <x v="5"/>
    <n v="658.5"/>
    <n v="28500"/>
    <n v="2.3105263157894736E-2"/>
  </r>
  <r>
    <n v="2020"/>
    <x v="7"/>
    <n v="1"/>
    <x v="6"/>
    <n v="2557.5"/>
    <n v="28500"/>
    <n v="8.9736842105263157E-2"/>
  </r>
  <r>
    <n v="2020"/>
    <x v="7"/>
    <n v="1"/>
    <x v="7"/>
    <n v="11340"/>
    <n v="28500"/>
    <n v="0.39789473684210525"/>
  </r>
  <r>
    <n v="2020"/>
    <x v="7"/>
    <n v="1"/>
    <x v="8"/>
    <n v="21140"/>
    <n v="28500"/>
    <n v="0.74175438596491228"/>
  </r>
  <r>
    <n v="2020"/>
    <x v="7"/>
    <n v="1"/>
    <x v="9"/>
    <n v="27364"/>
    <n v="28500"/>
    <n v="0.96014035087719296"/>
  </r>
  <r>
    <n v="2020"/>
    <x v="7"/>
    <n v="1"/>
    <x v="10"/>
    <n v="15196"/>
    <n v="28500"/>
    <n v="0.53319298245614033"/>
  </r>
  <r>
    <n v="2020"/>
    <x v="7"/>
    <n v="1"/>
    <x v="11"/>
    <n v="21101"/>
    <n v="28500"/>
    <n v="0.7403859649122807"/>
  </r>
  <r>
    <n v="2020"/>
    <x v="7"/>
    <n v="1"/>
    <x v="12"/>
    <n v="13375"/>
    <n v="28500"/>
    <n v="0.4692982456140351"/>
  </r>
  <r>
    <n v="2020"/>
    <x v="7"/>
    <n v="1"/>
    <x v="13"/>
    <n v="14591"/>
    <n v="28500"/>
    <n v="0.51196491228070173"/>
  </r>
  <r>
    <n v="2020"/>
    <x v="7"/>
    <n v="1"/>
    <x v="14"/>
    <n v="13334"/>
    <n v="28500"/>
    <n v="0.46785964912280703"/>
  </r>
  <r>
    <n v="2020"/>
    <x v="7"/>
    <n v="1"/>
    <x v="15"/>
    <n v="19133"/>
    <n v="28500"/>
    <n v="0.67133333333333334"/>
  </r>
  <r>
    <n v="2020"/>
    <x v="7"/>
    <n v="1"/>
    <x v="16"/>
    <n v="8735.5"/>
    <n v="28500"/>
    <n v="0.30650877192982456"/>
  </r>
  <r>
    <n v="2020"/>
    <x v="7"/>
    <n v="1"/>
    <x v="17"/>
    <n v="8798.5"/>
    <n v="28500"/>
    <n v="0.30871929824561406"/>
  </r>
  <r>
    <n v="2020"/>
    <x v="7"/>
    <n v="1"/>
    <x v="18"/>
    <n v="2627"/>
    <n v="28500"/>
    <n v="9.217543859649123E-2"/>
  </r>
  <r>
    <n v="2020"/>
    <x v="7"/>
    <n v="1"/>
    <x v="19"/>
    <n v="0"/>
    <n v="28500"/>
    <n v="0"/>
  </r>
  <r>
    <n v="2020"/>
    <x v="7"/>
    <n v="1"/>
    <x v="20"/>
    <n v="0"/>
    <n v="28500"/>
    <n v="0"/>
  </r>
  <r>
    <n v="2020"/>
    <x v="7"/>
    <n v="1"/>
    <x v="21"/>
    <n v="0"/>
    <n v="28500"/>
    <n v="0"/>
  </r>
  <r>
    <n v="2020"/>
    <x v="7"/>
    <n v="1"/>
    <x v="22"/>
    <n v="0"/>
    <n v="28500"/>
    <n v="0"/>
  </r>
  <r>
    <n v="2020"/>
    <x v="7"/>
    <n v="1"/>
    <x v="23"/>
    <n v="0"/>
    <n v="28500"/>
    <n v="0"/>
  </r>
  <r>
    <n v="2020"/>
    <x v="7"/>
    <n v="2"/>
    <x v="0"/>
    <n v="0"/>
    <n v="28500"/>
    <n v="0"/>
  </r>
  <r>
    <n v="2020"/>
    <x v="7"/>
    <n v="2"/>
    <x v="1"/>
    <n v="0"/>
    <n v="28500"/>
    <n v="0"/>
  </r>
  <r>
    <n v="2020"/>
    <x v="7"/>
    <n v="2"/>
    <x v="2"/>
    <n v="0"/>
    <n v="28500"/>
    <n v="0"/>
  </r>
  <r>
    <n v="2020"/>
    <x v="7"/>
    <n v="2"/>
    <x v="3"/>
    <n v="0"/>
    <n v="28500"/>
    <n v="0"/>
  </r>
  <r>
    <n v="2020"/>
    <x v="7"/>
    <n v="2"/>
    <x v="4"/>
    <n v="0"/>
    <n v="28500"/>
    <n v="0"/>
  </r>
  <r>
    <n v="2020"/>
    <x v="7"/>
    <n v="2"/>
    <x v="5"/>
    <n v="584"/>
    <n v="28500"/>
    <n v="2.0491228070175439E-2"/>
  </r>
  <r>
    <n v="2020"/>
    <x v="7"/>
    <n v="2"/>
    <x v="6"/>
    <n v="2480"/>
    <n v="28500"/>
    <n v="8.7017543859649119E-2"/>
  </r>
  <r>
    <n v="2020"/>
    <x v="7"/>
    <n v="2"/>
    <x v="7"/>
    <n v="11613.5"/>
    <n v="28500"/>
    <n v="0.40749122807017546"/>
  </r>
  <r>
    <n v="2020"/>
    <x v="7"/>
    <n v="2"/>
    <x v="8"/>
    <n v="21695.5"/>
    <n v="28500"/>
    <n v="0.76124561403508773"/>
  </r>
  <r>
    <n v="2020"/>
    <x v="7"/>
    <n v="2"/>
    <x v="9"/>
    <n v="18953.5"/>
    <n v="28500"/>
    <n v="0.6650350877192982"/>
  </r>
  <r>
    <n v="2020"/>
    <x v="7"/>
    <n v="2"/>
    <x v="10"/>
    <n v="26621.5"/>
    <n v="28500"/>
    <n v="0.93408771929824563"/>
  </r>
  <r>
    <n v="2020"/>
    <x v="7"/>
    <n v="2"/>
    <x v="11"/>
    <n v="33678.5"/>
    <n v="28500"/>
    <n v="1.1817017543859649"/>
  </r>
  <r>
    <n v="2020"/>
    <x v="7"/>
    <n v="2"/>
    <x v="12"/>
    <n v="38791"/>
    <n v="28500"/>
    <n v="1.3610877192982456"/>
  </r>
  <r>
    <n v="2020"/>
    <x v="7"/>
    <n v="2"/>
    <x v="13"/>
    <n v="27438.5"/>
    <n v="28500"/>
    <n v="0.96275438596491225"/>
  </r>
  <r>
    <n v="2020"/>
    <x v="7"/>
    <n v="2"/>
    <x v="14"/>
    <n v="21832"/>
    <n v="28500"/>
    <n v="0.76603508771929829"/>
  </r>
  <r>
    <n v="2020"/>
    <x v="7"/>
    <n v="2"/>
    <x v="15"/>
    <n v="17094.5"/>
    <n v="28500"/>
    <n v="0.59980701754385968"/>
  </r>
  <r>
    <n v="2020"/>
    <x v="7"/>
    <n v="2"/>
    <x v="16"/>
    <n v="19833.5"/>
    <n v="28500"/>
    <n v="0.69591228070175437"/>
  </r>
  <r>
    <n v="2020"/>
    <x v="7"/>
    <n v="2"/>
    <x v="17"/>
    <n v="6788.5"/>
    <n v="28500"/>
    <n v="0.23819298245614035"/>
  </r>
  <r>
    <n v="2020"/>
    <x v="7"/>
    <n v="2"/>
    <x v="18"/>
    <n v="918.5"/>
    <n v="28500"/>
    <n v="3.2228070175438599E-2"/>
  </r>
  <r>
    <n v="2020"/>
    <x v="7"/>
    <n v="2"/>
    <x v="19"/>
    <n v="299"/>
    <n v="28500"/>
    <n v="1.0491228070175438E-2"/>
  </r>
  <r>
    <n v="2020"/>
    <x v="7"/>
    <n v="2"/>
    <x v="20"/>
    <n v="0"/>
    <n v="28500"/>
    <n v="0"/>
  </r>
  <r>
    <n v="2020"/>
    <x v="7"/>
    <n v="2"/>
    <x v="21"/>
    <n v="0"/>
    <n v="28500"/>
    <n v="0"/>
  </r>
  <r>
    <n v="2020"/>
    <x v="7"/>
    <n v="2"/>
    <x v="22"/>
    <n v="0"/>
    <n v="28500"/>
    <n v="0"/>
  </r>
  <r>
    <n v="2020"/>
    <x v="7"/>
    <n v="2"/>
    <x v="23"/>
    <n v="0"/>
    <n v="28500"/>
    <n v="0"/>
  </r>
  <r>
    <n v="2020"/>
    <x v="7"/>
    <n v="3"/>
    <x v="0"/>
    <n v="0"/>
    <n v="28500"/>
    <n v="0"/>
  </r>
  <r>
    <n v="2020"/>
    <x v="7"/>
    <n v="3"/>
    <x v="1"/>
    <n v="0"/>
    <n v="28500"/>
    <n v="0"/>
  </r>
  <r>
    <n v="2020"/>
    <x v="7"/>
    <n v="3"/>
    <x v="2"/>
    <n v="0"/>
    <n v="28500"/>
    <n v="0"/>
  </r>
  <r>
    <n v="2020"/>
    <x v="7"/>
    <n v="3"/>
    <x v="3"/>
    <n v="0"/>
    <n v="28500"/>
    <n v="0"/>
  </r>
  <r>
    <n v="2020"/>
    <x v="7"/>
    <n v="3"/>
    <x v="4"/>
    <n v="0"/>
    <n v="28500"/>
    <n v="0"/>
  </r>
  <r>
    <n v="2020"/>
    <x v="7"/>
    <n v="3"/>
    <x v="5"/>
    <n v="586"/>
    <n v="28500"/>
    <n v="2.056140350877193E-2"/>
  </r>
  <r>
    <n v="2020"/>
    <x v="7"/>
    <n v="3"/>
    <x v="6"/>
    <n v="3241"/>
    <n v="28500"/>
    <n v="0.11371929824561404"/>
  </r>
  <r>
    <n v="2020"/>
    <x v="7"/>
    <n v="3"/>
    <x v="7"/>
    <n v="8908"/>
    <n v="28500"/>
    <n v="0.31256140350877193"/>
  </r>
  <r>
    <n v="2020"/>
    <x v="7"/>
    <n v="3"/>
    <x v="8"/>
    <n v="20992"/>
    <n v="28500"/>
    <n v="0.73656140350877197"/>
  </r>
  <r>
    <n v="2020"/>
    <x v="7"/>
    <n v="3"/>
    <x v="9"/>
    <n v="27971.5"/>
    <n v="28500"/>
    <n v="0.98145614035087714"/>
  </r>
  <r>
    <n v="2020"/>
    <x v="7"/>
    <n v="3"/>
    <x v="10"/>
    <n v="24841"/>
    <n v="28500"/>
    <n v="0.87161403508771929"/>
  </r>
  <r>
    <n v="2020"/>
    <x v="7"/>
    <n v="3"/>
    <x v="11"/>
    <n v="24142"/>
    <n v="28500"/>
    <n v="0.84708771929824567"/>
  </r>
  <r>
    <n v="2020"/>
    <x v="7"/>
    <n v="3"/>
    <x v="12"/>
    <n v="17653"/>
    <n v="28500"/>
    <n v="0.61940350877192984"/>
  </r>
  <r>
    <n v="2020"/>
    <x v="7"/>
    <n v="3"/>
    <x v="13"/>
    <n v="19734"/>
    <n v="28500"/>
    <n v="0.69242105263157894"/>
  </r>
  <r>
    <n v="2020"/>
    <x v="7"/>
    <n v="3"/>
    <x v="14"/>
    <n v="17569.5"/>
    <n v="28500"/>
    <n v="0.61647368421052628"/>
  </r>
  <r>
    <n v="2020"/>
    <x v="7"/>
    <n v="3"/>
    <x v="15"/>
    <n v="18899"/>
    <n v="28500"/>
    <n v="0.66312280701754389"/>
  </r>
  <r>
    <n v="2020"/>
    <x v="7"/>
    <n v="3"/>
    <x v="16"/>
    <n v="7569"/>
    <n v="28500"/>
    <n v="0.26557894736842103"/>
  </r>
  <r>
    <n v="2020"/>
    <x v="7"/>
    <n v="3"/>
    <x v="17"/>
    <n v="5899.5"/>
    <n v="28500"/>
    <n v="0.20699999999999999"/>
  </r>
  <r>
    <n v="2020"/>
    <x v="7"/>
    <n v="3"/>
    <x v="18"/>
    <n v="1670"/>
    <n v="28500"/>
    <n v="5.8596491228070174E-2"/>
  </r>
  <r>
    <n v="2020"/>
    <x v="7"/>
    <n v="3"/>
    <x v="19"/>
    <n v="18"/>
    <n v="28500"/>
    <n v="6.3157894736842106E-4"/>
  </r>
  <r>
    <n v="2020"/>
    <x v="7"/>
    <n v="3"/>
    <x v="20"/>
    <n v="0"/>
    <n v="28500"/>
    <n v="0"/>
  </r>
  <r>
    <n v="2020"/>
    <x v="7"/>
    <n v="3"/>
    <x v="21"/>
    <n v="0"/>
    <n v="28500"/>
    <n v="0"/>
  </r>
  <r>
    <n v="2020"/>
    <x v="7"/>
    <n v="3"/>
    <x v="22"/>
    <n v="0"/>
    <n v="28500"/>
    <n v="0"/>
  </r>
  <r>
    <n v="2020"/>
    <x v="7"/>
    <n v="3"/>
    <x v="23"/>
    <n v="0"/>
    <n v="28500"/>
    <n v="0"/>
  </r>
  <r>
    <n v="2020"/>
    <x v="7"/>
    <n v="4"/>
    <x v="0"/>
    <n v="0"/>
    <n v="28500"/>
    <n v="0"/>
  </r>
  <r>
    <n v="2020"/>
    <x v="7"/>
    <n v="4"/>
    <x v="1"/>
    <n v="0"/>
    <n v="28500"/>
    <n v="0"/>
  </r>
  <r>
    <n v="2020"/>
    <x v="7"/>
    <n v="4"/>
    <x v="2"/>
    <n v="0"/>
    <n v="28500"/>
    <n v="0"/>
  </r>
  <r>
    <n v="2020"/>
    <x v="7"/>
    <n v="4"/>
    <x v="3"/>
    <n v="0"/>
    <n v="28500"/>
    <n v="0"/>
  </r>
  <r>
    <n v="2020"/>
    <x v="7"/>
    <n v="4"/>
    <x v="4"/>
    <n v="0"/>
    <n v="28500"/>
    <n v="0"/>
  </r>
  <r>
    <n v="2020"/>
    <x v="7"/>
    <n v="4"/>
    <x v="5"/>
    <n v="563"/>
    <n v="28500"/>
    <n v="1.9754385964912281E-2"/>
  </r>
  <r>
    <n v="2020"/>
    <x v="7"/>
    <n v="4"/>
    <x v="6"/>
    <n v="2456.5"/>
    <n v="28500"/>
    <n v="8.6192982456140349E-2"/>
  </r>
  <r>
    <n v="2020"/>
    <x v="7"/>
    <n v="4"/>
    <x v="7"/>
    <n v="11010"/>
    <n v="28500"/>
    <n v="0.38631578947368422"/>
  </r>
  <r>
    <n v="2020"/>
    <x v="7"/>
    <n v="4"/>
    <x v="8"/>
    <n v="20765"/>
    <n v="28500"/>
    <n v="0.72859649122807013"/>
  </r>
  <r>
    <n v="2020"/>
    <x v="7"/>
    <n v="4"/>
    <x v="9"/>
    <n v="26213.5"/>
    <n v="28500"/>
    <n v="0.91977192982456135"/>
  </r>
  <r>
    <n v="2020"/>
    <x v="7"/>
    <n v="4"/>
    <x v="10"/>
    <n v="30573.5"/>
    <n v="28500"/>
    <n v="1.0727543859649122"/>
  </r>
  <r>
    <n v="2020"/>
    <x v="7"/>
    <n v="4"/>
    <x v="11"/>
    <n v="33458"/>
    <n v="28500"/>
    <n v="1.1739649122807017"/>
  </r>
  <r>
    <n v="2020"/>
    <x v="7"/>
    <n v="4"/>
    <x v="12"/>
    <n v="24705.5"/>
    <n v="28500"/>
    <n v="0.866859649122807"/>
  </r>
  <r>
    <n v="2020"/>
    <x v="7"/>
    <n v="4"/>
    <x v="13"/>
    <n v="10184"/>
    <n v="28500"/>
    <n v="0.35733333333333334"/>
  </r>
  <r>
    <n v="2020"/>
    <x v="7"/>
    <n v="4"/>
    <x v="14"/>
    <n v="34131.5"/>
    <n v="28500"/>
    <n v="1.1975964912280701"/>
  </r>
  <r>
    <n v="2020"/>
    <x v="7"/>
    <n v="4"/>
    <x v="15"/>
    <n v="28247.5"/>
    <n v="28500"/>
    <n v="0.99114035087719299"/>
  </r>
  <r>
    <n v="2020"/>
    <x v="7"/>
    <n v="4"/>
    <x v="16"/>
    <n v="13658"/>
    <n v="28500"/>
    <n v="0.47922807017543861"/>
  </r>
  <r>
    <n v="2020"/>
    <x v="7"/>
    <n v="4"/>
    <x v="17"/>
    <n v="9364"/>
    <n v="28500"/>
    <n v="0.32856140350877194"/>
  </r>
  <r>
    <n v="2020"/>
    <x v="7"/>
    <n v="4"/>
    <x v="18"/>
    <n v="1371"/>
    <n v="28500"/>
    <n v="4.8105263157894734E-2"/>
  </r>
  <r>
    <n v="2020"/>
    <x v="7"/>
    <n v="4"/>
    <x v="19"/>
    <n v="276"/>
    <n v="28500"/>
    <n v="9.6842105263157899E-3"/>
  </r>
  <r>
    <n v="2020"/>
    <x v="7"/>
    <n v="4"/>
    <x v="20"/>
    <n v="0"/>
    <n v="28500"/>
    <n v="0"/>
  </r>
  <r>
    <n v="2020"/>
    <x v="7"/>
    <n v="4"/>
    <x v="21"/>
    <n v="0"/>
    <n v="28500"/>
    <n v="0"/>
  </r>
  <r>
    <n v="2020"/>
    <x v="7"/>
    <n v="4"/>
    <x v="22"/>
    <n v="0"/>
    <n v="28500"/>
    <n v="0"/>
  </r>
  <r>
    <n v="2020"/>
    <x v="7"/>
    <n v="4"/>
    <x v="23"/>
    <n v="0"/>
    <n v="28500"/>
    <n v="0"/>
  </r>
  <r>
    <n v="2020"/>
    <x v="7"/>
    <n v="5"/>
    <x v="0"/>
    <n v="0"/>
    <n v="28500"/>
    <n v="0"/>
  </r>
  <r>
    <n v="2020"/>
    <x v="7"/>
    <n v="5"/>
    <x v="1"/>
    <n v="0"/>
    <n v="28500"/>
    <n v="0"/>
  </r>
  <r>
    <n v="2020"/>
    <x v="7"/>
    <n v="5"/>
    <x v="2"/>
    <n v="0"/>
    <n v="28500"/>
    <n v="0"/>
  </r>
  <r>
    <n v="2020"/>
    <x v="7"/>
    <n v="5"/>
    <x v="3"/>
    <n v="0"/>
    <n v="28500"/>
    <n v="0"/>
  </r>
  <r>
    <n v="2020"/>
    <x v="7"/>
    <n v="5"/>
    <x v="4"/>
    <n v="0"/>
    <n v="28500"/>
    <n v="0"/>
  </r>
  <r>
    <n v="2020"/>
    <x v="7"/>
    <n v="5"/>
    <x v="5"/>
    <n v="467"/>
    <n v="28500"/>
    <n v="1.6385964912280702E-2"/>
  </r>
  <r>
    <n v="2020"/>
    <x v="7"/>
    <n v="5"/>
    <x v="6"/>
    <n v="3006"/>
    <n v="28500"/>
    <n v="0.10547368421052632"/>
  </r>
  <r>
    <n v="2020"/>
    <x v="7"/>
    <n v="5"/>
    <x v="7"/>
    <n v="8795"/>
    <n v="28500"/>
    <n v="0.3085964912280702"/>
  </r>
  <r>
    <n v="2020"/>
    <x v="7"/>
    <n v="5"/>
    <x v="8"/>
    <n v="19835.5"/>
    <n v="28500"/>
    <n v="0.69598245614035092"/>
  </r>
  <r>
    <n v="2020"/>
    <x v="7"/>
    <n v="5"/>
    <x v="9"/>
    <n v="29497"/>
    <n v="28500"/>
    <n v="1.0349824561403509"/>
  </r>
  <r>
    <n v="2020"/>
    <x v="7"/>
    <n v="5"/>
    <x v="10"/>
    <n v="34857"/>
    <n v="28500"/>
    <n v="1.2230526315789474"/>
  </r>
  <r>
    <n v="2020"/>
    <x v="7"/>
    <n v="5"/>
    <x v="11"/>
    <n v="39299"/>
    <n v="28500"/>
    <n v="1.3789122807017544"/>
  </r>
  <r>
    <n v="2020"/>
    <x v="7"/>
    <n v="5"/>
    <x v="12"/>
    <n v="38594.5"/>
    <n v="28500"/>
    <n v="1.3541929824561403"/>
  </r>
  <r>
    <n v="2020"/>
    <x v="7"/>
    <n v="5"/>
    <x v="13"/>
    <n v="26297"/>
    <n v="28500"/>
    <n v="0.92270175438596491"/>
  </r>
  <r>
    <n v="2020"/>
    <x v="7"/>
    <n v="5"/>
    <x v="14"/>
    <n v="34517"/>
    <n v="28500"/>
    <n v="1.2111228070175439"/>
  </r>
  <r>
    <n v="2020"/>
    <x v="7"/>
    <n v="5"/>
    <x v="15"/>
    <n v="27464"/>
    <n v="28500"/>
    <n v="0.96364912280701753"/>
  </r>
  <r>
    <n v="2020"/>
    <x v="7"/>
    <n v="5"/>
    <x v="16"/>
    <n v="20026"/>
    <n v="28500"/>
    <n v="0.70266666666666666"/>
  </r>
  <r>
    <n v="2020"/>
    <x v="7"/>
    <n v="5"/>
    <x v="17"/>
    <n v="8418.5"/>
    <n v="28500"/>
    <n v="0.2953859649122807"/>
  </r>
  <r>
    <n v="2020"/>
    <x v="7"/>
    <n v="5"/>
    <x v="18"/>
    <n v="2367.5"/>
    <n v="28500"/>
    <n v="8.3070175438596489E-2"/>
  </r>
  <r>
    <n v="2020"/>
    <x v="7"/>
    <n v="5"/>
    <x v="19"/>
    <n v="154.5"/>
    <n v="28500"/>
    <n v="5.4210526315789471E-3"/>
  </r>
  <r>
    <n v="2020"/>
    <x v="7"/>
    <n v="5"/>
    <x v="20"/>
    <n v="0"/>
    <n v="28500"/>
    <n v="0"/>
  </r>
  <r>
    <n v="2020"/>
    <x v="7"/>
    <n v="5"/>
    <x v="21"/>
    <n v="0"/>
    <n v="28500"/>
    <n v="0"/>
  </r>
  <r>
    <n v="2020"/>
    <x v="7"/>
    <n v="5"/>
    <x v="22"/>
    <n v="0"/>
    <n v="28500"/>
    <n v="0"/>
  </r>
  <r>
    <n v="2020"/>
    <x v="7"/>
    <n v="5"/>
    <x v="23"/>
    <n v="0"/>
    <n v="28500"/>
    <n v="0"/>
  </r>
  <r>
    <n v="2020"/>
    <x v="7"/>
    <n v="6"/>
    <x v="0"/>
    <n v="0"/>
    <n v="28500"/>
    <n v="0"/>
  </r>
  <r>
    <n v="2020"/>
    <x v="7"/>
    <n v="6"/>
    <x v="1"/>
    <n v="0"/>
    <n v="28500"/>
    <n v="0"/>
  </r>
  <r>
    <n v="2020"/>
    <x v="7"/>
    <n v="6"/>
    <x v="2"/>
    <n v="0"/>
    <n v="28500"/>
    <n v="0"/>
  </r>
  <r>
    <n v="2020"/>
    <x v="7"/>
    <n v="6"/>
    <x v="3"/>
    <n v="0"/>
    <n v="28500"/>
    <n v="0"/>
  </r>
  <r>
    <n v="2020"/>
    <x v="7"/>
    <n v="6"/>
    <x v="4"/>
    <n v="0"/>
    <n v="28500"/>
    <n v="0"/>
  </r>
  <r>
    <n v="2020"/>
    <x v="7"/>
    <n v="6"/>
    <x v="5"/>
    <n v="329"/>
    <n v="28500"/>
    <n v="1.1543859649122808E-2"/>
  </r>
  <r>
    <n v="2020"/>
    <x v="7"/>
    <n v="6"/>
    <x v="6"/>
    <n v="2919"/>
    <n v="28500"/>
    <n v="0.10242105263157894"/>
  </r>
  <r>
    <n v="2020"/>
    <x v="7"/>
    <n v="6"/>
    <x v="7"/>
    <n v="5420.5"/>
    <n v="28500"/>
    <n v="0.19019298245614036"/>
  </r>
  <r>
    <n v="2020"/>
    <x v="7"/>
    <n v="6"/>
    <x v="8"/>
    <n v="4133.5"/>
    <n v="28500"/>
    <n v="0.14503508771929824"/>
  </r>
  <r>
    <n v="2020"/>
    <x v="7"/>
    <n v="6"/>
    <x v="9"/>
    <n v="10967"/>
    <n v="28500"/>
    <n v="0.38480701754385965"/>
  </r>
  <r>
    <n v="2020"/>
    <x v="7"/>
    <n v="6"/>
    <x v="10"/>
    <n v="17272.5"/>
    <n v="28500"/>
    <n v="0.6060526315789474"/>
  </r>
  <r>
    <n v="2020"/>
    <x v="7"/>
    <n v="6"/>
    <x v="11"/>
    <n v="15727"/>
    <n v="28500"/>
    <n v="0.55182456140350877"/>
  </r>
  <r>
    <n v="2020"/>
    <x v="7"/>
    <n v="6"/>
    <x v="12"/>
    <n v="34182.5"/>
    <n v="28500"/>
    <n v="1.1993859649122807"/>
  </r>
  <r>
    <n v="2020"/>
    <x v="7"/>
    <n v="6"/>
    <x v="13"/>
    <n v="20303.5"/>
    <n v="28500"/>
    <n v="0.71240350877192982"/>
  </r>
  <r>
    <n v="2020"/>
    <x v="7"/>
    <n v="6"/>
    <x v="14"/>
    <n v="16528.5"/>
    <n v="28500"/>
    <n v="0.57994736842105266"/>
  </r>
  <r>
    <n v="2020"/>
    <x v="7"/>
    <n v="6"/>
    <x v="15"/>
    <n v="25166.5"/>
    <n v="28500"/>
    <n v="0.88303508771929828"/>
  </r>
  <r>
    <n v="2020"/>
    <x v="7"/>
    <n v="6"/>
    <x v="16"/>
    <n v="17677"/>
    <n v="28500"/>
    <n v="0.62024561403508771"/>
  </r>
  <r>
    <n v="2020"/>
    <x v="7"/>
    <n v="6"/>
    <x v="17"/>
    <n v="8602.5"/>
    <n v="28500"/>
    <n v="0.30184210526315791"/>
  </r>
  <r>
    <n v="2020"/>
    <x v="7"/>
    <n v="6"/>
    <x v="18"/>
    <n v="1419"/>
    <n v="28500"/>
    <n v="4.9789473684210529E-2"/>
  </r>
  <r>
    <n v="2020"/>
    <x v="7"/>
    <n v="6"/>
    <x v="19"/>
    <n v="194.5"/>
    <n v="28500"/>
    <n v="6.8245614035087722E-3"/>
  </r>
  <r>
    <n v="2020"/>
    <x v="7"/>
    <n v="6"/>
    <x v="20"/>
    <n v="0"/>
    <n v="28500"/>
    <n v="0"/>
  </r>
  <r>
    <n v="2020"/>
    <x v="7"/>
    <n v="6"/>
    <x v="21"/>
    <n v="0"/>
    <n v="28500"/>
    <n v="0"/>
  </r>
  <r>
    <n v="2020"/>
    <x v="7"/>
    <n v="6"/>
    <x v="22"/>
    <n v="0"/>
    <n v="28500"/>
    <n v="0"/>
  </r>
  <r>
    <n v="2020"/>
    <x v="7"/>
    <n v="6"/>
    <x v="23"/>
    <n v="0"/>
    <n v="28500"/>
    <n v="0"/>
  </r>
  <r>
    <n v="2020"/>
    <x v="7"/>
    <n v="7"/>
    <x v="0"/>
    <n v="0"/>
    <n v="28500"/>
    <n v="0"/>
  </r>
  <r>
    <n v="2020"/>
    <x v="7"/>
    <n v="7"/>
    <x v="1"/>
    <n v="0"/>
    <n v="28500"/>
    <n v="0"/>
  </r>
  <r>
    <n v="2020"/>
    <x v="7"/>
    <n v="7"/>
    <x v="2"/>
    <n v="0"/>
    <n v="28500"/>
    <n v="0"/>
  </r>
  <r>
    <n v="2020"/>
    <x v="7"/>
    <n v="7"/>
    <x v="3"/>
    <n v="0"/>
    <n v="28500"/>
    <n v="0"/>
  </r>
  <r>
    <n v="2020"/>
    <x v="7"/>
    <n v="7"/>
    <x v="4"/>
    <n v="0"/>
    <n v="28500"/>
    <n v="0"/>
  </r>
  <r>
    <n v="2020"/>
    <x v="7"/>
    <n v="7"/>
    <x v="5"/>
    <n v="443"/>
    <n v="28500"/>
    <n v="1.5543859649122808E-2"/>
  </r>
  <r>
    <n v="2020"/>
    <x v="7"/>
    <n v="7"/>
    <x v="6"/>
    <n v="2386"/>
    <n v="28500"/>
    <n v="8.3719298245614041E-2"/>
  </r>
  <r>
    <n v="2020"/>
    <x v="7"/>
    <n v="7"/>
    <x v="7"/>
    <n v="10693.5"/>
    <n v="28500"/>
    <n v="0.37521052631578949"/>
  </r>
  <r>
    <n v="2020"/>
    <x v="7"/>
    <n v="7"/>
    <x v="8"/>
    <n v="20082"/>
    <n v="28500"/>
    <n v="0.70463157894736839"/>
  </r>
  <r>
    <n v="2020"/>
    <x v="7"/>
    <n v="7"/>
    <x v="9"/>
    <n v="27261"/>
    <n v="28500"/>
    <n v="0.95652631578947367"/>
  </r>
  <r>
    <n v="2020"/>
    <x v="7"/>
    <n v="7"/>
    <x v="10"/>
    <n v="32068"/>
    <n v="28500"/>
    <n v="1.1251929824561404"/>
  </r>
  <r>
    <n v="2020"/>
    <x v="7"/>
    <n v="7"/>
    <x v="11"/>
    <n v="35831"/>
    <n v="28500"/>
    <n v="1.2572280701754386"/>
  </r>
  <r>
    <n v="2020"/>
    <x v="7"/>
    <n v="7"/>
    <x v="12"/>
    <n v="37257.5"/>
    <n v="28500"/>
    <n v="1.3072807017543859"/>
  </r>
  <r>
    <n v="2020"/>
    <x v="7"/>
    <n v="7"/>
    <x v="13"/>
    <n v="35501"/>
    <n v="28500"/>
    <n v="1.2456491228070175"/>
  </r>
  <r>
    <n v="2020"/>
    <x v="7"/>
    <n v="7"/>
    <x v="14"/>
    <n v="31086.5"/>
    <n v="28500"/>
    <n v="1.0907543859649123"/>
  </r>
  <r>
    <n v="2020"/>
    <x v="7"/>
    <n v="7"/>
    <x v="15"/>
    <n v="25461"/>
    <n v="28500"/>
    <n v="0.89336842105263159"/>
  </r>
  <r>
    <n v="2020"/>
    <x v="7"/>
    <n v="7"/>
    <x v="16"/>
    <n v="8642.5"/>
    <n v="28500"/>
    <n v="0.30324561403508771"/>
  </r>
  <r>
    <n v="2020"/>
    <x v="7"/>
    <n v="7"/>
    <x v="17"/>
    <n v="2408.5"/>
    <n v="28500"/>
    <n v="8.4508771929824561E-2"/>
  </r>
  <r>
    <n v="2020"/>
    <x v="7"/>
    <n v="7"/>
    <x v="18"/>
    <n v="398.5"/>
    <n v="28500"/>
    <n v="1.3982456140350877E-2"/>
  </r>
  <r>
    <n v="2020"/>
    <x v="7"/>
    <n v="7"/>
    <x v="19"/>
    <n v="0"/>
    <n v="28500"/>
    <n v="0"/>
  </r>
  <r>
    <n v="2020"/>
    <x v="7"/>
    <n v="7"/>
    <x v="20"/>
    <n v="0"/>
    <n v="28500"/>
    <n v="0"/>
  </r>
  <r>
    <n v="2020"/>
    <x v="7"/>
    <n v="7"/>
    <x v="21"/>
    <n v="0"/>
    <n v="28500"/>
    <n v="0"/>
  </r>
  <r>
    <n v="2020"/>
    <x v="7"/>
    <n v="7"/>
    <x v="22"/>
    <n v="0"/>
    <n v="28500"/>
    <n v="0"/>
  </r>
  <r>
    <n v="2020"/>
    <x v="7"/>
    <n v="7"/>
    <x v="23"/>
    <n v="0"/>
    <n v="28500"/>
    <n v="0"/>
  </r>
  <r>
    <n v="2020"/>
    <x v="7"/>
    <n v="8"/>
    <x v="0"/>
    <n v="0"/>
    <n v="28500"/>
    <n v="0"/>
  </r>
  <r>
    <n v="2020"/>
    <x v="7"/>
    <n v="8"/>
    <x v="1"/>
    <n v="0"/>
    <n v="28500"/>
    <n v="0"/>
  </r>
  <r>
    <n v="2020"/>
    <x v="7"/>
    <n v="8"/>
    <x v="2"/>
    <n v="0"/>
    <n v="28500"/>
    <n v="0"/>
  </r>
  <r>
    <n v="2020"/>
    <x v="7"/>
    <n v="8"/>
    <x v="3"/>
    <n v="0"/>
    <n v="28500"/>
    <n v="0"/>
  </r>
  <r>
    <n v="2020"/>
    <x v="7"/>
    <n v="8"/>
    <x v="4"/>
    <n v="0"/>
    <n v="28500"/>
    <n v="0"/>
  </r>
  <r>
    <n v="2020"/>
    <x v="7"/>
    <n v="8"/>
    <x v="5"/>
    <n v="0"/>
    <n v="28500"/>
    <n v="0"/>
  </r>
  <r>
    <n v="2020"/>
    <x v="7"/>
    <n v="8"/>
    <x v="6"/>
    <n v="663.5"/>
    <n v="28500"/>
    <n v="2.3280701754385964E-2"/>
  </r>
  <r>
    <n v="2020"/>
    <x v="7"/>
    <n v="8"/>
    <x v="7"/>
    <n v="6996"/>
    <n v="28500"/>
    <n v="0.24547368421052632"/>
  </r>
  <r>
    <n v="2020"/>
    <x v="7"/>
    <n v="8"/>
    <x v="8"/>
    <n v="14447.5"/>
    <n v="28500"/>
    <n v="0.50692982456140356"/>
  </r>
  <r>
    <n v="2020"/>
    <x v="7"/>
    <n v="8"/>
    <x v="9"/>
    <n v="14468"/>
    <n v="28500"/>
    <n v="0.50764912280701757"/>
  </r>
  <r>
    <n v="2020"/>
    <x v="7"/>
    <n v="8"/>
    <x v="10"/>
    <n v="16778"/>
    <n v="28500"/>
    <n v="0.58870175438596495"/>
  </r>
  <r>
    <n v="2020"/>
    <x v="7"/>
    <n v="8"/>
    <x v="11"/>
    <n v="20796.5"/>
    <n v="28500"/>
    <n v="0.72970175438596496"/>
  </r>
  <r>
    <n v="2020"/>
    <x v="7"/>
    <n v="8"/>
    <x v="12"/>
    <n v="21538.5"/>
    <n v="28500"/>
    <n v="0.75573684210526315"/>
  </r>
  <r>
    <n v="2020"/>
    <x v="7"/>
    <n v="8"/>
    <x v="13"/>
    <n v="33865"/>
    <n v="28500"/>
    <n v="1.1882456140350877"/>
  </r>
  <r>
    <n v="2020"/>
    <x v="7"/>
    <n v="8"/>
    <x v="14"/>
    <n v="24679.5"/>
    <n v="28500"/>
    <n v="0.86594736842105258"/>
  </r>
  <r>
    <n v="2020"/>
    <x v="7"/>
    <n v="8"/>
    <x v="15"/>
    <n v="17456.5"/>
    <n v="28500"/>
    <n v="0.61250877192982456"/>
  </r>
  <r>
    <n v="2020"/>
    <x v="7"/>
    <n v="8"/>
    <x v="16"/>
    <n v="13308.5"/>
    <n v="28500"/>
    <n v="0.46696491228070175"/>
  </r>
  <r>
    <n v="2020"/>
    <x v="7"/>
    <n v="8"/>
    <x v="17"/>
    <n v="7734"/>
    <n v="28500"/>
    <n v="0.27136842105263159"/>
  </r>
  <r>
    <n v="2020"/>
    <x v="7"/>
    <n v="8"/>
    <x v="18"/>
    <n v="982.5"/>
    <n v="28500"/>
    <n v="3.4473684210526316E-2"/>
  </r>
  <r>
    <n v="2020"/>
    <x v="7"/>
    <n v="8"/>
    <x v="19"/>
    <n v="0"/>
    <n v="28500"/>
    <n v="0"/>
  </r>
  <r>
    <n v="2020"/>
    <x v="7"/>
    <n v="8"/>
    <x v="20"/>
    <n v="0"/>
    <n v="28500"/>
    <n v="0"/>
  </r>
  <r>
    <n v="2020"/>
    <x v="7"/>
    <n v="8"/>
    <x v="21"/>
    <n v="0"/>
    <n v="28500"/>
    <n v="0"/>
  </r>
  <r>
    <n v="2020"/>
    <x v="7"/>
    <n v="8"/>
    <x v="22"/>
    <n v="0"/>
    <n v="28500"/>
    <n v="0"/>
  </r>
  <r>
    <n v="2020"/>
    <x v="7"/>
    <n v="8"/>
    <x v="23"/>
    <n v="0"/>
    <n v="28500"/>
    <n v="0"/>
  </r>
  <r>
    <n v="2020"/>
    <x v="7"/>
    <n v="9"/>
    <x v="0"/>
    <n v="0"/>
    <n v="28500"/>
    <n v="0"/>
  </r>
  <r>
    <n v="2020"/>
    <x v="7"/>
    <n v="9"/>
    <x v="1"/>
    <n v="0"/>
    <n v="28500"/>
    <n v="0"/>
  </r>
  <r>
    <n v="2020"/>
    <x v="7"/>
    <n v="9"/>
    <x v="2"/>
    <n v="0"/>
    <n v="28500"/>
    <n v="0"/>
  </r>
  <r>
    <n v="2020"/>
    <x v="7"/>
    <n v="9"/>
    <x v="3"/>
    <n v="0"/>
    <n v="28500"/>
    <n v="0"/>
  </r>
  <r>
    <n v="2020"/>
    <x v="7"/>
    <n v="9"/>
    <x v="4"/>
    <n v="0"/>
    <n v="28500"/>
    <n v="0"/>
  </r>
  <r>
    <n v="2020"/>
    <x v="7"/>
    <n v="9"/>
    <x v="5"/>
    <n v="353"/>
    <n v="28500"/>
    <n v="1.2385964912280702E-2"/>
  </r>
  <r>
    <n v="2020"/>
    <x v="7"/>
    <n v="9"/>
    <x v="6"/>
    <n v="2814.5"/>
    <n v="28500"/>
    <n v="9.8754385964912275E-2"/>
  </r>
  <r>
    <n v="2020"/>
    <x v="7"/>
    <n v="9"/>
    <x v="7"/>
    <n v="7634.5"/>
    <n v="28500"/>
    <n v="0.26787719298245616"/>
  </r>
  <r>
    <n v="2020"/>
    <x v="7"/>
    <n v="9"/>
    <x v="8"/>
    <n v="18832"/>
    <n v="28500"/>
    <n v="0.66077192982456145"/>
  </r>
  <r>
    <n v="2020"/>
    <x v="7"/>
    <n v="9"/>
    <x v="9"/>
    <n v="23349"/>
    <n v="28500"/>
    <n v="0.8192631578947368"/>
  </r>
  <r>
    <n v="2020"/>
    <x v="7"/>
    <n v="9"/>
    <x v="10"/>
    <n v="24589.5"/>
    <n v="28500"/>
    <n v="0.86278947368421055"/>
  </r>
  <r>
    <n v="2020"/>
    <x v="7"/>
    <n v="9"/>
    <x v="11"/>
    <n v="36721.5"/>
    <n v="28500"/>
    <n v="1.2884736842105262"/>
  </r>
  <r>
    <n v="2020"/>
    <x v="7"/>
    <n v="9"/>
    <x v="12"/>
    <n v="38338"/>
    <n v="28500"/>
    <n v="1.3451929824561404"/>
  </r>
  <r>
    <n v="2020"/>
    <x v="7"/>
    <n v="9"/>
    <x v="13"/>
    <n v="34298"/>
    <n v="28500"/>
    <n v="1.203438596491228"/>
  </r>
  <r>
    <n v="2020"/>
    <x v="7"/>
    <n v="9"/>
    <x v="14"/>
    <n v="31261.5"/>
    <n v="28500"/>
    <n v="1.0968947368421054"/>
  </r>
  <r>
    <n v="2020"/>
    <x v="7"/>
    <n v="9"/>
    <x v="15"/>
    <n v="25898.5"/>
    <n v="28500"/>
    <n v="0.90871929824561404"/>
  </r>
  <r>
    <n v="2020"/>
    <x v="7"/>
    <n v="9"/>
    <x v="16"/>
    <n v="13726"/>
    <n v="28500"/>
    <n v="0.48161403508771927"/>
  </r>
  <r>
    <n v="2020"/>
    <x v="7"/>
    <n v="9"/>
    <x v="17"/>
    <n v="7355"/>
    <n v="28500"/>
    <n v="0.25807017543859651"/>
  </r>
  <r>
    <n v="2020"/>
    <x v="7"/>
    <n v="9"/>
    <x v="18"/>
    <n v="2014"/>
    <n v="28500"/>
    <n v="7.0666666666666669E-2"/>
  </r>
  <r>
    <n v="2020"/>
    <x v="7"/>
    <n v="9"/>
    <x v="19"/>
    <n v="16"/>
    <n v="28500"/>
    <n v="5.6140350877192978E-4"/>
  </r>
  <r>
    <n v="2020"/>
    <x v="7"/>
    <n v="9"/>
    <x v="20"/>
    <n v="0"/>
    <n v="28500"/>
    <n v="0"/>
  </r>
  <r>
    <n v="2020"/>
    <x v="7"/>
    <n v="9"/>
    <x v="21"/>
    <n v="0"/>
    <n v="28500"/>
    <n v="0"/>
  </r>
  <r>
    <n v="2020"/>
    <x v="7"/>
    <n v="9"/>
    <x v="22"/>
    <n v="0"/>
    <n v="28500"/>
    <n v="0"/>
  </r>
  <r>
    <n v="2020"/>
    <x v="7"/>
    <n v="9"/>
    <x v="23"/>
    <n v="0"/>
    <n v="28500"/>
    <n v="0"/>
  </r>
  <r>
    <n v="2020"/>
    <x v="7"/>
    <n v="10"/>
    <x v="0"/>
    <n v="0"/>
    <n v="28500"/>
    <n v="0"/>
  </r>
  <r>
    <n v="2020"/>
    <x v="7"/>
    <n v="10"/>
    <x v="1"/>
    <n v="0"/>
    <n v="28500"/>
    <n v="0"/>
  </r>
  <r>
    <n v="2020"/>
    <x v="7"/>
    <n v="10"/>
    <x v="2"/>
    <n v="0"/>
    <n v="28500"/>
    <n v="0"/>
  </r>
  <r>
    <n v="2020"/>
    <x v="7"/>
    <n v="10"/>
    <x v="3"/>
    <n v="0"/>
    <n v="28500"/>
    <n v="0"/>
  </r>
  <r>
    <n v="2020"/>
    <x v="7"/>
    <n v="10"/>
    <x v="4"/>
    <n v="0"/>
    <n v="28500"/>
    <n v="0"/>
  </r>
  <r>
    <n v="2020"/>
    <x v="7"/>
    <n v="10"/>
    <x v="5"/>
    <n v="272.5"/>
    <n v="28500"/>
    <n v="9.5614035087719304E-3"/>
  </r>
  <r>
    <n v="2020"/>
    <x v="7"/>
    <n v="10"/>
    <x v="6"/>
    <n v="2727.5"/>
    <n v="28500"/>
    <n v="9.5701754385964913E-2"/>
  </r>
  <r>
    <n v="2020"/>
    <x v="7"/>
    <n v="10"/>
    <x v="7"/>
    <n v="9558"/>
    <n v="28500"/>
    <n v="0.33536842105263159"/>
  </r>
  <r>
    <n v="2020"/>
    <x v="7"/>
    <n v="10"/>
    <x v="8"/>
    <n v="19254"/>
    <n v="28500"/>
    <n v="0.67557894736842106"/>
  </r>
  <r>
    <n v="2020"/>
    <x v="7"/>
    <n v="10"/>
    <x v="9"/>
    <n v="26062.5"/>
    <n v="28500"/>
    <n v="0.91447368421052633"/>
  </r>
  <r>
    <n v="2020"/>
    <x v="7"/>
    <n v="10"/>
    <x v="10"/>
    <n v="31259"/>
    <n v="28500"/>
    <n v="1.0968070175438596"/>
  </r>
  <r>
    <n v="2020"/>
    <x v="7"/>
    <n v="10"/>
    <x v="11"/>
    <n v="34533.5"/>
    <n v="28500"/>
    <n v="1.2117017543859649"/>
  </r>
  <r>
    <n v="2020"/>
    <x v="7"/>
    <n v="10"/>
    <x v="12"/>
    <n v="35126"/>
    <n v="28500"/>
    <n v="1.2324912280701754"/>
  </r>
  <r>
    <n v="2020"/>
    <x v="7"/>
    <n v="10"/>
    <x v="13"/>
    <n v="35225"/>
    <n v="28500"/>
    <n v="1.2359649122807017"/>
  </r>
  <r>
    <n v="2020"/>
    <x v="7"/>
    <n v="10"/>
    <x v="14"/>
    <n v="30362"/>
    <n v="28500"/>
    <n v="1.0653333333333332"/>
  </r>
  <r>
    <n v="2020"/>
    <x v="7"/>
    <n v="10"/>
    <x v="15"/>
    <n v="25118.5"/>
    <n v="28500"/>
    <n v="0.88135087719298244"/>
  </r>
  <r>
    <n v="2020"/>
    <x v="7"/>
    <n v="10"/>
    <x v="16"/>
    <n v="16965"/>
    <n v="28500"/>
    <n v="0.59526315789473683"/>
  </r>
  <r>
    <n v="2020"/>
    <x v="7"/>
    <n v="10"/>
    <x v="17"/>
    <n v="6680.5"/>
    <n v="28500"/>
    <n v="0.23440350877192984"/>
  </r>
  <r>
    <n v="2020"/>
    <x v="7"/>
    <n v="10"/>
    <x v="18"/>
    <n v="1946.5"/>
    <n v="28500"/>
    <n v="6.8298245614035094E-2"/>
  </r>
  <r>
    <n v="2020"/>
    <x v="7"/>
    <n v="10"/>
    <x v="19"/>
    <n v="0"/>
    <n v="28500"/>
    <n v="0"/>
  </r>
  <r>
    <n v="2020"/>
    <x v="7"/>
    <n v="10"/>
    <x v="20"/>
    <n v="0"/>
    <n v="28500"/>
    <n v="0"/>
  </r>
  <r>
    <n v="2020"/>
    <x v="7"/>
    <n v="10"/>
    <x v="21"/>
    <n v="0"/>
    <n v="28500"/>
    <n v="0"/>
  </r>
  <r>
    <n v="2020"/>
    <x v="7"/>
    <n v="10"/>
    <x v="22"/>
    <n v="0"/>
    <n v="28500"/>
    <n v="0"/>
  </r>
  <r>
    <n v="2020"/>
    <x v="7"/>
    <n v="10"/>
    <x v="23"/>
    <n v="0"/>
    <n v="28500"/>
    <n v="0"/>
  </r>
  <r>
    <n v="2020"/>
    <x v="7"/>
    <n v="11"/>
    <x v="0"/>
    <n v="0"/>
    <n v="28500"/>
    <n v="0"/>
  </r>
  <r>
    <n v="2020"/>
    <x v="7"/>
    <n v="11"/>
    <x v="1"/>
    <n v="0"/>
    <n v="28500"/>
    <n v="0"/>
  </r>
  <r>
    <n v="2020"/>
    <x v="7"/>
    <n v="11"/>
    <x v="2"/>
    <n v="0"/>
    <n v="28500"/>
    <n v="0"/>
  </r>
  <r>
    <n v="2020"/>
    <x v="7"/>
    <n v="11"/>
    <x v="3"/>
    <n v="0"/>
    <n v="28500"/>
    <n v="0"/>
  </r>
  <r>
    <n v="2020"/>
    <x v="7"/>
    <n v="11"/>
    <x v="4"/>
    <n v="0"/>
    <n v="28500"/>
    <n v="0"/>
  </r>
  <r>
    <n v="2020"/>
    <x v="7"/>
    <n v="11"/>
    <x v="5"/>
    <n v="248"/>
    <n v="28500"/>
    <n v="8.7017543859649119E-3"/>
  </r>
  <r>
    <n v="2020"/>
    <x v="7"/>
    <n v="11"/>
    <x v="6"/>
    <n v="2685.5"/>
    <n v="28500"/>
    <n v="9.4228070175438591E-2"/>
  </r>
  <r>
    <n v="2020"/>
    <x v="7"/>
    <n v="11"/>
    <x v="7"/>
    <n v="9673.5"/>
    <n v="28500"/>
    <n v="0.33942105263157896"/>
  </r>
  <r>
    <n v="2020"/>
    <x v="7"/>
    <n v="11"/>
    <x v="8"/>
    <n v="19814.5"/>
    <n v="28500"/>
    <n v="0.69524561403508767"/>
  </r>
  <r>
    <n v="2020"/>
    <x v="7"/>
    <n v="11"/>
    <x v="9"/>
    <n v="26767"/>
    <n v="28500"/>
    <n v="0.93919298245614036"/>
  </r>
  <r>
    <n v="2020"/>
    <x v="7"/>
    <n v="11"/>
    <x v="10"/>
    <n v="31817"/>
    <n v="28500"/>
    <n v="1.1163859649122807"/>
  </r>
  <r>
    <n v="2020"/>
    <x v="7"/>
    <n v="11"/>
    <x v="11"/>
    <n v="35181"/>
    <n v="28500"/>
    <n v="1.2344210526315789"/>
  </r>
  <r>
    <n v="2020"/>
    <x v="7"/>
    <n v="11"/>
    <x v="12"/>
    <n v="36249.5"/>
    <n v="28500"/>
    <n v="1.2719122807017544"/>
  </r>
  <r>
    <n v="2020"/>
    <x v="7"/>
    <n v="11"/>
    <x v="13"/>
    <n v="34456.5"/>
    <n v="28500"/>
    <n v="1.2090000000000001"/>
  </r>
  <r>
    <n v="2020"/>
    <x v="7"/>
    <n v="11"/>
    <x v="14"/>
    <n v="29848.5"/>
    <n v="28500"/>
    <n v="1.0473157894736842"/>
  </r>
  <r>
    <n v="2020"/>
    <x v="7"/>
    <n v="11"/>
    <x v="15"/>
    <n v="24191.5"/>
    <n v="28500"/>
    <n v="0.84882456140350881"/>
  </r>
  <r>
    <n v="2020"/>
    <x v="7"/>
    <n v="11"/>
    <x v="16"/>
    <n v="16814.5"/>
    <n v="28500"/>
    <n v="0.58998245614035083"/>
  </r>
  <r>
    <n v="2020"/>
    <x v="7"/>
    <n v="11"/>
    <x v="17"/>
    <n v="7132.5"/>
    <n v="28500"/>
    <n v="0.25026315789473685"/>
  </r>
  <r>
    <n v="2020"/>
    <x v="7"/>
    <n v="11"/>
    <x v="18"/>
    <n v="1745"/>
    <n v="28500"/>
    <n v="6.1228070175438597E-2"/>
  </r>
  <r>
    <n v="2020"/>
    <x v="7"/>
    <n v="11"/>
    <x v="19"/>
    <n v="0"/>
    <n v="28500"/>
    <n v="0"/>
  </r>
  <r>
    <n v="2020"/>
    <x v="7"/>
    <n v="11"/>
    <x v="20"/>
    <n v="0"/>
    <n v="28500"/>
    <n v="0"/>
  </r>
  <r>
    <n v="2020"/>
    <x v="7"/>
    <n v="11"/>
    <x v="21"/>
    <n v="0"/>
    <n v="28500"/>
    <n v="0"/>
  </r>
  <r>
    <n v="2020"/>
    <x v="7"/>
    <n v="11"/>
    <x v="22"/>
    <n v="0"/>
    <n v="28500"/>
    <n v="0"/>
  </r>
  <r>
    <n v="2020"/>
    <x v="7"/>
    <n v="11"/>
    <x v="23"/>
    <n v="0"/>
    <n v="28500"/>
    <n v="0"/>
  </r>
  <r>
    <n v="2020"/>
    <x v="7"/>
    <n v="12"/>
    <x v="0"/>
    <n v="0"/>
    <n v="28500"/>
    <n v="0"/>
  </r>
  <r>
    <n v="2020"/>
    <x v="7"/>
    <n v="12"/>
    <x v="1"/>
    <n v="0"/>
    <n v="28500"/>
    <n v="0"/>
  </r>
  <r>
    <n v="2020"/>
    <x v="7"/>
    <n v="12"/>
    <x v="2"/>
    <n v="0"/>
    <n v="28500"/>
    <n v="0"/>
  </r>
  <r>
    <n v="2020"/>
    <x v="7"/>
    <n v="12"/>
    <x v="3"/>
    <n v="0"/>
    <n v="28500"/>
    <n v="0"/>
  </r>
  <r>
    <n v="2020"/>
    <x v="7"/>
    <n v="12"/>
    <x v="4"/>
    <n v="0"/>
    <n v="28500"/>
    <n v="0"/>
  </r>
  <r>
    <n v="2020"/>
    <x v="7"/>
    <n v="12"/>
    <x v="5"/>
    <n v="223.5"/>
    <n v="28500"/>
    <n v="7.842105263157895E-3"/>
  </r>
  <r>
    <n v="2020"/>
    <x v="7"/>
    <n v="12"/>
    <x v="6"/>
    <n v="2192"/>
    <n v="28500"/>
    <n v="7.691228070175439E-2"/>
  </r>
  <r>
    <n v="2020"/>
    <x v="7"/>
    <n v="12"/>
    <x v="7"/>
    <n v="7609"/>
    <n v="28500"/>
    <n v="0.26698245614035088"/>
  </r>
  <r>
    <n v="2020"/>
    <x v="7"/>
    <n v="12"/>
    <x v="8"/>
    <n v="18094.5"/>
    <n v="28500"/>
    <n v="0.63489473684210529"/>
  </r>
  <r>
    <n v="2020"/>
    <x v="7"/>
    <n v="12"/>
    <x v="9"/>
    <n v="25985"/>
    <n v="28500"/>
    <n v="0.91175438596491232"/>
  </r>
  <r>
    <n v="2020"/>
    <x v="7"/>
    <n v="12"/>
    <x v="10"/>
    <n v="31449"/>
    <n v="28500"/>
    <n v="1.1034736842105264"/>
  </r>
  <r>
    <n v="2020"/>
    <x v="7"/>
    <n v="12"/>
    <x v="11"/>
    <n v="34255.5"/>
    <n v="28500"/>
    <n v="1.2019473684210527"/>
  </r>
  <r>
    <n v="2020"/>
    <x v="7"/>
    <n v="12"/>
    <x v="12"/>
    <n v="35643.5"/>
    <n v="28500"/>
    <n v="1.2506491228070176"/>
  </r>
  <r>
    <n v="2020"/>
    <x v="7"/>
    <n v="12"/>
    <x v="13"/>
    <n v="32983"/>
    <n v="28500"/>
    <n v="1.157298245614035"/>
  </r>
  <r>
    <n v="2020"/>
    <x v="7"/>
    <n v="12"/>
    <x v="14"/>
    <n v="23318"/>
    <n v="28500"/>
    <n v="0.81817543859649122"/>
  </r>
  <r>
    <n v="2020"/>
    <x v="7"/>
    <n v="12"/>
    <x v="15"/>
    <n v="13980"/>
    <n v="28500"/>
    <n v="0.4905263157894737"/>
  </r>
  <r>
    <n v="2020"/>
    <x v="7"/>
    <n v="12"/>
    <x v="16"/>
    <n v="16851.5"/>
    <n v="28500"/>
    <n v="0.59128070175438596"/>
  </r>
  <r>
    <n v="2020"/>
    <x v="7"/>
    <n v="12"/>
    <x v="17"/>
    <n v="7711.5"/>
    <n v="28500"/>
    <n v="0.27057894736842103"/>
  </r>
  <r>
    <n v="2020"/>
    <x v="7"/>
    <n v="12"/>
    <x v="18"/>
    <n v="1147"/>
    <n v="28500"/>
    <n v="4.0245614035087716E-2"/>
  </r>
  <r>
    <n v="2020"/>
    <x v="7"/>
    <n v="12"/>
    <x v="19"/>
    <n v="0"/>
    <n v="28500"/>
    <n v="0"/>
  </r>
  <r>
    <n v="2020"/>
    <x v="7"/>
    <n v="12"/>
    <x v="20"/>
    <n v="0"/>
    <n v="28500"/>
    <n v="0"/>
  </r>
  <r>
    <n v="2020"/>
    <x v="7"/>
    <n v="12"/>
    <x v="21"/>
    <n v="0"/>
    <n v="28500"/>
    <n v="0"/>
  </r>
  <r>
    <n v="2020"/>
    <x v="7"/>
    <n v="12"/>
    <x v="22"/>
    <n v="0"/>
    <n v="28500"/>
    <n v="0"/>
  </r>
  <r>
    <n v="2020"/>
    <x v="7"/>
    <n v="12"/>
    <x v="23"/>
    <n v="0"/>
    <n v="28500"/>
    <n v="0"/>
  </r>
  <r>
    <n v="2020"/>
    <x v="7"/>
    <n v="13"/>
    <x v="0"/>
    <n v="0"/>
    <n v="28500"/>
    <n v="0"/>
  </r>
  <r>
    <n v="2020"/>
    <x v="7"/>
    <n v="13"/>
    <x v="1"/>
    <n v="0"/>
    <n v="28500"/>
    <n v="0"/>
  </r>
  <r>
    <n v="2020"/>
    <x v="7"/>
    <n v="13"/>
    <x v="2"/>
    <n v="0"/>
    <n v="28500"/>
    <n v="0"/>
  </r>
  <r>
    <n v="2020"/>
    <x v="7"/>
    <n v="13"/>
    <x v="3"/>
    <n v="0"/>
    <n v="28500"/>
    <n v="0"/>
  </r>
  <r>
    <n v="2020"/>
    <x v="7"/>
    <n v="13"/>
    <x v="4"/>
    <n v="0"/>
    <n v="28500"/>
    <n v="0"/>
  </r>
  <r>
    <n v="2020"/>
    <x v="7"/>
    <n v="13"/>
    <x v="5"/>
    <n v="0"/>
    <n v="28500"/>
    <n v="0"/>
  </r>
  <r>
    <n v="2020"/>
    <x v="7"/>
    <n v="13"/>
    <x v="6"/>
    <n v="2212.5"/>
    <n v="28500"/>
    <n v="7.7631578947368426E-2"/>
  </r>
  <r>
    <n v="2020"/>
    <x v="7"/>
    <n v="13"/>
    <x v="7"/>
    <n v="9119"/>
    <n v="28500"/>
    <n v="0.31996491228070173"/>
  </r>
  <r>
    <n v="2020"/>
    <x v="7"/>
    <n v="13"/>
    <x v="8"/>
    <n v="18320.5"/>
    <n v="28500"/>
    <n v="0.64282456140350874"/>
  </r>
  <r>
    <n v="2020"/>
    <x v="7"/>
    <n v="13"/>
    <x v="9"/>
    <n v="26028"/>
    <n v="28500"/>
    <n v="0.91326315789473689"/>
  </r>
  <r>
    <n v="2020"/>
    <x v="7"/>
    <n v="13"/>
    <x v="10"/>
    <n v="32195.5"/>
    <n v="28500"/>
    <n v="1.1296666666666666"/>
  </r>
  <r>
    <n v="2020"/>
    <x v="7"/>
    <n v="13"/>
    <x v="11"/>
    <n v="33314"/>
    <n v="28500"/>
    <n v="1.1689122807017545"/>
  </r>
  <r>
    <n v="2020"/>
    <x v="7"/>
    <n v="13"/>
    <x v="12"/>
    <n v="16110"/>
    <n v="28500"/>
    <n v="0.5652631578947368"/>
  </r>
  <r>
    <n v="2020"/>
    <x v="7"/>
    <n v="13"/>
    <x v="13"/>
    <n v="7756"/>
    <n v="28500"/>
    <n v="0.27214035087719296"/>
  </r>
  <r>
    <n v="2020"/>
    <x v="7"/>
    <n v="13"/>
    <x v="14"/>
    <n v="1599"/>
    <n v="28500"/>
    <n v="5.6105263157894734E-2"/>
  </r>
  <r>
    <n v="2020"/>
    <x v="7"/>
    <n v="13"/>
    <x v="15"/>
    <n v="3030"/>
    <n v="28500"/>
    <n v="0.10631578947368421"/>
  </r>
  <r>
    <n v="2020"/>
    <x v="7"/>
    <n v="13"/>
    <x v="16"/>
    <n v="9643.5"/>
    <n v="28500"/>
    <n v="0.3383684210526316"/>
  </r>
  <r>
    <n v="2020"/>
    <x v="7"/>
    <n v="13"/>
    <x v="17"/>
    <n v="3627.5"/>
    <n v="28500"/>
    <n v="0.12728070175438597"/>
  </r>
  <r>
    <n v="2020"/>
    <x v="7"/>
    <n v="13"/>
    <x v="18"/>
    <n v="1726.5"/>
    <n v="28500"/>
    <n v="6.0578947368421052E-2"/>
  </r>
  <r>
    <n v="2020"/>
    <x v="7"/>
    <n v="13"/>
    <x v="19"/>
    <n v="0"/>
    <n v="28500"/>
    <n v="0"/>
  </r>
  <r>
    <n v="2020"/>
    <x v="7"/>
    <n v="13"/>
    <x v="20"/>
    <n v="0"/>
    <n v="28500"/>
    <n v="0"/>
  </r>
  <r>
    <n v="2020"/>
    <x v="7"/>
    <n v="13"/>
    <x v="21"/>
    <n v="0"/>
    <n v="28500"/>
    <n v="0"/>
  </r>
  <r>
    <n v="2020"/>
    <x v="7"/>
    <n v="13"/>
    <x v="22"/>
    <n v="0"/>
    <n v="28500"/>
    <n v="0"/>
  </r>
  <r>
    <n v="2020"/>
    <x v="7"/>
    <n v="13"/>
    <x v="23"/>
    <n v="0"/>
    <n v="28500"/>
    <n v="0"/>
  </r>
  <r>
    <n v="2020"/>
    <x v="7"/>
    <n v="14"/>
    <x v="0"/>
    <n v="0"/>
    <n v="28500"/>
    <n v="0"/>
  </r>
  <r>
    <n v="2020"/>
    <x v="7"/>
    <n v="14"/>
    <x v="1"/>
    <n v="0"/>
    <n v="28500"/>
    <n v="0"/>
  </r>
  <r>
    <n v="2020"/>
    <x v="7"/>
    <n v="14"/>
    <x v="2"/>
    <n v="0"/>
    <n v="28500"/>
    <n v="0"/>
  </r>
  <r>
    <n v="2020"/>
    <x v="7"/>
    <n v="14"/>
    <x v="3"/>
    <n v="0"/>
    <n v="28500"/>
    <n v="0"/>
  </r>
  <r>
    <n v="2020"/>
    <x v="7"/>
    <n v="14"/>
    <x v="4"/>
    <n v="0"/>
    <n v="28500"/>
    <n v="0"/>
  </r>
  <r>
    <n v="2020"/>
    <x v="7"/>
    <n v="14"/>
    <x v="5"/>
    <n v="0"/>
    <n v="28500"/>
    <n v="0"/>
  </r>
  <r>
    <n v="2020"/>
    <x v="7"/>
    <n v="14"/>
    <x v="6"/>
    <n v="428"/>
    <n v="28500"/>
    <n v="1.5017543859649122E-2"/>
  </r>
  <r>
    <n v="2020"/>
    <x v="7"/>
    <n v="14"/>
    <x v="7"/>
    <n v="2436.5"/>
    <n v="28500"/>
    <n v="8.5491228070175437E-2"/>
  </r>
  <r>
    <n v="2020"/>
    <x v="7"/>
    <n v="14"/>
    <x v="8"/>
    <n v="4250"/>
    <n v="28500"/>
    <n v="0.14912280701754385"/>
  </r>
  <r>
    <n v="2020"/>
    <x v="7"/>
    <n v="14"/>
    <x v="9"/>
    <n v="3899"/>
    <n v="28500"/>
    <n v="0.13680701754385965"/>
  </r>
  <r>
    <n v="2020"/>
    <x v="7"/>
    <n v="14"/>
    <x v="10"/>
    <n v="7115"/>
    <n v="28500"/>
    <n v="0.24964912280701754"/>
  </r>
  <r>
    <n v="2020"/>
    <x v="7"/>
    <n v="14"/>
    <x v="11"/>
    <n v="4697"/>
    <n v="28500"/>
    <n v="0.16480701754385965"/>
  </r>
  <r>
    <n v="2020"/>
    <x v="7"/>
    <n v="14"/>
    <x v="12"/>
    <n v="10517"/>
    <n v="28500"/>
    <n v="0.36901754385964913"/>
  </r>
  <r>
    <n v="2020"/>
    <x v="7"/>
    <n v="14"/>
    <x v="13"/>
    <n v="4927"/>
    <n v="28500"/>
    <n v="0.17287719298245613"/>
  </r>
  <r>
    <n v="2020"/>
    <x v="7"/>
    <n v="14"/>
    <x v="14"/>
    <n v="4061"/>
    <n v="28500"/>
    <n v="0.14249122807017545"/>
  </r>
  <r>
    <n v="2020"/>
    <x v="7"/>
    <n v="14"/>
    <x v="15"/>
    <n v="3534"/>
    <n v="28500"/>
    <n v="0.124"/>
  </r>
  <r>
    <n v="2020"/>
    <x v="7"/>
    <n v="14"/>
    <x v="16"/>
    <n v="12024.5"/>
    <n v="28500"/>
    <n v="0.42191228070175441"/>
  </r>
  <r>
    <n v="2020"/>
    <x v="7"/>
    <n v="14"/>
    <x v="17"/>
    <n v="5795"/>
    <n v="28500"/>
    <n v="0.20333333333333334"/>
  </r>
  <r>
    <n v="2020"/>
    <x v="7"/>
    <n v="14"/>
    <x v="18"/>
    <n v="1734"/>
    <n v="28500"/>
    <n v="6.0842105263157892E-2"/>
  </r>
  <r>
    <n v="2020"/>
    <x v="7"/>
    <n v="14"/>
    <x v="19"/>
    <n v="0"/>
    <n v="28500"/>
    <n v="0"/>
  </r>
  <r>
    <n v="2020"/>
    <x v="7"/>
    <n v="14"/>
    <x v="20"/>
    <n v="0"/>
    <n v="28500"/>
    <n v="0"/>
  </r>
  <r>
    <n v="2020"/>
    <x v="7"/>
    <n v="14"/>
    <x v="21"/>
    <n v="0"/>
    <n v="28500"/>
    <n v="0"/>
  </r>
  <r>
    <n v="2020"/>
    <x v="7"/>
    <n v="14"/>
    <x v="22"/>
    <n v="0"/>
    <n v="28500"/>
    <n v="0"/>
  </r>
  <r>
    <n v="2020"/>
    <x v="7"/>
    <n v="14"/>
    <x v="23"/>
    <n v="0"/>
    <n v="28500"/>
    <n v="0"/>
  </r>
  <r>
    <n v="2020"/>
    <x v="7"/>
    <n v="15"/>
    <x v="0"/>
    <n v="0"/>
    <n v="28500"/>
    <n v="0"/>
  </r>
  <r>
    <n v="2020"/>
    <x v="7"/>
    <n v="15"/>
    <x v="1"/>
    <n v="0"/>
    <n v="28500"/>
    <n v="0"/>
  </r>
  <r>
    <n v="2020"/>
    <x v="7"/>
    <n v="15"/>
    <x v="2"/>
    <n v="0"/>
    <n v="28500"/>
    <n v="0"/>
  </r>
  <r>
    <n v="2020"/>
    <x v="7"/>
    <n v="15"/>
    <x v="3"/>
    <n v="0"/>
    <n v="28500"/>
    <n v="0"/>
  </r>
  <r>
    <n v="2020"/>
    <x v="7"/>
    <n v="15"/>
    <x v="4"/>
    <n v="0"/>
    <n v="28500"/>
    <n v="0"/>
  </r>
  <r>
    <n v="2020"/>
    <x v="7"/>
    <n v="15"/>
    <x v="5"/>
    <n v="0"/>
    <n v="28500"/>
    <n v="0"/>
  </r>
  <r>
    <n v="2020"/>
    <x v="7"/>
    <n v="15"/>
    <x v="6"/>
    <n v="956.5"/>
    <n v="28500"/>
    <n v="3.3561403508771931E-2"/>
  </r>
  <r>
    <n v="2020"/>
    <x v="7"/>
    <n v="15"/>
    <x v="7"/>
    <n v="2318"/>
    <n v="28500"/>
    <n v="8.1333333333333327E-2"/>
  </r>
  <r>
    <n v="2020"/>
    <x v="7"/>
    <n v="15"/>
    <x v="8"/>
    <n v="3456"/>
    <n v="28500"/>
    <n v="0.12126315789473684"/>
  </r>
  <r>
    <n v="2020"/>
    <x v="7"/>
    <n v="15"/>
    <x v="9"/>
    <n v="4575"/>
    <n v="28500"/>
    <n v="0.16052631578947368"/>
  </r>
  <r>
    <n v="2020"/>
    <x v="7"/>
    <n v="15"/>
    <x v="10"/>
    <n v="4302"/>
    <n v="28500"/>
    <n v="0.15094736842105264"/>
  </r>
  <r>
    <n v="2020"/>
    <x v="7"/>
    <n v="15"/>
    <x v="11"/>
    <n v="3723.5"/>
    <n v="28500"/>
    <n v="0.13064912280701754"/>
  </r>
  <r>
    <n v="2020"/>
    <x v="7"/>
    <n v="15"/>
    <x v="12"/>
    <n v="2356.5"/>
    <n v="28500"/>
    <n v="8.2684210526315791E-2"/>
  </r>
  <r>
    <n v="2020"/>
    <x v="7"/>
    <n v="15"/>
    <x v="13"/>
    <n v="1849"/>
    <n v="28500"/>
    <n v="6.4877192982456144E-2"/>
  </r>
  <r>
    <n v="2020"/>
    <x v="7"/>
    <n v="15"/>
    <x v="14"/>
    <n v="2490"/>
    <n v="28500"/>
    <n v="8.7368421052631581E-2"/>
  </r>
  <r>
    <n v="2020"/>
    <x v="7"/>
    <n v="15"/>
    <x v="15"/>
    <n v="10119.5"/>
    <n v="28500"/>
    <n v="0.35507017543859648"/>
  </r>
  <r>
    <n v="2020"/>
    <x v="7"/>
    <n v="15"/>
    <x v="16"/>
    <n v="3519"/>
    <n v="28500"/>
    <n v="0.12347368421052632"/>
  </r>
  <r>
    <n v="2020"/>
    <x v="7"/>
    <n v="15"/>
    <x v="17"/>
    <n v="1863"/>
    <n v="28500"/>
    <n v="6.5368421052631576E-2"/>
  </r>
  <r>
    <n v="2020"/>
    <x v="7"/>
    <n v="15"/>
    <x v="18"/>
    <n v="539.5"/>
    <n v="28500"/>
    <n v="1.8929824561403508E-2"/>
  </r>
  <r>
    <n v="2020"/>
    <x v="7"/>
    <n v="15"/>
    <x v="19"/>
    <n v="0"/>
    <n v="28500"/>
    <n v="0"/>
  </r>
  <r>
    <n v="2020"/>
    <x v="7"/>
    <n v="15"/>
    <x v="20"/>
    <n v="0"/>
    <n v="28500"/>
    <n v="0"/>
  </r>
  <r>
    <n v="2020"/>
    <x v="7"/>
    <n v="15"/>
    <x v="21"/>
    <n v="0"/>
    <n v="28500"/>
    <n v="0"/>
  </r>
  <r>
    <n v="2020"/>
    <x v="7"/>
    <n v="15"/>
    <x v="22"/>
    <n v="0"/>
    <n v="28500"/>
    <n v="0"/>
  </r>
  <r>
    <n v="2020"/>
    <x v="7"/>
    <n v="15"/>
    <x v="23"/>
    <n v="0"/>
    <n v="28500"/>
    <n v="0"/>
  </r>
  <r>
    <n v="2020"/>
    <x v="7"/>
    <n v="16"/>
    <x v="0"/>
    <n v="0"/>
    <n v="28500"/>
    <n v="0"/>
  </r>
  <r>
    <n v="2020"/>
    <x v="7"/>
    <n v="16"/>
    <x v="1"/>
    <n v="0"/>
    <n v="28500"/>
    <n v="0"/>
  </r>
  <r>
    <n v="2020"/>
    <x v="7"/>
    <n v="16"/>
    <x v="2"/>
    <n v="0"/>
    <n v="28500"/>
    <n v="0"/>
  </r>
  <r>
    <n v="2020"/>
    <x v="7"/>
    <n v="16"/>
    <x v="3"/>
    <n v="0"/>
    <n v="28500"/>
    <n v="0"/>
  </r>
  <r>
    <n v="2020"/>
    <x v="7"/>
    <n v="16"/>
    <x v="4"/>
    <n v="0"/>
    <n v="28500"/>
    <n v="0"/>
  </r>
  <r>
    <n v="2020"/>
    <x v="7"/>
    <n v="16"/>
    <x v="5"/>
    <n v="0"/>
    <n v="28500"/>
    <n v="0"/>
  </r>
  <r>
    <n v="2020"/>
    <x v="7"/>
    <n v="16"/>
    <x v="6"/>
    <n v="135.5"/>
    <n v="28500"/>
    <n v="4.754385964912281E-3"/>
  </r>
  <r>
    <n v="2020"/>
    <x v="7"/>
    <n v="16"/>
    <x v="7"/>
    <n v="990.5"/>
    <n v="28500"/>
    <n v="3.4754385964912281E-2"/>
  </r>
  <r>
    <n v="2020"/>
    <x v="7"/>
    <n v="16"/>
    <x v="8"/>
    <n v="5357.5"/>
    <n v="28500"/>
    <n v="0.18798245614035089"/>
  </r>
  <r>
    <n v="2020"/>
    <x v="7"/>
    <n v="16"/>
    <x v="9"/>
    <n v="10293"/>
    <n v="28500"/>
    <n v="0.36115789473684212"/>
  </r>
  <r>
    <n v="2020"/>
    <x v="7"/>
    <n v="16"/>
    <x v="10"/>
    <n v="17086"/>
    <n v="28500"/>
    <n v="0.59950877192982455"/>
  </r>
  <r>
    <n v="2020"/>
    <x v="7"/>
    <n v="16"/>
    <x v="11"/>
    <n v="13781"/>
    <n v="28500"/>
    <n v="0.48354385964912283"/>
  </r>
  <r>
    <n v="2020"/>
    <x v="7"/>
    <n v="16"/>
    <x v="12"/>
    <n v="10046.5"/>
    <n v="28500"/>
    <n v="0.35250877192982455"/>
  </r>
  <r>
    <n v="2020"/>
    <x v="7"/>
    <n v="16"/>
    <x v="13"/>
    <n v="5623.5"/>
    <n v="28500"/>
    <n v="0.19731578947368422"/>
  </r>
  <r>
    <n v="2020"/>
    <x v="7"/>
    <n v="16"/>
    <x v="14"/>
    <n v="2614"/>
    <n v="28500"/>
    <n v="9.1719298245614034E-2"/>
  </r>
  <r>
    <n v="2020"/>
    <x v="7"/>
    <n v="16"/>
    <x v="15"/>
    <n v="6555"/>
    <n v="28500"/>
    <n v="0.23"/>
  </r>
  <r>
    <n v="2020"/>
    <x v="7"/>
    <n v="16"/>
    <x v="16"/>
    <n v="9865.5"/>
    <n v="28500"/>
    <n v="0.34615789473684211"/>
  </r>
  <r>
    <n v="2020"/>
    <x v="7"/>
    <n v="16"/>
    <x v="17"/>
    <n v="8152.5"/>
    <n v="28500"/>
    <n v="0.28605263157894739"/>
  </r>
  <r>
    <n v="2020"/>
    <x v="7"/>
    <n v="16"/>
    <x v="18"/>
    <n v="1327"/>
    <n v="28500"/>
    <n v="4.6561403508771929E-2"/>
  </r>
  <r>
    <n v="2020"/>
    <x v="7"/>
    <n v="16"/>
    <x v="19"/>
    <n v="0"/>
    <n v="28500"/>
    <n v="0"/>
  </r>
  <r>
    <n v="2020"/>
    <x v="7"/>
    <n v="16"/>
    <x v="20"/>
    <n v="0"/>
    <n v="28500"/>
    <n v="0"/>
  </r>
  <r>
    <n v="2020"/>
    <x v="7"/>
    <n v="16"/>
    <x v="21"/>
    <n v="0"/>
    <n v="28500"/>
    <n v="0"/>
  </r>
  <r>
    <n v="2020"/>
    <x v="7"/>
    <n v="16"/>
    <x v="22"/>
    <n v="0"/>
    <n v="28500"/>
    <n v="0"/>
  </r>
  <r>
    <n v="2020"/>
    <x v="7"/>
    <n v="16"/>
    <x v="23"/>
    <n v="0"/>
    <n v="28500"/>
    <n v="0"/>
  </r>
  <r>
    <n v="2020"/>
    <x v="7"/>
    <n v="17"/>
    <x v="0"/>
    <n v="0"/>
    <n v="28500"/>
    <n v="0"/>
  </r>
  <r>
    <n v="2020"/>
    <x v="7"/>
    <n v="17"/>
    <x v="1"/>
    <n v="0"/>
    <n v="28500"/>
    <n v="0"/>
  </r>
  <r>
    <n v="2020"/>
    <x v="7"/>
    <n v="17"/>
    <x v="2"/>
    <n v="0"/>
    <n v="28500"/>
    <n v="0"/>
  </r>
  <r>
    <n v="2020"/>
    <x v="7"/>
    <n v="17"/>
    <x v="3"/>
    <n v="0"/>
    <n v="28500"/>
    <n v="0"/>
  </r>
  <r>
    <n v="2020"/>
    <x v="7"/>
    <n v="17"/>
    <x v="4"/>
    <n v="0"/>
    <n v="28500"/>
    <n v="0"/>
  </r>
  <r>
    <n v="2020"/>
    <x v="7"/>
    <n v="17"/>
    <x v="5"/>
    <n v="19"/>
    <n v="28500"/>
    <n v="6.6666666666666664E-4"/>
  </r>
  <r>
    <n v="2020"/>
    <x v="7"/>
    <n v="17"/>
    <x v="6"/>
    <n v="2119.5"/>
    <n v="28500"/>
    <n v="7.4368421052631584E-2"/>
  </r>
  <r>
    <n v="2020"/>
    <x v="7"/>
    <n v="17"/>
    <x v="7"/>
    <n v="10172"/>
    <n v="28500"/>
    <n v="0.3569122807017544"/>
  </r>
  <r>
    <n v="2020"/>
    <x v="7"/>
    <n v="17"/>
    <x v="8"/>
    <n v="12477.5"/>
    <n v="28500"/>
    <n v="0.43780701754385964"/>
  </r>
  <r>
    <n v="2020"/>
    <x v="7"/>
    <n v="17"/>
    <x v="9"/>
    <n v="23744.5"/>
    <n v="28500"/>
    <n v="0.83314035087719296"/>
  </r>
  <r>
    <n v="2020"/>
    <x v="7"/>
    <n v="17"/>
    <x v="10"/>
    <n v="12923"/>
    <n v="28500"/>
    <n v="0.45343859649122809"/>
  </r>
  <r>
    <n v="2020"/>
    <x v="7"/>
    <n v="17"/>
    <x v="11"/>
    <n v="20656"/>
    <n v="28500"/>
    <n v="0.7247719298245614"/>
  </r>
  <r>
    <n v="2020"/>
    <x v="7"/>
    <n v="17"/>
    <x v="12"/>
    <n v="19042.5"/>
    <n v="28500"/>
    <n v="0.66815789473684206"/>
  </r>
  <r>
    <n v="2020"/>
    <x v="7"/>
    <n v="17"/>
    <x v="13"/>
    <n v="30952.5"/>
    <n v="28500"/>
    <n v="1.0860526315789474"/>
  </r>
  <r>
    <n v="2020"/>
    <x v="7"/>
    <n v="17"/>
    <x v="14"/>
    <n v="12196"/>
    <n v="28500"/>
    <n v="0.42792982456140349"/>
  </r>
  <r>
    <n v="2020"/>
    <x v="7"/>
    <n v="17"/>
    <x v="15"/>
    <n v="5403"/>
    <n v="28500"/>
    <n v="0.18957894736842104"/>
  </r>
  <r>
    <n v="2020"/>
    <x v="7"/>
    <n v="17"/>
    <x v="16"/>
    <n v="14429"/>
    <n v="28500"/>
    <n v="0.506280701754386"/>
  </r>
  <r>
    <n v="2020"/>
    <x v="7"/>
    <n v="17"/>
    <x v="17"/>
    <n v="7862.5"/>
    <n v="28500"/>
    <n v="0.27587719298245617"/>
  </r>
  <r>
    <n v="2020"/>
    <x v="7"/>
    <n v="17"/>
    <x v="18"/>
    <n v="1405"/>
    <n v="28500"/>
    <n v="4.9298245614035091E-2"/>
  </r>
  <r>
    <n v="2020"/>
    <x v="7"/>
    <n v="17"/>
    <x v="19"/>
    <n v="0"/>
    <n v="28500"/>
    <n v="0"/>
  </r>
  <r>
    <n v="2020"/>
    <x v="7"/>
    <n v="17"/>
    <x v="20"/>
    <n v="0"/>
    <n v="28500"/>
    <n v="0"/>
  </r>
  <r>
    <n v="2020"/>
    <x v="7"/>
    <n v="17"/>
    <x v="21"/>
    <n v="0"/>
    <n v="28500"/>
    <n v="0"/>
  </r>
  <r>
    <n v="2020"/>
    <x v="7"/>
    <n v="17"/>
    <x v="22"/>
    <n v="0"/>
    <n v="28500"/>
    <n v="0"/>
  </r>
  <r>
    <n v="2020"/>
    <x v="7"/>
    <n v="17"/>
    <x v="23"/>
    <n v="0"/>
    <n v="28500"/>
    <n v="0"/>
  </r>
  <r>
    <n v="2020"/>
    <x v="7"/>
    <n v="18"/>
    <x v="0"/>
    <n v="0"/>
    <n v="28500"/>
    <n v="0"/>
  </r>
  <r>
    <n v="2020"/>
    <x v="7"/>
    <n v="18"/>
    <x v="1"/>
    <n v="0"/>
    <n v="28500"/>
    <n v="0"/>
  </r>
  <r>
    <n v="2020"/>
    <x v="7"/>
    <n v="18"/>
    <x v="2"/>
    <n v="0"/>
    <n v="28500"/>
    <n v="0"/>
  </r>
  <r>
    <n v="2020"/>
    <x v="7"/>
    <n v="18"/>
    <x v="3"/>
    <n v="0"/>
    <n v="28500"/>
    <n v="0"/>
  </r>
  <r>
    <n v="2020"/>
    <x v="7"/>
    <n v="18"/>
    <x v="4"/>
    <n v="0"/>
    <n v="28500"/>
    <n v="0"/>
  </r>
  <r>
    <n v="2020"/>
    <x v="7"/>
    <n v="18"/>
    <x v="5"/>
    <n v="0"/>
    <n v="28500"/>
    <n v="0"/>
  </r>
  <r>
    <n v="2020"/>
    <x v="7"/>
    <n v="18"/>
    <x v="6"/>
    <n v="2180"/>
    <n v="28500"/>
    <n v="7.6491228070175443E-2"/>
  </r>
  <r>
    <n v="2020"/>
    <x v="7"/>
    <n v="18"/>
    <x v="7"/>
    <n v="10400.5"/>
    <n v="28500"/>
    <n v="0.36492982456140349"/>
  </r>
  <r>
    <n v="2020"/>
    <x v="7"/>
    <n v="18"/>
    <x v="8"/>
    <n v="17546.5"/>
    <n v="28500"/>
    <n v="0.6156666666666667"/>
  </r>
  <r>
    <n v="2020"/>
    <x v="7"/>
    <n v="18"/>
    <x v="9"/>
    <n v="24138.5"/>
    <n v="28500"/>
    <n v="0.84696491228070181"/>
  </r>
  <r>
    <n v="2020"/>
    <x v="7"/>
    <n v="18"/>
    <x v="10"/>
    <n v="16974.5"/>
    <n v="28500"/>
    <n v="0.59559649122807012"/>
  </r>
  <r>
    <n v="2020"/>
    <x v="7"/>
    <n v="18"/>
    <x v="11"/>
    <n v="19176.5"/>
    <n v="28500"/>
    <n v="0.67285964912280705"/>
  </r>
  <r>
    <n v="2020"/>
    <x v="7"/>
    <n v="18"/>
    <x v="12"/>
    <n v="27204"/>
    <n v="28500"/>
    <n v="0.95452631578947367"/>
  </r>
  <r>
    <n v="2020"/>
    <x v="7"/>
    <n v="18"/>
    <x v="13"/>
    <n v="15363.5"/>
    <n v="28500"/>
    <n v="0.53907017543859648"/>
  </r>
  <r>
    <n v="2020"/>
    <x v="7"/>
    <n v="18"/>
    <x v="14"/>
    <n v="24052"/>
    <n v="28500"/>
    <n v="0.84392982456140353"/>
  </r>
  <r>
    <n v="2020"/>
    <x v="7"/>
    <n v="18"/>
    <x v="15"/>
    <n v="25459"/>
    <n v="28500"/>
    <n v="0.89329824561403504"/>
  </r>
  <r>
    <n v="2020"/>
    <x v="7"/>
    <n v="18"/>
    <x v="16"/>
    <n v="17332.5"/>
    <n v="28500"/>
    <n v="0.60815789473684212"/>
  </r>
  <r>
    <n v="2020"/>
    <x v="7"/>
    <n v="18"/>
    <x v="17"/>
    <n v="7704.5"/>
    <n v="28500"/>
    <n v="0.27033333333333331"/>
  </r>
  <r>
    <n v="2020"/>
    <x v="7"/>
    <n v="18"/>
    <x v="18"/>
    <n v="1380.5"/>
    <n v="28500"/>
    <n v="4.8438596491228073E-2"/>
  </r>
  <r>
    <n v="2020"/>
    <x v="7"/>
    <n v="18"/>
    <x v="19"/>
    <n v="0"/>
    <n v="28500"/>
    <n v="0"/>
  </r>
  <r>
    <n v="2020"/>
    <x v="7"/>
    <n v="18"/>
    <x v="20"/>
    <n v="0"/>
    <n v="28500"/>
    <n v="0"/>
  </r>
  <r>
    <n v="2020"/>
    <x v="7"/>
    <n v="18"/>
    <x v="21"/>
    <n v="0"/>
    <n v="28500"/>
    <n v="0"/>
  </r>
  <r>
    <n v="2020"/>
    <x v="7"/>
    <n v="18"/>
    <x v="22"/>
    <n v="0"/>
    <n v="28500"/>
    <n v="0"/>
  </r>
  <r>
    <n v="2020"/>
    <x v="7"/>
    <n v="18"/>
    <x v="23"/>
    <n v="0"/>
    <n v="28500"/>
    <n v="0"/>
  </r>
  <r>
    <n v="2020"/>
    <x v="7"/>
    <n v="19"/>
    <x v="0"/>
    <n v="0"/>
    <n v="28500"/>
    <n v="0"/>
  </r>
  <r>
    <n v="2020"/>
    <x v="7"/>
    <n v="19"/>
    <x v="1"/>
    <n v="0"/>
    <n v="28500"/>
    <n v="0"/>
  </r>
  <r>
    <n v="2020"/>
    <x v="7"/>
    <n v="19"/>
    <x v="2"/>
    <n v="0"/>
    <n v="28500"/>
    <n v="0"/>
  </r>
  <r>
    <n v="2020"/>
    <x v="7"/>
    <n v="19"/>
    <x v="3"/>
    <n v="0"/>
    <n v="28500"/>
    <n v="0"/>
  </r>
  <r>
    <n v="2020"/>
    <x v="7"/>
    <n v="19"/>
    <x v="4"/>
    <n v="0"/>
    <n v="28500"/>
    <n v="0"/>
  </r>
  <r>
    <n v="2020"/>
    <x v="7"/>
    <n v="19"/>
    <x v="5"/>
    <n v="0"/>
    <n v="28500"/>
    <n v="0"/>
  </r>
  <r>
    <n v="2020"/>
    <x v="7"/>
    <n v="19"/>
    <x v="6"/>
    <n v="2230.5"/>
    <n v="28500"/>
    <n v="7.826315789473684E-2"/>
  </r>
  <r>
    <n v="2020"/>
    <x v="7"/>
    <n v="19"/>
    <x v="7"/>
    <n v="489"/>
    <n v="28500"/>
    <n v="1.7157894736842105E-2"/>
  </r>
  <r>
    <n v="2020"/>
    <x v="7"/>
    <n v="19"/>
    <x v="8"/>
    <n v="2497.5"/>
    <n v="28500"/>
    <n v="8.7631578947368421E-2"/>
  </r>
  <r>
    <n v="2020"/>
    <x v="7"/>
    <n v="19"/>
    <x v="9"/>
    <n v="2999"/>
    <n v="28500"/>
    <n v="0.1052280701754386"/>
  </r>
  <r>
    <n v="2020"/>
    <x v="7"/>
    <n v="19"/>
    <x v="10"/>
    <n v="2711.5"/>
    <n v="28500"/>
    <n v="9.5140350877192983E-2"/>
  </r>
  <r>
    <n v="2020"/>
    <x v="7"/>
    <n v="19"/>
    <x v="11"/>
    <n v="4250"/>
    <n v="28500"/>
    <n v="0.14912280701754385"/>
  </r>
  <r>
    <n v="2020"/>
    <x v="7"/>
    <n v="19"/>
    <x v="12"/>
    <n v="5244"/>
    <n v="28500"/>
    <n v="0.184"/>
  </r>
  <r>
    <n v="2020"/>
    <x v="7"/>
    <n v="19"/>
    <x v="13"/>
    <n v="3465"/>
    <n v="28500"/>
    <n v="0.12157894736842105"/>
  </r>
  <r>
    <n v="2020"/>
    <x v="7"/>
    <n v="19"/>
    <x v="14"/>
    <n v="3125"/>
    <n v="28500"/>
    <n v="0.10964912280701754"/>
  </r>
  <r>
    <n v="2020"/>
    <x v="7"/>
    <n v="19"/>
    <x v="15"/>
    <n v="6081"/>
    <n v="28500"/>
    <n v="0.21336842105263157"/>
  </r>
  <r>
    <n v="2020"/>
    <x v="7"/>
    <n v="19"/>
    <x v="16"/>
    <n v="3151.5"/>
    <n v="28500"/>
    <n v="0.11057894736842105"/>
  </r>
  <r>
    <n v="2020"/>
    <x v="7"/>
    <n v="19"/>
    <x v="17"/>
    <n v="2056"/>
    <n v="28500"/>
    <n v="7.2140350877192977E-2"/>
  </r>
  <r>
    <n v="2020"/>
    <x v="7"/>
    <n v="19"/>
    <x v="18"/>
    <n v="284.5"/>
    <n v="28500"/>
    <n v="9.9824561403508774E-3"/>
  </r>
  <r>
    <n v="2020"/>
    <x v="7"/>
    <n v="19"/>
    <x v="19"/>
    <n v="0"/>
    <n v="28500"/>
    <n v="0"/>
  </r>
  <r>
    <n v="2020"/>
    <x v="7"/>
    <n v="19"/>
    <x v="20"/>
    <n v="0"/>
    <n v="28500"/>
    <n v="0"/>
  </r>
  <r>
    <n v="2020"/>
    <x v="7"/>
    <n v="19"/>
    <x v="21"/>
    <n v="0"/>
    <n v="28500"/>
    <n v="0"/>
  </r>
  <r>
    <n v="2020"/>
    <x v="7"/>
    <n v="19"/>
    <x v="22"/>
    <n v="0"/>
    <n v="28500"/>
    <n v="0"/>
  </r>
  <r>
    <n v="2020"/>
    <x v="7"/>
    <n v="19"/>
    <x v="23"/>
    <n v="0"/>
    <n v="28500"/>
    <n v="0"/>
  </r>
  <r>
    <n v="2020"/>
    <x v="7"/>
    <n v="20"/>
    <x v="0"/>
    <n v="0"/>
    <n v="28500"/>
    <n v="0"/>
  </r>
  <r>
    <n v="2020"/>
    <x v="7"/>
    <n v="20"/>
    <x v="1"/>
    <n v="0"/>
    <n v="28500"/>
    <n v="0"/>
  </r>
  <r>
    <n v="2020"/>
    <x v="7"/>
    <n v="20"/>
    <x v="2"/>
    <n v="0"/>
    <n v="28500"/>
    <n v="0"/>
  </r>
  <r>
    <n v="2020"/>
    <x v="7"/>
    <n v="20"/>
    <x v="3"/>
    <n v="0"/>
    <n v="28500"/>
    <n v="0"/>
  </r>
  <r>
    <n v="2020"/>
    <x v="7"/>
    <n v="20"/>
    <x v="4"/>
    <n v="0"/>
    <n v="28500"/>
    <n v="0"/>
  </r>
  <r>
    <n v="2020"/>
    <x v="7"/>
    <n v="20"/>
    <x v="5"/>
    <n v="0"/>
    <n v="28500"/>
    <n v="0"/>
  </r>
  <r>
    <n v="2020"/>
    <x v="7"/>
    <n v="20"/>
    <x v="6"/>
    <n v="1722"/>
    <n v="28500"/>
    <n v="6.0421052631578945E-2"/>
  </r>
  <r>
    <n v="2020"/>
    <x v="7"/>
    <n v="20"/>
    <x v="7"/>
    <n v="10474"/>
    <n v="28500"/>
    <n v="0.36750877192982456"/>
  </r>
  <r>
    <n v="2020"/>
    <x v="7"/>
    <n v="20"/>
    <x v="8"/>
    <n v="17663.5"/>
    <n v="28500"/>
    <n v="0.61977192982456142"/>
  </r>
  <r>
    <n v="2020"/>
    <x v="7"/>
    <n v="20"/>
    <x v="9"/>
    <n v="11247"/>
    <n v="28500"/>
    <n v="0.39463157894736844"/>
  </r>
  <r>
    <n v="2020"/>
    <x v="7"/>
    <n v="20"/>
    <x v="10"/>
    <n v="33825.5"/>
    <n v="28500"/>
    <n v="1.1868596491228069"/>
  </r>
  <r>
    <n v="2020"/>
    <x v="7"/>
    <n v="20"/>
    <x v="11"/>
    <n v="28442.5"/>
    <n v="28500"/>
    <n v="0.99798245614035086"/>
  </r>
  <r>
    <n v="2020"/>
    <x v="7"/>
    <n v="20"/>
    <x v="12"/>
    <n v="34259.5"/>
    <n v="28500"/>
    <n v="1.2020877192982455"/>
  </r>
  <r>
    <n v="2020"/>
    <x v="7"/>
    <n v="20"/>
    <x v="13"/>
    <n v="38576.5"/>
    <n v="28500"/>
    <n v="1.353561403508772"/>
  </r>
  <r>
    <n v="2020"/>
    <x v="7"/>
    <n v="20"/>
    <x v="14"/>
    <n v="32872"/>
    <n v="28500"/>
    <n v="1.1534035087719299"/>
  </r>
  <r>
    <n v="2020"/>
    <x v="7"/>
    <n v="20"/>
    <x v="15"/>
    <n v="24712"/>
    <n v="28500"/>
    <n v="0.86708771929824557"/>
  </r>
  <r>
    <n v="2020"/>
    <x v="7"/>
    <n v="20"/>
    <x v="16"/>
    <n v="17521"/>
    <n v="28500"/>
    <n v="0.61477192982456141"/>
  </r>
  <r>
    <n v="2020"/>
    <x v="7"/>
    <n v="20"/>
    <x v="17"/>
    <n v="7666.5"/>
    <n v="28500"/>
    <n v="0.26900000000000002"/>
  </r>
  <r>
    <n v="2020"/>
    <x v="7"/>
    <n v="20"/>
    <x v="18"/>
    <n v="998"/>
    <n v="28500"/>
    <n v="3.5017543859649121E-2"/>
  </r>
  <r>
    <n v="2020"/>
    <x v="7"/>
    <n v="20"/>
    <x v="19"/>
    <n v="0"/>
    <n v="28500"/>
    <n v="0"/>
  </r>
  <r>
    <n v="2020"/>
    <x v="7"/>
    <n v="20"/>
    <x v="20"/>
    <n v="0"/>
    <n v="28500"/>
    <n v="0"/>
  </r>
  <r>
    <n v="2020"/>
    <x v="7"/>
    <n v="20"/>
    <x v="21"/>
    <n v="0"/>
    <n v="28500"/>
    <n v="0"/>
  </r>
  <r>
    <n v="2020"/>
    <x v="7"/>
    <n v="20"/>
    <x v="22"/>
    <n v="0"/>
    <n v="28500"/>
    <n v="0"/>
  </r>
  <r>
    <n v="2020"/>
    <x v="7"/>
    <n v="20"/>
    <x v="23"/>
    <n v="0"/>
    <n v="28500"/>
    <n v="0"/>
  </r>
  <r>
    <n v="2020"/>
    <x v="7"/>
    <n v="21"/>
    <x v="0"/>
    <n v="0"/>
    <n v="28500"/>
    <n v="0"/>
  </r>
  <r>
    <n v="2020"/>
    <x v="7"/>
    <n v="21"/>
    <x v="1"/>
    <n v="0"/>
    <n v="28500"/>
    <n v="0"/>
  </r>
  <r>
    <n v="2020"/>
    <x v="7"/>
    <n v="21"/>
    <x v="2"/>
    <n v="0"/>
    <n v="28500"/>
    <n v="0"/>
  </r>
  <r>
    <n v="2020"/>
    <x v="7"/>
    <n v="21"/>
    <x v="3"/>
    <n v="0"/>
    <n v="28500"/>
    <n v="0"/>
  </r>
  <r>
    <n v="2020"/>
    <x v="7"/>
    <n v="21"/>
    <x v="4"/>
    <n v="0"/>
    <n v="28500"/>
    <n v="0"/>
  </r>
  <r>
    <n v="2020"/>
    <x v="7"/>
    <n v="21"/>
    <x v="5"/>
    <n v="0"/>
    <n v="28500"/>
    <n v="0"/>
  </r>
  <r>
    <n v="2020"/>
    <x v="7"/>
    <n v="21"/>
    <x v="6"/>
    <n v="1233.5"/>
    <n v="28500"/>
    <n v="4.3280701754385968E-2"/>
  </r>
  <r>
    <n v="2020"/>
    <x v="7"/>
    <n v="21"/>
    <x v="7"/>
    <n v="4086"/>
    <n v="28500"/>
    <n v="0.14336842105263159"/>
  </r>
  <r>
    <n v="2020"/>
    <x v="7"/>
    <n v="21"/>
    <x v="8"/>
    <n v="8887.5"/>
    <n v="28500"/>
    <n v="0.31184210526315792"/>
  </r>
  <r>
    <n v="2020"/>
    <x v="7"/>
    <n v="21"/>
    <x v="9"/>
    <n v="14002.5"/>
    <n v="28500"/>
    <n v="0.49131578947368421"/>
  </r>
  <r>
    <n v="2020"/>
    <x v="7"/>
    <n v="21"/>
    <x v="10"/>
    <n v="6621"/>
    <n v="28500"/>
    <n v="0.2323157894736842"/>
  </r>
  <r>
    <n v="2020"/>
    <x v="7"/>
    <n v="21"/>
    <x v="11"/>
    <n v="13275.5"/>
    <n v="28500"/>
    <n v="0.46580701754385967"/>
  </r>
  <r>
    <n v="2020"/>
    <x v="7"/>
    <n v="21"/>
    <x v="12"/>
    <n v="21653.5"/>
    <n v="28500"/>
    <n v="0.75977192982456143"/>
  </r>
  <r>
    <n v="2020"/>
    <x v="7"/>
    <n v="21"/>
    <x v="13"/>
    <n v="8944"/>
    <n v="28500"/>
    <n v="0.31382456140350878"/>
  </r>
  <r>
    <n v="2020"/>
    <x v="7"/>
    <n v="21"/>
    <x v="14"/>
    <n v="11881.5"/>
    <n v="28500"/>
    <n v="0.41689473684210526"/>
  </r>
  <r>
    <n v="2020"/>
    <x v="7"/>
    <n v="21"/>
    <x v="15"/>
    <n v="17281.5"/>
    <n v="28500"/>
    <n v="0.60636842105263156"/>
  </r>
  <r>
    <n v="2020"/>
    <x v="7"/>
    <n v="21"/>
    <x v="16"/>
    <n v="14395"/>
    <n v="28500"/>
    <n v="0.50508771929824559"/>
  </r>
  <r>
    <n v="2020"/>
    <x v="7"/>
    <n v="21"/>
    <x v="17"/>
    <n v="7115"/>
    <n v="28500"/>
    <n v="0.24964912280701754"/>
  </r>
  <r>
    <n v="2020"/>
    <x v="7"/>
    <n v="21"/>
    <x v="18"/>
    <n v="1046.5"/>
    <n v="28500"/>
    <n v="3.6719298245614033E-2"/>
  </r>
  <r>
    <n v="2020"/>
    <x v="7"/>
    <n v="21"/>
    <x v="19"/>
    <n v="0"/>
    <n v="28500"/>
    <n v="0"/>
  </r>
  <r>
    <n v="2020"/>
    <x v="7"/>
    <n v="21"/>
    <x v="20"/>
    <n v="0"/>
    <n v="28500"/>
    <n v="0"/>
  </r>
  <r>
    <n v="2020"/>
    <x v="7"/>
    <n v="21"/>
    <x v="21"/>
    <n v="0"/>
    <n v="28500"/>
    <n v="0"/>
  </r>
  <r>
    <n v="2020"/>
    <x v="7"/>
    <n v="21"/>
    <x v="22"/>
    <n v="0"/>
    <n v="28500"/>
    <n v="0"/>
  </r>
  <r>
    <n v="2020"/>
    <x v="7"/>
    <n v="21"/>
    <x v="23"/>
    <n v="0"/>
    <n v="28500"/>
    <n v="0"/>
  </r>
  <r>
    <n v="2020"/>
    <x v="7"/>
    <n v="22"/>
    <x v="0"/>
    <n v="0"/>
    <n v="28500"/>
    <n v="0"/>
  </r>
  <r>
    <n v="2020"/>
    <x v="7"/>
    <n v="22"/>
    <x v="1"/>
    <n v="0"/>
    <n v="28500"/>
    <n v="0"/>
  </r>
  <r>
    <n v="2020"/>
    <x v="7"/>
    <n v="22"/>
    <x v="2"/>
    <n v="0"/>
    <n v="28500"/>
    <n v="0"/>
  </r>
  <r>
    <n v="2020"/>
    <x v="7"/>
    <n v="22"/>
    <x v="3"/>
    <n v="0"/>
    <n v="28500"/>
    <n v="0"/>
  </r>
  <r>
    <n v="2020"/>
    <x v="7"/>
    <n v="22"/>
    <x v="4"/>
    <n v="0"/>
    <n v="28500"/>
    <n v="0"/>
  </r>
  <r>
    <n v="2020"/>
    <x v="7"/>
    <n v="22"/>
    <x v="5"/>
    <n v="0"/>
    <n v="28500"/>
    <n v="0"/>
  </r>
  <r>
    <n v="2020"/>
    <x v="7"/>
    <n v="22"/>
    <x v="6"/>
    <n v="1988.5"/>
    <n v="28500"/>
    <n v="6.9771929824561402E-2"/>
  </r>
  <r>
    <n v="2020"/>
    <x v="7"/>
    <n v="22"/>
    <x v="7"/>
    <n v="9642"/>
    <n v="28500"/>
    <n v="0.33831578947368424"/>
  </r>
  <r>
    <n v="2020"/>
    <x v="7"/>
    <n v="22"/>
    <x v="8"/>
    <n v="14907"/>
    <n v="28500"/>
    <n v="0.52305263157894732"/>
  </r>
  <r>
    <n v="2020"/>
    <x v="7"/>
    <n v="22"/>
    <x v="9"/>
    <n v="16207"/>
    <n v="28500"/>
    <n v="0.56866666666666665"/>
  </r>
  <r>
    <n v="2020"/>
    <x v="7"/>
    <n v="22"/>
    <x v="10"/>
    <n v="33359.5"/>
    <n v="28500"/>
    <n v="1.1705087719298246"/>
  </r>
  <r>
    <n v="2020"/>
    <x v="7"/>
    <n v="22"/>
    <x v="11"/>
    <n v="29731.5"/>
    <n v="28500"/>
    <n v="1.0432105263157894"/>
  </r>
  <r>
    <n v="2020"/>
    <x v="7"/>
    <n v="22"/>
    <x v="12"/>
    <n v="39744"/>
    <n v="28500"/>
    <n v="1.3945263157894736"/>
  </r>
  <r>
    <n v="2020"/>
    <x v="7"/>
    <n v="22"/>
    <x v="13"/>
    <n v="12256.5"/>
    <n v="28500"/>
    <n v="0.43005263157894735"/>
  </r>
  <r>
    <n v="2020"/>
    <x v="7"/>
    <n v="22"/>
    <x v="14"/>
    <n v="28497.5"/>
    <n v="28500"/>
    <n v="0.99991228070175442"/>
  </r>
  <r>
    <n v="2020"/>
    <x v="7"/>
    <n v="22"/>
    <x v="15"/>
    <n v="21449"/>
    <n v="28500"/>
    <n v="0.75259649122807015"/>
  </r>
  <r>
    <n v="2020"/>
    <x v="7"/>
    <n v="22"/>
    <x v="16"/>
    <n v="12548.5"/>
    <n v="28500"/>
    <n v="0.44029824561403508"/>
  </r>
  <r>
    <n v="2020"/>
    <x v="7"/>
    <n v="22"/>
    <x v="17"/>
    <n v="6111"/>
    <n v="28500"/>
    <n v="0.21442105263157896"/>
  </r>
  <r>
    <n v="2020"/>
    <x v="7"/>
    <n v="22"/>
    <x v="18"/>
    <n v="1235"/>
    <n v="28500"/>
    <n v="4.3333333333333335E-2"/>
  </r>
  <r>
    <n v="2020"/>
    <x v="7"/>
    <n v="22"/>
    <x v="19"/>
    <n v="0"/>
    <n v="28500"/>
    <n v="0"/>
  </r>
  <r>
    <n v="2020"/>
    <x v="7"/>
    <n v="22"/>
    <x v="20"/>
    <n v="0"/>
    <n v="28500"/>
    <n v="0"/>
  </r>
  <r>
    <n v="2020"/>
    <x v="7"/>
    <n v="22"/>
    <x v="21"/>
    <n v="0"/>
    <n v="28500"/>
    <n v="0"/>
  </r>
  <r>
    <n v="2020"/>
    <x v="7"/>
    <n v="22"/>
    <x v="22"/>
    <n v="0"/>
    <n v="28500"/>
    <n v="0"/>
  </r>
  <r>
    <n v="2020"/>
    <x v="7"/>
    <n v="22"/>
    <x v="23"/>
    <n v="0"/>
    <n v="28500"/>
    <n v="0"/>
  </r>
  <r>
    <n v="2020"/>
    <x v="7"/>
    <n v="23"/>
    <x v="0"/>
    <n v="0"/>
    <n v="28500"/>
    <n v="0"/>
  </r>
  <r>
    <n v="2020"/>
    <x v="7"/>
    <n v="23"/>
    <x v="1"/>
    <n v="0"/>
    <n v="28500"/>
    <n v="0"/>
  </r>
  <r>
    <n v="2020"/>
    <x v="7"/>
    <n v="23"/>
    <x v="2"/>
    <n v="0"/>
    <n v="28500"/>
    <n v="0"/>
  </r>
  <r>
    <n v="2020"/>
    <x v="7"/>
    <n v="23"/>
    <x v="3"/>
    <n v="0"/>
    <n v="28500"/>
    <n v="0"/>
  </r>
  <r>
    <n v="2020"/>
    <x v="7"/>
    <n v="23"/>
    <x v="4"/>
    <n v="0"/>
    <n v="28500"/>
    <n v="0"/>
  </r>
  <r>
    <n v="2020"/>
    <x v="7"/>
    <n v="23"/>
    <x v="5"/>
    <n v="0"/>
    <n v="28500"/>
    <n v="0"/>
  </r>
  <r>
    <n v="2020"/>
    <x v="7"/>
    <n v="23"/>
    <x v="6"/>
    <n v="2092.5"/>
    <n v="28500"/>
    <n v="7.3421052631578942E-2"/>
  </r>
  <r>
    <n v="2020"/>
    <x v="7"/>
    <n v="23"/>
    <x v="7"/>
    <n v="9757"/>
    <n v="28500"/>
    <n v="0.34235087719298246"/>
  </r>
  <r>
    <n v="2020"/>
    <x v="7"/>
    <n v="23"/>
    <x v="8"/>
    <n v="15169"/>
    <n v="28500"/>
    <n v="0.53224561403508774"/>
  </r>
  <r>
    <n v="2020"/>
    <x v="7"/>
    <n v="23"/>
    <x v="9"/>
    <n v="13523"/>
    <n v="28500"/>
    <n v="0.47449122807017546"/>
  </r>
  <r>
    <n v="2020"/>
    <x v="7"/>
    <n v="23"/>
    <x v="10"/>
    <n v="11942"/>
    <n v="28500"/>
    <n v="0.41901754385964912"/>
  </r>
  <r>
    <n v="2020"/>
    <x v="7"/>
    <n v="23"/>
    <x v="11"/>
    <n v="9510"/>
    <n v="28500"/>
    <n v="0.33368421052631581"/>
  </r>
  <r>
    <n v="2020"/>
    <x v="7"/>
    <n v="23"/>
    <x v="12"/>
    <n v="15429.5"/>
    <n v="28500"/>
    <n v="0.54138596491228075"/>
  </r>
  <r>
    <n v="2020"/>
    <x v="7"/>
    <n v="23"/>
    <x v="13"/>
    <n v="16208.5"/>
    <n v="28500"/>
    <n v="0.56871929824561407"/>
  </r>
  <r>
    <n v="2020"/>
    <x v="7"/>
    <n v="23"/>
    <x v="14"/>
    <n v="8193"/>
    <n v="28500"/>
    <n v="0.28747368421052633"/>
  </r>
  <r>
    <n v="2020"/>
    <x v="7"/>
    <n v="23"/>
    <x v="15"/>
    <n v="20803"/>
    <n v="28500"/>
    <n v="0.72992982456140354"/>
  </r>
  <r>
    <n v="2020"/>
    <x v="7"/>
    <n v="23"/>
    <x v="16"/>
    <n v="14856"/>
    <n v="28500"/>
    <n v="0.52126315789473687"/>
  </r>
  <r>
    <n v="2020"/>
    <x v="7"/>
    <n v="23"/>
    <x v="17"/>
    <n v="5765.5"/>
    <n v="28500"/>
    <n v="0.20229824561403509"/>
  </r>
  <r>
    <n v="2020"/>
    <x v="7"/>
    <n v="23"/>
    <x v="18"/>
    <n v="1029"/>
    <n v="28500"/>
    <n v="3.6105263157894738E-2"/>
  </r>
  <r>
    <n v="2020"/>
    <x v="7"/>
    <n v="23"/>
    <x v="19"/>
    <n v="0"/>
    <n v="28500"/>
    <n v="0"/>
  </r>
  <r>
    <n v="2020"/>
    <x v="7"/>
    <n v="23"/>
    <x v="20"/>
    <n v="0"/>
    <n v="28500"/>
    <n v="0"/>
  </r>
  <r>
    <n v="2020"/>
    <x v="7"/>
    <n v="23"/>
    <x v="21"/>
    <n v="0"/>
    <n v="28500"/>
    <n v="0"/>
  </r>
  <r>
    <n v="2020"/>
    <x v="7"/>
    <n v="23"/>
    <x v="22"/>
    <n v="0"/>
    <n v="28500"/>
    <n v="0"/>
  </r>
  <r>
    <n v="2020"/>
    <x v="7"/>
    <n v="23"/>
    <x v="23"/>
    <n v="0"/>
    <n v="28500"/>
    <n v="0"/>
  </r>
  <r>
    <n v="2020"/>
    <x v="7"/>
    <n v="24"/>
    <x v="0"/>
    <n v="0"/>
    <n v="28500"/>
    <n v="0"/>
  </r>
  <r>
    <n v="2020"/>
    <x v="7"/>
    <n v="24"/>
    <x v="1"/>
    <n v="0"/>
    <n v="28500"/>
    <n v="0"/>
  </r>
  <r>
    <n v="2020"/>
    <x v="7"/>
    <n v="24"/>
    <x v="2"/>
    <n v="0"/>
    <n v="28500"/>
    <n v="0"/>
  </r>
  <r>
    <n v="2020"/>
    <x v="7"/>
    <n v="24"/>
    <x v="3"/>
    <n v="0"/>
    <n v="28500"/>
    <n v="0"/>
  </r>
  <r>
    <n v="2020"/>
    <x v="7"/>
    <n v="24"/>
    <x v="4"/>
    <n v="0"/>
    <n v="28500"/>
    <n v="0"/>
  </r>
  <r>
    <n v="2020"/>
    <x v="7"/>
    <n v="24"/>
    <x v="5"/>
    <n v="0"/>
    <n v="28500"/>
    <n v="0"/>
  </r>
  <r>
    <n v="2020"/>
    <x v="7"/>
    <n v="24"/>
    <x v="6"/>
    <n v="1521.5"/>
    <n v="28500"/>
    <n v="5.3385964912280703E-2"/>
  </r>
  <r>
    <n v="2020"/>
    <x v="7"/>
    <n v="24"/>
    <x v="7"/>
    <n v="4685.5"/>
    <n v="28500"/>
    <n v="0.16440350877192983"/>
  </r>
  <r>
    <n v="2020"/>
    <x v="7"/>
    <n v="24"/>
    <x v="8"/>
    <n v="19603.5"/>
    <n v="28500"/>
    <n v="0.68784210526315792"/>
  </r>
  <r>
    <n v="2020"/>
    <x v="7"/>
    <n v="24"/>
    <x v="9"/>
    <n v="17557"/>
    <n v="28500"/>
    <n v="0.61603508771929827"/>
  </r>
  <r>
    <n v="2020"/>
    <x v="7"/>
    <n v="24"/>
    <x v="10"/>
    <n v="17314"/>
    <n v="28500"/>
    <n v="0.60750877192982455"/>
  </r>
  <r>
    <n v="2020"/>
    <x v="7"/>
    <n v="24"/>
    <x v="11"/>
    <n v="26590"/>
    <n v="28500"/>
    <n v="0.93298245614035091"/>
  </r>
  <r>
    <n v="2020"/>
    <x v="7"/>
    <n v="24"/>
    <x v="12"/>
    <n v="22292.5"/>
    <n v="28500"/>
    <n v="0.78219298245614033"/>
  </r>
  <r>
    <n v="2020"/>
    <x v="7"/>
    <n v="24"/>
    <x v="13"/>
    <n v="19309"/>
    <n v="28500"/>
    <n v="0.67750877192982462"/>
  </r>
  <r>
    <n v="2020"/>
    <x v="7"/>
    <n v="24"/>
    <x v="14"/>
    <n v="24873"/>
    <n v="28500"/>
    <n v="0.87273684210526314"/>
  </r>
  <r>
    <n v="2020"/>
    <x v="7"/>
    <n v="24"/>
    <x v="15"/>
    <n v="6278"/>
    <n v="28500"/>
    <n v="0.22028070175438597"/>
  </r>
  <r>
    <n v="2020"/>
    <x v="7"/>
    <n v="24"/>
    <x v="16"/>
    <n v="4291"/>
    <n v="28500"/>
    <n v="0.15056140350877192"/>
  </r>
  <r>
    <n v="2020"/>
    <x v="7"/>
    <n v="24"/>
    <x v="17"/>
    <n v="3442"/>
    <n v="28500"/>
    <n v="0.12077192982456141"/>
  </r>
  <r>
    <n v="2020"/>
    <x v="7"/>
    <n v="24"/>
    <x v="18"/>
    <n v="548"/>
    <n v="28500"/>
    <n v="1.9228070175438598E-2"/>
  </r>
  <r>
    <n v="2020"/>
    <x v="7"/>
    <n v="24"/>
    <x v="19"/>
    <n v="0"/>
    <n v="28500"/>
    <n v="0"/>
  </r>
  <r>
    <n v="2020"/>
    <x v="7"/>
    <n v="24"/>
    <x v="20"/>
    <n v="0"/>
    <n v="28500"/>
    <n v="0"/>
  </r>
  <r>
    <n v="2020"/>
    <x v="7"/>
    <n v="24"/>
    <x v="21"/>
    <n v="0"/>
    <n v="28500"/>
    <n v="0"/>
  </r>
  <r>
    <n v="2020"/>
    <x v="7"/>
    <n v="24"/>
    <x v="22"/>
    <n v="0"/>
    <n v="28500"/>
    <n v="0"/>
  </r>
  <r>
    <n v="2020"/>
    <x v="7"/>
    <n v="24"/>
    <x v="23"/>
    <n v="0"/>
    <n v="28500"/>
    <n v="0"/>
  </r>
  <r>
    <n v="2020"/>
    <x v="7"/>
    <n v="25"/>
    <x v="0"/>
    <n v="0"/>
    <n v="28500"/>
    <n v="0"/>
  </r>
  <r>
    <n v="2020"/>
    <x v="7"/>
    <n v="25"/>
    <x v="1"/>
    <n v="0"/>
    <n v="28500"/>
    <n v="0"/>
  </r>
  <r>
    <n v="2020"/>
    <x v="7"/>
    <n v="25"/>
    <x v="2"/>
    <n v="0"/>
    <n v="28500"/>
    <n v="0"/>
  </r>
  <r>
    <n v="2020"/>
    <x v="7"/>
    <n v="25"/>
    <x v="3"/>
    <n v="0"/>
    <n v="28500"/>
    <n v="0"/>
  </r>
  <r>
    <n v="2020"/>
    <x v="7"/>
    <n v="25"/>
    <x v="4"/>
    <n v="0"/>
    <n v="28500"/>
    <n v="0"/>
  </r>
  <r>
    <n v="2020"/>
    <x v="7"/>
    <n v="25"/>
    <x v="5"/>
    <n v="0"/>
    <n v="28500"/>
    <n v="0"/>
  </r>
  <r>
    <n v="2020"/>
    <x v="7"/>
    <n v="25"/>
    <x v="6"/>
    <n v="907"/>
    <n v="28500"/>
    <n v="3.1824561403508769E-2"/>
  </r>
  <r>
    <n v="2020"/>
    <x v="7"/>
    <n v="25"/>
    <x v="7"/>
    <n v="3926"/>
    <n v="28500"/>
    <n v="0.13775438596491227"/>
  </r>
  <r>
    <n v="2020"/>
    <x v="7"/>
    <n v="25"/>
    <x v="8"/>
    <n v="7877.5"/>
    <n v="28500"/>
    <n v="0.27640350877192982"/>
  </r>
  <r>
    <n v="2020"/>
    <x v="7"/>
    <n v="25"/>
    <x v="9"/>
    <n v="13940.5"/>
    <n v="28500"/>
    <n v="0.48914035087719299"/>
  </r>
  <r>
    <n v="2020"/>
    <x v="7"/>
    <n v="25"/>
    <x v="10"/>
    <n v="10333"/>
    <n v="28500"/>
    <n v="0.36256140350877192"/>
  </r>
  <r>
    <n v="2020"/>
    <x v="7"/>
    <n v="25"/>
    <x v="11"/>
    <n v="12473.5"/>
    <n v="28500"/>
    <n v="0.43766666666666665"/>
  </r>
  <r>
    <n v="2020"/>
    <x v="7"/>
    <n v="25"/>
    <x v="12"/>
    <n v="10259"/>
    <n v="28500"/>
    <n v="0.35996491228070177"/>
  </r>
  <r>
    <n v="2020"/>
    <x v="7"/>
    <n v="25"/>
    <x v="13"/>
    <n v="17865"/>
    <n v="28500"/>
    <n v="0.62684210526315787"/>
  </r>
  <r>
    <n v="2020"/>
    <x v="7"/>
    <n v="25"/>
    <x v="14"/>
    <n v="27434"/>
    <n v="28500"/>
    <n v="0.96259649122807023"/>
  </r>
  <r>
    <n v="2020"/>
    <x v="7"/>
    <n v="25"/>
    <x v="15"/>
    <n v="19087.5"/>
    <n v="28500"/>
    <n v="0.66973684210526319"/>
  </r>
  <r>
    <n v="2020"/>
    <x v="7"/>
    <n v="25"/>
    <x v="16"/>
    <n v="16049"/>
    <n v="28500"/>
    <n v="0.56312280701754391"/>
  </r>
  <r>
    <n v="2020"/>
    <x v="7"/>
    <n v="25"/>
    <x v="17"/>
    <n v="6286.5"/>
    <n v="28500"/>
    <n v="0.22057894736842104"/>
  </r>
  <r>
    <n v="2020"/>
    <x v="7"/>
    <n v="25"/>
    <x v="18"/>
    <n v="893.5"/>
    <n v="28500"/>
    <n v="3.1350877192982456E-2"/>
  </r>
  <r>
    <n v="2020"/>
    <x v="7"/>
    <n v="25"/>
    <x v="19"/>
    <n v="0"/>
    <n v="28500"/>
    <n v="0"/>
  </r>
  <r>
    <n v="2020"/>
    <x v="7"/>
    <n v="25"/>
    <x v="20"/>
    <n v="0"/>
    <n v="28500"/>
    <n v="0"/>
  </r>
  <r>
    <n v="2020"/>
    <x v="7"/>
    <n v="25"/>
    <x v="21"/>
    <n v="0"/>
    <n v="28500"/>
    <n v="0"/>
  </r>
  <r>
    <n v="2020"/>
    <x v="7"/>
    <n v="25"/>
    <x v="22"/>
    <n v="0"/>
    <n v="28500"/>
    <n v="0"/>
  </r>
  <r>
    <n v="2020"/>
    <x v="7"/>
    <n v="25"/>
    <x v="23"/>
    <n v="0"/>
    <n v="28500"/>
    <n v="0"/>
  </r>
  <r>
    <n v="2020"/>
    <x v="7"/>
    <n v="26"/>
    <x v="0"/>
    <n v="0"/>
    <n v="28500"/>
    <n v="0"/>
  </r>
  <r>
    <n v="2020"/>
    <x v="7"/>
    <n v="26"/>
    <x v="1"/>
    <n v="0"/>
    <n v="28500"/>
    <n v="0"/>
  </r>
  <r>
    <n v="2020"/>
    <x v="7"/>
    <n v="26"/>
    <x v="2"/>
    <n v="0"/>
    <n v="28500"/>
    <n v="0"/>
  </r>
  <r>
    <n v="2020"/>
    <x v="7"/>
    <n v="26"/>
    <x v="3"/>
    <n v="0"/>
    <n v="28500"/>
    <n v="0"/>
  </r>
  <r>
    <n v="2020"/>
    <x v="7"/>
    <n v="26"/>
    <x v="4"/>
    <n v="0"/>
    <n v="28500"/>
    <n v="0"/>
  </r>
  <r>
    <n v="2020"/>
    <x v="7"/>
    <n v="26"/>
    <x v="5"/>
    <n v="0"/>
    <n v="28500"/>
    <n v="0"/>
  </r>
  <r>
    <n v="2020"/>
    <x v="7"/>
    <n v="26"/>
    <x v="6"/>
    <n v="1945.5"/>
    <n v="28500"/>
    <n v="6.8263157894736845E-2"/>
  </r>
  <r>
    <n v="2020"/>
    <x v="7"/>
    <n v="26"/>
    <x v="7"/>
    <n v="9912"/>
    <n v="28500"/>
    <n v="0.34778947368421054"/>
  </r>
  <r>
    <n v="2020"/>
    <x v="7"/>
    <n v="26"/>
    <x v="8"/>
    <n v="20619.5"/>
    <n v="28500"/>
    <n v="0.72349122807017541"/>
  </r>
  <r>
    <n v="2020"/>
    <x v="7"/>
    <n v="26"/>
    <x v="9"/>
    <n v="17924.5"/>
    <n v="28500"/>
    <n v="0.62892982456140356"/>
  </r>
  <r>
    <n v="2020"/>
    <x v="7"/>
    <n v="26"/>
    <x v="10"/>
    <n v="16195"/>
    <n v="28500"/>
    <n v="0.56824561403508766"/>
  </r>
  <r>
    <n v="2020"/>
    <x v="7"/>
    <n v="26"/>
    <x v="11"/>
    <n v="36861.5"/>
    <n v="28500"/>
    <n v="1.2933859649122808"/>
  </r>
  <r>
    <n v="2020"/>
    <x v="7"/>
    <n v="26"/>
    <x v="12"/>
    <n v="34431.5"/>
    <n v="28500"/>
    <n v="1.2081228070175438"/>
  </r>
  <r>
    <n v="2020"/>
    <x v="7"/>
    <n v="26"/>
    <x v="13"/>
    <n v="12215.5"/>
    <n v="28500"/>
    <n v="0.42861403508771928"/>
  </r>
  <r>
    <n v="2020"/>
    <x v="7"/>
    <n v="26"/>
    <x v="14"/>
    <n v="14075.5"/>
    <n v="28500"/>
    <n v="0.49387719298245614"/>
  </r>
  <r>
    <n v="2020"/>
    <x v="7"/>
    <n v="26"/>
    <x v="15"/>
    <n v="10069"/>
    <n v="28500"/>
    <n v="0.35329824561403511"/>
  </r>
  <r>
    <n v="2020"/>
    <x v="7"/>
    <n v="26"/>
    <x v="16"/>
    <n v="8045"/>
    <n v="28500"/>
    <n v="0.28228070175438597"/>
  </r>
  <r>
    <n v="2020"/>
    <x v="7"/>
    <n v="26"/>
    <x v="17"/>
    <n v="4855.5"/>
    <n v="28500"/>
    <n v="0.17036842105263159"/>
  </r>
  <r>
    <n v="2020"/>
    <x v="7"/>
    <n v="26"/>
    <x v="18"/>
    <n v="802.5"/>
    <n v="28500"/>
    <n v="2.8157894736842104E-2"/>
  </r>
  <r>
    <n v="2020"/>
    <x v="7"/>
    <n v="26"/>
    <x v="19"/>
    <n v="0"/>
    <n v="28500"/>
    <n v="0"/>
  </r>
  <r>
    <n v="2020"/>
    <x v="7"/>
    <n v="26"/>
    <x v="20"/>
    <n v="0"/>
    <n v="28500"/>
    <n v="0"/>
  </r>
  <r>
    <n v="2020"/>
    <x v="7"/>
    <n v="26"/>
    <x v="21"/>
    <n v="0"/>
    <n v="28500"/>
    <n v="0"/>
  </r>
  <r>
    <n v="2020"/>
    <x v="7"/>
    <n v="26"/>
    <x v="22"/>
    <n v="0"/>
    <n v="28500"/>
    <n v="0"/>
  </r>
  <r>
    <n v="2020"/>
    <x v="7"/>
    <n v="26"/>
    <x v="23"/>
    <n v="0"/>
    <n v="28500"/>
    <n v="0"/>
  </r>
  <r>
    <n v="2020"/>
    <x v="7"/>
    <n v="27"/>
    <x v="0"/>
    <n v="0"/>
    <n v="28500"/>
    <n v="0"/>
  </r>
  <r>
    <n v="2020"/>
    <x v="7"/>
    <n v="27"/>
    <x v="1"/>
    <n v="0"/>
    <n v="28500"/>
    <n v="0"/>
  </r>
  <r>
    <n v="2020"/>
    <x v="7"/>
    <n v="27"/>
    <x v="2"/>
    <n v="0"/>
    <n v="28500"/>
    <n v="0"/>
  </r>
  <r>
    <n v="2020"/>
    <x v="7"/>
    <n v="27"/>
    <x v="3"/>
    <n v="0"/>
    <n v="28500"/>
    <n v="0"/>
  </r>
  <r>
    <n v="2020"/>
    <x v="7"/>
    <n v="27"/>
    <x v="4"/>
    <n v="0"/>
    <n v="28500"/>
    <n v="0"/>
  </r>
  <r>
    <n v="2020"/>
    <x v="7"/>
    <n v="27"/>
    <x v="5"/>
    <n v="0"/>
    <n v="28500"/>
    <n v="0"/>
  </r>
  <r>
    <n v="2020"/>
    <x v="7"/>
    <n v="27"/>
    <x v="6"/>
    <n v="1877.5"/>
    <n v="28500"/>
    <n v="6.5877192982456145E-2"/>
  </r>
  <r>
    <n v="2020"/>
    <x v="7"/>
    <n v="27"/>
    <x v="7"/>
    <n v="7867.5"/>
    <n v="28500"/>
    <n v="0.27605263157894738"/>
  </r>
  <r>
    <n v="2020"/>
    <x v="7"/>
    <n v="27"/>
    <x v="8"/>
    <n v="19134"/>
    <n v="28500"/>
    <n v="0.67136842105263161"/>
  </r>
  <r>
    <n v="2020"/>
    <x v="7"/>
    <n v="27"/>
    <x v="9"/>
    <n v="11883.5"/>
    <n v="28500"/>
    <n v="0.41696491228070176"/>
  </r>
  <r>
    <n v="2020"/>
    <x v="7"/>
    <n v="27"/>
    <x v="10"/>
    <n v="7513"/>
    <n v="28500"/>
    <n v="0.2636140350877193"/>
  </r>
  <r>
    <n v="2020"/>
    <x v="7"/>
    <n v="27"/>
    <x v="11"/>
    <n v="4833"/>
    <n v="28500"/>
    <n v="0.16957894736842105"/>
  </r>
  <r>
    <n v="2020"/>
    <x v="7"/>
    <n v="27"/>
    <x v="12"/>
    <n v="4604"/>
    <n v="28500"/>
    <n v="0.1615438596491228"/>
  </r>
  <r>
    <n v="2020"/>
    <x v="7"/>
    <n v="27"/>
    <x v="13"/>
    <n v="3297.5"/>
    <n v="28500"/>
    <n v="0.11570175438596492"/>
  </r>
  <r>
    <n v="2020"/>
    <x v="7"/>
    <n v="27"/>
    <x v="14"/>
    <n v="8333.5"/>
    <n v="28500"/>
    <n v="0.29240350877192983"/>
  </r>
  <r>
    <n v="2020"/>
    <x v="7"/>
    <n v="27"/>
    <x v="15"/>
    <n v="1173"/>
    <n v="28500"/>
    <n v="4.1157894736842109E-2"/>
  </r>
  <r>
    <n v="2020"/>
    <x v="7"/>
    <n v="27"/>
    <x v="16"/>
    <n v="5922.5"/>
    <n v="28500"/>
    <n v="0.20780701754385966"/>
  </r>
  <r>
    <n v="2020"/>
    <x v="7"/>
    <n v="27"/>
    <x v="17"/>
    <n v="5318.5"/>
    <n v="28500"/>
    <n v="0.18661403508771929"/>
  </r>
  <r>
    <n v="2020"/>
    <x v="7"/>
    <n v="27"/>
    <x v="18"/>
    <n v="3"/>
    <n v="28500"/>
    <n v="1.0526315789473685E-4"/>
  </r>
  <r>
    <n v="2020"/>
    <x v="7"/>
    <n v="27"/>
    <x v="19"/>
    <n v="0"/>
    <n v="28500"/>
    <n v="0"/>
  </r>
  <r>
    <n v="2020"/>
    <x v="7"/>
    <n v="27"/>
    <x v="20"/>
    <n v="0"/>
    <n v="28500"/>
    <n v="0"/>
  </r>
  <r>
    <n v="2020"/>
    <x v="7"/>
    <n v="27"/>
    <x v="21"/>
    <n v="0"/>
    <n v="28500"/>
    <n v="0"/>
  </r>
  <r>
    <n v="2020"/>
    <x v="7"/>
    <n v="27"/>
    <x v="22"/>
    <n v="0"/>
    <n v="28500"/>
    <n v="0"/>
  </r>
  <r>
    <n v="2020"/>
    <x v="7"/>
    <n v="27"/>
    <x v="23"/>
    <n v="0"/>
    <n v="28500"/>
    <n v="0"/>
  </r>
  <r>
    <n v="2020"/>
    <x v="7"/>
    <n v="28"/>
    <x v="0"/>
    <n v="0"/>
    <n v="28500"/>
    <n v="0"/>
  </r>
  <r>
    <n v="2020"/>
    <x v="7"/>
    <n v="28"/>
    <x v="1"/>
    <n v="0"/>
    <n v="28500"/>
    <n v="0"/>
  </r>
  <r>
    <n v="2020"/>
    <x v="7"/>
    <n v="28"/>
    <x v="2"/>
    <n v="0"/>
    <n v="28500"/>
    <n v="0"/>
  </r>
  <r>
    <n v="2020"/>
    <x v="7"/>
    <n v="28"/>
    <x v="3"/>
    <n v="0"/>
    <n v="28500"/>
    <n v="0"/>
  </r>
  <r>
    <n v="2020"/>
    <x v="7"/>
    <n v="28"/>
    <x v="4"/>
    <n v="0"/>
    <n v="28500"/>
    <n v="0"/>
  </r>
  <r>
    <n v="2020"/>
    <x v="7"/>
    <n v="28"/>
    <x v="5"/>
    <n v="0"/>
    <n v="28500"/>
    <n v="0"/>
  </r>
  <r>
    <n v="2020"/>
    <x v="7"/>
    <n v="28"/>
    <x v="6"/>
    <n v="1767"/>
    <n v="28500"/>
    <n v="6.2E-2"/>
  </r>
  <r>
    <n v="2020"/>
    <x v="7"/>
    <n v="28"/>
    <x v="7"/>
    <n v="7136.5"/>
    <n v="28500"/>
    <n v="0.25040350877192985"/>
  </r>
  <r>
    <n v="2020"/>
    <x v="7"/>
    <n v="28"/>
    <x v="8"/>
    <n v="7710"/>
    <n v="28500"/>
    <n v="0.27052631578947367"/>
  </r>
  <r>
    <n v="2020"/>
    <x v="7"/>
    <n v="28"/>
    <x v="9"/>
    <n v="6396"/>
    <n v="28500"/>
    <n v="0.22442105263157894"/>
  </r>
  <r>
    <n v="2020"/>
    <x v="7"/>
    <n v="28"/>
    <x v="10"/>
    <n v="26851.5"/>
    <n v="28500"/>
    <n v="0.94215789473684208"/>
  </r>
  <r>
    <n v="2020"/>
    <x v="7"/>
    <n v="28"/>
    <x v="11"/>
    <n v="27369.5"/>
    <n v="28500"/>
    <n v="0.96033333333333337"/>
  </r>
  <r>
    <n v="2020"/>
    <x v="7"/>
    <n v="28"/>
    <x v="12"/>
    <n v="10223.5"/>
    <n v="28500"/>
    <n v="0.35871929824561405"/>
  </r>
  <r>
    <n v="2020"/>
    <x v="7"/>
    <n v="28"/>
    <x v="13"/>
    <n v="13101"/>
    <n v="28500"/>
    <n v="0.45968421052631581"/>
  </r>
  <r>
    <n v="2020"/>
    <x v="7"/>
    <n v="28"/>
    <x v="14"/>
    <n v="4235.5"/>
    <n v="28500"/>
    <n v="0.14861403508771931"/>
  </r>
  <r>
    <n v="2020"/>
    <x v="7"/>
    <n v="28"/>
    <x v="15"/>
    <n v="8004.5"/>
    <n v="28500"/>
    <n v="0.28085964912280703"/>
  </r>
  <r>
    <n v="2020"/>
    <x v="7"/>
    <n v="28"/>
    <x v="16"/>
    <n v="3994.5"/>
    <n v="28500"/>
    <n v="0.14015789473684209"/>
  </r>
  <r>
    <n v="2020"/>
    <x v="7"/>
    <n v="28"/>
    <x v="17"/>
    <n v="3655"/>
    <n v="28500"/>
    <n v="0.12824561403508772"/>
  </r>
  <r>
    <n v="2020"/>
    <x v="7"/>
    <n v="28"/>
    <x v="18"/>
    <n v="116.5"/>
    <n v="28500"/>
    <n v="4.087719298245614E-3"/>
  </r>
  <r>
    <n v="2020"/>
    <x v="7"/>
    <n v="28"/>
    <x v="19"/>
    <n v="0"/>
    <n v="28500"/>
    <n v="0"/>
  </r>
  <r>
    <n v="2020"/>
    <x v="7"/>
    <n v="28"/>
    <x v="20"/>
    <n v="0"/>
    <n v="28500"/>
    <n v="0"/>
  </r>
  <r>
    <n v="2020"/>
    <x v="7"/>
    <n v="28"/>
    <x v="21"/>
    <n v="0"/>
    <n v="28500"/>
    <n v="0"/>
  </r>
  <r>
    <n v="2020"/>
    <x v="7"/>
    <n v="28"/>
    <x v="22"/>
    <n v="0"/>
    <n v="28500"/>
    <n v="0"/>
  </r>
  <r>
    <n v="2020"/>
    <x v="7"/>
    <n v="28"/>
    <x v="23"/>
    <n v="0"/>
    <n v="28500"/>
    <n v="0"/>
  </r>
  <r>
    <n v="2020"/>
    <x v="7"/>
    <n v="29"/>
    <x v="0"/>
    <n v="0"/>
    <n v="28500"/>
    <n v="0"/>
  </r>
  <r>
    <n v="2020"/>
    <x v="7"/>
    <n v="29"/>
    <x v="1"/>
    <n v="0"/>
    <n v="28500"/>
    <n v="0"/>
  </r>
  <r>
    <n v="2020"/>
    <x v="7"/>
    <n v="29"/>
    <x v="2"/>
    <n v="0"/>
    <n v="28500"/>
    <n v="0"/>
  </r>
  <r>
    <n v="2020"/>
    <x v="7"/>
    <n v="29"/>
    <x v="3"/>
    <n v="0"/>
    <n v="28500"/>
    <n v="0"/>
  </r>
  <r>
    <n v="2020"/>
    <x v="7"/>
    <n v="29"/>
    <x v="4"/>
    <n v="0"/>
    <n v="28500"/>
    <n v="0"/>
  </r>
  <r>
    <n v="2020"/>
    <x v="7"/>
    <n v="29"/>
    <x v="5"/>
    <n v="0"/>
    <n v="28500"/>
    <n v="0"/>
  </r>
  <r>
    <n v="2020"/>
    <x v="7"/>
    <n v="29"/>
    <x v="6"/>
    <n v="50.5"/>
    <n v="28500"/>
    <n v="1.7719298245614035E-3"/>
  </r>
  <r>
    <n v="2020"/>
    <x v="7"/>
    <n v="29"/>
    <x v="7"/>
    <n v="3008.5"/>
    <n v="28500"/>
    <n v="0.10556140350877193"/>
  </r>
  <r>
    <n v="2020"/>
    <x v="7"/>
    <n v="29"/>
    <x v="8"/>
    <n v="2543.5"/>
    <n v="28500"/>
    <n v="8.9245614035087725E-2"/>
  </r>
  <r>
    <n v="2020"/>
    <x v="7"/>
    <n v="29"/>
    <x v="9"/>
    <n v="1795.5"/>
    <n v="28500"/>
    <n v="6.3E-2"/>
  </r>
  <r>
    <n v="2020"/>
    <x v="7"/>
    <n v="29"/>
    <x v="10"/>
    <n v="7054"/>
    <n v="28500"/>
    <n v="0.24750877192982457"/>
  </r>
  <r>
    <n v="2020"/>
    <x v="7"/>
    <n v="29"/>
    <x v="11"/>
    <n v="9091.5"/>
    <n v="28500"/>
    <n v="0.31900000000000001"/>
  </r>
  <r>
    <n v="2020"/>
    <x v="7"/>
    <n v="29"/>
    <x v="12"/>
    <n v="8271.5"/>
    <n v="28500"/>
    <n v="0.29022807017543861"/>
  </r>
  <r>
    <n v="2020"/>
    <x v="7"/>
    <n v="29"/>
    <x v="13"/>
    <n v="3832.5"/>
    <n v="28500"/>
    <n v="0.13447368421052633"/>
  </r>
  <r>
    <n v="2020"/>
    <x v="7"/>
    <n v="29"/>
    <x v="14"/>
    <n v="3677.5"/>
    <n v="28500"/>
    <n v="0.12903508771929825"/>
  </r>
  <r>
    <n v="2020"/>
    <x v="7"/>
    <n v="29"/>
    <x v="15"/>
    <n v="5458.5"/>
    <n v="28500"/>
    <n v="0.19152631578947368"/>
  </r>
  <r>
    <n v="2020"/>
    <x v="7"/>
    <n v="29"/>
    <x v="16"/>
    <n v="6351"/>
    <n v="28500"/>
    <n v="0.2228421052631579"/>
  </r>
  <r>
    <n v="2020"/>
    <x v="7"/>
    <n v="29"/>
    <x v="17"/>
    <n v="3372.5"/>
    <n v="28500"/>
    <n v="0.11833333333333333"/>
  </r>
  <r>
    <n v="2020"/>
    <x v="7"/>
    <n v="29"/>
    <x v="18"/>
    <n v="645.5"/>
    <n v="28500"/>
    <n v="2.2649122807017544E-2"/>
  </r>
  <r>
    <n v="2020"/>
    <x v="7"/>
    <n v="29"/>
    <x v="19"/>
    <n v="0"/>
    <n v="28500"/>
    <n v="0"/>
  </r>
  <r>
    <n v="2020"/>
    <x v="7"/>
    <n v="29"/>
    <x v="20"/>
    <n v="0"/>
    <n v="28500"/>
    <n v="0"/>
  </r>
  <r>
    <n v="2020"/>
    <x v="7"/>
    <n v="29"/>
    <x v="21"/>
    <n v="0"/>
    <n v="28500"/>
    <n v="0"/>
  </r>
  <r>
    <n v="2020"/>
    <x v="7"/>
    <n v="29"/>
    <x v="22"/>
    <n v="0"/>
    <n v="28500"/>
    <n v="0"/>
  </r>
  <r>
    <n v="2020"/>
    <x v="7"/>
    <n v="29"/>
    <x v="23"/>
    <n v="0"/>
    <n v="28500"/>
    <n v="0"/>
  </r>
  <r>
    <n v="2020"/>
    <x v="7"/>
    <n v="30"/>
    <x v="0"/>
    <n v="0"/>
    <n v="28500"/>
    <n v="0"/>
  </r>
  <r>
    <n v="2020"/>
    <x v="7"/>
    <n v="30"/>
    <x v="1"/>
    <n v="0"/>
    <n v="28500"/>
    <n v="0"/>
  </r>
  <r>
    <n v="2020"/>
    <x v="7"/>
    <n v="30"/>
    <x v="2"/>
    <n v="0"/>
    <n v="28500"/>
    <n v="0"/>
  </r>
  <r>
    <n v="2020"/>
    <x v="7"/>
    <n v="30"/>
    <x v="3"/>
    <n v="0"/>
    <n v="28500"/>
    <n v="0"/>
  </r>
  <r>
    <n v="2020"/>
    <x v="7"/>
    <n v="30"/>
    <x v="4"/>
    <n v="0"/>
    <n v="28500"/>
    <n v="0"/>
  </r>
  <r>
    <n v="2020"/>
    <x v="7"/>
    <n v="30"/>
    <x v="5"/>
    <n v="0"/>
    <n v="28500"/>
    <n v="0"/>
  </r>
  <r>
    <n v="2020"/>
    <x v="7"/>
    <n v="30"/>
    <x v="6"/>
    <n v="725"/>
    <n v="28500"/>
    <n v="2.5438596491228069E-2"/>
  </r>
  <r>
    <n v="2020"/>
    <x v="7"/>
    <n v="30"/>
    <x v="7"/>
    <n v="3931.5"/>
    <n v="28500"/>
    <n v="0.13794736842105262"/>
  </r>
  <r>
    <n v="2020"/>
    <x v="7"/>
    <n v="30"/>
    <x v="8"/>
    <n v="8954.5"/>
    <n v="28500"/>
    <n v="0.31419298245614036"/>
  </r>
  <r>
    <n v="2020"/>
    <x v="7"/>
    <n v="30"/>
    <x v="9"/>
    <n v="22397.5"/>
    <n v="28500"/>
    <n v="0.78587719298245617"/>
  </r>
  <r>
    <n v="2020"/>
    <x v="7"/>
    <n v="30"/>
    <x v="10"/>
    <n v="15025"/>
    <n v="28500"/>
    <n v="0.52719298245614032"/>
  </r>
  <r>
    <n v="2020"/>
    <x v="7"/>
    <n v="30"/>
    <x v="11"/>
    <n v="6026"/>
    <n v="28500"/>
    <n v="0.21143859649122806"/>
  </r>
  <r>
    <n v="2020"/>
    <x v="7"/>
    <n v="30"/>
    <x v="12"/>
    <n v="4512.5"/>
    <n v="28500"/>
    <n v="0.15833333333333333"/>
  </r>
  <r>
    <n v="2020"/>
    <x v="7"/>
    <n v="30"/>
    <x v="13"/>
    <n v="5857.5"/>
    <n v="28500"/>
    <n v="0.2055263157894737"/>
  </r>
  <r>
    <n v="2020"/>
    <x v="7"/>
    <n v="30"/>
    <x v="14"/>
    <n v="14427"/>
    <n v="28500"/>
    <n v="0.50621052631578944"/>
  </r>
  <r>
    <n v="2020"/>
    <x v="7"/>
    <n v="30"/>
    <x v="15"/>
    <n v="9810"/>
    <n v="28500"/>
    <n v="0.34421052631578947"/>
  </r>
  <r>
    <n v="2020"/>
    <x v="7"/>
    <n v="30"/>
    <x v="16"/>
    <n v="9017"/>
    <n v="28500"/>
    <n v="0.31638596491228071"/>
  </r>
  <r>
    <n v="2020"/>
    <x v="7"/>
    <n v="30"/>
    <x v="17"/>
    <n v="3526"/>
    <n v="28500"/>
    <n v="0.12371929824561403"/>
  </r>
  <r>
    <n v="2020"/>
    <x v="7"/>
    <n v="30"/>
    <x v="18"/>
    <n v="609.5"/>
    <n v="28500"/>
    <n v="2.1385964912280703E-2"/>
  </r>
  <r>
    <n v="2020"/>
    <x v="7"/>
    <n v="30"/>
    <x v="19"/>
    <n v="0"/>
    <n v="28500"/>
    <n v="0"/>
  </r>
  <r>
    <n v="2020"/>
    <x v="7"/>
    <n v="30"/>
    <x v="20"/>
    <n v="0"/>
    <n v="28500"/>
    <n v="0"/>
  </r>
  <r>
    <n v="2020"/>
    <x v="7"/>
    <n v="30"/>
    <x v="21"/>
    <n v="0"/>
    <n v="28500"/>
    <n v="0"/>
  </r>
  <r>
    <n v="2020"/>
    <x v="7"/>
    <n v="30"/>
    <x v="22"/>
    <n v="0"/>
    <n v="28500"/>
    <n v="0"/>
  </r>
  <r>
    <n v="2020"/>
    <x v="7"/>
    <n v="30"/>
    <x v="23"/>
    <n v="0"/>
    <n v="28500"/>
    <n v="0"/>
  </r>
  <r>
    <n v="2020"/>
    <x v="7"/>
    <n v="31"/>
    <x v="0"/>
    <n v="0"/>
    <n v="28500"/>
    <n v="0"/>
  </r>
  <r>
    <n v="2020"/>
    <x v="7"/>
    <n v="31"/>
    <x v="1"/>
    <n v="0"/>
    <n v="28500"/>
    <n v="0"/>
  </r>
  <r>
    <n v="2020"/>
    <x v="7"/>
    <n v="31"/>
    <x v="2"/>
    <n v="0"/>
    <n v="28500"/>
    <n v="0"/>
  </r>
  <r>
    <n v="2020"/>
    <x v="7"/>
    <n v="31"/>
    <x v="3"/>
    <n v="0"/>
    <n v="28500"/>
    <n v="0"/>
  </r>
  <r>
    <n v="2020"/>
    <x v="7"/>
    <n v="31"/>
    <x v="4"/>
    <n v="0"/>
    <n v="28500"/>
    <n v="0"/>
  </r>
  <r>
    <n v="2020"/>
    <x v="7"/>
    <n v="31"/>
    <x v="5"/>
    <n v="0"/>
    <n v="28500"/>
    <n v="0"/>
  </r>
  <r>
    <n v="2020"/>
    <x v="7"/>
    <n v="31"/>
    <x v="6"/>
    <n v="1608"/>
    <n v="28500"/>
    <n v="5.6421052631578948E-2"/>
  </r>
  <r>
    <n v="2020"/>
    <x v="7"/>
    <n v="31"/>
    <x v="7"/>
    <n v="8992"/>
    <n v="28500"/>
    <n v="0.31550877192982457"/>
  </r>
  <r>
    <n v="2020"/>
    <x v="7"/>
    <n v="31"/>
    <x v="8"/>
    <n v="16629.5"/>
    <n v="28500"/>
    <n v="0.58349122807017539"/>
  </r>
  <r>
    <n v="2020"/>
    <x v="7"/>
    <n v="31"/>
    <x v="9"/>
    <n v="27343"/>
    <n v="28500"/>
    <n v="0.95940350877192981"/>
  </r>
  <r>
    <n v="2020"/>
    <x v="7"/>
    <n v="31"/>
    <x v="10"/>
    <n v="13303"/>
    <n v="28500"/>
    <n v="0.46677192982456139"/>
  </r>
  <r>
    <n v="2020"/>
    <x v="7"/>
    <n v="31"/>
    <x v="11"/>
    <n v="15625"/>
    <n v="28500"/>
    <n v="0.54824561403508776"/>
  </r>
  <r>
    <n v="2020"/>
    <x v="7"/>
    <n v="31"/>
    <x v="12"/>
    <n v="24370.5"/>
    <n v="28500"/>
    <n v="0.8551052631578947"/>
  </r>
  <r>
    <n v="2020"/>
    <x v="7"/>
    <n v="31"/>
    <x v="13"/>
    <n v="22541.5"/>
    <n v="28500"/>
    <n v="0.79092982456140348"/>
  </r>
  <r>
    <n v="2020"/>
    <x v="7"/>
    <n v="31"/>
    <x v="14"/>
    <n v="5195.5"/>
    <n v="28500"/>
    <n v="0.1822982456140351"/>
  </r>
  <r>
    <n v="2020"/>
    <x v="7"/>
    <n v="31"/>
    <x v="15"/>
    <n v="18781.5"/>
    <n v="28500"/>
    <n v="0.65900000000000003"/>
  </r>
  <r>
    <n v="2020"/>
    <x v="7"/>
    <n v="31"/>
    <x v="16"/>
    <n v="7815.5"/>
    <n v="28500"/>
    <n v="0.2742280701754386"/>
  </r>
  <r>
    <n v="2020"/>
    <x v="7"/>
    <n v="31"/>
    <x v="17"/>
    <n v="4587.5"/>
    <n v="28500"/>
    <n v="0.16096491228070176"/>
  </r>
  <r>
    <n v="2020"/>
    <x v="7"/>
    <n v="31"/>
    <x v="18"/>
    <n v="551.5"/>
    <n v="28500"/>
    <n v="1.9350877192982455E-2"/>
  </r>
  <r>
    <n v="2020"/>
    <x v="7"/>
    <n v="31"/>
    <x v="19"/>
    <n v="0"/>
    <n v="28500"/>
    <n v="0"/>
  </r>
  <r>
    <n v="2020"/>
    <x v="7"/>
    <n v="31"/>
    <x v="20"/>
    <n v="0"/>
    <n v="28500"/>
    <n v="0"/>
  </r>
  <r>
    <n v="2020"/>
    <x v="7"/>
    <n v="31"/>
    <x v="21"/>
    <n v="0"/>
    <n v="28500"/>
    <n v="0"/>
  </r>
  <r>
    <n v="2020"/>
    <x v="7"/>
    <n v="31"/>
    <x v="22"/>
    <n v="0"/>
    <n v="28500"/>
    <n v="0"/>
  </r>
  <r>
    <n v="2020"/>
    <x v="7"/>
    <n v="31"/>
    <x v="23"/>
    <n v="0"/>
    <n v="28500"/>
    <n v="0"/>
  </r>
  <r>
    <n v="2020"/>
    <x v="8"/>
    <n v="1"/>
    <x v="0"/>
    <n v="0"/>
    <n v="28500"/>
    <n v="0"/>
  </r>
  <r>
    <n v="2020"/>
    <x v="8"/>
    <n v="1"/>
    <x v="1"/>
    <n v="0"/>
    <n v="28500"/>
    <n v="0"/>
  </r>
  <r>
    <n v="2020"/>
    <x v="8"/>
    <n v="1"/>
    <x v="2"/>
    <n v="0"/>
    <n v="28500"/>
    <n v="0"/>
  </r>
  <r>
    <n v="2020"/>
    <x v="8"/>
    <n v="1"/>
    <x v="3"/>
    <n v="0"/>
    <n v="28500"/>
    <n v="0"/>
  </r>
  <r>
    <n v="2020"/>
    <x v="8"/>
    <n v="1"/>
    <x v="4"/>
    <n v="0"/>
    <n v="28500"/>
    <n v="0"/>
  </r>
  <r>
    <n v="2020"/>
    <x v="8"/>
    <n v="1"/>
    <x v="5"/>
    <n v="0"/>
    <n v="28500"/>
    <n v="0"/>
  </r>
  <r>
    <n v="2020"/>
    <x v="8"/>
    <n v="1"/>
    <x v="6"/>
    <n v="1574.5"/>
    <n v="28500"/>
    <n v="5.5245614035087716E-2"/>
  </r>
  <r>
    <n v="2020"/>
    <x v="8"/>
    <n v="1"/>
    <x v="7"/>
    <n v="10385"/>
    <n v="28500"/>
    <n v="0.3643859649122807"/>
  </r>
  <r>
    <n v="2020"/>
    <x v="8"/>
    <n v="1"/>
    <x v="8"/>
    <n v="20934.5"/>
    <n v="28500"/>
    <n v="0.73454385964912283"/>
  </r>
  <r>
    <n v="2020"/>
    <x v="8"/>
    <n v="1"/>
    <x v="9"/>
    <n v="29575.5"/>
    <n v="28500"/>
    <n v="1.0377368421052631"/>
  </r>
  <r>
    <n v="2020"/>
    <x v="8"/>
    <n v="1"/>
    <x v="10"/>
    <n v="31462"/>
    <n v="28500"/>
    <n v="1.1039298245614035"/>
  </r>
  <r>
    <n v="2020"/>
    <x v="8"/>
    <n v="1"/>
    <x v="11"/>
    <n v="30051"/>
    <n v="28500"/>
    <n v="1.0544210526315789"/>
  </r>
  <r>
    <n v="2020"/>
    <x v="8"/>
    <n v="1"/>
    <x v="12"/>
    <n v="28467.5"/>
    <n v="28500"/>
    <n v="0.998859649122807"/>
  </r>
  <r>
    <n v="2020"/>
    <x v="8"/>
    <n v="1"/>
    <x v="13"/>
    <n v="20566"/>
    <n v="28500"/>
    <n v="0.72161403508771926"/>
  </r>
  <r>
    <n v="2020"/>
    <x v="8"/>
    <n v="1"/>
    <x v="14"/>
    <n v="10526"/>
    <n v="28500"/>
    <n v="0.36933333333333335"/>
  </r>
  <r>
    <n v="2020"/>
    <x v="8"/>
    <n v="1"/>
    <x v="15"/>
    <n v="15368.5"/>
    <n v="28500"/>
    <n v="0.53924561403508775"/>
  </r>
  <r>
    <n v="2020"/>
    <x v="8"/>
    <n v="1"/>
    <x v="16"/>
    <n v="8482.5"/>
    <n v="28500"/>
    <n v="0.29763157894736841"/>
  </r>
  <r>
    <n v="2020"/>
    <x v="8"/>
    <n v="1"/>
    <x v="17"/>
    <n v="3697"/>
    <n v="28500"/>
    <n v="0.12971929824561404"/>
  </r>
  <r>
    <n v="2020"/>
    <x v="8"/>
    <n v="1"/>
    <x v="18"/>
    <n v="279.5"/>
    <n v="28500"/>
    <n v="9.8070175438596495E-3"/>
  </r>
  <r>
    <n v="2020"/>
    <x v="8"/>
    <n v="1"/>
    <x v="19"/>
    <n v="0"/>
    <n v="28500"/>
    <n v="0"/>
  </r>
  <r>
    <n v="2020"/>
    <x v="8"/>
    <n v="1"/>
    <x v="20"/>
    <n v="0"/>
    <n v="28500"/>
    <n v="0"/>
  </r>
  <r>
    <n v="2020"/>
    <x v="8"/>
    <n v="1"/>
    <x v="21"/>
    <n v="0"/>
    <n v="28500"/>
    <n v="0"/>
  </r>
  <r>
    <n v="2020"/>
    <x v="8"/>
    <n v="1"/>
    <x v="22"/>
    <n v="0"/>
    <n v="28500"/>
    <n v="0"/>
  </r>
  <r>
    <n v="2020"/>
    <x v="8"/>
    <n v="1"/>
    <x v="23"/>
    <n v="0"/>
    <n v="28500"/>
    <n v="0"/>
  </r>
  <r>
    <n v="2020"/>
    <x v="8"/>
    <n v="2"/>
    <x v="0"/>
    <n v="0"/>
    <n v="28500"/>
    <n v="0"/>
  </r>
  <r>
    <n v="2020"/>
    <x v="8"/>
    <n v="2"/>
    <x v="1"/>
    <n v="0"/>
    <n v="28500"/>
    <n v="0"/>
  </r>
  <r>
    <n v="2020"/>
    <x v="8"/>
    <n v="2"/>
    <x v="2"/>
    <n v="0"/>
    <n v="28500"/>
    <n v="0"/>
  </r>
  <r>
    <n v="2020"/>
    <x v="8"/>
    <n v="2"/>
    <x v="3"/>
    <n v="0"/>
    <n v="28500"/>
    <n v="0"/>
  </r>
  <r>
    <n v="2020"/>
    <x v="8"/>
    <n v="2"/>
    <x v="4"/>
    <n v="0"/>
    <n v="28500"/>
    <n v="0"/>
  </r>
  <r>
    <n v="2020"/>
    <x v="8"/>
    <n v="2"/>
    <x v="5"/>
    <n v="0"/>
    <n v="28500"/>
    <n v="0"/>
  </r>
  <r>
    <n v="2020"/>
    <x v="8"/>
    <n v="2"/>
    <x v="6"/>
    <n v="1568"/>
    <n v="28500"/>
    <n v="5.5017543859649125E-2"/>
  </r>
  <r>
    <n v="2020"/>
    <x v="8"/>
    <n v="2"/>
    <x v="7"/>
    <n v="9991"/>
    <n v="28500"/>
    <n v="0.35056140350877191"/>
  </r>
  <r>
    <n v="2020"/>
    <x v="8"/>
    <n v="2"/>
    <x v="8"/>
    <n v="20099"/>
    <n v="28500"/>
    <n v="0.70522807017543865"/>
  </r>
  <r>
    <n v="2020"/>
    <x v="8"/>
    <n v="2"/>
    <x v="9"/>
    <n v="27885.5"/>
    <n v="28500"/>
    <n v="0.97843859649122811"/>
  </r>
  <r>
    <n v="2020"/>
    <x v="8"/>
    <n v="2"/>
    <x v="10"/>
    <n v="32381"/>
    <n v="28500"/>
    <n v="1.1361754385964913"/>
  </r>
  <r>
    <n v="2020"/>
    <x v="8"/>
    <n v="2"/>
    <x v="11"/>
    <n v="21778"/>
    <n v="28500"/>
    <n v="0.76414035087719301"/>
  </r>
  <r>
    <n v="2020"/>
    <x v="8"/>
    <n v="2"/>
    <x v="12"/>
    <n v="13872"/>
    <n v="28500"/>
    <n v="0.48673684210526313"/>
  </r>
  <r>
    <n v="2020"/>
    <x v="8"/>
    <n v="2"/>
    <x v="13"/>
    <n v="16879.5"/>
    <n v="28500"/>
    <n v="0.59226315789473682"/>
  </r>
  <r>
    <n v="2020"/>
    <x v="8"/>
    <n v="2"/>
    <x v="14"/>
    <n v="10108"/>
    <n v="28500"/>
    <n v="0.35466666666666669"/>
  </r>
  <r>
    <n v="2020"/>
    <x v="8"/>
    <n v="2"/>
    <x v="15"/>
    <n v="3661"/>
    <n v="28500"/>
    <n v="0.12845614035087718"/>
  </r>
  <r>
    <n v="2020"/>
    <x v="8"/>
    <n v="2"/>
    <x v="16"/>
    <n v="3215.5"/>
    <n v="28500"/>
    <n v="0.11282456140350877"/>
  </r>
  <r>
    <n v="2020"/>
    <x v="8"/>
    <n v="2"/>
    <x v="17"/>
    <n v="1235.5"/>
    <n v="28500"/>
    <n v="4.3350877192982459E-2"/>
  </r>
  <r>
    <n v="2020"/>
    <x v="8"/>
    <n v="2"/>
    <x v="18"/>
    <n v="230.5"/>
    <n v="28500"/>
    <n v="8.0877192982456141E-3"/>
  </r>
  <r>
    <n v="2020"/>
    <x v="8"/>
    <n v="2"/>
    <x v="19"/>
    <n v="0"/>
    <n v="28500"/>
    <n v="0"/>
  </r>
  <r>
    <n v="2020"/>
    <x v="8"/>
    <n v="2"/>
    <x v="20"/>
    <n v="0"/>
    <n v="28500"/>
    <n v="0"/>
  </r>
  <r>
    <n v="2020"/>
    <x v="8"/>
    <n v="2"/>
    <x v="21"/>
    <n v="0"/>
    <n v="28500"/>
    <n v="0"/>
  </r>
  <r>
    <n v="2020"/>
    <x v="8"/>
    <n v="2"/>
    <x v="22"/>
    <n v="0"/>
    <n v="28500"/>
    <n v="0"/>
  </r>
  <r>
    <n v="2020"/>
    <x v="8"/>
    <n v="2"/>
    <x v="23"/>
    <n v="0"/>
    <n v="28500"/>
    <n v="0"/>
  </r>
  <r>
    <n v="2020"/>
    <x v="8"/>
    <n v="3"/>
    <x v="0"/>
    <n v="0"/>
    <n v="28500"/>
    <n v="0"/>
  </r>
  <r>
    <n v="2020"/>
    <x v="8"/>
    <n v="3"/>
    <x v="1"/>
    <n v="0"/>
    <n v="28500"/>
    <n v="0"/>
  </r>
  <r>
    <n v="2020"/>
    <x v="8"/>
    <n v="3"/>
    <x v="2"/>
    <n v="0"/>
    <n v="28500"/>
    <n v="0"/>
  </r>
  <r>
    <n v="2020"/>
    <x v="8"/>
    <n v="3"/>
    <x v="3"/>
    <n v="0"/>
    <n v="28500"/>
    <n v="0"/>
  </r>
  <r>
    <n v="2020"/>
    <x v="8"/>
    <n v="3"/>
    <x v="4"/>
    <n v="0"/>
    <n v="28500"/>
    <n v="0"/>
  </r>
  <r>
    <n v="2020"/>
    <x v="8"/>
    <n v="3"/>
    <x v="5"/>
    <n v="0"/>
    <n v="28500"/>
    <n v="0"/>
  </r>
  <r>
    <n v="2020"/>
    <x v="8"/>
    <n v="3"/>
    <x v="6"/>
    <n v="1399"/>
    <n v="28500"/>
    <n v="4.9087719298245611E-2"/>
  </r>
  <r>
    <n v="2020"/>
    <x v="8"/>
    <n v="3"/>
    <x v="7"/>
    <n v="866.5"/>
    <n v="28500"/>
    <n v="3.0403508771929825E-2"/>
  </r>
  <r>
    <n v="2020"/>
    <x v="8"/>
    <n v="3"/>
    <x v="8"/>
    <n v="1895.5"/>
    <n v="28500"/>
    <n v="6.6508771929824559E-2"/>
  </r>
  <r>
    <n v="2020"/>
    <x v="8"/>
    <n v="3"/>
    <x v="9"/>
    <n v="11009"/>
    <n v="28500"/>
    <n v="0.38628070175438595"/>
  </r>
  <r>
    <n v="2020"/>
    <x v="8"/>
    <n v="3"/>
    <x v="10"/>
    <n v="11695.5"/>
    <n v="28500"/>
    <n v="0.4103684210526316"/>
  </r>
  <r>
    <n v="2020"/>
    <x v="8"/>
    <n v="3"/>
    <x v="11"/>
    <n v="7430.5"/>
    <n v="28500"/>
    <n v="0.26071929824561402"/>
  </r>
  <r>
    <n v="2020"/>
    <x v="8"/>
    <n v="3"/>
    <x v="12"/>
    <n v="6272"/>
    <n v="28500"/>
    <n v="0.2200701754385965"/>
  </r>
  <r>
    <n v="2020"/>
    <x v="8"/>
    <n v="3"/>
    <x v="13"/>
    <n v="12539.5"/>
    <n v="28500"/>
    <n v="0.43998245614035086"/>
  </r>
  <r>
    <n v="2020"/>
    <x v="8"/>
    <n v="3"/>
    <x v="14"/>
    <n v="12924.5"/>
    <n v="28500"/>
    <n v="0.45349122807017545"/>
  </r>
  <r>
    <n v="2020"/>
    <x v="8"/>
    <n v="3"/>
    <x v="15"/>
    <n v="11330"/>
    <n v="28500"/>
    <n v="0.39754385964912281"/>
  </r>
  <r>
    <n v="2020"/>
    <x v="8"/>
    <n v="3"/>
    <x v="16"/>
    <n v="3127"/>
    <n v="28500"/>
    <n v="0.10971929824561404"/>
  </r>
  <r>
    <n v="2020"/>
    <x v="8"/>
    <n v="3"/>
    <x v="17"/>
    <n v="3198"/>
    <n v="28500"/>
    <n v="0.11221052631578947"/>
  </r>
  <r>
    <n v="2020"/>
    <x v="8"/>
    <n v="3"/>
    <x v="18"/>
    <n v="0"/>
    <n v="28500"/>
    <n v="0"/>
  </r>
  <r>
    <n v="2020"/>
    <x v="8"/>
    <n v="3"/>
    <x v="19"/>
    <n v="0"/>
    <n v="28500"/>
    <n v="0"/>
  </r>
  <r>
    <n v="2020"/>
    <x v="8"/>
    <n v="3"/>
    <x v="20"/>
    <n v="0"/>
    <n v="28500"/>
    <n v="0"/>
  </r>
  <r>
    <n v="2020"/>
    <x v="8"/>
    <n v="3"/>
    <x v="21"/>
    <n v="0"/>
    <n v="28500"/>
    <n v="0"/>
  </r>
  <r>
    <n v="2020"/>
    <x v="8"/>
    <n v="3"/>
    <x v="22"/>
    <n v="0"/>
    <n v="28500"/>
    <n v="0"/>
  </r>
  <r>
    <n v="2020"/>
    <x v="8"/>
    <n v="3"/>
    <x v="23"/>
    <n v="0"/>
    <n v="28500"/>
    <n v="0"/>
  </r>
  <r>
    <n v="2020"/>
    <x v="8"/>
    <n v="4"/>
    <x v="0"/>
    <n v="0"/>
    <n v="28500"/>
    <n v="0"/>
  </r>
  <r>
    <n v="2020"/>
    <x v="8"/>
    <n v="4"/>
    <x v="1"/>
    <n v="0"/>
    <n v="28500"/>
    <n v="0"/>
  </r>
  <r>
    <n v="2020"/>
    <x v="8"/>
    <n v="4"/>
    <x v="2"/>
    <n v="0"/>
    <n v="28500"/>
    <n v="0"/>
  </r>
  <r>
    <n v="2020"/>
    <x v="8"/>
    <n v="4"/>
    <x v="3"/>
    <n v="0"/>
    <n v="28500"/>
    <n v="0"/>
  </r>
  <r>
    <n v="2020"/>
    <x v="8"/>
    <n v="4"/>
    <x v="4"/>
    <n v="0"/>
    <n v="28500"/>
    <n v="0"/>
  </r>
  <r>
    <n v="2020"/>
    <x v="8"/>
    <n v="4"/>
    <x v="5"/>
    <n v="0"/>
    <n v="28500"/>
    <n v="0"/>
  </r>
  <r>
    <n v="2020"/>
    <x v="8"/>
    <n v="4"/>
    <x v="6"/>
    <n v="1405.5"/>
    <n v="28500"/>
    <n v="4.9315789473684209E-2"/>
  </r>
  <r>
    <n v="2020"/>
    <x v="8"/>
    <n v="4"/>
    <x v="7"/>
    <n v="7260.5"/>
    <n v="28500"/>
    <n v="0.25475438596491229"/>
  </r>
  <r>
    <n v="2020"/>
    <x v="8"/>
    <n v="4"/>
    <x v="8"/>
    <n v="15775"/>
    <n v="28500"/>
    <n v="0.55350877192982462"/>
  </r>
  <r>
    <n v="2020"/>
    <x v="8"/>
    <n v="4"/>
    <x v="9"/>
    <n v="9224.5"/>
    <n v="28500"/>
    <n v="0.32366666666666666"/>
  </r>
  <r>
    <n v="2020"/>
    <x v="8"/>
    <n v="4"/>
    <x v="10"/>
    <n v="19419.5"/>
    <n v="28500"/>
    <n v="0.68138596491228065"/>
  </r>
  <r>
    <n v="2020"/>
    <x v="8"/>
    <n v="4"/>
    <x v="11"/>
    <n v="19452.5"/>
    <n v="28500"/>
    <n v="0.68254385964912279"/>
  </r>
  <r>
    <n v="2020"/>
    <x v="8"/>
    <n v="4"/>
    <x v="12"/>
    <n v="13217"/>
    <n v="28500"/>
    <n v="0.46375438596491231"/>
  </r>
  <r>
    <n v="2020"/>
    <x v="8"/>
    <n v="4"/>
    <x v="13"/>
    <n v="18547.5"/>
    <n v="28500"/>
    <n v="0.65078947368421047"/>
  </r>
  <r>
    <n v="2020"/>
    <x v="8"/>
    <n v="4"/>
    <x v="14"/>
    <n v="5663.5"/>
    <n v="28500"/>
    <n v="0.19871929824561405"/>
  </r>
  <r>
    <n v="2020"/>
    <x v="8"/>
    <n v="4"/>
    <x v="15"/>
    <n v="8935.5"/>
    <n v="28500"/>
    <n v="0.31352631578947371"/>
  </r>
  <r>
    <n v="2020"/>
    <x v="8"/>
    <n v="4"/>
    <x v="16"/>
    <n v="4526.5"/>
    <n v="28500"/>
    <n v="0.15882456140350878"/>
  </r>
  <r>
    <n v="2020"/>
    <x v="8"/>
    <n v="4"/>
    <x v="17"/>
    <n v="2071.5"/>
    <n v="28500"/>
    <n v="7.2684210526315796E-2"/>
  </r>
  <r>
    <n v="2020"/>
    <x v="8"/>
    <n v="4"/>
    <x v="18"/>
    <n v="135.5"/>
    <n v="28500"/>
    <n v="4.754385964912281E-3"/>
  </r>
  <r>
    <n v="2020"/>
    <x v="8"/>
    <n v="4"/>
    <x v="19"/>
    <n v="0"/>
    <n v="28500"/>
    <n v="0"/>
  </r>
  <r>
    <n v="2020"/>
    <x v="8"/>
    <n v="4"/>
    <x v="20"/>
    <n v="0"/>
    <n v="28500"/>
    <n v="0"/>
  </r>
  <r>
    <n v="2020"/>
    <x v="8"/>
    <n v="4"/>
    <x v="21"/>
    <n v="0"/>
    <n v="28500"/>
    <n v="0"/>
  </r>
  <r>
    <n v="2020"/>
    <x v="8"/>
    <n v="4"/>
    <x v="22"/>
    <n v="0"/>
    <n v="28500"/>
    <n v="0"/>
  </r>
  <r>
    <n v="2020"/>
    <x v="8"/>
    <n v="4"/>
    <x v="23"/>
    <n v="0"/>
    <n v="28500"/>
    <n v="0"/>
  </r>
  <r>
    <n v="2020"/>
    <x v="8"/>
    <n v="5"/>
    <x v="0"/>
    <n v="0"/>
    <n v="28500"/>
    <n v="0"/>
  </r>
  <r>
    <n v="2020"/>
    <x v="8"/>
    <n v="5"/>
    <x v="1"/>
    <n v="0"/>
    <n v="28500"/>
    <n v="0"/>
  </r>
  <r>
    <n v="2020"/>
    <x v="8"/>
    <n v="5"/>
    <x v="2"/>
    <n v="0"/>
    <n v="28500"/>
    <n v="0"/>
  </r>
  <r>
    <n v="2020"/>
    <x v="8"/>
    <n v="5"/>
    <x v="3"/>
    <n v="0"/>
    <n v="28500"/>
    <n v="0"/>
  </r>
  <r>
    <n v="2020"/>
    <x v="8"/>
    <n v="5"/>
    <x v="4"/>
    <n v="0"/>
    <n v="28500"/>
    <n v="0"/>
  </r>
  <r>
    <n v="2020"/>
    <x v="8"/>
    <n v="5"/>
    <x v="5"/>
    <n v="0"/>
    <n v="28500"/>
    <n v="0"/>
  </r>
  <r>
    <n v="2020"/>
    <x v="8"/>
    <n v="5"/>
    <x v="6"/>
    <n v="1442.5"/>
    <n v="28500"/>
    <n v="5.0614035087719299E-2"/>
  </r>
  <r>
    <n v="2020"/>
    <x v="8"/>
    <n v="5"/>
    <x v="7"/>
    <n v="10413.5"/>
    <n v="28500"/>
    <n v="0.3653859649122807"/>
  </r>
  <r>
    <n v="2020"/>
    <x v="8"/>
    <n v="5"/>
    <x v="8"/>
    <n v="20897.5"/>
    <n v="28500"/>
    <n v="0.7332456140350877"/>
  </r>
  <r>
    <n v="2020"/>
    <x v="8"/>
    <n v="5"/>
    <x v="9"/>
    <n v="22232.5"/>
    <n v="28500"/>
    <n v="0.78008771929824561"/>
  </r>
  <r>
    <n v="2020"/>
    <x v="8"/>
    <n v="5"/>
    <x v="10"/>
    <n v="32647"/>
    <n v="28500"/>
    <n v="1.1455087719298245"/>
  </r>
  <r>
    <n v="2020"/>
    <x v="8"/>
    <n v="5"/>
    <x v="11"/>
    <n v="19384"/>
    <n v="28500"/>
    <n v="0.68014035087719293"/>
  </r>
  <r>
    <n v="2020"/>
    <x v="8"/>
    <n v="5"/>
    <x v="12"/>
    <n v="17129.5"/>
    <n v="28500"/>
    <n v="0.60103508771929826"/>
  </r>
  <r>
    <n v="2020"/>
    <x v="8"/>
    <n v="5"/>
    <x v="13"/>
    <n v="26562.5"/>
    <n v="28500"/>
    <n v="0.93201754385964908"/>
  </r>
  <r>
    <n v="2020"/>
    <x v="8"/>
    <n v="5"/>
    <x v="14"/>
    <n v="32740.5"/>
    <n v="28500"/>
    <n v="1.1487894736842106"/>
  </r>
  <r>
    <n v="2020"/>
    <x v="8"/>
    <n v="5"/>
    <x v="15"/>
    <n v="7738"/>
    <n v="28500"/>
    <n v="0.27150877192982459"/>
  </r>
  <r>
    <n v="2020"/>
    <x v="8"/>
    <n v="5"/>
    <x v="16"/>
    <n v="10578"/>
    <n v="28500"/>
    <n v="0.37115789473684213"/>
  </r>
  <r>
    <n v="2020"/>
    <x v="8"/>
    <n v="5"/>
    <x v="17"/>
    <n v="5104.5"/>
    <n v="28500"/>
    <n v="0.17910526315789474"/>
  </r>
  <r>
    <n v="2020"/>
    <x v="8"/>
    <n v="5"/>
    <x v="18"/>
    <n v="137"/>
    <n v="28500"/>
    <n v="4.8070175438596494E-3"/>
  </r>
  <r>
    <n v="2020"/>
    <x v="8"/>
    <n v="5"/>
    <x v="19"/>
    <n v="0"/>
    <n v="28500"/>
    <n v="0"/>
  </r>
  <r>
    <n v="2020"/>
    <x v="8"/>
    <n v="5"/>
    <x v="20"/>
    <n v="0"/>
    <n v="28500"/>
    <n v="0"/>
  </r>
  <r>
    <n v="2020"/>
    <x v="8"/>
    <n v="5"/>
    <x v="21"/>
    <n v="0"/>
    <n v="28500"/>
    <n v="0"/>
  </r>
  <r>
    <n v="2020"/>
    <x v="8"/>
    <n v="5"/>
    <x v="22"/>
    <n v="0"/>
    <n v="28500"/>
    <n v="0"/>
  </r>
  <r>
    <n v="2020"/>
    <x v="8"/>
    <n v="5"/>
    <x v="23"/>
    <n v="0"/>
    <n v="28500"/>
    <n v="0"/>
  </r>
  <r>
    <n v="2020"/>
    <x v="8"/>
    <n v="6"/>
    <x v="0"/>
    <n v="0"/>
    <n v="28500"/>
    <n v="0"/>
  </r>
  <r>
    <n v="2020"/>
    <x v="8"/>
    <n v="6"/>
    <x v="1"/>
    <n v="0"/>
    <n v="28500"/>
    <n v="0"/>
  </r>
  <r>
    <n v="2020"/>
    <x v="8"/>
    <n v="6"/>
    <x v="2"/>
    <n v="0"/>
    <n v="28500"/>
    <n v="0"/>
  </r>
  <r>
    <n v="2020"/>
    <x v="8"/>
    <n v="6"/>
    <x v="3"/>
    <n v="0"/>
    <n v="28500"/>
    <n v="0"/>
  </r>
  <r>
    <n v="2020"/>
    <x v="8"/>
    <n v="6"/>
    <x v="4"/>
    <n v="0"/>
    <n v="28500"/>
    <n v="0"/>
  </r>
  <r>
    <n v="2020"/>
    <x v="8"/>
    <n v="6"/>
    <x v="5"/>
    <n v="0"/>
    <n v="28500"/>
    <n v="0"/>
  </r>
  <r>
    <n v="2020"/>
    <x v="8"/>
    <n v="6"/>
    <x v="6"/>
    <n v="1357.5"/>
    <n v="28500"/>
    <n v="4.7631578947368421E-2"/>
  </r>
  <r>
    <n v="2020"/>
    <x v="8"/>
    <n v="6"/>
    <x v="7"/>
    <n v="4496"/>
    <n v="28500"/>
    <n v="0.15775438596491229"/>
  </r>
  <r>
    <n v="2020"/>
    <x v="8"/>
    <n v="6"/>
    <x v="8"/>
    <n v="18731.5"/>
    <n v="28500"/>
    <n v="0.65724561403508774"/>
  </r>
  <r>
    <n v="2020"/>
    <x v="8"/>
    <n v="6"/>
    <x v="9"/>
    <n v="29105.5"/>
    <n v="28500"/>
    <n v="1.0212456140350876"/>
  </r>
  <r>
    <n v="2020"/>
    <x v="8"/>
    <n v="6"/>
    <x v="10"/>
    <n v="34568"/>
    <n v="28500"/>
    <n v="1.2129122807017543"/>
  </r>
  <r>
    <n v="2020"/>
    <x v="8"/>
    <n v="6"/>
    <x v="11"/>
    <n v="33212"/>
    <n v="28500"/>
    <n v="1.1653333333333333"/>
  </r>
  <r>
    <n v="2020"/>
    <x v="8"/>
    <n v="6"/>
    <x v="12"/>
    <n v="11774"/>
    <n v="28500"/>
    <n v="0.41312280701754384"/>
  </r>
  <r>
    <n v="2020"/>
    <x v="8"/>
    <n v="6"/>
    <x v="13"/>
    <n v="17434.5"/>
    <n v="28500"/>
    <n v="0.61173684210526313"/>
  </r>
  <r>
    <n v="2020"/>
    <x v="8"/>
    <n v="6"/>
    <x v="14"/>
    <n v="6655.5"/>
    <n v="28500"/>
    <n v="0.23352631578947369"/>
  </r>
  <r>
    <n v="2020"/>
    <x v="8"/>
    <n v="6"/>
    <x v="15"/>
    <n v="14007"/>
    <n v="28500"/>
    <n v="0.49147368421052634"/>
  </r>
  <r>
    <n v="2020"/>
    <x v="8"/>
    <n v="6"/>
    <x v="16"/>
    <n v="15794"/>
    <n v="28500"/>
    <n v="0.55417543859649121"/>
  </r>
  <r>
    <n v="2020"/>
    <x v="8"/>
    <n v="6"/>
    <x v="17"/>
    <n v="5331"/>
    <n v="28500"/>
    <n v="0.18705263157894736"/>
  </r>
  <r>
    <n v="2020"/>
    <x v="8"/>
    <n v="6"/>
    <x v="18"/>
    <n v="136"/>
    <n v="28500"/>
    <n v="4.7719298245614038E-3"/>
  </r>
  <r>
    <n v="2020"/>
    <x v="8"/>
    <n v="6"/>
    <x v="19"/>
    <n v="0"/>
    <n v="28500"/>
    <n v="0"/>
  </r>
  <r>
    <n v="2020"/>
    <x v="8"/>
    <n v="6"/>
    <x v="20"/>
    <n v="0"/>
    <n v="28500"/>
    <n v="0"/>
  </r>
  <r>
    <n v="2020"/>
    <x v="8"/>
    <n v="6"/>
    <x v="21"/>
    <n v="0"/>
    <n v="28500"/>
    <n v="0"/>
  </r>
  <r>
    <n v="2020"/>
    <x v="8"/>
    <n v="6"/>
    <x v="22"/>
    <n v="0"/>
    <n v="28500"/>
    <n v="0"/>
  </r>
  <r>
    <n v="2020"/>
    <x v="8"/>
    <n v="6"/>
    <x v="23"/>
    <n v="0"/>
    <n v="28500"/>
    <n v="0"/>
  </r>
  <r>
    <n v="2020"/>
    <x v="8"/>
    <n v="7"/>
    <x v="0"/>
    <n v="0"/>
    <n v="28500"/>
    <n v="0"/>
  </r>
  <r>
    <n v="2020"/>
    <x v="8"/>
    <n v="7"/>
    <x v="1"/>
    <n v="0"/>
    <n v="28500"/>
    <n v="0"/>
  </r>
  <r>
    <n v="2020"/>
    <x v="8"/>
    <n v="7"/>
    <x v="2"/>
    <n v="0"/>
    <n v="28500"/>
    <n v="0"/>
  </r>
  <r>
    <n v="2020"/>
    <x v="8"/>
    <n v="7"/>
    <x v="3"/>
    <n v="0"/>
    <n v="28500"/>
    <n v="0"/>
  </r>
  <r>
    <n v="2020"/>
    <x v="8"/>
    <n v="7"/>
    <x v="4"/>
    <n v="0"/>
    <n v="28500"/>
    <n v="0"/>
  </r>
  <r>
    <n v="2020"/>
    <x v="8"/>
    <n v="7"/>
    <x v="5"/>
    <n v="0"/>
    <n v="28500"/>
    <n v="0"/>
  </r>
  <r>
    <n v="2020"/>
    <x v="8"/>
    <n v="7"/>
    <x v="6"/>
    <n v="1298"/>
    <n v="28500"/>
    <n v="4.554385964912281E-2"/>
  </r>
  <r>
    <n v="2020"/>
    <x v="8"/>
    <n v="7"/>
    <x v="7"/>
    <n v="3249"/>
    <n v="28500"/>
    <n v="0.114"/>
  </r>
  <r>
    <n v="2020"/>
    <x v="8"/>
    <n v="7"/>
    <x v="8"/>
    <n v="3879"/>
    <n v="28500"/>
    <n v="0.13610526315789473"/>
  </r>
  <r>
    <n v="2020"/>
    <x v="8"/>
    <n v="7"/>
    <x v="9"/>
    <n v="5377"/>
    <n v="28500"/>
    <n v="0.18866666666666668"/>
  </r>
  <r>
    <n v="2020"/>
    <x v="8"/>
    <n v="7"/>
    <x v="10"/>
    <n v="25749.5"/>
    <n v="28500"/>
    <n v="0.90349122807017546"/>
  </r>
  <r>
    <n v="2020"/>
    <x v="8"/>
    <n v="7"/>
    <x v="11"/>
    <n v="16778.5"/>
    <n v="28500"/>
    <n v="0.58871929824561409"/>
  </r>
  <r>
    <n v="2020"/>
    <x v="8"/>
    <n v="7"/>
    <x v="12"/>
    <n v="11146.5"/>
    <n v="28500"/>
    <n v="0.39110526315789473"/>
  </r>
  <r>
    <n v="2020"/>
    <x v="8"/>
    <n v="7"/>
    <x v="13"/>
    <n v="8102"/>
    <n v="28500"/>
    <n v="0.28428070175438597"/>
  </r>
  <r>
    <n v="2020"/>
    <x v="8"/>
    <n v="7"/>
    <x v="14"/>
    <n v="11753.5"/>
    <n v="28500"/>
    <n v="0.41240350877192983"/>
  </r>
  <r>
    <n v="2020"/>
    <x v="8"/>
    <n v="7"/>
    <x v="15"/>
    <n v="14644"/>
    <n v="28500"/>
    <n v="0.51382456140350874"/>
  </r>
  <r>
    <n v="2020"/>
    <x v="8"/>
    <n v="7"/>
    <x v="16"/>
    <n v="6575.5"/>
    <n v="28500"/>
    <n v="0.23071929824561405"/>
  </r>
  <r>
    <n v="2020"/>
    <x v="8"/>
    <n v="7"/>
    <x v="17"/>
    <n v="4442.5"/>
    <n v="28500"/>
    <n v="0.15587719298245614"/>
  </r>
  <r>
    <n v="2020"/>
    <x v="8"/>
    <n v="7"/>
    <x v="18"/>
    <n v="0"/>
    <n v="28500"/>
    <n v="0"/>
  </r>
  <r>
    <n v="2020"/>
    <x v="8"/>
    <n v="7"/>
    <x v="19"/>
    <n v="0"/>
    <n v="28500"/>
    <n v="0"/>
  </r>
  <r>
    <n v="2020"/>
    <x v="8"/>
    <n v="7"/>
    <x v="20"/>
    <n v="0"/>
    <n v="28500"/>
    <n v="0"/>
  </r>
  <r>
    <n v="2020"/>
    <x v="8"/>
    <n v="7"/>
    <x v="21"/>
    <n v="0"/>
    <n v="28500"/>
    <n v="0"/>
  </r>
  <r>
    <n v="2020"/>
    <x v="8"/>
    <n v="7"/>
    <x v="22"/>
    <n v="0"/>
    <n v="28500"/>
    <n v="0"/>
  </r>
  <r>
    <n v="2020"/>
    <x v="8"/>
    <n v="7"/>
    <x v="23"/>
    <n v="0"/>
    <n v="28500"/>
    <n v="0"/>
  </r>
  <r>
    <n v="2020"/>
    <x v="8"/>
    <n v="8"/>
    <x v="0"/>
    <n v="0"/>
    <n v="28500"/>
    <n v="0"/>
  </r>
  <r>
    <n v="2020"/>
    <x v="8"/>
    <n v="8"/>
    <x v="1"/>
    <n v="0"/>
    <n v="28500"/>
    <n v="0"/>
  </r>
  <r>
    <n v="2020"/>
    <x v="8"/>
    <n v="8"/>
    <x v="2"/>
    <n v="0"/>
    <n v="28500"/>
    <n v="0"/>
  </r>
  <r>
    <n v="2020"/>
    <x v="8"/>
    <n v="8"/>
    <x v="3"/>
    <n v="0"/>
    <n v="28500"/>
    <n v="0"/>
  </r>
  <r>
    <n v="2020"/>
    <x v="8"/>
    <n v="8"/>
    <x v="4"/>
    <n v="0"/>
    <n v="28500"/>
    <n v="0"/>
  </r>
  <r>
    <n v="2020"/>
    <x v="8"/>
    <n v="8"/>
    <x v="5"/>
    <n v="0"/>
    <n v="28500"/>
    <n v="0"/>
  </r>
  <r>
    <n v="2020"/>
    <x v="8"/>
    <n v="8"/>
    <x v="6"/>
    <n v="852.5"/>
    <n v="28500"/>
    <n v="2.9912280701754387E-2"/>
  </r>
  <r>
    <n v="2020"/>
    <x v="8"/>
    <n v="8"/>
    <x v="7"/>
    <n v="2709.5"/>
    <n v="28500"/>
    <n v="9.5070175438596485E-2"/>
  </r>
  <r>
    <n v="2020"/>
    <x v="8"/>
    <n v="8"/>
    <x v="8"/>
    <n v="7957"/>
    <n v="28500"/>
    <n v="0.27919298245614033"/>
  </r>
  <r>
    <n v="2020"/>
    <x v="8"/>
    <n v="8"/>
    <x v="9"/>
    <n v="9871.5"/>
    <n v="28500"/>
    <n v="0.3463684210526316"/>
  </r>
  <r>
    <n v="2020"/>
    <x v="8"/>
    <n v="8"/>
    <x v="10"/>
    <n v="11387"/>
    <n v="28500"/>
    <n v="0.39954385964912281"/>
  </r>
  <r>
    <n v="2020"/>
    <x v="8"/>
    <n v="8"/>
    <x v="11"/>
    <n v="23565.5"/>
    <n v="28500"/>
    <n v="0.82685964912280707"/>
  </r>
  <r>
    <n v="2020"/>
    <x v="8"/>
    <n v="8"/>
    <x v="12"/>
    <n v="21045"/>
    <n v="28500"/>
    <n v="0.73842105263157898"/>
  </r>
  <r>
    <n v="2020"/>
    <x v="8"/>
    <n v="8"/>
    <x v="13"/>
    <n v="23651"/>
    <n v="28500"/>
    <n v="0.82985964912280696"/>
  </r>
  <r>
    <n v="2020"/>
    <x v="8"/>
    <n v="8"/>
    <x v="14"/>
    <n v="12289.5"/>
    <n v="28500"/>
    <n v="0.43121052631578949"/>
  </r>
  <r>
    <n v="2020"/>
    <x v="8"/>
    <n v="8"/>
    <x v="15"/>
    <n v="13496"/>
    <n v="28500"/>
    <n v="0.47354385964912282"/>
  </r>
  <r>
    <n v="2020"/>
    <x v="8"/>
    <n v="8"/>
    <x v="16"/>
    <n v="7234.5"/>
    <n v="28500"/>
    <n v="0.25384210526315787"/>
  </r>
  <r>
    <n v="2020"/>
    <x v="8"/>
    <n v="8"/>
    <x v="17"/>
    <n v="2111"/>
    <n v="28500"/>
    <n v="7.4070175438596494E-2"/>
  </r>
  <r>
    <n v="2020"/>
    <x v="8"/>
    <n v="8"/>
    <x v="18"/>
    <n v="0"/>
    <n v="28500"/>
    <n v="0"/>
  </r>
  <r>
    <n v="2020"/>
    <x v="8"/>
    <n v="8"/>
    <x v="19"/>
    <n v="0"/>
    <n v="28500"/>
    <n v="0"/>
  </r>
  <r>
    <n v="2020"/>
    <x v="8"/>
    <n v="8"/>
    <x v="20"/>
    <n v="0"/>
    <n v="28500"/>
    <n v="0"/>
  </r>
  <r>
    <n v="2020"/>
    <x v="8"/>
    <n v="8"/>
    <x v="21"/>
    <n v="0"/>
    <n v="28500"/>
    <n v="0"/>
  </r>
  <r>
    <n v="2020"/>
    <x v="8"/>
    <n v="8"/>
    <x v="22"/>
    <n v="0"/>
    <n v="28500"/>
    <n v="0"/>
  </r>
  <r>
    <n v="2020"/>
    <x v="8"/>
    <n v="8"/>
    <x v="23"/>
    <n v="0"/>
    <n v="28500"/>
    <n v="0"/>
  </r>
  <r>
    <n v="2020"/>
    <x v="8"/>
    <n v="9"/>
    <x v="0"/>
    <n v="0"/>
    <n v="28500"/>
    <n v="0"/>
  </r>
  <r>
    <n v="2020"/>
    <x v="8"/>
    <n v="9"/>
    <x v="1"/>
    <n v="0"/>
    <n v="28500"/>
    <n v="0"/>
  </r>
  <r>
    <n v="2020"/>
    <x v="8"/>
    <n v="9"/>
    <x v="2"/>
    <n v="0"/>
    <n v="28500"/>
    <n v="0"/>
  </r>
  <r>
    <n v="2020"/>
    <x v="8"/>
    <n v="9"/>
    <x v="3"/>
    <n v="0"/>
    <n v="28500"/>
    <n v="0"/>
  </r>
  <r>
    <n v="2020"/>
    <x v="8"/>
    <n v="9"/>
    <x v="4"/>
    <n v="0"/>
    <n v="28500"/>
    <n v="0"/>
  </r>
  <r>
    <n v="2020"/>
    <x v="8"/>
    <n v="9"/>
    <x v="5"/>
    <n v="0"/>
    <n v="28500"/>
    <n v="0"/>
  </r>
  <r>
    <n v="2020"/>
    <x v="8"/>
    <n v="9"/>
    <x v="6"/>
    <n v="1151.5"/>
    <n v="28500"/>
    <n v="4.0403508771929823E-2"/>
  </r>
  <r>
    <n v="2020"/>
    <x v="8"/>
    <n v="9"/>
    <x v="7"/>
    <n v="8193.5"/>
    <n v="28500"/>
    <n v="0.28749122807017546"/>
  </r>
  <r>
    <n v="2020"/>
    <x v="8"/>
    <n v="9"/>
    <x v="8"/>
    <n v="16655"/>
    <n v="28500"/>
    <n v="0.58438596491228068"/>
  </r>
  <r>
    <n v="2020"/>
    <x v="8"/>
    <n v="9"/>
    <x v="9"/>
    <n v="15217"/>
    <n v="28500"/>
    <n v="0.53392982456140348"/>
  </r>
  <r>
    <n v="2020"/>
    <x v="8"/>
    <n v="9"/>
    <x v="10"/>
    <n v="23231.5"/>
    <n v="28500"/>
    <n v="0.81514035087719294"/>
  </r>
  <r>
    <n v="2020"/>
    <x v="8"/>
    <n v="9"/>
    <x v="11"/>
    <n v="17086"/>
    <n v="28500"/>
    <n v="0.59950877192982455"/>
  </r>
  <r>
    <n v="2020"/>
    <x v="8"/>
    <n v="9"/>
    <x v="12"/>
    <n v="6136.5"/>
    <n v="28500"/>
    <n v="0.21531578947368421"/>
  </r>
  <r>
    <n v="2020"/>
    <x v="8"/>
    <n v="9"/>
    <x v="13"/>
    <n v="11298.5"/>
    <n v="28500"/>
    <n v="0.39643859649122809"/>
  </r>
  <r>
    <n v="2020"/>
    <x v="8"/>
    <n v="9"/>
    <x v="14"/>
    <n v="17140"/>
    <n v="28500"/>
    <n v="0.60140350877192983"/>
  </r>
  <r>
    <n v="2020"/>
    <x v="8"/>
    <n v="9"/>
    <x v="15"/>
    <n v="7498.5"/>
    <n v="28500"/>
    <n v="0.26310526315789473"/>
  </r>
  <r>
    <n v="2020"/>
    <x v="8"/>
    <n v="9"/>
    <x v="16"/>
    <n v="4138.5"/>
    <n v="28500"/>
    <n v="0.14521052631578948"/>
  </r>
  <r>
    <n v="2020"/>
    <x v="8"/>
    <n v="9"/>
    <x v="17"/>
    <n v="1640"/>
    <n v="28500"/>
    <n v="5.7543859649122807E-2"/>
  </r>
  <r>
    <n v="2020"/>
    <x v="8"/>
    <n v="9"/>
    <x v="18"/>
    <n v="0"/>
    <n v="28500"/>
    <n v="0"/>
  </r>
  <r>
    <n v="2020"/>
    <x v="8"/>
    <n v="9"/>
    <x v="19"/>
    <n v="0"/>
    <n v="28500"/>
    <n v="0"/>
  </r>
  <r>
    <n v="2020"/>
    <x v="8"/>
    <n v="9"/>
    <x v="20"/>
    <n v="0"/>
    <n v="28500"/>
    <n v="0"/>
  </r>
  <r>
    <n v="2020"/>
    <x v="8"/>
    <n v="9"/>
    <x v="21"/>
    <n v="0"/>
    <n v="28500"/>
    <n v="0"/>
  </r>
  <r>
    <n v="2020"/>
    <x v="8"/>
    <n v="9"/>
    <x v="22"/>
    <n v="0"/>
    <n v="28500"/>
    <n v="0"/>
  </r>
  <r>
    <n v="2020"/>
    <x v="8"/>
    <n v="9"/>
    <x v="23"/>
    <n v="0"/>
    <n v="28500"/>
    <n v="0"/>
  </r>
  <r>
    <n v="2020"/>
    <x v="8"/>
    <n v="10"/>
    <x v="0"/>
    <n v="0"/>
    <n v="28500"/>
    <n v="0"/>
  </r>
  <r>
    <n v="2020"/>
    <x v="8"/>
    <n v="10"/>
    <x v="1"/>
    <n v="0"/>
    <n v="28500"/>
    <n v="0"/>
  </r>
  <r>
    <n v="2020"/>
    <x v="8"/>
    <n v="10"/>
    <x v="2"/>
    <n v="0"/>
    <n v="28500"/>
    <n v="0"/>
  </r>
  <r>
    <n v="2020"/>
    <x v="8"/>
    <n v="10"/>
    <x v="3"/>
    <n v="0"/>
    <n v="28500"/>
    <n v="0"/>
  </r>
  <r>
    <n v="2020"/>
    <x v="8"/>
    <n v="10"/>
    <x v="4"/>
    <n v="0"/>
    <n v="28500"/>
    <n v="0"/>
  </r>
  <r>
    <n v="2020"/>
    <x v="8"/>
    <n v="10"/>
    <x v="5"/>
    <n v="0"/>
    <n v="28500"/>
    <n v="0"/>
  </r>
  <r>
    <n v="2020"/>
    <x v="8"/>
    <n v="10"/>
    <x v="6"/>
    <n v="1173.5"/>
    <n v="28500"/>
    <n v="4.1175438596491226E-2"/>
  </r>
  <r>
    <n v="2020"/>
    <x v="8"/>
    <n v="10"/>
    <x v="7"/>
    <n v="10008"/>
    <n v="28500"/>
    <n v="0.35115789473684211"/>
  </r>
  <r>
    <n v="2020"/>
    <x v="8"/>
    <n v="10"/>
    <x v="8"/>
    <n v="20225"/>
    <n v="28500"/>
    <n v="0.70964912280701753"/>
  </r>
  <r>
    <n v="2020"/>
    <x v="8"/>
    <n v="10"/>
    <x v="9"/>
    <n v="28327.5"/>
    <n v="28500"/>
    <n v="0.99394736842105258"/>
  </r>
  <r>
    <n v="2020"/>
    <x v="8"/>
    <n v="10"/>
    <x v="10"/>
    <n v="23813.5"/>
    <n v="28500"/>
    <n v="0.83556140350877195"/>
  </r>
  <r>
    <n v="2020"/>
    <x v="8"/>
    <n v="10"/>
    <x v="11"/>
    <n v="27205"/>
    <n v="28500"/>
    <n v="0.95456140350877194"/>
  </r>
  <r>
    <n v="2020"/>
    <x v="8"/>
    <n v="10"/>
    <x v="12"/>
    <n v="34420.5"/>
    <n v="28500"/>
    <n v="1.2077368421052632"/>
  </r>
  <r>
    <n v="2020"/>
    <x v="8"/>
    <n v="10"/>
    <x v="13"/>
    <n v="25310"/>
    <n v="28500"/>
    <n v="0.88807017543859645"/>
  </r>
  <r>
    <n v="2020"/>
    <x v="8"/>
    <n v="10"/>
    <x v="14"/>
    <n v="18643.5"/>
    <n v="28500"/>
    <n v="0.65415789473684216"/>
  </r>
  <r>
    <n v="2020"/>
    <x v="8"/>
    <n v="10"/>
    <x v="15"/>
    <n v="19070.5"/>
    <n v="28500"/>
    <n v="0.66914035087719304"/>
  </r>
  <r>
    <n v="2020"/>
    <x v="8"/>
    <n v="10"/>
    <x v="16"/>
    <n v="9966.5"/>
    <n v="28500"/>
    <n v="0.3497017543859649"/>
  </r>
  <r>
    <n v="2020"/>
    <x v="8"/>
    <n v="10"/>
    <x v="17"/>
    <n v="3637.5"/>
    <n v="28500"/>
    <n v="0.12763157894736843"/>
  </r>
  <r>
    <n v="2020"/>
    <x v="8"/>
    <n v="10"/>
    <x v="18"/>
    <n v="0"/>
    <n v="28500"/>
    <n v="0"/>
  </r>
  <r>
    <n v="2020"/>
    <x v="8"/>
    <n v="10"/>
    <x v="19"/>
    <n v="0"/>
    <n v="28500"/>
    <n v="0"/>
  </r>
  <r>
    <n v="2020"/>
    <x v="8"/>
    <n v="10"/>
    <x v="20"/>
    <n v="0"/>
    <n v="28500"/>
    <n v="0"/>
  </r>
  <r>
    <n v="2020"/>
    <x v="8"/>
    <n v="10"/>
    <x v="21"/>
    <n v="0"/>
    <n v="28500"/>
    <n v="0"/>
  </r>
  <r>
    <n v="2020"/>
    <x v="8"/>
    <n v="10"/>
    <x v="22"/>
    <n v="0"/>
    <n v="28500"/>
    <n v="0"/>
  </r>
  <r>
    <n v="2020"/>
    <x v="8"/>
    <n v="10"/>
    <x v="23"/>
    <n v="0"/>
    <n v="28500"/>
    <n v="0"/>
  </r>
  <r>
    <n v="2020"/>
    <x v="8"/>
    <n v="11"/>
    <x v="0"/>
    <n v="0"/>
    <n v="28500"/>
    <n v="0"/>
  </r>
  <r>
    <n v="2020"/>
    <x v="8"/>
    <n v="11"/>
    <x v="1"/>
    <n v="0"/>
    <n v="28500"/>
    <n v="0"/>
  </r>
  <r>
    <n v="2020"/>
    <x v="8"/>
    <n v="11"/>
    <x v="2"/>
    <n v="0"/>
    <n v="28500"/>
    <n v="0"/>
  </r>
  <r>
    <n v="2020"/>
    <x v="8"/>
    <n v="11"/>
    <x v="3"/>
    <n v="0"/>
    <n v="28500"/>
    <n v="0"/>
  </r>
  <r>
    <n v="2020"/>
    <x v="8"/>
    <n v="11"/>
    <x v="4"/>
    <n v="0"/>
    <n v="28500"/>
    <n v="0"/>
  </r>
  <r>
    <n v="2020"/>
    <x v="8"/>
    <n v="11"/>
    <x v="5"/>
    <n v="0"/>
    <n v="28500"/>
    <n v="0"/>
  </r>
  <r>
    <n v="2020"/>
    <x v="8"/>
    <n v="11"/>
    <x v="6"/>
    <n v="841.5"/>
    <n v="28500"/>
    <n v="2.9526315789473685E-2"/>
  </r>
  <r>
    <n v="2020"/>
    <x v="8"/>
    <n v="11"/>
    <x v="7"/>
    <n v="5350"/>
    <n v="28500"/>
    <n v="0.18771929824561404"/>
  </r>
  <r>
    <n v="2020"/>
    <x v="8"/>
    <n v="11"/>
    <x v="8"/>
    <n v="11042.5"/>
    <n v="28500"/>
    <n v="0.38745614035087722"/>
  </r>
  <r>
    <n v="2020"/>
    <x v="8"/>
    <n v="11"/>
    <x v="9"/>
    <n v="14109.5"/>
    <n v="28500"/>
    <n v="0.49507017543859649"/>
  </r>
  <r>
    <n v="2020"/>
    <x v="8"/>
    <n v="11"/>
    <x v="10"/>
    <n v="18761"/>
    <n v="28500"/>
    <n v="0.65828070175438591"/>
  </r>
  <r>
    <n v="2020"/>
    <x v="8"/>
    <n v="11"/>
    <x v="11"/>
    <n v="30972"/>
    <n v="28500"/>
    <n v="1.0867368421052632"/>
  </r>
  <r>
    <n v="2020"/>
    <x v="8"/>
    <n v="11"/>
    <x v="12"/>
    <n v="38272"/>
    <n v="28500"/>
    <n v="1.3428771929824561"/>
  </r>
  <r>
    <n v="2020"/>
    <x v="8"/>
    <n v="11"/>
    <x v="13"/>
    <n v="32317.5"/>
    <n v="28500"/>
    <n v="1.1339473684210526"/>
  </r>
  <r>
    <n v="2020"/>
    <x v="8"/>
    <n v="11"/>
    <x v="14"/>
    <n v="30663.5"/>
    <n v="28500"/>
    <n v="1.0759122807017545"/>
  </r>
  <r>
    <n v="2020"/>
    <x v="8"/>
    <n v="11"/>
    <x v="15"/>
    <n v="22041"/>
    <n v="28500"/>
    <n v="0.77336842105263159"/>
  </r>
  <r>
    <n v="2020"/>
    <x v="8"/>
    <n v="11"/>
    <x v="16"/>
    <n v="13593"/>
    <n v="28500"/>
    <n v="0.47694736842105262"/>
  </r>
  <r>
    <n v="2020"/>
    <x v="8"/>
    <n v="11"/>
    <x v="17"/>
    <n v="4014.5"/>
    <n v="28500"/>
    <n v="0.14085964912280702"/>
  </r>
  <r>
    <n v="2020"/>
    <x v="8"/>
    <n v="11"/>
    <x v="18"/>
    <n v="0"/>
    <n v="28500"/>
    <n v="0"/>
  </r>
  <r>
    <n v="2020"/>
    <x v="8"/>
    <n v="11"/>
    <x v="19"/>
    <n v="0"/>
    <n v="28500"/>
    <n v="0"/>
  </r>
  <r>
    <n v="2020"/>
    <x v="8"/>
    <n v="11"/>
    <x v="20"/>
    <n v="0"/>
    <n v="28500"/>
    <n v="0"/>
  </r>
  <r>
    <n v="2020"/>
    <x v="8"/>
    <n v="11"/>
    <x v="21"/>
    <n v="0"/>
    <n v="28500"/>
    <n v="0"/>
  </r>
  <r>
    <n v="2020"/>
    <x v="8"/>
    <n v="11"/>
    <x v="22"/>
    <n v="0"/>
    <n v="28500"/>
    <n v="0"/>
  </r>
  <r>
    <n v="2020"/>
    <x v="8"/>
    <n v="11"/>
    <x v="23"/>
    <n v="0"/>
    <n v="28500"/>
    <n v="0"/>
  </r>
  <r>
    <n v="2020"/>
    <x v="8"/>
    <n v="12"/>
    <x v="0"/>
    <n v="0"/>
    <n v="28500"/>
    <n v="0"/>
  </r>
  <r>
    <n v="2020"/>
    <x v="8"/>
    <n v="12"/>
    <x v="1"/>
    <n v="0"/>
    <n v="28500"/>
    <n v="0"/>
  </r>
  <r>
    <n v="2020"/>
    <x v="8"/>
    <n v="12"/>
    <x v="2"/>
    <n v="0"/>
    <n v="28500"/>
    <n v="0"/>
  </r>
  <r>
    <n v="2020"/>
    <x v="8"/>
    <n v="12"/>
    <x v="3"/>
    <n v="0"/>
    <n v="28500"/>
    <n v="0"/>
  </r>
  <r>
    <n v="2020"/>
    <x v="8"/>
    <n v="12"/>
    <x v="4"/>
    <n v="0"/>
    <n v="28500"/>
    <n v="0"/>
  </r>
  <r>
    <n v="2020"/>
    <x v="8"/>
    <n v="12"/>
    <x v="5"/>
    <n v="0"/>
    <n v="28500"/>
    <n v="0"/>
  </r>
  <r>
    <n v="2020"/>
    <x v="8"/>
    <n v="12"/>
    <x v="6"/>
    <n v="937"/>
    <n v="28500"/>
    <n v="3.2877192982456144E-2"/>
  </r>
  <r>
    <n v="2020"/>
    <x v="8"/>
    <n v="12"/>
    <x v="7"/>
    <n v="8743"/>
    <n v="28500"/>
    <n v="0.30677192982456142"/>
  </r>
  <r>
    <n v="2020"/>
    <x v="8"/>
    <n v="12"/>
    <x v="8"/>
    <n v="19590"/>
    <n v="28500"/>
    <n v="0.68736842105263163"/>
  </r>
  <r>
    <n v="2020"/>
    <x v="8"/>
    <n v="12"/>
    <x v="9"/>
    <n v="10411.5"/>
    <n v="28500"/>
    <n v="0.3653157894736842"/>
  </r>
  <r>
    <n v="2020"/>
    <x v="8"/>
    <n v="12"/>
    <x v="10"/>
    <n v="15585"/>
    <n v="28500"/>
    <n v="0.54684210526315791"/>
  </r>
  <r>
    <n v="2020"/>
    <x v="8"/>
    <n v="12"/>
    <x v="11"/>
    <n v="21313"/>
    <n v="28500"/>
    <n v="0.74782456140350873"/>
  </r>
  <r>
    <n v="2020"/>
    <x v="8"/>
    <n v="12"/>
    <x v="12"/>
    <n v="28253.5"/>
    <n v="28500"/>
    <n v="0.99135087719298243"/>
  </r>
  <r>
    <n v="2020"/>
    <x v="8"/>
    <n v="12"/>
    <x v="13"/>
    <n v="22700"/>
    <n v="28500"/>
    <n v="0.79649122807017547"/>
  </r>
  <r>
    <n v="2020"/>
    <x v="8"/>
    <n v="12"/>
    <x v="14"/>
    <n v="25833.5"/>
    <n v="28500"/>
    <n v="0.90643859649122804"/>
  </r>
  <r>
    <n v="2020"/>
    <x v="8"/>
    <n v="12"/>
    <x v="15"/>
    <n v="23390.5"/>
    <n v="28500"/>
    <n v="0.82071929824561407"/>
  </r>
  <r>
    <n v="2020"/>
    <x v="8"/>
    <n v="12"/>
    <x v="16"/>
    <n v="12856.5"/>
    <n v="28500"/>
    <n v="0.45110526315789473"/>
  </r>
  <r>
    <n v="2020"/>
    <x v="8"/>
    <n v="12"/>
    <x v="17"/>
    <n v="3528"/>
    <n v="28500"/>
    <n v="0.12378947368421053"/>
  </r>
  <r>
    <n v="2020"/>
    <x v="8"/>
    <n v="12"/>
    <x v="18"/>
    <n v="0"/>
    <n v="28500"/>
    <n v="0"/>
  </r>
  <r>
    <n v="2020"/>
    <x v="8"/>
    <n v="12"/>
    <x v="19"/>
    <n v="0"/>
    <n v="28500"/>
    <n v="0"/>
  </r>
  <r>
    <n v="2020"/>
    <x v="8"/>
    <n v="12"/>
    <x v="20"/>
    <n v="0"/>
    <n v="28500"/>
    <n v="0"/>
  </r>
  <r>
    <n v="2020"/>
    <x v="8"/>
    <n v="12"/>
    <x v="21"/>
    <n v="0"/>
    <n v="28500"/>
    <n v="0"/>
  </r>
  <r>
    <n v="2020"/>
    <x v="8"/>
    <n v="12"/>
    <x v="22"/>
    <n v="0"/>
    <n v="28500"/>
    <n v="0"/>
  </r>
  <r>
    <n v="2020"/>
    <x v="8"/>
    <n v="12"/>
    <x v="23"/>
    <n v="0"/>
    <n v="28500"/>
    <n v="0"/>
  </r>
  <r>
    <n v="2020"/>
    <x v="8"/>
    <n v="13"/>
    <x v="0"/>
    <n v="0"/>
    <n v="28500"/>
    <n v="0"/>
  </r>
  <r>
    <n v="2020"/>
    <x v="8"/>
    <n v="13"/>
    <x v="1"/>
    <n v="0"/>
    <n v="28500"/>
    <n v="0"/>
  </r>
  <r>
    <n v="2020"/>
    <x v="8"/>
    <n v="13"/>
    <x v="2"/>
    <n v="0"/>
    <n v="28500"/>
    <n v="0"/>
  </r>
  <r>
    <n v="2020"/>
    <x v="8"/>
    <n v="13"/>
    <x v="3"/>
    <n v="0"/>
    <n v="28500"/>
    <n v="0"/>
  </r>
  <r>
    <n v="2020"/>
    <x v="8"/>
    <n v="13"/>
    <x v="4"/>
    <n v="0"/>
    <n v="28500"/>
    <n v="0"/>
  </r>
  <r>
    <n v="2020"/>
    <x v="8"/>
    <n v="13"/>
    <x v="5"/>
    <n v="0"/>
    <n v="28500"/>
    <n v="0"/>
  </r>
  <r>
    <n v="2020"/>
    <x v="8"/>
    <n v="13"/>
    <x v="6"/>
    <n v="800"/>
    <n v="28500"/>
    <n v="2.8070175438596492E-2"/>
  </r>
  <r>
    <n v="2020"/>
    <x v="8"/>
    <n v="13"/>
    <x v="7"/>
    <n v="8765"/>
    <n v="28500"/>
    <n v="0.30754385964912279"/>
  </r>
  <r>
    <n v="2020"/>
    <x v="8"/>
    <n v="13"/>
    <x v="8"/>
    <n v="19465.5"/>
    <n v="28500"/>
    <n v="0.68300000000000005"/>
  </r>
  <r>
    <n v="2020"/>
    <x v="8"/>
    <n v="13"/>
    <x v="9"/>
    <n v="28145"/>
    <n v="28500"/>
    <n v="0.98754385964912283"/>
  </r>
  <r>
    <n v="2020"/>
    <x v="8"/>
    <n v="13"/>
    <x v="10"/>
    <n v="35985.5"/>
    <n v="28500"/>
    <n v="1.2626491228070176"/>
  </r>
  <r>
    <n v="2020"/>
    <x v="8"/>
    <n v="13"/>
    <x v="11"/>
    <n v="38325"/>
    <n v="28500"/>
    <n v="1.3447368421052632"/>
  </r>
  <r>
    <n v="2020"/>
    <x v="8"/>
    <n v="13"/>
    <x v="12"/>
    <n v="40474.5"/>
    <n v="28500"/>
    <n v="1.4201578947368421"/>
  </r>
  <r>
    <n v="2020"/>
    <x v="8"/>
    <n v="13"/>
    <x v="13"/>
    <n v="35254.5"/>
    <n v="28500"/>
    <n v="1.2370000000000001"/>
  </r>
  <r>
    <n v="2020"/>
    <x v="8"/>
    <n v="13"/>
    <x v="14"/>
    <n v="31140.5"/>
    <n v="28500"/>
    <n v="1.0926491228070176"/>
  </r>
  <r>
    <n v="2020"/>
    <x v="8"/>
    <n v="13"/>
    <x v="15"/>
    <n v="25028"/>
    <n v="28500"/>
    <n v="0.87817543859649128"/>
  </r>
  <r>
    <n v="2020"/>
    <x v="8"/>
    <n v="13"/>
    <x v="16"/>
    <n v="14463.5"/>
    <n v="28500"/>
    <n v="0.50749122807017544"/>
  </r>
  <r>
    <n v="2020"/>
    <x v="8"/>
    <n v="13"/>
    <x v="17"/>
    <n v="3721"/>
    <n v="28500"/>
    <n v="0.13056140350877193"/>
  </r>
  <r>
    <n v="2020"/>
    <x v="8"/>
    <n v="13"/>
    <x v="18"/>
    <n v="0"/>
    <n v="28500"/>
    <n v="0"/>
  </r>
  <r>
    <n v="2020"/>
    <x v="8"/>
    <n v="13"/>
    <x v="19"/>
    <n v="0"/>
    <n v="28500"/>
    <n v="0"/>
  </r>
  <r>
    <n v="2020"/>
    <x v="8"/>
    <n v="13"/>
    <x v="20"/>
    <n v="0"/>
    <n v="28500"/>
    <n v="0"/>
  </r>
  <r>
    <n v="2020"/>
    <x v="8"/>
    <n v="13"/>
    <x v="21"/>
    <n v="0"/>
    <n v="28500"/>
    <n v="0"/>
  </r>
  <r>
    <n v="2020"/>
    <x v="8"/>
    <n v="13"/>
    <x v="22"/>
    <n v="0"/>
    <n v="28500"/>
    <n v="0"/>
  </r>
  <r>
    <n v="2020"/>
    <x v="8"/>
    <n v="13"/>
    <x v="23"/>
    <n v="0"/>
    <n v="28500"/>
    <n v="0"/>
  </r>
  <r>
    <n v="2020"/>
    <x v="8"/>
    <n v="14"/>
    <x v="0"/>
    <n v="0"/>
    <n v="28500"/>
    <n v="0"/>
  </r>
  <r>
    <n v="2020"/>
    <x v="8"/>
    <n v="14"/>
    <x v="1"/>
    <n v="0"/>
    <n v="28500"/>
    <n v="0"/>
  </r>
  <r>
    <n v="2020"/>
    <x v="8"/>
    <n v="14"/>
    <x v="2"/>
    <n v="0"/>
    <n v="28500"/>
    <n v="0"/>
  </r>
  <r>
    <n v="2020"/>
    <x v="8"/>
    <n v="14"/>
    <x v="3"/>
    <n v="0"/>
    <n v="28500"/>
    <n v="0"/>
  </r>
  <r>
    <n v="2020"/>
    <x v="8"/>
    <n v="14"/>
    <x v="4"/>
    <n v="0"/>
    <n v="28500"/>
    <n v="0"/>
  </r>
  <r>
    <n v="2020"/>
    <x v="8"/>
    <n v="14"/>
    <x v="5"/>
    <n v="0"/>
    <n v="28500"/>
    <n v="0"/>
  </r>
  <r>
    <n v="2020"/>
    <x v="8"/>
    <n v="14"/>
    <x v="6"/>
    <n v="687.5"/>
    <n v="28500"/>
    <n v="2.4122807017543858E-2"/>
  </r>
  <r>
    <n v="2020"/>
    <x v="8"/>
    <n v="14"/>
    <x v="7"/>
    <n v="8530.5"/>
    <n v="28500"/>
    <n v="0.2993157894736842"/>
  </r>
  <r>
    <n v="2020"/>
    <x v="8"/>
    <n v="14"/>
    <x v="8"/>
    <n v="19156.5"/>
    <n v="28500"/>
    <n v="0.67215789473684207"/>
  </r>
  <r>
    <n v="2020"/>
    <x v="8"/>
    <n v="14"/>
    <x v="9"/>
    <n v="27621"/>
    <n v="28500"/>
    <n v="0.96915789473684211"/>
  </r>
  <r>
    <n v="2020"/>
    <x v="8"/>
    <n v="14"/>
    <x v="10"/>
    <n v="34793"/>
    <n v="28500"/>
    <n v="1.2208070175438597"/>
  </r>
  <r>
    <n v="2020"/>
    <x v="8"/>
    <n v="14"/>
    <x v="11"/>
    <n v="36963.5"/>
    <n v="28500"/>
    <n v="1.2969649122807017"/>
  </r>
  <r>
    <n v="2020"/>
    <x v="8"/>
    <n v="14"/>
    <x v="12"/>
    <n v="38237"/>
    <n v="28500"/>
    <n v="1.3416491228070175"/>
  </r>
  <r>
    <n v="2020"/>
    <x v="8"/>
    <n v="14"/>
    <x v="13"/>
    <n v="34607.5"/>
    <n v="28500"/>
    <n v="1.214298245614035"/>
  </r>
  <r>
    <n v="2020"/>
    <x v="8"/>
    <n v="14"/>
    <x v="14"/>
    <n v="30404.5"/>
    <n v="28500"/>
    <n v="1.0668245614035088"/>
  </r>
  <r>
    <n v="2020"/>
    <x v="8"/>
    <n v="14"/>
    <x v="15"/>
    <n v="23755"/>
    <n v="28500"/>
    <n v="0.83350877192982453"/>
  </r>
  <r>
    <n v="2020"/>
    <x v="8"/>
    <n v="14"/>
    <x v="16"/>
    <n v="14212.5"/>
    <n v="28500"/>
    <n v="0.49868421052631579"/>
  </r>
  <r>
    <n v="2020"/>
    <x v="8"/>
    <n v="14"/>
    <x v="17"/>
    <n v="3793.5"/>
    <n v="28500"/>
    <n v="0.13310526315789473"/>
  </r>
  <r>
    <n v="2020"/>
    <x v="8"/>
    <n v="14"/>
    <x v="18"/>
    <n v="0"/>
    <n v="28500"/>
    <n v="0"/>
  </r>
  <r>
    <n v="2020"/>
    <x v="8"/>
    <n v="14"/>
    <x v="19"/>
    <n v="0"/>
    <n v="28500"/>
    <n v="0"/>
  </r>
  <r>
    <n v="2020"/>
    <x v="8"/>
    <n v="14"/>
    <x v="20"/>
    <n v="0"/>
    <n v="28500"/>
    <n v="0"/>
  </r>
  <r>
    <n v="2020"/>
    <x v="8"/>
    <n v="14"/>
    <x v="21"/>
    <n v="0"/>
    <n v="28500"/>
    <n v="0"/>
  </r>
  <r>
    <n v="2020"/>
    <x v="8"/>
    <n v="14"/>
    <x v="22"/>
    <n v="0"/>
    <n v="28500"/>
    <n v="0"/>
  </r>
  <r>
    <n v="2020"/>
    <x v="8"/>
    <n v="14"/>
    <x v="23"/>
    <n v="0"/>
    <n v="28500"/>
    <n v="0"/>
  </r>
  <r>
    <n v="2020"/>
    <x v="8"/>
    <n v="15"/>
    <x v="0"/>
    <n v="0"/>
    <n v="28500"/>
    <n v="0"/>
  </r>
  <r>
    <n v="2020"/>
    <x v="8"/>
    <n v="15"/>
    <x v="1"/>
    <n v="0"/>
    <n v="28500"/>
    <n v="0"/>
  </r>
  <r>
    <n v="2020"/>
    <x v="8"/>
    <n v="15"/>
    <x v="2"/>
    <n v="0"/>
    <n v="28500"/>
    <n v="0"/>
  </r>
  <r>
    <n v="2020"/>
    <x v="8"/>
    <n v="15"/>
    <x v="3"/>
    <n v="0"/>
    <n v="28500"/>
    <n v="0"/>
  </r>
  <r>
    <n v="2020"/>
    <x v="8"/>
    <n v="15"/>
    <x v="4"/>
    <n v="0"/>
    <n v="28500"/>
    <n v="0"/>
  </r>
  <r>
    <n v="2020"/>
    <x v="8"/>
    <n v="15"/>
    <x v="5"/>
    <n v="0"/>
    <n v="28500"/>
    <n v="0"/>
  </r>
  <r>
    <n v="2020"/>
    <x v="8"/>
    <n v="15"/>
    <x v="6"/>
    <n v="532"/>
    <n v="28500"/>
    <n v="1.8666666666666668E-2"/>
  </r>
  <r>
    <n v="2020"/>
    <x v="8"/>
    <n v="15"/>
    <x v="7"/>
    <n v="6541"/>
    <n v="28500"/>
    <n v="0.22950877192982455"/>
  </r>
  <r>
    <n v="2020"/>
    <x v="8"/>
    <n v="15"/>
    <x v="8"/>
    <n v="14965.5"/>
    <n v="28500"/>
    <n v="0.52510526315789474"/>
  </r>
  <r>
    <n v="2020"/>
    <x v="8"/>
    <n v="15"/>
    <x v="9"/>
    <n v="26178"/>
    <n v="28500"/>
    <n v="0.91852631578947364"/>
  </r>
  <r>
    <n v="2020"/>
    <x v="8"/>
    <n v="15"/>
    <x v="10"/>
    <n v="32205.5"/>
    <n v="28500"/>
    <n v="1.1300175438596491"/>
  </r>
  <r>
    <n v="2020"/>
    <x v="8"/>
    <n v="15"/>
    <x v="11"/>
    <n v="34769"/>
    <n v="28500"/>
    <n v="1.2199649122807017"/>
  </r>
  <r>
    <n v="2020"/>
    <x v="8"/>
    <n v="15"/>
    <x v="12"/>
    <n v="22114"/>
    <n v="28500"/>
    <n v="0.77592982456140347"/>
  </r>
  <r>
    <n v="2020"/>
    <x v="8"/>
    <n v="15"/>
    <x v="13"/>
    <n v="31858"/>
    <n v="28500"/>
    <n v="1.1178245614035087"/>
  </r>
  <r>
    <n v="2020"/>
    <x v="8"/>
    <n v="15"/>
    <x v="14"/>
    <n v="26608"/>
    <n v="28500"/>
    <n v="0.93361403508771934"/>
  </r>
  <r>
    <n v="2020"/>
    <x v="8"/>
    <n v="15"/>
    <x v="15"/>
    <n v="14773.5"/>
    <n v="28500"/>
    <n v="0.51836842105263159"/>
  </r>
  <r>
    <n v="2020"/>
    <x v="8"/>
    <n v="15"/>
    <x v="16"/>
    <n v="13597.5"/>
    <n v="28500"/>
    <n v="0.47710526315789475"/>
  </r>
  <r>
    <n v="2020"/>
    <x v="8"/>
    <n v="15"/>
    <x v="17"/>
    <n v="3083.5"/>
    <n v="28500"/>
    <n v="0.10819298245614035"/>
  </r>
  <r>
    <n v="2020"/>
    <x v="8"/>
    <n v="15"/>
    <x v="18"/>
    <n v="0"/>
    <n v="28500"/>
    <n v="0"/>
  </r>
  <r>
    <n v="2020"/>
    <x v="8"/>
    <n v="15"/>
    <x v="19"/>
    <n v="0"/>
    <n v="28500"/>
    <n v="0"/>
  </r>
  <r>
    <n v="2020"/>
    <x v="8"/>
    <n v="15"/>
    <x v="20"/>
    <n v="0"/>
    <n v="28500"/>
    <n v="0"/>
  </r>
  <r>
    <n v="2020"/>
    <x v="8"/>
    <n v="15"/>
    <x v="21"/>
    <n v="0"/>
    <n v="28500"/>
    <n v="0"/>
  </r>
  <r>
    <n v="2020"/>
    <x v="8"/>
    <n v="15"/>
    <x v="22"/>
    <n v="0"/>
    <n v="28500"/>
    <n v="0"/>
  </r>
  <r>
    <n v="2020"/>
    <x v="8"/>
    <n v="15"/>
    <x v="23"/>
    <n v="0"/>
    <n v="28500"/>
    <n v="0"/>
  </r>
  <r>
    <n v="2020"/>
    <x v="8"/>
    <n v="16"/>
    <x v="0"/>
    <n v="0"/>
    <n v="28500"/>
    <n v="0"/>
  </r>
  <r>
    <n v="2020"/>
    <x v="8"/>
    <n v="16"/>
    <x v="1"/>
    <n v="0"/>
    <n v="28500"/>
    <n v="0"/>
  </r>
  <r>
    <n v="2020"/>
    <x v="8"/>
    <n v="16"/>
    <x v="2"/>
    <n v="0"/>
    <n v="28500"/>
    <n v="0"/>
  </r>
  <r>
    <n v="2020"/>
    <x v="8"/>
    <n v="16"/>
    <x v="3"/>
    <n v="0"/>
    <n v="28500"/>
    <n v="0"/>
  </r>
  <r>
    <n v="2020"/>
    <x v="8"/>
    <n v="16"/>
    <x v="4"/>
    <n v="0"/>
    <n v="28500"/>
    <n v="0"/>
  </r>
  <r>
    <n v="2020"/>
    <x v="8"/>
    <n v="16"/>
    <x v="5"/>
    <n v="0"/>
    <n v="28500"/>
    <n v="0"/>
  </r>
  <r>
    <n v="2020"/>
    <x v="8"/>
    <n v="16"/>
    <x v="6"/>
    <n v="426"/>
    <n v="28500"/>
    <n v="1.4947368421052631E-2"/>
  </r>
  <r>
    <n v="2020"/>
    <x v="8"/>
    <n v="16"/>
    <x v="7"/>
    <n v="2780.5"/>
    <n v="28500"/>
    <n v="9.7561403508771932E-2"/>
  </r>
  <r>
    <n v="2020"/>
    <x v="8"/>
    <n v="16"/>
    <x v="8"/>
    <n v="6326"/>
    <n v="28500"/>
    <n v="0.22196491228070175"/>
  </r>
  <r>
    <n v="2020"/>
    <x v="8"/>
    <n v="16"/>
    <x v="9"/>
    <n v="7042.5"/>
    <n v="28500"/>
    <n v="0.24710526315789474"/>
  </r>
  <r>
    <n v="2020"/>
    <x v="8"/>
    <n v="16"/>
    <x v="10"/>
    <n v="9693.5"/>
    <n v="28500"/>
    <n v="0.34012280701754388"/>
  </r>
  <r>
    <n v="2020"/>
    <x v="8"/>
    <n v="16"/>
    <x v="11"/>
    <n v="6839"/>
    <n v="28500"/>
    <n v="0.23996491228070174"/>
  </r>
  <r>
    <n v="2020"/>
    <x v="8"/>
    <n v="16"/>
    <x v="12"/>
    <n v="9986"/>
    <n v="28500"/>
    <n v="0.35038596491228069"/>
  </r>
  <r>
    <n v="2020"/>
    <x v="8"/>
    <n v="16"/>
    <x v="13"/>
    <n v="28744.5"/>
    <n v="28500"/>
    <n v="1.008578947368421"/>
  </r>
  <r>
    <n v="2020"/>
    <x v="8"/>
    <n v="16"/>
    <x v="14"/>
    <n v="15705"/>
    <n v="28500"/>
    <n v="0.55105263157894735"/>
  </r>
  <r>
    <n v="2020"/>
    <x v="8"/>
    <n v="16"/>
    <x v="15"/>
    <n v="17841"/>
    <n v="28500"/>
    <n v="0.626"/>
  </r>
  <r>
    <n v="2020"/>
    <x v="8"/>
    <n v="16"/>
    <x v="16"/>
    <n v="12712.5"/>
    <n v="28500"/>
    <n v="0.44605263157894737"/>
  </r>
  <r>
    <n v="2020"/>
    <x v="8"/>
    <n v="16"/>
    <x v="17"/>
    <n v="3053.5"/>
    <n v="28500"/>
    <n v="0.10714035087719298"/>
  </r>
  <r>
    <n v="2020"/>
    <x v="8"/>
    <n v="16"/>
    <x v="18"/>
    <n v="0"/>
    <n v="28500"/>
    <n v="0"/>
  </r>
  <r>
    <n v="2020"/>
    <x v="8"/>
    <n v="16"/>
    <x v="19"/>
    <n v="0"/>
    <n v="28500"/>
    <n v="0"/>
  </r>
  <r>
    <n v="2020"/>
    <x v="8"/>
    <n v="16"/>
    <x v="20"/>
    <n v="0"/>
    <n v="28500"/>
    <n v="0"/>
  </r>
  <r>
    <n v="2020"/>
    <x v="8"/>
    <n v="16"/>
    <x v="21"/>
    <n v="0"/>
    <n v="28500"/>
    <n v="0"/>
  </r>
  <r>
    <n v="2020"/>
    <x v="8"/>
    <n v="16"/>
    <x v="22"/>
    <n v="0"/>
    <n v="28500"/>
    <n v="0"/>
  </r>
  <r>
    <n v="2020"/>
    <x v="8"/>
    <n v="16"/>
    <x v="23"/>
    <n v="0"/>
    <n v="28500"/>
    <n v="0"/>
  </r>
  <r>
    <n v="2020"/>
    <x v="8"/>
    <n v="17"/>
    <x v="0"/>
    <n v="0"/>
    <n v="28500"/>
    <n v="0"/>
  </r>
  <r>
    <n v="2020"/>
    <x v="8"/>
    <n v="17"/>
    <x v="1"/>
    <n v="0"/>
    <n v="28500"/>
    <n v="0"/>
  </r>
  <r>
    <n v="2020"/>
    <x v="8"/>
    <n v="17"/>
    <x v="2"/>
    <n v="0"/>
    <n v="28500"/>
    <n v="0"/>
  </r>
  <r>
    <n v="2020"/>
    <x v="8"/>
    <n v="17"/>
    <x v="3"/>
    <n v="0"/>
    <n v="28500"/>
    <n v="0"/>
  </r>
  <r>
    <n v="2020"/>
    <x v="8"/>
    <n v="17"/>
    <x v="4"/>
    <n v="0"/>
    <n v="28500"/>
    <n v="0"/>
  </r>
  <r>
    <n v="2020"/>
    <x v="8"/>
    <n v="17"/>
    <x v="5"/>
    <n v="0"/>
    <n v="28500"/>
    <n v="0"/>
  </r>
  <r>
    <n v="2020"/>
    <x v="8"/>
    <n v="17"/>
    <x v="6"/>
    <n v="446.5"/>
    <n v="28500"/>
    <n v="1.5666666666666666E-2"/>
  </r>
  <r>
    <n v="2020"/>
    <x v="8"/>
    <n v="17"/>
    <x v="7"/>
    <n v="7305"/>
    <n v="28500"/>
    <n v="0.25631578947368422"/>
  </r>
  <r>
    <n v="2020"/>
    <x v="8"/>
    <n v="17"/>
    <x v="8"/>
    <n v="15760"/>
    <n v="28500"/>
    <n v="0.55298245614035091"/>
  </r>
  <r>
    <n v="2020"/>
    <x v="8"/>
    <n v="17"/>
    <x v="9"/>
    <n v="26247.5"/>
    <n v="28500"/>
    <n v="0.92096491228070176"/>
  </r>
  <r>
    <n v="2020"/>
    <x v="8"/>
    <n v="17"/>
    <x v="10"/>
    <n v="32326.5"/>
    <n v="28500"/>
    <n v="1.1342631578947369"/>
  </r>
  <r>
    <n v="2020"/>
    <x v="8"/>
    <n v="17"/>
    <x v="11"/>
    <n v="36986"/>
    <n v="28500"/>
    <n v="1.2977543859649123"/>
  </r>
  <r>
    <n v="2020"/>
    <x v="8"/>
    <n v="17"/>
    <x v="12"/>
    <n v="38094.5"/>
    <n v="28500"/>
    <n v="1.3366491228070176"/>
  </r>
  <r>
    <n v="2020"/>
    <x v="8"/>
    <n v="17"/>
    <x v="13"/>
    <n v="35737"/>
    <n v="28500"/>
    <n v="1.2539298245614034"/>
  </r>
  <r>
    <n v="2020"/>
    <x v="8"/>
    <n v="17"/>
    <x v="14"/>
    <n v="31970.5"/>
    <n v="28500"/>
    <n v="1.1217719298245614"/>
  </r>
  <r>
    <n v="2020"/>
    <x v="8"/>
    <n v="17"/>
    <x v="15"/>
    <n v="23687.5"/>
    <n v="28500"/>
    <n v="0.83114035087719296"/>
  </r>
  <r>
    <n v="2020"/>
    <x v="8"/>
    <n v="17"/>
    <x v="16"/>
    <n v="13310"/>
    <n v="28500"/>
    <n v="0.46701754385964911"/>
  </r>
  <r>
    <n v="2020"/>
    <x v="8"/>
    <n v="17"/>
    <x v="17"/>
    <n v="3279.5"/>
    <n v="28500"/>
    <n v="0.11507017543859649"/>
  </r>
  <r>
    <n v="2020"/>
    <x v="8"/>
    <n v="17"/>
    <x v="18"/>
    <n v="0"/>
    <n v="28500"/>
    <n v="0"/>
  </r>
  <r>
    <n v="2020"/>
    <x v="8"/>
    <n v="17"/>
    <x v="19"/>
    <n v="0"/>
    <n v="28500"/>
    <n v="0"/>
  </r>
  <r>
    <n v="2020"/>
    <x v="8"/>
    <n v="17"/>
    <x v="20"/>
    <n v="0"/>
    <n v="28500"/>
    <n v="0"/>
  </r>
  <r>
    <n v="2020"/>
    <x v="8"/>
    <n v="17"/>
    <x v="21"/>
    <n v="0"/>
    <n v="28500"/>
    <n v="0"/>
  </r>
  <r>
    <n v="2020"/>
    <x v="8"/>
    <n v="17"/>
    <x v="22"/>
    <n v="0"/>
    <n v="28500"/>
    <n v="0"/>
  </r>
  <r>
    <n v="2020"/>
    <x v="8"/>
    <n v="17"/>
    <x v="23"/>
    <n v="0"/>
    <n v="28500"/>
    <n v="0"/>
  </r>
  <r>
    <n v="2020"/>
    <x v="8"/>
    <n v="18"/>
    <x v="0"/>
    <n v="0"/>
    <n v="28500"/>
    <n v="0"/>
  </r>
  <r>
    <n v="2020"/>
    <x v="8"/>
    <n v="18"/>
    <x v="1"/>
    <n v="0"/>
    <n v="28500"/>
    <n v="0"/>
  </r>
  <r>
    <n v="2020"/>
    <x v="8"/>
    <n v="18"/>
    <x v="2"/>
    <n v="0"/>
    <n v="28500"/>
    <n v="0"/>
  </r>
  <r>
    <n v="2020"/>
    <x v="8"/>
    <n v="18"/>
    <x v="3"/>
    <n v="0"/>
    <n v="28500"/>
    <n v="0"/>
  </r>
  <r>
    <n v="2020"/>
    <x v="8"/>
    <n v="18"/>
    <x v="4"/>
    <n v="0"/>
    <n v="28500"/>
    <n v="0"/>
  </r>
  <r>
    <n v="2020"/>
    <x v="8"/>
    <n v="18"/>
    <x v="5"/>
    <n v="0"/>
    <n v="28500"/>
    <n v="0"/>
  </r>
  <r>
    <n v="2020"/>
    <x v="8"/>
    <n v="18"/>
    <x v="6"/>
    <n v="521"/>
    <n v="28500"/>
    <n v="1.8280701754385963E-2"/>
  </r>
  <r>
    <n v="2020"/>
    <x v="8"/>
    <n v="18"/>
    <x v="7"/>
    <n v="8626.5"/>
    <n v="28500"/>
    <n v="0.30268421052631578"/>
  </r>
  <r>
    <n v="2020"/>
    <x v="8"/>
    <n v="18"/>
    <x v="8"/>
    <n v="20008"/>
    <n v="28500"/>
    <n v="0.70203508771929823"/>
  </r>
  <r>
    <n v="2020"/>
    <x v="8"/>
    <n v="18"/>
    <x v="9"/>
    <n v="28413.5"/>
    <n v="28500"/>
    <n v="0.99696491228070172"/>
  </r>
  <r>
    <n v="2020"/>
    <x v="8"/>
    <n v="18"/>
    <x v="10"/>
    <n v="36256.5"/>
    <n v="28500"/>
    <n v="1.2721578947368422"/>
  </r>
  <r>
    <n v="2020"/>
    <x v="8"/>
    <n v="18"/>
    <x v="11"/>
    <n v="39441.5"/>
    <n v="28500"/>
    <n v="1.3839122807017543"/>
  </r>
  <r>
    <n v="2020"/>
    <x v="8"/>
    <n v="18"/>
    <x v="12"/>
    <n v="41077"/>
    <n v="28500"/>
    <n v="1.4412982456140351"/>
  </r>
  <r>
    <n v="2020"/>
    <x v="8"/>
    <n v="18"/>
    <x v="13"/>
    <n v="37255"/>
    <n v="28500"/>
    <n v="1.3071929824561404"/>
  </r>
  <r>
    <n v="2020"/>
    <x v="8"/>
    <n v="18"/>
    <x v="14"/>
    <n v="32074"/>
    <n v="28500"/>
    <n v="1.1254035087719299"/>
  </r>
  <r>
    <n v="2020"/>
    <x v="8"/>
    <n v="18"/>
    <x v="15"/>
    <n v="24604"/>
    <n v="28500"/>
    <n v="0.86329824561403512"/>
  </r>
  <r>
    <n v="2020"/>
    <x v="8"/>
    <n v="18"/>
    <x v="16"/>
    <n v="7620"/>
    <n v="28500"/>
    <n v="0.26736842105263159"/>
  </r>
  <r>
    <n v="2020"/>
    <x v="8"/>
    <n v="18"/>
    <x v="17"/>
    <n v="3542.5"/>
    <n v="28500"/>
    <n v="0.12429824561403509"/>
  </r>
  <r>
    <n v="2020"/>
    <x v="8"/>
    <n v="18"/>
    <x v="18"/>
    <n v="0"/>
    <n v="28500"/>
    <n v="0"/>
  </r>
  <r>
    <n v="2020"/>
    <x v="8"/>
    <n v="18"/>
    <x v="19"/>
    <n v="0"/>
    <n v="28500"/>
    <n v="0"/>
  </r>
  <r>
    <n v="2020"/>
    <x v="8"/>
    <n v="18"/>
    <x v="20"/>
    <n v="0"/>
    <n v="28500"/>
    <n v="0"/>
  </r>
  <r>
    <n v="2020"/>
    <x v="8"/>
    <n v="18"/>
    <x v="21"/>
    <n v="0"/>
    <n v="28500"/>
    <n v="0"/>
  </r>
  <r>
    <n v="2020"/>
    <x v="8"/>
    <n v="18"/>
    <x v="22"/>
    <n v="0"/>
    <n v="28500"/>
    <n v="0"/>
  </r>
  <r>
    <n v="2020"/>
    <x v="8"/>
    <n v="18"/>
    <x v="23"/>
    <n v="0"/>
    <n v="28500"/>
    <n v="0"/>
  </r>
  <r>
    <n v="2020"/>
    <x v="8"/>
    <n v="19"/>
    <x v="0"/>
    <n v="0"/>
    <n v="28500"/>
    <n v="0"/>
  </r>
  <r>
    <n v="2020"/>
    <x v="8"/>
    <n v="19"/>
    <x v="1"/>
    <n v="0"/>
    <n v="28500"/>
    <n v="0"/>
  </r>
  <r>
    <n v="2020"/>
    <x v="8"/>
    <n v="19"/>
    <x v="2"/>
    <n v="0"/>
    <n v="28500"/>
    <n v="0"/>
  </r>
  <r>
    <n v="2020"/>
    <x v="8"/>
    <n v="19"/>
    <x v="3"/>
    <n v="0"/>
    <n v="28500"/>
    <n v="0"/>
  </r>
  <r>
    <n v="2020"/>
    <x v="8"/>
    <n v="19"/>
    <x v="4"/>
    <n v="0"/>
    <n v="28500"/>
    <n v="0"/>
  </r>
  <r>
    <n v="2020"/>
    <x v="8"/>
    <n v="19"/>
    <x v="5"/>
    <n v="0"/>
    <n v="28500"/>
    <n v="0"/>
  </r>
  <r>
    <n v="2020"/>
    <x v="8"/>
    <n v="19"/>
    <x v="6"/>
    <n v="226.5"/>
    <n v="28500"/>
    <n v="7.9473684210526318E-3"/>
  </r>
  <r>
    <n v="2020"/>
    <x v="8"/>
    <n v="19"/>
    <x v="7"/>
    <n v="6032.5"/>
    <n v="28500"/>
    <n v="0.21166666666666667"/>
  </r>
  <r>
    <n v="2020"/>
    <x v="8"/>
    <n v="19"/>
    <x v="8"/>
    <n v="16673.5"/>
    <n v="28500"/>
    <n v="0.58503508771929824"/>
  </r>
  <r>
    <n v="2020"/>
    <x v="8"/>
    <n v="19"/>
    <x v="9"/>
    <n v="26638"/>
    <n v="28500"/>
    <n v="0.93466666666666665"/>
  </r>
  <r>
    <n v="2020"/>
    <x v="8"/>
    <n v="19"/>
    <x v="10"/>
    <n v="33671.5"/>
    <n v="28500"/>
    <n v="1.1814561403508772"/>
  </r>
  <r>
    <n v="2020"/>
    <x v="8"/>
    <n v="19"/>
    <x v="11"/>
    <n v="35561"/>
    <n v="28500"/>
    <n v="1.2477543859649123"/>
  </r>
  <r>
    <n v="2020"/>
    <x v="8"/>
    <n v="19"/>
    <x v="12"/>
    <n v="25392.5"/>
    <n v="28500"/>
    <n v="0.89096491228070174"/>
  </r>
  <r>
    <n v="2020"/>
    <x v="8"/>
    <n v="19"/>
    <x v="13"/>
    <n v="26537"/>
    <n v="28500"/>
    <n v="0.93112280701754391"/>
  </r>
  <r>
    <n v="2020"/>
    <x v="8"/>
    <n v="19"/>
    <x v="14"/>
    <n v="26179.5"/>
    <n v="28500"/>
    <n v="0.91857894736842105"/>
  </r>
  <r>
    <n v="2020"/>
    <x v="8"/>
    <n v="19"/>
    <x v="15"/>
    <n v="19006.5"/>
    <n v="28500"/>
    <n v="0.66689473684210532"/>
  </r>
  <r>
    <n v="2020"/>
    <x v="8"/>
    <n v="19"/>
    <x v="16"/>
    <n v="7820"/>
    <n v="28500"/>
    <n v="0.27438596491228068"/>
  </r>
  <r>
    <n v="2020"/>
    <x v="8"/>
    <n v="19"/>
    <x v="17"/>
    <n v="2833.5"/>
    <n v="28500"/>
    <n v="9.9421052631578952E-2"/>
  </r>
  <r>
    <n v="2020"/>
    <x v="8"/>
    <n v="19"/>
    <x v="18"/>
    <n v="0"/>
    <n v="28500"/>
    <n v="0"/>
  </r>
  <r>
    <n v="2020"/>
    <x v="8"/>
    <n v="19"/>
    <x v="19"/>
    <n v="0"/>
    <n v="28500"/>
    <n v="0"/>
  </r>
  <r>
    <n v="2020"/>
    <x v="8"/>
    <n v="19"/>
    <x v="20"/>
    <n v="0"/>
    <n v="28500"/>
    <n v="0"/>
  </r>
  <r>
    <n v="2020"/>
    <x v="8"/>
    <n v="19"/>
    <x v="21"/>
    <n v="0"/>
    <n v="28500"/>
    <n v="0"/>
  </r>
  <r>
    <n v="2020"/>
    <x v="8"/>
    <n v="19"/>
    <x v="22"/>
    <n v="0"/>
    <n v="28500"/>
    <n v="0"/>
  </r>
  <r>
    <n v="2020"/>
    <x v="8"/>
    <n v="19"/>
    <x v="23"/>
    <n v="0"/>
    <n v="28500"/>
    <n v="0"/>
  </r>
  <r>
    <n v="2020"/>
    <x v="8"/>
    <n v="20"/>
    <x v="0"/>
    <n v="0"/>
    <n v="28500"/>
    <n v="0"/>
  </r>
  <r>
    <n v="2020"/>
    <x v="8"/>
    <n v="20"/>
    <x v="1"/>
    <n v="0"/>
    <n v="28500"/>
    <n v="0"/>
  </r>
  <r>
    <n v="2020"/>
    <x v="8"/>
    <n v="20"/>
    <x v="2"/>
    <n v="0"/>
    <n v="28500"/>
    <n v="0"/>
  </r>
  <r>
    <n v="2020"/>
    <x v="8"/>
    <n v="20"/>
    <x v="3"/>
    <n v="0"/>
    <n v="28500"/>
    <n v="0"/>
  </r>
  <r>
    <n v="2020"/>
    <x v="8"/>
    <n v="20"/>
    <x v="4"/>
    <n v="0"/>
    <n v="28500"/>
    <n v="0"/>
  </r>
  <r>
    <n v="2020"/>
    <x v="8"/>
    <n v="20"/>
    <x v="5"/>
    <n v="0"/>
    <n v="28500"/>
    <n v="0"/>
  </r>
  <r>
    <n v="2020"/>
    <x v="8"/>
    <n v="20"/>
    <x v="6"/>
    <n v="339.5"/>
    <n v="28500"/>
    <n v="1.1912280701754386E-2"/>
  </r>
  <r>
    <n v="2020"/>
    <x v="8"/>
    <n v="20"/>
    <x v="7"/>
    <n v="5856.5"/>
    <n v="28500"/>
    <n v="0.20549122807017545"/>
  </r>
  <r>
    <n v="2020"/>
    <x v="8"/>
    <n v="20"/>
    <x v="8"/>
    <n v="18137"/>
    <n v="28500"/>
    <n v="0.63638596491228072"/>
  </r>
  <r>
    <n v="2020"/>
    <x v="8"/>
    <n v="20"/>
    <x v="9"/>
    <n v="27162.5"/>
    <n v="28500"/>
    <n v="0.95307017543859651"/>
  </r>
  <r>
    <n v="2020"/>
    <x v="8"/>
    <n v="20"/>
    <x v="10"/>
    <n v="33592"/>
    <n v="28500"/>
    <n v="1.1786666666666668"/>
  </r>
  <r>
    <n v="2020"/>
    <x v="8"/>
    <n v="20"/>
    <x v="11"/>
    <n v="36790.5"/>
    <n v="28500"/>
    <n v="1.2908947368421053"/>
  </r>
  <r>
    <n v="2020"/>
    <x v="8"/>
    <n v="20"/>
    <x v="12"/>
    <n v="36848.5"/>
    <n v="28500"/>
    <n v="1.2929298245614036"/>
  </r>
  <r>
    <n v="2020"/>
    <x v="8"/>
    <n v="20"/>
    <x v="13"/>
    <n v="33725.5"/>
    <n v="28500"/>
    <n v="1.1833508771929824"/>
  </r>
  <r>
    <n v="2020"/>
    <x v="8"/>
    <n v="20"/>
    <x v="14"/>
    <n v="15337"/>
    <n v="28500"/>
    <n v="0.53814035087719303"/>
  </r>
  <r>
    <n v="2020"/>
    <x v="8"/>
    <n v="20"/>
    <x v="15"/>
    <n v="21587.5"/>
    <n v="28500"/>
    <n v="0.75745614035087716"/>
  </r>
  <r>
    <n v="2020"/>
    <x v="8"/>
    <n v="20"/>
    <x v="16"/>
    <n v="12035.5"/>
    <n v="28500"/>
    <n v="0.42229824561403506"/>
  </r>
  <r>
    <n v="2020"/>
    <x v="8"/>
    <n v="20"/>
    <x v="17"/>
    <n v="2536.5"/>
    <n v="28500"/>
    <n v="8.8999999999999996E-2"/>
  </r>
  <r>
    <n v="2020"/>
    <x v="8"/>
    <n v="20"/>
    <x v="18"/>
    <n v="0"/>
    <n v="28500"/>
    <n v="0"/>
  </r>
  <r>
    <n v="2020"/>
    <x v="8"/>
    <n v="20"/>
    <x v="19"/>
    <n v="0"/>
    <n v="28500"/>
    <n v="0"/>
  </r>
  <r>
    <n v="2020"/>
    <x v="8"/>
    <n v="20"/>
    <x v="20"/>
    <n v="0"/>
    <n v="28500"/>
    <n v="0"/>
  </r>
  <r>
    <n v="2020"/>
    <x v="8"/>
    <n v="20"/>
    <x v="21"/>
    <n v="0"/>
    <n v="28500"/>
    <n v="0"/>
  </r>
  <r>
    <n v="2020"/>
    <x v="8"/>
    <n v="20"/>
    <x v="22"/>
    <n v="0"/>
    <n v="28500"/>
    <n v="0"/>
  </r>
  <r>
    <n v="2020"/>
    <x v="8"/>
    <n v="20"/>
    <x v="23"/>
    <n v="0"/>
    <n v="28500"/>
    <n v="0"/>
  </r>
  <r>
    <n v="2020"/>
    <x v="8"/>
    <n v="21"/>
    <x v="0"/>
    <n v="0"/>
    <n v="28500"/>
    <n v="0"/>
  </r>
  <r>
    <n v="2020"/>
    <x v="8"/>
    <n v="21"/>
    <x v="1"/>
    <n v="0"/>
    <n v="28500"/>
    <n v="0"/>
  </r>
  <r>
    <n v="2020"/>
    <x v="8"/>
    <n v="21"/>
    <x v="2"/>
    <n v="0"/>
    <n v="28500"/>
    <n v="0"/>
  </r>
  <r>
    <n v="2020"/>
    <x v="8"/>
    <n v="21"/>
    <x v="3"/>
    <n v="0"/>
    <n v="28500"/>
    <n v="0"/>
  </r>
  <r>
    <n v="2020"/>
    <x v="8"/>
    <n v="21"/>
    <x v="4"/>
    <n v="0"/>
    <n v="28500"/>
    <n v="0"/>
  </r>
  <r>
    <n v="2020"/>
    <x v="8"/>
    <n v="21"/>
    <x v="5"/>
    <n v="0"/>
    <n v="28500"/>
    <n v="0"/>
  </r>
  <r>
    <n v="2020"/>
    <x v="8"/>
    <n v="21"/>
    <x v="6"/>
    <n v="50.5"/>
    <n v="28500"/>
    <n v="1.7719298245614035E-3"/>
  </r>
  <r>
    <n v="2020"/>
    <x v="8"/>
    <n v="21"/>
    <x v="7"/>
    <n v="2564.5"/>
    <n v="28500"/>
    <n v="8.9982456140350872E-2"/>
  </r>
  <r>
    <n v="2020"/>
    <x v="8"/>
    <n v="21"/>
    <x v="8"/>
    <n v="4648.5"/>
    <n v="28500"/>
    <n v="0.16310526315789473"/>
  </r>
  <r>
    <n v="2020"/>
    <x v="8"/>
    <n v="21"/>
    <x v="9"/>
    <n v="4512"/>
    <n v="28500"/>
    <n v="0.15831578947368422"/>
  </r>
  <r>
    <n v="2020"/>
    <x v="8"/>
    <n v="21"/>
    <x v="10"/>
    <n v="9471"/>
    <n v="28500"/>
    <n v="0.33231578947368423"/>
  </r>
  <r>
    <n v="2020"/>
    <x v="8"/>
    <n v="21"/>
    <x v="11"/>
    <n v="32854.5"/>
    <n v="28500"/>
    <n v="1.1527894736842106"/>
  </r>
  <r>
    <n v="2020"/>
    <x v="8"/>
    <n v="21"/>
    <x v="12"/>
    <n v="36037.5"/>
    <n v="28500"/>
    <n v="1.2644736842105264"/>
  </r>
  <r>
    <n v="2020"/>
    <x v="8"/>
    <n v="21"/>
    <x v="13"/>
    <n v="33787.5"/>
    <n v="28500"/>
    <n v="1.1855263157894738"/>
  </r>
  <r>
    <n v="2020"/>
    <x v="8"/>
    <n v="21"/>
    <x v="14"/>
    <n v="29291.5"/>
    <n v="28500"/>
    <n v="1.0277719298245613"/>
  </r>
  <r>
    <n v="2020"/>
    <x v="8"/>
    <n v="21"/>
    <x v="15"/>
    <n v="21456"/>
    <n v="28500"/>
    <n v="0.75284210526315787"/>
  </r>
  <r>
    <n v="2020"/>
    <x v="8"/>
    <n v="21"/>
    <x v="16"/>
    <n v="12060.5"/>
    <n v="28500"/>
    <n v="0.4231754385964912"/>
  </r>
  <r>
    <n v="2020"/>
    <x v="8"/>
    <n v="21"/>
    <x v="17"/>
    <n v="2552.5"/>
    <n v="28500"/>
    <n v="8.9561403508771925E-2"/>
  </r>
  <r>
    <n v="2020"/>
    <x v="8"/>
    <n v="21"/>
    <x v="18"/>
    <n v="0"/>
    <n v="28500"/>
    <n v="0"/>
  </r>
  <r>
    <n v="2020"/>
    <x v="8"/>
    <n v="21"/>
    <x v="19"/>
    <n v="0"/>
    <n v="28500"/>
    <n v="0"/>
  </r>
  <r>
    <n v="2020"/>
    <x v="8"/>
    <n v="21"/>
    <x v="20"/>
    <n v="0"/>
    <n v="28500"/>
    <n v="0"/>
  </r>
  <r>
    <n v="2020"/>
    <x v="8"/>
    <n v="21"/>
    <x v="21"/>
    <n v="0"/>
    <n v="28500"/>
    <n v="0"/>
  </r>
  <r>
    <n v="2020"/>
    <x v="8"/>
    <n v="21"/>
    <x v="22"/>
    <n v="0"/>
    <n v="28500"/>
    <n v="0"/>
  </r>
  <r>
    <n v="2020"/>
    <x v="8"/>
    <n v="21"/>
    <x v="23"/>
    <n v="0"/>
    <n v="28500"/>
    <n v="0"/>
  </r>
  <r>
    <n v="2020"/>
    <x v="8"/>
    <n v="22"/>
    <x v="0"/>
    <n v="0"/>
    <n v="28500"/>
    <n v="0"/>
  </r>
  <r>
    <n v="2020"/>
    <x v="8"/>
    <n v="22"/>
    <x v="1"/>
    <n v="0"/>
    <n v="28500"/>
    <n v="0"/>
  </r>
  <r>
    <n v="2020"/>
    <x v="8"/>
    <n v="22"/>
    <x v="2"/>
    <n v="0"/>
    <n v="28500"/>
    <n v="0"/>
  </r>
  <r>
    <n v="2020"/>
    <x v="8"/>
    <n v="22"/>
    <x v="3"/>
    <n v="0"/>
    <n v="28500"/>
    <n v="0"/>
  </r>
  <r>
    <n v="2020"/>
    <x v="8"/>
    <n v="22"/>
    <x v="4"/>
    <n v="0"/>
    <n v="28500"/>
    <n v="0"/>
  </r>
  <r>
    <n v="2020"/>
    <x v="8"/>
    <n v="22"/>
    <x v="5"/>
    <n v="0"/>
    <n v="28500"/>
    <n v="0"/>
  </r>
  <r>
    <n v="2020"/>
    <x v="8"/>
    <n v="22"/>
    <x v="6"/>
    <n v="251.5"/>
    <n v="28500"/>
    <n v="8.8245614035087714E-3"/>
  </r>
  <r>
    <n v="2020"/>
    <x v="8"/>
    <n v="22"/>
    <x v="7"/>
    <n v="6338.5"/>
    <n v="28500"/>
    <n v="0.22240350877192983"/>
  </r>
  <r>
    <n v="2020"/>
    <x v="8"/>
    <n v="22"/>
    <x v="8"/>
    <n v="17925.5"/>
    <n v="28500"/>
    <n v="0.62896491228070173"/>
  </r>
  <r>
    <n v="2020"/>
    <x v="8"/>
    <n v="22"/>
    <x v="9"/>
    <n v="26583.5"/>
    <n v="28500"/>
    <n v="0.93275438596491234"/>
  </r>
  <r>
    <n v="2020"/>
    <x v="8"/>
    <n v="22"/>
    <x v="10"/>
    <n v="31157.5"/>
    <n v="28500"/>
    <n v="1.0932456140350877"/>
  </r>
  <r>
    <n v="2020"/>
    <x v="8"/>
    <n v="22"/>
    <x v="11"/>
    <n v="34879.5"/>
    <n v="28500"/>
    <n v="1.2238421052631578"/>
  </r>
  <r>
    <n v="2020"/>
    <x v="8"/>
    <n v="22"/>
    <x v="12"/>
    <n v="31528"/>
    <n v="28500"/>
    <n v="1.1062456140350878"/>
  </r>
  <r>
    <n v="2020"/>
    <x v="8"/>
    <n v="22"/>
    <x v="13"/>
    <n v="34307.5"/>
    <n v="28500"/>
    <n v="1.2037719298245615"/>
  </r>
  <r>
    <n v="2020"/>
    <x v="8"/>
    <n v="22"/>
    <x v="14"/>
    <n v="29627"/>
    <n v="28500"/>
    <n v="1.0395438596491229"/>
  </r>
  <r>
    <n v="2020"/>
    <x v="8"/>
    <n v="22"/>
    <x v="15"/>
    <n v="20906.5"/>
    <n v="28500"/>
    <n v="0.73356140350877197"/>
  </r>
  <r>
    <n v="2020"/>
    <x v="8"/>
    <n v="22"/>
    <x v="16"/>
    <n v="9752"/>
    <n v="28500"/>
    <n v="0.34217543859649124"/>
  </r>
  <r>
    <n v="2020"/>
    <x v="8"/>
    <n v="22"/>
    <x v="17"/>
    <n v="1611"/>
    <n v="28500"/>
    <n v="5.6526315789473681E-2"/>
  </r>
  <r>
    <n v="2020"/>
    <x v="8"/>
    <n v="22"/>
    <x v="18"/>
    <n v="0"/>
    <n v="28500"/>
    <n v="0"/>
  </r>
  <r>
    <n v="2020"/>
    <x v="8"/>
    <n v="22"/>
    <x v="19"/>
    <n v="0"/>
    <n v="28500"/>
    <n v="0"/>
  </r>
  <r>
    <n v="2020"/>
    <x v="8"/>
    <n v="22"/>
    <x v="20"/>
    <n v="0"/>
    <n v="28500"/>
    <n v="0"/>
  </r>
  <r>
    <n v="2020"/>
    <x v="8"/>
    <n v="22"/>
    <x v="21"/>
    <n v="0"/>
    <n v="28500"/>
    <n v="0"/>
  </r>
  <r>
    <n v="2020"/>
    <x v="8"/>
    <n v="22"/>
    <x v="22"/>
    <n v="0"/>
    <n v="28500"/>
    <n v="0"/>
  </r>
  <r>
    <n v="2020"/>
    <x v="8"/>
    <n v="22"/>
    <x v="23"/>
    <n v="0"/>
    <n v="28500"/>
    <n v="0"/>
  </r>
  <r>
    <n v="2020"/>
    <x v="8"/>
    <n v="23"/>
    <x v="0"/>
    <n v="0"/>
    <n v="28500"/>
    <n v="0"/>
  </r>
  <r>
    <n v="2020"/>
    <x v="8"/>
    <n v="23"/>
    <x v="1"/>
    <n v="0"/>
    <n v="28500"/>
    <n v="0"/>
  </r>
  <r>
    <n v="2020"/>
    <x v="8"/>
    <n v="23"/>
    <x v="2"/>
    <n v="0"/>
    <n v="28500"/>
    <n v="0"/>
  </r>
  <r>
    <n v="2020"/>
    <x v="8"/>
    <n v="23"/>
    <x v="3"/>
    <n v="0"/>
    <n v="28500"/>
    <n v="0"/>
  </r>
  <r>
    <n v="2020"/>
    <x v="8"/>
    <n v="23"/>
    <x v="4"/>
    <n v="0"/>
    <n v="28500"/>
    <n v="0"/>
  </r>
  <r>
    <n v="2020"/>
    <x v="8"/>
    <n v="23"/>
    <x v="5"/>
    <n v="0"/>
    <n v="28500"/>
    <n v="0"/>
  </r>
  <r>
    <n v="2020"/>
    <x v="8"/>
    <n v="23"/>
    <x v="6"/>
    <n v="0"/>
    <n v="28500"/>
    <n v="0"/>
  </r>
  <r>
    <n v="2020"/>
    <x v="8"/>
    <n v="23"/>
    <x v="7"/>
    <n v="1075"/>
    <n v="28500"/>
    <n v="3.7719298245614034E-2"/>
  </r>
  <r>
    <n v="2020"/>
    <x v="8"/>
    <n v="23"/>
    <x v="8"/>
    <n v="5766.5"/>
    <n v="28500"/>
    <n v="0.20233333333333334"/>
  </r>
  <r>
    <n v="2020"/>
    <x v="8"/>
    <n v="23"/>
    <x v="9"/>
    <n v="17547.5"/>
    <n v="28500"/>
    <n v="0.61570175438596486"/>
  </r>
  <r>
    <n v="2020"/>
    <x v="8"/>
    <n v="23"/>
    <x v="10"/>
    <n v="9543.5"/>
    <n v="28500"/>
    <n v="0.33485964912280702"/>
  </r>
  <r>
    <n v="2020"/>
    <x v="8"/>
    <n v="23"/>
    <x v="11"/>
    <n v="5779.5"/>
    <n v="28500"/>
    <n v="0.20278947368421052"/>
  </r>
  <r>
    <n v="2020"/>
    <x v="8"/>
    <n v="23"/>
    <x v="12"/>
    <n v="12233"/>
    <n v="28500"/>
    <n v="0.42922807017543857"/>
  </r>
  <r>
    <n v="2020"/>
    <x v="8"/>
    <n v="23"/>
    <x v="13"/>
    <n v="12458.5"/>
    <n v="28500"/>
    <n v="0.437140350877193"/>
  </r>
  <r>
    <n v="2020"/>
    <x v="8"/>
    <n v="23"/>
    <x v="14"/>
    <n v="7048.5"/>
    <n v="28500"/>
    <n v="0.24731578947368421"/>
  </r>
  <r>
    <n v="2020"/>
    <x v="8"/>
    <n v="23"/>
    <x v="15"/>
    <n v="2037.5"/>
    <n v="28500"/>
    <n v="7.1491228070175439E-2"/>
  </r>
  <r>
    <n v="2020"/>
    <x v="8"/>
    <n v="23"/>
    <x v="16"/>
    <n v="6969"/>
    <n v="28500"/>
    <n v="0.24452631578947367"/>
  </r>
  <r>
    <n v="2020"/>
    <x v="8"/>
    <n v="23"/>
    <x v="17"/>
    <n v="1359.5"/>
    <n v="28500"/>
    <n v="4.7701754385964912E-2"/>
  </r>
  <r>
    <n v="2020"/>
    <x v="8"/>
    <n v="23"/>
    <x v="18"/>
    <n v="0"/>
    <n v="28500"/>
    <n v="0"/>
  </r>
  <r>
    <n v="2020"/>
    <x v="8"/>
    <n v="23"/>
    <x v="19"/>
    <n v="0"/>
    <n v="28500"/>
    <n v="0"/>
  </r>
  <r>
    <n v="2020"/>
    <x v="8"/>
    <n v="23"/>
    <x v="20"/>
    <n v="0"/>
    <n v="28500"/>
    <n v="0"/>
  </r>
  <r>
    <n v="2020"/>
    <x v="8"/>
    <n v="23"/>
    <x v="21"/>
    <n v="0"/>
    <n v="28500"/>
    <n v="0"/>
  </r>
  <r>
    <n v="2020"/>
    <x v="8"/>
    <n v="23"/>
    <x v="22"/>
    <n v="0"/>
    <n v="28500"/>
    <n v="0"/>
  </r>
  <r>
    <n v="2020"/>
    <x v="8"/>
    <n v="23"/>
    <x v="23"/>
    <n v="0"/>
    <n v="28500"/>
    <n v="0"/>
  </r>
  <r>
    <n v="2020"/>
    <x v="8"/>
    <n v="24"/>
    <x v="0"/>
    <n v="0"/>
    <n v="28500"/>
    <n v="0"/>
  </r>
  <r>
    <n v="2020"/>
    <x v="8"/>
    <n v="24"/>
    <x v="1"/>
    <n v="0"/>
    <n v="28500"/>
    <n v="0"/>
  </r>
  <r>
    <n v="2020"/>
    <x v="8"/>
    <n v="24"/>
    <x v="2"/>
    <n v="0"/>
    <n v="28500"/>
    <n v="0"/>
  </r>
  <r>
    <n v="2020"/>
    <x v="8"/>
    <n v="24"/>
    <x v="3"/>
    <n v="0"/>
    <n v="28500"/>
    <n v="0"/>
  </r>
  <r>
    <n v="2020"/>
    <x v="8"/>
    <n v="24"/>
    <x v="4"/>
    <n v="0"/>
    <n v="28500"/>
    <n v="0"/>
  </r>
  <r>
    <n v="2020"/>
    <x v="8"/>
    <n v="24"/>
    <x v="5"/>
    <n v="0"/>
    <n v="28500"/>
    <n v="0"/>
  </r>
  <r>
    <n v="2020"/>
    <x v="8"/>
    <n v="24"/>
    <x v="6"/>
    <n v="157"/>
    <n v="28500"/>
    <n v="5.5087719298245611E-3"/>
  </r>
  <r>
    <n v="2020"/>
    <x v="8"/>
    <n v="24"/>
    <x v="7"/>
    <n v="7463.5"/>
    <n v="28500"/>
    <n v="0.26187719298245615"/>
  </r>
  <r>
    <n v="2020"/>
    <x v="8"/>
    <n v="24"/>
    <x v="8"/>
    <n v="19745"/>
    <n v="28500"/>
    <n v="0.69280701754385965"/>
  </r>
  <r>
    <n v="2020"/>
    <x v="8"/>
    <n v="24"/>
    <x v="9"/>
    <n v="27236"/>
    <n v="28500"/>
    <n v="0.95564912280701753"/>
  </r>
  <r>
    <n v="2020"/>
    <x v="8"/>
    <n v="24"/>
    <x v="10"/>
    <n v="35546"/>
    <n v="28500"/>
    <n v="1.2472280701754386"/>
  </r>
  <r>
    <n v="2020"/>
    <x v="8"/>
    <n v="24"/>
    <x v="11"/>
    <n v="27006.5"/>
    <n v="28500"/>
    <n v="0.94759649122807021"/>
  </r>
  <r>
    <n v="2020"/>
    <x v="8"/>
    <n v="24"/>
    <x v="12"/>
    <n v="35138"/>
    <n v="28500"/>
    <n v="1.2329122807017543"/>
  </r>
  <r>
    <n v="2020"/>
    <x v="8"/>
    <n v="24"/>
    <x v="13"/>
    <n v="20332.5"/>
    <n v="28500"/>
    <n v="0.71342105263157896"/>
  </r>
  <r>
    <n v="2020"/>
    <x v="8"/>
    <n v="24"/>
    <x v="14"/>
    <n v="4734.5"/>
    <n v="28500"/>
    <n v="0.16612280701754387"/>
  </r>
  <r>
    <n v="2020"/>
    <x v="8"/>
    <n v="24"/>
    <x v="15"/>
    <n v="2458.5"/>
    <n v="28500"/>
    <n v="8.6263157894736847E-2"/>
  </r>
  <r>
    <n v="2020"/>
    <x v="8"/>
    <n v="24"/>
    <x v="16"/>
    <n v="791.5"/>
    <n v="28500"/>
    <n v="2.7771929824561403E-2"/>
  </r>
  <r>
    <n v="2020"/>
    <x v="8"/>
    <n v="24"/>
    <x v="17"/>
    <n v="0"/>
    <n v="28500"/>
    <n v="0"/>
  </r>
  <r>
    <n v="2020"/>
    <x v="8"/>
    <n v="24"/>
    <x v="18"/>
    <n v="0"/>
    <n v="28500"/>
    <n v="0"/>
  </r>
  <r>
    <n v="2020"/>
    <x v="8"/>
    <n v="24"/>
    <x v="19"/>
    <n v="0"/>
    <n v="28500"/>
    <n v="0"/>
  </r>
  <r>
    <n v="2020"/>
    <x v="8"/>
    <n v="24"/>
    <x v="20"/>
    <n v="0"/>
    <n v="28500"/>
    <n v="0"/>
  </r>
  <r>
    <n v="2020"/>
    <x v="8"/>
    <n v="24"/>
    <x v="21"/>
    <n v="0"/>
    <n v="28500"/>
    <n v="0"/>
  </r>
  <r>
    <n v="2020"/>
    <x v="8"/>
    <n v="24"/>
    <x v="22"/>
    <n v="0"/>
    <n v="28500"/>
    <n v="0"/>
  </r>
  <r>
    <n v="2020"/>
    <x v="8"/>
    <n v="24"/>
    <x v="23"/>
    <n v="0"/>
    <n v="28500"/>
    <n v="0"/>
  </r>
  <r>
    <n v="2020"/>
    <x v="8"/>
    <n v="25"/>
    <x v="0"/>
    <n v="0"/>
    <n v="28500"/>
    <n v="0"/>
  </r>
  <r>
    <n v="2020"/>
    <x v="8"/>
    <n v="25"/>
    <x v="1"/>
    <n v="0"/>
    <n v="28500"/>
    <n v="0"/>
  </r>
  <r>
    <n v="2020"/>
    <x v="8"/>
    <n v="25"/>
    <x v="2"/>
    <n v="0"/>
    <n v="28500"/>
    <n v="0"/>
  </r>
  <r>
    <n v="2020"/>
    <x v="8"/>
    <n v="25"/>
    <x v="3"/>
    <n v="0"/>
    <n v="28500"/>
    <n v="0"/>
  </r>
  <r>
    <n v="2020"/>
    <x v="8"/>
    <n v="25"/>
    <x v="4"/>
    <n v="0"/>
    <n v="28500"/>
    <n v="0"/>
  </r>
  <r>
    <n v="2020"/>
    <x v="8"/>
    <n v="25"/>
    <x v="5"/>
    <n v="0"/>
    <n v="28500"/>
    <n v="0"/>
  </r>
  <r>
    <n v="2020"/>
    <x v="8"/>
    <n v="25"/>
    <x v="6"/>
    <n v="0"/>
    <n v="28500"/>
    <n v="0"/>
  </r>
  <r>
    <n v="2020"/>
    <x v="8"/>
    <n v="25"/>
    <x v="7"/>
    <n v="170"/>
    <n v="28500"/>
    <n v="5.9649122807017545E-3"/>
  </r>
  <r>
    <n v="2020"/>
    <x v="8"/>
    <n v="25"/>
    <x v="8"/>
    <n v="3691.5"/>
    <n v="28500"/>
    <n v="0.12952631578947368"/>
  </r>
  <r>
    <n v="2020"/>
    <x v="8"/>
    <n v="25"/>
    <x v="9"/>
    <n v="9900.5"/>
    <n v="28500"/>
    <n v="0.34738596491228069"/>
  </r>
  <r>
    <n v="2020"/>
    <x v="8"/>
    <n v="25"/>
    <x v="10"/>
    <n v="13420"/>
    <n v="28500"/>
    <n v="0.47087719298245612"/>
  </r>
  <r>
    <n v="2020"/>
    <x v="8"/>
    <n v="25"/>
    <x v="11"/>
    <n v="8255.5"/>
    <n v="28500"/>
    <n v="0.28966666666666668"/>
  </r>
  <r>
    <n v="2020"/>
    <x v="8"/>
    <n v="25"/>
    <x v="12"/>
    <n v="4382.5"/>
    <n v="28500"/>
    <n v="0.15377192982456139"/>
  </r>
  <r>
    <n v="2020"/>
    <x v="8"/>
    <n v="25"/>
    <x v="13"/>
    <n v="3478"/>
    <n v="28500"/>
    <n v="0.12203508771929825"/>
  </r>
  <r>
    <n v="2020"/>
    <x v="8"/>
    <n v="25"/>
    <x v="14"/>
    <n v="5789.5"/>
    <n v="28500"/>
    <n v="0.20314035087719298"/>
  </r>
  <r>
    <n v="2020"/>
    <x v="8"/>
    <n v="25"/>
    <x v="15"/>
    <n v="20865"/>
    <n v="28500"/>
    <n v="0.7321052631578947"/>
  </r>
  <r>
    <n v="2020"/>
    <x v="8"/>
    <n v="25"/>
    <x v="16"/>
    <n v="10936"/>
    <n v="28500"/>
    <n v="0.38371929824561402"/>
  </r>
  <r>
    <n v="2020"/>
    <x v="8"/>
    <n v="25"/>
    <x v="17"/>
    <n v="1724"/>
    <n v="28500"/>
    <n v="6.0491228070175436E-2"/>
  </r>
  <r>
    <n v="2020"/>
    <x v="8"/>
    <n v="25"/>
    <x v="18"/>
    <n v="0"/>
    <n v="28500"/>
    <n v="0"/>
  </r>
  <r>
    <n v="2020"/>
    <x v="8"/>
    <n v="25"/>
    <x v="19"/>
    <n v="0"/>
    <n v="28500"/>
    <n v="0"/>
  </r>
  <r>
    <n v="2020"/>
    <x v="8"/>
    <n v="25"/>
    <x v="20"/>
    <n v="0"/>
    <n v="28500"/>
    <n v="0"/>
  </r>
  <r>
    <n v="2020"/>
    <x v="8"/>
    <n v="25"/>
    <x v="21"/>
    <n v="0"/>
    <n v="28500"/>
    <n v="0"/>
  </r>
  <r>
    <n v="2020"/>
    <x v="8"/>
    <n v="25"/>
    <x v="22"/>
    <n v="0"/>
    <n v="28500"/>
    <n v="0"/>
  </r>
  <r>
    <n v="2020"/>
    <x v="8"/>
    <n v="25"/>
    <x v="23"/>
    <n v="0"/>
    <n v="28500"/>
    <n v="0"/>
  </r>
  <r>
    <n v="2020"/>
    <x v="8"/>
    <n v="26"/>
    <x v="0"/>
    <n v="0"/>
    <n v="28500"/>
    <n v="0"/>
  </r>
  <r>
    <n v="2020"/>
    <x v="8"/>
    <n v="26"/>
    <x v="1"/>
    <n v="0"/>
    <n v="28500"/>
    <n v="0"/>
  </r>
  <r>
    <n v="2020"/>
    <x v="8"/>
    <n v="26"/>
    <x v="2"/>
    <n v="0"/>
    <n v="28500"/>
    <n v="0"/>
  </r>
  <r>
    <n v="2020"/>
    <x v="8"/>
    <n v="26"/>
    <x v="3"/>
    <n v="0"/>
    <n v="28500"/>
    <n v="0"/>
  </r>
  <r>
    <n v="2020"/>
    <x v="8"/>
    <n v="26"/>
    <x v="4"/>
    <n v="0"/>
    <n v="28500"/>
    <n v="0"/>
  </r>
  <r>
    <n v="2020"/>
    <x v="8"/>
    <n v="26"/>
    <x v="5"/>
    <n v="0"/>
    <n v="28500"/>
    <n v="0"/>
  </r>
  <r>
    <n v="2020"/>
    <x v="8"/>
    <n v="26"/>
    <x v="6"/>
    <n v="0"/>
    <n v="28500"/>
    <n v="0"/>
  </r>
  <r>
    <n v="2020"/>
    <x v="8"/>
    <n v="26"/>
    <x v="7"/>
    <n v="8372.5"/>
    <n v="28500"/>
    <n v="0.29377192982456141"/>
  </r>
  <r>
    <n v="2020"/>
    <x v="8"/>
    <n v="26"/>
    <x v="8"/>
    <n v="20359"/>
    <n v="28500"/>
    <n v="0.7143508771929824"/>
  </r>
  <r>
    <n v="2020"/>
    <x v="8"/>
    <n v="26"/>
    <x v="9"/>
    <n v="29044"/>
    <n v="28500"/>
    <n v="1.0190877192982457"/>
  </r>
  <r>
    <n v="2020"/>
    <x v="8"/>
    <n v="26"/>
    <x v="10"/>
    <n v="28671.5"/>
    <n v="28500"/>
    <n v="1.006017543859649"/>
  </r>
  <r>
    <n v="2020"/>
    <x v="8"/>
    <n v="26"/>
    <x v="11"/>
    <n v="7012.5"/>
    <n v="28500"/>
    <n v="0.24605263157894736"/>
  </r>
  <r>
    <n v="2020"/>
    <x v="8"/>
    <n v="26"/>
    <x v="12"/>
    <n v="4595.5"/>
    <n v="28500"/>
    <n v="0.16124561403508772"/>
  </r>
  <r>
    <n v="2020"/>
    <x v="8"/>
    <n v="26"/>
    <x v="13"/>
    <n v="3741.5"/>
    <n v="28500"/>
    <n v="0.13128070175438597"/>
  </r>
  <r>
    <n v="2020"/>
    <x v="8"/>
    <n v="26"/>
    <x v="14"/>
    <n v="10404"/>
    <n v="28500"/>
    <n v="0.36505263157894735"/>
  </r>
  <r>
    <n v="2020"/>
    <x v="8"/>
    <n v="26"/>
    <x v="15"/>
    <n v="3019"/>
    <n v="28500"/>
    <n v="0.10592982456140351"/>
  </r>
  <r>
    <n v="2020"/>
    <x v="8"/>
    <n v="26"/>
    <x v="16"/>
    <n v="2188.5"/>
    <n v="28500"/>
    <n v="7.6789473684210532E-2"/>
  </r>
  <r>
    <n v="2020"/>
    <x v="8"/>
    <n v="26"/>
    <x v="17"/>
    <n v="31.5"/>
    <n v="28500"/>
    <n v="1.1052631578947368E-3"/>
  </r>
  <r>
    <n v="2020"/>
    <x v="8"/>
    <n v="26"/>
    <x v="18"/>
    <n v="0"/>
    <n v="28500"/>
    <n v="0"/>
  </r>
  <r>
    <n v="2020"/>
    <x v="8"/>
    <n v="26"/>
    <x v="19"/>
    <n v="0"/>
    <n v="28500"/>
    <n v="0"/>
  </r>
  <r>
    <n v="2020"/>
    <x v="8"/>
    <n v="26"/>
    <x v="20"/>
    <n v="0"/>
    <n v="28500"/>
    <n v="0"/>
  </r>
  <r>
    <n v="2020"/>
    <x v="8"/>
    <n v="26"/>
    <x v="21"/>
    <n v="0"/>
    <n v="28500"/>
    <n v="0"/>
  </r>
  <r>
    <n v="2020"/>
    <x v="8"/>
    <n v="26"/>
    <x v="22"/>
    <n v="0"/>
    <n v="28500"/>
    <n v="0"/>
  </r>
  <r>
    <n v="2020"/>
    <x v="8"/>
    <n v="26"/>
    <x v="23"/>
    <n v="0"/>
    <n v="28500"/>
    <n v="0"/>
  </r>
  <r>
    <n v="2020"/>
    <x v="8"/>
    <n v="27"/>
    <x v="0"/>
    <n v="0"/>
    <n v="28500"/>
    <n v="0"/>
  </r>
  <r>
    <n v="2020"/>
    <x v="8"/>
    <n v="27"/>
    <x v="1"/>
    <n v="0"/>
    <n v="28500"/>
    <n v="0"/>
  </r>
  <r>
    <n v="2020"/>
    <x v="8"/>
    <n v="27"/>
    <x v="2"/>
    <n v="0"/>
    <n v="28500"/>
    <n v="0"/>
  </r>
  <r>
    <n v="2020"/>
    <x v="8"/>
    <n v="27"/>
    <x v="3"/>
    <n v="0"/>
    <n v="28500"/>
    <n v="0"/>
  </r>
  <r>
    <n v="2020"/>
    <x v="8"/>
    <n v="27"/>
    <x v="4"/>
    <n v="0"/>
    <n v="28500"/>
    <n v="0"/>
  </r>
  <r>
    <n v="2020"/>
    <x v="8"/>
    <n v="27"/>
    <x v="5"/>
    <n v="0"/>
    <n v="28500"/>
    <n v="0"/>
  </r>
  <r>
    <n v="2020"/>
    <x v="8"/>
    <n v="27"/>
    <x v="6"/>
    <n v="0"/>
    <n v="28500"/>
    <n v="0"/>
  </r>
  <r>
    <n v="2020"/>
    <x v="8"/>
    <n v="27"/>
    <x v="7"/>
    <n v="1716.5"/>
    <n v="28500"/>
    <n v="6.0228070175438596E-2"/>
  </r>
  <r>
    <n v="2020"/>
    <x v="8"/>
    <n v="27"/>
    <x v="8"/>
    <n v="2422.5"/>
    <n v="28500"/>
    <n v="8.5000000000000006E-2"/>
  </r>
  <r>
    <n v="2020"/>
    <x v="8"/>
    <n v="27"/>
    <x v="9"/>
    <n v="2907"/>
    <n v="28500"/>
    <n v="0.10199999999999999"/>
  </r>
  <r>
    <n v="2020"/>
    <x v="8"/>
    <n v="27"/>
    <x v="10"/>
    <n v="2100"/>
    <n v="28500"/>
    <n v="7.3684210526315783E-2"/>
  </r>
  <r>
    <n v="2020"/>
    <x v="8"/>
    <n v="27"/>
    <x v="11"/>
    <n v="2571.5"/>
    <n v="28500"/>
    <n v="9.0228070175438602E-2"/>
  </r>
  <r>
    <n v="2020"/>
    <x v="8"/>
    <n v="27"/>
    <x v="12"/>
    <n v="1357.5"/>
    <n v="28500"/>
    <n v="4.7631578947368421E-2"/>
  </r>
  <r>
    <n v="2020"/>
    <x v="8"/>
    <n v="27"/>
    <x v="13"/>
    <n v="1253.5"/>
    <n v="28500"/>
    <n v="4.398245614035088E-2"/>
  </r>
  <r>
    <n v="2020"/>
    <x v="8"/>
    <n v="27"/>
    <x v="14"/>
    <n v="1713"/>
    <n v="28500"/>
    <n v="6.0105263157894738E-2"/>
  </r>
  <r>
    <n v="2020"/>
    <x v="8"/>
    <n v="27"/>
    <x v="15"/>
    <n v="1894.5"/>
    <n v="28500"/>
    <n v="6.647368421052631E-2"/>
  </r>
  <r>
    <n v="2020"/>
    <x v="8"/>
    <n v="27"/>
    <x v="16"/>
    <n v="782.5"/>
    <n v="28500"/>
    <n v="2.7456140350877192E-2"/>
  </r>
  <r>
    <n v="2020"/>
    <x v="8"/>
    <n v="27"/>
    <x v="17"/>
    <n v="395"/>
    <n v="28500"/>
    <n v="1.3859649122807018E-2"/>
  </r>
  <r>
    <n v="2020"/>
    <x v="8"/>
    <n v="27"/>
    <x v="18"/>
    <n v="0"/>
    <n v="28500"/>
    <n v="0"/>
  </r>
  <r>
    <n v="2020"/>
    <x v="8"/>
    <n v="27"/>
    <x v="19"/>
    <n v="0"/>
    <n v="28500"/>
    <n v="0"/>
  </r>
  <r>
    <n v="2020"/>
    <x v="8"/>
    <n v="27"/>
    <x v="20"/>
    <n v="0"/>
    <n v="28500"/>
    <n v="0"/>
  </r>
  <r>
    <n v="2020"/>
    <x v="8"/>
    <n v="27"/>
    <x v="21"/>
    <n v="0"/>
    <n v="28500"/>
    <n v="0"/>
  </r>
  <r>
    <n v="2020"/>
    <x v="8"/>
    <n v="27"/>
    <x v="22"/>
    <n v="0"/>
    <n v="28500"/>
    <n v="0"/>
  </r>
  <r>
    <n v="2020"/>
    <x v="8"/>
    <n v="27"/>
    <x v="23"/>
    <n v="0"/>
    <n v="28500"/>
    <n v="0"/>
  </r>
  <r>
    <n v="2020"/>
    <x v="8"/>
    <n v="28"/>
    <x v="0"/>
    <n v="0"/>
    <n v="28500"/>
    <n v="0"/>
  </r>
  <r>
    <n v="2020"/>
    <x v="8"/>
    <n v="28"/>
    <x v="1"/>
    <n v="0"/>
    <n v="28500"/>
    <n v="0"/>
  </r>
  <r>
    <n v="2020"/>
    <x v="8"/>
    <n v="28"/>
    <x v="2"/>
    <n v="0"/>
    <n v="28500"/>
    <n v="0"/>
  </r>
  <r>
    <n v="2020"/>
    <x v="8"/>
    <n v="28"/>
    <x v="3"/>
    <n v="0"/>
    <n v="28500"/>
    <n v="0"/>
  </r>
  <r>
    <n v="2020"/>
    <x v="8"/>
    <n v="28"/>
    <x v="4"/>
    <n v="0"/>
    <n v="28500"/>
    <n v="0"/>
  </r>
  <r>
    <n v="2020"/>
    <x v="8"/>
    <n v="28"/>
    <x v="5"/>
    <n v="0"/>
    <n v="28500"/>
    <n v="0"/>
  </r>
  <r>
    <n v="2020"/>
    <x v="8"/>
    <n v="28"/>
    <x v="6"/>
    <n v="0"/>
    <n v="28500"/>
    <n v="0"/>
  </r>
  <r>
    <n v="2020"/>
    <x v="8"/>
    <n v="28"/>
    <x v="7"/>
    <n v="5158"/>
    <n v="28500"/>
    <n v="0.18098245614035088"/>
  </r>
  <r>
    <n v="2020"/>
    <x v="8"/>
    <n v="28"/>
    <x v="8"/>
    <n v="10716"/>
    <n v="28500"/>
    <n v="0.376"/>
  </r>
  <r>
    <n v="2020"/>
    <x v="8"/>
    <n v="28"/>
    <x v="9"/>
    <n v="19491"/>
    <n v="28500"/>
    <n v="0.68389473684210522"/>
  </r>
  <r>
    <n v="2020"/>
    <x v="8"/>
    <n v="28"/>
    <x v="10"/>
    <n v="30077"/>
    <n v="28500"/>
    <n v="1.0553333333333332"/>
  </r>
  <r>
    <n v="2020"/>
    <x v="8"/>
    <n v="28"/>
    <x v="11"/>
    <n v="34501.5"/>
    <n v="28500"/>
    <n v="1.210578947368421"/>
  </r>
  <r>
    <n v="2020"/>
    <x v="8"/>
    <n v="28"/>
    <x v="12"/>
    <n v="36713"/>
    <n v="28500"/>
    <n v="1.2881754385964912"/>
  </r>
  <r>
    <n v="2020"/>
    <x v="8"/>
    <n v="28"/>
    <x v="13"/>
    <n v="34160"/>
    <n v="28500"/>
    <n v="1.1985964912280702"/>
  </r>
  <r>
    <n v="2020"/>
    <x v="8"/>
    <n v="28"/>
    <x v="14"/>
    <n v="29397"/>
    <n v="28500"/>
    <n v="1.0314736842105263"/>
  </r>
  <r>
    <n v="2020"/>
    <x v="8"/>
    <n v="28"/>
    <x v="15"/>
    <n v="20578.5"/>
    <n v="28500"/>
    <n v="0.72205263157894739"/>
  </r>
  <r>
    <n v="2020"/>
    <x v="8"/>
    <n v="28"/>
    <x v="16"/>
    <n v="6449"/>
    <n v="28500"/>
    <n v="0.22628070175438597"/>
  </r>
  <r>
    <n v="2020"/>
    <x v="8"/>
    <n v="28"/>
    <x v="17"/>
    <n v="755.5"/>
    <n v="28500"/>
    <n v="2.6508771929824562E-2"/>
  </r>
  <r>
    <n v="2020"/>
    <x v="8"/>
    <n v="28"/>
    <x v="18"/>
    <n v="0"/>
    <n v="28500"/>
    <n v="0"/>
  </r>
  <r>
    <n v="2020"/>
    <x v="8"/>
    <n v="28"/>
    <x v="19"/>
    <n v="0"/>
    <n v="28500"/>
    <n v="0"/>
  </r>
  <r>
    <n v="2020"/>
    <x v="8"/>
    <n v="28"/>
    <x v="20"/>
    <n v="0"/>
    <n v="28500"/>
    <n v="0"/>
  </r>
  <r>
    <n v="2020"/>
    <x v="8"/>
    <n v="28"/>
    <x v="21"/>
    <n v="0"/>
    <n v="28500"/>
    <n v="0"/>
  </r>
  <r>
    <n v="2020"/>
    <x v="8"/>
    <n v="28"/>
    <x v="22"/>
    <n v="0"/>
    <n v="28500"/>
    <n v="0"/>
  </r>
  <r>
    <n v="2020"/>
    <x v="8"/>
    <n v="28"/>
    <x v="23"/>
    <n v="0"/>
    <n v="28500"/>
    <n v="0"/>
  </r>
  <r>
    <n v="2020"/>
    <x v="8"/>
    <n v="29"/>
    <x v="0"/>
    <n v="0"/>
    <n v="28500"/>
    <n v="0"/>
  </r>
  <r>
    <n v="2020"/>
    <x v="8"/>
    <n v="29"/>
    <x v="1"/>
    <n v="0"/>
    <n v="28500"/>
    <n v="0"/>
  </r>
  <r>
    <n v="2020"/>
    <x v="8"/>
    <n v="29"/>
    <x v="2"/>
    <n v="0"/>
    <n v="28500"/>
    <n v="0"/>
  </r>
  <r>
    <n v="2020"/>
    <x v="8"/>
    <n v="29"/>
    <x v="3"/>
    <n v="0"/>
    <n v="28500"/>
    <n v="0"/>
  </r>
  <r>
    <n v="2020"/>
    <x v="8"/>
    <n v="29"/>
    <x v="4"/>
    <n v="0"/>
    <n v="28500"/>
    <n v="0"/>
  </r>
  <r>
    <n v="2020"/>
    <x v="8"/>
    <n v="29"/>
    <x v="5"/>
    <n v="0"/>
    <n v="28500"/>
    <n v="0"/>
  </r>
  <r>
    <n v="2020"/>
    <x v="8"/>
    <n v="29"/>
    <x v="6"/>
    <n v="0"/>
    <n v="28500"/>
    <n v="0"/>
  </r>
  <r>
    <n v="2020"/>
    <x v="8"/>
    <n v="29"/>
    <x v="7"/>
    <n v="2882.5"/>
    <n v="28500"/>
    <n v="0.10114035087719299"/>
  </r>
  <r>
    <n v="2020"/>
    <x v="8"/>
    <n v="29"/>
    <x v="8"/>
    <n v="1849"/>
    <n v="28500"/>
    <n v="6.4877192982456144E-2"/>
  </r>
  <r>
    <n v="2020"/>
    <x v="8"/>
    <n v="29"/>
    <x v="9"/>
    <n v="2725.5"/>
    <n v="28500"/>
    <n v="9.5631578947368415E-2"/>
  </r>
  <r>
    <n v="2020"/>
    <x v="8"/>
    <n v="29"/>
    <x v="10"/>
    <n v="9853.5"/>
    <n v="28500"/>
    <n v="0.34573684210526318"/>
  </r>
  <r>
    <n v="2020"/>
    <x v="8"/>
    <n v="29"/>
    <x v="11"/>
    <n v="3785.5"/>
    <n v="28500"/>
    <n v="0.13282456140350876"/>
  </r>
  <r>
    <n v="2020"/>
    <x v="8"/>
    <n v="29"/>
    <x v="12"/>
    <n v="3940.5"/>
    <n v="28500"/>
    <n v="0.13826315789473684"/>
  </r>
  <r>
    <n v="2020"/>
    <x v="8"/>
    <n v="29"/>
    <x v="13"/>
    <n v="15236.5"/>
    <n v="28500"/>
    <n v="0.53461403508771932"/>
  </r>
  <r>
    <n v="2020"/>
    <x v="8"/>
    <n v="29"/>
    <x v="14"/>
    <n v="13589"/>
    <n v="28500"/>
    <n v="0.47680701754385962"/>
  </r>
  <r>
    <n v="2020"/>
    <x v="8"/>
    <n v="29"/>
    <x v="15"/>
    <n v="11497"/>
    <n v="28500"/>
    <n v="0.40340350877192982"/>
  </r>
  <r>
    <n v="2020"/>
    <x v="8"/>
    <n v="29"/>
    <x v="16"/>
    <n v="9869"/>
    <n v="28500"/>
    <n v="0.34628070175438597"/>
  </r>
  <r>
    <n v="2020"/>
    <x v="8"/>
    <n v="29"/>
    <x v="17"/>
    <n v="1044"/>
    <n v="28500"/>
    <n v="3.6631578947368418E-2"/>
  </r>
  <r>
    <n v="2020"/>
    <x v="8"/>
    <n v="29"/>
    <x v="18"/>
    <n v="0"/>
    <n v="28500"/>
    <n v="0"/>
  </r>
  <r>
    <n v="2020"/>
    <x v="8"/>
    <n v="29"/>
    <x v="19"/>
    <n v="0"/>
    <n v="28500"/>
    <n v="0"/>
  </r>
  <r>
    <n v="2020"/>
    <x v="8"/>
    <n v="29"/>
    <x v="20"/>
    <n v="0"/>
    <n v="28500"/>
    <n v="0"/>
  </r>
  <r>
    <n v="2020"/>
    <x v="8"/>
    <n v="29"/>
    <x v="21"/>
    <n v="0"/>
    <n v="28500"/>
    <n v="0"/>
  </r>
  <r>
    <n v="2020"/>
    <x v="8"/>
    <n v="29"/>
    <x v="22"/>
    <n v="0"/>
    <n v="28500"/>
    <n v="0"/>
  </r>
  <r>
    <n v="2020"/>
    <x v="8"/>
    <n v="29"/>
    <x v="23"/>
    <n v="0"/>
    <n v="28500"/>
    <n v="0"/>
  </r>
  <r>
    <n v="2020"/>
    <x v="8"/>
    <n v="30"/>
    <x v="0"/>
    <n v="0"/>
    <n v="28500"/>
    <n v="0"/>
  </r>
  <r>
    <n v="2020"/>
    <x v="8"/>
    <n v="30"/>
    <x v="1"/>
    <n v="0"/>
    <n v="28500"/>
    <n v="0"/>
  </r>
  <r>
    <n v="2020"/>
    <x v="8"/>
    <n v="30"/>
    <x v="2"/>
    <n v="0"/>
    <n v="28500"/>
    <n v="0"/>
  </r>
  <r>
    <n v="2020"/>
    <x v="8"/>
    <n v="30"/>
    <x v="3"/>
    <n v="0"/>
    <n v="28500"/>
    <n v="0"/>
  </r>
  <r>
    <n v="2020"/>
    <x v="8"/>
    <n v="30"/>
    <x v="4"/>
    <n v="0"/>
    <n v="28500"/>
    <n v="0"/>
  </r>
  <r>
    <n v="2020"/>
    <x v="8"/>
    <n v="30"/>
    <x v="5"/>
    <n v="0"/>
    <n v="28500"/>
    <n v="0"/>
  </r>
  <r>
    <n v="2020"/>
    <x v="8"/>
    <n v="30"/>
    <x v="6"/>
    <n v="0"/>
    <n v="28500"/>
    <n v="0"/>
  </r>
  <r>
    <n v="2020"/>
    <x v="8"/>
    <n v="30"/>
    <x v="7"/>
    <n v="6188.5"/>
    <n v="28500"/>
    <n v="0.21714035087719299"/>
  </r>
  <r>
    <n v="2020"/>
    <x v="8"/>
    <n v="30"/>
    <x v="8"/>
    <n v="7599.5"/>
    <n v="28500"/>
    <n v="0.26664912280701752"/>
  </r>
  <r>
    <n v="2020"/>
    <x v="8"/>
    <n v="30"/>
    <x v="9"/>
    <n v="4300.5"/>
    <n v="28500"/>
    <n v="0.15089473684210528"/>
  </r>
  <r>
    <n v="2020"/>
    <x v="8"/>
    <n v="30"/>
    <x v="10"/>
    <n v="9042.5"/>
    <n v="28500"/>
    <n v="0.31728070175438594"/>
  </r>
  <r>
    <n v="2020"/>
    <x v="8"/>
    <n v="30"/>
    <x v="11"/>
    <n v="13922"/>
    <n v="28500"/>
    <n v="0.48849122807017542"/>
  </r>
  <r>
    <n v="2020"/>
    <x v="8"/>
    <n v="30"/>
    <x v="12"/>
    <n v="2338"/>
    <n v="28500"/>
    <n v="8.2035087719298252E-2"/>
  </r>
  <r>
    <n v="2020"/>
    <x v="8"/>
    <n v="30"/>
    <x v="13"/>
    <n v="5877"/>
    <n v="28500"/>
    <n v="0.20621052631578948"/>
  </r>
  <r>
    <n v="2020"/>
    <x v="8"/>
    <n v="30"/>
    <x v="14"/>
    <n v="2201.5"/>
    <n v="28500"/>
    <n v="7.7245614035087715E-2"/>
  </r>
  <r>
    <n v="2020"/>
    <x v="8"/>
    <n v="30"/>
    <x v="15"/>
    <n v="2841.5"/>
    <n v="28500"/>
    <n v="9.9701754385964916E-2"/>
  </r>
  <r>
    <n v="2020"/>
    <x v="8"/>
    <n v="30"/>
    <x v="16"/>
    <n v="5459.5"/>
    <n v="28500"/>
    <n v="0.19156140350877193"/>
  </r>
  <r>
    <n v="2020"/>
    <x v="8"/>
    <n v="30"/>
    <x v="17"/>
    <n v="365"/>
    <n v="28500"/>
    <n v="1.2807017543859649E-2"/>
  </r>
  <r>
    <n v="2020"/>
    <x v="8"/>
    <n v="30"/>
    <x v="18"/>
    <n v="0"/>
    <n v="28500"/>
    <n v="0"/>
  </r>
  <r>
    <n v="2020"/>
    <x v="8"/>
    <n v="30"/>
    <x v="19"/>
    <n v="0"/>
    <n v="28500"/>
    <n v="0"/>
  </r>
  <r>
    <n v="2020"/>
    <x v="8"/>
    <n v="30"/>
    <x v="20"/>
    <n v="0"/>
    <n v="28500"/>
    <n v="0"/>
  </r>
  <r>
    <n v="2020"/>
    <x v="8"/>
    <n v="30"/>
    <x v="21"/>
    <n v="0"/>
    <n v="28500"/>
    <n v="0"/>
  </r>
  <r>
    <n v="2020"/>
    <x v="8"/>
    <n v="30"/>
    <x v="22"/>
    <n v="0"/>
    <n v="28500"/>
    <n v="0"/>
  </r>
  <r>
    <n v="2020"/>
    <x v="8"/>
    <n v="30"/>
    <x v="23"/>
    <n v="0"/>
    <n v="28500"/>
    <n v="0"/>
  </r>
  <r>
    <n v="2020"/>
    <x v="9"/>
    <n v="1"/>
    <x v="0"/>
    <n v="0"/>
    <n v="28500"/>
    <n v="0"/>
  </r>
  <r>
    <n v="2020"/>
    <x v="9"/>
    <n v="1"/>
    <x v="1"/>
    <n v="0"/>
    <n v="28500"/>
    <n v="0"/>
  </r>
  <r>
    <n v="2020"/>
    <x v="9"/>
    <n v="1"/>
    <x v="2"/>
    <n v="0"/>
    <n v="28500"/>
    <n v="0"/>
  </r>
  <r>
    <n v="2020"/>
    <x v="9"/>
    <n v="1"/>
    <x v="3"/>
    <n v="0"/>
    <n v="28500"/>
    <n v="0"/>
  </r>
  <r>
    <n v="2020"/>
    <x v="9"/>
    <n v="1"/>
    <x v="4"/>
    <n v="0"/>
    <n v="28500"/>
    <n v="0"/>
  </r>
  <r>
    <n v="2020"/>
    <x v="9"/>
    <n v="1"/>
    <x v="5"/>
    <n v="0"/>
    <n v="28500"/>
    <n v="0"/>
  </r>
  <r>
    <n v="2020"/>
    <x v="9"/>
    <n v="1"/>
    <x v="6"/>
    <n v="0"/>
    <n v="28500"/>
    <n v="0"/>
  </r>
  <r>
    <n v="2020"/>
    <x v="9"/>
    <n v="1"/>
    <x v="7"/>
    <n v="539"/>
    <n v="28500"/>
    <n v="1.8912280701754387E-2"/>
  </r>
  <r>
    <n v="2020"/>
    <x v="9"/>
    <n v="1"/>
    <x v="8"/>
    <n v="17948"/>
    <n v="28500"/>
    <n v="0.62975438596491229"/>
  </r>
  <r>
    <n v="2020"/>
    <x v="9"/>
    <n v="1"/>
    <x v="9"/>
    <n v="4449.5"/>
    <n v="28500"/>
    <n v="0.15612280701754386"/>
  </r>
  <r>
    <n v="2020"/>
    <x v="9"/>
    <n v="1"/>
    <x v="10"/>
    <n v="5179"/>
    <n v="28500"/>
    <n v="0.18171929824561403"/>
  </r>
  <r>
    <n v="2020"/>
    <x v="9"/>
    <n v="1"/>
    <x v="11"/>
    <n v="8719.5"/>
    <n v="28500"/>
    <n v="0.30594736842105263"/>
  </r>
  <r>
    <n v="2020"/>
    <x v="9"/>
    <n v="1"/>
    <x v="12"/>
    <n v="16796.5"/>
    <n v="28500"/>
    <n v="0.5893508771929824"/>
  </r>
  <r>
    <n v="2020"/>
    <x v="9"/>
    <n v="1"/>
    <x v="13"/>
    <n v="13688"/>
    <n v="28500"/>
    <n v="0.48028070175438597"/>
  </r>
  <r>
    <n v="2020"/>
    <x v="9"/>
    <n v="1"/>
    <x v="14"/>
    <n v="13268.5"/>
    <n v="28500"/>
    <n v="0.46556140350877195"/>
  </r>
  <r>
    <n v="2020"/>
    <x v="9"/>
    <n v="1"/>
    <x v="15"/>
    <n v="17755.5"/>
    <n v="28500"/>
    <n v="0.623"/>
  </r>
  <r>
    <n v="2020"/>
    <x v="9"/>
    <n v="1"/>
    <x v="16"/>
    <n v="8713"/>
    <n v="28500"/>
    <n v="0.30571929824561406"/>
  </r>
  <r>
    <n v="2020"/>
    <x v="9"/>
    <n v="1"/>
    <x v="17"/>
    <n v="318.5"/>
    <n v="28500"/>
    <n v="1.1175438596491227E-2"/>
  </r>
  <r>
    <n v="2020"/>
    <x v="9"/>
    <n v="1"/>
    <x v="18"/>
    <n v="0"/>
    <n v="28500"/>
    <n v="0"/>
  </r>
  <r>
    <n v="2020"/>
    <x v="9"/>
    <n v="1"/>
    <x v="19"/>
    <n v="0"/>
    <n v="28500"/>
    <n v="0"/>
  </r>
  <r>
    <n v="2020"/>
    <x v="9"/>
    <n v="1"/>
    <x v="20"/>
    <n v="0"/>
    <n v="28500"/>
    <n v="0"/>
  </r>
  <r>
    <n v="2020"/>
    <x v="9"/>
    <n v="1"/>
    <x v="21"/>
    <n v="0"/>
    <n v="28500"/>
    <n v="0"/>
  </r>
  <r>
    <n v="2020"/>
    <x v="9"/>
    <n v="1"/>
    <x v="22"/>
    <n v="0"/>
    <n v="28500"/>
    <n v="0"/>
  </r>
  <r>
    <n v="2020"/>
    <x v="9"/>
    <n v="1"/>
    <x v="23"/>
    <n v="0"/>
    <n v="28500"/>
    <n v="0"/>
  </r>
  <r>
    <n v="2020"/>
    <x v="9"/>
    <n v="2"/>
    <x v="0"/>
    <n v="0"/>
    <n v="28500"/>
    <n v="0"/>
  </r>
  <r>
    <n v="2020"/>
    <x v="9"/>
    <n v="2"/>
    <x v="1"/>
    <n v="0"/>
    <n v="28500"/>
    <n v="0"/>
  </r>
  <r>
    <n v="2020"/>
    <x v="9"/>
    <n v="2"/>
    <x v="2"/>
    <n v="0"/>
    <n v="28500"/>
    <n v="0"/>
  </r>
  <r>
    <n v="2020"/>
    <x v="9"/>
    <n v="2"/>
    <x v="3"/>
    <n v="0"/>
    <n v="28500"/>
    <n v="0"/>
  </r>
  <r>
    <n v="2020"/>
    <x v="9"/>
    <n v="2"/>
    <x v="4"/>
    <n v="0"/>
    <n v="28500"/>
    <n v="0"/>
  </r>
  <r>
    <n v="2020"/>
    <x v="9"/>
    <n v="2"/>
    <x v="5"/>
    <n v="0"/>
    <n v="28500"/>
    <n v="0"/>
  </r>
  <r>
    <n v="2020"/>
    <x v="9"/>
    <n v="2"/>
    <x v="6"/>
    <n v="0"/>
    <n v="28500"/>
    <n v="0"/>
  </r>
  <r>
    <n v="2020"/>
    <x v="9"/>
    <n v="2"/>
    <x v="7"/>
    <n v="244.5"/>
    <n v="28500"/>
    <n v="8.5789473684210523E-3"/>
  </r>
  <r>
    <n v="2020"/>
    <x v="9"/>
    <n v="2"/>
    <x v="8"/>
    <n v="1485.5"/>
    <n v="28500"/>
    <n v="5.2122807017543862E-2"/>
  </r>
  <r>
    <n v="2020"/>
    <x v="9"/>
    <n v="2"/>
    <x v="9"/>
    <n v="2033"/>
    <n v="28500"/>
    <n v="7.1333333333333332E-2"/>
  </r>
  <r>
    <n v="2020"/>
    <x v="9"/>
    <n v="2"/>
    <x v="10"/>
    <n v="2970"/>
    <n v="28500"/>
    <n v="0.10421052631578948"/>
  </r>
  <r>
    <n v="2020"/>
    <x v="9"/>
    <n v="2"/>
    <x v="11"/>
    <n v="3233.5"/>
    <n v="28500"/>
    <n v="0.1134561403508772"/>
  </r>
  <r>
    <n v="2020"/>
    <x v="9"/>
    <n v="2"/>
    <x v="12"/>
    <n v="2581.5"/>
    <n v="28500"/>
    <n v="9.0578947368421051E-2"/>
  </r>
  <r>
    <n v="2020"/>
    <x v="9"/>
    <n v="2"/>
    <x v="13"/>
    <n v="1874.5"/>
    <n v="28500"/>
    <n v="6.5771929824561398E-2"/>
  </r>
  <r>
    <n v="2020"/>
    <x v="9"/>
    <n v="2"/>
    <x v="14"/>
    <n v="1691"/>
    <n v="28500"/>
    <n v="5.9333333333333335E-2"/>
  </r>
  <r>
    <n v="2020"/>
    <x v="9"/>
    <n v="2"/>
    <x v="15"/>
    <n v="1654.5"/>
    <n v="28500"/>
    <n v="5.805263157894737E-2"/>
  </r>
  <r>
    <n v="2020"/>
    <x v="9"/>
    <n v="2"/>
    <x v="16"/>
    <n v="755.5"/>
    <n v="28500"/>
    <n v="2.6508771929824562E-2"/>
  </r>
  <r>
    <n v="2020"/>
    <x v="9"/>
    <n v="2"/>
    <x v="17"/>
    <n v="0"/>
    <n v="28500"/>
    <n v="0"/>
  </r>
  <r>
    <n v="2020"/>
    <x v="9"/>
    <n v="2"/>
    <x v="18"/>
    <n v="0"/>
    <n v="28500"/>
    <n v="0"/>
  </r>
  <r>
    <n v="2020"/>
    <x v="9"/>
    <n v="2"/>
    <x v="19"/>
    <n v="0"/>
    <n v="28500"/>
    <n v="0"/>
  </r>
  <r>
    <n v="2020"/>
    <x v="9"/>
    <n v="2"/>
    <x v="20"/>
    <n v="0"/>
    <n v="28500"/>
    <n v="0"/>
  </r>
  <r>
    <n v="2020"/>
    <x v="9"/>
    <n v="2"/>
    <x v="21"/>
    <n v="0"/>
    <n v="28500"/>
    <n v="0"/>
  </r>
  <r>
    <n v="2020"/>
    <x v="9"/>
    <n v="2"/>
    <x v="22"/>
    <n v="0"/>
    <n v="28500"/>
    <n v="0"/>
  </r>
  <r>
    <n v="2020"/>
    <x v="9"/>
    <n v="2"/>
    <x v="23"/>
    <n v="0"/>
    <n v="28500"/>
    <n v="0"/>
  </r>
  <r>
    <n v="2020"/>
    <x v="9"/>
    <n v="3"/>
    <x v="0"/>
    <n v="0"/>
    <n v="28500"/>
    <n v="0"/>
  </r>
  <r>
    <n v="2020"/>
    <x v="9"/>
    <n v="3"/>
    <x v="1"/>
    <n v="0"/>
    <n v="28500"/>
    <n v="0"/>
  </r>
  <r>
    <n v="2020"/>
    <x v="9"/>
    <n v="3"/>
    <x v="2"/>
    <n v="0"/>
    <n v="28500"/>
    <n v="0"/>
  </r>
  <r>
    <n v="2020"/>
    <x v="9"/>
    <n v="3"/>
    <x v="3"/>
    <n v="0"/>
    <n v="28500"/>
    <n v="0"/>
  </r>
  <r>
    <n v="2020"/>
    <x v="9"/>
    <n v="3"/>
    <x v="4"/>
    <n v="0"/>
    <n v="28500"/>
    <n v="0"/>
  </r>
  <r>
    <n v="2020"/>
    <x v="9"/>
    <n v="3"/>
    <x v="5"/>
    <n v="0"/>
    <n v="28500"/>
    <n v="0"/>
  </r>
  <r>
    <n v="2020"/>
    <x v="9"/>
    <n v="3"/>
    <x v="6"/>
    <n v="0"/>
    <n v="28500"/>
    <n v="0"/>
  </r>
  <r>
    <n v="2020"/>
    <x v="9"/>
    <n v="3"/>
    <x v="7"/>
    <n v="242"/>
    <n v="28500"/>
    <n v="8.4912280701754383E-3"/>
  </r>
  <r>
    <n v="2020"/>
    <x v="9"/>
    <n v="3"/>
    <x v="8"/>
    <n v="1122"/>
    <n v="28500"/>
    <n v="3.936842105263158E-2"/>
  </r>
  <r>
    <n v="2020"/>
    <x v="9"/>
    <n v="3"/>
    <x v="9"/>
    <n v="1435"/>
    <n v="28500"/>
    <n v="5.0350877192982459E-2"/>
  </r>
  <r>
    <n v="2020"/>
    <x v="9"/>
    <n v="3"/>
    <x v="10"/>
    <n v="10527"/>
    <n v="28500"/>
    <n v="0.36936842105263157"/>
  </r>
  <r>
    <n v="2020"/>
    <x v="9"/>
    <n v="3"/>
    <x v="11"/>
    <n v="5033.5"/>
    <n v="28500"/>
    <n v="0.17661403508771931"/>
  </r>
  <r>
    <n v="2020"/>
    <x v="9"/>
    <n v="3"/>
    <x v="12"/>
    <n v="9884.5"/>
    <n v="28500"/>
    <n v="0.34682456140350876"/>
  </r>
  <r>
    <n v="2020"/>
    <x v="9"/>
    <n v="3"/>
    <x v="13"/>
    <n v="10127"/>
    <n v="28500"/>
    <n v="0.35533333333333333"/>
  </r>
  <r>
    <n v="2020"/>
    <x v="9"/>
    <n v="3"/>
    <x v="14"/>
    <n v="5394"/>
    <n v="28500"/>
    <n v="0.18926315789473686"/>
  </r>
  <r>
    <n v="2020"/>
    <x v="9"/>
    <n v="3"/>
    <x v="15"/>
    <n v="8759"/>
    <n v="28500"/>
    <n v="0.30733333333333335"/>
  </r>
  <r>
    <n v="2020"/>
    <x v="9"/>
    <n v="3"/>
    <x v="16"/>
    <n v="850"/>
    <n v="28500"/>
    <n v="2.9824561403508771E-2"/>
  </r>
  <r>
    <n v="2020"/>
    <x v="9"/>
    <n v="3"/>
    <x v="17"/>
    <n v="50"/>
    <n v="28500"/>
    <n v="1.7543859649122807E-3"/>
  </r>
  <r>
    <n v="2020"/>
    <x v="9"/>
    <n v="3"/>
    <x v="18"/>
    <n v="0"/>
    <n v="28500"/>
    <n v="0"/>
  </r>
  <r>
    <n v="2020"/>
    <x v="9"/>
    <n v="3"/>
    <x v="19"/>
    <n v="0"/>
    <n v="28500"/>
    <n v="0"/>
  </r>
  <r>
    <n v="2020"/>
    <x v="9"/>
    <n v="3"/>
    <x v="20"/>
    <n v="0"/>
    <n v="28500"/>
    <n v="0"/>
  </r>
  <r>
    <n v="2020"/>
    <x v="9"/>
    <n v="3"/>
    <x v="21"/>
    <n v="0"/>
    <n v="28500"/>
    <n v="0"/>
  </r>
  <r>
    <n v="2020"/>
    <x v="9"/>
    <n v="3"/>
    <x v="22"/>
    <n v="0"/>
    <n v="28500"/>
    <n v="0"/>
  </r>
  <r>
    <n v="2020"/>
    <x v="9"/>
    <n v="3"/>
    <x v="23"/>
    <n v="0"/>
    <n v="28500"/>
    <n v="0"/>
  </r>
  <r>
    <n v="2020"/>
    <x v="9"/>
    <n v="4"/>
    <x v="0"/>
    <n v="0"/>
    <n v="28500"/>
    <n v="0"/>
  </r>
  <r>
    <n v="2020"/>
    <x v="9"/>
    <n v="4"/>
    <x v="1"/>
    <n v="0"/>
    <n v="28500"/>
    <n v="0"/>
  </r>
  <r>
    <n v="2020"/>
    <x v="9"/>
    <n v="4"/>
    <x v="2"/>
    <n v="0"/>
    <n v="28500"/>
    <n v="0"/>
  </r>
  <r>
    <n v="2020"/>
    <x v="9"/>
    <n v="4"/>
    <x v="3"/>
    <n v="0"/>
    <n v="28500"/>
    <n v="0"/>
  </r>
  <r>
    <n v="2020"/>
    <x v="9"/>
    <n v="4"/>
    <x v="4"/>
    <n v="0"/>
    <n v="28500"/>
    <n v="0"/>
  </r>
  <r>
    <n v="2020"/>
    <x v="9"/>
    <n v="4"/>
    <x v="5"/>
    <n v="0"/>
    <n v="28500"/>
    <n v="0"/>
  </r>
  <r>
    <n v="2020"/>
    <x v="9"/>
    <n v="4"/>
    <x v="6"/>
    <n v="0"/>
    <n v="28500"/>
    <n v="0"/>
  </r>
  <r>
    <n v="2020"/>
    <x v="9"/>
    <n v="4"/>
    <x v="7"/>
    <n v="333"/>
    <n v="28500"/>
    <n v="1.168421052631579E-2"/>
  </r>
  <r>
    <n v="2020"/>
    <x v="9"/>
    <n v="4"/>
    <x v="8"/>
    <n v="1397"/>
    <n v="28500"/>
    <n v="4.9017543859649119E-2"/>
  </r>
  <r>
    <n v="2020"/>
    <x v="9"/>
    <n v="4"/>
    <x v="9"/>
    <n v="4755"/>
    <n v="28500"/>
    <n v="0.1668421052631579"/>
  </r>
  <r>
    <n v="2020"/>
    <x v="9"/>
    <n v="4"/>
    <x v="10"/>
    <n v="4340"/>
    <n v="28500"/>
    <n v="0.15228070175438596"/>
  </r>
  <r>
    <n v="2020"/>
    <x v="9"/>
    <n v="4"/>
    <x v="11"/>
    <n v="4691"/>
    <n v="28500"/>
    <n v="0.16459649122807019"/>
  </r>
  <r>
    <n v="2020"/>
    <x v="9"/>
    <n v="4"/>
    <x v="12"/>
    <n v="3543"/>
    <n v="28500"/>
    <n v="0.12431578947368421"/>
  </r>
  <r>
    <n v="2020"/>
    <x v="9"/>
    <n v="4"/>
    <x v="13"/>
    <n v="5594.5"/>
    <n v="28500"/>
    <n v="0.19629824561403508"/>
  </r>
  <r>
    <n v="2020"/>
    <x v="9"/>
    <n v="4"/>
    <x v="14"/>
    <n v="2536"/>
    <n v="28500"/>
    <n v="8.8982456140350871E-2"/>
  </r>
  <r>
    <n v="2020"/>
    <x v="9"/>
    <n v="4"/>
    <x v="15"/>
    <n v="2652.5"/>
    <n v="28500"/>
    <n v="9.3070175438596497E-2"/>
  </r>
  <r>
    <n v="2020"/>
    <x v="9"/>
    <n v="4"/>
    <x v="16"/>
    <n v="193.5"/>
    <n v="28500"/>
    <n v="6.7894736842105266E-3"/>
  </r>
  <r>
    <n v="2020"/>
    <x v="9"/>
    <n v="4"/>
    <x v="17"/>
    <n v="0"/>
    <n v="28500"/>
    <n v="0"/>
  </r>
  <r>
    <n v="2020"/>
    <x v="9"/>
    <n v="4"/>
    <x v="18"/>
    <n v="0"/>
    <n v="28500"/>
    <n v="0"/>
  </r>
  <r>
    <n v="2020"/>
    <x v="9"/>
    <n v="4"/>
    <x v="19"/>
    <n v="0"/>
    <n v="28500"/>
    <n v="0"/>
  </r>
  <r>
    <n v="2020"/>
    <x v="9"/>
    <n v="4"/>
    <x v="20"/>
    <n v="0"/>
    <n v="28500"/>
    <n v="0"/>
  </r>
  <r>
    <n v="2020"/>
    <x v="9"/>
    <n v="4"/>
    <x v="21"/>
    <n v="0"/>
    <n v="28500"/>
    <n v="0"/>
  </r>
  <r>
    <n v="2020"/>
    <x v="9"/>
    <n v="4"/>
    <x v="22"/>
    <n v="0"/>
    <n v="28500"/>
    <n v="0"/>
  </r>
  <r>
    <n v="2020"/>
    <x v="9"/>
    <n v="4"/>
    <x v="23"/>
    <n v="0"/>
    <n v="28500"/>
    <n v="0"/>
  </r>
  <r>
    <n v="2020"/>
    <x v="9"/>
    <n v="5"/>
    <x v="0"/>
    <n v="0"/>
    <n v="28500"/>
    <n v="0"/>
  </r>
  <r>
    <n v="2020"/>
    <x v="9"/>
    <n v="5"/>
    <x v="1"/>
    <n v="0"/>
    <n v="28500"/>
    <n v="0"/>
  </r>
  <r>
    <n v="2020"/>
    <x v="9"/>
    <n v="5"/>
    <x v="2"/>
    <n v="0"/>
    <n v="28500"/>
    <n v="0"/>
  </r>
  <r>
    <n v="2020"/>
    <x v="9"/>
    <n v="5"/>
    <x v="3"/>
    <n v="0"/>
    <n v="28500"/>
    <n v="0"/>
  </r>
  <r>
    <n v="2020"/>
    <x v="9"/>
    <n v="5"/>
    <x v="4"/>
    <n v="0"/>
    <n v="28500"/>
    <n v="0"/>
  </r>
  <r>
    <n v="2020"/>
    <x v="9"/>
    <n v="5"/>
    <x v="5"/>
    <n v="0"/>
    <n v="28500"/>
    <n v="0"/>
  </r>
  <r>
    <n v="2020"/>
    <x v="9"/>
    <n v="5"/>
    <x v="6"/>
    <n v="0"/>
    <n v="28500"/>
    <n v="0"/>
  </r>
  <r>
    <n v="2020"/>
    <x v="9"/>
    <n v="5"/>
    <x v="7"/>
    <n v="705.5"/>
    <n v="28500"/>
    <n v="2.4754385964912282E-2"/>
  </r>
  <r>
    <n v="2020"/>
    <x v="9"/>
    <n v="5"/>
    <x v="8"/>
    <n v="8834"/>
    <n v="28500"/>
    <n v="0.30996491228070178"/>
  </r>
  <r>
    <n v="2020"/>
    <x v="9"/>
    <n v="5"/>
    <x v="9"/>
    <n v="7597.5"/>
    <n v="28500"/>
    <n v="0.26657894736842103"/>
  </r>
  <r>
    <n v="2020"/>
    <x v="9"/>
    <n v="5"/>
    <x v="10"/>
    <n v="32516"/>
    <n v="28500"/>
    <n v="1.1409122807017544"/>
  </r>
  <r>
    <n v="2020"/>
    <x v="9"/>
    <n v="5"/>
    <x v="11"/>
    <n v="34589.5"/>
    <n v="28500"/>
    <n v="1.2136666666666667"/>
  </r>
  <r>
    <n v="2020"/>
    <x v="9"/>
    <n v="5"/>
    <x v="12"/>
    <n v="25856"/>
    <n v="28500"/>
    <n v="0.90722807017543861"/>
  </r>
  <r>
    <n v="2020"/>
    <x v="9"/>
    <n v="5"/>
    <x v="13"/>
    <n v="16238"/>
    <n v="28500"/>
    <n v="0.56975438596491224"/>
  </r>
  <r>
    <n v="2020"/>
    <x v="9"/>
    <n v="5"/>
    <x v="14"/>
    <n v="8123"/>
    <n v="28500"/>
    <n v="0.28501754385964911"/>
  </r>
  <r>
    <n v="2020"/>
    <x v="9"/>
    <n v="5"/>
    <x v="15"/>
    <n v="3322"/>
    <n v="28500"/>
    <n v="0.11656140350877194"/>
  </r>
  <r>
    <n v="2020"/>
    <x v="9"/>
    <n v="5"/>
    <x v="16"/>
    <n v="2191"/>
    <n v="28500"/>
    <n v="7.6877192982456141E-2"/>
  </r>
  <r>
    <n v="2020"/>
    <x v="9"/>
    <n v="5"/>
    <x v="17"/>
    <n v="0"/>
    <n v="28500"/>
    <n v="0"/>
  </r>
  <r>
    <n v="2020"/>
    <x v="9"/>
    <n v="5"/>
    <x v="18"/>
    <n v="0"/>
    <n v="28500"/>
    <n v="0"/>
  </r>
  <r>
    <n v="2020"/>
    <x v="9"/>
    <n v="5"/>
    <x v="19"/>
    <n v="0"/>
    <n v="28500"/>
    <n v="0"/>
  </r>
  <r>
    <n v="2020"/>
    <x v="9"/>
    <n v="5"/>
    <x v="20"/>
    <n v="0"/>
    <n v="28500"/>
    <n v="0"/>
  </r>
  <r>
    <n v="2020"/>
    <x v="9"/>
    <n v="5"/>
    <x v="21"/>
    <n v="0"/>
    <n v="28500"/>
    <n v="0"/>
  </r>
  <r>
    <n v="2020"/>
    <x v="9"/>
    <n v="5"/>
    <x v="22"/>
    <n v="0"/>
    <n v="28500"/>
    <n v="0"/>
  </r>
  <r>
    <n v="2020"/>
    <x v="9"/>
    <n v="5"/>
    <x v="23"/>
    <n v="0"/>
    <n v="28500"/>
    <n v="0"/>
  </r>
  <r>
    <n v="2020"/>
    <x v="9"/>
    <n v="6"/>
    <x v="0"/>
    <n v="0"/>
    <n v="28500"/>
    <n v="0"/>
  </r>
  <r>
    <n v="2020"/>
    <x v="9"/>
    <n v="6"/>
    <x v="1"/>
    <n v="0"/>
    <n v="28500"/>
    <n v="0"/>
  </r>
  <r>
    <n v="2020"/>
    <x v="9"/>
    <n v="6"/>
    <x v="2"/>
    <n v="0"/>
    <n v="28500"/>
    <n v="0"/>
  </r>
  <r>
    <n v="2020"/>
    <x v="9"/>
    <n v="6"/>
    <x v="3"/>
    <n v="0"/>
    <n v="28500"/>
    <n v="0"/>
  </r>
  <r>
    <n v="2020"/>
    <x v="9"/>
    <n v="6"/>
    <x v="4"/>
    <n v="0"/>
    <n v="28500"/>
    <n v="0"/>
  </r>
  <r>
    <n v="2020"/>
    <x v="9"/>
    <n v="6"/>
    <x v="5"/>
    <n v="0"/>
    <n v="28500"/>
    <n v="0"/>
  </r>
  <r>
    <n v="2020"/>
    <x v="9"/>
    <n v="6"/>
    <x v="6"/>
    <n v="0"/>
    <n v="28500"/>
    <n v="0"/>
  </r>
  <r>
    <n v="2020"/>
    <x v="9"/>
    <n v="6"/>
    <x v="7"/>
    <n v="6635.5"/>
    <n v="28500"/>
    <n v="0.23282456140350877"/>
  </r>
  <r>
    <n v="2020"/>
    <x v="9"/>
    <n v="6"/>
    <x v="8"/>
    <n v="13809"/>
    <n v="28500"/>
    <n v="0.48452631578947369"/>
  </r>
  <r>
    <n v="2020"/>
    <x v="9"/>
    <n v="6"/>
    <x v="9"/>
    <n v="24438"/>
    <n v="28500"/>
    <n v="0.85747368421052628"/>
  </r>
  <r>
    <n v="2020"/>
    <x v="9"/>
    <n v="6"/>
    <x v="10"/>
    <n v="7931.5"/>
    <n v="28500"/>
    <n v="0.2782982456140351"/>
  </r>
  <r>
    <n v="2020"/>
    <x v="9"/>
    <n v="6"/>
    <x v="11"/>
    <n v="8352.5"/>
    <n v="28500"/>
    <n v="0.29307017543859648"/>
  </r>
  <r>
    <n v="2020"/>
    <x v="9"/>
    <n v="6"/>
    <x v="12"/>
    <n v="8517.5"/>
    <n v="28500"/>
    <n v="0.29885964912280699"/>
  </r>
  <r>
    <n v="2020"/>
    <x v="9"/>
    <n v="6"/>
    <x v="13"/>
    <n v="15094.5"/>
    <n v="28500"/>
    <n v="0.52963157894736845"/>
  </r>
  <r>
    <n v="2020"/>
    <x v="9"/>
    <n v="6"/>
    <x v="14"/>
    <n v="25773.5"/>
    <n v="28500"/>
    <n v="0.90433333333333332"/>
  </r>
  <r>
    <n v="2020"/>
    <x v="9"/>
    <n v="6"/>
    <x v="15"/>
    <n v="8108.5"/>
    <n v="28500"/>
    <n v="0.28450877192982454"/>
  </r>
  <r>
    <n v="2020"/>
    <x v="9"/>
    <n v="6"/>
    <x v="16"/>
    <n v="3659.5"/>
    <n v="28500"/>
    <n v="0.12840350877192983"/>
  </r>
  <r>
    <n v="2020"/>
    <x v="9"/>
    <n v="6"/>
    <x v="17"/>
    <n v="0"/>
    <n v="28500"/>
    <n v="0"/>
  </r>
  <r>
    <n v="2020"/>
    <x v="9"/>
    <n v="6"/>
    <x v="18"/>
    <n v="0"/>
    <n v="28500"/>
    <n v="0"/>
  </r>
  <r>
    <n v="2020"/>
    <x v="9"/>
    <n v="6"/>
    <x v="19"/>
    <n v="0"/>
    <n v="28500"/>
    <n v="0"/>
  </r>
  <r>
    <n v="2020"/>
    <x v="9"/>
    <n v="6"/>
    <x v="20"/>
    <n v="0"/>
    <n v="28500"/>
    <n v="0"/>
  </r>
  <r>
    <n v="2020"/>
    <x v="9"/>
    <n v="6"/>
    <x v="21"/>
    <n v="0"/>
    <n v="28500"/>
    <n v="0"/>
  </r>
  <r>
    <n v="2020"/>
    <x v="9"/>
    <n v="6"/>
    <x v="22"/>
    <n v="0"/>
    <n v="28500"/>
    <n v="0"/>
  </r>
  <r>
    <n v="2020"/>
    <x v="9"/>
    <n v="6"/>
    <x v="23"/>
    <n v="0"/>
    <n v="28500"/>
    <n v="0"/>
  </r>
  <r>
    <n v="2020"/>
    <x v="9"/>
    <n v="7"/>
    <x v="0"/>
    <n v="0"/>
    <n v="28500"/>
    <n v="0"/>
  </r>
  <r>
    <n v="2020"/>
    <x v="9"/>
    <n v="7"/>
    <x v="1"/>
    <n v="0"/>
    <n v="28500"/>
    <n v="0"/>
  </r>
  <r>
    <n v="2020"/>
    <x v="9"/>
    <n v="7"/>
    <x v="2"/>
    <n v="0"/>
    <n v="28500"/>
    <n v="0"/>
  </r>
  <r>
    <n v="2020"/>
    <x v="9"/>
    <n v="7"/>
    <x v="3"/>
    <n v="0"/>
    <n v="28500"/>
    <n v="0"/>
  </r>
  <r>
    <n v="2020"/>
    <x v="9"/>
    <n v="7"/>
    <x v="4"/>
    <n v="0"/>
    <n v="28500"/>
    <n v="0"/>
  </r>
  <r>
    <n v="2020"/>
    <x v="9"/>
    <n v="7"/>
    <x v="5"/>
    <n v="0"/>
    <n v="28500"/>
    <n v="0"/>
  </r>
  <r>
    <n v="2020"/>
    <x v="9"/>
    <n v="7"/>
    <x v="6"/>
    <n v="0"/>
    <n v="28500"/>
    <n v="0"/>
  </r>
  <r>
    <n v="2020"/>
    <x v="9"/>
    <n v="7"/>
    <x v="7"/>
    <n v="1750.5"/>
    <n v="28500"/>
    <n v="6.1421052631578946E-2"/>
  </r>
  <r>
    <n v="2020"/>
    <x v="9"/>
    <n v="7"/>
    <x v="8"/>
    <n v="7397.5"/>
    <n v="28500"/>
    <n v="0.25956140350877194"/>
  </r>
  <r>
    <n v="2020"/>
    <x v="9"/>
    <n v="7"/>
    <x v="9"/>
    <n v="11538.5"/>
    <n v="28500"/>
    <n v="0.40485964912280703"/>
  </r>
  <r>
    <n v="2020"/>
    <x v="9"/>
    <n v="7"/>
    <x v="10"/>
    <n v="30231"/>
    <n v="28500"/>
    <n v="1.0607368421052632"/>
  </r>
  <r>
    <n v="2020"/>
    <x v="9"/>
    <n v="7"/>
    <x v="11"/>
    <n v="26515.5"/>
    <n v="28500"/>
    <n v="0.93036842105263162"/>
  </r>
  <r>
    <n v="2020"/>
    <x v="9"/>
    <n v="7"/>
    <x v="12"/>
    <n v="23834.5"/>
    <n v="28500"/>
    <n v="0.8362982456140351"/>
  </r>
  <r>
    <n v="2020"/>
    <x v="9"/>
    <n v="7"/>
    <x v="13"/>
    <n v="28991.5"/>
    <n v="28500"/>
    <n v="1.0172456140350876"/>
  </r>
  <r>
    <n v="2020"/>
    <x v="9"/>
    <n v="7"/>
    <x v="14"/>
    <n v="20982"/>
    <n v="28500"/>
    <n v="0.73621052631578943"/>
  </r>
  <r>
    <n v="2020"/>
    <x v="9"/>
    <n v="7"/>
    <x v="15"/>
    <n v="13736"/>
    <n v="28500"/>
    <n v="0.48196491228070176"/>
  </r>
  <r>
    <n v="2020"/>
    <x v="9"/>
    <n v="7"/>
    <x v="16"/>
    <n v="4793"/>
    <n v="28500"/>
    <n v="0.16817543859649123"/>
  </r>
  <r>
    <n v="2020"/>
    <x v="9"/>
    <n v="7"/>
    <x v="17"/>
    <n v="0"/>
    <n v="28500"/>
    <n v="0"/>
  </r>
  <r>
    <n v="2020"/>
    <x v="9"/>
    <n v="7"/>
    <x v="18"/>
    <n v="0"/>
    <n v="28500"/>
    <n v="0"/>
  </r>
  <r>
    <n v="2020"/>
    <x v="9"/>
    <n v="7"/>
    <x v="19"/>
    <n v="0"/>
    <n v="28500"/>
    <n v="0"/>
  </r>
  <r>
    <n v="2020"/>
    <x v="9"/>
    <n v="7"/>
    <x v="20"/>
    <n v="0"/>
    <n v="28500"/>
    <n v="0"/>
  </r>
  <r>
    <n v="2020"/>
    <x v="9"/>
    <n v="7"/>
    <x v="21"/>
    <n v="0"/>
    <n v="28500"/>
    <n v="0"/>
  </r>
  <r>
    <n v="2020"/>
    <x v="9"/>
    <n v="7"/>
    <x v="22"/>
    <n v="0"/>
    <n v="28500"/>
    <n v="0"/>
  </r>
  <r>
    <n v="2020"/>
    <x v="9"/>
    <n v="7"/>
    <x v="23"/>
    <n v="0"/>
    <n v="28500"/>
    <n v="0"/>
  </r>
  <r>
    <n v="2020"/>
    <x v="9"/>
    <n v="8"/>
    <x v="0"/>
    <n v="0"/>
    <n v="28500"/>
    <n v="0"/>
  </r>
  <r>
    <n v="2020"/>
    <x v="9"/>
    <n v="8"/>
    <x v="1"/>
    <n v="0"/>
    <n v="28500"/>
    <n v="0"/>
  </r>
  <r>
    <n v="2020"/>
    <x v="9"/>
    <n v="8"/>
    <x v="2"/>
    <n v="0"/>
    <n v="28500"/>
    <n v="0"/>
  </r>
  <r>
    <n v="2020"/>
    <x v="9"/>
    <n v="8"/>
    <x v="3"/>
    <n v="0"/>
    <n v="28500"/>
    <n v="0"/>
  </r>
  <r>
    <n v="2020"/>
    <x v="9"/>
    <n v="8"/>
    <x v="4"/>
    <n v="0"/>
    <n v="28500"/>
    <n v="0"/>
  </r>
  <r>
    <n v="2020"/>
    <x v="9"/>
    <n v="8"/>
    <x v="5"/>
    <n v="0"/>
    <n v="28500"/>
    <n v="0"/>
  </r>
  <r>
    <n v="2020"/>
    <x v="9"/>
    <n v="8"/>
    <x v="6"/>
    <n v="0"/>
    <n v="28500"/>
    <n v="0"/>
  </r>
  <r>
    <n v="2020"/>
    <x v="9"/>
    <n v="8"/>
    <x v="7"/>
    <n v="1196.5"/>
    <n v="28500"/>
    <n v="4.1982456140350878E-2"/>
  </r>
  <r>
    <n v="2020"/>
    <x v="9"/>
    <n v="8"/>
    <x v="8"/>
    <n v="5116"/>
    <n v="28500"/>
    <n v="0.17950877192982456"/>
  </r>
  <r>
    <n v="2020"/>
    <x v="9"/>
    <n v="8"/>
    <x v="9"/>
    <n v="4027.5"/>
    <n v="28500"/>
    <n v="0.1413157894736842"/>
  </r>
  <r>
    <n v="2020"/>
    <x v="9"/>
    <n v="8"/>
    <x v="10"/>
    <n v="7847.5"/>
    <n v="28500"/>
    <n v="0.27535087719298246"/>
  </r>
  <r>
    <n v="2020"/>
    <x v="9"/>
    <n v="8"/>
    <x v="11"/>
    <n v="2987"/>
    <n v="28500"/>
    <n v="0.10480701754385965"/>
  </r>
  <r>
    <n v="2020"/>
    <x v="9"/>
    <n v="8"/>
    <x v="12"/>
    <n v="2573"/>
    <n v="28500"/>
    <n v="9.0280701754385961E-2"/>
  </r>
  <r>
    <n v="2020"/>
    <x v="9"/>
    <n v="8"/>
    <x v="13"/>
    <n v="7112.5"/>
    <n v="28500"/>
    <n v="0.24956140350877193"/>
  </r>
  <r>
    <n v="2020"/>
    <x v="9"/>
    <n v="8"/>
    <x v="14"/>
    <n v="9856"/>
    <n v="28500"/>
    <n v="0.34582456140350876"/>
  </r>
  <r>
    <n v="2020"/>
    <x v="9"/>
    <n v="8"/>
    <x v="15"/>
    <n v="14274.5"/>
    <n v="28500"/>
    <n v="0.500859649122807"/>
  </r>
  <r>
    <n v="2020"/>
    <x v="9"/>
    <n v="8"/>
    <x v="16"/>
    <n v="1787"/>
    <n v="28500"/>
    <n v="6.2701754385964911E-2"/>
  </r>
  <r>
    <n v="2020"/>
    <x v="9"/>
    <n v="8"/>
    <x v="17"/>
    <n v="0"/>
    <n v="28500"/>
    <n v="0"/>
  </r>
  <r>
    <n v="2020"/>
    <x v="9"/>
    <n v="8"/>
    <x v="18"/>
    <n v="0"/>
    <n v="28500"/>
    <n v="0"/>
  </r>
  <r>
    <n v="2020"/>
    <x v="9"/>
    <n v="8"/>
    <x v="19"/>
    <n v="0"/>
    <n v="28500"/>
    <n v="0"/>
  </r>
  <r>
    <n v="2020"/>
    <x v="9"/>
    <n v="8"/>
    <x v="20"/>
    <n v="0"/>
    <n v="28500"/>
    <n v="0"/>
  </r>
  <r>
    <n v="2020"/>
    <x v="9"/>
    <n v="8"/>
    <x v="21"/>
    <n v="0"/>
    <n v="28500"/>
    <n v="0"/>
  </r>
  <r>
    <n v="2020"/>
    <x v="9"/>
    <n v="8"/>
    <x v="22"/>
    <n v="0"/>
    <n v="28500"/>
    <n v="0"/>
  </r>
  <r>
    <n v="2020"/>
    <x v="9"/>
    <n v="8"/>
    <x v="23"/>
    <n v="0"/>
    <n v="28500"/>
    <n v="0"/>
  </r>
  <r>
    <n v="2020"/>
    <x v="9"/>
    <n v="9"/>
    <x v="0"/>
    <n v="0"/>
    <n v="28500"/>
    <n v="0"/>
  </r>
  <r>
    <n v="2020"/>
    <x v="9"/>
    <n v="9"/>
    <x v="1"/>
    <n v="0"/>
    <n v="28500"/>
    <n v="0"/>
  </r>
  <r>
    <n v="2020"/>
    <x v="9"/>
    <n v="9"/>
    <x v="2"/>
    <n v="0"/>
    <n v="28500"/>
    <n v="0"/>
  </r>
  <r>
    <n v="2020"/>
    <x v="9"/>
    <n v="9"/>
    <x v="3"/>
    <n v="0"/>
    <n v="28500"/>
    <n v="0"/>
  </r>
  <r>
    <n v="2020"/>
    <x v="9"/>
    <n v="9"/>
    <x v="4"/>
    <n v="0"/>
    <n v="28500"/>
    <n v="0"/>
  </r>
  <r>
    <n v="2020"/>
    <x v="9"/>
    <n v="9"/>
    <x v="5"/>
    <n v="0"/>
    <n v="28500"/>
    <n v="0"/>
  </r>
  <r>
    <n v="2020"/>
    <x v="9"/>
    <n v="9"/>
    <x v="6"/>
    <n v="0"/>
    <n v="28500"/>
    <n v="0"/>
  </r>
  <r>
    <n v="2020"/>
    <x v="9"/>
    <n v="9"/>
    <x v="7"/>
    <n v="5222"/>
    <n v="28500"/>
    <n v="0.1832280701754386"/>
  </r>
  <r>
    <n v="2020"/>
    <x v="9"/>
    <n v="9"/>
    <x v="8"/>
    <n v="16048.5"/>
    <n v="28500"/>
    <n v="0.56310526315789478"/>
  </r>
  <r>
    <n v="2020"/>
    <x v="9"/>
    <n v="9"/>
    <x v="9"/>
    <n v="26414.5"/>
    <n v="28500"/>
    <n v="0.92682456140350877"/>
  </r>
  <r>
    <n v="2020"/>
    <x v="9"/>
    <n v="9"/>
    <x v="10"/>
    <n v="32152.5"/>
    <n v="28500"/>
    <n v="1.128157894736842"/>
  </r>
  <r>
    <n v="2020"/>
    <x v="9"/>
    <n v="9"/>
    <x v="11"/>
    <n v="34318"/>
    <n v="28500"/>
    <n v="1.2041403508771931"/>
  </r>
  <r>
    <n v="2020"/>
    <x v="9"/>
    <n v="9"/>
    <x v="12"/>
    <n v="12394.5"/>
    <n v="28500"/>
    <n v="0.43489473684210528"/>
  </r>
  <r>
    <n v="2020"/>
    <x v="9"/>
    <n v="9"/>
    <x v="13"/>
    <n v="7775"/>
    <n v="28500"/>
    <n v="0.27280701754385966"/>
  </r>
  <r>
    <n v="2020"/>
    <x v="9"/>
    <n v="9"/>
    <x v="14"/>
    <n v="6457"/>
    <n v="28500"/>
    <n v="0.22656140350877194"/>
  </r>
  <r>
    <n v="2020"/>
    <x v="9"/>
    <n v="9"/>
    <x v="15"/>
    <n v="4744"/>
    <n v="28500"/>
    <n v="0.16645614035087719"/>
  </r>
  <r>
    <n v="2020"/>
    <x v="9"/>
    <n v="9"/>
    <x v="16"/>
    <n v="2437.5"/>
    <n v="28500"/>
    <n v="8.5526315789473686E-2"/>
  </r>
  <r>
    <n v="2020"/>
    <x v="9"/>
    <n v="9"/>
    <x v="17"/>
    <n v="0"/>
    <n v="28500"/>
    <n v="0"/>
  </r>
  <r>
    <n v="2020"/>
    <x v="9"/>
    <n v="9"/>
    <x v="18"/>
    <n v="0"/>
    <n v="28500"/>
    <n v="0"/>
  </r>
  <r>
    <n v="2020"/>
    <x v="9"/>
    <n v="9"/>
    <x v="19"/>
    <n v="0"/>
    <n v="28500"/>
    <n v="0"/>
  </r>
  <r>
    <n v="2020"/>
    <x v="9"/>
    <n v="9"/>
    <x v="20"/>
    <n v="0"/>
    <n v="28500"/>
    <n v="0"/>
  </r>
  <r>
    <n v="2020"/>
    <x v="9"/>
    <n v="9"/>
    <x v="21"/>
    <n v="0"/>
    <n v="28500"/>
    <n v="0"/>
  </r>
  <r>
    <n v="2020"/>
    <x v="9"/>
    <n v="9"/>
    <x v="22"/>
    <n v="0"/>
    <n v="28500"/>
    <n v="0"/>
  </r>
  <r>
    <n v="2020"/>
    <x v="9"/>
    <n v="9"/>
    <x v="23"/>
    <n v="0"/>
    <n v="28500"/>
    <n v="0"/>
  </r>
  <r>
    <n v="2020"/>
    <x v="9"/>
    <n v="10"/>
    <x v="0"/>
    <n v="0"/>
    <n v="28500"/>
    <n v="0"/>
  </r>
  <r>
    <n v="2020"/>
    <x v="9"/>
    <n v="10"/>
    <x v="1"/>
    <n v="0"/>
    <n v="28500"/>
    <n v="0"/>
  </r>
  <r>
    <n v="2020"/>
    <x v="9"/>
    <n v="10"/>
    <x v="2"/>
    <n v="0"/>
    <n v="28500"/>
    <n v="0"/>
  </r>
  <r>
    <n v="2020"/>
    <x v="9"/>
    <n v="10"/>
    <x v="3"/>
    <n v="0"/>
    <n v="28500"/>
    <n v="0"/>
  </r>
  <r>
    <n v="2020"/>
    <x v="9"/>
    <n v="10"/>
    <x v="4"/>
    <n v="0"/>
    <n v="28500"/>
    <n v="0"/>
  </r>
  <r>
    <n v="2020"/>
    <x v="9"/>
    <n v="10"/>
    <x v="5"/>
    <n v="0"/>
    <n v="28500"/>
    <n v="0"/>
  </r>
  <r>
    <n v="2020"/>
    <x v="9"/>
    <n v="10"/>
    <x v="6"/>
    <n v="0"/>
    <n v="28500"/>
    <n v="0"/>
  </r>
  <r>
    <n v="2020"/>
    <x v="9"/>
    <n v="10"/>
    <x v="7"/>
    <n v="4637"/>
    <n v="28500"/>
    <n v="0.1627017543859649"/>
  </r>
  <r>
    <n v="2020"/>
    <x v="9"/>
    <n v="10"/>
    <x v="8"/>
    <n v="15627"/>
    <n v="28500"/>
    <n v="0.5483157894736842"/>
  </r>
  <r>
    <n v="2020"/>
    <x v="9"/>
    <n v="10"/>
    <x v="9"/>
    <n v="12786"/>
    <n v="28500"/>
    <n v="0.44863157894736844"/>
  </r>
  <r>
    <n v="2020"/>
    <x v="9"/>
    <n v="10"/>
    <x v="10"/>
    <n v="7451"/>
    <n v="28500"/>
    <n v="0.26143859649122808"/>
  </r>
  <r>
    <n v="2020"/>
    <x v="9"/>
    <n v="10"/>
    <x v="11"/>
    <n v="11584.5"/>
    <n v="28500"/>
    <n v="0.40647368421052632"/>
  </r>
  <r>
    <n v="2020"/>
    <x v="9"/>
    <n v="10"/>
    <x v="12"/>
    <n v="3277"/>
    <n v="28500"/>
    <n v="0.11498245614035088"/>
  </r>
  <r>
    <n v="2020"/>
    <x v="9"/>
    <n v="10"/>
    <x v="13"/>
    <n v="1771"/>
    <n v="28500"/>
    <n v="6.2140350877192982E-2"/>
  </r>
  <r>
    <n v="2020"/>
    <x v="9"/>
    <n v="10"/>
    <x v="14"/>
    <n v="4747.5"/>
    <n v="28500"/>
    <n v="0.16657894736842105"/>
  </r>
  <r>
    <n v="2020"/>
    <x v="9"/>
    <n v="10"/>
    <x v="15"/>
    <n v="2172"/>
    <n v="28500"/>
    <n v="7.6210526315789479E-2"/>
  </r>
  <r>
    <n v="2020"/>
    <x v="9"/>
    <n v="10"/>
    <x v="16"/>
    <n v="2677.5"/>
    <n v="28500"/>
    <n v="9.3947368421052627E-2"/>
  </r>
  <r>
    <n v="2020"/>
    <x v="9"/>
    <n v="10"/>
    <x v="17"/>
    <n v="0"/>
    <n v="28500"/>
    <n v="0"/>
  </r>
  <r>
    <n v="2020"/>
    <x v="9"/>
    <n v="10"/>
    <x v="18"/>
    <n v="0"/>
    <n v="28500"/>
    <n v="0"/>
  </r>
  <r>
    <n v="2020"/>
    <x v="9"/>
    <n v="10"/>
    <x v="19"/>
    <n v="0"/>
    <n v="28500"/>
    <n v="0"/>
  </r>
  <r>
    <n v="2020"/>
    <x v="9"/>
    <n v="10"/>
    <x v="20"/>
    <n v="0"/>
    <n v="28500"/>
    <n v="0"/>
  </r>
  <r>
    <n v="2020"/>
    <x v="9"/>
    <n v="10"/>
    <x v="21"/>
    <n v="0"/>
    <n v="28500"/>
    <n v="0"/>
  </r>
  <r>
    <n v="2020"/>
    <x v="9"/>
    <n v="10"/>
    <x v="22"/>
    <n v="0"/>
    <n v="28500"/>
    <n v="0"/>
  </r>
  <r>
    <n v="2020"/>
    <x v="9"/>
    <n v="10"/>
    <x v="23"/>
    <n v="0"/>
    <n v="28500"/>
    <n v="0"/>
  </r>
  <r>
    <n v="2020"/>
    <x v="9"/>
    <n v="11"/>
    <x v="0"/>
    <n v="0"/>
    <n v="28500"/>
    <n v="0"/>
  </r>
  <r>
    <n v="2020"/>
    <x v="9"/>
    <n v="11"/>
    <x v="1"/>
    <n v="0"/>
    <n v="28500"/>
    <n v="0"/>
  </r>
  <r>
    <n v="2020"/>
    <x v="9"/>
    <n v="11"/>
    <x v="2"/>
    <n v="0"/>
    <n v="28500"/>
    <n v="0"/>
  </r>
  <r>
    <n v="2020"/>
    <x v="9"/>
    <n v="11"/>
    <x v="3"/>
    <n v="0"/>
    <n v="28500"/>
    <n v="0"/>
  </r>
  <r>
    <n v="2020"/>
    <x v="9"/>
    <n v="11"/>
    <x v="4"/>
    <n v="0"/>
    <n v="28500"/>
    <n v="0"/>
  </r>
  <r>
    <n v="2020"/>
    <x v="9"/>
    <n v="11"/>
    <x v="5"/>
    <n v="0"/>
    <n v="28500"/>
    <n v="0"/>
  </r>
  <r>
    <n v="2020"/>
    <x v="9"/>
    <n v="11"/>
    <x v="6"/>
    <n v="0"/>
    <n v="28500"/>
    <n v="0"/>
  </r>
  <r>
    <n v="2020"/>
    <x v="9"/>
    <n v="11"/>
    <x v="7"/>
    <n v="3995"/>
    <n v="28500"/>
    <n v="0.14017543859649123"/>
  </r>
  <r>
    <n v="2020"/>
    <x v="9"/>
    <n v="11"/>
    <x v="8"/>
    <n v="17566"/>
    <n v="28500"/>
    <n v="0.61635087719298243"/>
  </r>
  <r>
    <n v="2020"/>
    <x v="9"/>
    <n v="11"/>
    <x v="9"/>
    <n v="17133"/>
    <n v="28500"/>
    <n v="0.60115789473684211"/>
  </r>
  <r>
    <n v="2020"/>
    <x v="9"/>
    <n v="11"/>
    <x v="10"/>
    <n v="30826"/>
    <n v="28500"/>
    <n v="1.0816140350877192"/>
  </r>
  <r>
    <n v="2020"/>
    <x v="9"/>
    <n v="11"/>
    <x v="11"/>
    <n v="8162"/>
    <n v="28500"/>
    <n v="0.28638596491228069"/>
  </r>
  <r>
    <n v="2020"/>
    <x v="9"/>
    <n v="11"/>
    <x v="12"/>
    <n v="0"/>
    <n v="28500"/>
    <n v="0"/>
  </r>
  <r>
    <n v="2020"/>
    <x v="9"/>
    <n v="11"/>
    <x v="13"/>
    <n v="6080"/>
    <n v="28500"/>
    <n v="0.21333333333333335"/>
  </r>
  <r>
    <n v="2020"/>
    <x v="9"/>
    <n v="11"/>
    <x v="14"/>
    <n v="8208"/>
    <n v="28500"/>
    <n v="0.28799999999999998"/>
  </r>
  <r>
    <n v="2020"/>
    <x v="9"/>
    <n v="11"/>
    <x v="15"/>
    <n v="7444"/>
    <n v="28500"/>
    <n v="0.26119298245614037"/>
  </r>
  <r>
    <n v="2020"/>
    <x v="9"/>
    <n v="11"/>
    <x v="16"/>
    <n v="2370.5"/>
    <n v="28500"/>
    <n v="8.3175438596491222E-2"/>
  </r>
  <r>
    <n v="2020"/>
    <x v="9"/>
    <n v="11"/>
    <x v="17"/>
    <n v="0"/>
    <n v="28500"/>
    <n v="0"/>
  </r>
  <r>
    <n v="2020"/>
    <x v="9"/>
    <n v="11"/>
    <x v="18"/>
    <n v="0"/>
    <n v="28500"/>
    <n v="0"/>
  </r>
  <r>
    <n v="2020"/>
    <x v="9"/>
    <n v="11"/>
    <x v="19"/>
    <n v="0"/>
    <n v="28500"/>
    <n v="0"/>
  </r>
  <r>
    <n v="2020"/>
    <x v="9"/>
    <n v="11"/>
    <x v="20"/>
    <n v="0"/>
    <n v="28500"/>
    <n v="0"/>
  </r>
  <r>
    <n v="2020"/>
    <x v="9"/>
    <n v="11"/>
    <x v="21"/>
    <n v="0"/>
    <n v="28500"/>
    <n v="0"/>
  </r>
  <r>
    <n v="2020"/>
    <x v="9"/>
    <n v="11"/>
    <x v="22"/>
    <n v="0"/>
    <n v="28500"/>
    <n v="0"/>
  </r>
  <r>
    <n v="2020"/>
    <x v="9"/>
    <n v="11"/>
    <x v="23"/>
    <n v="0"/>
    <n v="28500"/>
    <n v="0"/>
  </r>
  <r>
    <n v="2020"/>
    <x v="9"/>
    <n v="12"/>
    <x v="0"/>
    <n v="0"/>
    <n v="28500"/>
    <n v="0"/>
  </r>
  <r>
    <n v="2020"/>
    <x v="9"/>
    <n v="12"/>
    <x v="1"/>
    <n v="0"/>
    <n v="28500"/>
    <n v="0"/>
  </r>
  <r>
    <n v="2020"/>
    <x v="9"/>
    <n v="12"/>
    <x v="2"/>
    <n v="0"/>
    <n v="28500"/>
    <n v="0"/>
  </r>
  <r>
    <n v="2020"/>
    <x v="9"/>
    <n v="12"/>
    <x v="3"/>
    <n v="0"/>
    <n v="28500"/>
    <n v="0"/>
  </r>
  <r>
    <n v="2020"/>
    <x v="9"/>
    <n v="12"/>
    <x v="4"/>
    <n v="0"/>
    <n v="28500"/>
    <n v="0"/>
  </r>
  <r>
    <n v="2020"/>
    <x v="9"/>
    <n v="12"/>
    <x v="5"/>
    <n v="0"/>
    <n v="28500"/>
    <n v="0"/>
  </r>
  <r>
    <n v="2020"/>
    <x v="9"/>
    <n v="12"/>
    <x v="6"/>
    <n v="0"/>
    <n v="28500"/>
    <n v="0"/>
  </r>
  <r>
    <n v="2020"/>
    <x v="9"/>
    <n v="12"/>
    <x v="7"/>
    <n v="2938.5"/>
    <n v="28500"/>
    <n v="0.10310526315789474"/>
  </r>
  <r>
    <n v="2020"/>
    <x v="9"/>
    <n v="12"/>
    <x v="8"/>
    <n v="1728.5"/>
    <n v="28500"/>
    <n v="6.0649122807017543E-2"/>
  </r>
  <r>
    <n v="2020"/>
    <x v="9"/>
    <n v="12"/>
    <x v="9"/>
    <n v="2576"/>
    <n v="28500"/>
    <n v="9.0385964912280709E-2"/>
  </r>
  <r>
    <n v="2020"/>
    <x v="9"/>
    <n v="12"/>
    <x v="10"/>
    <n v="8487"/>
    <n v="28500"/>
    <n v="0.29778947368421055"/>
  </r>
  <r>
    <n v="2020"/>
    <x v="9"/>
    <n v="12"/>
    <x v="11"/>
    <n v="8585.5"/>
    <n v="28500"/>
    <n v="0.30124561403508771"/>
  </r>
  <r>
    <n v="2020"/>
    <x v="9"/>
    <n v="12"/>
    <x v="12"/>
    <n v="6389"/>
    <n v="28500"/>
    <n v="0.22417543859649122"/>
  </r>
  <r>
    <n v="2020"/>
    <x v="9"/>
    <n v="12"/>
    <x v="13"/>
    <n v="9963"/>
    <n v="28500"/>
    <n v="0.34957894736842104"/>
  </r>
  <r>
    <n v="2020"/>
    <x v="9"/>
    <n v="12"/>
    <x v="14"/>
    <n v="725.5"/>
    <n v="28500"/>
    <n v="2.5456140350877194E-2"/>
  </r>
  <r>
    <n v="2020"/>
    <x v="9"/>
    <n v="12"/>
    <x v="15"/>
    <n v="2721.5"/>
    <n v="28500"/>
    <n v="9.5491228070175432E-2"/>
  </r>
  <r>
    <n v="2020"/>
    <x v="9"/>
    <n v="12"/>
    <x v="16"/>
    <n v="861"/>
    <n v="28500"/>
    <n v="3.0210526315789472E-2"/>
  </r>
  <r>
    <n v="2020"/>
    <x v="9"/>
    <n v="12"/>
    <x v="17"/>
    <n v="0"/>
    <n v="28500"/>
    <n v="0"/>
  </r>
  <r>
    <n v="2020"/>
    <x v="9"/>
    <n v="12"/>
    <x v="18"/>
    <n v="0"/>
    <n v="28500"/>
    <n v="0"/>
  </r>
  <r>
    <n v="2020"/>
    <x v="9"/>
    <n v="12"/>
    <x v="19"/>
    <n v="0"/>
    <n v="28500"/>
    <n v="0"/>
  </r>
  <r>
    <n v="2020"/>
    <x v="9"/>
    <n v="12"/>
    <x v="20"/>
    <n v="0"/>
    <n v="28500"/>
    <n v="0"/>
  </r>
  <r>
    <n v="2020"/>
    <x v="9"/>
    <n v="12"/>
    <x v="21"/>
    <n v="0"/>
    <n v="28500"/>
    <n v="0"/>
  </r>
  <r>
    <n v="2020"/>
    <x v="9"/>
    <n v="12"/>
    <x v="22"/>
    <n v="0"/>
    <n v="28500"/>
    <n v="0"/>
  </r>
  <r>
    <n v="2020"/>
    <x v="9"/>
    <n v="12"/>
    <x v="23"/>
    <n v="0"/>
    <n v="28500"/>
    <n v="0"/>
  </r>
  <r>
    <n v="2020"/>
    <x v="9"/>
    <n v="13"/>
    <x v="0"/>
    <n v="0"/>
    <n v="28500"/>
    <n v="0"/>
  </r>
  <r>
    <n v="2020"/>
    <x v="9"/>
    <n v="13"/>
    <x v="1"/>
    <n v="0"/>
    <n v="28500"/>
    <n v="0"/>
  </r>
  <r>
    <n v="2020"/>
    <x v="9"/>
    <n v="13"/>
    <x v="2"/>
    <n v="0"/>
    <n v="28500"/>
    <n v="0"/>
  </r>
  <r>
    <n v="2020"/>
    <x v="9"/>
    <n v="13"/>
    <x v="3"/>
    <n v="0"/>
    <n v="28500"/>
    <n v="0"/>
  </r>
  <r>
    <n v="2020"/>
    <x v="9"/>
    <n v="13"/>
    <x v="4"/>
    <n v="0"/>
    <n v="28500"/>
    <n v="0"/>
  </r>
  <r>
    <n v="2020"/>
    <x v="9"/>
    <n v="13"/>
    <x v="5"/>
    <n v="0"/>
    <n v="28500"/>
    <n v="0"/>
  </r>
  <r>
    <n v="2020"/>
    <x v="9"/>
    <n v="13"/>
    <x v="6"/>
    <n v="0"/>
    <n v="28500"/>
    <n v="0"/>
  </r>
  <r>
    <n v="2020"/>
    <x v="9"/>
    <n v="13"/>
    <x v="7"/>
    <n v="4683"/>
    <n v="28500"/>
    <n v="0.16431578947368422"/>
  </r>
  <r>
    <n v="2020"/>
    <x v="9"/>
    <n v="13"/>
    <x v="8"/>
    <n v="4189.5"/>
    <n v="28500"/>
    <n v="0.14699999999999999"/>
  </r>
  <r>
    <n v="2020"/>
    <x v="9"/>
    <n v="13"/>
    <x v="9"/>
    <n v="1363.5"/>
    <n v="28500"/>
    <n v="4.7842105263157894E-2"/>
  </r>
  <r>
    <n v="2020"/>
    <x v="9"/>
    <n v="13"/>
    <x v="10"/>
    <n v="3003"/>
    <n v="28500"/>
    <n v="0.10536842105263158"/>
  </r>
  <r>
    <n v="2020"/>
    <x v="9"/>
    <n v="13"/>
    <x v="11"/>
    <n v="4477.5"/>
    <n v="28500"/>
    <n v="0.15710526315789475"/>
  </r>
  <r>
    <n v="2020"/>
    <x v="9"/>
    <n v="13"/>
    <x v="12"/>
    <n v="1105"/>
    <n v="28500"/>
    <n v="3.8771929824561402E-2"/>
  </r>
  <r>
    <n v="2020"/>
    <x v="9"/>
    <n v="13"/>
    <x v="13"/>
    <n v="966"/>
    <n v="28500"/>
    <n v="3.3894736842105262E-2"/>
  </r>
  <r>
    <n v="2020"/>
    <x v="9"/>
    <n v="13"/>
    <x v="14"/>
    <n v="698.5"/>
    <n v="28500"/>
    <n v="2.450877192982456E-2"/>
  </r>
  <r>
    <n v="2020"/>
    <x v="9"/>
    <n v="13"/>
    <x v="15"/>
    <n v="1782.5"/>
    <n v="28500"/>
    <n v="6.2543859649122804E-2"/>
  </r>
  <r>
    <n v="2020"/>
    <x v="9"/>
    <n v="13"/>
    <x v="16"/>
    <n v="219.5"/>
    <n v="28500"/>
    <n v="7.7017543859649127E-3"/>
  </r>
  <r>
    <n v="2020"/>
    <x v="9"/>
    <n v="13"/>
    <x v="17"/>
    <n v="0"/>
    <n v="28500"/>
    <n v="0"/>
  </r>
  <r>
    <n v="2020"/>
    <x v="9"/>
    <n v="13"/>
    <x v="18"/>
    <n v="0"/>
    <n v="28500"/>
    <n v="0"/>
  </r>
  <r>
    <n v="2020"/>
    <x v="9"/>
    <n v="13"/>
    <x v="19"/>
    <n v="0"/>
    <n v="28500"/>
    <n v="0"/>
  </r>
  <r>
    <n v="2020"/>
    <x v="9"/>
    <n v="13"/>
    <x v="20"/>
    <n v="0"/>
    <n v="28500"/>
    <n v="0"/>
  </r>
  <r>
    <n v="2020"/>
    <x v="9"/>
    <n v="13"/>
    <x v="21"/>
    <n v="0"/>
    <n v="28500"/>
    <n v="0"/>
  </r>
  <r>
    <n v="2020"/>
    <x v="9"/>
    <n v="13"/>
    <x v="22"/>
    <n v="0"/>
    <n v="28500"/>
    <n v="0"/>
  </r>
  <r>
    <n v="2020"/>
    <x v="9"/>
    <n v="13"/>
    <x v="23"/>
    <n v="0"/>
    <n v="28500"/>
    <n v="0"/>
  </r>
  <r>
    <n v="2020"/>
    <x v="9"/>
    <n v="14"/>
    <x v="0"/>
    <n v="0"/>
    <n v="28500"/>
    <n v="0"/>
  </r>
  <r>
    <n v="2020"/>
    <x v="9"/>
    <n v="14"/>
    <x v="1"/>
    <n v="0"/>
    <n v="28500"/>
    <n v="0"/>
  </r>
  <r>
    <n v="2020"/>
    <x v="9"/>
    <n v="14"/>
    <x v="2"/>
    <n v="0"/>
    <n v="28500"/>
    <n v="0"/>
  </r>
  <r>
    <n v="2020"/>
    <x v="9"/>
    <n v="14"/>
    <x v="3"/>
    <n v="0"/>
    <n v="28500"/>
    <n v="0"/>
  </r>
  <r>
    <n v="2020"/>
    <x v="9"/>
    <n v="14"/>
    <x v="4"/>
    <n v="0"/>
    <n v="28500"/>
    <n v="0"/>
  </r>
  <r>
    <n v="2020"/>
    <x v="9"/>
    <n v="14"/>
    <x v="5"/>
    <n v="0"/>
    <n v="28500"/>
    <n v="0"/>
  </r>
  <r>
    <n v="2020"/>
    <x v="9"/>
    <n v="14"/>
    <x v="6"/>
    <n v="0"/>
    <n v="28500"/>
    <n v="0"/>
  </r>
  <r>
    <n v="2020"/>
    <x v="9"/>
    <n v="14"/>
    <x v="7"/>
    <n v="2756.5"/>
    <n v="28500"/>
    <n v="9.6719298245614038E-2"/>
  </r>
  <r>
    <n v="2020"/>
    <x v="9"/>
    <n v="14"/>
    <x v="8"/>
    <n v="5120.5"/>
    <n v="28500"/>
    <n v="0.17966666666666667"/>
  </r>
  <r>
    <n v="2020"/>
    <x v="9"/>
    <n v="14"/>
    <x v="9"/>
    <n v="25200.5"/>
    <n v="28500"/>
    <n v="0.88422807017543859"/>
  </r>
  <r>
    <n v="2020"/>
    <x v="9"/>
    <n v="14"/>
    <x v="10"/>
    <n v="12833"/>
    <n v="28500"/>
    <n v="0.45028070175438595"/>
  </r>
  <r>
    <n v="2020"/>
    <x v="9"/>
    <n v="14"/>
    <x v="11"/>
    <n v="8794.5"/>
    <n v="28500"/>
    <n v="0.30857894736842106"/>
  </r>
  <r>
    <n v="2020"/>
    <x v="9"/>
    <n v="14"/>
    <x v="12"/>
    <n v="5688.5"/>
    <n v="28500"/>
    <n v="0.19959649122807019"/>
  </r>
  <r>
    <n v="2020"/>
    <x v="9"/>
    <n v="14"/>
    <x v="13"/>
    <n v="5762.5"/>
    <n v="28500"/>
    <n v="0.20219298245614034"/>
  </r>
  <r>
    <n v="2020"/>
    <x v="9"/>
    <n v="14"/>
    <x v="14"/>
    <n v="8928"/>
    <n v="28500"/>
    <n v="0.31326315789473685"/>
  </r>
  <r>
    <n v="2020"/>
    <x v="9"/>
    <n v="14"/>
    <x v="15"/>
    <n v="3926.5"/>
    <n v="28500"/>
    <n v="0.13777192982456141"/>
  </r>
  <r>
    <n v="2020"/>
    <x v="9"/>
    <n v="14"/>
    <x v="16"/>
    <n v="1634"/>
    <n v="28500"/>
    <n v="5.7333333333333333E-2"/>
  </r>
  <r>
    <n v="2020"/>
    <x v="9"/>
    <n v="14"/>
    <x v="17"/>
    <n v="0"/>
    <n v="28500"/>
    <n v="0"/>
  </r>
  <r>
    <n v="2020"/>
    <x v="9"/>
    <n v="14"/>
    <x v="18"/>
    <n v="0"/>
    <n v="28500"/>
    <n v="0"/>
  </r>
  <r>
    <n v="2020"/>
    <x v="9"/>
    <n v="14"/>
    <x v="19"/>
    <n v="0"/>
    <n v="28500"/>
    <n v="0"/>
  </r>
  <r>
    <n v="2020"/>
    <x v="9"/>
    <n v="14"/>
    <x v="20"/>
    <n v="0"/>
    <n v="28500"/>
    <n v="0"/>
  </r>
  <r>
    <n v="2020"/>
    <x v="9"/>
    <n v="14"/>
    <x v="21"/>
    <n v="0"/>
    <n v="28500"/>
    <n v="0"/>
  </r>
  <r>
    <n v="2020"/>
    <x v="9"/>
    <n v="14"/>
    <x v="22"/>
    <n v="0"/>
    <n v="28500"/>
    <n v="0"/>
  </r>
  <r>
    <n v="2020"/>
    <x v="9"/>
    <n v="14"/>
    <x v="23"/>
    <n v="0"/>
    <n v="28500"/>
    <n v="0"/>
  </r>
  <r>
    <n v="2020"/>
    <x v="9"/>
    <n v="15"/>
    <x v="0"/>
    <n v="0"/>
    <n v="28500"/>
    <n v="0"/>
  </r>
  <r>
    <n v="2020"/>
    <x v="9"/>
    <n v="15"/>
    <x v="1"/>
    <n v="0"/>
    <n v="28500"/>
    <n v="0"/>
  </r>
  <r>
    <n v="2020"/>
    <x v="9"/>
    <n v="15"/>
    <x v="2"/>
    <n v="0"/>
    <n v="28500"/>
    <n v="0"/>
  </r>
  <r>
    <n v="2020"/>
    <x v="9"/>
    <n v="15"/>
    <x v="3"/>
    <n v="0"/>
    <n v="28500"/>
    <n v="0"/>
  </r>
  <r>
    <n v="2020"/>
    <x v="9"/>
    <n v="15"/>
    <x v="4"/>
    <n v="0"/>
    <n v="28500"/>
    <n v="0"/>
  </r>
  <r>
    <n v="2020"/>
    <x v="9"/>
    <n v="15"/>
    <x v="5"/>
    <n v="0"/>
    <n v="28500"/>
    <n v="0"/>
  </r>
  <r>
    <n v="2020"/>
    <x v="9"/>
    <n v="15"/>
    <x v="6"/>
    <n v="0"/>
    <n v="28500"/>
    <n v="0"/>
  </r>
  <r>
    <n v="2020"/>
    <x v="9"/>
    <n v="15"/>
    <x v="7"/>
    <n v="5541.5"/>
    <n v="28500"/>
    <n v="0.19443859649122808"/>
  </r>
  <r>
    <n v="2020"/>
    <x v="9"/>
    <n v="15"/>
    <x v="8"/>
    <n v="6538.5"/>
    <n v="28500"/>
    <n v="0.22942105263157894"/>
  </r>
  <r>
    <n v="2020"/>
    <x v="9"/>
    <n v="15"/>
    <x v="9"/>
    <n v="11661.5"/>
    <n v="28500"/>
    <n v="0.40917543859649125"/>
  </r>
  <r>
    <n v="2020"/>
    <x v="9"/>
    <n v="15"/>
    <x v="10"/>
    <n v="11897"/>
    <n v="28500"/>
    <n v="0.41743859649122805"/>
  </r>
  <r>
    <n v="2020"/>
    <x v="9"/>
    <n v="15"/>
    <x v="11"/>
    <n v="12063"/>
    <n v="28500"/>
    <n v="0.42326315789473684"/>
  </r>
  <r>
    <n v="2020"/>
    <x v="9"/>
    <n v="15"/>
    <x v="12"/>
    <n v="14809"/>
    <n v="28500"/>
    <n v="0.51961403508771931"/>
  </r>
  <r>
    <n v="2020"/>
    <x v="9"/>
    <n v="15"/>
    <x v="13"/>
    <n v="29808.5"/>
    <n v="28500"/>
    <n v="1.0459122807017545"/>
  </r>
  <r>
    <n v="2020"/>
    <x v="9"/>
    <n v="15"/>
    <x v="14"/>
    <n v="7876"/>
    <n v="28500"/>
    <n v="0.27635087719298246"/>
  </r>
  <r>
    <n v="2020"/>
    <x v="9"/>
    <n v="15"/>
    <x v="15"/>
    <n v="4952"/>
    <n v="28500"/>
    <n v="0.17375438596491227"/>
  </r>
  <r>
    <n v="2020"/>
    <x v="9"/>
    <n v="15"/>
    <x v="16"/>
    <n v="3976"/>
    <n v="28500"/>
    <n v="0.13950877192982455"/>
  </r>
  <r>
    <n v="2020"/>
    <x v="9"/>
    <n v="15"/>
    <x v="17"/>
    <n v="0"/>
    <n v="28500"/>
    <n v="0"/>
  </r>
  <r>
    <n v="2020"/>
    <x v="9"/>
    <n v="15"/>
    <x v="18"/>
    <n v="0"/>
    <n v="28500"/>
    <n v="0"/>
  </r>
  <r>
    <n v="2020"/>
    <x v="9"/>
    <n v="15"/>
    <x v="19"/>
    <n v="0"/>
    <n v="28500"/>
    <n v="0"/>
  </r>
  <r>
    <n v="2020"/>
    <x v="9"/>
    <n v="15"/>
    <x v="20"/>
    <n v="0"/>
    <n v="28500"/>
    <n v="0"/>
  </r>
  <r>
    <n v="2020"/>
    <x v="9"/>
    <n v="15"/>
    <x v="21"/>
    <n v="0"/>
    <n v="28500"/>
    <n v="0"/>
  </r>
  <r>
    <n v="2020"/>
    <x v="9"/>
    <n v="15"/>
    <x v="22"/>
    <n v="0"/>
    <n v="28500"/>
    <n v="0"/>
  </r>
  <r>
    <n v="2020"/>
    <x v="9"/>
    <n v="15"/>
    <x v="23"/>
    <n v="0"/>
    <n v="28500"/>
    <n v="0"/>
  </r>
  <r>
    <n v="2020"/>
    <x v="9"/>
    <n v="16"/>
    <x v="0"/>
    <n v="0"/>
    <n v="28500"/>
    <n v="0"/>
  </r>
  <r>
    <n v="2020"/>
    <x v="9"/>
    <n v="16"/>
    <x v="1"/>
    <n v="0"/>
    <n v="28500"/>
    <n v="0"/>
  </r>
  <r>
    <n v="2020"/>
    <x v="9"/>
    <n v="16"/>
    <x v="2"/>
    <n v="0"/>
    <n v="28500"/>
    <n v="0"/>
  </r>
  <r>
    <n v="2020"/>
    <x v="9"/>
    <n v="16"/>
    <x v="3"/>
    <n v="0"/>
    <n v="28500"/>
    <n v="0"/>
  </r>
  <r>
    <n v="2020"/>
    <x v="9"/>
    <n v="16"/>
    <x v="4"/>
    <n v="0"/>
    <n v="28500"/>
    <n v="0"/>
  </r>
  <r>
    <n v="2020"/>
    <x v="9"/>
    <n v="16"/>
    <x v="5"/>
    <n v="0"/>
    <n v="28500"/>
    <n v="0"/>
  </r>
  <r>
    <n v="2020"/>
    <x v="9"/>
    <n v="16"/>
    <x v="6"/>
    <n v="0"/>
    <n v="28500"/>
    <n v="0"/>
  </r>
  <r>
    <n v="2020"/>
    <x v="9"/>
    <n v="16"/>
    <x v="7"/>
    <n v="1509.5"/>
    <n v="28500"/>
    <n v="5.2964912280701756E-2"/>
  </r>
  <r>
    <n v="2020"/>
    <x v="9"/>
    <n v="16"/>
    <x v="8"/>
    <n v="3676"/>
    <n v="28500"/>
    <n v="0.12898245614035087"/>
  </r>
  <r>
    <n v="2020"/>
    <x v="9"/>
    <n v="16"/>
    <x v="9"/>
    <n v="2318"/>
    <n v="28500"/>
    <n v="8.1333333333333327E-2"/>
  </r>
  <r>
    <n v="2020"/>
    <x v="9"/>
    <n v="16"/>
    <x v="10"/>
    <n v="4380.5"/>
    <n v="28500"/>
    <n v="0.15370175438596492"/>
  </r>
  <r>
    <n v="2020"/>
    <x v="9"/>
    <n v="16"/>
    <x v="11"/>
    <n v="8562"/>
    <n v="28500"/>
    <n v="0.30042105263157892"/>
  </r>
  <r>
    <n v="2020"/>
    <x v="9"/>
    <n v="16"/>
    <x v="12"/>
    <n v="6458"/>
    <n v="28500"/>
    <n v="0.22659649122807018"/>
  </r>
  <r>
    <n v="2020"/>
    <x v="9"/>
    <n v="16"/>
    <x v="13"/>
    <n v="4269.5"/>
    <n v="28500"/>
    <n v="0.14980701754385964"/>
  </r>
  <r>
    <n v="2020"/>
    <x v="9"/>
    <n v="16"/>
    <x v="14"/>
    <n v="1442"/>
    <n v="28500"/>
    <n v="5.0596491228070174E-2"/>
  </r>
  <r>
    <n v="2020"/>
    <x v="9"/>
    <n v="16"/>
    <x v="15"/>
    <n v="3321"/>
    <n v="28500"/>
    <n v="0.11652631578947369"/>
  </r>
  <r>
    <n v="2020"/>
    <x v="9"/>
    <n v="16"/>
    <x v="16"/>
    <n v="2238"/>
    <n v="28500"/>
    <n v="7.852631578947368E-2"/>
  </r>
  <r>
    <n v="2020"/>
    <x v="9"/>
    <n v="16"/>
    <x v="17"/>
    <n v="0"/>
    <n v="28500"/>
    <n v="0"/>
  </r>
  <r>
    <n v="2020"/>
    <x v="9"/>
    <n v="16"/>
    <x v="18"/>
    <n v="0"/>
    <n v="28500"/>
    <n v="0"/>
  </r>
  <r>
    <n v="2020"/>
    <x v="9"/>
    <n v="16"/>
    <x v="19"/>
    <n v="0"/>
    <n v="28500"/>
    <n v="0"/>
  </r>
  <r>
    <n v="2020"/>
    <x v="9"/>
    <n v="16"/>
    <x v="20"/>
    <n v="0"/>
    <n v="28500"/>
    <n v="0"/>
  </r>
  <r>
    <n v="2020"/>
    <x v="9"/>
    <n v="16"/>
    <x v="21"/>
    <n v="0"/>
    <n v="28500"/>
    <n v="0"/>
  </r>
  <r>
    <n v="2020"/>
    <x v="9"/>
    <n v="16"/>
    <x v="22"/>
    <n v="0"/>
    <n v="28500"/>
    <n v="0"/>
  </r>
  <r>
    <n v="2020"/>
    <x v="9"/>
    <n v="16"/>
    <x v="23"/>
    <n v="0"/>
    <n v="28500"/>
    <n v="0"/>
  </r>
  <r>
    <n v="2020"/>
    <x v="9"/>
    <n v="17"/>
    <x v="0"/>
    <n v="0"/>
    <n v="28500"/>
    <n v="0"/>
  </r>
  <r>
    <n v="2020"/>
    <x v="9"/>
    <n v="17"/>
    <x v="1"/>
    <n v="0"/>
    <n v="28500"/>
    <n v="0"/>
  </r>
  <r>
    <n v="2020"/>
    <x v="9"/>
    <n v="17"/>
    <x v="2"/>
    <n v="0"/>
    <n v="28500"/>
    <n v="0"/>
  </r>
  <r>
    <n v="2020"/>
    <x v="9"/>
    <n v="17"/>
    <x v="3"/>
    <n v="0"/>
    <n v="28500"/>
    <n v="0"/>
  </r>
  <r>
    <n v="2020"/>
    <x v="9"/>
    <n v="17"/>
    <x v="4"/>
    <n v="0"/>
    <n v="28500"/>
    <n v="0"/>
  </r>
  <r>
    <n v="2020"/>
    <x v="9"/>
    <n v="17"/>
    <x v="5"/>
    <n v="0"/>
    <n v="28500"/>
    <n v="0"/>
  </r>
  <r>
    <n v="2020"/>
    <x v="9"/>
    <n v="17"/>
    <x v="6"/>
    <n v="0"/>
    <n v="28500"/>
    <n v="0"/>
  </r>
  <r>
    <n v="2020"/>
    <x v="9"/>
    <n v="17"/>
    <x v="7"/>
    <n v="599"/>
    <n v="28500"/>
    <n v="2.1017543859649122E-2"/>
  </r>
  <r>
    <n v="2020"/>
    <x v="9"/>
    <n v="17"/>
    <x v="8"/>
    <n v="2276"/>
    <n v="28500"/>
    <n v="7.9859649122807019E-2"/>
  </r>
  <r>
    <n v="2020"/>
    <x v="9"/>
    <n v="17"/>
    <x v="9"/>
    <n v="6092.5"/>
    <n v="28500"/>
    <n v="0.21377192982456139"/>
  </r>
  <r>
    <n v="2020"/>
    <x v="9"/>
    <n v="17"/>
    <x v="10"/>
    <n v="3845"/>
    <n v="28500"/>
    <n v="0.13491228070175437"/>
  </r>
  <r>
    <n v="2020"/>
    <x v="9"/>
    <n v="17"/>
    <x v="11"/>
    <n v="5538.5"/>
    <n v="28500"/>
    <n v="0.19433333333333333"/>
  </r>
  <r>
    <n v="2020"/>
    <x v="9"/>
    <n v="17"/>
    <x v="12"/>
    <n v="5106.5"/>
    <n v="28500"/>
    <n v="0.17917543859649124"/>
  </r>
  <r>
    <n v="2020"/>
    <x v="9"/>
    <n v="17"/>
    <x v="13"/>
    <n v="6835"/>
    <n v="28500"/>
    <n v="0.23982456140350877"/>
  </r>
  <r>
    <n v="2020"/>
    <x v="9"/>
    <n v="17"/>
    <x v="14"/>
    <n v="2962.5"/>
    <n v="28500"/>
    <n v="0.10394736842105264"/>
  </r>
  <r>
    <n v="2020"/>
    <x v="9"/>
    <n v="17"/>
    <x v="15"/>
    <n v="1843.5"/>
    <n v="28500"/>
    <n v="6.4684210526315788E-2"/>
  </r>
  <r>
    <n v="2020"/>
    <x v="9"/>
    <n v="17"/>
    <x v="16"/>
    <n v="600"/>
    <n v="28500"/>
    <n v="2.1052631578947368E-2"/>
  </r>
  <r>
    <n v="2020"/>
    <x v="9"/>
    <n v="17"/>
    <x v="17"/>
    <n v="0"/>
    <n v="28500"/>
    <n v="0"/>
  </r>
  <r>
    <n v="2020"/>
    <x v="9"/>
    <n v="17"/>
    <x v="18"/>
    <n v="0"/>
    <n v="28500"/>
    <n v="0"/>
  </r>
  <r>
    <n v="2020"/>
    <x v="9"/>
    <n v="17"/>
    <x v="19"/>
    <n v="0"/>
    <n v="28500"/>
    <n v="0"/>
  </r>
  <r>
    <n v="2020"/>
    <x v="9"/>
    <n v="17"/>
    <x v="20"/>
    <n v="0"/>
    <n v="28500"/>
    <n v="0"/>
  </r>
  <r>
    <n v="2020"/>
    <x v="9"/>
    <n v="17"/>
    <x v="21"/>
    <n v="0"/>
    <n v="28500"/>
    <n v="0"/>
  </r>
  <r>
    <n v="2020"/>
    <x v="9"/>
    <n v="17"/>
    <x v="22"/>
    <n v="0"/>
    <n v="28500"/>
    <n v="0"/>
  </r>
  <r>
    <n v="2020"/>
    <x v="9"/>
    <n v="17"/>
    <x v="23"/>
    <n v="0"/>
    <n v="28500"/>
    <n v="0"/>
  </r>
  <r>
    <n v="2020"/>
    <x v="9"/>
    <n v="18"/>
    <x v="0"/>
    <n v="0"/>
    <n v="28500"/>
    <n v="0"/>
  </r>
  <r>
    <n v="2020"/>
    <x v="9"/>
    <n v="18"/>
    <x v="1"/>
    <n v="0"/>
    <n v="28500"/>
    <n v="0"/>
  </r>
  <r>
    <n v="2020"/>
    <x v="9"/>
    <n v="18"/>
    <x v="2"/>
    <n v="0"/>
    <n v="28500"/>
    <n v="0"/>
  </r>
  <r>
    <n v="2020"/>
    <x v="9"/>
    <n v="18"/>
    <x v="3"/>
    <n v="0"/>
    <n v="28500"/>
    <n v="0"/>
  </r>
  <r>
    <n v="2020"/>
    <x v="9"/>
    <n v="18"/>
    <x v="4"/>
    <n v="0"/>
    <n v="28500"/>
    <n v="0"/>
  </r>
  <r>
    <n v="2020"/>
    <x v="9"/>
    <n v="18"/>
    <x v="5"/>
    <n v="0"/>
    <n v="28500"/>
    <n v="0"/>
  </r>
  <r>
    <n v="2020"/>
    <x v="9"/>
    <n v="18"/>
    <x v="6"/>
    <n v="0"/>
    <n v="28500"/>
    <n v="0"/>
  </r>
  <r>
    <n v="2020"/>
    <x v="9"/>
    <n v="18"/>
    <x v="7"/>
    <n v="2363"/>
    <n v="28500"/>
    <n v="8.2912280701754382E-2"/>
  </r>
  <r>
    <n v="2020"/>
    <x v="9"/>
    <n v="18"/>
    <x v="8"/>
    <n v="5854.5"/>
    <n v="28500"/>
    <n v="0.20542105263157895"/>
  </r>
  <r>
    <n v="2020"/>
    <x v="9"/>
    <n v="18"/>
    <x v="9"/>
    <n v="4926.5"/>
    <n v="28500"/>
    <n v="0.17285964912280702"/>
  </r>
  <r>
    <n v="2020"/>
    <x v="9"/>
    <n v="18"/>
    <x v="10"/>
    <n v="9165"/>
    <n v="28500"/>
    <n v="0.32157894736842108"/>
  </r>
  <r>
    <n v="2020"/>
    <x v="9"/>
    <n v="18"/>
    <x v="11"/>
    <n v="9939.5"/>
    <n v="28500"/>
    <n v="0.34875438596491226"/>
  </r>
  <r>
    <n v="2020"/>
    <x v="9"/>
    <n v="18"/>
    <x v="12"/>
    <n v="8103"/>
    <n v="28500"/>
    <n v="0.28431578947368419"/>
  </r>
  <r>
    <n v="2020"/>
    <x v="9"/>
    <n v="18"/>
    <x v="13"/>
    <n v="9458.5"/>
    <n v="28500"/>
    <n v="0.33187719298245616"/>
  </r>
  <r>
    <n v="2020"/>
    <x v="9"/>
    <n v="18"/>
    <x v="14"/>
    <n v="3184"/>
    <n v="28500"/>
    <n v="0.11171929824561404"/>
  </r>
  <r>
    <n v="2020"/>
    <x v="9"/>
    <n v="18"/>
    <x v="15"/>
    <n v="4831.5"/>
    <n v="28500"/>
    <n v="0.16952631578947369"/>
  </r>
  <r>
    <n v="2020"/>
    <x v="9"/>
    <n v="18"/>
    <x v="16"/>
    <n v="782"/>
    <n v="28500"/>
    <n v="2.7438596491228071E-2"/>
  </r>
  <r>
    <n v="2020"/>
    <x v="9"/>
    <n v="18"/>
    <x v="17"/>
    <n v="0"/>
    <n v="28500"/>
    <n v="0"/>
  </r>
  <r>
    <n v="2020"/>
    <x v="9"/>
    <n v="18"/>
    <x v="18"/>
    <n v="0"/>
    <n v="28500"/>
    <n v="0"/>
  </r>
  <r>
    <n v="2020"/>
    <x v="9"/>
    <n v="18"/>
    <x v="19"/>
    <n v="0"/>
    <n v="28500"/>
    <n v="0"/>
  </r>
  <r>
    <n v="2020"/>
    <x v="9"/>
    <n v="18"/>
    <x v="20"/>
    <n v="0"/>
    <n v="28500"/>
    <n v="0"/>
  </r>
  <r>
    <n v="2020"/>
    <x v="9"/>
    <n v="18"/>
    <x v="21"/>
    <n v="0"/>
    <n v="28500"/>
    <n v="0"/>
  </r>
  <r>
    <n v="2020"/>
    <x v="9"/>
    <n v="18"/>
    <x v="22"/>
    <n v="0"/>
    <n v="28500"/>
    <n v="0"/>
  </r>
  <r>
    <n v="2020"/>
    <x v="9"/>
    <n v="18"/>
    <x v="23"/>
    <n v="0"/>
    <n v="28500"/>
    <n v="0"/>
  </r>
  <r>
    <n v="2020"/>
    <x v="9"/>
    <n v="19"/>
    <x v="0"/>
    <n v="0"/>
    <n v="28500"/>
    <n v="0"/>
  </r>
  <r>
    <n v="2020"/>
    <x v="9"/>
    <n v="19"/>
    <x v="1"/>
    <n v="0"/>
    <n v="28500"/>
    <n v="0"/>
  </r>
  <r>
    <n v="2020"/>
    <x v="9"/>
    <n v="19"/>
    <x v="2"/>
    <n v="0"/>
    <n v="28500"/>
    <n v="0"/>
  </r>
  <r>
    <n v="2020"/>
    <x v="9"/>
    <n v="19"/>
    <x v="3"/>
    <n v="0"/>
    <n v="28500"/>
    <n v="0"/>
  </r>
  <r>
    <n v="2020"/>
    <x v="9"/>
    <n v="19"/>
    <x v="4"/>
    <n v="0"/>
    <n v="28500"/>
    <n v="0"/>
  </r>
  <r>
    <n v="2020"/>
    <x v="9"/>
    <n v="19"/>
    <x v="5"/>
    <n v="0"/>
    <n v="28500"/>
    <n v="0"/>
  </r>
  <r>
    <n v="2020"/>
    <x v="9"/>
    <n v="19"/>
    <x v="6"/>
    <n v="0"/>
    <n v="28500"/>
    <n v="0"/>
  </r>
  <r>
    <n v="2020"/>
    <x v="9"/>
    <n v="19"/>
    <x v="7"/>
    <n v="2306"/>
    <n v="28500"/>
    <n v="8.091228070175438E-2"/>
  </r>
  <r>
    <n v="2020"/>
    <x v="9"/>
    <n v="19"/>
    <x v="8"/>
    <n v="9905"/>
    <n v="28500"/>
    <n v="0.34754385964912282"/>
  </r>
  <r>
    <n v="2020"/>
    <x v="9"/>
    <n v="19"/>
    <x v="9"/>
    <n v="7788.5"/>
    <n v="28500"/>
    <n v="0.27328070175438596"/>
  </r>
  <r>
    <n v="2020"/>
    <x v="9"/>
    <n v="19"/>
    <x v="10"/>
    <n v="14644"/>
    <n v="28500"/>
    <n v="0.51382456140350874"/>
  </r>
  <r>
    <n v="2020"/>
    <x v="9"/>
    <n v="19"/>
    <x v="11"/>
    <n v="29351.5"/>
    <n v="28500"/>
    <n v="1.0298771929824562"/>
  </r>
  <r>
    <n v="2020"/>
    <x v="9"/>
    <n v="19"/>
    <x v="12"/>
    <n v="30083.5"/>
    <n v="28500"/>
    <n v="1.0555614035087719"/>
  </r>
  <r>
    <n v="2020"/>
    <x v="9"/>
    <n v="19"/>
    <x v="13"/>
    <n v="25804"/>
    <n v="28500"/>
    <n v="0.90540350877192988"/>
  </r>
  <r>
    <n v="2020"/>
    <x v="9"/>
    <n v="19"/>
    <x v="14"/>
    <n v="18902"/>
    <n v="28500"/>
    <n v="0.66322807017543861"/>
  </r>
  <r>
    <n v="2020"/>
    <x v="9"/>
    <n v="19"/>
    <x v="15"/>
    <n v="6256.5"/>
    <n v="28500"/>
    <n v="0.21952631578947368"/>
  </r>
  <r>
    <n v="2020"/>
    <x v="9"/>
    <n v="19"/>
    <x v="16"/>
    <n v="93"/>
    <n v="28500"/>
    <n v="3.2631578947368419E-3"/>
  </r>
  <r>
    <n v="2020"/>
    <x v="9"/>
    <n v="19"/>
    <x v="17"/>
    <n v="0"/>
    <n v="28500"/>
    <n v="0"/>
  </r>
  <r>
    <n v="2020"/>
    <x v="9"/>
    <n v="19"/>
    <x v="18"/>
    <n v="0"/>
    <n v="28500"/>
    <n v="0"/>
  </r>
  <r>
    <n v="2020"/>
    <x v="9"/>
    <n v="19"/>
    <x v="19"/>
    <n v="0"/>
    <n v="28500"/>
    <n v="0"/>
  </r>
  <r>
    <n v="2020"/>
    <x v="9"/>
    <n v="19"/>
    <x v="20"/>
    <n v="0"/>
    <n v="28500"/>
    <n v="0"/>
  </r>
  <r>
    <n v="2020"/>
    <x v="9"/>
    <n v="19"/>
    <x v="21"/>
    <n v="0"/>
    <n v="28500"/>
    <n v="0"/>
  </r>
  <r>
    <n v="2020"/>
    <x v="9"/>
    <n v="19"/>
    <x v="22"/>
    <n v="0"/>
    <n v="28500"/>
    <n v="0"/>
  </r>
  <r>
    <n v="2020"/>
    <x v="9"/>
    <n v="19"/>
    <x v="23"/>
    <n v="0"/>
    <n v="28500"/>
    <n v="0"/>
  </r>
  <r>
    <n v="2020"/>
    <x v="9"/>
    <n v="20"/>
    <x v="0"/>
    <n v="0"/>
    <n v="28500"/>
    <n v="0"/>
  </r>
  <r>
    <n v="2020"/>
    <x v="9"/>
    <n v="20"/>
    <x v="1"/>
    <n v="0"/>
    <n v="28500"/>
    <n v="0"/>
  </r>
  <r>
    <n v="2020"/>
    <x v="9"/>
    <n v="20"/>
    <x v="2"/>
    <n v="0"/>
    <n v="28500"/>
    <n v="0"/>
  </r>
  <r>
    <n v="2020"/>
    <x v="9"/>
    <n v="20"/>
    <x v="3"/>
    <n v="0"/>
    <n v="28500"/>
    <n v="0"/>
  </r>
  <r>
    <n v="2020"/>
    <x v="9"/>
    <n v="20"/>
    <x v="4"/>
    <n v="0"/>
    <n v="28500"/>
    <n v="0"/>
  </r>
  <r>
    <n v="2020"/>
    <x v="9"/>
    <n v="20"/>
    <x v="5"/>
    <n v="0"/>
    <n v="28500"/>
    <n v="0"/>
  </r>
  <r>
    <n v="2020"/>
    <x v="9"/>
    <n v="20"/>
    <x v="6"/>
    <n v="0"/>
    <n v="28500"/>
    <n v="0"/>
  </r>
  <r>
    <n v="2020"/>
    <x v="9"/>
    <n v="20"/>
    <x v="7"/>
    <n v="353"/>
    <n v="28500"/>
    <n v="1.2385964912280702E-2"/>
  </r>
  <r>
    <n v="2020"/>
    <x v="9"/>
    <n v="20"/>
    <x v="8"/>
    <n v="4728.5"/>
    <n v="28500"/>
    <n v="0.16591228070175437"/>
  </r>
  <r>
    <n v="2020"/>
    <x v="9"/>
    <n v="20"/>
    <x v="9"/>
    <n v="620"/>
    <n v="28500"/>
    <n v="2.175438596491228E-2"/>
  </r>
  <r>
    <n v="2020"/>
    <x v="9"/>
    <n v="20"/>
    <x v="10"/>
    <n v="6918.5"/>
    <n v="28500"/>
    <n v="0.24275438596491228"/>
  </r>
  <r>
    <n v="2020"/>
    <x v="9"/>
    <n v="20"/>
    <x v="11"/>
    <n v="12924.5"/>
    <n v="28500"/>
    <n v="0.45349122807017545"/>
  </r>
  <r>
    <n v="2020"/>
    <x v="9"/>
    <n v="20"/>
    <x v="12"/>
    <n v="13185"/>
    <n v="28500"/>
    <n v="0.46263157894736839"/>
  </r>
  <r>
    <n v="2020"/>
    <x v="9"/>
    <n v="20"/>
    <x v="13"/>
    <n v="8325.5"/>
    <n v="28500"/>
    <n v="0.29212280701754384"/>
  </r>
  <r>
    <n v="2020"/>
    <x v="9"/>
    <n v="20"/>
    <x v="14"/>
    <n v="7196.5"/>
    <n v="28500"/>
    <n v="0.25250877192982457"/>
  </r>
  <r>
    <n v="2020"/>
    <x v="9"/>
    <n v="20"/>
    <x v="15"/>
    <n v="7680"/>
    <n v="28500"/>
    <n v="0.26947368421052631"/>
  </r>
  <r>
    <n v="2020"/>
    <x v="9"/>
    <n v="20"/>
    <x v="16"/>
    <n v="3115"/>
    <n v="28500"/>
    <n v="0.10929824561403509"/>
  </r>
  <r>
    <n v="2020"/>
    <x v="9"/>
    <n v="20"/>
    <x v="17"/>
    <n v="0"/>
    <n v="28500"/>
    <n v="0"/>
  </r>
  <r>
    <n v="2020"/>
    <x v="9"/>
    <n v="20"/>
    <x v="18"/>
    <n v="0"/>
    <n v="28500"/>
    <n v="0"/>
  </r>
  <r>
    <n v="2020"/>
    <x v="9"/>
    <n v="20"/>
    <x v="19"/>
    <n v="0"/>
    <n v="28500"/>
    <n v="0"/>
  </r>
  <r>
    <n v="2020"/>
    <x v="9"/>
    <n v="20"/>
    <x v="20"/>
    <n v="0"/>
    <n v="28500"/>
    <n v="0"/>
  </r>
  <r>
    <n v="2020"/>
    <x v="9"/>
    <n v="20"/>
    <x v="21"/>
    <n v="0"/>
    <n v="28500"/>
    <n v="0"/>
  </r>
  <r>
    <n v="2020"/>
    <x v="9"/>
    <n v="20"/>
    <x v="22"/>
    <n v="0"/>
    <n v="28500"/>
    <n v="0"/>
  </r>
  <r>
    <n v="2020"/>
    <x v="9"/>
    <n v="20"/>
    <x v="23"/>
    <n v="0"/>
    <n v="28500"/>
    <n v="0"/>
  </r>
  <r>
    <n v="2020"/>
    <x v="9"/>
    <n v="21"/>
    <x v="0"/>
    <n v="0"/>
    <n v="28500"/>
    <n v="0"/>
  </r>
  <r>
    <n v="2020"/>
    <x v="9"/>
    <n v="21"/>
    <x v="1"/>
    <n v="0"/>
    <n v="28500"/>
    <n v="0"/>
  </r>
  <r>
    <n v="2020"/>
    <x v="9"/>
    <n v="21"/>
    <x v="2"/>
    <n v="0"/>
    <n v="28500"/>
    <n v="0"/>
  </r>
  <r>
    <n v="2020"/>
    <x v="9"/>
    <n v="21"/>
    <x v="3"/>
    <n v="0"/>
    <n v="28500"/>
    <n v="0"/>
  </r>
  <r>
    <n v="2020"/>
    <x v="9"/>
    <n v="21"/>
    <x v="4"/>
    <n v="0"/>
    <n v="28500"/>
    <n v="0"/>
  </r>
  <r>
    <n v="2020"/>
    <x v="9"/>
    <n v="21"/>
    <x v="5"/>
    <n v="0"/>
    <n v="28500"/>
    <n v="0"/>
  </r>
  <r>
    <n v="2020"/>
    <x v="9"/>
    <n v="21"/>
    <x v="6"/>
    <n v="0"/>
    <n v="28500"/>
    <n v="0"/>
  </r>
  <r>
    <n v="2020"/>
    <x v="9"/>
    <n v="21"/>
    <x v="7"/>
    <n v="0"/>
    <n v="28500"/>
    <n v="0"/>
  </r>
  <r>
    <n v="2020"/>
    <x v="9"/>
    <n v="21"/>
    <x v="8"/>
    <n v="441"/>
    <n v="28500"/>
    <n v="1.5473684210526317E-2"/>
  </r>
  <r>
    <n v="2020"/>
    <x v="9"/>
    <n v="21"/>
    <x v="9"/>
    <n v="500.5"/>
    <n v="28500"/>
    <n v="1.7561403508771931E-2"/>
  </r>
  <r>
    <n v="2020"/>
    <x v="9"/>
    <n v="21"/>
    <x v="10"/>
    <n v="4033"/>
    <n v="28500"/>
    <n v="0.14150877192982456"/>
  </r>
  <r>
    <n v="2020"/>
    <x v="9"/>
    <n v="21"/>
    <x v="11"/>
    <n v="1711"/>
    <n v="28500"/>
    <n v="6.0035087719298247E-2"/>
  </r>
  <r>
    <n v="2020"/>
    <x v="9"/>
    <n v="21"/>
    <x v="12"/>
    <n v="1713"/>
    <n v="28500"/>
    <n v="6.0105263157894738E-2"/>
  </r>
  <r>
    <n v="2020"/>
    <x v="9"/>
    <n v="21"/>
    <x v="13"/>
    <n v="1427"/>
    <n v="28500"/>
    <n v="5.0070175438596494E-2"/>
  </r>
  <r>
    <n v="2020"/>
    <x v="9"/>
    <n v="21"/>
    <x v="14"/>
    <n v="2558"/>
    <n v="28500"/>
    <n v="8.9754385964912281E-2"/>
  </r>
  <r>
    <n v="2020"/>
    <x v="9"/>
    <n v="21"/>
    <x v="15"/>
    <n v="3124"/>
    <n v="28500"/>
    <n v="0.1096140350877193"/>
  </r>
  <r>
    <n v="2020"/>
    <x v="9"/>
    <n v="21"/>
    <x v="16"/>
    <n v="823"/>
    <n v="28500"/>
    <n v="2.887719298245614E-2"/>
  </r>
  <r>
    <n v="2020"/>
    <x v="9"/>
    <n v="21"/>
    <x v="17"/>
    <n v="0"/>
    <n v="28500"/>
    <n v="0"/>
  </r>
  <r>
    <n v="2020"/>
    <x v="9"/>
    <n v="21"/>
    <x v="18"/>
    <n v="0"/>
    <n v="28500"/>
    <n v="0"/>
  </r>
  <r>
    <n v="2020"/>
    <x v="9"/>
    <n v="21"/>
    <x v="19"/>
    <n v="0"/>
    <n v="28500"/>
    <n v="0"/>
  </r>
  <r>
    <n v="2020"/>
    <x v="9"/>
    <n v="21"/>
    <x v="20"/>
    <n v="0"/>
    <n v="28500"/>
    <n v="0"/>
  </r>
  <r>
    <n v="2020"/>
    <x v="9"/>
    <n v="21"/>
    <x v="21"/>
    <n v="0"/>
    <n v="28500"/>
    <n v="0"/>
  </r>
  <r>
    <n v="2020"/>
    <x v="9"/>
    <n v="21"/>
    <x v="22"/>
    <n v="0"/>
    <n v="28500"/>
    <n v="0"/>
  </r>
  <r>
    <n v="2020"/>
    <x v="9"/>
    <n v="21"/>
    <x v="23"/>
    <n v="0"/>
    <n v="28500"/>
    <n v="0"/>
  </r>
  <r>
    <n v="2020"/>
    <x v="9"/>
    <n v="22"/>
    <x v="0"/>
    <n v="0"/>
    <n v="28500"/>
    <n v="0"/>
  </r>
  <r>
    <n v="2020"/>
    <x v="9"/>
    <n v="22"/>
    <x v="1"/>
    <n v="0"/>
    <n v="28500"/>
    <n v="0"/>
  </r>
  <r>
    <n v="2020"/>
    <x v="9"/>
    <n v="22"/>
    <x v="2"/>
    <n v="0"/>
    <n v="28500"/>
    <n v="0"/>
  </r>
  <r>
    <n v="2020"/>
    <x v="9"/>
    <n v="22"/>
    <x v="3"/>
    <n v="0"/>
    <n v="28500"/>
    <n v="0"/>
  </r>
  <r>
    <n v="2020"/>
    <x v="9"/>
    <n v="22"/>
    <x v="4"/>
    <n v="0"/>
    <n v="28500"/>
    <n v="0"/>
  </r>
  <r>
    <n v="2020"/>
    <x v="9"/>
    <n v="22"/>
    <x v="5"/>
    <n v="0"/>
    <n v="28500"/>
    <n v="0"/>
  </r>
  <r>
    <n v="2020"/>
    <x v="9"/>
    <n v="22"/>
    <x v="6"/>
    <n v="0"/>
    <n v="28500"/>
    <n v="0"/>
  </r>
  <r>
    <n v="2020"/>
    <x v="9"/>
    <n v="22"/>
    <x v="7"/>
    <n v="2453"/>
    <n v="28500"/>
    <n v="8.6070175438596491E-2"/>
  </r>
  <r>
    <n v="2020"/>
    <x v="9"/>
    <n v="22"/>
    <x v="8"/>
    <n v="5998"/>
    <n v="28500"/>
    <n v="0.2104561403508772"/>
  </r>
  <r>
    <n v="2020"/>
    <x v="9"/>
    <n v="22"/>
    <x v="9"/>
    <n v="5445"/>
    <n v="28500"/>
    <n v="0.19105263157894736"/>
  </r>
  <r>
    <n v="2020"/>
    <x v="9"/>
    <n v="22"/>
    <x v="10"/>
    <n v="26804.5"/>
    <n v="28500"/>
    <n v="0.94050877192982452"/>
  </r>
  <r>
    <n v="2020"/>
    <x v="9"/>
    <n v="22"/>
    <x v="11"/>
    <n v="911.5"/>
    <n v="28500"/>
    <n v="3.1982456140350876E-2"/>
  </r>
  <r>
    <n v="2020"/>
    <x v="9"/>
    <n v="22"/>
    <x v="12"/>
    <n v="32813"/>
    <n v="28500"/>
    <n v="1.1513333333333333"/>
  </r>
  <r>
    <n v="2020"/>
    <x v="9"/>
    <n v="22"/>
    <x v="13"/>
    <n v="21435.5"/>
    <n v="28500"/>
    <n v="0.75212280701754386"/>
  </r>
  <r>
    <n v="2020"/>
    <x v="9"/>
    <n v="22"/>
    <x v="14"/>
    <n v="15235"/>
    <n v="28500"/>
    <n v="0.5345614035087719"/>
  </r>
  <r>
    <n v="2020"/>
    <x v="9"/>
    <n v="22"/>
    <x v="15"/>
    <n v="11480"/>
    <n v="28500"/>
    <n v="0.40280701754385967"/>
  </r>
  <r>
    <n v="2020"/>
    <x v="9"/>
    <n v="22"/>
    <x v="16"/>
    <n v="3984.5"/>
    <n v="28500"/>
    <n v="0.13980701754385966"/>
  </r>
  <r>
    <n v="2020"/>
    <x v="9"/>
    <n v="22"/>
    <x v="17"/>
    <n v="0"/>
    <n v="28500"/>
    <n v="0"/>
  </r>
  <r>
    <n v="2020"/>
    <x v="9"/>
    <n v="22"/>
    <x v="18"/>
    <n v="0"/>
    <n v="28500"/>
    <n v="0"/>
  </r>
  <r>
    <n v="2020"/>
    <x v="9"/>
    <n v="22"/>
    <x v="19"/>
    <n v="0"/>
    <n v="28500"/>
    <n v="0"/>
  </r>
  <r>
    <n v="2020"/>
    <x v="9"/>
    <n v="22"/>
    <x v="20"/>
    <n v="0"/>
    <n v="28500"/>
    <n v="0"/>
  </r>
  <r>
    <n v="2020"/>
    <x v="9"/>
    <n v="22"/>
    <x v="21"/>
    <n v="0"/>
    <n v="28500"/>
    <n v="0"/>
  </r>
  <r>
    <n v="2020"/>
    <x v="9"/>
    <n v="22"/>
    <x v="22"/>
    <n v="0"/>
    <n v="28500"/>
    <n v="0"/>
  </r>
  <r>
    <n v="2020"/>
    <x v="9"/>
    <n v="22"/>
    <x v="23"/>
    <n v="0"/>
    <n v="28500"/>
    <n v="0"/>
  </r>
  <r>
    <n v="2020"/>
    <x v="9"/>
    <n v="23"/>
    <x v="0"/>
    <n v="0"/>
    <n v="28500"/>
    <n v="0"/>
  </r>
  <r>
    <n v="2020"/>
    <x v="9"/>
    <n v="23"/>
    <x v="1"/>
    <n v="0"/>
    <n v="28500"/>
    <n v="0"/>
  </r>
  <r>
    <n v="2020"/>
    <x v="9"/>
    <n v="23"/>
    <x v="2"/>
    <n v="0"/>
    <n v="28500"/>
    <n v="0"/>
  </r>
  <r>
    <n v="2020"/>
    <x v="9"/>
    <n v="23"/>
    <x v="3"/>
    <n v="0"/>
    <n v="28500"/>
    <n v="0"/>
  </r>
  <r>
    <n v="2020"/>
    <x v="9"/>
    <n v="23"/>
    <x v="4"/>
    <n v="0"/>
    <n v="28500"/>
    <n v="0"/>
  </r>
  <r>
    <n v="2020"/>
    <x v="9"/>
    <n v="23"/>
    <x v="5"/>
    <n v="0"/>
    <n v="28500"/>
    <n v="0"/>
  </r>
  <r>
    <n v="2020"/>
    <x v="9"/>
    <n v="23"/>
    <x v="6"/>
    <n v="0"/>
    <n v="28500"/>
    <n v="0"/>
  </r>
  <r>
    <n v="2020"/>
    <x v="9"/>
    <n v="23"/>
    <x v="7"/>
    <n v="1416"/>
    <n v="28500"/>
    <n v="4.9684210526315789E-2"/>
  </r>
  <r>
    <n v="2020"/>
    <x v="9"/>
    <n v="23"/>
    <x v="8"/>
    <n v="13778.5"/>
    <n v="28500"/>
    <n v="0.48345614035087719"/>
  </r>
  <r>
    <n v="2020"/>
    <x v="9"/>
    <n v="23"/>
    <x v="9"/>
    <n v="19678"/>
    <n v="28500"/>
    <n v="0.69045614035087721"/>
  </r>
  <r>
    <n v="2020"/>
    <x v="9"/>
    <n v="23"/>
    <x v="10"/>
    <n v="17116"/>
    <n v="28500"/>
    <n v="0.60056140350877196"/>
  </r>
  <r>
    <n v="2020"/>
    <x v="9"/>
    <n v="23"/>
    <x v="11"/>
    <n v="1150"/>
    <n v="28500"/>
    <n v="4.0350877192982457E-2"/>
  </r>
  <r>
    <n v="2020"/>
    <x v="9"/>
    <n v="23"/>
    <x v="12"/>
    <n v="4153"/>
    <n v="28500"/>
    <n v="0.14571929824561403"/>
  </r>
  <r>
    <n v="2020"/>
    <x v="9"/>
    <n v="23"/>
    <x v="13"/>
    <n v="15785"/>
    <n v="28500"/>
    <n v="0.55385964912280705"/>
  </r>
  <r>
    <n v="2020"/>
    <x v="9"/>
    <n v="23"/>
    <x v="14"/>
    <n v="12006"/>
    <n v="28500"/>
    <n v="0.42126315789473684"/>
  </r>
  <r>
    <n v="2020"/>
    <x v="9"/>
    <n v="23"/>
    <x v="15"/>
    <n v="1082"/>
    <n v="28500"/>
    <n v="3.7964912280701757E-2"/>
  </r>
  <r>
    <n v="2020"/>
    <x v="9"/>
    <n v="23"/>
    <x v="16"/>
    <n v="1890"/>
    <n v="28500"/>
    <n v="6.6315789473684217E-2"/>
  </r>
  <r>
    <n v="2020"/>
    <x v="9"/>
    <n v="23"/>
    <x v="17"/>
    <n v="0"/>
    <n v="28500"/>
    <n v="0"/>
  </r>
  <r>
    <n v="2020"/>
    <x v="9"/>
    <n v="23"/>
    <x v="18"/>
    <n v="0"/>
    <n v="28500"/>
    <n v="0"/>
  </r>
  <r>
    <n v="2020"/>
    <x v="9"/>
    <n v="23"/>
    <x v="19"/>
    <n v="0"/>
    <n v="28500"/>
    <n v="0"/>
  </r>
  <r>
    <n v="2020"/>
    <x v="9"/>
    <n v="23"/>
    <x v="20"/>
    <n v="0"/>
    <n v="28500"/>
    <n v="0"/>
  </r>
  <r>
    <n v="2020"/>
    <x v="9"/>
    <n v="23"/>
    <x v="21"/>
    <n v="0"/>
    <n v="28500"/>
    <n v="0"/>
  </r>
  <r>
    <n v="2020"/>
    <x v="9"/>
    <n v="23"/>
    <x v="22"/>
    <n v="0"/>
    <n v="28500"/>
    <n v="0"/>
  </r>
  <r>
    <n v="2020"/>
    <x v="9"/>
    <n v="23"/>
    <x v="23"/>
    <n v="0"/>
    <n v="28500"/>
    <n v="0"/>
  </r>
  <r>
    <n v="2020"/>
    <x v="9"/>
    <n v="24"/>
    <x v="0"/>
    <n v="0"/>
    <n v="28500"/>
    <n v="0"/>
  </r>
  <r>
    <n v="2020"/>
    <x v="9"/>
    <n v="24"/>
    <x v="1"/>
    <n v="0"/>
    <n v="28500"/>
    <n v="0"/>
  </r>
  <r>
    <n v="2020"/>
    <x v="9"/>
    <n v="24"/>
    <x v="2"/>
    <n v="0"/>
    <n v="28500"/>
    <n v="0"/>
  </r>
  <r>
    <n v="2020"/>
    <x v="9"/>
    <n v="24"/>
    <x v="3"/>
    <n v="0"/>
    <n v="28500"/>
    <n v="0"/>
  </r>
  <r>
    <n v="2020"/>
    <x v="9"/>
    <n v="24"/>
    <x v="4"/>
    <n v="0"/>
    <n v="28500"/>
    <n v="0"/>
  </r>
  <r>
    <n v="2020"/>
    <x v="9"/>
    <n v="24"/>
    <x v="5"/>
    <n v="0"/>
    <n v="28500"/>
    <n v="0"/>
  </r>
  <r>
    <n v="2020"/>
    <x v="9"/>
    <n v="24"/>
    <x v="6"/>
    <n v="0"/>
    <n v="28500"/>
    <n v="0"/>
  </r>
  <r>
    <n v="2020"/>
    <x v="9"/>
    <n v="24"/>
    <x v="7"/>
    <n v="570"/>
    <n v="28500"/>
    <n v="0.02"/>
  </r>
  <r>
    <n v="2020"/>
    <x v="9"/>
    <n v="24"/>
    <x v="8"/>
    <n v="3198.5"/>
    <n v="28500"/>
    <n v="0.11222807017543859"/>
  </r>
  <r>
    <n v="2020"/>
    <x v="9"/>
    <n v="24"/>
    <x v="9"/>
    <n v="4138.5"/>
    <n v="28500"/>
    <n v="0.14521052631578948"/>
  </r>
  <r>
    <n v="2020"/>
    <x v="9"/>
    <n v="24"/>
    <x v="10"/>
    <n v="6308.5"/>
    <n v="28500"/>
    <n v="0.22135087719298246"/>
  </r>
  <r>
    <n v="2020"/>
    <x v="9"/>
    <n v="24"/>
    <x v="11"/>
    <n v="10352"/>
    <n v="28500"/>
    <n v="0.36322807017543862"/>
  </r>
  <r>
    <n v="2020"/>
    <x v="9"/>
    <n v="24"/>
    <x v="12"/>
    <n v="4720"/>
    <n v="28500"/>
    <n v="0.1656140350877193"/>
  </r>
  <r>
    <n v="2020"/>
    <x v="9"/>
    <n v="24"/>
    <x v="13"/>
    <n v="8363.5"/>
    <n v="28500"/>
    <n v="0.29345614035087719"/>
  </r>
  <r>
    <n v="2020"/>
    <x v="9"/>
    <n v="24"/>
    <x v="14"/>
    <n v="6308.5"/>
    <n v="28500"/>
    <n v="0.22135087719298246"/>
  </r>
  <r>
    <n v="2020"/>
    <x v="9"/>
    <n v="24"/>
    <x v="15"/>
    <n v="1822"/>
    <n v="28500"/>
    <n v="6.3929824561403503E-2"/>
  </r>
  <r>
    <n v="2020"/>
    <x v="9"/>
    <n v="24"/>
    <x v="16"/>
    <n v="515.5"/>
    <n v="28500"/>
    <n v="1.8087719298245614E-2"/>
  </r>
  <r>
    <n v="2020"/>
    <x v="9"/>
    <n v="24"/>
    <x v="17"/>
    <n v="0"/>
    <n v="28500"/>
    <n v="0"/>
  </r>
  <r>
    <n v="2020"/>
    <x v="9"/>
    <n v="24"/>
    <x v="18"/>
    <n v="0"/>
    <n v="28500"/>
    <n v="0"/>
  </r>
  <r>
    <n v="2020"/>
    <x v="9"/>
    <n v="24"/>
    <x v="19"/>
    <n v="0"/>
    <n v="28500"/>
    <n v="0"/>
  </r>
  <r>
    <n v="2020"/>
    <x v="9"/>
    <n v="24"/>
    <x v="20"/>
    <n v="0"/>
    <n v="28500"/>
    <n v="0"/>
  </r>
  <r>
    <n v="2020"/>
    <x v="9"/>
    <n v="24"/>
    <x v="21"/>
    <n v="0"/>
    <n v="28500"/>
    <n v="0"/>
  </r>
  <r>
    <n v="2020"/>
    <x v="9"/>
    <n v="24"/>
    <x v="22"/>
    <n v="0"/>
    <n v="28500"/>
    <n v="0"/>
  </r>
  <r>
    <n v="2020"/>
    <x v="9"/>
    <n v="24"/>
    <x v="23"/>
    <n v="0"/>
    <n v="28500"/>
    <n v="0"/>
  </r>
  <r>
    <n v="2020"/>
    <x v="9"/>
    <n v="25"/>
    <x v="0"/>
    <n v="0"/>
    <n v="28500"/>
    <n v="0"/>
  </r>
  <r>
    <n v="2020"/>
    <x v="9"/>
    <n v="25"/>
    <x v="1"/>
    <n v="0"/>
    <n v="28500"/>
    <n v="0"/>
  </r>
  <r>
    <n v="2020"/>
    <x v="9"/>
    <n v="25"/>
    <x v="2"/>
    <n v="0"/>
    <n v="28500"/>
    <n v="0"/>
  </r>
  <r>
    <n v="2020"/>
    <x v="9"/>
    <n v="25"/>
    <x v="3"/>
    <n v="0"/>
    <n v="28500"/>
    <n v="0"/>
  </r>
  <r>
    <n v="2020"/>
    <x v="9"/>
    <n v="25"/>
    <x v="4"/>
    <n v="0"/>
    <n v="28500"/>
    <n v="0"/>
  </r>
  <r>
    <n v="2020"/>
    <x v="9"/>
    <n v="25"/>
    <x v="5"/>
    <n v="0"/>
    <n v="28500"/>
    <n v="0"/>
  </r>
  <r>
    <n v="2020"/>
    <x v="9"/>
    <n v="25"/>
    <x v="6"/>
    <n v="0"/>
    <n v="28500"/>
    <n v="0"/>
  </r>
  <r>
    <n v="2020"/>
    <x v="9"/>
    <n v="25"/>
    <x v="7"/>
    <n v="1811"/>
    <n v="28500"/>
    <n v="6.3543859649122805E-2"/>
  </r>
  <r>
    <n v="2020"/>
    <x v="9"/>
    <n v="25"/>
    <x v="8"/>
    <n v="194"/>
    <n v="28500"/>
    <n v="6.8070175438596494E-3"/>
  </r>
  <r>
    <n v="2020"/>
    <x v="9"/>
    <n v="25"/>
    <x v="9"/>
    <n v="25509"/>
    <n v="28500"/>
    <n v="0.89505263157894732"/>
  </r>
  <r>
    <n v="2020"/>
    <x v="9"/>
    <n v="25"/>
    <x v="10"/>
    <n v="730.5"/>
    <n v="28500"/>
    <n v="2.5631578947368422E-2"/>
  </r>
  <r>
    <n v="2020"/>
    <x v="9"/>
    <n v="25"/>
    <x v="11"/>
    <n v="4838"/>
    <n v="28500"/>
    <n v="0.16975438596491227"/>
  </r>
  <r>
    <n v="2020"/>
    <x v="9"/>
    <n v="25"/>
    <x v="12"/>
    <n v="35920"/>
    <n v="28500"/>
    <n v="1.2603508771929826"/>
  </r>
  <r>
    <n v="2020"/>
    <x v="9"/>
    <n v="25"/>
    <x v="13"/>
    <n v="6498.5"/>
    <n v="28500"/>
    <n v="0.22801754385964912"/>
  </r>
  <r>
    <n v="2020"/>
    <x v="9"/>
    <n v="25"/>
    <x v="14"/>
    <n v="26662.5"/>
    <n v="28500"/>
    <n v="0.93552631578947365"/>
  </r>
  <r>
    <n v="2020"/>
    <x v="9"/>
    <n v="25"/>
    <x v="15"/>
    <n v="15271.5"/>
    <n v="28500"/>
    <n v="0.5358421052631579"/>
  </r>
  <r>
    <n v="2020"/>
    <x v="9"/>
    <n v="25"/>
    <x v="16"/>
    <n v="4059"/>
    <n v="28500"/>
    <n v="0.14242105263157895"/>
  </r>
  <r>
    <n v="2020"/>
    <x v="9"/>
    <n v="25"/>
    <x v="17"/>
    <n v="0"/>
    <n v="28500"/>
    <n v="0"/>
  </r>
  <r>
    <n v="2020"/>
    <x v="9"/>
    <n v="25"/>
    <x v="18"/>
    <n v="0"/>
    <n v="28500"/>
    <n v="0"/>
  </r>
  <r>
    <n v="2020"/>
    <x v="9"/>
    <n v="25"/>
    <x v="19"/>
    <n v="0"/>
    <n v="28500"/>
    <n v="0"/>
  </r>
  <r>
    <n v="2020"/>
    <x v="9"/>
    <n v="25"/>
    <x v="20"/>
    <n v="0"/>
    <n v="28500"/>
    <n v="0"/>
  </r>
  <r>
    <n v="2020"/>
    <x v="9"/>
    <n v="25"/>
    <x v="21"/>
    <n v="0"/>
    <n v="28500"/>
    <n v="0"/>
  </r>
  <r>
    <n v="2020"/>
    <x v="9"/>
    <n v="25"/>
    <x v="22"/>
    <n v="0"/>
    <n v="28500"/>
    <n v="0"/>
  </r>
  <r>
    <n v="2020"/>
    <x v="9"/>
    <n v="25"/>
    <x v="23"/>
    <n v="0"/>
    <n v="28500"/>
    <n v="0"/>
  </r>
  <r>
    <n v="2020"/>
    <x v="9"/>
    <n v="26"/>
    <x v="0"/>
    <n v="0"/>
    <n v="28500"/>
    <n v="0"/>
  </r>
  <r>
    <n v="2020"/>
    <x v="9"/>
    <n v="26"/>
    <x v="1"/>
    <n v="0"/>
    <n v="28500"/>
    <n v="0"/>
  </r>
  <r>
    <n v="2020"/>
    <x v="9"/>
    <n v="26"/>
    <x v="2"/>
    <n v="0"/>
    <n v="28500"/>
    <n v="0"/>
  </r>
  <r>
    <n v="2020"/>
    <x v="9"/>
    <n v="26"/>
    <x v="3"/>
    <n v="0"/>
    <n v="28500"/>
    <n v="0"/>
  </r>
  <r>
    <n v="2020"/>
    <x v="9"/>
    <n v="26"/>
    <x v="4"/>
    <n v="0"/>
    <n v="28500"/>
    <n v="0"/>
  </r>
  <r>
    <n v="2020"/>
    <x v="9"/>
    <n v="26"/>
    <x v="5"/>
    <n v="0"/>
    <n v="28500"/>
    <n v="0"/>
  </r>
  <r>
    <n v="2020"/>
    <x v="9"/>
    <n v="26"/>
    <x v="6"/>
    <n v="0"/>
    <n v="28500"/>
    <n v="0"/>
  </r>
  <r>
    <n v="2020"/>
    <x v="9"/>
    <n v="26"/>
    <x v="7"/>
    <n v="1434.5"/>
    <n v="28500"/>
    <n v="5.0333333333333334E-2"/>
  </r>
  <r>
    <n v="2020"/>
    <x v="9"/>
    <n v="26"/>
    <x v="8"/>
    <n v="14179"/>
    <n v="28500"/>
    <n v="0.49750877192982457"/>
  </r>
  <r>
    <n v="2020"/>
    <x v="9"/>
    <n v="26"/>
    <x v="9"/>
    <n v="23163"/>
    <n v="28500"/>
    <n v="0.8127368421052632"/>
  </r>
  <r>
    <n v="2020"/>
    <x v="9"/>
    <n v="26"/>
    <x v="10"/>
    <n v="27249"/>
    <n v="28500"/>
    <n v="0.95610526315789479"/>
  </r>
  <r>
    <n v="2020"/>
    <x v="9"/>
    <n v="26"/>
    <x v="11"/>
    <n v="10661.5"/>
    <n v="28500"/>
    <n v="0.37408771929824564"/>
  </r>
  <r>
    <n v="2020"/>
    <x v="9"/>
    <n v="26"/>
    <x v="12"/>
    <n v="25336"/>
    <n v="28500"/>
    <n v="0.88898245614035087"/>
  </r>
  <r>
    <n v="2020"/>
    <x v="9"/>
    <n v="26"/>
    <x v="13"/>
    <n v="6135.5"/>
    <n v="28500"/>
    <n v="0.21528070175438596"/>
  </r>
  <r>
    <n v="2020"/>
    <x v="9"/>
    <n v="26"/>
    <x v="14"/>
    <n v="4961.5"/>
    <n v="28500"/>
    <n v="0.17408771929824562"/>
  </r>
  <r>
    <n v="2020"/>
    <x v="9"/>
    <n v="26"/>
    <x v="15"/>
    <n v="4382"/>
    <n v="28500"/>
    <n v="0.15375438596491228"/>
  </r>
  <r>
    <n v="2020"/>
    <x v="9"/>
    <n v="26"/>
    <x v="16"/>
    <n v="1676"/>
    <n v="28500"/>
    <n v="5.8807017543859648E-2"/>
  </r>
  <r>
    <n v="2020"/>
    <x v="9"/>
    <n v="26"/>
    <x v="17"/>
    <n v="0"/>
    <n v="28500"/>
    <n v="0"/>
  </r>
  <r>
    <n v="2020"/>
    <x v="9"/>
    <n v="26"/>
    <x v="18"/>
    <n v="0"/>
    <n v="28500"/>
    <n v="0"/>
  </r>
  <r>
    <n v="2020"/>
    <x v="9"/>
    <n v="26"/>
    <x v="19"/>
    <n v="0"/>
    <n v="28500"/>
    <n v="0"/>
  </r>
  <r>
    <n v="2020"/>
    <x v="9"/>
    <n v="26"/>
    <x v="20"/>
    <n v="0"/>
    <n v="28500"/>
    <n v="0"/>
  </r>
  <r>
    <n v="2020"/>
    <x v="9"/>
    <n v="26"/>
    <x v="21"/>
    <n v="0"/>
    <n v="28500"/>
    <n v="0"/>
  </r>
  <r>
    <n v="2020"/>
    <x v="9"/>
    <n v="26"/>
    <x v="22"/>
    <n v="0"/>
    <n v="28500"/>
    <n v="0"/>
  </r>
  <r>
    <n v="2020"/>
    <x v="9"/>
    <n v="26"/>
    <x v="23"/>
    <n v="0"/>
    <n v="28500"/>
    <n v="0"/>
  </r>
  <r>
    <n v="2020"/>
    <x v="9"/>
    <n v="27"/>
    <x v="0"/>
    <n v="0"/>
    <n v="28500"/>
    <n v="0"/>
  </r>
  <r>
    <n v="2020"/>
    <x v="9"/>
    <n v="27"/>
    <x v="1"/>
    <n v="0"/>
    <n v="28500"/>
    <n v="0"/>
  </r>
  <r>
    <n v="2020"/>
    <x v="9"/>
    <n v="27"/>
    <x v="2"/>
    <n v="0"/>
    <n v="28500"/>
    <n v="0"/>
  </r>
  <r>
    <n v="2020"/>
    <x v="9"/>
    <n v="27"/>
    <x v="3"/>
    <n v="0"/>
    <n v="28500"/>
    <n v="0"/>
  </r>
  <r>
    <n v="2020"/>
    <x v="9"/>
    <n v="27"/>
    <x v="4"/>
    <n v="0"/>
    <n v="28500"/>
    <n v="0"/>
  </r>
  <r>
    <n v="2020"/>
    <x v="9"/>
    <n v="27"/>
    <x v="5"/>
    <n v="0"/>
    <n v="28500"/>
    <n v="0"/>
  </r>
  <r>
    <n v="2020"/>
    <x v="9"/>
    <n v="27"/>
    <x v="6"/>
    <n v="0"/>
    <n v="28500"/>
    <n v="0"/>
  </r>
  <r>
    <n v="2020"/>
    <x v="9"/>
    <n v="27"/>
    <x v="7"/>
    <n v="0"/>
    <n v="28500"/>
    <n v="0"/>
  </r>
  <r>
    <n v="2020"/>
    <x v="9"/>
    <n v="27"/>
    <x v="8"/>
    <n v="873.5"/>
    <n v="28500"/>
    <n v="3.0649122807017544E-2"/>
  </r>
  <r>
    <n v="2020"/>
    <x v="9"/>
    <n v="27"/>
    <x v="9"/>
    <n v="1573"/>
    <n v="28500"/>
    <n v="5.5192982456140349E-2"/>
  </r>
  <r>
    <n v="2020"/>
    <x v="9"/>
    <n v="27"/>
    <x v="10"/>
    <n v="5258.5"/>
    <n v="28500"/>
    <n v="0.18450877192982457"/>
  </r>
  <r>
    <n v="2020"/>
    <x v="9"/>
    <n v="27"/>
    <x v="11"/>
    <n v="3298.5"/>
    <n v="28500"/>
    <n v="0.11573684210526315"/>
  </r>
  <r>
    <n v="2020"/>
    <x v="9"/>
    <n v="27"/>
    <x v="12"/>
    <n v="2186.5"/>
    <n v="28500"/>
    <n v="7.6719298245614034E-2"/>
  </r>
  <r>
    <n v="2020"/>
    <x v="9"/>
    <n v="27"/>
    <x v="13"/>
    <n v="10896.5"/>
    <n v="28500"/>
    <n v="0.38233333333333336"/>
  </r>
  <r>
    <n v="2020"/>
    <x v="9"/>
    <n v="27"/>
    <x v="14"/>
    <n v="2899"/>
    <n v="28500"/>
    <n v="0.10171929824561403"/>
  </r>
  <r>
    <n v="2020"/>
    <x v="9"/>
    <n v="27"/>
    <x v="15"/>
    <n v="1265.5"/>
    <n v="28500"/>
    <n v="4.4403508771929827E-2"/>
  </r>
  <r>
    <n v="2020"/>
    <x v="9"/>
    <n v="27"/>
    <x v="16"/>
    <n v="164.5"/>
    <n v="28500"/>
    <n v="5.7719298245614038E-3"/>
  </r>
  <r>
    <n v="2020"/>
    <x v="9"/>
    <n v="27"/>
    <x v="17"/>
    <n v="0"/>
    <n v="28500"/>
    <n v="0"/>
  </r>
  <r>
    <n v="2020"/>
    <x v="9"/>
    <n v="27"/>
    <x v="18"/>
    <n v="0"/>
    <n v="28500"/>
    <n v="0"/>
  </r>
  <r>
    <n v="2020"/>
    <x v="9"/>
    <n v="27"/>
    <x v="19"/>
    <n v="0"/>
    <n v="28500"/>
    <n v="0"/>
  </r>
  <r>
    <n v="2020"/>
    <x v="9"/>
    <n v="27"/>
    <x v="20"/>
    <n v="0"/>
    <n v="28500"/>
    <n v="0"/>
  </r>
  <r>
    <n v="2020"/>
    <x v="9"/>
    <n v="27"/>
    <x v="21"/>
    <n v="0"/>
    <n v="28500"/>
    <n v="0"/>
  </r>
  <r>
    <n v="2020"/>
    <x v="9"/>
    <n v="27"/>
    <x v="22"/>
    <n v="0"/>
    <n v="28500"/>
    <n v="0"/>
  </r>
  <r>
    <n v="2020"/>
    <x v="9"/>
    <n v="27"/>
    <x v="23"/>
    <n v="0"/>
    <n v="28500"/>
    <n v="0"/>
  </r>
  <r>
    <n v="2020"/>
    <x v="9"/>
    <n v="28"/>
    <x v="0"/>
    <n v="0"/>
    <n v="28500"/>
    <n v="0"/>
  </r>
  <r>
    <n v="2020"/>
    <x v="9"/>
    <n v="28"/>
    <x v="1"/>
    <n v="0"/>
    <n v="28500"/>
    <n v="0"/>
  </r>
  <r>
    <n v="2020"/>
    <x v="9"/>
    <n v="28"/>
    <x v="2"/>
    <n v="0"/>
    <n v="28500"/>
    <n v="0"/>
  </r>
  <r>
    <n v="2020"/>
    <x v="9"/>
    <n v="28"/>
    <x v="3"/>
    <n v="0"/>
    <n v="28500"/>
    <n v="0"/>
  </r>
  <r>
    <n v="2020"/>
    <x v="9"/>
    <n v="28"/>
    <x v="4"/>
    <n v="0"/>
    <n v="28500"/>
    <n v="0"/>
  </r>
  <r>
    <n v="2020"/>
    <x v="9"/>
    <n v="28"/>
    <x v="5"/>
    <n v="0"/>
    <n v="28500"/>
    <n v="0"/>
  </r>
  <r>
    <n v="2020"/>
    <x v="9"/>
    <n v="28"/>
    <x v="6"/>
    <n v="0"/>
    <n v="28500"/>
    <n v="0"/>
  </r>
  <r>
    <n v="2020"/>
    <x v="9"/>
    <n v="28"/>
    <x v="7"/>
    <n v="521.5"/>
    <n v="28500"/>
    <n v="1.8298245614035088E-2"/>
  </r>
  <r>
    <n v="2020"/>
    <x v="9"/>
    <n v="28"/>
    <x v="8"/>
    <n v="12872.5"/>
    <n v="28500"/>
    <n v="0.45166666666666666"/>
  </r>
  <r>
    <n v="2020"/>
    <x v="9"/>
    <n v="28"/>
    <x v="9"/>
    <n v="4519"/>
    <n v="28500"/>
    <n v="0.15856140350877193"/>
  </r>
  <r>
    <n v="2020"/>
    <x v="9"/>
    <n v="28"/>
    <x v="10"/>
    <n v="12499"/>
    <n v="28500"/>
    <n v="0.43856140350877193"/>
  </r>
  <r>
    <n v="2020"/>
    <x v="9"/>
    <n v="28"/>
    <x v="11"/>
    <n v="13744.5"/>
    <n v="28500"/>
    <n v="0.48226315789473684"/>
  </r>
  <r>
    <n v="2020"/>
    <x v="9"/>
    <n v="28"/>
    <x v="12"/>
    <n v="28414"/>
    <n v="28500"/>
    <n v="0.99698245614035086"/>
  </r>
  <r>
    <n v="2020"/>
    <x v="9"/>
    <n v="28"/>
    <x v="13"/>
    <n v="6563.5"/>
    <n v="28500"/>
    <n v="0.23029824561403509"/>
  </r>
  <r>
    <n v="2020"/>
    <x v="9"/>
    <n v="28"/>
    <x v="14"/>
    <n v="6452.5"/>
    <n v="28500"/>
    <n v="0.22640350877192983"/>
  </r>
  <r>
    <n v="2020"/>
    <x v="9"/>
    <n v="28"/>
    <x v="15"/>
    <n v="14997.5"/>
    <n v="28500"/>
    <n v="0.5262280701754386"/>
  </r>
  <r>
    <n v="2020"/>
    <x v="9"/>
    <n v="28"/>
    <x v="16"/>
    <n v="325"/>
    <n v="28500"/>
    <n v="1.1403508771929825E-2"/>
  </r>
  <r>
    <n v="2020"/>
    <x v="9"/>
    <n v="28"/>
    <x v="17"/>
    <n v="0"/>
    <n v="28500"/>
    <n v="0"/>
  </r>
  <r>
    <n v="2020"/>
    <x v="9"/>
    <n v="28"/>
    <x v="18"/>
    <n v="0"/>
    <n v="28500"/>
    <n v="0"/>
  </r>
  <r>
    <n v="2020"/>
    <x v="9"/>
    <n v="28"/>
    <x v="19"/>
    <n v="0"/>
    <n v="28500"/>
    <n v="0"/>
  </r>
  <r>
    <n v="2020"/>
    <x v="9"/>
    <n v="28"/>
    <x v="20"/>
    <n v="0"/>
    <n v="28500"/>
    <n v="0"/>
  </r>
  <r>
    <n v="2020"/>
    <x v="9"/>
    <n v="28"/>
    <x v="21"/>
    <n v="0"/>
    <n v="28500"/>
    <n v="0"/>
  </r>
  <r>
    <n v="2020"/>
    <x v="9"/>
    <n v="28"/>
    <x v="22"/>
    <n v="0"/>
    <n v="28500"/>
    <n v="0"/>
  </r>
  <r>
    <n v="2020"/>
    <x v="9"/>
    <n v="28"/>
    <x v="23"/>
    <n v="0"/>
    <n v="28500"/>
    <n v="0"/>
  </r>
  <r>
    <n v="2020"/>
    <x v="9"/>
    <n v="29"/>
    <x v="0"/>
    <n v="0"/>
    <n v="28500"/>
    <n v="0"/>
  </r>
  <r>
    <n v="2020"/>
    <x v="9"/>
    <n v="29"/>
    <x v="1"/>
    <n v="0"/>
    <n v="28500"/>
    <n v="0"/>
  </r>
  <r>
    <n v="2020"/>
    <x v="9"/>
    <n v="29"/>
    <x v="2"/>
    <n v="0"/>
    <n v="28500"/>
    <n v="0"/>
  </r>
  <r>
    <n v="2020"/>
    <x v="9"/>
    <n v="29"/>
    <x v="3"/>
    <n v="0"/>
    <n v="28500"/>
    <n v="0"/>
  </r>
  <r>
    <n v="2020"/>
    <x v="9"/>
    <n v="29"/>
    <x v="4"/>
    <n v="0"/>
    <n v="28500"/>
    <n v="0"/>
  </r>
  <r>
    <n v="2020"/>
    <x v="9"/>
    <n v="29"/>
    <x v="5"/>
    <n v="0"/>
    <n v="28500"/>
    <n v="0"/>
  </r>
  <r>
    <n v="2020"/>
    <x v="9"/>
    <n v="29"/>
    <x v="6"/>
    <n v="0"/>
    <n v="28500"/>
    <n v="0"/>
  </r>
  <r>
    <n v="2020"/>
    <x v="9"/>
    <n v="29"/>
    <x v="7"/>
    <n v="0"/>
    <n v="28500"/>
    <n v="0"/>
  </r>
  <r>
    <n v="2020"/>
    <x v="9"/>
    <n v="29"/>
    <x v="8"/>
    <n v="2138.5"/>
    <n v="28500"/>
    <n v="7.5035087719298246E-2"/>
  </r>
  <r>
    <n v="2020"/>
    <x v="9"/>
    <n v="29"/>
    <x v="9"/>
    <n v="4081.5"/>
    <n v="28500"/>
    <n v="0.14321052631578948"/>
  </r>
  <r>
    <n v="2020"/>
    <x v="9"/>
    <n v="29"/>
    <x v="10"/>
    <n v="7268.5"/>
    <n v="28500"/>
    <n v="0.25503508771929823"/>
  </r>
  <r>
    <n v="2020"/>
    <x v="9"/>
    <n v="29"/>
    <x v="11"/>
    <n v="2219.5"/>
    <n v="28500"/>
    <n v="7.7877192982456142E-2"/>
  </r>
  <r>
    <n v="2020"/>
    <x v="9"/>
    <n v="29"/>
    <x v="12"/>
    <n v="3394.5"/>
    <n v="28500"/>
    <n v="0.11910526315789474"/>
  </r>
  <r>
    <n v="2020"/>
    <x v="9"/>
    <n v="29"/>
    <x v="13"/>
    <n v="4470"/>
    <n v="28500"/>
    <n v="0.15684210526315789"/>
  </r>
  <r>
    <n v="2020"/>
    <x v="9"/>
    <n v="29"/>
    <x v="14"/>
    <n v="3946"/>
    <n v="28500"/>
    <n v="0.13845614035087719"/>
  </r>
  <r>
    <n v="2020"/>
    <x v="9"/>
    <n v="29"/>
    <x v="15"/>
    <n v="918"/>
    <n v="28500"/>
    <n v="3.2210526315789474E-2"/>
  </r>
  <r>
    <n v="2020"/>
    <x v="9"/>
    <n v="29"/>
    <x v="16"/>
    <n v="12"/>
    <n v="28500"/>
    <n v="4.2105263157894739E-4"/>
  </r>
  <r>
    <n v="2020"/>
    <x v="9"/>
    <n v="29"/>
    <x v="17"/>
    <n v="0"/>
    <n v="28500"/>
    <n v="0"/>
  </r>
  <r>
    <n v="2020"/>
    <x v="9"/>
    <n v="29"/>
    <x v="18"/>
    <n v="0"/>
    <n v="28500"/>
    <n v="0"/>
  </r>
  <r>
    <n v="2020"/>
    <x v="9"/>
    <n v="29"/>
    <x v="19"/>
    <n v="0"/>
    <n v="28500"/>
    <n v="0"/>
  </r>
  <r>
    <n v="2020"/>
    <x v="9"/>
    <n v="29"/>
    <x v="20"/>
    <n v="0"/>
    <n v="28500"/>
    <n v="0"/>
  </r>
  <r>
    <n v="2020"/>
    <x v="9"/>
    <n v="29"/>
    <x v="21"/>
    <n v="0"/>
    <n v="28500"/>
    <n v="0"/>
  </r>
  <r>
    <n v="2020"/>
    <x v="9"/>
    <n v="29"/>
    <x v="22"/>
    <n v="0"/>
    <n v="28500"/>
    <n v="0"/>
  </r>
  <r>
    <n v="2020"/>
    <x v="9"/>
    <n v="29"/>
    <x v="23"/>
    <n v="0"/>
    <n v="28500"/>
    <n v="0"/>
  </r>
  <r>
    <n v="2020"/>
    <x v="9"/>
    <n v="30"/>
    <x v="0"/>
    <n v="0"/>
    <n v="28500"/>
    <n v="0"/>
  </r>
  <r>
    <n v="2020"/>
    <x v="9"/>
    <n v="30"/>
    <x v="1"/>
    <n v="0"/>
    <n v="28500"/>
    <n v="0"/>
  </r>
  <r>
    <n v="2020"/>
    <x v="9"/>
    <n v="30"/>
    <x v="2"/>
    <n v="0"/>
    <n v="28500"/>
    <n v="0"/>
  </r>
  <r>
    <n v="2020"/>
    <x v="9"/>
    <n v="30"/>
    <x v="3"/>
    <n v="0"/>
    <n v="28500"/>
    <n v="0"/>
  </r>
  <r>
    <n v="2020"/>
    <x v="9"/>
    <n v="30"/>
    <x v="4"/>
    <n v="0"/>
    <n v="28500"/>
    <n v="0"/>
  </r>
  <r>
    <n v="2020"/>
    <x v="9"/>
    <n v="30"/>
    <x v="5"/>
    <n v="0"/>
    <n v="28500"/>
    <n v="0"/>
  </r>
  <r>
    <n v="2020"/>
    <x v="9"/>
    <n v="30"/>
    <x v="6"/>
    <n v="0"/>
    <n v="28500"/>
    <n v="0"/>
  </r>
  <r>
    <n v="2020"/>
    <x v="9"/>
    <n v="30"/>
    <x v="7"/>
    <n v="0"/>
    <n v="28500"/>
    <n v="0"/>
  </r>
  <r>
    <n v="2020"/>
    <x v="9"/>
    <n v="30"/>
    <x v="8"/>
    <n v="3035"/>
    <n v="28500"/>
    <n v="0.10649122807017544"/>
  </r>
  <r>
    <n v="2020"/>
    <x v="9"/>
    <n v="30"/>
    <x v="9"/>
    <n v="1640.5"/>
    <n v="28500"/>
    <n v="5.7561403508771931E-2"/>
  </r>
  <r>
    <n v="2020"/>
    <x v="9"/>
    <n v="30"/>
    <x v="10"/>
    <n v="2148"/>
    <n v="28500"/>
    <n v="7.5368421052631585E-2"/>
  </r>
  <r>
    <n v="2020"/>
    <x v="9"/>
    <n v="30"/>
    <x v="11"/>
    <n v="1496"/>
    <n v="28500"/>
    <n v="5.2491228070175436E-2"/>
  </r>
  <r>
    <n v="2020"/>
    <x v="9"/>
    <n v="30"/>
    <x v="12"/>
    <n v="3306"/>
    <n v="28500"/>
    <n v="0.11600000000000001"/>
  </r>
  <r>
    <n v="2020"/>
    <x v="9"/>
    <n v="30"/>
    <x v="13"/>
    <n v="2440.5"/>
    <n v="28500"/>
    <n v="8.563157894736842E-2"/>
  </r>
  <r>
    <n v="2020"/>
    <x v="9"/>
    <n v="30"/>
    <x v="14"/>
    <n v="2181.5"/>
    <n v="28500"/>
    <n v="7.6543859649122803E-2"/>
  </r>
  <r>
    <n v="2020"/>
    <x v="9"/>
    <n v="30"/>
    <x v="15"/>
    <n v="2637.5"/>
    <n v="28500"/>
    <n v="9.2543859649122803E-2"/>
  </r>
  <r>
    <n v="2020"/>
    <x v="9"/>
    <n v="30"/>
    <x v="16"/>
    <n v="0"/>
    <n v="28500"/>
    <n v="0"/>
  </r>
  <r>
    <n v="2020"/>
    <x v="9"/>
    <n v="30"/>
    <x v="17"/>
    <n v="0"/>
    <n v="28500"/>
    <n v="0"/>
  </r>
  <r>
    <n v="2020"/>
    <x v="9"/>
    <n v="30"/>
    <x v="18"/>
    <n v="0"/>
    <n v="28500"/>
    <n v="0"/>
  </r>
  <r>
    <n v="2020"/>
    <x v="9"/>
    <n v="30"/>
    <x v="19"/>
    <n v="0"/>
    <n v="28500"/>
    <n v="0"/>
  </r>
  <r>
    <n v="2020"/>
    <x v="9"/>
    <n v="30"/>
    <x v="20"/>
    <n v="0"/>
    <n v="28500"/>
    <n v="0"/>
  </r>
  <r>
    <n v="2020"/>
    <x v="9"/>
    <n v="30"/>
    <x v="21"/>
    <n v="0"/>
    <n v="28500"/>
    <n v="0"/>
  </r>
  <r>
    <n v="2020"/>
    <x v="9"/>
    <n v="30"/>
    <x v="22"/>
    <n v="0"/>
    <n v="28500"/>
    <n v="0"/>
  </r>
  <r>
    <n v="2020"/>
    <x v="9"/>
    <n v="30"/>
    <x v="23"/>
    <n v="0"/>
    <n v="28500"/>
    <n v="0"/>
  </r>
  <r>
    <n v="2020"/>
    <x v="9"/>
    <n v="31"/>
    <x v="0"/>
    <n v="0"/>
    <n v="28500"/>
    <n v="0"/>
  </r>
  <r>
    <n v="2020"/>
    <x v="9"/>
    <n v="31"/>
    <x v="1"/>
    <n v="0"/>
    <n v="28500"/>
    <n v="0"/>
  </r>
  <r>
    <n v="2020"/>
    <x v="9"/>
    <n v="31"/>
    <x v="2"/>
    <n v="0"/>
    <n v="28500"/>
    <n v="0"/>
  </r>
  <r>
    <n v="2020"/>
    <x v="9"/>
    <n v="31"/>
    <x v="3"/>
    <n v="0"/>
    <n v="28500"/>
    <n v="0"/>
  </r>
  <r>
    <n v="2020"/>
    <x v="9"/>
    <n v="31"/>
    <x v="4"/>
    <n v="0"/>
    <n v="28500"/>
    <n v="0"/>
  </r>
  <r>
    <n v="2020"/>
    <x v="9"/>
    <n v="31"/>
    <x v="5"/>
    <n v="0"/>
    <n v="28500"/>
    <n v="0"/>
  </r>
  <r>
    <n v="2020"/>
    <x v="9"/>
    <n v="31"/>
    <x v="6"/>
    <n v="0"/>
    <n v="28500"/>
    <n v="0"/>
  </r>
  <r>
    <n v="2020"/>
    <x v="9"/>
    <n v="31"/>
    <x v="7"/>
    <n v="0"/>
    <n v="28500"/>
    <n v="0"/>
  </r>
  <r>
    <n v="2020"/>
    <x v="9"/>
    <n v="31"/>
    <x v="8"/>
    <n v="214.5"/>
    <n v="28500"/>
    <n v="7.5263157894736839E-3"/>
  </r>
  <r>
    <n v="2020"/>
    <x v="9"/>
    <n v="31"/>
    <x v="9"/>
    <n v="14854.5"/>
    <n v="28500"/>
    <n v="0.52121052631578946"/>
  </r>
  <r>
    <n v="2020"/>
    <x v="9"/>
    <n v="31"/>
    <x v="10"/>
    <n v="21609.5"/>
    <n v="28500"/>
    <n v="0.75822807017543858"/>
  </r>
  <r>
    <n v="2020"/>
    <x v="9"/>
    <n v="31"/>
    <x v="11"/>
    <n v="713.5"/>
    <n v="28500"/>
    <n v="2.5035087719298247E-2"/>
  </r>
  <r>
    <n v="2020"/>
    <x v="9"/>
    <n v="31"/>
    <x v="12"/>
    <n v="1457.5"/>
    <n v="28500"/>
    <n v="5.1140350877192979E-2"/>
  </r>
  <r>
    <n v="2020"/>
    <x v="9"/>
    <n v="31"/>
    <x v="13"/>
    <n v="1608"/>
    <n v="28500"/>
    <n v="5.6421052631578948E-2"/>
  </r>
  <r>
    <n v="2020"/>
    <x v="9"/>
    <n v="31"/>
    <x v="14"/>
    <n v="880.5"/>
    <n v="28500"/>
    <n v="3.0894736842105263E-2"/>
  </r>
  <r>
    <n v="2020"/>
    <x v="9"/>
    <n v="31"/>
    <x v="15"/>
    <n v="2741.5"/>
    <n v="28500"/>
    <n v="9.6192982456140344E-2"/>
  </r>
  <r>
    <n v="2020"/>
    <x v="9"/>
    <n v="31"/>
    <x v="16"/>
    <n v="530"/>
    <n v="28500"/>
    <n v="1.8596491228070177E-2"/>
  </r>
  <r>
    <n v="2020"/>
    <x v="9"/>
    <n v="31"/>
    <x v="17"/>
    <n v="0"/>
    <n v="28500"/>
    <n v="0"/>
  </r>
  <r>
    <n v="2020"/>
    <x v="9"/>
    <n v="31"/>
    <x v="18"/>
    <n v="0"/>
    <n v="28500"/>
    <n v="0"/>
  </r>
  <r>
    <n v="2020"/>
    <x v="9"/>
    <n v="31"/>
    <x v="19"/>
    <n v="0"/>
    <n v="28500"/>
    <n v="0"/>
  </r>
  <r>
    <n v="2020"/>
    <x v="9"/>
    <n v="31"/>
    <x v="20"/>
    <n v="0"/>
    <n v="28500"/>
    <n v="0"/>
  </r>
  <r>
    <n v="2020"/>
    <x v="9"/>
    <n v="31"/>
    <x v="21"/>
    <n v="0"/>
    <n v="28500"/>
    <n v="0"/>
  </r>
  <r>
    <n v="2020"/>
    <x v="9"/>
    <n v="31"/>
    <x v="22"/>
    <n v="0"/>
    <n v="28500"/>
    <n v="0"/>
  </r>
  <r>
    <n v="2020"/>
    <x v="9"/>
    <n v="31"/>
    <x v="23"/>
    <n v="0"/>
    <n v="28500"/>
    <n v="0"/>
  </r>
  <r>
    <n v="2020"/>
    <x v="10"/>
    <n v="1"/>
    <x v="0"/>
    <n v="0"/>
    <n v="28500"/>
    <n v="0"/>
  </r>
  <r>
    <n v="2020"/>
    <x v="10"/>
    <n v="1"/>
    <x v="1"/>
    <n v="0"/>
    <n v="28500"/>
    <n v="0"/>
  </r>
  <r>
    <n v="2020"/>
    <x v="10"/>
    <n v="1"/>
    <x v="2"/>
    <n v="0"/>
    <n v="28500"/>
    <n v="0"/>
  </r>
  <r>
    <n v="2020"/>
    <x v="10"/>
    <n v="1"/>
    <x v="3"/>
    <n v="0"/>
    <n v="28500"/>
    <n v="0"/>
  </r>
  <r>
    <n v="2020"/>
    <x v="10"/>
    <n v="1"/>
    <x v="4"/>
    <n v="0"/>
    <n v="28500"/>
    <n v="0"/>
  </r>
  <r>
    <n v="2020"/>
    <x v="10"/>
    <n v="1"/>
    <x v="5"/>
    <n v="0"/>
    <n v="28500"/>
    <n v="0"/>
  </r>
  <r>
    <n v="2020"/>
    <x v="10"/>
    <n v="1"/>
    <x v="6"/>
    <n v="0"/>
    <n v="28500"/>
    <n v="0"/>
  </r>
  <r>
    <n v="2020"/>
    <x v="10"/>
    <n v="1"/>
    <x v="7"/>
    <n v="0"/>
    <n v="28500"/>
    <n v="0"/>
  </r>
  <r>
    <n v="2020"/>
    <x v="10"/>
    <n v="1"/>
    <x v="8"/>
    <n v="1915"/>
    <n v="28500"/>
    <n v="6.7192982456140346E-2"/>
  </r>
  <r>
    <n v="2020"/>
    <x v="10"/>
    <n v="1"/>
    <x v="9"/>
    <n v="7619"/>
    <n v="28500"/>
    <n v="0.26733333333333331"/>
  </r>
  <r>
    <n v="2020"/>
    <x v="10"/>
    <n v="1"/>
    <x v="10"/>
    <n v="13920.5"/>
    <n v="28500"/>
    <n v="0.48843859649122806"/>
  </r>
  <r>
    <n v="2020"/>
    <x v="10"/>
    <n v="1"/>
    <x v="11"/>
    <n v="6475.5"/>
    <n v="28500"/>
    <n v="0.22721052631578947"/>
  </r>
  <r>
    <n v="2020"/>
    <x v="10"/>
    <n v="1"/>
    <x v="12"/>
    <n v="6281"/>
    <n v="28500"/>
    <n v="0.22038596491228071"/>
  </r>
  <r>
    <n v="2020"/>
    <x v="10"/>
    <n v="1"/>
    <x v="13"/>
    <n v="3953.5"/>
    <n v="28500"/>
    <n v="0.13871929824561405"/>
  </r>
  <r>
    <n v="2020"/>
    <x v="10"/>
    <n v="1"/>
    <x v="14"/>
    <n v="4154.5"/>
    <n v="28500"/>
    <n v="0.14577192982456141"/>
  </r>
  <r>
    <n v="2020"/>
    <x v="10"/>
    <n v="1"/>
    <x v="15"/>
    <n v="1781"/>
    <n v="28500"/>
    <n v="6.2491228070175438E-2"/>
  </r>
  <r>
    <n v="2020"/>
    <x v="10"/>
    <n v="1"/>
    <x v="16"/>
    <n v="0"/>
    <n v="28500"/>
    <n v="0"/>
  </r>
  <r>
    <n v="2020"/>
    <x v="10"/>
    <n v="1"/>
    <x v="17"/>
    <n v="0"/>
    <n v="28500"/>
    <n v="0"/>
  </r>
  <r>
    <n v="2020"/>
    <x v="10"/>
    <n v="1"/>
    <x v="18"/>
    <n v="0"/>
    <n v="28500"/>
    <n v="0"/>
  </r>
  <r>
    <n v="2020"/>
    <x v="10"/>
    <n v="1"/>
    <x v="19"/>
    <n v="0"/>
    <n v="28500"/>
    <n v="0"/>
  </r>
  <r>
    <n v="2020"/>
    <x v="10"/>
    <n v="1"/>
    <x v="20"/>
    <n v="0"/>
    <n v="28500"/>
    <n v="0"/>
  </r>
  <r>
    <n v="2020"/>
    <x v="10"/>
    <n v="1"/>
    <x v="21"/>
    <n v="0"/>
    <n v="28500"/>
    <n v="0"/>
  </r>
  <r>
    <n v="2020"/>
    <x v="10"/>
    <n v="1"/>
    <x v="22"/>
    <n v="0"/>
    <n v="28500"/>
    <n v="0"/>
  </r>
  <r>
    <n v="2020"/>
    <x v="10"/>
    <n v="1"/>
    <x v="23"/>
    <n v="0"/>
    <n v="28500"/>
    <n v="0"/>
  </r>
  <r>
    <n v="2020"/>
    <x v="10"/>
    <n v="2"/>
    <x v="0"/>
    <n v="0"/>
    <n v="28500"/>
    <n v="0"/>
  </r>
  <r>
    <n v="2020"/>
    <x v="10"/>
    <n v="2"/>
    <x v="1"/>
    <n v="0"/>
    <n v="28500"/>
    <n v="0"/>
  </r>
  <r>
    <n v="2020"/>
    <x v="10"/>
    <n v="2"/>
    <x v="2"/>
    <n v="0"/>
    <n v="28500"/>
    <n v="0"/>
  </r>
  <r>
    <n v="2020"/>
    <x v="10"/>
    <n v="2"/>
    <x v="3"/>
    <n v="0"/>
    <n v="28500"/>
    <n v="0"/>
  </r>
  <r>
    <n v="2020"/>
    <x v="10"/>
    <n v="2"/>
    <x v="4"/>
    <n v="0"/>
    <n v="28500"/>
    <n v="0"/>
  </r>
  <r>
    <n v="2020"/>
    <x v="10"/>
    <n v="2"/>
    <x v="5"/>
    <n v="0"/>
    <n v="28500"/>
    <n v="0"/>
  </r>
  <r>
    <n v="2020"/>
    <x v="10"/>
    <n v="2"/>
    <x v="6"/>
    <n v="0"/>
    <n v="28500"/>
    <n v="0"/>
  </r>
  <r>
    <n v="2020"/>
    <x v="10"/>
    <n v="2"/>
    <x v="7"/>
    <n v="0"/>
    <n v="28500"/>
    <n v="0"/>
  </r>
  <r>
    <n v="2020"/>
    <x v="10"/>
    <n v="2"/>
    <x v="8"/>
    <n v="2437.5"/>
    <n v="28500"/>
    <n v="8.5526315789473686E-2"/>
  </r>
  <r>
    <n v="2020"/>
    <x v="10"/>
    <n v="2"/>
    <x v="9"/>
    <n v="3867"/>
    <n v="28500"/>
    <n v="0.1356842105263158"/>
  </r>
  <r>
    <n v="2020"/>
    <x v="10"/>
    <n v="2"/>
    <x v="10"/>
    <n v="2071.5"/>
    <n v="28500"/>
    <n v="7.2684210526315796E-2"/>
  </r>
  <r>
    <n v="2020"/>
    <x v="10"/>
    <n v="2"/>
    <x v="11"/>
    <n v="17526"/>
    <n v="28500"/>
    <n v="0.61494736842105269"/>
  </r>
  <r>
    <n v="2020"/>
    <x v="10"/>
    <n v="2"/>
    <x v="12"/>
    <n v="28746"/>
    <n v="28500"/>
    <n v="1.0086315789473683"/>
  </r>
  <r>
    <n v="2020"/>
    <x v="10"/>
    <n v="2"/>
    <x v="13"/>
    <n v="30181"/>
    <n v="28500"/>
    <n v="1.0589824561403509"/>
  </r>
  <r>
    <n v="2020"/>
    <x v="10"/>
    <n v="2"/>
    <x v="14"/>
    <n v="14815.5"/>
    <n v="28500"/>
    <n v="0.51984210526315788"/>
  </r>
  <r>
    <n v="2020"/>
    <x v="10"/>
    <n v="2"/>
    <x v="15"/>
    <n v="14881"/>
    <n v="28500"/>
    <n v="0.52214035087719302"/>
  </r>
  <r>
    <n v="2020"/>
    <x v="10"/>
    <n v="2"/>
    <x v="16"/>
    <n v="0"/>
    <n v="28500"/>
    <n v="0"/>
  </r>
  <r>
    <n v="2020"/>
    <x v="10"/>
    <n v="2"/>
    <x v="17"/>
    <n v="0"/>
    <n v="28500"/>
    <n v="0"/>
  </r>
  <r>
    <n v="2020"/>
    <x v="10"/>
    <n v="2"/>
    <x v="18"/>
    <n v="0"/>
    <n v="28500"/>
    <n v="0"/>
  </r>
  <r>
    <n v="2020"/>
    <x v="10"/>
    <n v="2"/>
    <x v="19"/>
    <n v="0"/>
    <n v="28500"/>
    <n v="0"/>
  </r>
  <r>
    <n v="2020"/>
    <x v="10"/>
    <n v="2"/>
    <x v="20"/>
    <n v="0"/>
    <n v="28500"/>
    <n v="0"/>
  </r>
  <r>
    <n v="2020"/>
    <x v="10"/>
    <n v="2"/>
    <x v="21"/>
    <n v="0"/>
    <n v="28500"/>
    <n v="0"/>
  </r>
  <r>
    <n v="2020"/>
    <x v="10"/>
    <n v="2"/>
    <x v="22"/>
    <n v="0"/>
    <n v="28500"/>
    <n v="0"/>
  </r>
  <r>
    <n v="2020"/>
    <x v="10"/>
    <n v="2"/>
    <x v="23"/>
    <n v="0"/>
    <n v="28500"/>
    <n v="0"/>
  </r>
  <r>
    <n v="2020"/>
    <x v="10"/>
    <n v="3"/>
    <x v="0"/>
    <n v="0"/>
    <n v="28500"/>
    <n v="0"/>
  </r>
  <r>
    <n v="2020"/>
    <x v="10"/>
    <n v="3"/>
    <x v="1"/>
    <n v="0"/>
    <n v="28500"/>
    <n v="0"/>
  </r>
  <r>
    <n v="2020"/>
    <x v="10"/>
    <n v="3"/>
    <x v="2"/>
    <n v="0"/>
    <n v="28500"/>
    <n v="0"/>
  </r>
  <r>
    <n v="2020"/>
    <x v="10"/>
    <n v="3"/>
    <x v="3"/>
    <n v="0"/>
    <n v="28500"/>
    <n v="0"/>
  </r>
  <r>
    <n v="2020"/>
    <x v="10"/>
    <n v="3"/>
    <x v="4"/>
    <n v="0"/>
    <n v="28500"/>
    <n v="0"/>
  </r>
  <r>
    <n v="2020"/>
    <x v="10"/>
    <n v="3"/>
    <x v="5"/>
    <n v="0"/>
    <n v="28500"/>
    <n v="0"/>
  </r>
  <r>
    <n v="2020"/>
    <x v="10"/>
    <n v="3"/>
    <x v="6"/>
    <n v="0"/>
    <n v="28500"/>
    <n v="0"/>
  </r>
  <r>
    <n v="2020"/>
    <x v="10"/>
    <n v="3"/>
    <x v="7"/>
    <n v="0"/>
    <n v="28500"/>
    <n v="0"/>
  </r>
  <r>
    <n v="2020"/>
    <x v="10"/>
    <n v="3"/>
    <x v="8"/>
    <n v="9409.5"/>
    <n v="28500"/>
    <n v="0.33015789473684209"/>
  </r>
  <r>
    <n v="2020"/>
    <x v="10"/>
    <n v="3"/>
    <x v="9"/>
    <n v="2298"/>
    <n v="28500"/>
    <n v="8.0631578947368415E-2"/>
  </r>
  <r>
    <n v="2020"/>
    <x v="10"/>
    <n v="3"/>
    <x v="10"/>
    <n v="25272.5"/>
    <n v="28500"/>
    <n v="0.8867543859649123"/>
  </r>
  <r>
    <n v="2020"/>
    <x v="10"/>
    <n v="3"/>
    <x v="11"/>
    <n v="17939.5"/>
    <n v="28500"/>
    <n v="0.62945614035087716"/>
  </r>
  <r>
    <n v="2020"/>
    <x v="10"/>
    <n v="3"/>
    <x v="12"/>
    <n v="12278.5"/>
    <n v="28500"/>
    <n v="0.43082456140350878"/>
  </r>
  <r>
    <n v="2020"/>
    <x v="10"/>
    <n v="3"/>
    <x v="13"/>
    <n v="6166"/>
    <n v="28500"/>
    <n v="0.21635087719298246"/>
  </r>
  <r>
    <n v="2020"/>
    <x v="10"/>
    <n v="3"/>
    <x v="14"/>
    <n v="8197"/>
    <n v="28500"/>
    <n v="0.28761403508771932"/>
  </r>
  <r>
    <n v="2020"/>
    <x v="10"/>
    <n v="3"/>
    <x v="15"/>
    <n v="10158.5"/>
    <n v="28500"/>
    <n v="0.35643859649122805"/>
  </r>
  <r>
    <n v="2020"/>
    <x v="10"/>
    <n v="3"/>
    <x v="16"/>
    <n v="0"/>
    <n v="28500"/>
    <n v="0"/>
  </r>
  <r>
    <n v="2020"/>
    <x v="10"/>
    <n v="3"/>
    <x v="17"/>
    <n v="0"/>
    <n v="28500"/>
    <n v="0"/>
  </r>
  <r>
    <n v="2020"/>
    <x v="10"/>
    <n v="3"/>
    <x v="18"/>
    <n v="0"/>
    <n v="28500"/>
    <n v="0"/>
  </r>
  <r>
    <n v="2020"/>
    <x v="10"/>
    <n v="3"/>
    <x v="19"/>
    <n v="0"/>
    <n v="28500"/>
    <n v="0"/>
  </r>
  <r>
    <n v="2020"/>
    <x v="10"/>
    <n v="3"/>
    <x v="20"/>
    <n v="0"/>
    <n v="28500"/>
    <n v="0"/>
  </r>
  <r>
    <n v="2020"/>
    <x v="10"/>
    <n v="3"/>
    <x v="21"/>
    <n v="0"/>
    <n v="28500"/>
    <n v="0"/>
  </r>
  <r>
    <n v="2020"/>
    <x v="10"/>
    <n v="3"/>
    <x v="22"/>
    <n v="0"/>
    <n v="28500"/>
    <n v="0"/>
  </r>
  <r>
    <n v="2020"/>
    <x v="10"/>
    <n v="3"/>
    <x v="23"/>
    <n v="0"/>
    <n v="28500"/>
    <n v="0"/>
  </r>
  <r>
    <n v="2020"/>
    <x v="10"/>
    <n v="4"/>
    <x v="0"/>
    <n v="0"/>
    <n v="28500"/>
    <n v="0"/>
  </r>
  <r>
    <n v="2020"/>
    <x v="10"/>
    <n v="4"/>
    <x v="1"/>
    <n v="0"/>
    <n v="28500"/>
    <n v="0"/>
  </r>
  <r>
    <n v="2020"/>
    <x v="10"/>
    <n v="4"/>
    <x v="2"/>
    <n v="0"/>
    <n v="28500"/>
    <n v="0"/>
  </r>
  <r>
    <n v="2020"/>
    <x v="10"/>
    <n v="4"/>
    <x v="3"/>
    <n v="0"/>
    <n v="28500"/>
    <n v="0"/>
  </r>
  <r>
    <n v="2020"/>
    <x v="10"/>
    <n v="4"/>
    <x v="4"/>
    <n v="0"/>
    <n v="28500"/>
    <n v="0"/>
  </r>
  <r>
    <n v="2020"/>
    <x v="10"/>
    <n v="4"/>
    <x v="5"/>
    <n v="0"/>
    <n v="28500"/>
    <n v="0"/>
  </r>
  <r>
    <n v="2020"/>
    <x v="10"/>
    <n v="4"/>
    <x v="6"/>
    <n v="0"/>
    <n v="28500"/>
    <n v="0"/>
  </r>
  <r>
    <n v="2020"/>
    <x v="10"/>
    <n v="4"/>
    <x v="7"/>
    <n v="0"/>
    <n v="28500"/>
    <n v="0"/>
  </r>
  <r>
    <n v="2020"/>
    <x v="10"/>
    <n v="4"/>
    <x v="8"/>
    <n v="13321"/>
    <n v="28500"/>
    <n v="0.46740350877192982"/>
  </r>
  <r>
    <n v="2020"/>
    <x v="10"/>
    <n v="4"/>
    <x v="9"/>
    <n v="23054.5"/>
    <n v="28500"/>
    <n v="0.8089298245614035"/>
  </r>
  <r>
    <n v="2020"/>
    <x v="10"/>
    <n v="4"/>
    <x v="10"/>
    <n v="29964.5"/>
    <n v="28500"/>
    <n v="1.0513859649122808"/>
  </r>
  <r>
    <n v="2020"/>
    <x v="10"/>
    <n v="4"/>
    <x v="11"/>
    <n v="32752.5"/>
    <n v="28500"/>
    <n v="1.1492105263157895"/>
  </r>
  <r>
    <n v="2020"/>
    <x v="10"/>
    <n v="4"/>
    <x v="12"/>
    <n v="34133"/>
    <n v="28500"/>
    <n v="1.1976491228070176"/>
  </r>
  <r>
    <n v="2020"/>
    <x v="10"/>
    <n v="4"/>
    <x v="13"/>
    <n v="32741"/>
    <n v="28500"/>
    <n v="1.1488070175438596"/>
  </r>
  <r>
    <n v="2020"/>
    <x v="10"/>
    <n v="4"/>
    <x v="14"/>
    <n v="23541"/>
    <n v="28500"/>
    <n v="0.82599999999999996"/>
  </r>
  <r>
    <n v="2020"/>
    <x v="10"/>
    <n v="4"/>
    <x v="15"/>
    <n v="15656.5"/>
    <n v="28500"/>
    <n v="0.54935087719298248"/>
  </r>
  <r>
    <n v="2020"/>
    <x v="10"/>
    <n v="4"/>
    <x v="16"/>
    <n v="0"/>
    <n v="28500"/>
    <n v="0"/>
  </r>
  <r>
    <n v="2020"/>
    <x v="10"/>
    <n v="4"/>
    <x v="17"/>
    <n v="0"/>
    <n v="28500"/>
    <n v="0"/>
  </r>
  <r>
    <n v="2020"/>
    <x v="10"/>
    <n v="4"/>
    <x v="18"/>
    <n v="0"/>
    <n v="28500"/>
    <n v="0"/>
  </r>
  <r>
    <n v="2020"/>
    <x v="10"/>
    <n v="4"/>
    <x v="19"/>
    <n v="0"/>
    <n v="28500"/>
    <n v="0"/>
  </r>
  <r>
    <n v="2020"/>
    <x v="10"/>
    <n v="4"/>
    <x v="20"/>
    <n v="0"/>
    <n v="28500"/>
    <n v="0"/>
  </r>
  <r>
    <n v="2020"/>
    <x v="10"/>
    <n v="4"/>
    <x v="21"/>
    <n v="0"/>
    <n v="28500"/>
    <n v="0"/>
  </r>
  <r>
    <n v="2020"/>
    <x v="10"/>
    <n v="4"/>
    <x v="22"/>
    <n v="0"/>
    <n v="28500"/>
    <n v="0"/>
  </r>
  <r>
    <n v="2020"/>
    <x v="10"/>
    <n v="4"/>
    <x v="23"/>
    <n v="0"/>
    <n v="28500"/>
    <n v="0"/>
  </r>
  <r>
    <n v="2020"/>
    <x v="10"/>
    <n v="5"/>
    <x v="0"/>
    <n v="0"/>
    <n v="28500"/>
    <n v="0"/>
  </r>
  <r>
    <n v="2020"/>
    <x v="10"/>
    <n v="5"/>
    <x v="1"/>
    <n v="0"/>
    <n v="28500"/>
    <n v="0"/>
  </r>
  <r>
    <n v="2020"/>
    <x v="10"/>
    <n v="5"/>
    <x v="2"/>
    <n v="0"/>
    <n v="28500"/>
    <n v="0"/>
  </r>
  <r>
    <n v="2020"/>
    <x v="10"/>
    <n v="5"/>
    <x v="3"/>
    <n v="0"/>
    <n v="28500"/>
    <n v="0"/>
  </r>
  <r>
    <n v="2020"/>
    <x v="10"/>
    <n v="5"/>
    <x v="4"/>
    <n v="0"/>
    <n v="28500"/>
    <n v="0"/>
  </r>
  <r>
    <n v="2020"/>
    <x v="10"/>
    <n v="5"/>
    <x v="5"/>
    <n v="0"/>
    <n v="28500"/>
    <n v="0"/>
  </r>
  <r>
    <n v="2020"/>
    <x v="10"/>
    <n v="5"/>
    <x v="6"/>
    <n v="0"/>
    <n v="28500"/>
    <n v="0"/>
  </r>
  <r>
    <n v="2020"/>
    <x v="10"/>
    <n v="5"/>
    <x v="7"/>
    <n v="0"/>
    <n v="28500"/>
    <n v="0"/>
  </r>
  <r>
    <n v="2020"/>
    <x v="10"/>
    <n v="5"/>
    <x v="8"/>
    <n v="7478.5"/>
    <n v="28500"/>
    <n v="0.26240350877192981"/>
  </r>
  <r>
    <n v="2020"/>
    <x v="10"/>
    <n v="5"/>
    <x v="9"/>
    <n v="12585.5"/>
    <n v="28500"/>
    <n v="0.44159649122807015"/>
  </r>
  <r>
    <n v="2020"/>
    <x v="10"/>
    <n v="5"/>
    <x v="10"/>
    <n v="9257.5"/>
    <n v="28500"/>
    <n v="0.32482456140350879"/>
  </r>
  <r>
    <n v="2020"/>
    <x v="10"/>
    <n v="5"/>
    <x v="11"/>
    <n v="11601.5"/>
    <n v="28500"/>
    <n v="0.40707017543859647"/>
  </r>
  <r>
    <n v="2020"/>
    <x v="10"/>
    <n v="5"/>
    <x v="12"/>
    <n v="15451.5"/>
    <n v="28500"/>
    <n v="0.54215789473684206"/>
  </r>
  <r>
    <n v="2020"/>
    <x v="10"/>
    <n v="5"/>
    <x v="13"/>
    <n v="19831.5"/>
    <n v="28500"/>
    <n v="0.69584210526315793"/>
  </r>
  <r>
    <n v="2020"/>
    <x v="10"/>
    <n v="5"/>
    <x v="14"/>
    <n v="18452"/>
    <n v="28500"/>
    <n v="0.64743859649122804"/>
  </r>
  <r>
    <n v="2020"/>
    <x v="10"/>
    <n v="5"/>
    <x v="15"/>
    <n v="13907.5"/>
    <n v="28500"/>
    <n v="0.48798245614035085"/>
  </r>
  <r>
    <n v="2020"/>
    <x v="10"/>
    <n v="5"/>
    <x v="16"/>
    <n v="0"/>
    <n v="28500"/>
    <n v="0"/>
  </r>
  <r>
    <n v="2020"/>
    <x v="10"/>
    <n v="5"/>
    <x v="17"/>
    <n v="0"/>
    <n v="28500"/>
    <n v="0"/>
  </r>
  <r>
    <n v="2020"/>
    <x v="10"/>
    <n v="5"/>
    <x v="18"/>
    <n v="0"/>
    <n v="28500"/>
    <n v="0"/>
  </r>
  <r>
    <n v="2020"/>
    <x v="10"/>
    <n v="5"/>
    <x v="19"/>
    <n v="0"/>
    <n v="28500"/>
    <n v="0"/>
  </r>
  <r>
    <n v="2020"/>
    <x v="10"/>
    <n v="5"/>
    <x v="20"/>
    <n v="0"/>
    <n v="28500"/>
    <n v="0"/>
  </r>
  <r>
    <n v="2020"/>
    <x v="10"/>
    <n v="5"/>
    <x v="21"/>
    <n v="0"/>
    <n v="28500"/>
    <n v="0"/>
  </r>
  <r>
    <n v="2020"/>
    <x v="10"/>
    <n v="5"/>
    <x v="22"/>
    <n v="0"/>
    <n v="28500"/>
    <n v="0"/>
  </r>
  <r>
    <n v="2020"/>
    <x v="10"/>
    <n v="5"/>
    <x v="23"/>
    <n v="0"/>
    <n v="28500"/>
    <n v="0"/>
  </r>
  <r>
    <n v="2020"/>
    <x v="10"/>
    <n v="6"/>
    <x v="0"/>
    <n v="0"/>
    <n v="28500"/>
    <n v="0"/>
  </r>
  <r>
    <n v="2020"/>
    <x v="10"/>
    <n v="6"/>
    <x v="1"/>
    <n v="0"/>
    <n v="28500"/>
    <n v="0"/>
  </r>
  <r>
    <n v="2020"/>
    <x v="10"/>
    <n v="6"/>
    <x v="2"/>
    <n v="0"/>
    <n v="28500"/>
    <n v="0"/>
  </r>
  <r>
    <n v="2020"/>
    <x v="10"/>
    <n v="6"/>
    <x v="3"/>
    <n v="0"/>
    <n v="28500"/>
    <n v="0"/>
  </r>
  <r>
    <n v="2020"/>
    <x v="10"/>
    <n v="6"/>
    <x v="4"/>
    <n v="0"/>
    <n v="28500"/>
    <n v="0"/>
  </r>
  <r>
    <n v="2020"/>
    <x v="10"/>
    <n v="6"/>
    <x v="5"/>
    <n v="0"/>
    <n v="28500"/>
    <n v="0"/>
  </r>
  <r>
    <n v="2020"/>
    <x v="10"/>
    <n v="6"/>
    <x v="6"/>
    <n v="0"/>
    <n v="28500"/>
    <n v="0"/>
  </r>
  <r>
    <n v="2020"/>
    <x v="10"/>
    <n v="6"/>
    <x v="7"/>
    <n v="0"/>
    <n v="28500"/>
    <n v="0"/>
  </r>
  <r>
    <n v="2020"/>
    <x v="10"/>
    <n v="6"/>
    <x v="8"/>
    <n v="3694"/>
    <n v="28500"/>
    <n v="0.12961403508771929"/>
  </r>
  <r>
    <n v="2020"/>
    <x v="10"/>
    <n v="6"/>
    <x v="9"/>
    <n v="2521.5"/>
    <n v="28500"/>
    <n v="8.8473684210526315E-2"/>
  </r>
  <r>
    <n v="2020"/>
    <x v="10"/>
    <n v="6"/>
    <x v="10"/>
    <n v="6946.5"/>
    <n v="28500"/>
    <n v="0.24373684210526317"/>
  </r>
  <r>
    <n v="2020"/>
    <x v="10"/>
    <n v="6"/>
    <x v="11"/>
    <n v="6873.5"/>
    <n v="28500"/>
    <n v="0.24117543859649124"/>
  </r>
  <r>
    <n v="2020"/>
    <x v="10"/>
    <n v="6"/>
    <x v="12"/>
    <n v="6975"/>
    <n v="28500"/>
    <n v="0.24473684210526317"/>
  </r>
  <r>
    <n v="2020"/>
    <x v="10"/>
    <n v="6"/>
    <x v="13"/>
    <n v="4163.5"/>
    <n v="28500"/>
    <n v="0.14608771929824563"/>
  </r>
  <r>
    <n v="2020"/>
    <x v="10"/>
    <n v="6"/>
    <x v="14"/>
    <n v="4769"/>
    <n v="28500"/>
    <n v="0.16733333333333333"/>
  </r>
  <r>
    <n v="2020"/>
    <x v="10"/>
    <n v="6"/>
    <x v="15"/>
    <n v="13777"/>
    <n v="28500"/>
    <n v="0.48340350877192984"/>
  </r>
  <r>
    <n v="2020"/>
    <x v="10"/>
    <n v="6"/>
    <x v="16"/>
    <n v="0"/>
    <n v="28500"/>
    <n v="0"/>
  </r>
  <r>
    <n v="2020"/>
    <x v="10"/>
    <n v="6"/>
    <x v="17"/>
    <n v="0"/>
    <n v="28500"/>
    <n v="0"/>
  </r>
  <r>
    <n v="2020"/>
    <x v="10"/>
    <n v="6"/>
    <x v="18"/>
    <n v="0"/>
    <n v="28500"/>
    <n v="0"/>
  </r>
  <r>
    <n v="2020"/>
    <x v="10"/>
    <n v="6"/>
    <x v="19"/>
    <n v="0"/>
    <n v="28500"/>
    <n v="0"/>
  </r>
  <r>
    <n v="2020"/>
    <x v="10"/>
    <n v="6"/>
    <x v="20"/>
    <n v="0"/>
    <n v="28500"/>
    <n v="0"/>
  </r>
  <r>
    <n v="2020"/>
    <x v="10"/>
    <n v="6"/>
    <x v="21"/>
    <n v="0"/>
    <n v="28500"/>
    <n v="0"/>
  </r>
  <r>
    <n v="2020"/>
    <x v="10"/>
    <n v="6"/>
    <x v="22"/>
    <n v="0"/>
    <n v="28500"/>
    <n v="0"/>
  </r>
  <r>
    <n v="2020"/>
    <x v="10"/>
    <n v="6"/>
    <x v="23"/>
    <n v="0"/>
    <n v="28500"/>
    <n v="0"/>
  </r>
  <r>
    <n v="2020"/>
    <x v="10"/>
    <n v="7"/>
    <x v="0"/>
    <n v="0"/>
    <n v="28500"/>
    <n v="0"/>
  </r>
  <r>
    <n v="2020"/>
    <x v="10"/>
    <n v="7"/>
    <x v="1"/>
    <n v="0"/>
    <n v="28500"/>
    <n v="0"/>
  </r>
  <r>
    <n v="2020"/>
    <x v="10"/>
    <n v="7"/>
    <x v="2"/>
    <n v="0"/>
    <n v="28500"/>
    <n v="0"/>
  </r>
  <r>
    <n v="2020"/>
    <x v="10"/>
    <n v="7"/>
    <x v="3"/>
    <n v="0"/>
    <n v="28500"/>
    <n v="0"/>
  </r>
  <r>
    <n v="2020"/>
    <x v="10"/>
    <n v="7"/>
    <x v="4"/>
    <n v="0"/>
    <n v="28500"/>
    <n v="0"/>
  </r>
  <r>
    <n v="2020"/>
    <x v="10"/>
    <n v="7"/>
    <x v="5"/>
    <n v="0"/>
    <n v="28500"/>
    <n v="0"/>
  </r>
  <r>
    <n v="2020"/>
    <x v="10"/>
    <n v="7"/>
    <x v="6"/>
    <n v="0"/>
    <n v="28500"/>
    <n v="0"/>
  </r>
  <r>
    <n v="2020"/>
    <x v="10"/>
    <n v="7"/>
    <x v="7"/>
    <n v="0"/>
    <n v="28500"/>
    <n v="0"/>
  </r>
  <r>
    <n v="2020"/>
    <x v="10"/>
    <n v="7"/>
    <x v="8"/>
    <n v="6300"/>
    <n v="28500"/>
    <n v="0.22105263157894736"/>
  </r>
  <r>
    <n v="2020"/>
    <x v="10"/>
    <n v="7"/>
    <x v="9"/>
    <n v="13513.5"/>
    <n v="28500"/>
    <n v="0.47415789473684211"/>
  </r>
  <r>
    <n v="2020"/>
    <x v="10"/>
    <n v="7"/>
    <x v="10"/>
    <n v="27763.5"/>
    <n v="28500"/>
    <n v="0.97415789473684211"/>
  </r>
  <r>
    <n v="2020"/>
    <x v="10"/>
    <n v="7"/>
    <x v="11"/>
    <n v="29891"/>
    <n v="28500"/>
    <n v="1.0488070175438597"/>
  </r>
  <r>
    <n v="2020"/>
    <x v="10"/>
    <n v="7"/>
    <x v="12"/>
    <n v="31937"/>
    <n v="28500"/>
    <n v="1.1205964912280701"/>
  </r>
  <r>
    <n v="2020"/>
    <x v="10"/>
    <n v="7"/>
    <x v="13"/>
    <n v="28570.5"/>
    <n v="28500"/>
    <n v="1.0024736842105264"/>
  </r>
  <r>
    <n v="2020"/>
    <x v="10"/>
    <n v="7"/>
    <x v="14"/>
    <n v="21434"/>
    <n v="28500"/>
    <n v="0.75207017543859644"/>
  </r>
  <r>
    <n v="2020"/>
    <x v="10"/>
    <n v="7"/>
    <x v="15"/>
    <n v="14186.5"/>
    <n v="28500"/>
    <n v="0.49777192982456142"/>
  </r>
  <r>
    <n v="2020"/>
    <x v="10"/>
    <n v="7"/>
    <x v="16"/>
    <n v="0"/>
    <n v="28500"/>
    <n v="0"/>
  </r>
  <r>
    <n v="2020"/>
    <x v="10"/>
    <n v="7"/>
    <x v="17"/>
    <n v="0"/>
    <n v="28500"/>
    <n v="0"/>
  </r>
  <r>
    <n v="2020"/>
    <x v="10"/>
    <n v="7"/>
    <x v="18"/>
    <n v="0"/>
    <n v="28500"/>
    <n v="0"/>
  </r>
  <r>
    <n v="2020"/>
    <x v="10"/>
    <n v="7"/>
    <x v="19"/>
    <n v="0"/>
    <n v="28500"/>
    <n v="0"/>
  </r>
  <r>
    <n v="2020"/>
    <x v="10"/>
    <n v="7"/>
    <x v="20"/>
    <n v="0"/>
    <n v="28500"/>
    <n v="0"/>
  </r>
  <r>
    <n v="2020"/>
    <x v="10"/>
    <n v="7"/>
    <x v="21"/>
    <n v="0"/>
    <n v="28500"/>
    <n v="0"/>
  </r>
  <r>
    <n v="2020"/>
    <x v="10"/>
    <n v="7"/>
    <x v="22"/>
    <n v="0"/>
    <n v="28500"/>
    <n v="0"/>
  </r>
  <r>
    <n v="2020"/>
    <x v="10"/>
    <n v="7"/>
    <x v="23"/>
    <n v="0"/>
    <n v="28500"/>
    <n v="0"/>
  </r>
  <r>
    <n v="2020"/>
    <x v="10"/>
    <n v="8"/>
    <x v="0"/>
    <n v="0"/>
    <n v="28500"/>
    <n v="0"/>
  </r>
  <r>
    <n v="2020"/>
    <x v="10"/>
    <n v="8"/>
    <x v="1"/>
    <n v="0"/>
    <n v="28500"/>
    <n v="0"/>
  </r>
  <r>
    <n v="2020"/>
    <x v="10"/>
    <n v="8"/>
    <x v="2"/>
    <n v="0"/>
    <n v="28500"/>
    <n v="0"/>
  </r>
  <r>
    <n v="2020"/>
    <x v="10"/>
    <n v="8"/>
    <x v="3"/>
    <n v="0"/>
    <n v="28500"/>
    <n v="0"/>
  </r>
  <r>
    <n v="2020"/>
    <x v="10"/>
    <n v="8"/>
    <x v="4"/>
    <n v="0"/>
    <n v="28500"/>
    <n v="0"/>
  </r>
  <r>
    <n v="2020"/>
    <x v="10"/>
    <n v="8"/>
    <x v="5"/>
    <n v="0"/>
    <n v="28500"/>
    <n v="0"/>
  </r>
  <r>
    <n v="2020"/>
    <x v="10"/>
    <n v="8"/>
    <x v="6"/>
    <n v="0"/>
    <n v="28500"/>
    <n v="0"/>
  </r>
  <r>
    <n v="2020"/>
    <x v="10"/>
    <n v="8"/>
    <x v="7"/>
    <n v="0"/>
    <n v="28500"/>
    <n v="0"/>
  </r>
  <r>
    <n v="2020"/>
    <x v="10"/>
    <n v="8"/>
    <x v="8"/>
    <n v="1937"/>
    <n v="28500"/>
    <n v="6.7964912280701756E-2"/>
  </r>
  <r>
    <n v="2020"/>
    <x v="10"/>
    <n v="8"/>
    <x v="9"/>
    <n v="8451"/>
    <n v="28500"/>
    <n v="0.29652631578947369"/>
  </r>
  <r>
    <n v="2020"/>
    <x v="10"/>
    <n v="8"/>
    <x v="10"/>
    <n v="25712"/>
    <n v="28500"/>
    <n v="0.90217543859649119"/>
  </r>
  <r>
    <n v="2020"/>
    <x v="10"/>
    <n v="8"/>
    <x v="11"/>
    <n v="17213"/>
    <n v="28500"/>
    <n v="0.6039649122807017"/>
  </r>
  <r>
    <n v="2020"/>
    <x v="10"/>
    <n v="8"/>
    <x v="12"/>
    <n v="8529.5"/>
    <n v="28500"/>
    <n v="0.29928070175438598"/>
  </r>
  <r>
    <n v="2020"/>
    <x v="10"/>
    <n v="8"/>
    <x v="13"/>
    <n v="4451"/>
    <n v="28500"/>
    <n v="0.15617543859649122"/>
  </r>
  <r>
    <n v="2020"/>
    <x v="10"/>
    <n v="8"/>
    <x v="14"/>
    <n v="1351.5"/>
    <n v="28500"/>
    <n v="4.7421052631578947E-2"/>
  </r>
  <r>
    <n v="2020"/>
    <x v="10"/>
    <n v="8"/>
    <x v="15"/>
    <n v="877.5"/>
    <n v="28500"/>
    <n v="3.0789473684210526E-2"/>
  </r>
  <r>
    <n v="2020"/>
    <x v="10"/>
    <n v="8"/>
    <x v="16"/>
    <n v="0"/>
    <n v="28500"/>
    <n v="0"/>
  </r>
  <r>
    <n v="2020"/>
    <x v="10"/>
    <n v="8"/>
    <x v="17"/>
    <n v="0"/>
    <n v="28500"/>
    <n v="0"/>
  </r>
  <r>
    <n v="2020"/>
    <x v="10"/>
    <n v="8"/>
    <x v="18"/>
    <n v="0"/>
    <n v="28500"/>
    <n v="0"/>
  </r>
  <r>
    <n v="2020"/>
    <x v="10"/>
    <n v="8"/>
    <x v="19"/>
    <n v="0"/>
    <n v="28500"/>
    <n v="0"/>
  </r>
  <r>
    <n v="2020"/>
    <x v="10"/>
    <n v="8"/>
    <x v="20"/>
    <n v="0"/>
    <n v="28500"/>
    <n v="0"/>
  </r>
  <r>
    <n v="2020"/>
    <x v="10"/>
    <n v="8"/>
    <x v="21"/>
    <n v="0"/>
    <n v="28500"/>
    <n v="0"/>
  </r>
  <r>
    <n v="2020"/>
    <x v="10"/>
    <n v="8"/>
    <x v="22"/>
    <n v="0"/>
    <n v="28500"/>
    <n v="0"/>
  </r>
  <r>
    <n v="2020"/>
    <x v="10"/>
    <n v="8"/>
    <x v="23"/>
    <n v="0"/>
    <n v="28500"/>
    <n v="0"/>
  </r>
  <r>
    <n v="2020"/>
    <x v="10"/>
    <n v="9"/>
    <x v="0"/>
    <n v="0"/>
    <n v="28500"/>
    <n v="0"/>
  </r>
  <r>
    <n v="2020"/>
    <x v="10"/>
    <n v="9"/>
    <x v="1"/>
    <n v="0"/>
    <n v="28500"/>
    <n v="0"/>
  </r>
  <r>
    <n v="2020"/>
    <x v="10"/>
    <n v="9"/>
    <x v="2"/>
    <n v="0"/>
    <n v="28500"/>
    <n v="0"/>
  </r>
  <r>
    <n v="2020"/>
    <x v="10"/>
    <n v="9"/>
    <x v="3"/>
    <n v="0"/>
    <n v="28500"/>
    <n v="0"/>
  </r>
  <r>
    <n v="2020"/>
    <x v="10"/>
    <n v="9"/>
    <x v="4"/>
    <n v="0"/>
    <n v="28500"/>
    <n v="0"/>
  </r>
  <r>
    <n v="2020"/>
    <x v="10"/>
    <n v="9"/>
    <x v="5"/>
    <n v="0"/>
    <n v="28500"/>
    <n v="0"/>
  </r>
  <r>
    <n v="2020"/>
    <x v="10"/>
    <n v="9"/>
    <x v="6"/>
    <n v="0"/>
    <n v="28500"/>
    <n v="0"/>
  </r>
  <r>
    <n v="2020"/>
    <x v="10"/>
    <n v="9"/>
    <x v="7"/>
    <n v="0"/>
    <n v="28500"/>
    <n v="0"/>
  </r>
  <r>
    <n v="2020"/>
    <x v="10"/>
    <n v="9"/>
    <x v="8"/>
    <n v="2549"/>
    <n v="28500"/>
    <n v="8.9438596491228067E-2"/>
  </r>
  <r>
    <n v="2020"/>
    <x v="10"/>
    <n v="9"/>
    <x v="9"/>
    <n v="2375"/>
    <n v="28500"/>
    <n v="8.3333333333333329E-2"/>
  </r>
  <r>
    <n v="2020"/>
    <x v="10"/>
    <n v="9"/>
    <x v="10"/>
    <n v="1431.5"/>
    <n v="28500"/>
    <n v="5.0228070175438594E-2"/>
  </r>
  <r>
    <n v="2020"/>
    <x v="10"/>
    <n v="9"/>
    <x v="11"/>
    <n v="19653.5"/>
    <n v="28500"/>
    <n v="0.68959649122807021"/>
  </r>
  <r>
    <n v="2020"/>
    <x v="10"/>
    <n v="9"/>
    <x v="12"/>
    <n v="12460"/>
    <n v="28500"/>
    <n v="0.43719298245614036"/>
  </r>
  <r>
    <n v="2020"/>
    <x v="10"/>
    <n v="9"/>
    <x v="13"/>
    <n v="13258.5"/>
    <n v="28500"/>
    <n v="0.46521052631578946"/>
  </r>
  <r>
    <n v="2020"/>
    <x v="10"/>
    <n v="9"/>
    <x v="14"/>
    <n v="16062.5"/>
    <n v="28500"/>
    <n v="0.56359649122807021"/>
  </r>
  <r>
    <n v="2020"/>
    <x v="10"/>
    <n v="9"/>
    <x v="15"/>
    <n v="11914"/>
    <n v="28500"/>
    <n v="0.41803508771929826"/>
  </r>
  <r>
    <n v="2020"/>
    <x v="10"/>
    <n v="9"/>
    <x v="16"/>
    <n v="0"/>
    <n v="28500"/>
    <n v="0"/>
  </r>
  <r>
    <n v="2020"/>
    <x v="10"/>
    <n v="9"/>
    <x v="17"/>
    <n v="0"/>
    <n v="28500"/>
    <n v="0"/>
  </r>
  <r>
    <n v="2020"/>
    <x v="10"/>
    <n v="9"/>
    <x v="18"/>
    <n v="0"/>
    <n v="28500"/>
    <n v="0"/>
  </r>
  <r>
    <n v="2020"/>
    <x v="10"/>
    <n v="9"/>
    <x v="19"/>
    <n v="0"/>
    <n v="28500"/>
    <n v="0"/>
  </r>
  <r>
    <n v="2020"/>
    <x v="10"/>
    <n v="9"/>
    <x v="20"/>
    <n v="0"/>
    <n v="28500"/>
    <n v="0"/>
  </r>
  <r>
    <n v="2020"/>
    <x v="10"/>
    <n v="9"/>
    <x v="21"/>
    <n v="0"/>
    <n v="28500"/>
    <n v="0"/>
  </r>
  <r>
    <n v="2020"/>
    <x v="10"/>
    <n v="9"/>
    <x v="22"/>
    <n v="0"/>
    <n v="28500"/>
    <n v="0"/>
  </r>
  <r>
    <n v="2020"/>
    <x v="10"/>
    <n v="9"/>
    <x v="23"/>
    <n v="0"/>
    <n v="28500"/>
    <n v="0"/>
  </r>
  <r>
    <n v="2020"/>
    <x v="10"/>
    <n v="10"/>
    <x v="0"/>
    <n v="0"/>
    <n v="28500"/>
    <n v="0"/>
  </r>
  <r>
    <n v="2020"/>
    <x v="10"/>
    <n v="10"/>
    <x v="1"/>
    <n v="0"/>
    <n v="28500"/>
    <n v="0"/>
  </r>
  <r>
    <n v="2020"/>
    <x v="10"/>
    <n v="10"/>
    <x v="2"/>
    <n v="0"/>
    <n v="28500"/>
    <n v="0"/>
  </r>
  <r>
    <n v="2020"/>
    <x v="10"/>
    <n v="10"/>
    <x v="3"/>
    <n v="0"/>
    <n v="28500"/>
    <n v="0"/>
  </r>
  <r>
    <n v="2020"/>
    <x v="10"/>
    <n v="10"/>
    <x v="4"/>
    <n v="0"/>
    <n v="28500"/>
    <n v="0"/>
  </r>
  <r>
    <n v="2020"/>
    <x v="10"/>
    <n v="10"/>
    <x v="5"/>
    <n v="0"/>
    <n v="28500"/>
    <n v="0"/>
  </r>
  <r>
    <n v="2020"/>
    <x v="10"/>
    <n v="10"/>
    <x v="6"/>
    <n v="0"/>
    <n v="28500"/>
    <n v="0"/>
  </r>
  <r>
    <n v="2020"/>
    <x v="10"/>
    <n v="10"/>
    <x v="7"/>
    <n v="0"/>
    <n v="28500"/>
    <n v="0"/>
  </r>
  <r>
    <n v="2020"/>
    <x v="10"/>
    <n v="10"/>
    <x v="8"/>
    <n v="1820.5"/>
    <n v="28500"/>
    <n v="6.3877192982456144E-2"/>
  </r>
  <r>
    <n v="2020"/>
    <x v="10"/>
    <n v="10"/>
    <x v="9"/>
    <n v="14519.5"/>
    <n v="28500"/>
    <n v="0.50945614035087716"/>
  </r>
  <r>
    <n v="2020"/>
    <x v="10"/>
    <n v="10"/>
    <x v="10"/>
    <n v="19501.5"/>
    <n v="28500"/>
    <n v="0.6842631578947368"/>
  </r>
  <r>
    <n v="2020"/>
    <x v="10"/>
    <n v="10"/>
    <x v="11"/>
    <n v="29805"/>
    <n v="28500"/>
    <n v="1.0457894736842106"/>
  </r>
  <r>
    <n v="2020"/>
    <x v="10"/>
    <n v="10"/>
    <x v="12"/>
    <n v="10222"/>
    <n v="28500"/>
    <n v="0.35866666666666669"/>
  </r>
  <r>
    <n v="2020"/>
    <x v="10"/>
    <n v="10"/>
    <x v="13"/>
    <n v="2932.5"/>
    <n v="28500"/>
    <n v="0.10289473684210526"/>
  </r>
  <r>
    <n v="2020"/>
    <x v="10"/>
    <n v="10"/>
    <x v="14"/>
    <n v="3099"/>
    <n v="28500"/>
    <n v="0.10873684210526316"/>
  </r>
  <r>
    <n v="2020"/>
    <x v="10"/>
    <n v="10"/>
    <x v="15"/>
    <n v="4119.5"/>
    <n v="28500"/>
    <n v="0.14454385964912281"/>
  </r>
  <r>
    <n v="2020"/>
    <x v="10"/>
    <n v="10"/>
    <x v="16"/>
    <n v="0"/>
    <n v="28500"/>
    <n v="0"/>
  </r>
  <r>
    <n v="2020"/>
    <x v="10"/>
    <n v="10"/>
    <x v="17"/>
    <n v="0"/>
    <n v="28500"/>
    <n v="0"/>
  </r>
  <r>
    <n v="2020"/>
    <x v="10"/>
    <n v="10"/>
    <x v="18"/>
    <n v="0"/>
    <n v="28500"/>
    <n v="0"/>
  </r>
  <r>
    <n v="2020"/>
    <x v="10"/>
    <n v="10"/>
    <x v="19"/>
    <n v="0"/>
    <n v="28500"/>
    <n v="0"/>
  </r>
  <r>
    <n v="2020"/>
    <x v="10"/>
    <n v="10"/>
    <x v="20"/>
    <n v="0"/>
    <n v="28500"/>
    <n v="0"/>
  </r>
  <r>
    <n v="2020"/>
    <x v="10"/>
    <n v="10"/>
    <x v="21"/>
    <n v="0"/>
    <n v="28500"/>
    <n v="0"/>
  </r>
  <r>
    <n v="2020"/>
    <x v="10"/>
    <n v="10"/>
    <x v="22"/>
    <n v="0"/>
    <n v="28500"/>
    <n v="0"/>
  </r>
  <r>
    <n v="2020"/>
    <x v="10"/>
    <n v="10"/>
    <x v="23"/>
    <n v="0"/>
    <n v="28500"/>
    <n v="0"/>
  </r>
  <r>
    <n v="2020"/>
    <x v="10"/>
    <n v="11"/>
    <x v="0"/>
    <n v="0"/>
    <n v="28500"/>
    <n v="0"/>
  </r>
  <r>
    <n v="2020"/>
    <x v="10"/>
    <n v="11"/>
    <x v="1"/>
    <n v="0"/>
    <n v="28500"/>
    <n v="0"/>
  </r>
  <r>
    <n v="2020"/>
    <x v="10"/>
    <n v="11"/>
    <x v="2"/>
    <n v="0"/>
    <n v="28500"/>
    <n v="0"/>
  </r>
  <r>
    <n v="2020"/>
    <x v="10"/>
    <n v="11"/>
    <x v="3"/>
    <n v="0"/>
    <n v="28500"/>
    <n v="0"/>
  </r>
  <r>
    <n v="2020"/>
    <x v="10"/>
    <n v="11"/>
    <x v="4"/>
    <n v="0"/>
    <n v="28500"/>
    <n v="0"/>
  </r>
  <r>
    <n v="2020"/>
    <x v="10"/>
    <n v="11"/>
    <x v="5"/>
    <n v="0"/>
    <n v="28500"/>
    <n v="0"/>
  </r>
  <r>
    <n v="2020"/>
    <x v="10"/>
    <n v="11"/>
    <x v="6"/>
    <n v="0"/>
    <n v="28500"/>
    <n v="0"/>
  </r>
  <r>
    <n v="2020"/>
    <x v="10"/>
    <n v="11"/>
    <x v="7"/>
    <n v="0"/>
    <n v="28500"/>
    <n v="0"/>
  </r>
  <r>
    <n v="2020"/>
    <x v="10"/>
    <n v="11"/>
    <x v="8"/>
    <n v="698.5"/>
    <n v="28500"/>
    <n v="2.450877192982456E-2"/>
  </r>
  <r>
    <n v="2020"/>
    <x v="10"/>
    <n v="11"/>
    <x v="9"/>
    <n v="4482"/>
    <n v="28500"/>
    <n v="0.15726315789473685"/>
  </r>
  <r>
    <n v="2020"/>
    <x v="10"/>
    <n v="11"/>
    <x v="10"/>
    <n v="6945.5"/>
    <n v="28500"/>
    <n v="0.24370175438596492"/>
  </r>
  <r>
    <n v="2020"/>
    <x v="10"/>
    <n v="11"/>
    <x v="11"/>
    <n v="15206.5"/>
    <n v="28500"/>
    <n v="0.5335614035087719"/>
  </r>
  <r>
    <n v="2020"/>
    <x v="10"/>
    <n v="11"/>
    <x v="12"/>
    <n v="3763.5"/>
    <n v="28500"/>
    <n v="0.13205263157894737"/>
  </r>
  <r>
    <n v="2020"/>
    <x v="10"/>
    <n v="11"/>
    <x v="13"/>
    <n v="1401.5"/>
    <n v="28500"/>
    <n v="4.9175438596491226E-2"/>
  </r>
  <r>
    <n v="2020"/>
    <x v="10"/>
    <n v="11"/>
    <x v="14"/>
    <n v="3314"/>
    <n v="28500"/>
    <n v="0.11628070175438597"/>
  </r>
  <r>
    <n v="2020"/>
    <x v="10"/>
    <n v="11"/>
    <x v="15"/>
    <n v="723.5"/>
    <n v="28500"/>
    <n v="2.5385964912280703E-2"/>
  </r>
  <r>
    <n v="2020"/>
    <x v="10"/>
    <n v="11"/>
    <x v="16"/>
    <n v="0"/>
    <n v="28500"/>
    <n v="0"/>
  </r>
  <r>
    <n v="2020"/>
    <x v="10"/>
    <n v="11"/>
    <x v="17"/>
    <n v="0"/>
    <n v="28500"/>
    <n v="0"/>
  </r>
  <r>
    <n v="2020"/>
    <x v="10"/>
    <n v="11"/>
    <x v="18"/>
    <n v="0"/>
    <n v="28500"/>
    <n v="0"/>
  </r>
  <r>
    <n v="2020"/>
    <x v="10"/>
    <n v="11"/>
    <x v="19"/>
    <n v="0"/>
    <n v="28500"/>
    <n v="0"/>
  </r>
  <r>
    <n v="2020"/>
    <x v="10"/>
    <n v="11"/>
    <x v="20"/>
    <n v="0"/>
    <n v="28500"/>
    <n v="0"/>
  </r>
  <r>
    <n v="2020"/>
    <x v="10"/>
    <n v="11"/>
    <x v="21"/>
    <n v="0"/>
    <n v="28500"/>
    <n v="0"/>
  </r>
  <r>
    <n v="2020"/>
    <x v="10"/>
    <n v="11"/>
    <x v="22"/>
    <n v="0"/>
    <n v="28500"/>
    <n v="0"/>
  </r>
  <r>
    <n v="2020"/>
    <x v="10"/>
    <n v="11"/>
    <x v="23"/>
    <n v="0"/>
    <n v="28500"/>
    <n v="0"/>
  </r>
  <r>
    <n v="2020"/>
    <x v="10"/>
    <n v="12"/>
    <x v="0"/>
    <n v="0"/>
    <n v="28500"/>
    <n v="0"/>
  </r>
  <r>
    <n v="2020"/>
    <x v="10"/>
    <n v="12"/>
    <x v="1"/>
    <n v="0"/>
    <n v="28500"/>
    <n v="0"/>
  </r>
  <r>
    <n v="2020"/>
    <x v="10"/>
    <n v="12"/>
    <x v="2"/>
    <n v="0"/>
    <n v="28500"/>
    <n v="0"/>
  </r>
  <r>
    <n v="2020"/>
    <x v="10"/>
    <n v="12"/>
    <x v="3"/>
    <n v="0"/>
    <n v="28500"/>
    <n v="0"/>
  </r>
  <r>
    <n v="2020"/>
    <x v="10"/>
    <n v="12"/>
    <x v="4"/>
    <n v="0"/>
    <n v="28500"/>
    <n v="0"/>
  </r>
  <r>
    <n v="2020"/>
    <x v="10"/>
    <n v="12"/>
    <x v="5"/>
    <n v="0"/>
    <n v="28500"/>
    <n v="0"/>
  </r>
  <r>
    <n v="2020"/>
    <x v="10"/>
    <n v="12"/>
    <x v="6"/>
    <n v="0"/>
    <n v="28500"/>
    <n v="0"/>
  </r>
  <r>
    <n v="2020"/>
    <x v="10"/>
    <n v="12"/>
    <x v="7"/>
    <n v="0"/>
    <n v="28500"/>
    <n v="0"/>
  </r>
  <r>
    <n v="2020"/>
    <x v="10"/>
    <n v="12"/>
    <x v="8"/>
    <n v="8641"/>
    <n v="28500"/>
    <n v="0.30319298245614035"/>
  </r>
  <r>
    <n v="2020"/>
    <x v="10"/>
    <n v="12"/>
    <x v="9"/>
    <n v="19789"/>
    <n v="28500"/>
    <n v="0.6943508771929825"/>
  </r>
  <r>
    <n v="2020"/>
    <x v="10"/>
    <n v="12"/>
    <x v="10"/>
    <n v="27587"/>
    <n v="28500"/>
    <n v="0.96796491228070181"/>
  </r>
  <r>
    <n v="2020"/>
    <x v="10"/>
    <n v="12"/>
    <x v="11"/>
    <n v="21868"/>
    <n v="28500"/>
    <n v="0.76729824561403503"/>
  </r>
  <r>
    <n v="2020"/>
    <x v="10"/>
    <n v="12"/>
    <x v="12"/>
    <n v="22499.5"/>
    <n v="28500"/>
    <n v="0.78945614035087719"/>
  </r>
  <r>
    <n v="2020"/>
    <x v="10"/>
    <n v="12"/>
    <x v="13"/>
    <n v="27845.5"/>
    <n v="28500"/>
    <n v="0.97703508771929826"/>
  </r>
  <r>
    <n v="2020"/>
    <x v="10"/>
    <n v="12"/>
    <x v="14"/>
    <n v="20937.5"/>
    <n v="28500"/>
    <n v="0.73464912280701755"/>
  </r>
  <r>
    <n v="2020"/>
    <x v="10"/>
    <n v="12"/>
    <x v="15"/>
    <n v="1431.5"/>
    <n v="28500"/>
    <n v="5.0228070175438594E-2"/>
  </r>
  <r>
    <n v="2020"/>
    <x v="10"/>
    <n v="12"/>
    <x v="16"/>
    <n v="0"/>
    <n v="28500"/>
    <n v="0"/>
  </r>
  <r>
    <n v="2020"/>
    <x v="10"/>
    <n v="12"/>
    <x v="17"/>
    <n v="0"/>
    <n v="28500"/>
    <n v="0"/>
  </r>
  <r>
    <n v="2020"/>
    <x v="10"/>
    <n v="12"/>
    <x v="18"/>
    <n v="0"/>
    <n v="28500"/>
    <n v="0"/>
  </r>
  <r>
    <n v="2020"/>
    <x v="10"/>
    <n v="12"/>
    <x v="19"/>
    <n v="0"/>
    <n v="28500"/>
    <n v="0"/>
  </r>
  <r>
    <n v="2020"/>
    <x v="10"/>
    <n v="12"/>
    <x v="20"/>
    <n v="0"/>
    <n v="28500"/>
    <n v="0"/>
  </r>
  <r>
    <n v="2020"/>
    <x v="10"/>
    <n v="12"/>
    <x v="21"/>
    <n v="0"/>
    <n v="28500"/>
    <n v="0"/>
  </r>
  <r>
    <n v="2020"/>
    <x v="10"/>
    <n v="12"/>
    <x v="22"/>
    <n v="0"/>
    <n v="28500"/>
    <n v="0"/>
  </r>
  <r>
    <n v="2020"/>
    <x v="10"/>
    <n v="12"/>
    <x v="23"/>
    <n v="0"/>
    <n v="28500"/>
    <n v="0"/>
  </r>
  <r>
    <n v="2020"/>
    <x v="10"/>
    <n v="13"/>
    <x v="0"/>
    <n v="0"/>
    <n v="28500"/>
    <n v="0"/>
  </r>
  <r>
    <n v="2020"/>
    <x v="10"/>
    <n v="13"/>
    <x v="1"/>
    <n v="0"/>
    <n v="28500"/>
    <n v="0"/>
  </r>
  <r>
    <n v="2020"/>
    <x v="10"/>
    <n v="13"/>
    <x v="2"/>
    <n v="0"/>
    <n v="28500"/>
    <n v="0"/>
  </r>
  <r>
    <n v="2020"/>
    <x v="10"/>
    <n v="13"/>
    <x v="3"/>
    <n v="0"/>
    <n v="28500"/>
    <n v="0"/>
  </r>
  <r>
    <n v="2020"/>
    <x v="10"/>
    <n v="13"/>
    <x v="4"/>
    <n v="0"/>
    <n v="28500"/>
    <n v="0"/>
  </r>
  <r>
    <n v="2020"/>
    <x v="10"/>
    <n v="13"/>
    <x v="5"/>
    <n v="0"/>
    <n v="28500"/>
    <n v="0"/>
  </r>
  <r>
    <n v="2020"/>
    <x v="10"/>
    <n v="13"/>
    <x v="6"/>
    <n v="0"/>
    <n v="28500"/>
    <n v="0"/>
  </r>
  <r>
    <n v="2020"/>
    <x v="10"/>
    <n v="13"/>
    <x v="7"/>
    <n v="0"/>
    <n v="28500"/>
    <n v="0"/>
  </r>
  <r>
    <n v="2020"/>
    <x v="10"/>
    <n v="13"/>
    <x v="8"/>
    <n v="629"/>
    <n v="28500"/>
    <n v="2.207017543859649E-2"/>
  </r>
  <r>
    <n v="2020"/>
    <x v="10"/>
    <n v="13"/>
    <x v="9"/>
    <n v="4485.5"/>
    <n v="28500"/>
    <n v="0.15738596491228071"/>
  </r>
  <r>
    <n v="2020"/>
    <x v="10"/>
    <n v="13"/>
    <x v="10"/>
    <n v="10009"/>
    <n v="28500"/>
    <n v="0.35119298245614033"/>
  </r>
  <r>
    <n v="2020"/>
    <x v="10"/>
    <n v="13"/>
    <x v="11"/>
    <n v="13586"/>
    <n v="28500"/>
    <n v="0.4767017543859649"/>
  </r>
  <r>
    <n v="2020"/>
    <x v="10"/>
    <n v="13"/>
    <x v="12"/>
    <n v="30880"/>
    <n v="28500"/>
    <n v="1.0835087719298246"/>
  </r>
  <r>
    <n v="2020"/>
    <x v="10"/>
    <n v="13"/>
    <x v="13"/>
    <n v="21396"/>
    <n v="28500"/>
    <n v="0.75073684210526315"/>
  </r>
  <r>
    <n v="2020"/>
    <x v="10"/>
    <n v="13"/>
    <x v="14"/>
    <n v="15965"/>
    <n v="28500"/>
    <n v="0.56017543859649122"/>
  </r>
  <r>
    <n v="2020"/>
    <x v="10"/>
    <n v="13"/>
    <x v="15"/>
    <n v="11029"/>
    <n v="28500"/>
    <n v="0.38698245614035087"/>
  </r>
  <r>
    <n v="2020"/>
    <x v="10"/>
    <n v="13"/>
    <x v="16"/>
    <n v="0"/>
    <n v="28500"/>
    <n v="0"/>
  </r>
  <r>
    <n v="2020"/>
    <x v="10"/>
    <n v="13"/>
    <x v="17"/>
    <n v="0"/>
    <n v="28500"/>
    <n v="0"/>
  </r>
  <r>
    <n v="2020"/>
    <x v="10"/>
    <n v="13"/>
    <x v="18"/>
    <n v="0"/>
    <n v="28500"/>
    <n v="0"/>
  </r>
  <r>
    <n v="2020"/>
    <x v="10"/>
    <n v="13"/>
    <x v="19"/>
    <n v="0"/>
    <n v="28500"/>
    <n v="0"/>
  </r>
  <r>
    <n v="2020"/>
    <x v="10"/>
    <n v="13"/>
    <x v="20"/>
    <n v="0"/>
    <n v="28500"/>
    <n v="0"/>
  </r>
  <r>
    <n v="2020"/>
    <x v="10"/>
    <n v="13"/>
    <x v="21"/>
    <n v="0"/>
    <n v="28500"/>
    <n v="0"/>
  </r>
  <r>
    <n v="2020"/>
    <x v="10"/>
    <n v="13"/>
    <x v="22"/>
    <n v="0"/>
    <n v="28500"/>
    <n v="0"/>
  </r>
  <r>
    <n v="2020"/>
    <x v="10"/>
    <n v="13"/>
    <x v="23"/>
    <n v="0"/>
    <n v="28500"/>
    <n v="0"/>
  </r>
  <r>
    <n v="2020"/>
    <x v="10"/>
    <n v="14"/>
    <x v="0"/>
    <n v="0"/>
    <n v="28500"/>
    <n v="0"/>
  </r>
  <r>
    <n v="2020"/>
    <x v="10"/>
    <n v="14"/>
    <x v="1"/>
    <n v="0"/>
    <n v="28500"/>
    <n v="0"/>
  </r>
  <r>
    <n v="2020"/>
    <x v="10"/>
    <n v="14"/>
    <x v="2"/>
    <n v="0"/>
    <n v="28500"/>
    <n v="0"/>
  </r>
  <r>
    <n v="2020"/>
    <x v="10"/>
    <n v="14"/>
    <x v="3"/>
    <n v="0"/>
    <n v="28500"/>
    <n v="0"/>
  </r>
  <r>
    <n v="2020"/>
    <x v="10"/>
    <n v="14"/>
    <x v="4"/>
    <n v="0"/>
    <n v="28500"/>
    <n v="0"/>
  </r>
  <r>
    <n v="2020"/>
    <x v="10"/>
    <n v="14"/>
    <x v="5"/>
    <n v="0"/>
    <n v="28500"/>
    <n v="0"/>
  </r>
  <r>
    <n v="2020"/>
    <x v="10"/>
    <n v="14"/>
    <x v="6"/>
    <n v="0"/>
    <n v="28500"/>
    <n v="0"/>
  </r>
  <r>
    <n v="2020"/>
    <x v="10"/>
    <n v="14"/>
    <x v="7"/>
    <n v="0"/>
    <n v="28500"/>
    <n v="0"/>
  </r>
  <r>
    <n v="2020"/>
    <x v="10"/>
    <n v="14"/>
    <x v="8"/>
    <n v="269"/>
    <n v="28500"/>
    <n v="9.4385964912280709E-3"/>
  </r>
  <r>
    <n v="2020"/>
    <x v="10"/>
    <n v="14"/>
    <x v="9"/>
    <n v="215"/>
    <n v="28500"/>
    <n v="7.5438596491228067E-3"/>
  </r>
  <r>
    <n v="2020"/>
    <x v="10"/>
    <n v="14"/>
    <x v="10"/>
    <n v="4517"/>
    <n v="28500"/>
    <n v="0.15849122807017543"/>
  </r>
  <r>
    <n v="2020"/>
    <x v="10"/>
    <n v="14"/>
    <x v="11"/>
    <n v="1538.5"/>
    <n v="28500"/>
    <n v="5.3982456140350875E-2"/>
  </r>
  <r>
    <n v="2020"/>
    <x v="10"/>
    <n v="14"/>
    <x v="12"/>
    <n v="5142"/>
    <n v="28500"/>
    <n v="0.18042105263157895"/>
  </r>
  <r>
    <n v="2020"/>
    <x v="10"/>
    <n v="14"/>
    <x v="13"/>
    <n v="3126"/>
    <n v="28500"/>
    <n v="0.10968421052631579"/>
  </r>
  <r>
    <n v="2020"/>
    <x v="10"/>
    <n v="14"/>
    <x v="14"/>
    <n v="4469.5"/>
    <n v="28500"/>
    <n v="0.15682456140350878"/>
  </r>
  <r>
    <n v="2020"/>
    <x v="10"/>
    <n v="14"/>
    <x v="15"/>
    <n v="9509.5"/>
    <n v="28500"/>
    <n v="0.33366666666666667"/>
  </r>
  <r>
    <n v="2020"/>
    <x v="10"/>
    <n v="14"/>
    <x v="16"/>
    <n v="0"/>
    <n v="28500"/>
    <n v="0"/>
  </r>
  <r>
    <n v="2020"/>
    <x v="10"/>
    <n v="14"/>
    <x v="17"/>
    <n v="0"/>
    <n v="28500"/>
    <n v="0"/>
  </r>
  <r>
    <n v="2020"/>
    <x v="10"/>
    <n v="14"/>
    <x v="18"/>
    <n v="0"/>
    <n v="28500"/>
    <n v="0"/>
  </r>
  <r>
    <n v="2020"/>
    <x v="10"/>
    <n v="14"/>
    <x v="19"/>
    <n v="0"/>
    <n v="28500"/>
    <n v="0"/>
  </r>
  <r>
    <n v="2020"/>
    <x v="10"/>
    <n v="14"/>
    <x v="20"/>
    <n v="0"/>
    <n v="28500"/>
    <n v="0"/>
  </r>
  <r>
    <n v="2020"/>
    <x v="10"/>
    <n v="14"/>
    <x v="21"/>
    <n v="0"/>
    <n v="28500"/>
    <n v="0"/>
  </r>
  <r>
    <n v="2020"/>
    <x v="10"/>
    <n v="14"/>
    <x v="22"/>
    <n v="0"/>
    <n v="28500"/>
    <n v="0"/>
  </r>
  <r>
    <n v="2020"/>
    <x v="10"/>
    <n v="14"/>
    <x v="23"/>
    <n v="0"/>
    <n v="28500"/>
    <n v="0"/>
  </r>
  <r>
    <n v="2020"/>
    <x v="10"/>
    <n v="15"/>
    <x v="0"/>
    <n v="0"/>
    <n v="28500"/>
    <n v="0"/>
  </r>
  <r>
    <n v="2020"/>
    <x v="10"/>
    <n v="15"/>
    <x v="1"/>
    <n v="0"/>
    <n v="28500"/>
    <n v="0"/>
  </r>
  <r>
    <n v="2020"/>
    <x v="10"/>
    <n v="15"/>
    <x v="2"/>
    <n v="0"/>
    <n v="28500"/>
    <n v="0"/>
  </r>
  <r>
    <n v="2020"/>
    <x v="10"/>
    <n v="15"/>
    <x v="3"/>
    <n v="0"/>
    <n v="28500"/>
    <n v="0"/>
  </r>
  <r>
    <n v="2020"/>
    <x v="10"/>
    <n v="15"/>
    <x v="4"/>
    <n v="0"/>
    <n v="28500"/>
    <n v="0"/>
  </r>
  <r>
    <n v="2020"/>
    <x v="10"/>
    <n v="15"/>
    <x v="5"/>
    <n v="0"/>
    <n v="28500"/>
    <n v="0"/>
  </r>
  <r>
    <n v="2020"/>
    <x v="10"/>
    <n v="15"/>
    <x v="6"/>
    <n v="0"/>
    <n v="28500"/>
    <n v="0"/>
  </r>
  <r>
    <n v="2020"/>
    <x v="10"/>
    <n v="15"/>
    <x v="7"/>
    <n v="0"/>
    <n v="28500"/>
    <n v="0"/>
  </r>
  <r>
    <n v="2020"/>
    <x v="10"/>
    <n v="15"/>
    <x v="8"/>
    <n v="296.5"/>
    <n v="28500"/>
    <n v="1.0403508771929824E-2"/>
  </r>
  <r>
    <n v="2020"/>
    <x v="10"/>
    <n v="15"/>
    <x v="9"/>
    <n v="4556.5"/>
    <n v="28500"/>
    <n v="0.15987719298245615"/>
  </r>
  <r>
    <n v="2020"/>
    <x v="10"/>
    <n v="15"/>
    <x v="10"/>
    <n v="2328"/>
    <n v="28500"/>
    <n v="8.168421052631579E-2"/>
  </r>
  <r>
    <n v="2020"/>
    <x v="10"/>
    <n v="15"/>
    <x v="11"/>
    <n v="7323"/>
    <n v="28500"/>
    <n v="0.25694736842105265"/>
  </r>
  <r>
    <n v="2020"/>
    <x v="10"/>
    <n v="15"/>
    <x v="12"/>
    <n v="32685.5"/>
    <n v="28500"/>
    <n v="1.1468596491228069"/>
  </r>
  <r>
    <n v="2020"/>
    <x v="10"/>
    <n v="15"/>
    <x v="13"/>
    <n v="29524"/>
    <n v="28500"/>
    <n v="1.0359298245614035"/>
  </r>
  <r>
    <n v="2020"/>
    <x v="10"/>
    <n v="15"/>
    <x v="14"/>
    <n v="21873.5"/>
    <n v="28500"/>
    <n v="0.76749122807017545"/>
  </r>
  <r>
    <n v="2020"/>
    <x v="10"/>
    <n v="15"/>
    <x v="15"/>
    <n v="274.5"/>
    <n v="28500"/>
    <n v="9.6315789473684216E-3"/>
  </r>
  <r>
    <n v="2020"/>
    <x v="10"/>
    <n v="15"/>
    <x v="16"/>
    <n v="0"/>
    <n v="28500"/>
    <n v="0"/>
  </r>
  <r>
    <n v="2020"/>
    <x v="10"/>
    <n v="15"/>
    <x v="17"/>
    <n v="0"/>
    <n v="28500"/>
    <n v="0"/>
  </r>
  <r>
    <n v="2020"/>
    <x v="10"/>
    <n v="15"/>
    <x v="18"/>
    <n v="0"/>
    <n v="28500"/>
    <n v="0"/>
  </r>
  <r>
    <n v="2020"/>
    <x v="10"/>
    <n v="15"/>
    <x v="19"/>
    <n v="0"/>
    <n v="28500"/>
    <n v="0"/>
  </r>
  <r>
    <n v="2020"/>
    <x v="10"/>
    <n v="15"/>
    <x v="20"/>
    <n v="0"/>
    <n v="28500"/>
    <n v="0"/>
  </r>
  <r>
    <n v="2020"/>
    <x v="10"/>
    <n v="15"/>
    <x v="21"/>
    <n v="0"/>
    <n v="28500"/>
    <n v="0"/>
  </r>
  <r>
    <n v="2020"/>
    <x v="10"/>
    <n v="15"/>
    <x v="22"/>
    <n v="0"/>
    <n v="28500"/>
    <n v="0"/>
  </r>
  <r>
    <n v="2020"/>
    <x v="10"/>
    <n v="15"/>
    <x v="23"/>
    <n v="0"/>
    <n v="28500"/>
    <n v="0"/>
  </r>
  <r>
    <n v="2020"/>
    <x v="10"/>
    <n v="16"/>
    <x v="0"/>
    <n v="0"/>
    <n v="28500"/>
    <n v="0"/>
  </r>
  <r>
    <n v="2020"/>
    <x v="10"/>
    <n v="16"/>
    <x v="1"/>
    <n v="0"/>
    <n v="28500"/>
    <n v="0"/>
  </r>
  <r>
    <n v="2020"/>
    <x v="10"/>
    <n v="16"/>
    <x v="2"/>
    <n v="0"/>
    <n v="28500"/>
    <n v="0"/>
  </r>
  <r>
    <n v="2020"/>
    <x v="10"/>
    <n v="16"/>
    <x v="3"/>
    <n v="0"/>
    <n v="28500"/>
    <n v="0"/>
  </r>
  <r>
    <n v="2020"/>
    <x v="10"/>
    <n v="16"/>
    <x v="4"/>
    <n v="0"/>
    <n v="28500"/>
    <n v="0"/>
  </r>
  <r>
    <n v="2020"/>
    <x v="10"/>
    <n v="16"/>
    <x v="5"/>
    <n v="0"/>
    <n v="28500"/>
    <n v="0"/>
  </r>
  <r>
    <n v="2020"/>
    <x v="10"/>
    <n v="16"/>
    <x v="6"/>
    <n v="0"/>
    <n v="28500"/>
    <n v="0"/>
  </r>
  <r>
    <n v="2020"/>
    <x v="10"/>
    <n v="16"/>
    <x v="7"/>
    <n v="0"/>
    <n v="28500"/>
    <n v="0"/>
  </r>
  <r>
    <n v="2020"/>
    <x v="10"/>
    <n v="16"/>
    <x v="8"/>
    <n v="31.5"/>
    <n v="28500"/>
    <n v="1.1052631578947368E-3"/>
  </r>
  <r>
    <n v="2020"/>
    <x v="10"/>
    <n v="16"/>
    <x v="9"/>
    <n v="1318"/>
    <n v="28500"/>
    <n v="4.6245614035087722E-2"/>
  </r>
  <r>
    <n v="2020"/>
    <x v="10"/>
    <n v="16"/>
    <x v="10"/>
    <n v="1713"/>
    <n v="28500"/>
    <n v="6.0105263157894738E-2"/>
  </r>
  <r>
    <n v="2020"/>
    <x v="10"/>
    <n v="16"/>
    <x v="11"/>
    <n v="1971"/>
    <n v="28500"/>
    <n v="6.9157894736842099E-2"/>
  </r>
  <r>
    <n v="2020"/>
    <x v="10"/>
    <n v="16"/>
    <x v="12"/>
    <n v="14059.5"/>
    <n v="28500"/>
    <n v="0.49331578947368421"/>
  </r>
  <r>
    <n v="2020"/>
    <x v="10"/>
    <n v="16"/>
    <x v="13"/>
    <n v="11162.5"/>
    <n v="28500"/>
    <n v="0.39166666666666666"/>
  </r>
  <r>
    <n v="2020"/>
    <x v="10"/>
    <n v="16"/>
    <x v="14"/>
    <n v="2606"/>
    <n v="28500"/>
    <n v="9.1438596491228069E-2"/>
  </r>
  <r>
    <n v="2020"/>
    <x v="10"/>
    <n v="16"/>
    <x v="15"/>
    <n v="3329"/>
    <n v="28500"/>
    <n v="0.11680701754385965"/>
  </r>
  <r>
    <n v="2020"/>
    <x v="10"/>
    <n v="16"/>
    <x v="16"/>
    <n v="0"/>
    <n v="28500"/>
    <n v="0"/>
  </r>
  <r>
    <n v="2020"/>
    <x v="10"/>
    <n v="16"/>
    <x v="17"/>
    <n v="0"/>
    <n v="28500"/>
    <n v="0"/>
  </r>
  <r>
    <n v="2020"/>
    <x v="10"/>
    <n v="16"/>
    <x v="18"/>
    <n v="0"/>
    <n v="28500"/>
    <n v="0"/>
  </r>
  <r>
    <n v="2020"/>
    <x v="10"/>
    <n v="16"/>
    <x v="19"/>
    <n v="0"/>
    <n v="28500"/>
    <n v="0"/>
  </r>
  <r>
    <n v="2020"/>
    <x v="10"/>
    <n v="16"/>
    <x v="20"/>
    <n v="0"/>
    <n v="28500"/>
    <n v="0"/>
  </r>
  <r>
    <n v="2020"/>
    <x v="10"/>
    <n v="16"/>
    <x v="21"/>
    <n v="0"/>
    <n v="28500"/>
    <n v="0"/>
  </r>
  <r>
    <n v="2020"/>
    <x v="10"/>
    <n v="16"/>
    <x v="22"/>
    <n v="0"/>
    <n v="28500"/>
    <n v="0"/>
  </r>
  <r>
    <n v="2020"/>
    <x v="10"/>
    <n v="16"/>
    <x v="23"/>
    <n v="0"/>
    <n v="28500"/>
    <n v="0"/>
  </r>
  <r>
    <n v="2020"/>
    <x v="10"/>
    <n v="17"/>
    <x v="0"/>
    <n v="0"/>
    <n v="28500"/>
    <n v="0"/>
  </r>
  <r>
    <n v="2020"/>
    <x v="10"/>
    <n v="17"/>
    <x v="1"/>
    <n v="0"/>
    <n v="28500"/>
    <n v="0"/>
  </r>
  <r>
    <n v="2020"/>
    <x v="10"/>
    <n v="17"/>
    <x v="2"/>
    <n v="0"/>
    <n v="28500"/>
    <n v="0"/>
  </r>
  <r>
    <n v="2020"/>
    <x v="10"/>
    <n v="17"/>
    <x v="3"/>
    <n v="0"/>
    <n v="28500"/>
    <n v="0"/>
  </r>
  <r>
    <n v="2020"/>
    <x v="10"/>
    <n v="17"/>
    <x v="4"/>
    <n v="0"/>
    <n v="28500"/>
    <n v="0"/>
  </r>
  <r>
    <n v="2020"/>
    <x v="10"/>
    <n v="17"/>
    <x v="5"/>
    <n v="0"/>
    <n v="28500"/>
    <n v="0"/>
  </r>
  <r>
    <n v="2020"/>
    <x v="10"/>
    <n v="17"/>
    <x v="6"/>
    <n v="0"/>
    <n v="28500"/>
    <n v="0"/>
  </r>
  <r>
    <n v="2020"/>
    <x v="10"/>
    <n v="17"/>
    <x v="7"/>
    <n v="0"/>
    <n v="28500"/>
    <n v="0"/>
  </r>
  <r>
    <n v="2020"/>
    <x v="10"/>
    <n v="17"/>
    <x v="8"/>
    <n v="982.5"/>
    <n v="28500"/>
    <n v="3.4473684210526316E-2"/>
  </r>
  <r>
    <n v="2020"/>
    <x v="10"/>
    <n v="17"/>
    <x v="9"/>
    <n v="5034"/>
    <n v="28500"/>
    <n v="0.17663157894736842"/>
  </r>
  <r>
    <n v="2020"/>
    <x v="10"/>
    <n v="17"/>
    <x v="10"/>
    <n v="6946.5"/>
    <n v="28500"/>
    <n v="0.24373684210526317"/>
  </r>
  <r>
    <n v="2020"/>
    <x v="10"/>
    <n v="17"/>
    <x v="11"/>
    <n v="2837"/>
    <n v="28500"/>
    <n v="9.9543859649122809E-2"/>
  </r>
  <r>
    <n v="2020"/>
    <x v="10"/>
    <n v="17"/>
    <x v="12"/>
    <n v="3019.5"/>
    <n v="28500"/>
    <n v="0.10594736842105264"/>
  </r>
  <r>
    <n v="2020"/>
    <x v="10"/>
    <n v="17"/>
    <x v="13"/>
    <n v="7767.5"/>
    <n v="28500"/>
    <n v="0.27254385964912281"/>
  </r>
  <r>
    <n v="2020"/>
    <x v="10"/>
    <n v="17"/>
    <x v="14"/>
    <n v="561"/>
    <n v="28500"/>
    <n v="1.968421052631579E-2"/>
  </r>
  <r>
    <n v="2020"/>
    <x v="10"/>
    <n v="17"/>
    <x v="15"/>
    <n v="1224.5"/>
    <n v="28500"/>
    <n v="4.2964912280701754E-2"/>
  </r>
  <r>
    <n v="2020"/>
    <x v="10"/>
    <n v="17"/>
    <x v="16"/>
    <n v="0"/>
    <n v="28500"/>
    <n v="0"/>
  </r>
  <r>
    <n v="2020"/>
    <x v="10"/>
    <n v="17"/>
    <x v="17"/>
    <n v="0"/>
    <n v="28500"/>
    <n v="0"/>
  </r>
  <r>
    <n v="2020"/>
    <x v="10"/>
    <n v="17"/>
    <x v="18"/>
    <n v="0"/>
    <n v="28500"/>
    <n v="0"/>
  </r>
  <r>
    <n v="2020"/>
    <x v="10"/>
    <n v="17"/>
    <x v="19"/>
    <n v="0"/>
    <n v="28500"/>
    <n v="0"/>
  </r>
  <r>
    <n v="2020"/>
    <x v="10"/>
    <n v="17"/>
    <x v="20"/>
    <n v="0"/>
    <n v="28500"/>
    <n v="0"/>
  </r>
  <r>
    <n v="2020"/>
    <x v="10"/>
    <n v="17"/>
    <x v="21"/>
    <n v="0"/>
    <n v="28500"/>
    <n v="0"/>
  </r>
  <r>
    <n v="2020"/>
    <x v="10"/>
    <n v="17"/>
    <x v="22"/>
    <n v="0"/>
    <n v="28500"/>
    <n v="0"/>
  </r>
  <r>
    <n v="2020"/>
    <x v="10"/>
    <n v="17"/>
    <x v="23"/>
    <n v="0"/>
    <n v="28500"/>
    <n v="0"/>
  </r>
  <r>
    <n v="2020"/>
    <x v="10"/>
    <n v="18"/>
    <x v="0"/>
    <n v="0"/>
    <n v="28500"/>
    <n v="0"/>
  </r>
  <r>
    <n v="2020"/>
    <x v="10"/>
    <n v="18"/>
    <x v="1"/>
    <n v="0"/>
    <n v="28500"/>
    <n v="0"/>
  </r>
  <r>
    <n v="2020"/>
    <x v="10"/>
    <n v="18"/>
    <x v="2"/>
    <n v="0"/>
    <n v="28500"/>
    <n v="0"/>
  </r>
  <r>
    <n v="2020"/>
    <x v="10"/>
    <n v="18"/>
    <x v="3"/>
    <n v="0"/>
    <n v="28500"/>
    <n v="0"/>
  </r>
  <r>
    <n v="2020"/>
    <x v="10"/>
    <n v="18"/>
    <x v="4"/>
    <n v="0"/>
    <n v="28500"/>
    <n v="0"/>
  </r>
  <r>
    <n v="2020"/>
    <x v="10"/>
    <n v="18"/>
    <x v="5"/>
    <n v="0"/>
    <n v="28500"/>
    <n v="0"/>
  </r>
  <r>
    <n v="2020"/>
    <x v="10"/>
    <n v="18"/>
    <x v="6"/>
    <n v="0"/>
    <n v="28500"/>
    <n v="0"/>
  </r>
  <r>
    <n v="2020"/>
    <x v="10"/>
    <n v="18"/>
    <x v="7"/>
    <n v="0"/>
    <n v="28500"/>
    <n v="0"/>
  </r>
  <r>
    <n v="2020"/>
    <x v="10"/>
    <n v="18"/>
    <x v="8"/>
    <n v="4239.5"/>
    <n v="28500"/>
    <n v="0.14875438596491228"/>
  </r>
  <r>
    <n v="2020"/>
    <x v="10"/>
    <n v="18"/>
    <x v="9"/>
    <n v="15328"/>
    <n v="28500"/>
    <n v="0.53782456140350876"/>
  </r>
  <r>
    <n v="2020"/>
    <x v="10"/>
    <n v="18"/>
    <x v="10"/>
    <n v="21014.5"/>
    <n v="28500"/>
    <n v="0.73735087719298242"/>
  </r>
  <r>
    <n v="2020"/>
    <x v="10"/>
    <n v="18"/>
    <x v="11"/>
    <n v="16912.5"/>
    <n v="28500"/>
    <n v="0.59342105263157896"/>
  </r>
  <r>
    <n v="2020"/>
    <x v="10"/>
    <n v="18"/>
    <x v="12"/>
    <n v="28876.5"/>
    <n v="28500"/>
    <n v="1.0132105263157896"/>
  </r>
  <r>
    <n v="2020"/>
    <x v="10"/>
    <n v="18"/>
    <x v="13"/>
    <n v="4111.5"/>
    <n v="28500"/>
    <n v="0.14426315789473684"/>
  </r>
  <r>
    <n v="2020"/>
    <x v="10"/>
    <n v="18"/>
    <x v="14"/>
    <n v="409.5"/>
    <n v="28500"/>
    <n v="1.4368421052631579E-2"/>
  </r>
  <r>
    <n v="2020"/>
    <x v="10"/>
    <n v="18"/>
    <x v="15"/>
    <n v="499"/>
    <n v="28500"/>
    <n v="1.750877192982456E-2"/>
  </r>
  <r>
    <n v="2020"/>
    <x v="10"/>
    <n v="18"/>
    <x v="16"/>
    <n v="0"/>
    <n v="28500"/>
    <n v="0"/>
  </r>
  <r>
    <n v="2020"/>
    <x v="10"/>
    <n v="18"/>
    <x v="17"/>
    <n v="0"/>
    <n v="28500"/>
    <n v="0"/>
  </r>
  <r>
    <n v="2020"/>
    <x v="10"/>
    <n v="18"/>
    <x v="18"/>
    <n v="0"/>
    <n v="28500"/>
    <n v="0"/>
  </r>
  <r>
    <n v="2020"/>
    <x v="10"/>
    <n v="18"/>
    <x v="19"/>
    <n v="0"/>
    <n v="28500"/>
    <n v="0"/>
  </r>
  <r>
    <n v="2020"/>
    <x v="10"/>
    <n v="18"/>
    <x v="20"/>
    <n v="0"/>
    <n v="28500"/>
    <n v="0"/>
  </r>
  <r>
    <n v="2020"/>
    <x v="10"/>
    <n v="18"/>
    <x v="21"/>
    <n v="0"/>
    <n v="28500"/>
    <n v="0"/>
  </r>
  <r>
    <n v="2020"/>
    <x v="10"/>
    <n v="18"/>
    <x v="22"/>
    <n v="0"/>
    <n v="28500"/>
    <n v="0"/>
  </r>
  <r>
    <n v="2020"/>
    <x v="10"/>
    <n v="18"/>
    <x v="23"/>
    <n v="0"/>
    <n v="28500"/>
    <n v="0"/>
  </r>
  <r>
    <n v="2020"/>
    <x v="10"/>
    <n v="19"/>
    <x v="0"/>
    <n v="0"/>
    <n v="28500"/>
    <n v="0"/>
  </r>
  <r>
    <n v="2020"/>
    <x v="10"/>
    <n v="19"/>
    <x v="1"/>
    <n v="0"/>
    <n v="28500"/>
    <n v="0"/>
  </r>
  <r>
    <n v="2020"/>
    <x v="10"/>
    <n v="19"/>
    <x v="2"/>
    <n v="0"/>
    <n v="28500"/>
    <n v="0"/>
  </r>
  <r>
    <n v="2020"/>
    <x v="10"/>
    <n v="19"/>
    <x v="3"/>
    <n v="0"/>
    <n v="28500"/>
    <n v="0"/>
  </r>
  <r>
    <n v="2020"/>
    <x v="10"/>
    <n v="19"/>
    <x v="4"/>
    <n v="0"/>
    <n v="28500"/>
    <n v="0"/>
  </r>
  <r>
    <n v="2020"/>
    <x v="10"/>
    <n v="19"/>
    <x v="5"/>
    <n v="0"/>
    <n v="28500"/>
    <n v="0"/>
  </r>
  <r>
    <n v="2020"/>
    <x v="10"/>
    <n v="19"/>
    <x v="6"/>
    <n v="0"/>
    <n v="28500"/>
    <n v="0"/>
  </r>
  <r>
    <n v="2020"/>
    <x v="10"/>
    <n v="19"/>
    <x v="7"/>
    <n v="0"/>
    <n v="28500"/>
    <n v="0"/>
  </r>
  <r>
    <n v="2020"/>
    <x v="10"/>
    <n v="19"/>
    <x v="8"/>
    <n v="736.5"/>
    <n v="28500"/>
    <n v="2.5842105263157895E-2"/>
  </r>
  <r>
    <n v="2020"/>
    <x v="10"/>
    <n v="19"/>
    <x v="9"/>
    <n v="3779"/>
    <n v="28500"/>
    <n v="0.13259649122807018"/>
  </r>
  <r>
    <n v="2020"/>
    <x v="10"/>
    <n v="19"/>
    <x v="10"/>
    <n v="5062"/>
    <n v="28500"/>
    <n v="0.17761403508771931"/>
  </r>
  <r>
    <n v="2020"/>
    <x v="10"/>
    <n v="19"/>
    <x v="11"/>
    <n v="1290"/>
    <n v="28500"/>
    <n v="4.5263157894736845E-2"/>
  </r>
  <r>
    <n v="2020"/>
    <x v="10"/>
    <n v="19"/>
    <x v="12"/>
    <n v="2594"/>
    <n v="28500"/>
    <n v="9.1017543859649122E-2"/>
  </r>
  <r>
    <n v="2020"/>
    <x v="10"/>
    <n v="19"/>
    <x v="13"/>
    <n v="1047"/>
    <n v="28500"/>
    <n v="3.6736842105263158E-2"/>
  </r>
  <r>
    <n v="2020"/>
    <x v="10"/>
    <n v="19"/>
    <x v="14"/>
    <n v="17148.5"/>
    <n v="28500"/>
    <n v="0.60170175438596496"/>
  </r>
  <r>
    <n v="2020"/>
    <x v="10"/>
    <n v="19"/>
    <x v="15"/>
    <n v="10208.5"/>
    <n v="28500"/>
    <n v="0.35819298245614034"/>
  </r>
  <r>
    <n v="2020"/>
    <x v="10"/>
    <n v="19"/>
    <x v="16"/>
    <n v="0"/>
    <n v="28500"/>
    <n v="0"/>
  </r>
  <r>
    <n v="2020"/>
    <x v="10"/>
    <n v="19"/>
    <x v="17"/>
    <n v="0"/>
    <n v="28500"/>
    <n v="0"/>
  </r>
  <r>
    <n v="2020"/>
    <x v="10"/>
    <n v="19"/>
    <x v="18"/>
    <n v="0"/>
    <n v="28500"/>
    <n v="0"/>
  </r>
  <r>
    <n v="2020"/>
    <x v="10"/>
    <n v="19"/>
    <x v="19"/>
    <n v="0"/>
    <n v="28500"/>
    <n v="0"/>
  </r>
  <r>
    <n v="2020"/>
    <x v="10"/>
    <n v="19"/>
    <x v="20"/>
    <n v="0"/>
    <n v="28500"/>
    <n v="0"/>
  </r>
  <r>
    <n v="2020"/>
    <x v="10"/>
    <n v="19"/>
    <x v="21"/>
    <n v="0"/>
    <n v="28500"/>
    <n v="0"/>
  </r>
  <r>
    <n v="2020"/>
    <x v="10"/>
    <n v="19"/>
    <x v="22"/>
    <n v="0"/>
    <n v="28500"/>
    <n v="0"/>
  </r>
  <r>
    <n v="2020"/>
    <x v="10"/>
    <n v="19"/>
    <x v="23"/>
    <n v="0"/>
    <n v="28500"/>
    <n v="0"/>
  </r>
  <r>
    <n v="2020"/>
    <x v="10"/>
    <n v="20"/>
    <x v="0"/>
    <n v="0"/>
    <n v="28500"/>
    <n v="0"/>
  </r>
  <r>
    <n v="2020"/>
    <x v="10"/>
    <n v="20"/>
    <x v="1"/>
    <n v="0"/>
    <n v="28500"/>
    <n v="0"/>
  </r>
  <r>
    <n v="2020"/>
    <x v="10"/>
    <n v="20"/>
    <x v="2"/>
    <n v="0"/>
    <n v="28500"/>
    <n v="0"/>
  </r>
  <r>
    <n v="2020"/>
    <x v="10"/>
    <n v="20"/>
    <x v="3"/>
    <n v="0"/>
    <n v="28500"/>
    <n v="0"/>
  </r>
  <r>
    <n v="2020"/>
    <x v="10"/>
    <n v="20"/>
    <x v="4"/>
    <n v="0"/>
    <n v="28500"/>
    <n v="0"/>
  </r>
  <r>
    <n v="2020"/>
    <x v="10"/>
    <n v="20"/>
    <x v="5"/>
    <n v="0"/>
    <n v="28500"/>
    <n v="0"/>
  </r>
  <r>
    <n v="2020"/>
    <x v="10"/>
    <n v="20"/>
    <x v="6"/>
    <n v="0"/>
    <n v="28500"/>
    <n v="0"/>
  </r>
  <r>
    <n v="2020"/>
    <x v="10"/>
    <n v="20"/>
    <x v="7"/>
    <n v="0"/>
    <n v="28500"/>
    <n v="0"/>
  </r>
  <r>
    <n v="2020"/>
    <x v="10"/>
    <n v="20"/>
    <x v="8"/>
    <n v="976.5"/>
    <n v="28500"/>
    <n v="3.4263157894736843E-2"/>
  </r>
  <r>
    <n v="2020"/>
    <x v="10"/>
    <n v="20"/>
    <x v="9"/>
    <n v="5724.5"/>
    <n v="28500"/>
    <n v="0.20085964912280702"/>
  </r>
  <r>
    <n v="2020"/>
    <x v="10"/>
    <n v="20"/>
    <x v="10"/>
    <n v="19946.5"/>
    <n v="28500"/>
    <n v="0.6998771929824561"/>
  </r>
  <r>
    <n v="2020"/>
    <x v="10"/>
    <n v="20"/>
    <x v="11"/>
    <n v="8389.5"/>
    <n v="28500"/>
    <n v="0.29436842105263156"/>
  </r>
  <r>
    <n v="2020"/>
    <x v="10"/>
    <n v="20"/>
    <x v="12"/>
    <n v="6912.5"/>
    <n v="28500"/>
    <n v="0.24254385964912281"/>
  </r>
  <r>
    <n v="2020"/>
    <x v="10"/>
    <n v="20"/>
    <x v="13"/>
    <n v="7138"/>
    <n v="28500"/>
    <n v="0.25045614035087721"/>
  </r>
  <r>
    <n v="2020"/>
    <x v="10"/>
    <n v="20"/>
    <x v="14"/>
    <n v="6358.5"/>
    <n v="28500"/>
    <n v="0.22310526315789472"/>
  </r>
  <r>
    <n v="2020"/>
    <x v="10"/>
    <n v="20"/>
    <x v="15"/>
    <n v="1455"/>
    <n v="28500"/>
    <n v="5.105263157894737E-2"/>
  </r>
  <r>
    <n v="2020"/>
    <x v="10"/>
    <n v="20"/>
    <x v="16"/>
    <n v="0"/>
    <n v="28500"/>
    <n v="0"/>
  </r>
  <r>
    <n v="2020"/>
    <x v="10"/>
    <n v="20"/>
    <x v="17"/>
    <n v="0"/>
    <n v="28500"/>
    <n v="0"/>
  </r>
  <r>
    <n v="2020"/>
    <x v="10"/>
    <n v="20"/>
    <x v="18"/>
    <n v="0"/>
    <n v="28500"/>
    <n v="0"/>
  </r>
  <r>
    <n v="2020"/>
    <x v="10"/>
    <n v="20"/>
    <x v="19"/>
    <n v="0"/>
    <n v="28500"/>
    <n v="0"/>
  </r>
  <r>
    <n v="2020"/>
    <x v="10"/>
    <n v="20"/>
    <x v="20"/>
    <n v="0"/>
    <n v="28500"/>
    <n v="0"/>
  </r>
  <r>
    <n v="2020"/>
    <x v="10"/>
    <n v="20"/>
    <x v="21"/>
    <n v="0"/>
    <n v="28500"/>
    <n v="0"/>
  </r>
  <r>
    <n v="2020"/>
    <x v="10"/>
    <n v="20"/>
    <x v="22"/>
    <n v="0"/>
    <n v="28500"/>
    <n v="0"/>
  </r>
  <r>
    <n v="2020"/>
    <x v="10"/>
    <n v="20"/>
    <x v="23"/>
    <n v="0"/>
    <n v="28500"/>
    <n v="0"/>
  </r>
  <r>
    <n v="2020"/>
    <x v="10"/>
    <n v="21"/>
    <x v="0"/>
    <n v="0"/>
    <n v="28500"/>
    <n v="0"/>
  </r>
  <r>
    <n v="2020"/>
    <x v="10"/>
    <n v="21"/>
    <x v="1"/>
    <n v="0"/>
    <n v="28500"/>
    <n v="0"/>
  </r>
  <r>
    <n v="2020"/>
    <x v="10"/>
    <n v="21"/>
    <x v="2"/>
    <n v="0"/>
    <n v="28500"/>
    <n v="0"/>
  </r>
  <r>
    <n v="2020"/>
    <x v="10"/>
    <n v="21"/>
    <x v="3"/>
    <n v="0"/>
    <n v="28500"/>
    <n v="0"/>
  </r>
  <r>
    <n v="2020"/>
    <x v="10"/>
    <n v="21"/>
    <x v="4"/>
    <n v="0"/>
    <n v="28500"/>
    <n v="0"/>
  </r>
  <r>
    <n v="2020"/>
    <x v="10"/>
    <n v="21"/>
    <x v="5"/>
    <n v="0"/>
    <n v="28500"/>
    <n v="0"/>
  </r>
  <r>
    <n v="2020"/>
    <x v="10"/>
    <n v="21"/>
    <x v="6"/>
    <n v="0"/>
    <n v="28500"/>
    <n v="0"/>
  </r>
  <r>
    <n v="2020"/>
    <x v="10"/>
    <n v="21"/>
    <x v="7"/>
    <n v="0"/>
    <n v="28500"/>
    <n v="0"/>
  </r>
  <r>
    <n v="2020"/>
    <x v="10"/>
    <n v="21"/>
    <x v="8"/>
    <n v="4163"/>
    <n v="28500"/>
    <n v="0.14607017543859649"/>
  </r>
  <r>
    <n v="2020"/>
    <x v="10"/>
    <n v="21"/>
    <x v="9"/>
    <n v="1139.5"/>
    <n v="28500"/>
    <n v="3.9982456140350876E-2"/>
  </r>
  <r>
    <n v="2020"/>
    <x v="10"/>
    <n v="21"/>
    <x v="10"/>
    <n v="4970"/>
    <n v="28500"/>
    <n v="0.1743859649122807"/>
  </r>
  <r>
    <n v="2020"/>
    <x v="10"/>
    <n v="21"/>
    <x v="11"/>
    <n v="6442"/>
    <n v="28500"/>
    <n v="0.22603508771929826"/>
  </r>
  <r>
    <n v="2020"/>
    <x v="10"/>
    <n v="21"/>
    <x v="12"/>
    <n v="1882.5"/>
    <n v="28500"/>
    <n v="6.6052631578947363E-2"/>
  </r>
  <r>
    <n v="2020"/>
    <x v="10"/>
    <n v="21"/>
    <x v="13"/>
    <n v="4847.5"/>
    <n v="28500"/>
    <n v="0.17008771929824562"/>
  </r>
  <r>
    <n v="2020"/>
    <x v="10"/>
    <n v="21"/>
    <x v="14"/>
    <n v="1627"/>
    <n v="28500"/>
    <n v="5.7087719298245611E-2"/>
  </r>
  <r>
    <n v="2020"/>
    <x v="10"/>
    <n v="21"/>
    <x v="15"/>
    <n v="3964"/>
    <n v="28500"/>
    <n v="0.13908771929824562"/>
  </r>
  <r>
    <n v="2020"/>
    <x v="10"/>
    <n v="21"/>
    <x v="16"/>
    <n v="0"/>
    <n v="28500"/>
    <n v="0"/>
  </r>
  <r>
    <n v="2020"/>
    <x v="10"/>
    <n v="21"/>
    <x v="17"/>
    <n v="0"/>
    <n v="28500"/>
    <n v="0"/>
  </r>
  <r>
    <n v="2020"/>
    <x v="10"/>
    <n v="21"/>
    <x v="18"/>
    <n v="0"/>
    <n v="28500"/>
    <n v="0"/>
  </r>
  <r>
    <n v="2020"/>
    <x v="10"/>
    <n v="21"/>
    <x v="19"/>
    <n v="0"/>
    <n v="28500"/>
    <n v="0"/>
  </r>
  <r>
    <n v="2020"/>
    <x v="10"/>
    <n v="21"/>
    <x v="20"/>
    <n v="0"/>
    <n v="28500"/>
    <n v="0"/>
  </r>
  <r>
    <n v="2020"/>
    <x v="10"/>
    <n v="21"/>
    <x v="21"/>
    <n v="0"/>
    <n v="28500"/>
    <n v="0"/>
  </r>
  <r>
    <n v="2020"/>
    <x v="10"/>
    <n v="21"/>
    <x v="22"/>
    <n v="0"/>
    <n v="28500"/>
    <n v="0"/>
  </r>
  <r>
    <n v="2020"/>
    <x v="10"/>
    <n v="21"/>
    <x v="23"/>
    <n v="0"/>
    <n v="28500"/>
    <n v="0"/>
  </r>
  <r>
    <n v="2020"/>
    <x v="10"/>
    <n v="22"/>
    <x v="0"/>
    <n v="0"/>
    <n v="28500"/>
    <n v="0"/>
  </r>
  <r>
    <n v="2020"/>
    <x v="10"/>
    <n v="22"/>
    <x v="1"/>
    <n v="0"/>
    <n v="28500"/>
    <n v="0"/>
  </r>
  <r>
    <n v="2020"/>
    <x v="10"/>
    <n v="22"/>
    <x v="2"/>
    <n v="0"/>
    <n v="28500"/>
    <n v="0"/>
  </r>
  <r>
    <n v="2020"/>
    <x v="10"/>
    <n v="22"/>
    <x v="3"/>
    <n v="0"/>
    <n v="28500"/>
    <n v="0"/>
  </r>
  <r>
    <n v="2020"/>
    <x v="10"/>
    <n v="22"/>
    <x v="4"/>
    <n v="0"/>
    <n v="28500"/>
    <n v="0"/>
  </r>
  <r>
    <n v="2020"/>
    <x v="10"/>
    <n v="22"/>
    <x v="5"/>
    <n v="0"/>
    <n v="28500"/>
    <n v="0"/>
  </r>
  <r>
    <n v="2020"/>
    <x v="10"/>
    <n v="22"/>
    <x v="6"/>
    <n v="0"/>
    <n v="28500"/>
    <n v="0"/>
  </r>
  <r>
    <n v="2020"/>
    <x v="10"/>
    <n v="22"/>
    <x v="7"/>
    <n v="0"/>
    <n v="28500"/>
    <n v="0"/>
  </r>
  <r>
    <n v="2020"/>
    <x v="10"/>
    <n v="22"/>
    <x v="8"/>
    <n v="1208.5"/>
    <n v="28500"/>
    <n v="4.2403508771929825E-2"/>
  </r>
  <r>
    <n v="2020"/>
    <x v="10"/>
    <n v="22"/>
    <x v="9"/>
    <n v="4740"/>
    <n v="28500"/>
    <n v="0.16631578947368422"/>
  </r>
  <r>
    <n v="2020"/>
    <x v="10"/>
    <n v="22"/>
    <x v="10"/>
    <n v="7981.5"/>
    <n v="28500"/>
    <n v="0.28005263157894739"/>
  </r>
  <r>
    <n v="2020"/>
    <x v="10"/>
    <n v="22"/>
    <x v="11"/>
    <n v="30002.5"/>
    <n v="28500"/>
    <n v="1.0527192982456139"/>
  </r>
  <r>
    <n v="2020"/>
    <x v="10"/>
    <n v="22"/>
    <x v="12"/>
    <n v="5192.5"/>
    <n v="28500"/>
    <n v="0.18219298245614035"/>
  </r>
  <r>
    <n v="2020"/>
    <x v="10"/>
    <n v="22"/>
    <x v="13"/>
    <n v="20529"/>
    <n v="28500"/>
    <n v="0.72031578947368424"/>
  </r>
  <r>
    <n v="2020"/>
    <x v="10"/>
    <n v="22"/>
    <x v="14"/>
    <n v="17929"/>
    <n v="28500"/>
    <n v="0.62908771929824558"/>
  </r>
  <r>
    <n v="2020"/>
    <x v="10"/>
    <n v="22"/>
    <x v="15"/>
    <n v="8425"/>
    <n v="28500"/>
    <n v="0.29561403508771927"/>
  </r>
  <r>
    <n v="2020"/>
    <x v="10"/>
    <n v="22"/>
    <x v="16"/>
    <n v="0"/>
    <n v="28500"/>
    <n v="0"/>
  </r>
  <r>
    <n v="2020"/>
    <x v="10"/>
    <n v="22"/>
    <x v="17"/>
    <n v="0"/>
    <n v="28500"/>
    <n v="0"/>
  </r>
  <r>
    <n v="2020"/>
    <x v="10"/>
    <n v="22"/>
    <x v="18"/>
    <n v="0"/>
    <n v="28500"/>
    <n v="0"/>
  </r>
  <r>
    <n v="2020"/>
    <x v="10"/>
    <n v="22"/>
    <x v="19"/>
    <n v="0"/>
    <n v="28500"/>
    <n v="0"/>
  </r>
  <r>
    <n v="2020"/>
    <x v="10"/>
    <n v="22"/>
    <x v="20"/>
    <n v="0"/>
    <n v="28500"/>
    <n v="0"/>
  </r>
  <r>
    <n v="2020"/>
    <x v="10"/>
    <n v="22"/>
    <x v="21"/>
    <n v="0"/>
    <n v="28500"/>
    <n v="0"/>
  </r>
  <r>
    <n v="2020"/>
    <x v="10"/>
    <n v="22"/>
    <x v="22"/>
    <n v="0"/>
    <n v="28500"/>
    <n v="0"/>
  </r>
  <r>
    <n v="2020"/>
    <x v="10"/>
    <n v="22"/>
    <x v="23"/>
    <n v="0"/>
    <n v="28500"/>
    <n v="0"/>
  </r>
  <r>
    <n v="2020"/>
    <x v="10"/>
    <n v="23"/>
    <x v="0"/>
    <n v="0"/>
    <n v="28500"/>
    <n v="0"/>
  </r>
  <r>
    <n v="2020"/>
    <x v="10"/>
    <n v="23"/>
    <x v="1"/>
    <n v="0"/>
    <n v="28500"/>
    <n v="0"/>
  </r>
  <r>
    <n v="2020"/>
    <x v="10"/>
    <n v="23"/>
    <x v="2"/>
    <n v="0"/>
    <n v="28500"/>
    <n v="0"/>
  </r>
  <r>
    <n v="2020"/>
    <x v="10"/>
    <n v="23"/>
    <x v="3"/>
    <n v="0"/>
    <n v="28500"/>
    <n v="0"/>
  </r>
  <r>
    <n v="2020"/>
    <x v="10"/>
    <n v="23"/>
    <x v="4"/>
    <n v="0"/>
    <n v="28500"/>
    <n v="0"/>
  </r>
  <r>
    <n v="2020"/>
    <x v="10"/>
    <n v="23"/>
    <x v="5"/>
    <n v="0"/>
    <n v="28500"/>
    <n v="0"/>
  </r>
  <r>
    <n v="2020"/>
    <x v="10"/>
    <n v="23"/>
    <x v="6"/>
    <n v="0"/>
    <n v="28500"/>
    <n v="0"/>
  </r>
  <r>
    <n v="2020"/>
    <x v="10"/>
    <n v="23"/>
    <x v="7"/>
    <n v="0"/>
    <n v="28500"/>
    <n v="0"/>
  </r>
  <r>
    <n v="2020"/>
    <x v="10"/>
    <n v="23"/>
    <x v="8"/>
    <n v="929"/>
    <n v="28500"/>
    <n v="3.2596491228070172E-2"/>
  </r>
  <r>
    <n v="2020"/>
    <x v="10"/>
    <n v="23"/>
    <x v="9"/>
    <n v="18113.5"/>
    <n v="28500"/>
    <n v="0.63556140350877188"/>
  </r>
  <r>
    <n v="2020"/>
    <x v="10"/>
    <n v="23"/>
    <x v="10"/>
    <n v="25769"/>
    <n v="28500"/>
    <n v="0.90417543859649119"/>
  </r>
  <r>
    <n v="2020"/>
    <x v="10"/>
    <n v="23"/>
    <x v="11"/>
    <n v="18897"/>
    <n v="28500"/>
    <n v="0.66305263157894734"/>
  </r>
  <r>
    <n v="2020"/>
    <x v="10"/>
    <n v="23"/>
    <x v="12"/>
    <n v="5458"/>
    <n v="28500"/>
    <n v="0.19150877192982457"/>
  </r>
  <r>
    <n v="2020"/>
    <x v="10"/>
    <n v="23"/>
    <x v="13"/>
    <n v="2579.5"/>
    <n v="28500"/>
    <n v="9.0508771929824566E-2"/>
  </r>
  <r>
    <n v="2020"/>
    <x v="10"/>
    <n v="23"/>
    <x v="14"/>
    <n v="4730.5"/>
    <n v="28500"/>
    <n v="0.16598245614035087"/>
  </r>
  <r>
    <n v="2020"/>
    <x v="10"/>
    <n v="23"/>
    <x v="15"/>
    <n v="5844"/>
    <n v="28500"/>
    <n v="0.20505263157894738"/>
  </r>
  <r>
    <n v="2020"/>
    <x v="10"/>
    <n v="23"/>
    <x v="16"/>
    <n v="0"/>
    <n v="28500"/>
    <n v="0"/>
  </r>
  <r>
    <n v="2020"/>
    <x v="10"/>
    <n v="23"/>
    <x v="17"/>
    <n v="0"/>
    <n v="28500"/>
    <n v="0"/>
  </r>
  <r>
    <n v="2020"/>
    <x v="10"/>
    <n v="23"/>
    <x v="18"/>
    <n v="0"/>
    <n v="28500"/>
    <n v="0"/>
  </r>
  <r>
    <n v="2020"/>
    <x v="10"/>
    <n v="23"/>
    <x v="19"/>
    <n v="0"/>
    <n v="28500"/>
    <n v="0"/>
  </r>
  <r>
    <n v="2020"/>
    <x v="10"/>
    <n v="23"/>
    <x v="20"/>
    <n v="0"/>
    <n v="28500"/>
    <n v="0"/>
  </r>
  <r>
    <n v="2020"/>
    <x v="10"/>
    <n v="23"/>
    <x v="21"/>
    <n v="0"/>
    <n v="28500"/>
    <n v="0"/>
  </r>
  <r>
    <n v="2020"/>
    <x v="10"/>
    <n v="23"/>
    <x v="22"/>
    <n v="0"/>
    <n v="28500"/>
    <n v="0"/>
  </r>
  <r>
    <n v="2020"/>
    <x v="10"/>
    <n v="23"/>
    <x v="23"/>
    <n v="0"/>
    <n v="28500"/>
    <n v="0"/>
  </r>
  <r>
    <n v="2020"/>
    <x v="10"/>
    <n v="24"/>
    <x v="0"/>
    <n v="0"/>
    <n v="28500"/>
    <n v="0"/>
  </r>
  <r>
    <n v="2020"/>
    <x v="10"/>
    <n v="24"/>
    <x v="1"/>
    <n v="0"/>
    <n v="28500"/>
    <n v="0"/>
  </r>
  <r>
    <n v="2020"/>
    <x v="10"/>
    <n v="24"/>
    <x v="2"/>
    <n v="0"/>
    <n v="28500"/>
    <n v="0"/>
  </r>
  <r>
    <n v="2020"/>
    <x v="10"/>
    <n v="24"/>
    <x v="3"/>
    <n v="0"/>
    <n v="28500"/>
    <n v="0"/>
  </r>
  <r>
    <n v="2020"/>
    <x v="10"/>
    <n v="24"/>
    <x v="4"/>
    <n v="0"/>
    <n v="28500"/>
    <n v="0"/>
  </r>
  <r>
    <n v="2020"/>
    <x v="10"/>
    <n v="24"/>
    <x v="5"/>
    <n v="0"/>
    <n v="28500"/>
    <n v="0"/>
  </r>
  <r>
    <n v="2020"/>
    <x v="10"/>
    <n v="24"/>
    <x v="6"/>
    <n v="0"/>
    <n v="28500"/>
    <n v="0"/>
  </r>
  <r>
    <n v="2020"/>
    <x v="10"/>
    <n v="24"/>
    <x v="7"/>
    <n v="0"/>
    <n v="28500"/>
    <n v="0"/>
  </r>
  <r>
    <n v="2020"/>
    <x v="10"/>
    <n v="24"/>
    <x v="8"/>
    <n v="248"/>
    <n v="28500"/>
    <n v="8.7017543859649119E-3"/>
  </r>
  <r>
    <n v="2020"/>
    <x v="10"/>
    <n v="24"/>
    <x v="9"/>
    <n v="3810"/>
    <n v="28500"/>
    <n v="0.13368421052631579"/>
  </r>
  <r>
    <n v="2020"/>
    <x v="10"/>
    <n v="24"/>
    <x v="10"/>
    <n v="26942.5"/>
    <n v="28500"/>
    <n v="0.9453508771929825"/>
  </r>
  <r>
    <n v="2020"/>
    <x v="10"/>
    <n v="24"/>
    <x v="11"/>
    <n v="10351.5"/>
    <n v="28500"/>
    <n v="0.36321052631578948"/>
  </r>
  <r>
    <n v="2020"/>
    <x v="10"/>
    <n v="24"/>
    <x v="12"/>
    <n v="22484.5"/>
    <n v="28500"/>
    <n v="0.78892982456140348"/>
  </r>
  <r>
    <n v="2020"/>
    <x v="10"/>
    <n v="24"/>
    <x v="13"/>
    <n v="24147"/>
    <n v="28500"/>
    <n v="0.84726315789473683"/>
  </r>
  <r>
    <n v="2020"/>
    <x v="10"/>
    <n v="24"/>
    <x v="14"/>
    <n v="5491"/>
    <n v="28500"/>
    <n v="0.19266666666666668"/>
  </r>
  <r>
    <n v="2020"/>
    <x v="10"/>
    <n v="24"/>
    <x v="15"/>
    <n v="4214.5"/>
    <n v="28500"/>
    <n v="0.14787719298245613"/>
  </r>
  <r>
    <n v="2020"/>
    <x v="10"/>
    <n v="24"/>
    <x v="16"/>
    <n v="0"/>
    <n v="28500"/>
    <n v="0"/>
  </r>
  <r>
    <n v="2020"/>
    <x v="10"/>
    <n v="24"/>
    <x v="17"/>
    <n v="0"/>
    <n v="28500"/>
    <n v="0"/>
  </r>
  <r>
    <n v="2020"/>
    <x v="10"/>
    <n v="24"/>
    <x v="18"/>
    <n v="0"/>
    <n v="28500"/>
    <n v="0"/>
  </r>
  <r>
    <n v="2020"/>
    <x v="10"/>
    <n v="24"/>
    <x v="19"/>
    <n v="0"/>
    <n v="28500"/>
    <n v="0"/>
  </r>
  <r>
    <n v="2020"/>
    <x v="10"/>
    <n v="24"/>
    <x v="20"/>
    <n v="0"/>
    <n v="28500"/>
    <n v="0"/>
  </r>
  <r>
    <n v="2020"/>
    <x v="10"/>
    <n v="24"/>
    <x v="21"/>
    <n v="0"/>
    <n v="28500"/>
    <n v="0"/>
  </r>
  <r>
    <n v="2020"/>
    <x v="10"/>
    <n v="24"/>
    <x v="22"/>
    <n v="0"/>
    <n v="28500"/>
    <n v="0"/>
  </r>
  <r>
    <n v="2020"/>
    <x v="10"/>
    <n v="24"/>
    <x v="23"/>
    <n v="0"/>
    <n v="28500"/>
    <n v="0"/>
  </r>
  <r>
    <n v="2020"/>
    <x v="10"/>
    <n v="25"/>
    <x v="0"/>
    <n v="0"/>
    <n v="28500"/>
    <n v="0"/>
  </r>
  <r>
    <n v="2020"/>
    <x v="10"/>
    <n v="25"/>
    <x v="1"/>
    <n v="0"/>
    <n v="28500"/>
    <n v="0"/>
  </r>
  <r>
    <n v="2020"/>
    <x v="10"/>
    <n v="25"/>
    <x v="2"/>
    <n v="0"/>
    <n v="28500"/>
    <n v="0"/>
  </r>
  <r>
    <n v="2020"/>
    <x v="10"/>
    <n v="25"/>
    <x v="3"/>
    <n v="0"/>
    <n v="28500"/>
    <n v="0"/>
  </r>
  <r>
    <n v="2020"/>
    <x v="10"/>
    <n v="25"/>
    <x v="4"/>
    <n v="0"/>
    <n v="28500"/>
    <n v="0"/>
  </r>
  <r>
    <n v="2020"/>
    <x v="10"/>
    <n v="25"/>
    <x v="5"/>
    <n v="0"/>
    <n v="28500"/>
    <n v="0"/>
  </r>
  <r>
    <n v="2020"/>
    <x v="10"/>
    <n v="25"/>
    <x v="6"/>
    <n v="0"/>
    <n v="28500"/>
    <n v="0"/>
  </r>
  <r>
    <n v="2020"/>
    <x v="10"/>
    <n v="25"/>
    <x v="7"/>
    <n v="0"/>
    <n v="28500"/>
    <n v="0"/>
  </r>
  <r>
    <n v="2020"/>
    <x v="10"/>
    <n v="25"/>
    <x v="8"/>
    <n v="219.5"/>
    <n v="28500"/>
    <n v="7.7017543859649127E-3"/>
  </r>
  <r>
    <n v="2020"/>
    <x v="10"/>
    <n v="25"/>
    <x v="9"/>
    <n v="245.5"/>
    <n v="28500"/>
    <n v="8.6140350877192979E-3"/>
  </r>
  <r>
    <n v="2020"/>
    <x v="10"/>
    <n v="25"/>
    <x v="10"/>
    <n v="826.5"/>
    <n v="28500"/>
    <n v="2.9000000000000001E-2"/>
  </r>
  <r>
    <n v="2020"/>
    <x v="10"/>
    <n v="25"/>
    <x v="11"/>
    <n v="443.5"/>
    <n v="28500"/>
    <n v="1.5561403508771931E-2"/>
  </r>
  <r>
    <n v="2020"/>
    <x v="10"/>
    <n v="25"/>
    <x v="12"/>
    <n v="2095.5"/>
    <n v="28500"/>
    <n v="7.352631578947369E-2"/>
  </r>
  <r>
    <n v="2020"/>
    <x v="10"/>
    <n v="25"/>
    <x v="13"/>
    <n v="2133.5"/>
    <n v="28500"/>
    <n v="7.4859649122807015E-2"/>
  </r>
  <r>
    <n v="2020"/>
    <x v="10"/>
    <n v="25"/>
    <x v="14"/>
    <n v="856"/>
    <n v="28500"/>
    <n v="3.0035087719298244E-2"/>
  </r>
  <r>
    <n v="2020"/>
    <x v="10"/>
    <n v="25"/>
    <x v="15"/>
    <n v="217"/>
    <n v="28500"/>
    <n v="7.6140350877192979E-3"/>
  </r>
  <r>
    <n v="2020"/>
    <x v="10"/>
    <n v="25"/>
    <x v="16"/>
    <n v="0"/>
    <n v="28500"/>
    <n v="0"/>
  </r>
  <r>
    <n v="2020"/>
    <x v="10"/>
    <n v="25"/>
    <x v="17"/>
    <n v="0"/>
    <n v="28500"/>
    <n v="0"/>
  </r>
  <r>
    <n v="2020"/>
    <x v="10"/>
    <n v="25"/>
    <x v="18"/>
    <n v="0"/>
    <n v="28500"/>
    <n v="0"/>
  </r>
  <r>
    <n v="2020"/>
    <x v="10"/>
    <n v="25"/>
    <x v="19"/>
    <n v="0"/>
    <n v="28500"/>
    <n v="0"/>
  </r>
  <r>
    <n v="2020"/>
    <x v="10"/>
    <n v="25"/>
    <x v="20"/>
    <n v="0"/>
    <n v="28500"/>
    <n v="0"/>
  </r>
  <r>
    <n v="2020"/>
    <x v="10"/>
    <n v="25"/>
    <x v="21"/>
    <n v="0"/>
    <n v="28500"/>
    <n v="0"/>
  </r>
  <r>
    <n v="2020"/>
    <x v="10"/>
    <n v="25"/>
    <x v="22"/>
    <n v="0"/>
    <n v="28500"/>
    <n v="0"/>
  </r>
  <r>
    <n v="2020"/>
    <x v="10"/>
    <n v="25"/>
    <x v="23"/>
    <n v="0"/>
    <n v="28500"/>
    <n v="0"/>
  </r>
  <r>
    <n v="2020"/>
    <x v="10"/>
    <n v="26"/>
    <x v="0"/>
    <n v="0"/>
    <n v="28500"/>
    <n v="0"/>
  </r>
  <r>
    <n v="2020"/>
    <x v="10"/>
    <n v="26"/>
    <x v="1"/>
    <n v="0"/>
    <n v="28500"/>
    <n v="0"/>
  </r>
  <r>
    <n v="2020"/>
    <x v="10"/>
    <n v="26"/>
    <x v="2"/>
    <n v="0"/>
    <n v="28500"/>
    <n v="0"/>
  </r>
  <r>
    <n v="2020"/>
    <x v="10"/>
    <n v="26"/>
    <x v="3"/>
    <n v="0"/>
    <n v="28500"/>
    <n v="0"/>
  </r>
  <r>
    <n v="2020"/>
    <x v="10"/>
    <n v="26"/>
    <x v="4"/>
    <n v="0"/>
    <n v="28500"/>
    <n v="0"/>
  </r>
  <r>
    <n v="2020"/>
    <x v="10"/>
    <n v="26"/>
    <x v="5"/>
    <n v="0"/>
    <n v="28500"/>
    <n v="0"/>
  </r>
  <r>
    <n v="2020"/>
    <x v="10"/>
    <n v="26"/>
    <x v="6"/>
    <n v="0"/>
    <n v="28500"/>
    <n v="0"/>
  </r>
  <r>
    <n v="2020"/>
    <x v="10"/>
    <n v="26"/>
    <x v="7"/>
    <n v="0"/>
    <n v="28500"/>
    <n v="0"/>
  </r>
  <r>
    <n v="2020"/>
    <x v="10"/>
    <n v="26"/>
    <x v="8"/>
    <n v="76.5"/>
    <n v="28500"/>
    <n v="2.6842105263157894E-3"/>
  </r>
  <r>
    <n v="2020"/>
    <x v="10"/>
    <n v="26"/>
    <x v="9"/>
    <n v="890"/>
    <n v="28500"/>
    <n v="3.1228070175438598E-2"/>
  </r>
  <r>
    <n v="2020"/>
    <x v="10"/>
    <n v="26"/>
    <x v="10"/>
    <n v="3256"/>
    <n v="28500"/>
    <n v="0.11424561403508772"/>
  </r>
  <r>
    <n v="2020"/>
    <x v="10"/>
    <n v="26"/>
    <x v="11"/>
    <n v="2040"/>
    <n v="28500"/>
    <n v="7.1578947368421048E-2"/>
  </r>
  <r>
    <n v="2020"/>
    <x v="10"/>
    <n v="26"/>
    <x v="12"/>
    <n v="878"/>
    <n v="28500"/>
    <n v="3.0807017543859651E-2"/>
  </r>
  <r>
    <n v="2020"/>
    <x v="10"/>
    <n v="26"/>
    <x v="13"/>
    <n v="1330"/>
    <n v="28500"/>
    <n v="4.6666666666666669E-2"/>
  </r>
  <r>
    <n v="2020"/>
    <x v="10"/>
    <n v="26"/>
    <x v="14"/>
    <n v="423.5"/>
    <n v="28500"/>
    <n v="1.4859649122807017E-2"/>
  </r>
  <r>
    <n v="2020"/>
    <x v="10"/>
    <n v="26"/>
    <x v="15"/>
    <n v="335"/>
    <n v="28500"/>
    <n v="1.1754385964912281E-2"/>
  </r>
  <r>
    <n v="2020"/>
    <x v="10"/>
    <n v="26"/>
    <x v="16"/>
    <n v="0"/>
    <n v="28500"/>
    <n v="0"/>
  </r>
  <r>
    <n v="2020"/>
    <x v="10"/>
    <n v="26"/>
    <x v="17"/>
    <n v="0"/>
    <n v="28500"/>
    <n v="0"/>
  </r>
  <r>
    <n v="2020"/>
    <x v="10"/>
    <n v="26"/>
    <x v="18"/>
    <n v="0"/>
    <n v="28500"/>
    <n v="0"/>
  </r>
  <r>
    <n v="2020"/>
    <x v="10"/>
    <n v="26"/>
    <x v="19"/>
    <n v="0"/>
    <n v="28500"/>
    <n v="0"/>
  </r>
  <r>
    <n v="2020"/>
    <x v="10"/>
    <n v="26"/>
    <x v="20"/>
    <n v="0"/>
    <n v="28500"/>
    <n v="0"/>
  </r>
  <r>
    <n v="2020"/>
    <x v="10"/>
    <n v="26"/>
    <x v="21"/>
    <n v="0"/>
    <n v="28500"/>
    <n v="0"/>
  </r>
  <r>
    <n v="2020"/>
    <x v="10"/>
    <n v="26"/>
    <x v="22"/>
    <n v="0"/>
    <n v="28500"/>
    <n v="0"/>
  </r>
  <r>
    <n v="2020"/>
    <x v="10"/>
    <n v="26"/>
    <x v="23"/>
    <n v="0"/>
    <n v="28500"/>
    <n v="0"/>
  </r>
  <r>
    <n v="2020"/>
    <x v="10"/>
    <n v="27"/>
    <x v="0"/>
    <n v="0"/>
    <n v="28500"/>
    <n v="0"/>
  </r>
  <r>
    <n v="2020"/>
    <x v="10"/>
    <n v="27"/>
    <x v="1"/>
    <n v="0"/>
    <n v="28500"/>
    <n v="0"/>
  </r>
  <r>
    <n v="2020"/>
    <x v="10"/>
    <n v="27"/>
    <x v="2"/>
    <n v="0"/>
    <n v="28500"/>
    <n v="0"/>
  </r>
  <r>
    <n v="2020"/>
    <x v="10"/>
    <n v="27"/>
    <x v="3"/>
    <n v="0"/>
    <n v="28500"/>
    <n v="0"/>
  </r>
  <r>
    <n v="2020"/>
    <x v="10"/>
    <n v="27"/>
    <x v="4"/>
    <n v="0"/>
    <n v="28500"/>
    <n v="0"/>
  </r>
  <r>
    <n v="2020"/>
    <x v="10"/>
    <n v="27"/>
    <x v="5"/>
    <n v="0"/>
    <n v="28500"/>
    <n v="0"/>
  </r>
  <r>
    <n v="2020"/>
    <x v="10"/>
    <n v="27"/>
    <x v="6"/>
    <n v="0"/>
    <n v="28500"/>
    <n v="0"/>
  </r>
  <r>
    <n v="2020"/>
    <x v="10"/>
    <n v="27"/>
    <x v="7"/>
    <n v="0"/>
    <n v="28500"/>
    <n v="0"/>
  </r>
  <r>
    <n v="2020"/>
    <x v="10"/>
    <n v="27"/>
    <x v="8"/>
    <n v="894"/>
    <n v="28500"/>
    <n v="3.136842105263158E-2"/>
  </r>
  <r>
    <n v="2020"/>
    <x v="10"/>
    <n v="27"/>
    <x v="9"/>
    <n v="2844"/>
    <n v="28500"/>
    <n v="9.9789473684210525E-2"/>
  </r>
  <r>
    <n v="2020"/>
    <x v="10"/>
    <n v="27"/>
    <x v="10"/>
    <n v="13370.5"/>
    <n v="28500"/>
    <n v="0.46914035087719297"/>
  </r>
  <r>
    <n v="2020"/>
    <x v="10"/>
    <n v="27"/>
    <x v="11"/>
    <n v="8501.5"/>
    <n v="28500"/>
    <n v="0.29829824561403506"/>
  </r>
  <r>
    <n v="2020"/>
    <x v="10"/>
    <n v="27"/>
    <x v="12"/>
    <n v="13636.5"/>
    <n v="28500"/>
    <n v="0.47847368421052633"/>
  </r>
  <r>
    <n v="2020"/>
    <x v="10"/>
    <n v="27"/>
    <x v="13"/>
    <n v="20595"/>
    <n v="28500"/>
    <n v="0.7226315789473684"/>
  </r>
  <r>
    <n v="2020"/>
    <x v="10"/>
    <n v="27"/>
    <x v="14"/>
    <n v="4027"/>
    <n v="28500"/>
    <n v="0.14129824561403509"/>
  </r>
  <r>
    <n v="2020"/>
    <x v="10"/>
    <n v="27"/>
    <x v="15"/>
    <n v="2036.5"/>
    <n v="28500"/>
    <n v="7.145614035087719E-2"/>
  </r>
  <r>
    <n v="2020"/>
    <x v="10"/>
    <n v="27"/>
    <x v="16"/>
    <n v="0"/>
    <n v="28500"/>
    <n v="0"/>
  </r>
  <r>
    <n v="2020"/>
    <x v="10"/>
    <n v="27"/>
    <x v="17"/>
    <n v="0"/>
    <n v="28500"/>
    <n v="0"/>
  </r>
  <r>
    <n v="2020"/>
    <x v="10"/>
    <n v="27"/>
    <x v="18"/>
    <n v="0"/>
    <n v="28500"/>
    <n v="0"/>
  </r>
  <r>
    <n v="2020"/>
    <x v="10"/>
    <n v="27"/>
    <x v="19"/>
    <n v="0"/>
    <n v="28500"/>
    <n v="0"/>
  </r>
  <r>
    <n v="2020"/>
    <x v="10"/>
    <n v="27"/>
    <x v="20"/>
    <n v="0"/>
    <n v="28500"/>
    <n v="0"/>
  </r>
  <r>
    <n v="2020"/>
    <x v="10"/>
    <n v="27"/>
    <x v="21"/>
    <n v="0"/>
    <n v="28500"/>
    <n v="0"/>
  </r>
  <r>
    <n v="2020"/>
    <x v="10"/>
    <n v="27"/>
    <x v="22"/>
    <n v="0"/>
    <n v="28500"/>
    <n v="0"/>
  </r>
  <r>
    <n v="2020"/>
    <x v="10"/>
    <n v="27"/>
    <x v="23"/>
    <n v="0"/>
    <n v="28500"/>
    <n v="0"/>
  </r>
  <r>
    <n v="2020"/>
    <x v="10"/>
    <n v="28"/>
    <x v="0"/>
    <n v="0"/>
    <n v="28500"/>
    <n v="0"/>
  </r>
  <r>
    <n v="2020"/>
    <x v="10"/>
    <n v="28"/>
    <x v="1"/>
    <n v="0"/>
    <n v="28500"/>
    <n v="0"/>
  </r>
  <r>
    <n v="2020"/>
    <x v="10"/>
    <n v="28"/>
    <x v="2"/>
    <n v="0"/>
    <n v="28500"/>
    <n v="0"/>
  </r>
  <r>
    <n v="2020"/>
    <x v="10"/>
    <n v="28"/>
    <x v="3"/>
    <n v="0"/>
    <n v="28500"/>
    <n v="0"/>
  </r>
  <r>
    <n v="2020"/>
    <x v="10"/>
    <n v="28"/>
    <x v="4"/>
    <n v="0"/>
    <n v="28500"/>
    <n v="0"/>
  </r>
  <r>
    <n v="2020"/>
    <x v="10"/>
    <n v="28"/>
    <x v="5"/>
    <n v="0"/>
    <n v="28500"/>
    <n v="0"/>
  </r>
  <r>
    <n v="2020"/>
    <x v="10"/>
    <n v="28"/>
    <x v="6"/>
    <n v="0"/>
    <n v="28500"/>
    <n v="0"/>
  </r>
  <r>
    <n v="2020"/>
    <x v="10"/>
    <n v="28"/>
    <x v="7"/>
    <n v="0"/>
    <n v="28500"/>
    <n v="0"/>
  </r>
  <r>
    <n v="2020"/>
    <x v="10"/>
    <n v="28"/>
    <x v="8"/>
    <n v="14.5"/>
    <n v="28500"/>
    <n v="5.0877192982456141E-4"/>
  </r>
  <r>
    <n v="2020"/>
    <x v="10"/>
    <n v="28"/>
    <x v="9"/>
    <n v="1411"/>
    <n v="28500"/>
    <n v="4.9508771929824565E-2"/>
  </r>
  <r>
    <n v="2020"/>
    <x v="10"/>
    <n v="28"/>
    <x v="10"/>
    <n v="1882"/>
    <n v="28500"/>
    <n v="6.6035087719298252E-2"/>
  </r>
  <r>
    <n v="2020"/>
    <x v="10"/>
    <n v="28"/>
    <x v="11"/>
    <n v="2248.5"/>
    <n v="28500"/>
    <n v="7.8894736842105267E-2"/>
  </r>
  <r>
    <n v="2020"/>
    <x v="10"/>
    <n v="28"/>
    <x v="12"/>
    <n v="3147"/>
    <n v="28500"/>
    <n v="0.11042105263157895"/>
  </r>
  <r>
    <n v="2020"/>
    <x v="10"/>
    <n v="28"/>
    <x v="13"/>
    <n v="4902"/>
    <n v="28500"/>
    <n v="0.17199999999999999"/>
  </r>
  <r>
    <n v="2020"/>
    <x v="10"/>
    <n v="28"/>
    <x v="14"/>
    <n v="5901"/>
    <n v="28500"/>
    <n v="0.20705263157894738"/>
  </r>
  <r>
    <n v="2020"/>
    <x v="10"/>
    <n v="28"/>
    <x v="15"/>
    <n v="6381.5"/>
    <n v="28500"/>
    <n v="0.2239122807017544"/>
  </r>
  <r>
    <n v="2020"/>
    <x v="10"/>
    <n v="28"/>
    <x v="16"/>
    <n v="0"/>
    <n v="28500"/>
    <n v="0"/>
  </r>
  <r>
    <n v="2020"/>
    <x v="10"/>
    <n v="28"/>
    <x v="17"/>
    <n v="0"/>
    <n v="28500"/>
    <n v="0"/>
  </r>
  <r>
    <n v="2020"/>
    <x v="10"/>
    <n v="28"/>
    <x v="18"/>
    <n v="0"/>
    <n v="28500"/>
    <n v="0"/>
  </r>
  <r>
    <n v="2020"/>
    <x v="10"/>
    <n v="28"/>
    <x v="19"/>
    <n v="0"/>
    <n v="28500"/>
    <n v="0"/>
  </r>
  <r>
    <n v="2020"/>
    <x v="10"/>
    <n v="28"/>
    <x v="20"/>
    <n v="0"/>
    <n v="28500"/>
    <n v="0"/>
  </r>
  <r>
    <n v="2020"/>
    <x v="10"/>
    <n v="28"/>
    <x v="21"/>
    <n v="0"/>
    <n v="28500"/>
    <n v="0"/>
  </r>
  <r>
    <n v="2020"/>
    <x v="10"/>
    <n v="28"/>
    <x v="22"/>
    <n v="0"/>
    <n v="28500"/>
    <n v="0"/>
  </r>
  <r>
    <n v="2020"/>
    <x v="10"/>
    <n v="28"/>
    <x v="23"/>
    <n v="0"/>
    <n v="28500"/>
    <n v="0"/>
  </r>
  <r>
    <n v="2020"/>
    <x v="10"/>
    <n v="29"/>
    <x v="0"/>
    <n v="0"/>
    <n v="28500"/>
    <n v="0"/>
  </r>
  <r>
    <n v="2020"/>
    <x v="10"/>
    <n v="29"/>
    <x v="1"/>
    <n v="0"/>
    <n v="28500"/>
    <n v="0"/>
  </r>
  <r>
    <n v="2020"/>
    <x v="10"/>
    <n v="29"/>
    <x v="2"/>
    <n v="0"/>
    <n v="28500"/>
    <n v="0"/>
  </r>
  <r>
    <n v="2020"/>
    <x v="10"/>
    <n v="29"/>
    <x v="3"/>
    <n v="0"/>
    <n v="28500"/>
    <n v="0"/>
  </r>
  <r>
    <n v="2020"/>
    <x v="10"/>
    <n v="29"/>
    <x v="4"/>
    <n v="0"/>
    <n v="28500"/>
    <n v="0"/>
  </r>
  <r>
    <n v="2020"/>
    <x v="10"/>
    <n v="29"/>
    <x v="5"/>
    <n v="0"/>
    <n v="28500"/>
    <n v="0"/>
  </r>
  <r>
    <n v="2020"/>
    <x v="10"/>
    <n v="29"/>
    <x v="6"/>
    <n v="0"/>
    <n v="28500"/>
    <n v="0"/>
  </r>
  <r>
    <n v="2020"/>
    <x v="10"/>
    <n v="29"/>
    <x v="7"/>
    <n v="0"/>
    <n v="28500"/>
    <n v="0"/>
  </r>
  <r>
    <n v="2020"/>
    <x v="10"/>
    <n v="29"/>
    <x v="8"/>
    <n v="0"/>
    <n v="28500"/>
    <n v="0"/>
  </r>
  <r>
    <n v="2020"/>
    <x v="10"/>
    <n v="29"/>
    <x v="9"/>
    <n v="679.5"/>
    <n v="28500"/>
    <n v="2.3842105263157894E-2"/>
  </r>
  <r>
    <n v="2020"/>
    <x v="10"/>
    <n v="29"/>
    <x v="10"/>
    <n v="1553"/>
    <n v="28500"/>
    <n v="5.4491228070175438E-2"/>
  </r>
  <r>
    <n v="2020"/>
    <x v="10"/>
    <n v="29"/>
    <x v="11"/>
    <n v="1919.5"/>
    <n v="28500"/>
    <n v="6.7350877192982453E-2"/>
  </r>
  <r>
    <n v="2020"/>
    <x v="10"/>
    <n v="29"/>
    <x v="12"/>
    <n v="1916"/>
    <n v="28500"/>
    <n v="6.7228070175438595E-2"/>
  </r>
  <r>
    <n v="2020"/>
    <x v="10"/>
    <n v="29"/>
    <x v="13"/>
    <n v="2251"/>
    <n v="28500"/>
    <n v="7.8982456140350876E-2"/>
  </r>
  <r>
    <n v="2020"/>
    <x v="10"/>
    <n v="29"/>
    <x v="14"/>
    <n v="1150.5"/>
    <n v="28500"/>
    <n v="4.0368421052631581E-2"/>
  </r>
  <r>
    <n v="2020"/>
    <x v="10"/>
    <n v="29"/>
    <x v="15"/>
    <n v="363.5"/>
    <n v="28500"/>
    <n v="1.275438596491228E-2"/>
  </r>
  <r>
    <n v="2020"/>
    <x v="10"/>
    <n v="29"/>
    <x v="16"/>
    <n v="0"/>
    <n v="28500"/>
    <n v="0"/>
  </r>
  <r>
    <n v="2020"/>
    <x v="10"/>
    <n v="29"/>
    <x v="17"/>
    <n v="0"/>
    <n v="28500"/>
    <n v="0"/>
  </r>
  <r>
    <n v="2020"/>
    <x v="10"/>
    <n v="29"/>
    <x v="18"/>
    <n v="0"/>
    <n v="28500"/>
    <n v="0"/>
  </r>
  <r>
    <n v="2020"/>
    <x v="10"/>
    <n v="29"/>
    <x v="19"/>
    <n v="0"/>
    <n v="28500"/>
    <n v="0"/>
  </r>
  <r>
    <n v="2020"/>
    <x v="10"/>
    <n v="29"/>
    <x v="20"/>
    <n v="0"/>
    <n v="28500"/>
    <n v="0"/>
  </r>
  <r>
    <n v="2020"/>
    <x v="10"/>
    <n v="29"/>
    <x v="21"/>
    <n v="0"/>
    <n v="28500"/>
    <n v="0"/>
  </r>
  <r>
    <n v="2020"/>
    <x v="10"/>
    <n v="29"/>
    <x v="22"/>
    <n v="0"/>
    <n v="28500"/>
    <n v="0"/>
  </r>
  <r>
    <n v="2020"/>
    <x v="10"/>
    <n v="29"/>
    <x v="23"/>
    <n v="0"/>
    <n v="28500"/>
    <n v="0"/>
  </r>
  <r>
    <n v="2020"/>
    <x v="10"/>
    <n v="30"/>
    <x v="0"/>
    <n v="0"/>
    <n v="28500"/>
    <n v="0"/>
  </r>
  <r>
    <n v="2020"/>
    <x v="10"/>
    <n v="30"/>
    <x v="1"/>
    <n v="0"/>
    <n v="28500"/>
    <n v="0"/>
  </r>
  <r>
    <n v="2020"/>
    <x v="10"/>
    <n v="30"/>
    <x v="2"/>
    <n v="0"/>
    <n v="28500"/>
    <n v="0"/>
  </r>
  <r>
    <n v="2020"/>
    <x v="10"/>
    <n v="30"/>
    <x v="3"/>
    <n v="0"/>
    <n v="28500"/>
    <n v="0"/>
  </r>
  <r>
    <n v="2020"/>
    <x v="10"/>
    <n v="30"/>
    <x v="4"/>
    <n v="0"/>
    <n v="28500"/>
    <n v="0"/>
  </r>
  <r>
    <n v="2020"/>
    <x v="10"/>
    <n v="30"/>
    <x v="5"/>
    <n v="0"/>
    <n v="28500"/>
    <n v="0"/>
  </r>
  <r>
    <n v="2020"/>
    <x v="10"/>
    <n v="30"/>
    <x v="6"/>
    <n v="0"/>
    <n v="28500"/>
    <n v="0"/>
  </r>
  <r>
    <n v="2020"/>
    <x v="10"/>
    <n v="30"/>
    <x v="7"/>
    <n v="0"/>
    <n v="28500"/>
    <n v="0"/>
  </r>
  <r>
    <n v="2020"/>
    <x v="10"/>
    <n v="30"/>
    <x v="8"/>
    <n v="813.5"/>
    <n v="28500"/>
    <n v="2.8543859649122805E-2"/>
  </r>
  <r>
    <n v="2020"/>
    <x v="10"/>
    <n v="30"/>
    <x v="9"/>
    <n v="98.5"/>
    <n v="28500"/>
    <n v="3.4561403508771931E-3"/>
  </r>
  <r>
    <n v="2020"/>
    <x v="10"/>
    <n v="30"/>
    <x v="10"/>
    <n v="585"/>
    <n v="28500"/>
    <n v="2.0526315789473684E-2"/>
  </r>
  <r>
    <n v="2020"/>
    <x v="10"/>
    <n v="30"/>
    <x v="11"/>
    <n v="1820"/>
    <n v="28500"/>
    <n v="6.3859649122807019E-2"/>
  </r>
  <r>
    <n v="2020"/>
    <x v="10"/>
    <n v="30"/>
    <x v="12"/>
    <n v="3039.5"/>
    <n v="28500"/>
    <n v="0.10664912280701755"/>
  </r>
  <r>
    <n v="2020"/>
    <x v="10"/>
    <n v="30"/>
    <x v="13"/>
    <n v="712"/>
    <n v="28500"/>
    <n v="2.4982456140350877E-2"/>
  </r>
  <r>
    <n v="2020"/>
    <x v="10"/>
    <n v="30"/>
    <x v="14"/>
    <n v="2024.5"/>
    <n v="28500"/>
    <n v="7.1035087719298243E-2"/>
  </r>
  <r>
    <n v="2020"/>
    <x v="10"/>
    <n v="30"/>
    <x v="15"/>
    <n v="2253"/>
    <n v="28500"/>
    <n v="7.9052631578947374E-2"/>
  </r>
  <r>
    <n v="2020"/>
    <x v="10"/>
    <n v="30"/>
    <x v="16"/>
    <n v="0"/>
    <n v="28500"/>
    <n v="0"/>
  </r>
  <r>
    <n v="2020"/>
    <x v="10"/>
    <n v="30"/>
    <x v="17"/>
    <n v="0"/>
    <n v="28500"/>
    <n v="0"/>
  </r>
  <r>
    <n v="2020"/>
    <x v="10"/>
    <n v="30"/>
    <x v="18"/>
    <n v="0"/>
    <n v="28500"/>
    <n v="0"/>
  </r>
  <r>
    <n v="2020"/>
    <x v="10"/>
    <n v="30"/>
    <x v="19"/>
    <n v="0"/>
    <n v="28500"/>
    <n v="0"/>
  </r>
  <r>
    <n v="2020"/>
    <x v="10"/>
    <n v="30"/>
    <x v="20"/>
    <n v="0"/>
    <n v="28500"/>
    <n v="0"/>
  </r>
  <r>
    <n v="2020"/>
    <x v="10"/>
    <n v="30"/>
    <x v="21"/>
    <n v="0"/>
    <n v="28500"/>
    <n v="0"/>
  </r>
  <r>
    <n v="2020"/>
    <x v="10"/>
    <n v="30"/>
    <x v="22"/>
    <n v="0"/>
    <n v="28500"/>
    <n v="0"/>
  </r>
  <r>
    <n v="2020"/>
    <x v="10"/>
    <n v="30"/>
    <x v="23"/>
    <n v="0"/>
    <n v="28500"/>
    <n v="0"/>
  </r>
  <r>
    <n v="2020"/>
    <x v="11"/>
    <n v="1"/>
    <x v="0"/>
    <n v="0"/>
    <n v="28500"/>
    <n v="0"/>
  </r>
  <r>
    <n v="2020"/>
    <x v="11"/>
    <n v="1"/>
    <x v="1"/>
    <n v="0"/>
    <n v="28500"/>
    <n v="0"/>
  </r>
  <r>
    <n v="2020"/>
    <x v="11"/>
    <n v="1"/>
    <x v="2"/>
    <n v="0"/>
    <n v="28500"/>
    <n v="0"/>
  </r>
  <r>
    <n v="2020"/>
    <x v="11"/>
    <n v="1"/>
    <x v="3"/>
    <n v="0"/>
    <n v="28500"/>
    <n v="0"/>
  </r>
  <r>
    <n v="2020"/>
    <x v="11"/>
    <n v="1"/>
    <x v="4"/>
    <n v="0"/>
    <n v="28500"/>
    <n v="0"/>
  </r>
  <r>
    <n v="2020"/>
    <x v="11"/>
    <n v="1"/>
    <x v="5"/>
    <n v="0"/>
    <n v="28500"/>
    <n v="0"/>
  </r>
  <r>
    <n v="2020"/>
    <x v="11"/>
    <n v="1"/>
    <x v="6"/>
    <n v="0"/>
    <n v="28500"/>
    <n v="0"/>
  </r>
  <r>
    <n v="2020"/>
    <x v="11"/>
    <n v="1"/>
    <x v="7"/>
    <n v="0"/>
    <n v="28500"/>
    <n v="0"/>
  </r>
  <r>
    <n v="2020"/>
    <x v="11"/>
    <n v="1"/>
    <x v="8"/>
    <n v="77"/>
    <n v="28500"/>
    <n v="2.7017543859649122E-3"/>
  </r>
  <r>
    <n v="2020"/>
    <x v="11"/>
    <n v="1"/>
    <x v="9"/>
    <n v="14708"/>
    <n v="28500"/>
    <n v="0.51607017543859646"/>
  </r>
  <r>
    <n v="2020"/>
    <x v="11"/>
    <n v="1"/>
    <x v="10"/>
    <n v="24213.5"/>
    <n v="28500"/>
    <n v="0.84959649122807013"/>
  </r>
  <r>
    <n v="2020"/>
    <x v="11"/>
    <n v="1"/>
    <x v="11"/>
    <n v="24997.5"/>
    <n v="28500"/>
    <n v="0.87710526315789472"/>
  </r>
  <r>
    <n v="2020"/>
    <x v="11"/>
    <n v="1"/>
    <x v="12"/>
    <n v="28530"/>
    <n v="28500"/>
    <n v="1.0010526315789474"/>
  </r>
  <r>
    <n v="2020"/>
    <x v="11"/>
    <n v="1"/>
    <x v="13"/>
    <n v="27007"/>
    <n v="28500"/>
    <n v="0.94761403508771935"/>
  </r>
  <r>
    <n v="2020"/>
    <x v="11"/>
    <n v="1"/>
    <x v="14"/>
    <n v="5639.5"/>
    <n v="28500"/>
    <n v="0.19787719298245615"/>
  </r>
  <r>
    <n v="2020"/>
    <x v="11"/>
    <n v="1"/>
    <x v="15"/>
    <n v="4298"/>
    <n v="28500"/>
    <n v="0.15080701754385964"/>
  </r>
  <r>
    <n v="2020"/>
    <x v="11"/>
    <n v="1"/>
    <x v="16"/>
    <n v="0"/>
    <n v="28500"/>
    <n v="0"/>
  </r>
  <r>
    <n v="2020"/>
    <x v="11"/>
    <n v="1"/>
    <x v="17"/>
    <n v="0"/>
    <n v="28500"/>
    <n v="0"/>
  </r>
  <r>
    <n v="2020"/>
    <x v="11"/>
    <n v="1"/>
    <x v="18"/>
    <n v="0"/>
    <n v="28500"/>
    <n v="0"/>
  </r>
  <r>
    <n v="2020"/>
    <x v="11"/>
    <n v="1"/>
    <x v="19"/>
    <n v="0"/>
    <n v="28500"/>
    <n v="0"/>
  </r>
  <r>
    <n v="2020"/>
    <x v="11"/>
    <n v="1"/>
    <x v="20"/>
    <n v="0"/>
    <n v="28500"/>
    <n v="0"/>
  </r>
  <r>
    <n v="2020"/>
    <x v="11"/>
    <n v="1"/>
    <x v="21"/>
    <n v="0"/>
    <n v="28500"/>
    <n v="0"/>
  </r>
  <r>
    <n v="2020"/>
    <x v="11"/>
    <n v="1"/>
    <x v="22"/>
    <n v="0"/>
    <n v="28500"/>
    <n v="0"/>
  </r>
  <r>
    <n v="2020"/>
    <x v="11"/>
    <n v="1"/>
    <x v="23"/>
    <n v="0"/>
    <n v="28500"/>
    <n v="0"/>
  </r>
  <r>
    <n v="2020"/>
    <x v="11"/>
    <n v="2"/>
    <x v="0"/>
    <n v="0"/>
    <n v="28500"/>
    <n v="0"/>
  </r>
  <r>
    <n v="2020"/>
    <x v="11"/>
    <n v="2"/>
    <x v="1"/>
    <n v="0"/>
    <n v="28500"/>
    <n v="0"/>
  </r>
  <r>
    <n v="2020"/>
    <x v="11"/>
    <n v="2"/>
    <x v="2"/>
    <n v="0"/>
    <n v="28500"/>
    <n v="0"/>
  </r>
  <r>
    <n v="2020"/>
    <x v="11"/>
    <n v="2"/>
    <x v="3"/>
    <n v="0"/>
    <n v="28500"/>
    <n v="0"/>
  </r>
  <r>
    <n v="2020"/>
    <x v="11"/>
    <n v="2"/>
    <x v="4"/>
    <n v="0"/>
    <n v="28500"/>
    <n v="0"/>
  </r>
  <r>
    <n v="2020"/>
    <x v="11"/>
    <n v="2"/>
    <x v="5"/>
    <n v="0"/>
    <n v="28500"/>
    <n v="0"/>
  </r>
  <r>
    <n v="2020"/>
    <x v="11"/>
    <n v="2"/>
    <x v="6"/>
    <n v="0"/>
    <n v="28500"/>
    <n v="0"/>
  </r>
  <r>
    <n v="2020"/>
    <x v="11"/>
    <n v="2"/>
    <x v="7"/>
    <n v="0"/>
    <n v="28500"/>
    <n v="0"/>
  </r>
  <r>
    <n v="2020"/>
    <x v="11"/>
    <n v="2"/>
    <x v="8"/>
    <n v="0"/>
    <n v="28500"/>
    <n v="0"/>
  </r>
  <r>
    <n v="2020"/>
    <x v="11"/>
    <n v="2"/>
    <x v="9"/>
    <n v="407"/>
    <n v="28500"/>
    <n v="1.4280701754385965E-2"/>
  </r>
  <r>
    <n v="2020"/>
    <x v="11"/>
    <n v="2"/>
    <x v="10"/>
    <n v="897.5"/>
    <n v="28500"/>
    <n v="3.1491228070175438E-2"/>
  </r>
  <r>
    <n v="2020"/>
    <x v="11"/>
    <n v="2"/>
    <x v="11"/>
    <n v="4571.5"/>
    <n v="28500"/>
    <n v="0.16040350877192983"/>
  </r>
  <r>
    <n v="2020"/>
    <x v="11"/>
    <n v="2"/>
    <x v="12"/>
    <n v="11403.5"/>
    <n v="28500"/>
    <n v="0.40012280701754388"/>
  </r>
  <r>
    <n v="2020"/>
    <x v="11"/>
    <n v="2"/>
    <x v="13"/>
    <n v="7194.5"/>
    <n v="28500"/>
    <n v="0.25243859649122807"/>
  </r>
  <r>
    <n v="2020"/>
    <x v="11"/>
    <n v="2"/>
    <x v="14"/>
    <n v="3003"/>
    <n v="28500"/>
    <n v="0.10536842105263158"/>
  </r>
  <r>
    <n v="2020"/>
    <x v="11"/>
    <n v="2"/>
    <x v="15"/>
    <n v="54"/>
    <n v="28500"/>
    <n v="1.8947368421052631E-3"/>
  </r>
  <r>
    <n v="2020"/>
    <x v="11"/>
    <n v="2"/>
    <x v="16"/>
    <n v="0"/>
    <n v="28500"/>
    <n v="0"/>
  </r>
  <r>
    <n v="2020"/>
    <x v="11"/>
    <n v="2"/>
    <x v="17"/>
    <n v="0"/>
    <n v="28500"/>
    <n v="0"/>
  </r>
  <r>
    <n v="2020"/>
    <x v="11"/>
    <n v="2"/>
    <x v="18"/>
    <n v="0"/>
    <n v="28500"/>
    <n v="0"/>
  </r>
  <r>
    <n v="2020"/>
    <x v="11"/>
    <n v="2"/>
    <x v="19"/>
    <n v="0"/>
    <n v="28500"/>
    <n v="0"/>
  </r>
  <r>
    <n v="2020"/>
    <x v="11"/>
    <n v="2"/>
    <x v="20"/>
    <n v="0"/>
    <n v="28500"/>
    <n v="0"/>
  </r>
  <r>
    <n v="2020"/>
    <x v="11"/>
    <n v="2"/>
    <x v="21"/>
    <n v="0"/>
    <n v="28500"/>
    <n v="0"/>
  </r>
  <r>
    <n v="2020"/>
    <x v="11"/>
    <n v="2"/>
    <x v="22"/>
    <n v="0"/>
    <n v="28500"/>
    <n v="0"/>
  </r>
  <r>
    <n v="2020"/>
    <x v="11"/>
    <n v="2"/>
    <x v="23"/>
    <n v="0"/>
    <n v="28500"/>
    <n v="0"/>
  </r>
  <r>
    <n v="2020"/>
    <x v="11"/>
    <n v="3"/>
    <x v="0"/>
    <n v="0"/>
    <n v="28500"/>
    <n v="0"/>
  </r>
  <r>
    <n v="2020"/>
    <x v="11"/>
    <n v="3"/>
    <x v="1"/>
    <n v="0"/>
    <n v="28500"/>
    <n v="0"/>
  </r>
  <r>
    <n v="2020"/>
    <x v="11"/>
    <n v="3"/>
    <x v="2"/>
    <n v="0"/>
    <n v="28500"/>
    <n v="0"/>
  </r>
  <r>
    <n v="2020"/>
    <x v="11"/>
    <n v="3"/>
    <x v="3"/>
    <n v="0"/>
    <n v="28500"/>
    <n v="0"/>
  </r>
  <r>
    <n v="2020"/>
    <x v="11"/>
    <n v="3"/>
    <x v="4"/>
    <n v="0"/>
    <n v="28500"/>
    <n v="0"/>
  </r>
  <r>
    <n v="2020"/>
    <x v="11"/>
    <n v="3"/>
    <x v="5"/>
    <n v="0"/>
    <n v="28500"/>
    <n v="0"/>
  </r>
  <r>
    <n v="2020"/>
    <x v="11"/>
    <n v="3"/>
    <x v="6"/>
    <n v="0"/>
    <n v="28500"/>
    <n v="0"/>
  </r>
  <r>
    <n v="2020"/>
    <x v="11"/>
    <n v="3"/>
    <x v="7"/>
    <n v="0"/>
    <n v="28500"/>
    <n v="0"/>
  </r>
  <r>
    <n v="2020"/>
    <x v="11"/>
    <n v="3"/>
    <x v="8"/>
    <n v="0"/>
    <n v="28500"/>
    <n v="0"/>
  </r>
  <r>
    <n v="2020"/>
    <x v="11"/>
    <n v="3"/>
    <x v="9"/>
    <n v="754.5"/>
    <n v="28500"/>
    <n v="2.6473684210526316E-2"/>
  </r>
  <r>
    <n v="2020"/>
    <x v="11"/>
    <n v="3"/>
    <x v="10"/>
    <n v="1866.5"/>
    <n v="28500"/>
    <n v="6.5491228070175433E-2"/>
  </r>
  <r>
    <n v="2020"/>
    <x v="11"/>
    <n v="3"/>
    <x v="11"/>
    <n v="1562.5"/>
    <n v="28500"/>
    <n v="5.4824561403508769E-2"/>
  </r>
  <r>
    <n v="2020"/>
    <x v="11"/>
    <n v="3"/>
    <x v="12"/>
    <n v="1377"/>
    <n v="28500"/>
    <n v="4.8315789473684208E-2"/>
  </r>
  <r>
    <n v="2020"/>
    <x v="11"/>
    <n v="3"/>
    <x v="13"/>
    <n v="583.5"/>
    <n v="28500"/>
    <n v="2.0473684210526314E-2"/>
  </r>
  <r>
    <n v="2020"/>
    <x v="11"/>
    <n v="3"/>
    <x v="14"/>
    <n v="252"/>
    <n v="28500"/>
    <n v="8.8421052631578942E-3"/>
  </r>
  <r>
    <n v="2020"/>
    <x v="11"/>
    <n v="3"/>
    <x v="15"/>
    <n v="53.5"/>
    <n v="28500"/>
    <n v="1.8771929824561403E-3"/>
  </r>
  <r>
    <n v="2020"/>
    <x v="11"/>
    <n v="3"/>
    <x v="16"/>
    <n v="0"/>
    <n v="28500"/>
    <n v="0"/>
  </r>
  <r>
    <n v="2020"/>
    <x v="11"/>
    <n v="3"/>
    <x v="17"/>
    <n v="0"/>
    <n v="28500"/>
    <n v="0"/>
  </r>
  <r>
    <n v="2020"/>
    <x v="11"/>
    <n v="3"/>
    <x v="18"/>
    <n v="0"/>
    <n v="28500"/>
    <n v="0"/>
  </r>
  <r>
    <n v="2020"/>
    <x v="11"/>
    <n v="3"/>
    <x v="19"/>
    <n v="0"/>
    <n v="28500"/>
    <n v="0"/>
  </r>
  <r>
    <n v="2020"/>
    <x v="11"/>
    <n v="3"/>
    <x v="20"/>
    <n v="0"/>
    <n v="28500"/>
    <n v="0"/>
  </r>
  <r>
    <n v="2020"/>
    <x v="11"/>
    <n v="3"/>
    <x v="21"/>
    <n v="0"/>
    <n v="28500"/>
    <n v="0"/>
  </r>
  <r>
    <n v="2020"/>
    <x v="11"/>
    <n v="3"/>
    <x v="22"/>
    <n v="0"/>
    <n v="28500"/>
    <n v="0"/>
  </r>
  <r>
    <n v="2020"/>
    <x v="11"/>
    <n v="3"/>
    <x v="23"/>
    <n v="0"/>
    <n v="28500"/>
    <n v="0"/>
  </r>
  <r>
    <n v="2020"/>
    <x v="11"/>
    <n v="4"/>
    <x v="0"/>
    <n v="0"/>
    <n v="28500"/>
    <n v="0"/>
  </r>
  <r>
    <n v="2020"/>
    <x v="11"/>
    <n v="4"/>
    <x v="1"/>
    <n v="0"/>
    <n v="28500"/>
    <n v="0"/>
  </r>
  <r>
    <n v="2020"/>
    <x v="11"/>
    <n v="4"/>
    <x v="2"/>
    <n v="0"/>
    <n v="28500"/>
    <n v="0"/>
  </r>
  <r>
    <n v="2020"/>
    <x v="11"/>
    <n v="4"/>
    <x v="3"/>
    <n v="0"/>
    <n v="28500"/>
    <n v="0"/>
  </r>
  <r>
    <n v="2020"/>
    <x v="11"/>
    <n v="4"/>
    <x v="4"/>
    <n v="0"/>
    <n v="28500"/>
    <n v="0"/>
  </r>
  <r>
    <n v="2020"/>
    <x v="11"/>
    <n v="4"/>
    <x v="5"/>
    <n v="0"/>
    <n v="28500"/>
    <n v="0"/>
  </r>
  <r>
    <n v="2020"/>
    <x v="11"/>
    <n v="4"/>
    <x v="6"/>
    <n v="0"/>
    <n v="28500"/>
    <n v="0"/>
  </r>
  <r>
    <n v="2020"/>
    <x v="11"/>
    <n v="4"/>
    <x v="7"/>
    <n v="0"/>
    <n v="28500"/>
    <n v="0"/>
  </r>
  <r>
    <n v="2020"/>
    <x v="11"/>
    <n v="4"/>
    <x v="8"/>
    <n v="0"/>
    <n v="28500"/>
    <n v="0"/>
  </r>
  <r>
    <n v="2020"/>
    <x v="11"/>
    <n v="4"/>
    <x v="9"/>
    <n v="258.5"/>
    <n v="28500"/>
    <n v="9.0701754385964905E-3"/>
  </r>
  <r>
    <n v="2020"/>
    <x v="11"/>
    <n v="4"/>
    <x v="10"/>
    <n v="1006"/>
    <n v="28500"/>
    <n v="3.5298245614035086E-2"/>
  </r>
  <r>
    <n v="2020"/>
    <x v="11"/>
    <n v="4"/>
    <x v="11"/>
    <n v="628"/>
    <n v="28500"/>
    <n v="2.2035087719298244E-2"/>
  </r>
  <r>
    <n v="2020"/>
    <x v="11"/>
    <n v="4"/>
    <x v="12"/>
    <n v="5192.5"/>
    <n v="28500"/>
    <n v="0.18219298245614035"/>
  </r>
  <r>
    <n v="2020"/>
    <x v="11"/>
    <n v="4"/>
    <x v="13"/>
    <n v="5635"/>
    <n v="28500"/>
    <n v="0.19771929824561404"/>
  </r>
  <r>
    <n v="2020"/>
    <x v="11"/>
    <n v="4"/>
    <x v="14"/>
    <n v="9430"/>
    <n v="28500"/>
    <n v="0.33087719298245616"/>
  </r>
  <r>
    <n v="2020"/>
    <x v="11"/>
    <n v="4"/>
    <x v="15"/>
    <n v="2741.5"/>
    <n v="28500"/>
    <n v="9.6192982456140344E-2"/>
  </r>
  <r>
    <n v="2020"/>
    <x v="11"/>
    <n v="4"/>
    <x v="16"/>
    <n v="0"/>
    <n v="28500"/>
    <n v="0"/>
  </r>
  <r>
    <n v="2020"/>
    <x v="11"/>
    <n v="4"/>
    <x v="17"/>
    <n v="0"/>
    <n v="28500"/>
    <n v="0"/>
  </r>
  <r>
    <n v="2020"/>
    <x v="11"/>
    <n v="4"/>
    <x v="18"/>
    <n v="0"/>
    <n v="28500"/>
    <n v="0"/>
  </r>
  <r>
    <n v="2020"/>
    <x v="11"/>
    <n v="4"/>
    <x v="19"/>
    <n v="0"/>
    <n v="28500"/>
    <n v="0"/>
  </r>
  <r>
    <n v="2020"/>
    <x v="11"/>
    <n v="4"/>
    <x v="20"/>
    <n v="0"/>
    <n v="28500"/>
    <n v="0"/>
  </r>
  <r>
    <n v="2020"/>
    <x v="11"/>
    <n v="4"/>
    <x v="21"/>
    <n v="0"/>
    <n v="28500"/>
    <n v="0"/>
  </r>
  <r>
    <n v="2020"/>
    <x v="11"/>
    <n v="4"/>
    <x v="22"/>
    <n v="0"/>
    <n v="28500"/>
    <n v="0"/>
  </r>
  <r>
    <n v="2020"/>
    <x v="11"/>
    <n v="4"/>
    <x v="23"/>
    <n v="0"/>
    <n v="28500"/>
    <n v="0"/>
  </r>
  <r>
    <n v="2020"/>
    <x v="11"/>
    <n v="5"/>
    <x v="0"/>
    <n v="0"/>
    <n v="28500"/>
    <n v="0"/>
  </r>
  <r>
    <n v="2020"/>
    <x v="11"/>
    <n v="5"/>
    <x v="1"/>
    <n v="0"/>
    <n v="28500"/>
    <n v="0"/>
  </r>
  <r>
    <n v="2020"/>
    <x v="11"/>
    <n v="5"/>
    <x v="2"/>
    <n v="0"/>
    <n v="28500"/>
    <n v="0"/>
  </r>
  <r>
    <n v="2020"/>
    <x v="11"/>
    <n v="5"/>
    <x v="3"/>
    <n v="0"/>
    <n v="28500"/>
    <n v="0"/>
  </r>
  <r>
    <n v="2020"/>
    <x v="11"/>
    <n v="5"/>
    <x v="4"/>
    <n v="0"/>
    <n v="28500"/>
    <n v="0"/>
  </r>
  <r>
    <n v="2020"/>
    <x v="11"/>
    <n v="5"/>
    <x v="5"/>
    <n v="0"/>
    <n v="28500"/>
    <n v="0"/>
  </r>
  <r>
    <n v="2020"/>
    <x v="11"/>
    <n v="5"/>
    <x v="6"/>
    <n v="0"/>
    <n v="28500"/>
    <n v="0"/>
  </r>
  <r>
    <n v="2020"/>
    <x v="11"/>
    <n v="5"/>
    <x v="7"/>
    <n v="0"/>
    <n v="28500"/>
    <n v="0"/>
  </r>
  <r>
    <n v="2020"/>
    <x v="11"/>
    <n v="5"/>
    <x v="8"/>
    <n v="0"/>
    <n v="28500"/>
    <n v="0"/>
  </r>
  <r>
    <n v="2020"/>
    <x v="11"/>
    <n v="5"/>
    <x v="9"/>
    <n v="16188.5"/>
    <n v="28500"/>
    <n v="0.56801754385964909"/>
  </r>
  <r>
    <n v="2020"/>
    <x v="11"/>
    <n v="5"/>
    <x v="10"/>
    <n v="25096.5"/>
    <n v="28500"/>
    <n v="0.88057894736842102"/>
  </r>
  <r>
    <n v="2020"/>
    <x v="11"/>
    <n v="5"/>
    <x v="11"/>
    <n v="22327"/>
    <n v="28500"/>
    <n v="0.78340350877192988"/>
  </r>
  <r>
    <n v="2020"/>
    <x v="11"/>
    <n v="5"/>
    <x v="12"/>
    <n v="20949"/>
    <n v="28500"/>
    <n v="0.7350526315789474"/>
  </r>
  <r>
    <n v="2020"/>
    <x v="11"/>
    <n v="5"/>
    <x v="13"/>
    <n v="6883"/>
    <n v="28500"/>
    <n v="0.24150877192982456"/>
  </r>
  <r>
    <n v="2020"/>
    <x v="11"/>
    <n v="5"/>
    <x v="14"/>
    <n v="4227"/>
    <n v="28500"/>
    <n v="0.14831578947368421"/>
  </r>
  <r>
    <n v="2020"/>
    <x v="11"/>
    <n v="5"/>
    <x v="15"/>
    <n v="674"/>
    <n v="28500"/>
    <n v="2.3649122807017545E-2"/>
  </r>
  <r>
    <n v="2020"/>
    <x v="11"/>
    <n v="5"/>
    <x v="16"/>
    <n v="0"/>
    <n v="28500"/>
    <n v="0"/>
  </r>
  <r>
    <n v="2020"/>
    <x v="11"/>
    <n v="5"/>
    <x v="17"/>
    <n v="0"/>
    <n v="28500"/>
    <n v="0"/>
  </r>
  <r>
    <n v="2020"/>
    <x v="11"/>
    <n v="5"/>
    <x v="18"/>
    <n v="0"/>
    <n v="28500"/>
    <n v="0"/>
  </r>
  <r>
    <n v="2020"/>
    <x v="11"/>
    <n v="5"/>
    <x v="19"/>
    <n v="0"/>
    <n v="28500"/>
    <n v="0"/>
  </r>
  <r>
    <n v="2020"/>
    <x v="11"/>
    <n v="5"/>
    <x v="20"/>
    <n v="0"/>
    <n v="28500"/>
    <n v="0"/>
  </r>
  <r>
    <n v="2020"/>
    <x v="11"/>
    <n v="5"/>
    <x v="21"/>
    <n v="0"/>
    <n v="28500"/>
    <n v="0"/>
  </r>
  <r>
    <n v="2020"/>
    <x v="11"/>
    <n v="5"/>
    <x v="22"/>
    <n v="0"/>
    <n v="28500"/>
    <n v="0"/>
  </r>
  <r>
    <n v="2020"/>
    <x v="11"/>
    <n v="5"/>
    <x v="23"/>
    <n v="0"/>
    <n v="28500"/>
    <n v="0"/>
  </r>
  <r>
    <n v="2020"/>
    <x v="11"/>
    <n v="6"/>
    <x v="0"/>
    <n v="0"/>
    <n v="28500"/>
    <n v="0"/>
  </r>
  <r>
    <n v="2020"/>
    <x v="11"/>
    <n v="6"/>
    <x v="1"/>
    <n v="0"/>
    <n v="28500"/>
    <n v="0"/>
  </r>
  <r>
    <n v="2020"/>
    <x v="11"/>
    <n v="6"/>
    <x v="2"/>
    <n v="0"/>
    <n v="28500"/>
    <n v="0"/>
  </r>
  <r>
    <n v="2020"/>
    <x v="11"/>
    <n v="6"/>
    <x v="3"/>
    <n v="0"/>
    <n v="28500"/>
    <n v="0"/>
  </r>
  <r>
    <n v="2020"/>
    <x v="11"/>
    <n v="6"/>
    <x v="4"/>
    <n v="0"/>
    <n v="28500"/>
    <n v="0"/>
  </r>
  <r>
    <n v="2020"/>
    <x v="11"/>
    <n v="6"/>
    <x v="5"/>
    <n v="0"/>
    <n v="28500"/>
    <n v="0"/>
  </r>
  <r>
    <n v="2020"/>
    <x v="11"/>
    <n v="6"/>
    <x v="6"/>
    <n v="0"/>
    <n v="28500"/>
    <n v="0"/>
  </r>
  <r>
    <n v="2020"/>
    <x v="11"/>
    <n v="6"/>
    <x v="7"/>
    <n v="0"/>
    <n v="28500"/>
    <n v="0"/>
  </r>
  <r>
    <n v="2020"/>
    <x v="11"/>
    <n v="6"/>
    <x v="8"/>
    <n v="0"/>
    <n v="28500"/>
    <n v="0"/>
  </r>
  <r>
    <n v="2020"/>
    <x v="11"/>
    <n v="6"/>
    <x v="9"/>
    <n v="595.5"/>
    <n v="28500"/>
    <n v="2.0894736842105265E-2"/>
  </r>
  <r>
    <n v="2020"/>
    <x v="11"/>
    <n v="6"/>
    <x v="10"/>
    <n v="3295"/>
    <n v="28500"/>
    <n v="0.11561403508771929"/>
  </r>
  <r>
    <n v="2020"/>
    <x v="11"/>
    <n v="6"/>
    <x v="11"/>
    <n v="2174"/>
    <n v="28500"/>
    <n v="7.6280701754385963E-2"/>
  </r>
  <r>
    <n v="2020"/>
    <x v="11"/>
    <n v="6"/>
    <x v="12"/>
    <n v="4395"/>
    <n v="28500"/>
    <n v="0.15421052631578946"/>
  </r>
  <r>
    <n v="2020"/>
    <x v="11"/>
    <n v="6"/>
    <x v="13"/>
    <n v="6423.5"/>
    <n v="28500"/>
    <n v="0.22538596491228069"/>
  </r>
  <r>
    <n v="2020"/>
    <x v="11"/>
    <n v="6"/>
    <x v="14"/>
    <n v="1092.5"/>
    <n v="28500"/>
    <n v="3.833333333333333E-2"/>
  </r>
  <r>
    <n v="2020"/>
    <x v="11"/>
    <n v="6"/>
    <x v="15"/>
    <n v="3446"/>
    <n v="28500"/>
    <n v="0.12091228070175439"/>
  </r>
  <r>
    <n v="2020"/>
    <x v="11"/>
    <n v="6"/>
    <x v="16"/>
    <n v="0"/>
    <n v="28500"/>
    <n v="0"/>
  </r>
  <r>
    <n v="2020"/>
    <x v="11"/>
    <n v="6"/>
    <x v="17"/>
    <n v="0"/>
    <n v="28500"/>
    <n v="0"/>
  </r>
  <r>
    <n v="2020"/>
    <x v="11"/>
    <n v="6"/>
    <x v="18"/>
    <n v="0"/>
    <n v="28500"/>
    <n v="0"/>
  </r>
  <r>
    <n v="2020"/>
    <x v="11"/>
    <n v="6"/>
    <x v="19"/>
    <n v="0"/>
    <n v="28500"/>
    <n v="0"/>
  </r>
  <r>
    <n v="2020"/>
    <x v="11"/>
    <n v="6"/>
    <x v="20"/>
    <n v="0"/>
    <n v="28500"/>
    <n v="0"/>
  </r>
  <r>
    <n v="2020"/>
    <x v="11"/>
    <n v="6"/>
    <x v="21"/>
    <n v="0"/>
    <n v="28500"/>
    <n v="0"/>
  </r>
  <r>
    <n v="2020"/>
    <x v="11"/>
    <n v="6"/>
    <x v="22"/>
    <n v="0"/>
    <n v="28500"/>
    <n v="0"/>
  </r>
  <r>
    <n v="2020"/>
    <x v="11"/>
    <n v="6"/>
    <x v="23"/>
    <n v="0"/>
    <n v="28500"/>
    <n v="0"/>
  </r>
  <r>
    <n v="2020"/>
    <x v="11"/>
    <n v="7"/>
    <x v="0"/>
    <n v="0"/>
    <n v="28500"/>
    <n v="0"/>
  </r>
  <r>
    <n v="2020"/>
    <x v="11"/>
    <n v="7"/>
    <x v="1"/>
    <n v="0"/>
    <n v="28500"/>
    <n v="0"/>
  </r>
  <r>
    <n v="2020"/>
    <x v="11"/>
    <n v="7"/>
    <x v="2"/>
    <n v="0"/>
    <n v="28500"/>
    <n v="0"/>
  </r>
  <r>
    <n v="2020"/>
    <x v="11"/>
    <n v="7"/>
    <x v="3"/>
    <n v="0"/>
    <n v="28500"/>
    <n v="0"/>
  </r>
  <r>
    <n v="2020"/>
    <x v="11"/>
    <n v="7"/>
    <x v="4"/>
    <n v="0"/>
    <n v="28500"/>
    <n v="0"/>
  </r>
  <r>
    <n v="2020"/>
    <x v="11"/>
    <n v="7"/>
    <x v="5"/>
    <n v="0"/>
    <n v="28500"/>
    <n v="0"/>
  </r>
  <r>
    <n v="2020"/>
    <x v="11"/>
    <n v="7"/>
    <x v="6"/>
    <n v="0"/>
    <n v="28500"/>
    <n v="0"/>
  </r>
  <r>
    <n v="2020"/>
    <x v="11"/>
    <n v="7"/>
    <x v="7"/>
    <n v="0"/>
    <n v="28500"/>
    <n v="0"/>
  </r>
  <r>
    <n v="2020"/>
    <x v="11"/>
    <n v="7"/>
    <x v="8"/>
    <n v="0"/>
    <n v="28500"/>
    <n v="0"/>
  </r>
  <r>
    <n v="2020"/>
    <x v="11"/>
    <n v="7"/>
    <x v="9"/>
    <n v="2856"/>
    <n v="28500"/>
    <n v="0.10021052631578947"/>
  </r>
  <r>
    <n v="2020"/>
    <x v="11"/>
    <n v="7"/>
    <x v="10"/>
    <n v="1597"/>
    <n v="28500"/>
    <n v="5.6035087719298243E-2"/>
  </r>
  <r>
    <n v="2020"/>
    <x v="11"/>
    <n v="7"/>
    <x v="11"/>
    <n v="6606.5"/>
    <n v="28500"/>
    <n v="0.23180701754385966"/>
  </r>
  <r>
    <n v="2020"/>
    <x v="11"/>
    <n v="7"/>
    <x v="12"/>
    <n v="6663.5"/>
    <n v="28500"/>
    <n v="0.23380701754385966"/>
  </r>
  <r>
    <n v="2020"/>
    <x v="11"/>
    <n v="7"/>
    <x v="13"/>
    <n v="2268.5"/>
    <n v="28500"/>
    <n v="7.9596491228070179E-2"/>
  </r>
  <r>
    <n v="2020"/>
    <x v="11"/>
    <n v="7"/>
    <x v="14"/>
    <n v="6649.5"/>
    <n v="28500"/>
    <n v="0.2333157894736842"/>
  </r>
  <r>
    <n v="2020"/>
    <x v="11"/>
    <n v="7"/>
    <x v="15"/>
    <n v="620.5"/>
    <n v="28500"/>
    <n v="2.1771929824561404E-2"/>
  </r>
  <r>
    <n v="2020"/>
    <x v="11"/>
    <n v="7"/>
    <x v="16"/>
    <n v="0"/>
    <n v="28500"/>
    <n v="0"/>
  </r>
  <r>
    <n v="2020"/>
    <x v="11"/>
    <n v="7"/>
    <x v="17"/>
    <n v="0"/>
    <n v="28500"/>
    <n v="0"/>
  </r>
  <r>
    <n v="2020"/>
    <x v="11"/>
    <n v="7"/>
    <x v="18"/>
    <n v="0"/>
    <n v="28500"/>
    <n v="0"/>
  </r>
  <r>
    <n v="2020"/>
    <x v="11"/>
    <n v="7"/>
    <x v="19"/>
    <n v="0"/>
    <n v="28500"/>
    <n v="0"/>
  </r>
  <r>
    <n v="2020"/>
    <x v="11"/>
    <n v="7"/>
    <x v="20"/>
    <n v="0"/>
    <n v="28500"/>
    <n v="0"/>
  </r>
  <r>
    <n v="2020"/>
    <x v="11"/>
    <n v="7"/>
    <x v="21"/>
    <n v="0"/>
    <n v="28500"/>
    <n v="0"/>
  </r>
  <r>
    <n v="2020"/>
    <x v="11"/>
    <n v="7"/>
    <x v="22"/>
    <n v="0"/>
    <n v="28500"/>
    <n v="0"/>
  </r>
  <r>
    <n v="2020"/>
    <x v="11"/>
    <n v="7"/>
    <x v="23"/>
    <n v="0"/>
    <n v="28500"/>
    <n v="0"/>
  </r>
  <r>
    <n v="2020"/>
    <x v="11"/>
    <n v="8"/>
    <x v="0"/>
    <n v="0"/>
    <n v="28500"/>
    <n v="0"/>
  </r>
  <r>
    <n v="2020"/>
    <x v="11"/>
    <n v="8"/>
    <x v="1"/>
    <n v="0"/>
    <n v="28500"/>
    <n v="0"/>
  </r>
  <r>
    <n v="2020"/>
    <x v="11"/>
    <n v="8"/>
    <x v="2"/>
    <n v="0"/>
    <n v="28500"/>
    <n v="0"/>
  </r>
  <r>
    <n v="2020"/>
    <x v="11"/>
    <n v="8"/>
    <x v="3"/>
    <n v="0"/>
    <n v="28500"/>
    <n v="0"/>
  </r>
  <r>
    <n v="2020"/>
    <x v="11"/>
    <n v="8"/>
    <x v="4"/>
    <n v="0"/>
    <n v="28500"/>
    <n v="0"/>
  </r>
  <r>
    <n v="2020"/>
    <x v="11"/>
    <n v="8"/>
    <x v="5"/>
    <n v="0"/>
    <n v="28500"/>
    <n v="0"/>
  </r>
  <r>
    <n v="2020"/>
    <x v="11"/>
    <n v="8"/>
    <x v="6"/>
    <n v="0"/>
    <n v="28500"/>
    <n v="0"/>
  </r>
  <r>
    <n v="2020"/>
    <x v="11"/>
    <n v="8"/>
    <x v="7"/>
    <n v="0"/>
    <n v="28500"/>
    <n v="0"/>
  </r>
  <r>
    <n v="2020"/>
    <x v="11"/>
    <n v="8"/>
    <x v="8"/>
    <n v="0"/>
    <n v="28500"/>
    <n v="0"/>
  </r>
  <r>
    <n v="2020"/>
    <x v="11"/>
    <n v="8"/>
    <x v="9"/>
    <n v="1378.5"/>
    <n v="28500"/>
    <n v="4.8368421052631581E-2"/>
  </r>
  <r>
    <n v="2020"/>
    <x v="11"/>
    <n v="8"/>
    <x v="10"/>
    <n v="2345.5"/>
    <n v="28500"/>
    <n v="8.2298245614035093E-2"/>
  </r>
  <r>
    <n v="2020"/>
    <x v="11"/>
    <n v="8"/>
    <x v="11"/>
    <n v="13243.5"/>
    <n v="28500"/>
    <n v="0.46468421052631581"/>
  </r>
  <r>
    <n v="2020"/>
    <x v="11"/>
    <n v="8"/>
    <x v="12"/>
    <n v="20098"/>
    <n v="28500"/>
    <n v="0.70519298245614037"/>
  </r>
  <r>
    <n v="2020"/>
    <x v="11"/>
    <n v="8"/>
    <x v="13"/>
    <n v="24729.5"/>
    <n v="28500"/>
    <n v="0.86770175438596486"/>
  </r>
  <r>
    <n v="2020"/>
    <x v="11"/>
    <n v="8"/>
    <x v="14"/>
    <n v="18429.5"/>
    <n v="28500"/>
    <n v="0.64664912280701758"/>
  </r>
  <r>
    <n v="2020"/>
    <x v="11"/>
    <n v="8"/>
    <x v="15"/>
    <n v="4593.5"/>
    <n v="28500"/>
    <n v="0.16117543859649122"/>
  </r>
  <r>
    <n v="2020"/>
    <x v="11"/>
    <n v="8"/>
    <x v="16"/>
    <n v="0"/>
    <n v="28500"/>
    <n v="0"/>
  </r>
  <r>
    <n v="2020"/>
    <x v="11"/>
    <n v="8"/>
    <x v="17"/>
    <n v="0"/>
    <n v="28500"/>
    <n v="0"/>
  </r>
  <r>
    <n v="2020"/>
    <x v="11"/>
    <n v="8"/>
    <x v="18"/>
    <n v="0"/>
    <n v="28500"/>
    <n v="0"/>
  </r>
  <r>
    <n v="2020"/>
    <x v="11"/>
    <n v="8"/>
    <x v="19"/>
    <n v="0"/>
    <n v="28500"/>
    <n v="0"/>
  </r>
  <r>
    <n v="2020"/>
    <x v="11"/>
    <n v="8"/>
    <x v="20"/>
    <n v="0"/>
    <n v="28500"/>
    <n v="0"/>
  </r>
  <r>
    <n v="2020"/>
    <x v="11"/>
    <n v="8"/>
    <x v="21"/>
    <n v="0"/>
    <n v="28500"/>
    <n v="0"/>
  </r>
  <r>
    <n v="2020"/>
    <x v="11"/>
    <n v="8"/>
    <x v="22"/>
    <n v="0"/>
    <n v="28500"/>
    <n v="0"/>
  </r>
  <r>
    <n v="2020"/>
    <x v="11"/>
    <n v="8"/>
    <x v="23"/>
    <n v="0"/>
    <n v="28500"/>
    <n v="0"/>
  </r>
  <r>
    <n v="2020"/>
    <x v="11"/>
    <n v="9"/>
    <x v="0"/>
    <n v="0"/>
    <n v="28500"/>
    <n v="0"/>
  </r>
  <r>
    <n v="2020"/>
    <x v="11"/>
    <n v="9"/>
    <x v="1"/>
    <n v="0"/>
    <n v="28500"/>
    <n v="0"/>
  </r>
  <r>
    <n v="2020"/>
    <x v="11"/>
    <n v="9"/>
    <x v="2"/>
    <n v="0"/>
    <n v="28500"/>
    <n v="0"/>
  </r>
  <r>
    <n v="2020"/>
    <x v="11"/>
    <n v="9"/>
    <x v="3"/>
    <n v="0"/>
    <n v="28500"/>
    <n v="0"/>
  </r>
  <r>
    <n v="2020"/>
    <x v="11"/>
    <n v="9"/>
    <x v="4"/>
    <n v="0"/>
    <n v="28500"/>
    <n v="0"/>
  </r>
  <r>
    <n v="2020"/>
    <x v="11"/>
    <n v="9"/>
    <x v="5"/>
    <n v="0"/>
    <n v="28500"/>
    <n v="0"/>
  </r>
  <r>
    <n v="2020"/>
    <x v="11"/>
    <n v="9"/>
    <x v="6"/>
    <n v="0"/>
    <n v="28500"/>
    <n v="0"/>
  </r>
  <r>
    <n v="2020"/>
    <x v="11"/>
    <n v="9"/>
    <x v="7"/>
    <n v="0"/>
    <n v="28500"/>
    <n v="0"/>
  </r>
  <r>
    <n v="2020"/>
    <x v="11"/>
    <n v="9"/>
    <x v="8"/>
    <n v="0"/>
    <n v="28500"/>
    <n v="0"/>
  </r>
  <r>
    <n v="2020"/>
    <x v="11"/>
    <n v="9"/>
    <x v="9"/>
    <n v="12065.5"/>
    <n v="28500"/>
    <n v="0.42335087719298248"/>
  </r>
  <r>
    <n v="2020"/>
    <x v="11"/>
    <n v="9"/>
    <x v="10"/>
    <n v="4232.5"/>
    <n v="28500"/>
    <n v="0.14850877192982456"/>
  </r>
  <r>
    <n v="2020"/>
    <x v="11"/>
    <n v="9"/>
    <x v="11"/>
    <n v="14444"/>
    <n v="28500"/>
    <n v="0.50680701754385959"/>
  </r>
  <r>
    <n v="2020"/>
    <x v="11"/>
    <n v="9"/>
    <x v="12"/>
    <n v="11996.5"/>
    <n v="28500"/>
    <n v="0.42092982456140349"/>
  </r>
  <r>
    <n v="2020"/>
    <x v="11"/>
    <n v="9"/>
    <x v="13"/>
    <n v="10284.5"/>
    <n v="28500"/>
    <n v="0.36085964912280699"/>
  </r>
  <r>
    <n v="2020"/>
    <x v="11"/>
    <n v="9"/>
    <x v="14"/>
    <n v="3152.5"/>
    <n v="28500"/>
    <n v="0.1106140350877193"/>
  </r>
  <r>
    <n v="2020"/>
    <x v="11"/>
    <n v="9"/>
    <x v="15"/>
    <n v="1322.5"/>
    <n v="28500"/>
    <n v="4.6403508771929822E-2"/>
  </r>
  <r>
    <n v="2020"/>
    <x v="11"/>
    <n v="9"/>
    <x v="16"/>
    <n v="0"/>
    <n v="28500"/>
    <n v="0"/>
  </r>
  <r>
    <n v="2020"/>
    <x v="11"/>
    <n v="9"/>
    <x v="17"/>
    <n v="0"/>
    <n v="28500"/>
    <n v="0"/>
  </r>
  <r>
    <n v="2020"/>
    <x v="11"/>
    <n v="9"/>
    <x v="18"/>
    <n v="0"/>
    <n v="28500"/>
    <n v="0"/>
  </r>
  <r>
    <n v="2020"/>
    <x v="11"/>
    <n v="9"/>
    <x v="19"/>
    <n v="0"/>
    <n v="28500"/>
    <n v="0"/>
  </r>
  <r>
    <n v="2020"/>
    <x v="11"/>
    <n v="9"/>
    <x v="20"/>
    <n v="0"/>
    <n v="28500"/>
    <n v="0"/>
  </r>
  <r>
    <n v="2020"/>
    <x v="11"/>
    <n v="9"/>
    <x v="21"/>
    <n v="0"/>
    <n v="28500"/>
    <n v="0"/>
  </r>
  <r>
    <n v="2020"/>
    <x v="11"/>
    <n v="9"/>
    <x v="22"/>
    <n v="0"/>
    <n v="28500"/>
    <n v="0"/>
  </r>
  <r>
    <n v="2020"/>
    <x v="11"/>
    <n v="9"/>
    <x v="23"/>
    <n v="0"/>
    <n v="28500"/>
    <n v="0"/>
  </r>
  <r>
    <n v="2020"/>
    <x v="11"/>
    <n v="10"/>
    <x v="0"/>
    <n v="0"/>
    <n v="28500"/>
    <n v="0"/>
  </r>
  <r>
    <n v="2020"/>
    <x v="11"/>
    <n v="10"/>
    <x v="1"/>
    <n v="0"/>
    <n v="28500"/>
    <n v="0"/>
  </r>
  <r>
    <n v="2020"/>
    <x v="11"/>
    <n v="10"/>
    <x v="2"/>
    <n v="0"/>
    <n v="28500"/>
    <n v="0"/>
  </r>
  <r>
    <n v="2020"/>
    <x v="11"/>
    <n v="10"/>
    <x v="3"/>
    <n v="0"/>
    <n v="28500"/>
    <n v="0"/>
  </r>
  <r>
    <n v="2020"/>
    <x v="11"/>
    <n v="10"/>
    <x v="4"/>
    <n v="0"/>
    <n v="28500"/>
    <n v="0"/>
  </r>
  <r>
    <n v="2020"/>
    <x v="11"/>
    <n v="10"/>
    <x v="5"/>
    <n v="0"/>
    <n v="28500"/>
    <n v="0"/>
  </r>
  <r>
    <n v="2020"/>
    <x v="11"/>
    <n v="10"/>
    <x v="6"/>
    <n v="0"/>
    <n v="28500"/>
    <n v="0"/>
  </r>
  <r>
    <n v="2020"/>
    <x v="11"/>
    <n v="10"/>
    <x v="7"/>
    <n v="0"/>
    <n v="28500"/>
    <n v="0"/>
  </r>
  <r>
    <n v="2020"/>
    <x v="11"/>
    <n v="10"/>
    <x v="8"/>
    <n v="0"/>
    <n v="28500"/>
    <n v="0"/>
  </r>
  <r>
    <n v="2020"/>
    <x v="11"/>
    <n v="10"/>
    <x v="9"/>
    <n v="491.5"/>
    <n v="28500"/>
    <n v="1.724561403508772E-2"/>
  </r>
  <r>
    <n v="2020"/>
    <x v="11"/>
    <n v="10"/>
    <x v="10"/>
    <n v="1023.5"/>
    <n v="28500"/>
    <n v="3.5912280701754389E-2"/>
  </r>
  <r>
    <n v="2020"/>
    <x v="11"/>
    <n v="10"/>
    <x v="11"/>
    <n v="1559.5"/>
    <n v="28500"/>
    <n v="5.4719298245614036E-2"/>
  </r>
  <r>
    <n v="2020"/>
    <x v="11"/>
    <n v="10"/>
    <x v="12"/>
    <n v="1741"/>
    <n v="28500"/>
    <n v="6.1087719298245614E-2"/>
  </r>
  <r>
    <n v="2020"/>
    <x v="11"/>
    <n v="10"/>
    <x v="13"/>
    <n v="1927.5"/>
    <n v="28500"/>
    <n v="6.7631578947368418E-2"/>
  </r>
  <r>
    <n v="2020"/>
    <x v="11"/>
    <n v="10"/>
    <x v="14"/>
    <n v="519"/>
    <n v="28500"/>
    <n v="1.8210526315789472E-2"/>
  </r>
  <r>
    <n v="2020"/>
    <x v="11"/>
    <n v="10"/>
    <x v="15"/>
    <n v="519"/>
    <n v="28500"/>
    <n v="1.8210526315789472E-2"/>
  </r>
  <r>
    <n v="2020"/>
    <x v="11"/>
    <n v="10"/>
    <x v="16"/>
    <n v="0"/>
    <n v="28500"/>
    <n v="0"/>
  </r>
  <r>
    <n v="2020"/>
    <x v="11"/>
    <n v="10"/>
    <x v="17"/>
    <n v="0"/>
    <n v="28500"/>
    <n v="0"/>
  </r>
  <r>
    <n v="2020"/>
    <x v="11"/>
    <n v="10"/>
    <x v="18"/>
    <n v="0"/>
    <n v="28500"/>
    <n v="0"/>
  </r>
  <r>
    <n v="2020"/>
    <x v="11"/>
    <n v="10"/>
    <x v="19"/>
    <n v="0"/>
    <n v="28500"/>
    <n v="0"/>
  </r>
  <r>
    <n v="2020"/>
    <x v="11"/>
    <n v="10"/>
    <x v="20"/>
    <n v="0"/>
    <n v="28500"/>
    <n v="0"/>
  </r>
  <r>
    <n v="2020"/>
    <x v="11"/>
    <n v="10"/>
    <x v="21"/>
    <n v="0"/>
    <n v="28500"/>
    <n v="0"/>
  </r>
  <r>
    <n v="2020"/>
    <x v="11"/>
    <n v="10"/>
    <x v="22"/>
    <n v="0"/>
    <n v="28500"/>
    <n v="0"/>
  </r>
  <r>
    <n v="2020"/>
    <x v="11"/>
    <n v="10"/>
    <x v="23"/>
    <n v="0"/>
    <n v="28500"/>
    <n v="0"/>
  </r>
  <r>
    <n v="2020"/>
    <x v="11"/>
    <n v="11"/>
    <x v="0"/>
    <n v="0"/>
    <n v="28500"/>
    <n v="0"/>
  </r>
  <r>
    <n v="2020"/>
    <x v="11"/>
    <n v="11"/>
    <x v="1"/>
    <n v="0"/>
    <n v="28500"/>
    <n v="0"/>
  </r>
  <r>
    <n v="2020"/>
    <x v="11"/>
    <n v="11"/>
    <x v="2"/>
    <n v="0"/>
    <n v="28500"/>
    <n v="0"/>
  </r>
  <r>
    <n v="2020"/>
    <x v="11"/>
    <n v="11"/>
    <x v="3"/>
    <n v="0"/>
    <n v="28500"/>
    <n v="0"/>
  </r>
  <r>
    <n v="2020"/>
    <x v="11"/>
    <n v="11"/>
    <x v="4"/>
    <n v="0"/>
    <n v="28500"/>
    <n v="0"/>
  </r>
  <r>
    <n v="2020"/>
    <x v="11"/>
    <n v="11"/>
    <x v="5"/>
    <n v="0"/>
    <n v="28500"/>
    <n v="0"/>
  </r>
  <r>
    <n v="2020"/>
    <x v="11"/>
    <n v="11"/>
    <x v="6"/>
    <n v="0"/>
    <n v="28500"/>
    <n v="0"/>
  </r>
  <r>
    <n v="2020"/>
    <x v="11"/>
    <n v="11"/>
    <x v="7"/>
    <n v="0"/>
    <n v="28500"/>
    <n v="0"/>
  </r>
  <r>
    <n v="2020"/>
    <x v="11"/>
    <n v="11"/>
    <x v="8"/>
    <n v="0"/>
    <n v="28500"/>
    <n v="0"/>
  </r>
  <r>
    <n v="2020"/>
    <x v="11"/>
    <n v="11"/>
    <x v="9"/>
    <n v="7933"/>
    <n v="28500"/>
    <n v="0.27835087719298246"/>
  </r>
  <r>
    <n v="2020"/>
    <x v="11"/>
    <n v="11"/>
    <x v="10"/>
    <n v="6172.5"/>
    <n v="28500"/>
    <n v="0.21657894736842107"/>
  </r>
  <r>
    <n v="2020"/>
    <x v="11"/>
    <n v="11"/>
    <x v="11"/>
    <n v="735"/>
    <n v="28500"/>
    <n v="2.5789473684210525E-2"/>
  </r>
  <r>
    <n v="2020"/>
    <x v="11"/>
    <n v="11"/>
    <x v="12"/>
    <n v="1422"/>
    <n v="28500"/>
    <n v="4.9894736842105263E-2"/>
  </r>
  <r>
    <n v="2020"/>
    <x v="11"/>
    <n v="11"/>
    <x v="13"/>
    <n v="5929.5"/>
    <n v="28500"/>
    <n v="0.20805263157894738"/>
  </r>
  <r>
    <n v="2020"/>
    <x v="11"/>
    <n v="11"/>
    <x v="14"/>
    <n v="2485.5"/>
    <n v="28500"/>
    <n v="8.7210526315789474E-2"/>
  </r>
  <r>
    <n v="2020"/>
    <x v="11"/>
    <n v="11"/>
    <x v="15"/>
    <n v="5962.5"/>
    <n v="28500"/>
    <n v="0.20921052631578949"/>
  </r>
  <r>
    <n v="2020"/>
    <x v="11"/>
    <n v="11"/>
    <x v="16"/>
    <n v="0"/>
    <n v="28500"/>
    <n v="0"/>
  </r>
  <r>
    <n v="2020"/>
    <x v="11"/>
    <n v="11"/>
    <x v="17"/>
    <n v="0"/>
    <n v="28500"/>
    <n v="0"/>
  </r>
  <r>
    <n v="2020"/>
    <x v="11"/>
    <n v="11"/>
    <x v="18"/>
    <n v="0"/>
    <n v="28500"/>
    <n v="0"/>
  </r>
  <r>
    <n v="2020"/>
    <x v="11"/>
    <n v="11"/>
    <x v="19"/>
    <n v="0"/>
    <n v="28500"/>
    <n v="0"/>
  </r>
  <r>
    <n v="2020"/>
    <x v="11"/>
    <n v="11"/>
    <x v="20"/>
    <n v="0"/>
    <n v="28500"/>
    <n v="0"/>
  </r>
  <r>
    <n v="2020"/>
    <x v="11"/>
    <n v="11"/>
    <x v="21"/>
    <n v="0"/>
    <n v="28500"/>
    <n v="0"/>
  </r>
  <r>
    <n v="2020"/>
    <x v="11"/>
    <n v="11"/>
    <x v="22"/>
    <n v="0"/>
    <n v="28500"/>
    <n v="0"/>
  </r>
  <r>
    <n v="2020"/>
    <x v="11"/>
    <n v="11"/>
    <x v="23"/>
    <n v="0"/>
    <n v="28500"/>
    <n v="0"/>
  </r>
  <r>
    <n v="2020"/>
    <x v="11"/>
    <n v="12"/>
    <x v="0"/>
    <n v="0"/>
    <n v="28500"/>
    <n v="0"/>
  </r>
  <r>
    <n v="2020"/>
    <x v="11"/>
    <n v="12"/>
    <x v="1"/>
    <n v="0"/>
    <n v="28500"/>
    <n v="0"/>
  </r>
  <r>
    <n v="2020"/>
    <x v="11"/>
    <n v="12"/>
    <x v="2"/>
    <n v="0"/>
    <n v="28500"/>
    <n v="0"/>
  </r>
  <r>
    <n v="2020"/>
    <x v="11"/>
    <n v="12"/>
    <x v="3"/>
    <n v="0"/>
    <n v="28500"/>
    <n v="0"/>
  </r>
  <r>
    <n v="2020"/>
    <x v="11"/>
    <n v="12"/>
    <x v="4"/>
    <n v="0"/>
    <n v="28500"/>
    <n v="0"/>
  </r>
  <r>
    <n v="2020"/>
    <x v="11"/>
    <n v="12"/>
    <x v="5"/>
    <n v="0"/>
    <n v="28500"/>
    <n v="0"/>
  </r>
  <r>
    <n v="2020"/>
    <x v="11"/>
    <n v="12"/>
    <x v="6"/>
    <n v="0"/>
    <n v="28500"/>
    <n v="0"/>
  </r>
  <r>
    <n v="2020"/>
    <x v="11"/>
    <n v="12"/>
    <x v="7"/>
    <n v="0"/>
    <n v="28500"/>
    <n v="0"/>
  </r>
  <r>
    <n v="2020"/>
    <x v="11"/>
    <n v="12"/>
    <x v="8"/>
    <n v="0"/>
    <n v="28500"/>
    <n v="0"/>
  </r>
  <r>
    <n v="2020"/>
    <x v="11"/>
    <n v="12"/>
    <x v="9"/>
    <n v="1433"/>
    <n v="28500"/>
    <n v="5.0280701754385967E-2"/>
  </r>
  <r>
    <n v="2020"/>
    <x v="11"/>
    <n v="12"/>
    <x v="10"/>
    <n v="2510"/>
    <n v="28500"/>
    <n v="8.8070175438596493E-2"/>
  </r>
  <r>
    <n v="2020"/>
    <x v="11"/>
    <n v="12"/>
    <x v="11"/>
    <n v="2531"/>
    <n v="28500"/>
    <n v="8.8807017543859654E-2"/>
  </r>
  <r>
    <n v="2020"/>
    <x v="11"/>
    <n v="12"/>
    <x v="12"/>
    <n v="2031.5"/>
    <n v="28500"/>
    <n v="7.1280701754385958E-2"/>
  </r>
  <r>
    <n v="2020"/>
    <x v="11"/>
    <n v="12"/>
    <x v="13"/>
    <n v="1406"/>
    <n v="28500"/>
    <n v="4.9333333333333333E-2"/>
  </r>
  <r>
    <n v="2020"/>
    <x v="11"/>
    <n v="12"/>
    <x v="14"/>
    <n v="120.5"/>
    <n v="28500"/>
    <n v="4.2280701754385964E-3"/>
  </r>
  <r>
    <n v="2020"/>
    <x v="11"/>
    <n v="12"/>
    <x v="15"/>
    <n v="97.5"/>
    <n v="28500"/>
    <n v="3.4210526315789475E-3"/>
  </r>
  <r>
    <n v="2020"/>
    <x v="11"/>
    <n v="12"/>
    <x v="16"/>
    <n v="0"/>
    <n v="28500"/>
    <n v="0"/>
  </r>
  <r>
    <n v="2020"/>
    <x v="11"/>
    <n v="12"/>
    <x v="17"/>
    <n v="0"/>
    <n v="28500"/>
    <n v="0"/>
  </r>
  <r>
    <n v="2020"/>
    <x v="11"/>
    <n v="12"/>
    <x v="18"/>
    <n v="0"/>
    <n v="28500"/>
    <n v="0"/>
  </r>
  <r>
    <n v="2020"/>
    <x v="11"/>
    <n v="12"/>
    <x v="19"/>
    <n v="0"/>
    <n v="28500"/>
    <n v="0"/>
  </r>
  <r>
    <n v="2020"/>
    <x v="11"/>
    <n v="12"/>
    <x v="20"/>
    <n v="0"/>
    <n v="28500"/>
    <n v="0"/>
  </r>
  <r>
    <n v="2020"/>
    <x v="11"/>
    <n v="12"/>
    <x v="21"/>
    <n v="0"/>
    <n v="28500"/>
    <n v="0"/>
  </r>
  <r>
    <n v="2020"/>
    <x v="11"/>
    <n v="12"/>
    <x v="22"/>
    <n v="0"/>
    <n v="28500"/>
    <n v="0"/>
  </r>
  <r>
    <n v="2020"/>
    <x v="11"/>
    <n v="12"/>
    <x v="23"/>
    <n v="0"/>
    <n v="28500"/>
    <n v="0"/>
  </r>
  <r>
    <n v="2020"/>
    <x v="11"/>
    <n v="13"/>
    <x v="0"/>
    <n v="0"/>
    <n v="28500"/>
    <n v="0"/>
  </r>
  <r>
    <n v="2020"/>
    <x v="11"/>
    <n v="13"/>
    <x v="1"/>
    <n v="0"/>
    <n v="28500"/>
    <n v="0"/>
  </r>
  <r>
    <n v="2020"/>
    <x v="11"/>
    <n v="13"/>
    <x v="2"/>
    <n v="0"/>
    <n v="28500"/>
    <n v="0"/>
  </r>
  <r>
    <n v="2020"/>
    <x v="11"/>
    <n v="13"/>
    <x v="3"/>
    <n v="0"/>
    <n v="28500"/>
    <n v="0"/>
  </r>
  <r>
    <n v="2020"/>
    <x v="11"/>
    <n v="13"/>
    <x v="4"/>
    <n v="0"/>
    <n v="28500"/>
    <n v="0"/>
  </r>
  <r>
    <n v="2020"/>
    <x v="11"/>
    <n v="13"/>
    <x v="5"/>
    <n v="0"/>
    <n v="28500"/>
    <n v="0"/>
  </r>
  <r>
    <n v="2020"/>
    <x v="11"/>
    <n v="13"/>
    <x v="6"/>
    <n v="0"/>
    <n v="28500"/>
    <n v="0"/>
  </r>
  <r>
    <n v="2020"/>
    <x v="11"/>
    <n v="13"/>
    <x v="7"/>
    <n v="0"/>
    <n v="28500"/>
    <n v="0"/>
  </r>
  <r>
    <n v="2020"/>
    <x v="11"/>
    <n v="13"/>
    <x v="8"/>
    <n v="0"/>
    <n v="28500"/>
    <n v="0"/>
  </r>
  <r>
    <n v="2020"/>
    <x v="11"/>
    <n v="13"/>
    <x v="9"/>
    <n v="2727.5"/>
    <n v="28500"/>
    <n v="9.5701754385964913E-2"/>
  </r>
  <r>
    <n v="2020"/>
    <x v="11"/>
    <n v="13"/>
    <x v="10"/>
    <n v="1091"/>
    <n v="28500"/>
    <n v="3.8280701754385964E-2"/>
  </r>
  <r>
    <n v="2020"/>
    <x v="11"/>
    <n v="13"/>
    <x v="11"/>
    <n v="1409"/>
    <n v="28500"/>
    <n v="4.9438596491228073E-2"/>
  </r>
  <r>
    <n v="2020"/>
    <x v="11"/>
    <n v="13"/>
    <x v="12"/>
    <n v="549"/>
    <n v="28500"/>
    <n v="1.9263157894736843E-2"/>
  </r>
  <r>
    <n v="2020"/>
    <x v="11"/>
    <n v="13"/>
    <x v="13"/>
    <n v="455"/>
    <n v="28500"/>
    <n v="1.5964912280701755E-2"/>
  </r>
  <r>
    <n v="2020"/>
    <x v="11"/>
    <n v="13"/>
    <x v="14"/>
    <n v="610.5"/>
    <n v="28500"/>
    <n v="2.1421052631578948E-2"/>
  </r>
  <r>
    <n v="2020"/>
    <x v="11"/>
    <n v="13"/>
    <x v="15"/>
    <n v="0"/>
    <n v="28500"/>
    <n v="0"/>
  </r>
  <r>
    <n v="2020"/>
    <x v="11"/>
    <n v="13"/>
    <x v="16"/>
    <n v="0"/>
    <n v="28500"/>
    <n v="0"/>
  </r>
  <r>
    <n v="2020"/>
    <x v="11"/>
    <n v="13"/>
    <x v="17"/>
    <n v="0"/>
    <n v="28500"/>
    <n v="0"/>
  </r>
  <r>
    <n v="2020"/>
    <x v="11"/>
    <n v="13"/>
    <x v="18"/>
    <n v="0"/>
    <n v="28500"/>
    <n v="0"/>
  </r>
  <r>
    <n v="2020"/>
    <x v="11"/>
    <n v="13"/>
    <x v="19"/>
    <n v="0"/>
    <n v="28500"/>
    <n v="0"/>
  </r>
  <r>
    <n v="2020"/>
    <x v="11"/>
    <n v="13"/>
    <x v="20"/>
    <n v="0"/>
    <n v="28500"/>
    <n v="0"/>
  </r>
  <r>
    <n v="2020"/>
    <x v="11"/>
    <n v="13"/>
    <x v="21"/>
    <n v="0"/>
    <n v="28500"/>
    <n v="0"/>
  </r>
  <r>
    <n v="2020"/>
    <x v="11"/>
    <n v="13"/>
    <x v="22"/>
    <n v="0"/>
    <n v="28500"/>
    <n v="0"/>
  </r>
  <r>
    <n v="2020"/>
    <x v="11"/>
    <n v="13"/>
    <x v="23"/>
    <n v="0"/>
    <n v="28500"/>
    <n v="0"/>
  </r>
  <r>
    <n v="2020"/>
    <x v="11"/>
    <n v="14"/>
    <x v="0"/>
    <n v="0"/>
    <n v="28500"/>
    <n v="0"/>
  </r>
  <r>
    <n v="2020"/>
    <x v="11"/>
    <n v="14"/>
    <x v="1"/>
    <n v="0"/>
    <n v="28500"/>
    <n v="0"/>
  </r>
  <r>
    <n v="2020"/>
    <x v="11"/>
    <n v="14"/>
    <x v="2"/>
    <n v="0"/>
    <n v="28500"/>
    <n v="0"/>
  </r>
  <r>
    <n v="2020"/>
    <x v="11"/>
    <n v="14"/>
    <x v="3"/>
    <n v="0"/>
    <n v="28500"/>
    <n v="0"/>
  </r>
  <r>
    <n v="2020"/>
    <x v="11"/>
    <n v="14"/>
    <x v="4"/>
    <n v="0"/>
    <n v="28500"/>
    <n v="0"/>
  </r>
  <r>
    <n v="2020"/>
    <x v="11"/>
    <n v="14"/>
    <x v="5"/>
    <n v="0"/>
    <n v="28500"/>
    <n v="0"/>
  </r>
  <r>
    <n v="2020"/>
    <x v="11"/>
    <n v="14"/>
    <x v="6"/>
    <n v="0"/>
    <n v="28500"/>
    <n v="0"/>
  </r>
  <r>
    <n v="2020"/>
    <x v="11"/>
    <n v="14"/>
    <x v="7"/>
    <n v="0"/>
    <n v="28500"/>
    <n v="0"/>
  </r>
  <r>
    <n v="2020"/>
    <x v="11"/>
    <n v="14"/>
    <x v="8"/>
    <n v="0"/>
    <n v="28500"/>
    <n v="0"/>
  </r>
  <r>
    <n v="2020"/>
    <x v="11"/>
    <n v="14"/>
    <x v="9"/>
    <n v="10752"/>
    <n v="28500"/>
    <n v="0.37726315789473686"/>
  </r>
  <r>
    <n v="2020"/>
    <x v="11"/>
    <n v="14"/>
    <x v="10"/>
    <n v="14211.5"/>
    <n v="28500"/>
    <n v="0.49864912280701756"/>
  </r>
  <r>
    <n v="2020"/>
    <x v="11"/>
    <n v="14"/>
    <x v="11"/>
    <n v="2040.5"/>
    <n v="28500"/>
    <n v="7.1596491228070172E-2"/>
  </r>
  <r>
    <n v="2020"/>
    <x v="11"/>
    <n v="14"/>
    <x v="12"/>
    <n v="19807.5"/>
    <n v="28500"/>
    <n v="0.69499999999999995"/>
  </r>
  <r>
    <n v="2020"/>
    <x v="11"/>
    <n v="14"/>
    <x v="13"/>
    <n v="8004"/>
    <n v="28500"/>
    <n v="0.28084210526315789"/>
  </r>
  <r>
    <n v="2020"/>
    <x v="11"/>
    <n v="14"/>
    <x v="14"/>
    <n v="2827"/>
    <n v="28500"/>
    <n v="9.9192982456140347E-2"/>
  </r>
  <r>
    <n v="2020"/>
    <x v="11"/>
    <n v="14"/>
    <x v="15"/>
    <n v="616.5"/>
    <n v="28500"/>
    <n v="2.1631578947368422E-2"/>
  </r>
  <r>
    <n v="2020"/>
    <x v="11"/>
    <n v="14"/>
    <x v="16"/>
    <n v="0"/>
    <n v="28500"/>
    <n v="0"/>
  </r>
  <r>
    <n v="2020"/>
    <x v="11"/>
    <n v="14"/>
    <x v="17"/>
    <n v="0"/>
    <n v="28500"/>
    <n v="0"/>
  </r>
  <r>
    <n v="2020"/>
    <x v="11"/>
    <n v="14"/>
    <x v="18"/>
    <n v="0"/>
    <n v="28500"/>
    <n v="0"/>
  </r>
  <r>
    <n v="2020"/>
    <x v="11"/>
    <n v="14"/>
    <x v="19"/>
    <n v="0"/>
    <n v="28500"/>
    <n v="0"/>
  </r>
  <r>
    <n v="2020"/>
    <x v="11"/>
    <n v="14"/>
    <x v="20"/>
    <n v="0"/>
    <n v="28500"/>
    <n v="0"/>
  </r>
  <r>
    <n v="2020"/>
    <x v="11"/>
    <n v="14"/>
    <x v="21"/>
    <n v="0"/>
    <n v="28500"/>
    <n v="0"/>
  </r>
  <r>
    <n v="2020"/>
    <x v="11"/>
    <n v="14"/>
    <x v="22"/>
    <n v="0"/>
    <n v="28500"/>
    <n v="0"/>
  </r>
  <r>
    <n v="2020"/>
    <x v="11"/>
    <n v="14"/>
    <x v="23"/>
    <n v="0"/>
    <n v="28500"/>
    <n v="0"/>
  </r>
  <r>
    <n v="2020"/>
    <x v="11"/>
    <n v="15"/>
    <x v="0"/>
    <n v="0"/>
    <n v="28500"/>
    <n v="0"/>
  </r>
  <r>
    <n v="2020"/>
    <x v="11"/>
    <n v="15"/>
    <x v="1"/>
    <n v="0"/>
    <n v="28500"/>
    <n v="0"/>
  </r>
  <r>
    <n v="2020"/>
    <x v="11"/>
    <n v="15"/>
    <x v="2"/>
    <n v="0"/>
    <n v="28500"/>
    <n v="0"/>
  </r>
  <r>
    <n v="2020"/>
    <x v="11"/>
    <n v="15"/>
    <x v="3"/>
    <n v="0"/>
    <n v="28500"/>
    <n v="0"/>
  </r>
  <r>
    <n v="2020"/>
    <x v="11"/>
    <n v="15"/>
    <x v="4"/>
    <n v="0"/>
    <n v="28500"/>
    <n v="0"/>
  </r>
  <r>
    <n v="2020"/>
    <x v="11"/>
    <n v="15"/>
    <x v="5"/>
    <n v="0"/>
    <n v="28500"/>
    <n v="0"/>
  </r>
  <r>
    <n v="2020"/>
    <x v="11"/>
    <n v="15"/>
    <x v="6"/>
    <n v="0"/>
    <n v="28500"/>
    <n v="0"/>
  </r>
  <r>
    <n v="2020"/>
    <x v="11"/>
    <n v="15"/>
    <x v="7"/>
    <n v="0"/>
    <n v="28500"/>
    <n v="0"/>
  </r>
  <r>
    <n v="2020"/>
    <x v="11"/>
    <n v="15"/>
    <x v="8"/>
    <n v="0"/>
    <n v="28500"/>
    <n v="0"/>
  </r>
  <r>
    <n v="2020"/>
    <x v="11"/>
    <n v="15"/>
    <x v="9"/>
    <n v="8466"/>
    <n v="28500"/>
    <n v="0.29705263157894735"/>
  </r>
  <r>
    <n v="2020"/>
    <x v="11"/>
    <n v="15"/>
    <x v="10"/>
    <n v="21292.5"/>
    <n v="28500"/>
    <n v="0.74710526315789472"/>
  </r>
  <r>
    <n v="2020"/>
    <x v="11"/>
    <n v="15"/>
    <x v="11"/>
    <n v="28353.5"/>
    <n v="28500"/>
    <n v="0.994859649122807"/>
  </r>
  <r>
    <n v="2020"/>
    <x v="11"/>
    <n v="15"/>
    <x v="12"/>
    <n v="3827"/>
    <n v="28500"/>
    <n v="0.13428070175438597"/>
  </r>
  <r>
    <n v="2020"/>
    <x v="11"/>
    <n v="15"/>
    <x v="13"/>
    <n v="274"/>
    <n v="28500"/>
    <n v="9.6140350877192988E-3"/>
  </r>
  <r>
    <n v="2020"/>
    <x v="11"/>
    <n v="15"/>
    <x v="14"/>
    <n v="18175.5"/>
    <n v="28500"/>
    <n v="0.63773684210526316"/>
  </r>
  <r>
    <n v="2020"/>
    <x v="11"/>
    <n v="15"/>
    <x v="15"/>
    <n v="2076"/>
    <n v="28500"/>
    <n v="7.2842105263157889E-2"/>
  </r>
  <r>
    <n v="2020"/>
    <x v="11"/>
    <n v="15"/>
    <x v="16"/>
    <n v="0"/>
    <n v="28500"/>
    <n v="0"/>
  </r>
  <r>
    <n v="2020"/>
    <x v="11"/>
    <n v="15"/>
    <x v="17"/>
    <n v="0"/>
    <n v="28500"/>
    <n v="0"/>
  </r>
  <r>
    <n v="2020"/>
    <x v="11"/>
    <n v="15"/>
    <x v="18"/>
    <n v="0"/>
    <n v="28500"/>
    <n v="0"/>
  </r>
  <r>
    <n v="2020"/>
    <x v="11"/>
    <n v="15"/>
    <x v="19"/>
    <n v="0"/>
    <n v="28500"/>
    <n v="0"/>
  </r>
  <r>
    <n v="2020"/>
    <x v="11"/>
    <n v="15"/>
    <x v="20"/>
    <n v="0"/>
    <n v="28500"/>
    <n v="0"/>
  </r>
  <r>
    <n v="2020"/>
    <x v="11"/>
    <n v="15"/>
    <x v="21"/>
    <n v="0"/>
    <n v="28500"/>
    <n v="0"/>
  </r>
  <r>
    <n v="2020"/>
    <x v="11"/>
    <n v="15"/>
    <x v="22"/>
    <n v="0"/>
    <n v="28500"/>
    <n v="0"/>
  </r>
  <r>
    <n v="2020"/>
    <x v="11"/>
    <n v="15"/>
    <x v="23"/>
    <n v="0"/>
    <n v="28500"/>
    <n v="0"/>
  </r>
  <r>
    <n v="2020"/>
    <x v="11"/>
    <n v="16"/>
    <x v="0"/>
    <n v="0"/>
    <n v="28500"/>
    <n v="0"/>
  </r>
  <r>
    <n v="2020"/>
    <x v="11"/>
    <n v="16"/>
    <x v="1"/>
    <n v="0"/>
    <n v="28500"/>
    <n v="0"/>
  </r>
  <r>
    <n v="2020"/>
    <x v="11"/>
    <n v="16"/>
    <x v="2"/>
    <n v="0"/>
    <n v="28500"/>
    <n v="0"/>
  </r>
  <r>
    <n v="2020"/>
    <x v="11"/>
    <n v="16"/>
    <x v="3"/>
    <n v="0"/>
    <n v="28500"/>
    <n v="0"/>
  </r>
  <r>
    <n v="2020"/>
    <x v="11"/>
    <n v="16"/>
    <x v="4"/>
    <n v="0"/>
    <n v="28500"/>
    <n v="0"/>
  </r>
  <r>
    <n v="2020"/>
    <x v="11"/>
    <n v="16"/>
    <x v="5"/>
    <n v="0"/>
    <n v="28500"/>
    <n v="0"/>
  </r>
  <r>
    <n v="2020"/>
    <x v="11"/>
    <n v="16"/>
    <x v="6"/>
    <n v="0"/>
    <n v="28500"/>
    <n v="0"/>
  </r>
  <r>
    <n v="2020"/>
    <x v="11"/>
    <n v="16"/>
    <x v="7"/>
    <n v="0"/>
    <n v="28500"/>
    <n v="0"/>
  </r>
  <r>
    <n v="2020"/>
    <x v="11"/>
    <n v="16"/>
    <x v="8"/>
    <n v="0"/>
    <n v="28500"/>
    <n v="0"/>
  </r>
  <r>
    <n v="2020"/>
    <x v="11"/>
    <n v="16"/>
    <x v="9"/>
    <n v="13438.5"/>
    <n v="28500"/>
    <n v="0.47152631578947368"/>
  </r>
  <r>
    <n v="2020"/>
    <x v="11"/>
    <n v="16"/>
    <x v="10"/>
    <n v="17811"/>
    <n v="28500"/>
    <n v="0.62494736842105258"/>
  </r>
  <r>
    <n v="2020"/>
    <x v="11"/>
    <n v="16"/>
    <x v="11"/>
    <n v="25908"/>
    <n v="28500"/>
    <n v="0.90905263157894733"/>
  </r>
  <r>
    <n v="2020"/>
    <x v="11"/>
    <n v="16"/>
    <x v="12"/>
    <n v="6123"/>
    <n v="28500"/>
    <n v="0.21484210526315789"/>
  </r>
  <r>
    <n v="2020"/>
    <x v="11"/>
    <n v="16"/>
    <x v="13"/>
    <n v="2259.5"/>
    <n v="28500"/>
    <n v="7.9280701754385965E-2"/>
  </r>
  <r>
    <n v="2020"/>
    <x v="11"/>
    <n v="16"/>
    <x v="14"/>
    <n v="3591"/>
    <n v="28500"/>
    <n v="0.126"/>
  </r>
  <r>
    <n v="2020"/>
    <x v="11"/>
    <n v="16"/>
    <x v="15"/>
    <n v="586.5"/>
    <n v="28500"/>
    <n v="2.0578947368421054E-2"/>
  </r>
  <r>
    <n v="2020"/>
    <x v="11"/>
    <n v="16"/>
    <x v="16"/>
    <n v="0"/>
    <n v="28500"/>
    <n v="0"/>
  </r>
  <r>
    <n v="2020"/>
    <x v="11"/>
    <n v="16"/>
    <x v="17"/>
    <n v="0"/>
    <n v="28500"/>
    <n v="0"/>
  </r>
  <r>
    <n v="2020"/>
    <x v="11"/>
    <n v="16"/>
    <x v="18"/>
    <n v="0"/>
    <n v="28500"/>
    <n v="0"/>
  </r>
  <r>
    <n v="2020"/>
    <x v="11"/>
    <n v="16"/>
    <x v="19"/>
    <n v="0"/>
    <n v="28500"/>
    <n v="0"/>
  </r>
  <r>
    <n v="2020"/>
    <x v="11"/>
    <n v="16"/>
    <x v="20"/>
    <n v="0"/>
    <n v="28500"/>
    <n v="0"/>
  </r>
  <r>
    <n v="2020"/>
    <x v="11"/>
    <n v="16"/>
    <x v="21"/>
    <n v="0"/>
    <n v="28500"/>
    <n v="0"/>
  </r>
  <r>
    <n v="2020"/>
    <x v="11"/>
    <n v="16"/>
    <x v="22"/>
    <n v="0"/>
    <n v="28500"/>
    <n v="0"/>
  </r>
  <r>
    <n v="2020"/>
    <x v="11"/>
    <n v="16"/>
    <x v="23"/>
    <n v="0"/>
    <n v="28500"/>
    <n v="0"/>
  </r>
  <r>
    <n v="2020"/>
    <x v="11"/>
    <n v="17"/>
    <x v="0"/>
    <n v="0"/>
    <n v="28500"/>
    <n v="0"/>
  </r>
  <r>
    <n v="2020"/>
    <x v="11"/>
    <n v="17"/>
    <x v="1"/>
    <n v="0"/>
    <n v="28500"/>
    <n v="0"/>
  </r>
  <r>
    <n v="2020"/>
    <x v="11"/>
    <n v="17"/>
    <x v="2"/>
    <n v="0"/>
    <n v="28500"/>
    <n v="0"/>
  </r>
  <r>
    <n v="2020"/>
    <x v="11"/>
    <n v="17"/>
    <x v="3"/>
    <n v="0"/>
    <n v="28500"/>
    <n v="0"/>
  </r>
  <r>
    <n v="2020"/>
    <x v="11"/>
    <n v="17"/>
    <x v="4"/>
    <n v="0"/>
    <n v="28500"/>
    <n v="0"/>
  </r>
  <r>
    <n v="2020"/>
    <x v="11"/>
    <n v="17"/>
    <x v="5"/>
    <n v="0"/>
    <n v="28500"/>
    <n v="0"/>
  </r>
  <r>
    <n v="2020"/>
    <x v="11"/>
    <n v="17"/>
    <x v="6"/>
    <n v="0"/>
    <n v="28500"/>
    <n v="0"/>
  </r>
  <r>
    <n v="2020"/>
    <x v="11"/>
    <n v="17"/>
    <x v="7"/>
    <n v="0"/>
    <n v="28500"/>
    <n v="0"/>
  </r>
  <r>
    <n v="2020"/>
    <x v="11"/>
    <n v="17"/>
    <x v="8"/>
    <n v="0"/>
    <n v="28500"/>
    <n v="0"/>
  </r>
  <r>
    <n v="2020"/>
    <x v="11"/>
    <n v="17"/>
    <x v="9"/>
    <n v="13405"/>
    <n v="28500"/>
    <n v="0.47035087719298246"/>
  </r>
  <r>
    <n v="2020"/>
    <x v="11"/>
    <n v="17"/>
    <x v="10"/>
    <n v="22968"/>
    <n v="28500"/>
    <n v="0.80589473684210522"/>
  </r>
  <r>
    <n v="2020"/>
    <x v="11"/>
    <n v="17"/>
    <x v="11"/>
    <n v="29157.5"/>
    <n v="28500"/>
    <n v="1.0230701754385965"/>
  </r>
  <r>
    <n v="2020"/>
    <x v="11"/>
    <n v="17"/>
    <x v="12"/>
    <n v="20774"/>
    <n v="28500"/>
    <n v="0.7289122807017544"/>
  </r>
  <r>
    <n v="2020"/>
    <x v="11"/>
    <n v="17"/>
    <x v="13"/>
    <n v="10555"/>
    <n v="28500"/>
    <n v="0.37035087719298243"/>
  </r>
  <r>
    <n v="2020"/>
    <x v="11"/>
    <n v="17"/>
    <x v="14"/>
    <n v="12027.5"/>
    <n v="28500"/>
    <n v="0.42201754385964912"/>
  </r>
  <r>
    <n v="2020"/>
    <x v="11"/>
    <n v="17"/>
    <x v="15"/>
    <n v="4650"/>
    <n v="28500"/>
    <n v="0.16315789473684211"/>
  </r>
  <r>
    <n v="2020"/>
    <x v="11"/>
    <n v="17"/>
    <x v="16"/>
    <n v="0"/>
    <n v="28500"/>
    <n v="0"/>
  </r>
  <r>
    <n v="2020"/>
    <x v="11"/>
    <n v="17"/>
    <x v="17"/>
    <n v="0"/>
    <n v="28500"/>
    <n v="0"/>
  </r>
  <r>
    <n v="2020"/>
    <x v="11"/>
    <n v="17"/>
    <x v="18"/>
    <n v="0"/>
    <n v="28500"/>
    <n v="0"/>
  </r>
  <r>
    <n v="2020"/>
    <x v="11"/>
    <n v="17"/>
    <x v="19"/>
    <n v="0"/>
    <n v="28500"/>
    <n v="0"/>
  </r>
  <r>
    <n v="2020"/>
    <x v="11"/>
    <n v="17"/>
    <x v="20"/>
    <n v="0"/>
    <n v="28500"/>
    <n v="0"/>
  </r>
  <r>
    <n v="2020"/>
    <x v="11"/>
    <n v="17"/>
    <x v="21"/>
    <n v="0"/>
    <n v="28500"/>
    <n v="0"/>
  </r>
  <r>
    <n v="2020"/>
    <x v="11"/>
    <n v="17"/>
    <x v="22"/>
    <n v="0"/>
    <n v="28500"/>
    <n v="0"/>
  </r>
  <r>
    <n v="2020"/>
    <x v="11"/>
    <n v="17"/>
    <x v="23"/>
    <n v="0"/>
    <n v="28500"/>
    <n v="0"/>
  </r>
  <r>
    <n v="2020"/>
    <x v="11"/>
    <n v="18"/>
    <x v="0"/>
    <n v="0"/>
    <n v="28500"/>
    <n v="0"/>
  </r>
  <r>
    <n v="2020"/>
    <x v="11"/>
    <n v="18"/>
    <x v="1"/>
    <n v="0"/>
    <n v="28500"/>
    <n v="0"/>
  </r>
  <r>
    <n v="2020"/>
    <x v="11"/>
    <n v="18"/>
    <x v="2"/>
    <n v="0"/>
    <n v="28500"/>
    <n v="0"/>
  </r>
  <r>
    <n v="2020"/>
    <x v="11"/>
    <n v="18"/>
    <x v="3"/>
    <n v="0"/>
    <n v="28500"/>
    <n v="0"/>
  </r>
  <r>
    <n v="2020"/>
    <x v="11"/>
    <n v="18"/>
    <x v="4"/>
    <n v="0"/>
    <n v="28500"/>
    <n v="0"/>
  </r>
  <r>
    <n v="2020"/>
    <x v="11"/>
    <n v="18"/>
    <x v="5"/>
    <n v="0"/>
    <n v="28500"/>
    <n v="0"/>
  </r>
  <r>
    <n v="2020"/>
    <x v="11"/>
    <n v="18"/>
    <x v="6"/>
    <n v="0"/>
    <n v="28500"/>
    <n v="0"/>
  </r>
  <r>
    <n v="2020"/>
    <x v="11"/>
    <n v="18"/>
    <x v="7"/>
    <n v="0"/>
    <n v="28500"/>
    <n v="0"/>
  </r>
  <r>
    <n v="2020"/>
    <x v="11"/>
    <n v="18"/>
    <x v="8"/>
    <n v="0"/>
    <n v="28500"/>
    <n v="0"/>
  </r>
  <r>
    <n v="2020"/>
    <x v="11"/>
    <n v="18"/>
    <x v="9"/>
    <n v="447.5"/>
    <n v="28500"/>
    <n v="1.5701754385964911E-2"/>
  </r>
  <r>
    <n v="2020"/>
    <x v="11"/>
    <n v="18"/>
    <x v="10"/>
    <n v="1492"/>
    <n v="28500"/>
    <n v="5.2350877192982453E-2"/>
  </r>
  <r>
    <n v="2020"/>
    <x v="11"/>
    <n v="18"/>
    <x v="11"/>
    <n v="1454.5"/>
    <n v="28500"/>
    <n v="5.1035087719298246E-2"/>
  </r>
  <r>
    <n v="2020"/>
    <x v="11"/>
    <n v="18"/>
    <x v="12"/>
    <n v="2300"/>
    <n v="28500"/>
    <n v="8.0701754385964913E-2"/>
  </r>
  <r>
    <n v="2020"/>
    <x v="11"/>
    <n v="18"/>
    <x v="13"/>
    <n v="416.5"/>
    <n v="28500"/>
    <n v="1.4614035087719298E-2"/>
  </r>
  <r>
    <n v="2020"/>
    <x v="11"/>
    <n v="18"/>
    <x v="14"/>
    <n v="9331.5"/>
    <n v="28500"/>
    <n v="0.32742105263157895"/>
  </r>
  <r>
    <n v="2020"/>
    <x v="11"/>
    <n v="18"/>
    <x v="15"/>
    <n v="612"/>
    <n v="28500"/>
    <n v="2.1473684210526315E-2"/>
  </r>
  <r>
    <n v="2020"/>
    <x v="11"/>
    <n v="18"/>
    <x v="16"/>
    <n v="0"/>
    <n v="28500"/>
    <n v="0"/>
  </r>
  <r>
    <n v="2020"/>
    <x v="11"/>
    <n v="18"/>
    <x v="17"/>
    <n v="0"/>
    <n v="28500"/>
    <n v="0"/>
  </r>
  <r>
    <n v="2020"/>
    <x v="11"/>
    <n v="18"/>
    <x v="18"/>
    <n v="0"/>
    <n v="28500"/>
    <n v="0"/>
  </r>
  <r>
    <n v="2020"/>
    <x v="11"/>
    <n v="18"/>
    <x v="19"/>
    <n v="0"/>
    <n v="28500"/>
    <n v="0"/>
  </r>
  <r>
    <n v="2020"/>
    <x v="11"/>
    <n v="18"/>
    <x v="20"/>
    <n v="0"/>
    <n v="28500"/>
    <n v="0"/>
  </r>
  <r>
    <n v="2020"/>
    <x v="11"/>
    <n v="18"/>
    <x v="21"/>
    <n v="0"/>
    <n v="28500"/>
    <n v="0"/>
  </r>
  <r>
    <n v="2020"/>
    <x v="11"/>
    <n v="18"/>
    <x v="22"/>
    <n v="0"/>
    <n v="28500"/>
    <n v="0"/>
  </r>
  <r>
    <n v="2020"/>
    <x v="11"/>
    <n v="18"/>
    <x v="23"/>
    <n v="0"/>
    <n v="28500"/>
    <n v="0"/>
  </r>
  <r>
    <n v="2020"/>
    <x v="11"/>
    <n v="19"/>
    <x v="0"/>
    <n v="0"/>
    <n v="28500"/>
    <n v="0"/>
  </r>
  <r>
    <n v="2020"/>
    <x v="11"/>
    <n v="19"/>
    <x v="1"/>
    <n v="0"/>
    <n v="28500"/>
    <n v="0"/>
  </r>
  <r>
    <n v="2020"/>
    <x v="11"/>
    <n v="19"/>
    <x v="2"/>
    <n v="0"/>
    <n v="28500"/>
    <n v="0"/>
  </r>
  <r>
    <n v="2020"/>
    <x v="11"/>
    <n v="19"/>
    <x v="3"/>
    <n v="0"/>
    <n v="28500"/>
    <n v="0"/>
  </r>
  <r>
    <n v="2020"/>
    <x v="11"/>
    <n v="19"/>
    <x v="4"/>
    <n v="0"/>
    <n v="28500"/>
    <n v="0"/>
  </r>
  <r>
    <n v="2020"/>
    <x v="11"/>
    <n v="19"/>
    <x v="5"/>
    <n v="0"/>
    <n v="28500"/>
    <n v="0"/>
  </r>
  <r>
    <n v="2020"/>
    <x v="11"/>
    <n v="19"/>
    <x v="6"/>
    <n v="0"/>
    <n v="28500"/>
    <n v="0"/>
  </r>
  <r>
    <n v="2020"/>
    <x v="11"/>
    <n v="19"/>
    <x v="7"/>
    <n v="0"/>
    <n v="28500"/>
    <n v="0"/>
  </r>
  <r>
    <n v="2020"/>
    <x v="11"/>
    <n v="19"/>
    <x v="8"/>
    <n v="0"/>
    <n v="28500"/>
    <n v="0"/>
  </r>
  <r>
    <n v="2020"/>
    <x v="11"/>
    <n v="19"/>
    <x v="9"/>
    <n v="1413"/>
    <n v="28500"/>
    <n v="4.9578947368421056E-2"/>
  </r>
  <r>
    <n v="2020"/>
    <x v="11"/>
    <n v="19"/>
    <x v="10"/>
    <n v="6530"/>
    <n v="28500"/>
    <n v="0.22912280701754387"/>
  </r>
  <r>
    <n v="2020"/>
    <x v="11"/>
    <n v="19"/>
    <x v="11"/>
    <n v="330.5"/>
    <n v="28500"/>
    <n v="1.1596491228070176E-2"/>
  </r>
  <r>
    <n v="2020"/>
    <x v="11"/>
    <n v="19"/>
    <x v="12"/>
    <n v="18460.5"/>
    <n v="28500"/>
    <n v="0.64773684210526317"/>
  </r>
  <r>
    <n v="2020"/>
    <x v="11"/>
    <n v="19"/>
    <x v="13"/>
    <n v="5560.5"/>
    <n v="28500"/>
    <n v="0.19510526315789473"/>
  </r>
  <r>
    <n v="2020"/>
    <x v="11"/>
    <n v="19"/>
    <x v="14"/>
    <n v="331"/>
    <n v="28500"/>
    <n v="1.1614035087719299E-2"/>
  </r>
  <r>
    <n v="2020"/>
    <x v="11"/>
    <n v="19"/>
    <x v="15"/>
    <n v="2831"/>
    <n v="28500"/>
    <n v="9.9333333333333329E-2"/>
  </r>
  <r>
    <n v="2020"/>
    <x v="11"/>
    <n v="19"/>
    <x v="16"/>
    <n v="0"/>
    <n v="28500"/>
    <n v="0"/>
  </r>
  <r>
    <n v="2020"/>
    <x v="11"/>
    <n v="19"/>
    <x v="17"/>
    <n v="0"/>
    <n v="28500"/>
    <n v="0"/>
  </r>
  <r>
    <n v="2020"/>
    <x v="11"/>
    <n v="19"/>
    <x v="18"/>
    <n v="0"/>
    <n v="28500"/>
    <n v="0"/>
  </r>
  <r>
    <n v="2020"/>
    <x v="11"/>
    <n v="19"/>
    <x v="19"/>
    <n v="0"/>
    <n v="28500"/>
    <n v="0"/>
  </r>
  <r>
    <n v="2020"/>
    <x v="11"/>
    <n v="19"/>
    <x v="20"/>
    <n v="0"/>
    <n v="28500"/>
    <n v="0"/>
  </r>
  <r>
    <n v="2020"/>
    <x v="11"/>
    <n v="19"/>
    <x v="21"/>
    <n v="0"/>
    <n v="28500"/>
    <n v="0"/>
  </r>
  <r>
    <n v="2020"/>
    <x v="11"/>
    <n v="19"/>
    <x v="22"/>
    <n v="0"/>
    <n v="28500"/>
    <n v="0"/>
  </r>
  <r>
    <n v="2020"/>
    <x v="11"/>
    <n v="19"/>
    <x v="23"/>
    <n v="0"/>
    <n v="28500"/>
    <n v="0"/>
  </r>
  <r>
    <n v="2020"/>
    <x v="11"/>
    <n v="20"/>
    <x v="0"/>
    <n v="0"/>
    <n v="28500"/>
    <n v="0"/>
  </r>
  <r>
    <n v="2020"/>
    <x v="11"/>
    <n v="20"/>
    <x v="1"/>
    <n v="0"/>
    <n v="28500"/>
    <n v="0"/>
  </r>
  <r>
    <n v="2020"/>
    <x v="11"/>
    <n v="20"/>
    <x v="2"/>
    <n v="0"/>
    <n v="28500"/>
    <n v="0"/>
  </r>
  <r>
    <n v="2020"/>
    <x v="11"/>
    <n v="20"/>
    <x v="3"/>
    <n v="0"/>
    <n v="28500"/>
    <n v="0"/>
  </r>
  <r>
    <n v="2020"/>
    <x v="11"/>
    <n v="20"/>
    <x v="4"/>
    <n v="0"/>
    <n v="28500"/>
    <n v="0"/>
  </r>
  <r>
    <n v="2020"/>
    <x v="11"/>
    <n v="20"/>
    <x v="5"/>
    <n v="0"/>
    <n v="28500"/>
    <n v="0"/>
  </r>
  <r>
    <n v="2020"/>
    <x v="11"/>
    <n v="20"/>
    <x v="6"/>
    <n v="0"/>
    <n v="28500"/>
    <n v="0"/>
  </r>
  <r>
    <n v="2020"/>
    <x v="11"/>
    <n v="20"/>
    <x v="7"/>
    <n v="0"/>
    <n v="28500"/>
    <n v="0"/>
  </r>
  <r>
    <n v="2020"/>
    <x v="11"/>
    <n v="20"/>
    <x v="8"/>
    <n v="0"/>
    <n v="28500"/>
    <n v="0"/>
  </r>
  <r>
    <n v="2020"/>
    <x v="11"/>
    <n v="20"/>
    <x v="9"/>
    <n v="15624"/>
    <n v="28500"/>
    <n v="0.54821052631578948"/>
  </r>
  <r>
    <n v="2020"/>
    <x v="11"/>
    <n v="20"/>
    <x v="10"/>
    <n v="7886.5"/>
    <n v="28500"/>
    <n v="0.27671929824561403"/>
  </r>
  <r>
    <n v="2020"/>
    <x v="11"/>
    <n v="20"/>
    <x v="11"/>
    <n v="29196.5"/>
    <n v="28500"/>
    <n v="1.0244385964912281"/>
  </r>
  <r>
    <n v="2020"/>
    <x v="11"/>
    <n v="20"/>
    <x v="12"/>
    <n v="26835.5"/>
    <n v="28500"/>
    <n v="0.94159649122807021"/>
  </r>
  <r>
    <n v="2020"/>
    <x v="11"/>
    <n v="20"/>
    <x v="13"/>
    <n v="27427"/>
    <n v="28500"/>
    <n v="0.9623508771929824"/>
  </r>
  <r>
    <n v="2020"/>
    <x v="11"/>
    <n v="20"/>
    <x v="14"/>
    <n v="18424.5"/>
    <n v="28500"/>
    <n v="0.64647368421052631"/>
  </r>
  <r>
    <n v="2020"/>
    <x v="11"/>
    <n v="20"/>
    <x v="15"/>
    <n v="5739"/>
    <n v="28500"/>
    <n v="0.20136842105263159"/>
  </r>
  <r>
    <n v="2020"/>
    <x v="11"/>
    <n v="20"/>
    <x v="16"/>
    <n v="0"/>
    <n v="28500"/>
    <n v="0"/>
  </r>
  <r>
    <n v="2020"/>
    <x v="11"/>
    <n v="20"/>
    <x v="17"/>
    <n v="0"/>
    <n v="28500"/>
    <n v="0"/>
  </r>
  <r>
    <n v="2020"/>
    <x v="11"/>
    <n v="20"/>
    <x v="18"/>
    <n v="0"/>
    <n v="28500"/>
    <n v="0"/>
  </r>
  <r>
    <n v="2020"/>
    <x v="11"/>
    <n v="20"/>
    <x v="19"/>
    <n v="0"/>
    <n v="28500"/>
    <n v="0"/>
  </r>
  <r>
    <n v="2020"/>
    <x v="11"/>
    <n v="20"/>
    <x v="20"/>
    <n v="0"/>
    <n v="28500"/>
    <n v="0"/>
  </r>
  <r>
    <n v="2020"/>
    <x v="11"/>
    <n v="20"/>
    <x v="21"/>
    <n v="0"/>
    <n v="28500"/>
    <n v="0"/>
  </r>
  <r>
    <n v="2020"/>
    <x v="11"/>
    <n v="20"/>
    <x v="22"/>
    <n v="0"/>
    <n v="28500"/>
    <n v="0"/>
  </r>
  <r>
    <n v="2020"/>
    <x v="11"/>
    <n v="20"/>
    <x v="23"/>
    <n v="0"/>
    <n v="28500"/>
    <n v="0"/>
  </r>
  <r>
    <n v="2020"/>
    <x v="11"/>
    <n v="21"/>
    <x v="0"/>
    <n v="0"/>
    <n v="28500"/>
    <n v="0"/>
  </r>
  <r>
    <n v="2020"/>
    <x v="11"/>
    <n v="21"/>
    <x v="1"/>
    <n v="0"/>
    <n v="28500"/>
    <n v="0"/>
  </r>
  <r>
    <n v="2020"/>
    <x v="11"/>
    <n v="21"/>
    <x v="2"/>
    <n v="0"/>
    <n v="28500"/>
    <n v="0"/>
  </r>
  <r>
    <n v="2020"/>
    <x v="11"/>
    <n v="21"/>
    <x v="3"/>
    <n v="0"/>
    <n v="28500"/>
    <n v="0"/>
  </r>
  <r>
    <n v="2020"/>
    <x v="11"/>
    <n v="21"/>
    <x v="4"/>
    <n v="0"/>
    <n v="28500"/>
    <n v="0"/>
  </r>
  <r>
    <n v="2020"/>
    <x v="11"/>
    <n v="21"/>
    <x v="5"/>
    <n v="0"/>
    <n v="28500"/>
    <n v="0"/>
  </r>
  <r>
    <n v="2020"/>
    <x v="11"/>
    <n v="21"/>
    <x v="6"/>
    <n v="0"/>
    <n v="28500"/>
    <n v="0"/>
  </r>
  <r>
    <n v="2020"/>
    <x v="11"/>
    <n v="21"/>
    <x v="7"/>
    <n v="0"/>
    <n v="28500"/>
    <n v="0"/>
  </r>
  <r>
    <n v="2020"/>
    <x v="11"/>
    <n v="21"/>
    <x v="8"/>
    <n v="0"/>
    <n v="28500"/>
    <n v="0"/>
  </r>
  <r>
    <n v="2020"/>
    <x v="11"/>
    <n v="21"/>
    <x v="9"/>
    <n v="389"/>
    <n v="28500"/>
    <n v="1.3649122807017544E-2"/>
  </r>
  <r>
    <n v="2020"/>
    <x v="11"/>
    <n v="21"/>
    <x v="10"/>
    <n v="1001.5"/>
    <n v="28500"/>
    <n v="3.5140350877192986E-2"/>
  </r>
  <r>
    <n v="2020"/>
    <x v="11"/>
    <n v="21"/>
    <x v="11"/>
    <n v="14790.5"/>
    <n v="28500"/>
    <n v="0.51896491228070174"/>
  </r>
  <r>
    <n v="2020"/>
    <x v="11"/>
    <n v="21"/>
    <x v="12"/>
    <n v="7225"/>
    <n v="28500"/>
    <n v="0.25350877192982457"/>
  </r>
  <r>
    <n v="2020"/>
    <x v="11"/>
    <n v="21"/>
    <x v="13"/>
    <n v="1696.5"/>
    <n v="28500"/>
    <n v="5.9526315789473684E-2"/>
  </r>
  <r>
    <n v="2020"/>
    <x v="11"/>
    <n v="21"/>
    <x v="14"/>
    <n v="6640.5"/>
    <n v="28500"/>
    <n v="0.23300000000000001"/>
  </r>
  <r>
    <n v="2020"/>
    <x v="11"/>
    <n v="21"/>
    <x v="15"/>
    <n v="536"/>
    <n v="28500"/>
    <n v="1.8807017543859651E-2"/>
  </r>
  <r>
    <n v="2020"/>
    <x v="11"/>
    <n v="21"/>
    <x v="16"/>
    <n v="0"/>
    <n v="28500"/>
    <n v="0"/>
  </r>
  <r>
    <n v="2020"/>
    <x v="11"/>
    <n v="21"/>
    <x v="17"/>
    <n v="0"/>
    <n v="28500"/>
    <n v="0"/>
  </r>
  <r>
    <n v="2020"/>
    <x v="11"/>
    <n v="21"/>
    <x v="18"/>
    <n v="0"/>
    <n v="28500"/>
    <n v="0"/>
  </r>
  <r>
    <n v="2020"/>
    <x v="11"/>
    <n v="21"/>
    <x v="19"/>
    <n v="0"/>
    <n v="28500"/>
    <n v="0"/>
  </r>
  <r>
    <n v="2020"/>
    <x v="11"/>
    <n v="21"/>
    <x v="20"/>
    <n v="0"/>
    <n v="28500"/>
    <n v="0"/>
  </r>
  <r>
    <n v="2020"/>
    <x v="11"/>
    <n v="21"/>
    <x v="21"/>
    <n v="0"/>
    <n v="28500"/>
    <n v="0"/>
  </r>
  <r>
    <n v="2020"/>
    <x v="11"/>
    <n v="21"/>
    <x v="22"/>
    <n v="0"/>
    <n v="28500"/>
    <n v="0"/>
  </r>
  <r>
    <n v="2020"/>
    <x v="11"/>
    <n v="21"/>
    <x v="23"/>
    <n v="0"/>
    <n v="28500"/>
    <n v="0"/>
  </r>
  <r>
    <n v="2020"/>
    <x v="11"/>
    <n v="22"/>
    <x v="0"/>
    <n v="0"/>
    <n v="28500"/>
    <n v="0"/>
  </r>
  <r>
    <n v="2020"/>
    <x v="11"/>
    <n v="22"/>
    <x v="1"/>
    <n v="0"/>
    <n v="28500"/>
    <n v="0"/>
  </r>
  <r>
    <n v="2020"/>
    <x v="11"/>
    <n v="22"/>
    <x v="2"/>
    <n v="0"/>
    <n v="28500"/>
    <n v="0"/>
  </r>
  <r>
    <n v="2020"/>
    <x v="11"/>
    <n v="22"/>
    <x v="3"/>
    <n v="0"/>
    <n v="28500"/>
    <n v="0"/>
  </r>
  <r>
    <n v="2020"/>
    <x v="11"/>
    <n v="22"/>
    <x v="4"/>
    <n v="0"/>
    <n v="28500"/>
    <n v="0"/>
  </r>
  <r>
    <n v="2020"/>
    <x v="11"/>
    <n v="22"/>
    <x v="5"/>
    <n v="0"/>
    <n v="28500"/>
    <n v="0"/>
  </r>
  <r>
    <n v="2020"/>
    <x v="11"/>
    <n v="22"/>
    <x v="6"/>
    <n v="0"/>
    <n v="28500"/>
    <n v="0"/>
  </r>
  <r>
    <n v="2020"/>
    <x v="11"/>
    <n v="22"/>
    <x v="7"/>
    <n v="0"/>
    <n v="28500"/>
    <n v="0"/>
  </r>
  <r>
    <n v="2020"/>
    <x v="11"/>
    <n v="22"/>
    <x v="8"/>
    <n v="0"/>
    <n v="28500"/>
    <n v="0"/>
  </r>
  <r>
    <n v="2020"/>
    <x v="11"/>
    <n v="22"/>
    <x v="9"/>
    <n v="1379"/>
    <n v="28500"/>
    <n v="4.8385964912280699E-2"/>
  </r>
  <r>
    <n v="2020"/>
    <x v="11"/>
    <n v="22"/>
    <x v="10"/>
    <n v="9678.5"/>
    <n v="28500"/>
    <n v="0.33959649122807017"/>
  </r>
  <r>
    <n v="2020"/>
    <x v="11"/>
    <n v="22"/>
    <x v="11"/>
    <n v="11363"/>
    <n v="28500"/>
    <n v="0.39870175438596489"/>
  </r>
  <r>
    <n v="2020"/>
    <x v="11"/>
    <n v="22"/>
    <x v="12"/>
    <n v="7653.5"/>
    <n v="28500"/>
    <n v="0.26854385964912281"/>
  </r>
  <r>
    <n v="2020"/>
    <x v="11"/>
    <n v="22"/>
    <x v="13"/>
    <n v="3864"/>
    <n v="28500"/>
    <n v="0.13557894736842105"/>
  </r>
  <r>
    <n v="2020"/>
    <x v="11"/>
    <n v="22"/>
    <x v="14"/>
    <n v="478.5"/>
    <n v="28500"/>
    <n v="1.6789473684210528E-2"/>
  </r>
  <r>
    <n v="2020"/>
    <x v="11"/>
    <n v="22"/>
    <x v="15"/>
    <n v="95"/>
    <n v="28500"/>
    <n v="3.3333333333333335E-3"/>
  </r>
  <r>
    <n v="2020"/>
    <x v="11"/>
    <n v="22"/>
    <x v="16"/>
    <n v="0"/>
    <n v="28500"/>
    <n v="0"/>
  </r>
  <r>
    <n v="2020"/>
    <x v="11"/>
    <n v="22"/>
    <x v="17"/>
    <n v="0"/>
    <n v="28500"/>
    <n v="0"/>
  </r>
  <r>
    <n v="2020"/>
    <x v="11"/>
    <n v="22"/>
    <x v="18"/>
    <n v="0"/>
    <n v="28500"/>
    <n v="0"/>
  </r>
  <r>
    <n v="2020"/>
    <x v="11"/>
    <n v="22"/>
    <x v="19"/>
    <n v="0"/>
    <n v="28500"/>
    <n v="0"/>
  </r>
  <r>
    <n v="2020"/>
    <x v="11"/>
    <n v="22"/>
    <x v="20"/>
    <n v="0"/>
    <n v="28500"/>
    <n v="0"/>
  </r>
  <r>
    <n v="2020"/>
    <x v="11"/>
    <n v="22"/>
    <x v="21"/>
    <n v="0"/>
    <n v="28500"/>
    <n v="0"/>
  </r>
  <r>
    <n v="2020"/>
    <x v="11"/>
    <n v="22"/>
    <x v="22"/>
    <n v="0"/>
    <n v="28500"/>
    <n v="0"/>
  </r>
  <r>
    <n v="2020"/>
    <x v="11"/>
    <n v="22"/>
    <x v="23"/>
    <n v="0"/>
    <n v="28500"/>
    <n v="0"/>
  </r>
  <r>
    <n v="2020"/>
    <x v="11"/>
    <n v="23"/>
    <x v="0"/>
    <n v="0"/>
    <n v="28500"/>
    <n v="0"/>
  </r>
  <r>
    <n v="2020"/>
    <x v="11"/>
    <n v="23"/>
    <x v="1"/>
    <n v="0"/>
    <n v="28500"/>
    <n v="0"/>
  </r>
  <r>
    <n v="2020"/>
    <x v="11"/>
    <n v="23"/>
    <x v="2"/>
    <n v="0"/>
    <n v="28500"/>
    <n v="0"/>
  </r>
  <r>
    <n v="2020"/>
    <x v="11"/>
    <n v="23"/>
    <x v="3"/>
    <n v="0"/>
    <n v="28500"/>
    <n v="0"/>
  </r>
  <r>
    <n v="2020"/>
    <x v="11"/>
    <n v="23"/>
    <x v="4"/>
    <n v="0"/>
    <n v="28500"/>
    <n v="0"/>
  </r>
  <r>
    <n v="2020"/>
    <x v="11"/>
    <n v="23"/>
    <x v="5"/>
    <n v="0"/>
    <n v="28500"/>
    <n v="0"/>
  </r>
  <r>
    <n v="2020"/>
    <x v="11"/>
    <n v="23"/>
    <x v="6"/>
    <n v="0"/>
    <n v="28500"/>
    <n v="0"/>
  </r>
  <r>
    <n v="2020"/>
    <x v="11"/>
    <n v="23"/>
    <x v="7"/>
    <n v="0"/>
    <n v="28500"/>
    <n v="0"/>
  </r>
  <r>
    <n v="2020"/>
    <x v="11"/>
    <n v="23"/>
    <x v="8"/>
    <n v="0"/>
    <n v="28500"/>
    <n v="0"/>
  </r>
  <r>
    <n v="2020"/>
    <x v="11"/>
    <n v="23"/>
    <x v="9"/>
    <n v="9186"/>
    <n v="28500"/>
    <n v="0.32231578947368422"/>
  </r>
  <r>
    <n v="2020"/>
    <x v="11"/>
    <n v="23"/>
    <x v="10"/>
    <n v="2557"/>
    <n v="28500"/>
    <n v="8.9719298245614032E-2"/>
  </r>
  <r>
    <n v="2020"/>
    <x v="11"/>
    <n v="23"/>
    <x v="11"/>
    <n v="475.5"/>
    <n v="28500"/>
    <n v="1.6684210526315791E-2"/>
  </r>
  <r>
    <n v="2020"/>
    <x v="11"/>
    <n v="23"/>
    <x v="12"/>
    <n v="8430.5"/>
    <n v="28500"/>
    <n v="0.29580701754385963"/>
  </r>
  <r>
    <n v="2020"/>
    <x v="11"/>
    <n v="23"/>
    <x v="13"/>
    <n v="794"/>
    <n v="28500"/>
    <n v="2.7859649122807018E-2"/>
  </r>
  <r>
    <n v="2020"/>
    <x v="11"/>
    <n v="23"/>
    <x v="14"/>
    <n v="7369"/>
    <n v="28500"/>
    <n v="0.25856140350877194"/>
  </r>
  <r>
    <n v="2020"/>
    <x v="11"/>
    <n v="23"/>
    <x v="15"/>
    <n v="7348"/>
    <n v="28500"/>
    <n v="0.25782456140350879"/>
  </r>
  <r>
    <n v="2020"/>
    <x v="11"/>
    <n v="23"/>
    <x v="16"/>
    <n v="0"/>
    <n v="28500"/>
    <n v="0"/>
  </r>
  <r>
    <n v="2020"/>
    <x v="11"/>
    <n v="23"/>
    <x v="17"/>
    <n v="0"/>
    <n v="28500"/>
    <n v="0"/>
  </r>
  <r>
    <n v="2020"/>
    <x v="11"/>
    <n v="23"/>
    <x v="18"/>
    <n v="0"/>
    <n v="28500"/>
    <n v="0"/>
  </r>
  <r>
    <n v="2020"/>
    <x v="11"/>
    <n v="23"/>
    <x v="19"/>
    <n v="0"/>
    <n v="28500"/>
    <n v="0"/>
  </r>
  <r>
    <n v="2020"/>
    <x v="11"/>
    <n v="23"/>
    <x v="20"/>
    <n v="0"/>
    <n v="28500"/>
    <n v="0"/>
  </r>
  <r>
    <n v="2020"/>
    <x v="11"/>
    <n v="23"/>
    <x v="21"/>
    <n v="0"/>
    <n v="28500"/>
    <n v="0"/>
  </r>
  <r>
    <n v="2020"/>
    <x v="11"/>
    <n v="23"/>
    <x v="22"/>
    <n v="0"/>
    <n v="28500"/>
    <n v="0"/>
  </r>
  <r>
    <n v="2020"/>
    <x v="11"/>
    <n v="23"/>
    <x v="23"/>
    <n v="0"/>
    <n v="28500"/>
    <n v="0"/>
  </r>
  <r>
    <n v="2020"/>
    <x v="11"/>
    <n v="24"/>
    <x v="0"/>
    <n v="0"/>
    <n v="28500"/>
    <n v="0"/>
  </r>
  <r>
    <n v="2020"/>
    <x v="11"/>
    <n v="24"/>
    <x v="1"/>
    <n v="0"/>
    <n v="28500"/>
    <n v="0"/>
  </r>
  <r>
    <n v="2020"/>
    <x v="11"/>
    <n v="24"/>
    <x v="2"/>
    <n v="0"/>
    <n v="28500"/>
    <n v="0"/>
  </r>
  <r>
    <n v="2020"/>
    <x v="11"/>
    <n v="24"/>
    <x v="3"/>
    <n v="0"/>
    <n v="28500"/>
    <n v="0"/>
  </r>
  <r>
    <n v="2020"/>
    <x v="11"/>
    <n v="24"/>
    <x v="4"/>
    <n v="0"/>
    <n v="28500"/>
    <n v="0"/>
  </r>
  <r>
    <n v="2020"/>
    <x v="11"/>
    <n v="24"/>
    <x v="5"/>
    <n v="0"/>
    <n v="28500"/>
    <n v="0"/>
  </r>
  <r>
    <n v="2020"/>
    <x v="11"/>
    <n v="24"/>
    <x v="6"/>
    <n v="0"/>
    <n v="28500"/>
    <n v="0"/>
  </r>
  <r>
    <n v="2020"/>
    <x v="11"/>
    <n v="24"/>
    <x v="7"/>
    <n v="0"/>
    <n v="28500"/>
    <n v="0"/>
  </r>
  <r>
    <n v="2020"/>
    <x v="11"/>
    <n v="24"/>
    <x v="8"/>
    <n v="0"/>
    <n v="28500"/>
    <n v="0"/>
  </r>
  <r>
    <n v="2020"/>
    <x v="11"/>
    <n v="24"/>
    <x v="9"/>
    <n v="10272.5"/>
    <n v="28500"/>
    <n v="0.36043859649122806"/>
  </r>
  <r>
    <n v="2020"/>
    <x v="11"/>
    <n v="24"/>
    <x v="10"/>
    <n v="22854.5"/>
    <n v="28500"/>
    <n v="0.80191228070175435"/>
  </r>
  <r>
    <n v="2020"/>
    <x v="11"/>
    <n v="24"/>
    <x v="11"/>
    <n v="16401"/>
    <n v="28500"/>
    <n v="0.57547368421052636"/>
  </r>
  <r>
    <n v="2020"/>
    <x v="11"/>
    <n v="24"/>
    <x v="12"/>
    <n v="12412.5"/>
    <n v="28500"/>
    <n v="0.43552631578947371"/>
  </r>
  <r>
    <n v="2020"/>
    <x v="11"/>
    <n v="24"/>
    <x v="13"/>
    <n v="3631.5"/>
    <n v="28500"/>
    <n v="0.12742105263157893"/>
  </r>
  <r>
    <n v="2020"/>
    <x v="11"/>
    <n v="24"/>
    <x v="14"/>
    <n v="3620"/>
    <n v="28500"/>
    <n v="0.12701754385964911"/>
  </r>
  <r>
    <n v="2020"/>
    <x v="11"/>
    <n v="24"/>
    <x v="15"/>
    <n v="0"/>
    <n v="28500"/>
    <n v="0"/>
  </r>
  <r>
    <n v="2020"/>
    <x v="11"/>
    <n v="24"/>
    <x v="16"/>
    <n v="0"/>
    <n v="28500"/>
    <n v="0"/>
  </r>
  <r>
    <n v="2020"/>
    <x v="11"/>
    <n v="24"/>
    <x v="17"/>
    <n v="0"/>
    <n v="28500"/>
    <n v="0"/>
  </r>
  <r>
    <n v="2020"/>
    <x v="11"/>
    <n v="24"/>
    <x v="18"/>
    <n v="0"/>
    <n v="28500"/>
    <n v="0"/>
  </r>
  <r>
    <n v="2020"/>
    <x v="11"/>
    <n v="24"/>
    <x v="19"/>
    <n v="0"/>
    <n v="28500"/>
    <n v="0"/>
  </r>
  <r>
    <n v="2020"/>
    <x v="11"/>
    <n v="24"/>
    <x v="20"/>
    <n v="0"/>
    <n v="28500"/>
    <n v="0"/>
  </r>
  <r>
    <n v="2020"/>
    <x v="11"/>
    <n v="24"/>
    <x v="21"/>
    <n v="0"/>
    <n v="28500"/>
    <n v="0"/>
  </r>
  <r>
    <n v="2020"/>
    <x v="11"/>
    <n v="24"/>
    <x v="22"/>
    <n v="0"/>
    <n v="28500"/>
    <n v="0"/>
  </r>
  <r>
    <n v="2020"/>
    <x v="11"/>
    <n v="24"/>
    <x v="23"/>
    <n v="0"/>
    <n v="28500"/>
    <n v="0"/>
  </r>
  <r>
    <n v="2020"/>
    <x v="11"/>
    <n v="25"/>
    <x v="0"/>
    <n v="0"/>
    <n v="28500"/>
    <n v="0"/>
  </r>
  <r>
    <n v="2020"/>
    <x v="11"/>
    <n v="25"/>
    <x v="1"/>
    <n v="0"/>
    <n v="28500"/>
    <n v="0"/>
  </r>
  <r>
    <n v="2020"/>
    <x v="11"/>
    <n v="25"/>
    <x v="2"/>
    <n v="0"/>
    <n v="28500"/>
    <n v="0"/>
  </r>
  <r>
    <n v="2020"/>
    <x v="11"/>
    <n v="25"/>
    <x v="3"/>
    <n v="0"/>
    <n v="28500"/>
    <n v="0"/>
  </r>
  <r>
    <n v="2020"/>
    <x v="11"/>
    <n v="25"/>
    <x v="4"/>
    <n v="0"/>
    <n v="28500"/>
    <n v="0"/>
  </r>
  <r>
    <n v="2020"/>
    <x v="11"/>
    <n v="25"/>
    <x v="5"/>
    <n v="0"/>
    <n v="28500"/>
    <n v="0"/>
  </r>
  <r>
    <n v="2020"/>
    <x v="11"/>
    <n v="25"/>
    <x v="6"/>
    <n v="0"/>
    <n v="28500"/>
    <n v="0"/>
  </r>
  <r>
    <n v="2020"/>
    <x v="11"/>
    <n v="25"/>
    <x v="7"/>
    <n v="0"/>
    <n v="28500"/>
    <n v="0"/>
  </r>
  <r>
    <n v="2020"/>
    <x v="11"/>
    <n v="25"/>
    <x v="8"/>
    <n v="0"/>
    <n v="28500"/>
    <n v="0"/>
  </r>
  <r>
    <n v="2020"/>
    <x v="11"/>
    <n v="25"/>
    <x v="9"/>
    <n v="7347"/>
    <n v="28500"/>
    <n v="0.25778947368421051"/>
  </r>
  <r>
    <n v="2020"/>
    <x v="11"/>
    <n v="25"/>
    <x v="10"/>
    <n v="4735"/>
    <n v="28500"/>
    <n v="0.16614035087719298"/>
  </r>
  <r>
    <n v="2020"/>
    <x v="11"/>
    <n v="25"/>
    <x v="11"/>
    <n v="6781"/>
    <n v="28500"/>
    <n v="0.23792982456140352"/>
  </r>
  <r>
    <n v="2020"/>
    <x v="11"/>
    <n v="25"/>
    <x v="12"/>
    <n v="30439"/>
    <n v="28500"/>
    <n v="1.0680350877192983"/>
  </r>
  <r>
    <n v="2020"/>
    <x v="11"/>
    <n v="25"/>
    <x v="13"/>
    <n v="29088.5"/>
    <n v="28500"/>
    <n v="1.0206491228070176"/>
  </r>
  <r>
    <n v="2020"/>
    <x v="11"/>
    <n v="25"/>
    <x v="14"/>
    <n v="20392"/>
    <n v="28500"/>
    <n v="0.71550877192982454"/>
  </r>
  <r>
    <n v="2020"/>
    <x v="11"/>
    <n v="25"/>
    <x v="15"/>
    <n v="5490.5"/>
    <n v="28500"/>
    <n v="0.19264912280701754"/>
  </r>
  <r>
    <n v="2020"/>
    <x v="11"/>
    <n v="25"/>
    <x v="16"/>
    <n v="0"/>
    <n v="28500"/>
    <n v="0"/>
  </r>
  <r>
    <n v="2020"/>
    <x v="11"/>
    <n v="25"/>
    <x v="17"/>
    <n v="0"/>
    <n v="28500"/>
    <n v="0"/>
  </r>
  <r>
    <n v="2020"/>
    <x v="11"/>
    <n v="25"/>
    <x v="18"/>
    <n v="0"/>
    <n v="28500"/>
    <n v="0"/>
  </r>
  <r>
    <n v="2020"/>
    <x v="11"/>
    <n v="25"/>
    <x v="19"/>
    <n v="0"/>
    <n v="28500"/>
    <n v="0"/>
  </r>
  <r>
    <n v="2020"/>
    <x v="11"/>
    <n v="25"/>
    <x v="20"/>
    <n v="0"/>
    <n v="28500"/>
    <n v="0"/>
  </r>
  <r>
    <n v="2020"/>
    <x v="11"/>
    <n v="25"/>
    <x v="21"/>
    <n v="0"/>
    <n v="28500"/>
    <n v="0"/>
  </r>
  <r>
    <n v="2020"/>
    <x v="11"/>
    <n v="25"/>
    <x v="22"/>
    <n v="0"/>
    <n v="28500"/>
    <n v="0"/>
  </r>
  <r>
    <n v="2020"/>
    <x v="11"/>
    <n v="25"/>
    <x v="23"/>
    <n v="0"/>
    <n v="28500"/>
    <n v="0"/>
  </r>
  <r>
    <n v="2020"/>
    <x v="11"/>
    <n v="26"/>
    <x v="0"/>
    <n v="0"/>
    <n v="28500"/>
    <n v="0"/>
  </r>
  <r>
    <n v="2020"/>
    <x v="11"/>
    <n v="26"/>
    <x v="1"/>
    <n v="0"/>
    <n v="28500"/>
    <n v="0"/>
  </r>
  <r>
    <n v="2020"/>
    <x v="11"/>
    <n v="26"/>
    <x v="2"/>
    <n v="0"/>
    <n v="28500"/>
    <n v="0"/>
  </r>
  <r>
    <n v="2020"/>
    <x v="11"/>
    <n v="26"/>
    <x v="3"/>
    <n v="0"/>
    <n v="28500"/>
    <n v="0"/>
  </r>
  <r>
    <n v="2020"/>
    <x v="11"/>
    <n v="26"/>
    <x v="4"/>
    <n v="0"/>
    <n v="28500"/>
    <n v="0"/>
  </r>
  <r>
    <n v="2020"/>
    <x v="11"/>
    <n v="26"/>
    <x v="5"/>
    <n v="0"/>
    <n v="28500"/>
    <n v="0"/>
  </r>
  <r>
    <n v="2020"/>
    <x v="11"/>
    <n v="26"/>
    <x v="6"/>
    <n v="0"/>
    <n v="28500"/>
    <n v="0"/>
  </r>
  <r>
    <n v="2020"/>
    <x v="11"/>
    <n v="26"/>
    <x v="7"/>
    <n v="0"/>
    <n v="28500"/>
    <n v="0"/>
  </r>
  <r>
    <n v="2020"/>
    <x v="11"/>
    <n v="26"/>
    <x v="8"/>
    <n v="0"/>
    <n v="28500"/>
    <n v="0"/>
  </r>
  <r>
    <n v="2020"/>
    <x v="11"/>
    <n v="26"/>
    <x v="9"/>
    <n v="1352"/>
    <n v="28500"/>
    <n v="4.7438596491228072E-2"/>
  </r>
  <r>
    <n v="2020"/>
    <x v="11"/>
    <n v="26"/>
    <x v="10"/>
    <n v="3065"/>
    <n v="28500"/>
    <n v="0.1075438596491228"/>
  </r>
  <r>
    <n v="2020"/>
    <x v="11"/>
    <n v="26"/>
    <x v="11"/>
    <n v="2306"/>
    <n v="28500"/>
    <n v="8.091228070175438E-2"/>
  </r>
  <r>
    <n v="2020"/>
    <x v="11"/>
    <n v="26"/>
    <x v="12"/>
    <n v="4674"/>
    <n v="28500"/>
    <n v="0.16400000000000001"/>
  </r>
  <r>
    <n v="2020"/>
    <x v="11"/>
    <n v="26"/>
    <x v="13"/>
    <n v="1802"/>
    <n v="28500"/>
    <n v="6.3228070175438592E-2"/>
  </r>
  <r>
    <n v="2020"/>
    <x v="11"/>
    <n v="26"/>
    <x v="14"/>
    <n v="1043.5"/>
    <n v="28500"/>
    <n v="3.66140350877193E-2"/>
  </r>
  <r>
    <n v="2020"/>
    <x v="11"/>
    <n v="26"/>
    <x v="15"/>
    <n v="332.5"/>
    <n v="28500"/>
    <n v="1.1666666666666667E-2"/>
  </r>
  <r>
    <n v="2020"/>
    <x v="11"/>
    <n v="26"/>
    <x v="16"/>
    <n v="0"/>
    <n v="28500"/>
    <n v="0"/>
  </r>
  <r>
    <n v="2020"/>
    <x v="11"/>
    <n v="26"/>
    <x v="17"/>
    <n v="0"/>
    <n v="28500"/>
    <n v="0"/>
  </r>
  <r>
    <n v="2020"/>
    <x v="11"/>
    <n v="26"/>
    <x v="18"/>
    <n v="0"/>
    <n v="28500"/>
    <n v="0"/>
  </r>
  <r>
    <n v="2020"/>
    <x v="11"/>
    <n v="26"/>
    <x v="19"/>
    <n v="0"/>
    <n v="28500"/>
    <n v="0"/>
  </r>
  <r>
    <n v="2020"/>
    <x v="11"/>
    <n v="26"/>
    <x v="20"/>
    <n v="0"/>
    <n v="28500"/>
    <n v="0"/>
  </r>
  <r>
    <n v="2020"/>
    <x v="11"/>
    <n v="26"/>
    <x v="21"/>
    <n v="0"/>
    <n v="28500"/>
    <n v="0"/>
  </r>
  <r>
    <n v="2020"/>
    <x v="11"/>
    <n v="26"/>
    <x v="22"/>
    <n v="0"/>
    <n v="28500"/>
    <n v="0"/>
  </r>
  <r>
    <n v="2020"/>
    <x v="11"/>
    <n v="26"/>
    <x v="23"/>
    <n v="0"/>
    <n v="28500"/>
    <n v="0"/>
  </r>
  <r>
    <n v="2020"/>
    <x v="11"/>
    <n v="27"/>
    <x v="0"/>
    <n v="0"/>
    <n v="28500"/>
    <n v="0"/>
  </r>
  <r>
    <n v="2020"/>
    <x v="11"/>
    <n v="27"/>
    <x v="1"/>
    <n v="0"/>
    <n v="28500"/>
    <n v="0"/>
  </r>
  <r>
    <n v="2020"/>
    <x v="11"/>
    <n v="27"/>
    <x v="2"/>
    <n v="0"/>
    <n v="28500"/>
    <n v="0"/>
  </r>
  <r>
    <n v="2020"/>
    <x v="11"/>
    <n v="27"/>
    <x v="3"/>
    <n v="0"/>
    <n v="28500"/>
    <n v="0"/>
  </r>
  <r>
    <n v="2020"/>
    <x v="11"/>
    <n v="27"/>
    <x v="4"/>
    <n v="0"/>
    <n v="28500"/>
    <n v="0"/>
  </r>
  <r>
    <n v="2020"/>
    <x v="11"/>
    <n v="27"/>
    <x v="5"/>
    <n v="0"/>
    <n v="28500"/>
    <n v="0"/>
  </r>
  <r>
    <n v="2020"/>
    <x v="11"/>
    <n v="27"/>
    <x v="6"/>
    <n v="0"/>
    <n v="28500"/>
    <n v="0"/>
  </r>
  <r>
    <n v="2020"/>
    <x v="11"/>
    <n v="27"/>
    <x v="7"/>
    <n v="0"/>
    <n v="28500"/>
    <n v="0"/>
  </r>
  <r>
    <n v="2020"/>
    <x v="11"/>
    <n v="27"/>
    <x v="8"/>
    <n v="0"/>
    <n v="28500"/>
    <n v="0"/>
  </r>
  <r>
    <n v="2020"/>
    <x v="11"/>
    <n v="27"/>
    <x v="9"/>
    <n v="281"/>
    <n v="28500"/>
    <n v="9.8596491228070179E-3"/>
  </r>
  <r>
    <n v="2020"/>
    <x v="11"/>
    <n v="27"/>
    <x v="10"/>
    <n v="5795"/>
    <n v="28500"/>
    <n v="0.20333333333333334"/>
  </r>
  <r>
    <n v="2020"/>
    <x v="11"/>
    <n v="27"/>
    <x v="11"/>
    <n v="30188.5"/>
    <n v="28500"/>
    <n v="1.0592456140350877"/>
  </r>
  <r>
    <n v="2020"/>
    <x v="11"/>
    <n v="27"/>
    <x v="12"/>
    <n v="21833.5"/>
    <n v="28500"/>
    <n v="0.7660877192982456"/>
  </r>
  <r>
    <n v="2020"/>
    <x v="11"/>
    <n v="27"/>
    <x v="13"/>
    <n v="19230"/>
    <n v="28500"/>
    <n v="0.67473684210526319"/>
  </r>
  <r>
    <n v="2020"/>
    <x v="11"/>
    <n v="27"/>
    <x v="14"/>
    <n v="20857.5"/>
    <n v="28500"/>
    <n v="0.73184210526315785"/>
  </r>
  <r>
    <n v="2020"/>
    <x v="11"/>
    <n v="27"/>
    <x v="15"/>
    <n v="9298"/>
    <n v="28500"/>
    <n v="0.32624561403508773"/>
  </r>
  <r>
    <n v="2020"/>
    <x v="11"/>
    <n v="27"/>
    <x v="16"/>
    <n v="0"/>
    <n v="28500"/>
    <n v="0"/>
  </r>
  <r>
    <n v="2020"/>
    <x v="11"/>
    <n v="27"/>
    <x v="17"/>
    <n v="0"/>
    <n v="28500"/>
    <n v="0"/>
  </r>
  <r>
    <n v="2020"/>
    <x v="11"/>
    <n v="27"/>
    <x v="18"/>
    <n v="0"/>
    <n v="28500"/>
    <n v="0"/>
  </r>
  <r>
    <n v="2020"/>
    <x v="11"/>
    <n v="27"/>
    <x v="19"/>
    <n v="0"/>
    <n v="28500"/>
    <n v="0"/>
  </r>
  <r>
    <n v="2020"/>
    <x v="11"/>
    <n v="27"/>
    <x v="20"/>
    <n v="0"/>
    <n v="28500"/>
    <n v="0"/>
  </r>
  <r>
    <n v="2020"/>
    <x v="11"/>
    <n v="27"/>
    <x v="21"/>
    <n v="0"/>
    <n v="28500"/>
    <n v="0"/>
  </r>
  <r>
    <n v="2020"/>
    <x v="11"/>
    <n v="27"/>
    <x v="22"/>
    <n v="0"/>
    <n v="28500"/>
    <n v="0"/>
  </r>
  <r>
    <n v="2020"/>
    <x v="11"/>
    <n v="27"/>
    <x v="23"/>
    <n v="0"/>
    <n v="28500"/>
    <n v="0"/>
  </r>
  <r>
    <n v="2020"/>
    <x v="11"/>
    <n v="28"/>
    <x v="0"/>
    <n v="0"/>
    <n v="28500"/>
    <n v="0"/>
  </r>
  <r>
    <n v="2020"/>
    <x v="11"/>
    <n v="28"/>
    <x v="1"/>
    <n v="0"/>
    <n v="28500"/>
    <n v="0"/>
  </r>
  <r>
    <n v="2020"/>
    <x v="11"/>
    <n v="28"/>
    <x v="2"/>
    <n v="0"/>
    <n v="28500"/>
    <n v="0"/>
  </r>
  <r>
    <n v="2020"/>
    <x v="11"/>
    <n v="28"/>
    <x v="3"/>
    <n v="0"/>
    <n v="28500"/>
    <n v="0"/>
  </r>
  <r>
    <n v="2020"/>
    <x v="11"/>
    <n v="28"/>
    <x v="4"/>
    <n v="0"/>
    <n v="28500"/>
    <n v="0"/>
  </r>
  <r>
    <n v="2020"/>
    <x v="11"/>
    <n v="28"/>
    <x v="5"/>
    <n v="0"/>
    <n v="28500"/>
    <n v="0"/>
  </r>
  <r>
    <n v="2020"/>
    <x v="11"/>
    <n v="28"/>
    <x v="6"/>
    <n v="0"/>
    <n v="28500"/>
    <n v="0"/>
  </r>
  <r>
    <n v="2020"/>
    <x v="11"/>
    <n v="28"/>
    <x v="7"/>
    <n v="0"/>
    <n v="28500"/>
    <n v="0"/>
  </r>
  <r>
    <n v="2020"/>
    <x v="11"/>
    <n v="28"/>
    <x v="8"/>
    <n v="0"/>
    <n v="28500"/>
    <n v="0"/>
  </r>
  <r>
    <n v="2020"/>
    <x v="11"/>
    <n v="28"/>
    <x v="9"/>
    <n v="1783"/>
    <n v="28500"/>
    <n v="6.2561403508771929E-2"/>
  </r>
  <r>
    <n v="2020"/>
    <x v="11"/>
    <n v="28"/>
    <x v="10"/>
    <n v="8170.5"/>
    <n v="28500"/>
    <n v="0.28668421052631576"/>
  </r>
  <r>
    <n v="2020"/>
    <x v="11"/>
    <n v="28"/>
    <x v="11"/>
    <n v="9168"/>
    <n v="28500"/>
    <n v="0.32168421052631579"/>
  </r>
  <r>
    <n v="2020"/>
    <x v="11"/>
    <n v="28"/>
    <x v="12"/>
    <n v="20576"/>
    <n v="28500"/>
    <n v="0.72196491228070181"/>
  </r>
  <r>
    <n v="2020"/>
    <x v="11"/>
    <n v="28"/>
    <x v="13"/>
    <n v="7354"/>
    <n v="28500"/>
    <n v="0.25803508771929823"/>
  </r>
  <r>
    <n v="2020"/>
    <x v="11"/>
    <n v="28"/>
    <x v="14"/>
    <n v="5574"/>
    <n v="28500"/>
    <n v="0.19557894736842105"/>
  </r>
  <r>
    <n v="2020"/>
    <x v="11"/>
    <n v="28"/>
    <x v="15"/>
    <n v="1041"/>
    <n v="28500"/>
    <n v="3.6526315789473685E-2"/>
  </r>
  <r>
    <n v="2020"/>
    <x v="11"/>
    <n v="28"/>
    <x v="16"/>
    <n v="0"/>
    <n v="28500"/>
    <n v="0"/>
  </r>
  <r>
    <n v="2020"/>
    <x v="11"/>
    <n v="28"/>
    <x v="17"/>
    <n v="0"/>
    <n v="28500"/>
    <n v="0"/>
  </r>
  <r>
    <n v="2020"/>
    <x v="11"/>
    <n v="28"/>
    <x v="18"/>
    <n v="0"/>
    <n v="28500"/>
    <n v="0"/>
  </r>
  <r>
    <n v="2020"/>
    <x v="11"/>
    <n v="28"/>
    <x v="19"/>
    <n v="0"/>
    <n v="28500"/>
    <n v="0"/>
  </r>
  <r>
    <n v="2020"/>
    <x v="11"/>
    <n v="28"/>
    <x v="20"/>
    <n v="0"/>
    <n v="28500"/>
    <n v="0"/>
  </r>
  <r>
    <n v="2020"/>
    <x v="11"/>
    <n v="28"/>
    <x v="21"/>
    <n v="0"/>
    <n v="28500"/>
    <n v="0"/>
  </r>
  <r>
    <n v="2020"/>
    <x v="11"/>
    <n v="28"/>
    <x v="22"/>
    <n v="0"/>
    <n v="28500"/>
    <n v="0"/>
  </r>
  <r>
    <n v="2020"/>
    <x v="11"/>
    <n v="28"/>
    <x v="23"/>
    <n v="0"/>
    <n v="28500"/>
    <n v="0"/>
  </r>
  <r>
    <n v="2020"/>
    <x v="11"/>
    <n v="29"/>
    <x v="0"/>
    <n v="0"/>
    <n v="28500"/>
    <n v="0"/>
  </r>
  <r>
    <n v="2020"/>
    <x v="11"/>
    <n v="29"/>
    <x v="1"/>
    <n v="0"/>
    <n v="28500"/>
    <n v="0"/>
  </r>
  <r>
    <n v="2020"/>
    <x v="11"/>
    <n v="29"/>
    <x v="2"/>
    <n v="0"/>
    <n v="28500"/>
    <n v="0"/>
  </r>
  <r>
    <n v="2020"/>
    <x v="11"/>
    <n v="29"/>
    <x v="3"/>
    <n v="0"/>
    <n v="28500"/>
    <n v="0"/>
  </r>
  <r>
    <n v="2020"/>
    <x v="11"/>
    <n v="29"/>
    <x v="4"/>
    <n v="0"/>
    <n v="28500"/>
    <n v="0"/>
  </r>
  <r>
    <n v="2020"/>
    <x v="11"/>
    <n v="29"/>
    <x v="5"/>
    <n v="0"/>
    <n v="28500"/>
    <n v="0"/>
  </r>
  <r>
    <n v="2020"/>
    <x v="11"/>
    <n v="29"/>
    <x v="6"/>
    <n v="0"/>
    <n v="28500"/>
    <n v="0"/>
  </r>
  <r>
    <n v="2020"/>
    <x v="11"/>
    <n v="29"/>
    <x v="7"/>
    <n v="0"/>
    <n v="28500"/>
    <n v="0"/>
  </r>
  <r>
    <n v="2020"/>
    <x v="11"/>
    <n v="29"/>
    <x v="8"/>
    <n v="0"/>
    <n v="28500"/>
    <n v="0"/>
  </r>
  <r>
    <n v="2020"/>
    <x v="11"/>
    <n v="29"/>
    <x v="9"/>
    <n v="738.5"/>
    <n v="28500"/>
    <n v="2.5912280701754387E-2"/>
  </r>
  <r>
    <n v="2020"/>
    <x v="11"/>
    <n v="29"/>
    <x v="10"/>
    <n v="1303"/>
    <n v="28500"/>
    <n v="4.5719298245614035E-2"/>
  </r>
  <r>
    <n v="2020"/>
    <x v="11"/>
    <n v="29"/>
    <x v="11"/>
    <n v="4967"/>
    <n v="28500"/>
    <n v="0.17428070175438595"/>
  </r>
  <r>
    <n v="2020"/>
    <x v="11"/>
    <n v="29"/>
    <x v="12"/>
    <n v="8152.5"/>
    <n v="28500"/>
    <n v="0.28605263157894739"/>
  </r>
  <r>
    <n v="2020"/>
    <x v="11"/>
    <n v="29"/>
    <x v="13"/>
    <n v="1474.5"/>
    <n v="28500"/>
    <n v="5.1736842105263157E-2"/>
  </r>
  <r>
    <n v="2020"/>
    <x v="11"/>
    <n v="29"/>
    <x v="14"/>
    <n v="2503.5"/>
    <n v="28500"/>
    <n v="8.7842105263157888E-2"/>
  </r>
  <r>
    <n v="2020"/>
    <x v="11"/>
    <n v="29"/>
    <x v="15"/>
    <n v="0"/>
    <n v="28500"/>
    <n v="0"/>
  </r>
  <r>
    <n v="2020"/>
    <x v="11"/>
    <n v="29"/>
    <x v="16"/>
    <n v="0"/>
    <n v="28500"/>
    <n v="0"/>
  </r>
  <r>
    <n v="2020"/>
    <x v="11"/>
    <n v="29"/>
    <x v="17"/>
    <n v="0"/>
    <n v="28500"/>
    <n v="0"/>
  </r>
  <r>
    <n v="2020"/>
    <x v="11"/>
    <n v="29"/>
    <x v="18"/>
    <n v="0"/>
    <n v="28500"/>
    <n v="0"/>
  </r>
  <r>
    <n v="2020"/>
    <x v="11"/>
    <n v="29"/>
    <x v="19"/>
    <n v="0"/>
    <n v="28500"/>
    <n v="0"/>
  </r>
  <r>
    <n v="2020"/>
    <x v="11"/>
    <n v="29"/>
    <x v="20"/>
    <n v="0"/>
    <n v="28500"/>
    <n v="0"/>
  </r>
  <r>
    <n v="2020"/>
    <x v="11"/>
    <n v="29"/>
    <x v="21"/>
    <n v="0"/>
    <n v="28500"/>
    <n v="0"/>
  </r>
  <r>
    <n v="2020"/>
    <x v="11"/>
    <n v="29"/>
    <x v="22"/>
    <n v="0"/>
    <n v="28500"/>
    <n v="0"/>
  </r>
  <r>
    <n v="2020"/>
    <x v="11"/>
    <n v="29"/>
    <x v="23"/>
    <n v="0"/>
    <n v="28500"/>
    <n v="0"/>
  </r>
  <r>
    <n v="2020"/>
    <x v="11"/>
    <n v="30"/>
    <x v="0"/>
    <n v="0"/>
    <n v="28500"/>
    <n v="0"/>
  </r>
  <r>
    <n v="2020"/>
    <x v="11"/>
    <n v="30"/>
    <x v="1"/>
    <n v="0"/>
    <n v="28500"/>
    <n v="0"/>
  </r>
  <r>
    <n v="2020"/>
    <x v="11"/>
    <n v="30"/>
    <x v="2"/>
    <n v="0"/>
    <n v="28500"/>
    <n v="0"/>
  </r>
  <r>
    <n v="2020"/>
    <x v="11"/>
    <n v="30"/>
    <x v="3"/>
    <n v="0"/>
    <n v="28500"/>
    <n v="0"/>
  </r>
  <r>
    <n v="2020"/>
    <x v="11"/>
    <n v="30"/>
    <x v="4"/>
    <n v="0"/>
    <n v="28500"/>
    <n v="0"/>
  </r>
  <r>
    <n v="2020"/>
    <x v="11"/>
    <n v="30"/>
    <x v="5"/>
    <n v="0"/>
    <n v="28500"/>
    <n v="0"/>
  </r>
  <r>
    <n v="2020"/>
    <x v="11"/>
    <n v="30"/>
    <x v="6"/>
    <n v="0"/>
    <n v="28500"/>
    <n v="0"/>
  </r>
  <r>
    <n v="2020"/>
    <x v="11"/>
    <n v="30"/>
    <x v="7"/>
    <n v="0"/>
    <n v="28500"/>
    <n v="0"/>
  </r>
  <r>
    <n v="2020"/>
    <x v="11"/>
    <n v="30"/>
    <x v="8"/>
    <n v="0"/>
    <n v="28500"/>
    <n v="0"/>
  </r>
  <r>
    <n v="2020"/>
    <x v="11"/>
    <n v="30"/>
    <x v="9"/>
    <n v="14558"/>
    <n v="28500"/>
    <n v="0.5108070175438596"/>
  </r>
  <r>
    <n v="2020"/>
    <x v="11"/>
    <n v="30"/>
    <x v="10"/>
    <n v="18811.5"/>
    <n v="28500"/>
    <n v="0.66005263157894734"/>
  </r>
  <r>
    <n v="2020"/>
    <x v="11"/>
    <n v="30"/>
    <x v="11"/>
    <n v="19419.5"/>
    <n v="28500"/>
    <n v="0.68138596491228065"/>
  </r>
  <r>
    <n v="2020"/>
    <x v="11"/>
    <n v="30"/>
    <x v="12"/>
    <n v="15856"/>
    <n v="28500"/>
    <n v="0.55635087719298248"/>
  </r>
  <r>
    <n v="2020"/>
    <x v="11"/>
    <n v="30"/>
    <x v="13"/>
    <n v="6775.5"/>
    <n v="28500"/>
    <n v="0.23773684210526316"/>
  </r>
  <r>
    <n v="2020"/>
    <x v="11"/>
    <n v="30"/>
    <x v="14"/>
    <n v="9759.5"/>
    <n v="28500"/>
    <n v="0.3424385964912281"/>
  </r>
  <r>
    <n v="2020"/>
    <x v="11"/>
    <n v="30"/>
    <x v="15"/>
    <n v="10637.5"/>
    <n v="28500"/>
    <n v="0.37324561403508771"/>
  </r>
  <r>
    <n v="2020"/>
    <x v="11"/>
    <n v="30"/>
    <x v="16"/>
    <n v="0"/>
    <n v="28500"/>
    <n v="0"/>
  </r>
  <r>
    <n v="2020"/>
    <x v="11"/>
    <n v="30"/>
    <x v="17"/>
    <n v="0"/>
    <n v="28500"/>
    <n v="0"/>
  </r>
  <r>
    <n v="2020"/>
    <x v="11"/>
    <n v="30"/>
    <x v="18"/>
    <n v="0"/>
    <n v="28500"/>
    <n v="0"/>
  </r>
  <r>
    <n v="2020"/>
    <x v="11"/>
    <n v="30"/>
    <x v="19"/>
    <n v="0"/>
    <n v="28500"/>
    <n v="0"/>
  </r>
  <r>
    <n v="2020"/>
    <x v="11"/>
    <n v="30"/>
    <x v="20"/>
    <n v="0"/>
    <n v="28500"/>
    <n v="0"/>
  </r>
  <r>
    <n v="2020"/>
    <x v="11"/>
    <n v="30"/>
    <x v="21"/>
    <n v="0"/>
    <n v="28500"/>
    <n v="0"/>
  </r>
  <r>
    <n v="2020"/>
    <x v="11"/>
    <n v="30"/>
    <x v="22"/>
    <n v="0"/>
    <n v="28500"/>
    <n v="0"/>
  </r>
  <r>
    <n v="2020"/>
    <x v="11"/>
    <n v="30"/>
    <x v="23"/>
    <n v="0"/>
    <n v="28500"/>
    <n v="0"/>
  </r>
  <r>
    <n v="2020"/>
    <x v="11"/>
    <n v="31"/>
    <x v="0"/>
    <n v="0"/>
    <n v="28500"/>
    <n v="0"/>
  </r>
  <r>
    <n v="2020"/>
    <x v="11"/>
    <n v="31"/>
    <x v="1"/>
    <n v="0"/>
    <n v="28500"/>
    <n v="0"/>
  </r>
  <r>
    <n v="2020"/>
    <x v="11"/>
    <n v="31"/>
    <x v="2"/>
    <n v="0"/>
    <n v="28500"/>
    <n v="0"/>
  </r>
  <r>
    <n v="2020"/>
    <x v="11"/>
    <n v="31"/>
    <x v="3"/>
    <n v="0"/>
    <n v="28500"/>
    <n v="0"/>
  </r>
  <r>
    <n v="2020"/>
    <x v="11"/>
    <n v="31"/>
    <x v="4"/>
    <n v="0"/>
    <n v="28500"/>
    <n v="0"/>
  </r>
  <r>
    <n v="2020"/>
    <x v="11"/>
    <n v="31"/>
    <x v="5"/>
    <n v="0"/>
    <n v="28500"/>
    <n v="0"/>
  </r>
  <r>
    <n v="2020"/>
    <x v="11"/>
    <n v="31"/>
    <x v="6"/>
    <n v="0"/>
    <n v="28500"/>
    <n v="0"/>
  </r>
  <r>
    <n v="2020"/>
    <x v="11"/>
    <n v="31"/>
    <x v="7"/>
    <n v="0"/>
    <n v="28500"/>
    <n v="0"/>
  </r>
  <r>
    <n v="2020"/>
    <x v="11"/>
    <n v="31"/>
    <x v="8"/>
    <n v="0"/>
    <n v="28500"/>
    <n v="0"/>
  </r>
  <r>
    <n v="2020"/>
    <x v="11"/>
    <n v="31"/>
    <x v="9"/>
    <n v="2418"/>
    <n v="28500"/>
    <n v="8.4842105263157899E-2"/>
  </r>
  <r>
    <n v="2020"/>
    <x v="11"/>
    <n v="31"/>
    <x v="10"/>
    <n v="4060"/>
    <n v="28500"/>
    <n v="0.1424561403508772"/>
  </r>
  <r>
    <n v="2020"/>
    <x v="11"/>
    <n v="31"/>
    <x v="11"/>
    <n v="3968"/>
    <n v="28500"/>
    <n v="0.13922807017543859"/>
  </r>
  <r>
    <n v="2020"/>
    <x v="11"/>
    <n v="31"/>
    <x v="12"/>
    <n v="2884"/>
    <n v="28500"/>
    <n v="0.10119298245614035"/>
  </r>
  <r>
    <n v="2020"/>
    <x v="11"/>
    <n v="31"/>
    <x v="13"/>
    <n v="1223.5"/>
    <n v="28500"/>
    <n v="4.2929824561403505E-2"/>
  </r>
  <r>
    <n v="2020"/>
    <x v="11"/>
    <n v="31"/>
    <x v="14"/>
    <n v="1186"/>
    <n v="28500"/>
    <n v="4.1614035087719298E-2"/>
  </r>
  <r>
    <n v="2020"/>
    <x v="11"/>
    <n v="31"/>
    <x v="15"/>
    <n v="1091"/>
    <n v="28500"/>
    <n v="3.8280701754385964E-2"/>
  </r>
  <r>
    <n v="2020"/>
    <x v="11"/>
    <n v="31"/>
    <x v="16"/>
    <n v="0"/>
    <n v="28500"/>
    <n v="0"/>
  </r>
  <r>
    <n v="2020"/>
    <x v="11"/>
    <n v="31"/>
    <x v="17"/>
    <n v="0"/>
    <n v="28500"/>
    <n v="0"/>
  </r>
  <r>
    <n v="2020"/>
    <x v="11"/>
    <n v="31"/>
    <x v="18"/>
    <n v="0"/>
    <n v="28500"/>
    <n v="0"/>
  </r>
  <r>
    <n v="2020"/>
    <x v="11"/>
    <n v="31"/>
    <x v="19"/>
    <n v="0"/>
    <n v="28500"/>
    <n v="0"/>
  </r>
  <r>
    <n v="2020"/>
    <x v="11"/>
    <n v="31"/>
    <x v="20"/>
    <n v="0"/>
    <n v="28500"/>
    <n v="0"/>
  </r>
  <r>
    <n v="2020"/>
    <x v="11"/>
    <n v="31"/>
    <x v="21"/>
    <n v="0"/>
    <n v="28500"/>
    <n v="0"/>
  </r>
  <r>
    <n v="2020"/>
    <x v="11"/>
    <n v="31"/>
    <x v="22"/>
    <n v="0"/>
    <n v="28500"/>
    <n v="0"/>
  </r>
  <r>
    <n v="2020"/>
    <x v="11"/>
    <n v="31"/>
    <x v="23"/>
    <n v="0"/>
    <n v="2850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B1B481-1C3B-478B-B602-1F427F4D65B7}" name="PivotTable7" cacheId="0" dataOnRows="1" applyNumberFormats="0" applyBorderFormats="0" applyFontFormats="0" applyPatternFormats="0" applyAlignmentFormats="0" applyWidthHeightFormats="1" dataCaption="Data" showError="1" updatedVersion="8" showMemberPropertyTips="0" useAutoFormatting="1" itemPrintTitles="1" createdVersion="1" indent="0" compact="0" compactData="0" gridDropZones="1">
  <location ref="AT2:BG28" firstHeaderRow="1" firstDataRow="2" firstDataCol="1"/>
  <pivotFields count="7">
    <pivotField compact="0" outline="0" showAll="0" includeNewItemsInFilter="1"/>
    <pivotField axis="axisCol" compact="0" outline="0" showAll="0" includeNewItemsInFilter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outline="0" showAll="0" includeNewItemsInFilter="1"/>
    <pivotField axis="axisRow" compact="0" outline="0" showAll="0" includeNewItemsInFilter="1">
      <items count="2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0"/>
        <item t="default"/>
      </items>
    </pivotField>
    <pivotField compact="0" outline="0" showAll="0" includeNewItemsInFilter="1"/>
    <pivotField compact="0" outline="0" showAll="0" includeNewItemsInFilter="1"/>
    <pivotField dataField="1" compact="0" outline="0" showAll="0" includeNewItemsInFilter="1"/>
  </pivotFields>
  <rowFields count="1">
    <field x="3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Sum of % of" fld="6" showDataAs="percentOfCol" baseField="3" baseItem="12" numFmtId="1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1DD2138-B787-4E69-B2F4-6F82265957D2}" name="Table1" displayName="Table1" ref="AM1:AS17545" totalsRowShown="0" headerRowDxfId="11" headerRowBorderDxfId="10" tableBorderDxfId="9" totalsRowBorderDxfId="8">
  <autoFilter ref="AM1:AS17545" xr:uid="{954B52CC-4FA2-4AB7-9BF7-26FF30304589}"/>
  <tableColumns count="7">
    <tableColumn id="1" xr3:uid="{00000000-0010-0000-0100-000001000000}" name="Year" dataDxfId="7"/>
    <tableColumn id="2" xr3:uid="{00000000-0010-0000-0100-000002000000}" name="Month" dataDxfId="6"/>
    <tableColumn id="3" xr3:uid="{00000000-0010-0000-0100-000003000000}" name="Day" dataDxfId="5"/>
    <tableColumn id="4" xr3:uid="{00000000-0010-0000-0100-000004000000}" name="Time" dataDxfId="4"/>
    <tableColumn id="5" xr3:uid="{00000000-0010-0000-0100-000005000000}" name="P (W)" dataDxfId="3"/>
    <tableColumn id="6" xr3:uid="{00000000-0010-0000-0100-000006000000}" name="Constant" dataDxfId="2"/>
    <tableColumn id="7" xr3:uid="{00000000-0010-0000-0100-000007000000}" name="% of" dataDxfId="1">
      <calculatedColumnFormula>AQ2/AR2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1.xml"/><Relationship Id="rId6" Type="http://schemas.openxmlformats.org/officeDocument/2006/relationships/comments" Target="../comments2.xml"/><Relationship Id="rId5" Type="http://schemas.openxmlformats.org/officeDocument/2006/relationships/table" Target="../tables/table1.xml"/><Relationship Id="rId4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7B07F-3E77-4826-B3B1-AE110DC32F39}">
  <sheetPr>
    <tabColor theme="6"/>
    <pageSetUpPr fitToPage="1"/>
  </sheetPr>
  <dimension ref="A1:BR149"/>
  <sheetViews>
    <sheetView tabSelected="1" view="pageBreakPreview" zoomScale="85" zoomScaleNormal="70" zoomScaleSheetLayoutView="85" zoomScalePageLayoutView="40" workbookViewId="0">
      <selection activeCell="R7" sqref="R7"/>
    </sheetView>
  </sheetViews>
  <sheetFormatPr defaultRowHeight="14.4" outlineLevelCol="1"/>
  <cols>
    <col min="1" max="1" width="26.33203125" bestFit="1" customWidth="1"/>
    <col min="2" max="7" width="9" customWidth="1"/>
    <col min="9" max="9" width="9.109375" customWidth="1"/>
    <col min="12" max="12" width="10.5546875" customWidth="1"/>
    <col min="13" max="13" width="3.88671875" customWidth="1"/>
    <col min="14" max="14" width="20.21875" customWidth="1" outlineLevel="1"/>
    <col min="15" max="15" width="17" customWidth="1" outlineLevel="1"/>
    <col min="16" max="16" width="11.33203125" customWidth="1" outlineLevel="1"/>
    <col min="17" max="17" width="8.5546875" customWidth="1" outlineLevel="1"/>
    <col min="18" max="18" width="20.6640625" customWidth="1" outlineLevel="1"/>
    <col min="19" max="19" width="12.109375" customWidth="1" outlineLevel="1"/>
    <col min="20" max="20" width="6.88671875" customWidth="1"/>
    <col min="22" max="22" width="8.33203125" style="31" customWidth="1"/>
    <col min="23" max="41" width="8.33203125" customWidth="1"/>
    <col min="42" max="42" width="5.6640625" customWidth="1"/>
    <col min="44" max="44" width="31.109375" customWidth="1"/>
    <col min="46" max="46" width="24" bestFit="1" customWidth="1"/>
    <col min="47" max="66" width="5.5546875" customWidth="1"/>
    <col min="67" max="67" width="14.44140625" customWidth="1"/>
    <col min="68" max="68" width="10.5546875" bestFit="1" customWidth="1"/>
    <col min="69" max="72" width="5.5546875" customWidth="1"/>
  </cols>
  <sheetData>
    <row r="1" spans="1:66" ht="15.6">
      <c r="A1" s="383" t="s">
        <v>33</v>
      </c>
      <c r="B1" s="383"/>
      <c r="C1" s="383"/>
      <c r="D1" s="383"/>
      <c r="T1" s="355" t="str">
        <f>A1</f>
        <v>XXXXX - Project Name</v>
      </c>
      <c r="U1" s="355"/>
      <c r="V1" s="355"/>
      <c r="W1" s="355"/>
      <c r="AR1" s="9" t="str">
        <f>A1</f>
        <v>XXXXX - Project Name</v>
      </c>
      <c r="AS1" s="9"/>
      <c r="AT1" s="9"/>
      <c r="AU1" s="9"/>
    </row>
    <row r="2" spans="1:66" ht="15.6" customHeight="1">
      <c r="A2" s="355" t="s">
        <v>0</v>
      </c>
      <c r="B2" s="355"/>
      <c r="C2" s="355"/>
      <c r="D2" s="9"/>
      <c r="Q2" s="8"/>
      <c r="S2" s="8"/>
      <c r="T2" s="9" t="s">
        <v>0</v>
      </c>
      <c r="U2" s="9"/>
      <c r="V2" s="9"/>
      <c r="W2" s="9"/>
      <c r="AR2" s="9" t="s">
        <v>0</v>
      </c>
      <c r="AS2" s="9"/>
      <c r="AT2" s="9"/>
      <c r="AU2" s="9"/>
    </row>
    <row r="3" spans="1:66" ht="15.6">
      <c r="A3" s="355" t="s">
        <v>288</v>
      </c>
      <c r="B3" s="355"/>
      <c r="C3" s="355"/>
      <c r="D3" s="9"/>
      <c r="I3" s="2"/>
      <c r="Q3" s="8"/>
      <c r="S3" s="8"/>
      <c r="T3" s="9" t="s">
        <v>50</v>
      </c>
      <c r="U3" s="9"/>
      <c r="V3" s="9"/>
      <c r="W3" s="9"/>
      <c r="AC3" s="2"/>
      <c r="AR3" s="9" t="s">
        <v>289</v>
      </c>
      <c r="AS3" s="9"/>
      <c r="AT3" s="9"/>
      <c r="AU3" s="9"/>
      <c r="BA3" s="2"/>
    </row>
    <row r="4" spans="1:66">
      <c r="A4" s="20"/>
      <c r="B4" s="140" t="s">
        <v>248</v>
      </c>
      <c r="C4" s="17"/>
      <c r="D4" s="17"/>
      <c r="E4" s="18"/>
      <c r="G4" s="16"/>
      <c r="I4" s="2"/>
      <c r="Q4" s="8"/>
      <c r="V4"/>
      <c r="AA4" s="16"/>
      <c r="AC4" s="2"/>
      <c r="AY4" s="16"/>
      <c r="BA4" s="2"/>
    </row>
    <row r="5" spans="1:66">
      <c r="A5" s="14"/>
      <c r="B5" s="141" t="s">
        <v>249</v>
      </c>
      <c r="C5" s="142"/>
      <c r="D5" s="27"/>
      <c r="E5" s="143"/>
      <c r="I5" s="2"/>
      <c r="N5" s="322" t="s">
        <v>316</v>
      </c>
      <c r="O5" s="322"/>
      <c r="AS5" s="7"/>
      <c r="AT5" s="7"/>
      <c r="AU5" s="5"/>
      <c r="BA5" s="2"/>
    </row>
    <row r="6" spans="1:66" ht="15" thickBot="1"/>
    <row r="7" spans="1:66" ht="14.4" customHeight="1" thickBot="1">
      <c r="A7" s="378" t="s">
        <v>1</v>
      </c>
      <c r="B7" s="380" t="s">
        <v>15</v>
      </c>
      <c r="C7" s="370" t="s">
        <v>5</v>
      </c>
      <c r="D7" s="384"/>
      <c r="E7" s="371"/>
      <c r="F7" s="370" t="s">
        <v>6</v>
      </c>
      <c r="G7" s="371"/>
      <c r="H7" s="380" t="s">
        <v>7</v>
      </c>
      <c r="I7" s="370" t="s">
        <v>8</v>
      </c>
      <c r="J7" s="371"/>
      <c r="K7" s="370" t="s">
        <v>9</v>
      </c>
      <c r="L7" s="382"/>
      <c r="M7" s="1"/>
      <c r="N7" s="166" t="s">
        <v>214</v>
      </c>
      <c r="O7" s="299"/>
      <c r="Q7" s="178" t="s">
        <v>228</v>
      </c>
      <c r="R7" s="307" t="s">
        <v>334</v>
      </c>
      <c r="S7" s="8"/>
      <c r="AR7" s="378" t="s">
        <v>1</v>
      </c>
      <c r="AS7" s="380" t="s">
        <v>13</v>
      </c>
      <c r="AT7" s="380" t="s">
        <v>42</v>
      </c>
      <c r="AU7" s="372" t="s">
        <v>43</v>
      </c>
      <c r="AV7" s="372"/>
      <c r="AW7" s="372"/>
      <c r="AX7" s="372"/>
      <c r="AY7" s="372"/>
      <c r="AZ7" s="372"/>
      <c r="BA7" s="372"/>
      <c r="BB7" s="372"/>
      <c r="BC7" s="372"/>
      <c r="BD7" s="372"/>
      <c r="BE7" s="372"/>
      <c r="BF7" s="372"/>
      <c r="BG7" s="372"/>
      <c r="BH7" s="372"/>
      <c r="BI7" s="372"/>
      <c r="BJ7" s="372"/>
      <c r="BK7" s="372"/>
      <c r="BL7" s="372"/>
      <c r="BM7" s="372"/>
      <c r="BN7" s="373"/>
    </row>
    <row r="8" spans="1:66" ht="14.4" customHeight="1">
      <c r="A8" s="379"/>
      <c r="B8" s="369"/>
      <c r="C8" s="368" t="s">
        <v>16</v>
      </c>
      <c r="D8" s="368" t="s">
        <v>17</v>
      </c>
      <c r="E8" s="368" t="s">
        <v>18</v>
      </c>
      <c r="F8" s="368" t="s">
        <v>40</v>
      </c>
      <c r="G8" s="368" t="s">
        <v>10</v>
      </c>
      <c r="H8" s="369"/>
      <c r="I8" s="368" t="s">
        <v>2</v>
      </c>
      <c r="J8" s="368" t="s">
        <v>11</v>
      </c>
      <c r="K8" s="368" t="s">
        <v>12</v>
      </c>
      <c r="L8" s="385" t="s">
        <v>13</v>
      </c>
      <c r="M8" s="1"/>
      <c r="N8" s="167" t="s">
        <v>250</v>
      </c>
      <c r="O8" s="300" t="s">
        <v>219</v>
      </c>
      <c r="P8" s="95"/>
      <c r="Q8" s="8"/>
      <c r="S8" s="8"/>
      <c r="V8" s="245" t="s">
        <v>229</v>
      </c>
      <c r="W8" s="362" t="s">
        <v>230</v>
      </c>
      <c r="X8" s="363"/>
      <c r="AR8" s="379"/>
      <c r="AS8" s="369"/>
      <c r="AT8" s="369"/>
      <c r="AU8" s="374"/>
      <c r="AV8" s="374"/>
      <c r="AW8" s="374"/>
      <c r="AX8" s="374"/>
      <c r="AY8" s="374"/>
      <c r="AZ8" s="374"/>
      <c r="BA8" s="374"/>
      <c r="BB8" s="374"/>
      <c r="BC8" s="374"/>
      <c r="BD8" s="374"/>
      <c r="BE8" s="374"/>
      <c r="BF8" s="374"/>
      <c r="BG8" s="374"/>
      <c r="BH8" s="374"/>
      <c r="BI8" s="374"/>
      <c r="BJ8" s="374"/>
      <c r="BK8" s="374"/>
      <c r="BL8" s="374"/>
      <c r="BM8" s="374"/>
      <c r="BN8" s="375"/>
    </row>
    <row r="9" spans="1:66" ht="15" thickBot="1">
      <c r="A9" s="379"/>
      <c r="B9" s="369"/>
      <c r="C9" s="369"/>
      <c r="D9" s="369"/>
      <c r="E9" s="369"/>
      <c r="F9" s="369"/>
      <c r="G9" s="369"/>
      <c r="H9" s="369"/>
      <c r="I9" s="369"/>
      <c r="J9" s="369"/>
      <c r="K9" s="369"/>
      <c r="L9" s="386"/>
      <c r="M9" s="1"/>
      <c r="N9" s="167" t="s">
        <v>216</v>
      </c>
      <c r="O9" s="301">
        <v>3.5</v>
      </c>
      <c r="Q9" s="8"/>
      <c r="S9" s="8"/>
      <c r="V9" s="246">
        <v>0.20833333333333334</v>
      </c>
      <c r="W9" s="246">
        <v>0.25</v>
      </c>
      <c r="X9" s="246">
        <v>0.29166666666666702</v>
      </c>
      <c r="Y9" s="246">
        <v>0.33333333333333298</v>
      </c>
      <c r="Z9" s="246">
        <v>0.375</v>
      </c>
      <c r="AA9" s="246">
        <v>0.41666666666666702</v>
      </c>
      <c r="AB9" s="246">
        <v>0.45833333333333298</v>
      </c>
      <c r="AC9" s="246">
        <v>0.5</v>
      </c>
      <c r="AD9" s="246">
        <v>0.54166666666666696</v>
      </c>
      <c r="AE9" s="246">
        <v>0.58333333333333304</v>
      </c>
      <c r="AF9" s="246">
        <v>0.625</v>
      </c>
      <c r="AG9" s="246">
        <v>0.66666666666666696</v>
      </c>
      <c r="AH9" s="246">
        <v>0.70833333333333304</v>
      </c>
      <c r="AI9" s="246">
        <v>0.75</v>
      </c>
      <c r="AJ9" s="246">
        <v>0.79166666666666696</v>
      </c>
      <c r="AK9" s="246">
        <v>0.83333333333333304</v>
      </c>
      <c r="AL9" s="246">
        <v>0.875</v>
      </c>
      <c r="AM9" s="246">
        <v>0.91666666666666696</v>
      </c>
      <c r="AN9" s="246">
        <v>0.95833333333333304</v>
      </c>
      <c r="AO9" s="246">
        <v>1</v>
      </c>
      <c r="AP9" s="246" t="s">
        <v>41</v>
      </c>
      <c r="AR9" s="379"/>
      <c r="AS9" s="369"/>
      <c r="AT9" s="369"/>
      <c r="AU9" s="376"/>
      <c r="AV9" s="376"/>
      <c r="AW9" s="376"/>
      <c r="AX9" s="376"/>
      <c r="AY9" s="376"/>
      <c r="AZ9" s="376"/>
      <c r="BA9" s="376"/>
      <c r="BB9" s="376"/>
      <c r="BC9" s="376"/>
      <c r="BD9" s="376"/>
      <c r="BE9" s="376"/>
      <c r="BF9" s="376"/>
      <c r="BG9" s="376"/>
      <c r="BH9" s="376"/>
      <c r="BI9" s="376"/>
      <c r="BJ9" s="376"/>
      <c r="BK9" s="376"/>
      <c r="BL9" s="376"/>
      <c r="BM9" s="376"/>
      <c r="BN9" s="377"/>
    </row>
    <row r="10" spans="1:66" ht="15" thickBot="1">
      <c r="A10" s="379"/>
      <c r="B10" s="369"/>
      <c r="C10" s="369"/>
      <c r="D10" s="369"/>
      <c r="E10" s="369"/>
      <c r="F10" s="369"/>
      <c r="G10" s="369"/>
      <c r="H10" s="369"/>
      <c r="I10" s="369"/>
      <c r="J10" s="369"/>
      <c r="K10" s="369"/>
      <c r="L10" s="386"/>
      <c r="M10" s="1"/>
      <c r="N10" s="168" t="s">
        <v>215</v>
      </c>
      <c r="O10" s="94">
        <f>IF(O8="Heat Pump",O7/O9,IF(O8="Gas","0.1",O7))</f>
        <v>0</v>
      </c>
      <c r="Q10" s="8"/>
      <c r="S10" s="8"/>
      <c r="U10" s="246" t="s">
        <v>2</v>
      </c>
      <c r="V10" s="21">
        <f>IF($W8=$W$59,V$61,IF($W8=$W$67,V$69,IF($W8=$W$75,V$77,IF($W8=$W$83,V$85,IF($W8=$W$91,V$93,IF($W8=$W$107,V$109,IF($W8=$W$115,V$117,IF($W8=$W$123,V$125,IF($W8=$W$131,V$133,IF($W8=$W$139,V$141,0))))))))))</f>
        <v>0</v>
      </c>
      <c r="W10" s="21">
        <f t="shared" ref="W10:AO10" si="0">IF($W8=$W$59,W$61,IF($W8=$W$67,W$69,IF($W8=$W$75,W$77,IF($W8=$W$83,W$85,IF($W8=$W$91,W$93,IF($W8=$W$107,W$109,IF($W8=$W$115,W$117,IF($W8=$W$123,W$125,IF($W8=$W$131,W$133,IF($W8=$W$139,W$141,0))))))))))</f>
        <v>0.5</v>
      </c>
      <c r="X10" s="21">
        <f t="shared" si="0"/>
        <v>0.7</v>
      </c>
      <c r="Y10" s="21">
        <f t="shared" si="0"/>
        <v>0.7</v>
      </c>
      <c r="Z10" s="21">
        <f t="shared" si="0"/>
        <v>0.5</v>
      </c>
      <c r="AA10" s="21">
        <f t="shared" si="0"/>
        <v>0.2</v>
      </c>
      <c r="AB10" s="21">
        <f t="shared" si="0"/>
        <v>0.1</v>
      </c>
      <c r="AC10" s="21">
        <f t="shared" si="0"/>
        <v>0</v>
      </c>
      <c r="AD10" s="21">
        <f t="shared" si="0"/>
        <v>0</v>
      </c>
      <c r="AE10" s="21">
        <f t="shared" si="0"/>
        <v>0</v>
      </c>
      <c r="AF10" s="21">
        <f t="shared" si="0"/>
        <v>0</v>
      </c>
      <c r="AG10" s="21">
        <f t="shared" si="0"/>
        <v>0.4</v>
      </c>
      <c r="AH10" s="21">
        <f t="shared" si="0"/>
        <v>0.4</v>
      </c>
      <c r="AI10" s="21">
        <f t="shared" si="0"/>
        <v>0.7</v>
      </c>
      <c r="AJ10" s="21">
        <f t="shared" si="0"/>
        <v>0.7</v>
      </c>
      <c r="AK10" s="21">
        <f t="shared" si="0"/>
        <v>0.7</v>
      </c>
      <c r="AL10" s="21">
        <f t="shared" si="0"/>
        <v>0.7</v>
      </c>
      <c r="AM10" s="21">
        <f t="shared" si="0"/>
        <v>0.3</v>
      </c>
      <c r="AN10" s="21">
        <f t="shared" si="0"/>
        <v>0.1</v>
      </c>
      <c r="AO10" s="21">
        <f t="shared" si="0"/>
        <v>0</v>
      </c>
      <c r="AP10" s="35">
        <f>AVERAGE(V10:AO10)</f>
        <v>0.33500000000000002</v>
      </c>
      <c r="AR10" s="379"/>
      <c r="AS10" s="381"/>
      <c r="AT10" s="381"/>
      <c r="AU10" s="251">
        <v>0.20833333333333334</v>
      </c>
      <c r="AV10" s="251">
        <v>0.25</v>
      </c>
      <c r="AW10" s="251">
        <v>0.29166666666666702</v>
      </c>
      <c r="AX10" s="251">
        <v>0.33333333333333298</v>
      </c>
      <c r="AY10" s="251">
        <v>0.375</v>
      </c>
      <c r="AZ10" s="251">
        <v>0.41666666666666702</v>
      </c>
      <c r="BA10" s="251">
        <v>0.45833333333333298</v>
      </c>
      <c r="BB10" s="251">
        <v>0.5</v>
      </c>
      <c r="BC10" s="251">
        <v>0.54166666666666696</v>
      </c>
      <c r="BD10" s="251">
        <v>0.58333333333333304</v>
      </c>
      <c r="BE10" s="251">
        <v>0.625</v>
      </c>
      <c r="BF10" s="251">
        <v>0.66666666666666696</v>
      </c>
      <c r="BG10" s="251">
        <v>0.70833333333333304</v>
      </c>
      <c r="BH10" s="251">
        <v>0.75</v>
      </c>
      <c r="BI10" s="251">
        <v>0.79166666666666696</v>
      </c>
      <c r="BJ10" s="251">
        <v>0.83333333333333304</v>
      </c>
      <c r="BK10" s="251">
        <v>0.875</v>
      </c>
      <c r="BL10" s="251">
        <v>0.91666666666666696</v>
      </c>
      <c r="BM10" s="251">
        <v>0.95833333333333304</v>
      </c>
      <c r="BN10" s="252">
        <v>1</v>
      </c>
    </row>
    <row r="11" spans="1:66" ht="15" thickBot="1">
      <c r="A11" s="155" t="s">
        <v>35</v>
      </c>
      <c r="B11" s="156"/>
      <c r="C11" s="156"/>
      <c r="D11" s="156"/>
      <c r="E11" s="157"/>
      <c r="F11" s="156"/>
      <c r="G11" s="156"/>
      <c r="H11" s="156"/>
      <c r="I11" s="156"/>
      <c r="J11" s="156"/>
      <c r="K11" s="156"/>
      <c r="L11" s="158"/>
      <c r="M11" s="1"/>
      <c r="O11" s="8"/>
      <c r="Q11" s="8"/>
      <c r="S11" s="8"/>
      <c r="AP11" s="44"/>
      <c r="AR11" s="155" t="s">
        <v>35</v>
      </c>
      <c r="AS11" s="169"/>
      <c r="AT11" s="170"/>
      <c r="AU11" s="170"/>
      <c r="AV11" s="170"/>
      <c r="AW11" s="170"/>
      <c r="AX11" s="170"/>
      <c r="AY11" s="170"/>
      <c r="AZ11" s="170"/>
      <c r="BA11" s="170"/>
      <c r="BB11" s="170"/>
      <c r="BC11" s="170"/>
      <c r="BD11" s="170"/>
      <c r="BE11" s="170"/>
      <c r="BF11" s="170"/>
      <c r="BG11" s="170"/>
      <c r="BH11" s="170"/>
      <c r="BI11" s="170"/>
      <c r="BJ11" s="170"/>
      <c r="BK11" s="170"/>
      <c r="BL11" s="170"/>
      <c r="BM11" s="170"/>
      <c r="BN11" s="171"/>
    </row>
    <row r="12" spans="1:66" ht="15" thickBot="1">
      <c r="A12" s="276"/>
      <c r="B12" s="123"/>
      <c r="C12" s="124"/>
      <c r="D12" s="124"/>
      <c r="E12" s="125"/>
      <c r="F12" s="279"/>
      <c r="G12" s="280"/>
      <c r="H12" s="102">
        <f>G12*F12</f>
        <v>0</v>
      </c>
      <c r="I12" s="280">
        <v>1</v>
      </c>
      <c r="J12" s="102">
        <f t="shared" ref="J12:J22" si="1">H12*I12</f>
        <v>0</v>
      </c>
      <c r="K12" s="280">
        <v>0.95</v>
      </c>
      <c r="L12" s="103">
        <f t="shared" ref="L12:L22" si="2">J12/K12</f>
        <v>0</v>
      </c>
      <c r="M12" s="6"/>
      <c r="N12" s="148" t="s">
        <v>212</v>
      </c>
      <c r="O12" s="149" t="s">
        <v>3</v>
      </c>
      <c r="P12" s="149" t="s">
        <v>19</v>
      </c>
      <c r="Q12" s="149" t="s">
        <v>20</v>
      </c>
      <c r="R12" s="149" t="s">
        <v>2</v>
      </c>
      <c r="S12" s="150" t="s">
        <v>20</v>
      </c>
      <c r="AP12" s="44"/>
      <c r="AR12" s="112" t="str">
        <f t="shared" ref="AR12:AR22" si="3">IF(A12="","",A12)</f>
        <v/>
      </c>
      <c r="AS12" s="102">
        <f t="shared" ref="AS12:AS22" si="4">H12/K12</f>
        <v>0</v>
      </c>
      <c r="AT12" s="310"/>
      <c r="AU12" s="102">
        <f>IF($AT12="Profile 1",V$10*$AS12,IF($AT12="Profile 2",V$18*$AS12,IF($AT12="Profile 3",V$26*$AS12,IF($AT12="Profile 4",V$34*$AS12,IF($AT12="Profile 5",V$42*$AS12,IF($AT12="Profile 6",V$50*$AS12,0))))))</f>
        <v>0</v>
      </c>
      <c r="AV12" s="102">
        <f t="shared" ref="AV12:BN12" si="5">IF($AT12="Profile 1",W$10*$AS12,IF($AT12="Profile 2",W$18*$AS12,IF($AT12="Profile 3",W$26*$AS12,IF($AT12="Profile 4",W$34*$AS12,IF($AT12="Profile 5",W$42*$AS12,IF($AT12="Profile 6",W$50*$AS12,0))))))</f>
        <v>0</v>
      </c>
      <c r="AW12" s="102">
        <f t="shared" si="5"/>
        <v>0</v>
      </c>
      <c r="AX12" s="102">
        <f t="shared" si="5"/>
        <v>0</v>
      </c>
      <c r="AY12" s="102">
        <f t="shared" si="5"/>
        <v>0</v>
      </c>
      <c r="AZ12" s="102">
        <f t="shared" si="5"/>
        <v>0</v>
      </c>
      <c r="BA12" s="102">
        <f t="shared" si="5"/>
        <v>0</v>
      </c>
      <c r="BB12" s="102">
        <f t="shared" si="5"/>
        <v>0</v>
      </c>
      <c r="BC12" s="102">
        <f t="shared" si="5"/>
        <v>0</v>
      </c>
      <c r="BD12" s="102">
        <f t="shared" si="5"/>
        <v>0</v>
      </c>
      <c r="BE12" s="102">
        <f t="shared" si="5"/>
        <v>0</v>
      </c>
      <c r="BF12" s="102">
        <f t="shared" si="5"/>
        <v>0</v>
      </c>
      <c r="BG12" s="102">
        <f t="shared" si="5"/>
        <v>0</v>
      </c>
      <c r="BH12" s="102">
        <f t="shared" si="5"/>
        <v>0</v>
      </c>
      <c r="BI12" s="102">
        <f t="shared" si="5"/>
        <v>0</v>
      </c>
      <c r="BJ12" s="102">
        <f t="shared" si="5"/>
        <v>0</v>
      </c>
      <c r="BK12" s="102">
        <f t="shared" si="5"/>
        <v>0</v>
      </c>
      <c r="BL12" s="102">
        <f t="shared" si="5"/>
        <v>0</v>
      </c>
      <c r="BM12" s="102">
        <f t="shared" si="5"/>
        <v>0</v>
      </c>
      <c r="BN12" s="111">
        <f t="shared" si="5"/>
        <v>0</v>
      </c>
    </row>
    <row r="13" spans="1:66">
      <c r="A13" s="276"/>
      <c r="B13" s="30"/>
      <c r="C13" s="126"/>
      <c r="D13" s="126"/>
      <c r="E13" s="127"/>
      <c r="F13" s="279"/>
      <c r="G13" s="280"/>
      <c r="H13" s="36">
        <f t="shared" ref="H13:H22" si="6">G13*F13</f>
        <v>0</v>
      </c>
      <c r="I13" s="280">
        <v>1</v>
      </c>
      <c r="J13" s="36">
        <f t="shared" si="1"/>
        <v>0</v>
      </c>
      <c r="K13" s="282">
        <v>0.95</v>
      </c>
      <c r="L13" s="96">
        <f t="shared" si="2"/>
        <v>0</v>
      </c>
      <c r="M13" s="6"/>
      <c r="N13" s="135" t="s">
        <v>213</v>
      </c>
      <c r="O13" s="22">
        <f>O10</f>
        <v>0</v>
      </c>
      <c r="P13" s="305">
        <v>0.85</v>
      </c>
      <c r="Q13" s="22">
        <f>O13/P13</f>
        <v>0</v>
      </c>
      <c r="R13" s="136" t="s">
        <v>245</v>
      </c>
      <c r="S13" s="28">
        <f>IF(O13&gt;2.3,((O13-2.3)*0.5)+2.3,O13)</f>
        <v>0</v>
      </c>
      <c r="AP13" s="44"/>
      <c r="AR13" s="112" t="str">
        <f t="shared" si="3"/>
        <v/>
      </c>
      <c r="AS13" s="36">
        <f t="shared" si="4"/>
        <v>0</v>
      </c>
      <c r="AT13" s="310"/>
      <c r="AU13" s="36">
        <f t="shared" ref="AU13:AU22" si="7">IF($AT13="Profile 1",V$10*$AS13,IF($AT13="Profile 2",V$18*$AS13,IF($AT13="Profile 3",V$26*$AS13,IF($AT13="Profile 4",V$34*$AS13,IF($AT13="Profile 5",V$42*$AS13,IF($AT13="Profile 6",V$50*$AS13,0))))))</f>
        <v>0</v>
      </c>
      <c r="AV13" s="36">
        <f t="shared" ref="AV13:AV22" si="8">IF($AT13="Profile 1",W$10*$AS13,IF($AT13="Profile 2",W$18*$AS13,IF($AT13="Profile 3",W$26*$AS13,IF($AT13="Profile 4",W$34*$AS13,IF($AT13="Profile 5",W$42*$AS13,IF($AT13="Profile 6",W$50*$AS13,0))))))</f>
        <v>0</v>
      </c>
      <c r="AW13" s="36">
        <f t="shared" ref="AW13:AW22" si="9">IF($AT13="Profile 1",X$10*$AS13,IF($AT13="Profile 2",X$18*$AS13,IF($AT13="Profile 3",X$26*$AS13,IF($AT13="Profile 4",X$34*$AS13,IF($AT13="Profile 5",X$42*$AS13,IF($AT13="Profile 6",X$50*$AS13,0))))))</f>
        <v>0</v>
      </c>
      <c r="AX13" s="36">
        <f t="shared" ref="AX13:AX22" si="10">IF($AT13="Profile 1",Y$10*$AS13,IF($AT13="Profile 2",Y$18*$AS13,IF($AT13="Profile 3",Y$26*$AS13,IF($AT13="Profile 4",Y$34*$AS13,IF($AT13="Profile 5",Y$42*$AS13,IF($AT13="Profile 6",Y$50*$AS13,0))))))</f>
        <v>0</v>
      </c>
      <c r="AY13" s="36">
        <f t="shared" ref="AY13:AY22" si="11">IF($AT13="Profile 1",Z$10*$AS13,IF($AT13="Profile 2",Z$18*$AS13,IF($AT13="Profile 3",Z$26*$AS13,IF($AT13="Profile 4",Z$34*$AS13,IF($AT13="Profile 5",Z$42*$AS13,IF($AT13="Profile 6",Z$50*$AS13,0))))))</f>
        <v>0</v>
      </c>
      <c r="AZ13" s="36">
        <f t="shared" ref="AZ13:AZ22" si="12">IF($AT13="Profile 1",AA$10*$AS13,IF($AT13="Profile 2",AA$18*$AS13,IF($AT13="Profile 3",AA$26*$AS13,IF($AT13="Profile 4",AA$34*$AS13,IF($AT13="Profile 5",AA$42*$AS13,IF($AT13="Profile 6",AA$50*$AS13,0))))))</f>
        <v>0</v>
      </c>
      <c r="BA13" s="36">
        <f t="shared" ref="BA13:BA22" si="13">IF($AT13="Profile 1",AB$10*$AS13,IF($AT13="Profile 2",AB$18*$AS13,IF($AT13="Profile 3",AB$26*$AS13,IF($AT13="Profile 4",AB$34*$AS13,IF($AT13="Profile 5",AB$42*$AS13,IF($AT13="Profile 6",AB$50*$AS13,0))))))</f>
        <v>0</v>
      </c>
      <c r="BB13" s="36">
        <f t="shared" ref="BB13:BB22" si="14">IF($AT13="Profile 1",AC$10*$AS13,IF($AT13="Profile 2",AC$18*$AS13,IF($AT13="Profile 3",AC$26*$AS13,IF($AT13="Profile 4",AC$34*$AS13,IF($AT13="Profile 5",AC$42*$AS13,IF($AT13="Profile 6",AC$50*$AS13,0))))))</f>
        <v>0</v>
      </c>
      <c r="BC13" s="36">
        <f t="shared" ref="BC13:BC22" si="15">IF($AT13="Profile 1",AD$10*$AS13,IF($AT13="Profile 2",AD$18*$AS13,IF($AT13="Profile 3",AD$26*$AS13,IF($AT13="Profile 4",AD$34*$AS13,IF($AT13="Profile 5",AD$42*$AS13,IF($AT13="Profile 6",AD$50*$AS13,0))))))</f>
        <v>0</v>
      </c>
      <c r="BD13" s="36">
        <f t="shared" ref="BD13:BD22" si="16">IF($AT13="Profile 1",AE$10*$AS13,IF($AT13="Profile 2",AE$18*$AS13,IF($AT13="Profile 3",AE$26*$AS13,IF($AT13="Profile 4",AE$34*$AS13,IF($AT13="Profile 5",AE$42*$AS13,IF($AT13="Profile 6",AE$50*$AS13,0))))))</f>
        <v>0</v>
      </c>
      <c r="BE13" s="36">
        <f t="shared" ref="BE13:BE22" si="17">IF($AT13="Profile 1",AF$10*$AS13,IF($AT13="Profile 2",AF$18*$AS13,IF($AT13="Profile 3",AF$26*$AS13,IF($AT13="Profile 4",AF$34*$AS13,IF($AT13="Profile 5",AF$42*$AS13,IF($AT13="Profile 6",AF$50*$AS13,0))))))</f>
        <v>0</v>
      </c>
      <c r="BF13" s="36">
        <f t="shared" ref="BF13:BF22" si="18">IF($AT13="Profile 1",AG$10*$AS13,IF($AT13="Profile 2",AG$18*$AS13,IF($AT13="Profile 3",AG$26*$AS13,IF($AT13="Profile 4",AG$34*$AS13,IF($AT13="Profile 5",AG$42*$AS13,IF($AT13="Profile 6",AG$50*$AS13,0))))))</f>
        <v>0</v>
      </c>
      <c r="BG13" s="36">
        <f t="shared" ref="BG13:BG22" si="19">IF($AT13="Profile 1",AH$10*$AS13,IF($AT13="Profile 2",AH$18*$AS13,IF($AT13="Profile 3",AH$26*$AS13,IF($AT13="Profile 4",AH$34*$AS13,IF($AT13="Profile 5",AH$42*$AS13,IF($AT13="Profile 6",AH$50*$AS13,0))))))</f>
        <v>0</v>
      </c>
      <c r="BH13" s="36">
        <f t="shared" ref="BH13:BH22" si="20">IF($AT13="Profile 1",AI$10*$AS13,IF($AT13="Profile 2",AI$18*$AS13,IF($AT13="Profile 3",AI$26*$AS13,IF($AT13="Profile 4",AI$34*$AS13,IF($AT13="Profile 5",AI$42*$AS13,IF($AT13="Profile 6",AI$50*$AS13,0))))))</f>
        <v>0</v>
      </c>
      <c r="BI13" s="36">
        <f t="shared" ref="BI13:BI22" si="21">IF($AT13="Profile 1",AJ$10*$AS13,IF($AT13="Profile 2",AJ$18*$AS13,IF($AT13="Profile 3",AJ$26*$AS13,IF($AT13="Profile 4",AJ$34*$AS13,IF($AT13="Profile 5",AJ$42*$AS13,IF($AT13="Profile 6",AJ$50*$AS13,0))))))</f>
        <v>0</v>
      </c>
      <c r="BJ13" s="36">
        <f t="shared" ref="BJ13:BJ22" si="22">IF($AT13="Profile 1",AK$10*$AS13,IF($AT13="Profile 2",AK$18*$AS13,IF($AT13="Profile 3",AK$26*$AS13,IF($AT13="Profile 4",AK$34*$AS13,IF($AT13="Profile 5",AK$42*$AS13,IF($AT13="Profile 6",AK$50*$AS13,0))))))</f>
        <v>0</v>
      </c>
      <c r="BK13" s="36">
        <f t="shared" ref="BK13:BK22" si="23">IF($AT13="Profile 1",AL$10*$AS13,IF($AT13="Profile 2",AL$18*$AS13,IF($AT13="Profile 3",AL$26*$AS13,IF($AT13="Profile 4",AL$34*$AS13,IF($AT13="Profile 5",AL$42*$AS13,IF($AT13="Profile 6",AL$50*$AS13,0))))))</f>
        <v>0</v>
      </c>
      <c r="BL13" s="36">
        <f t="shared" ref="BL13:BL22" si="24">IF($AT13="Profile 1",AM$10*$AS13,IF($AT13="Profile 2",AM$18*$AS13,IF($AT13="Profile 3",AM$26*$AS13,IF($AT13="Profile 4",AM$34*$AS13,IF($AT13="Profile 5",AM$42*$AS13,IF($AT13="Profile 6",AM$50*$AS13,0))))))</f>
        <v>0</v>
      </c>
      <c r="BM13" s="36">
        <f t="shared" ref="BM13:BM22" si="25">IF($AT13="Profile 1",AN$10*$AS13,IF($AT13="Profile 2",AN$18*$AS13,IF($AT13="Profile 3",AN$26*$AS13,IF($AT13="Profile 4",AN$34*$AS13,IF($AT13="Profile 5",AN$42*$AS13,IF($AT13="Profile 6",AN$50*$AS13,0))))))</f>
        <v>0</v>
      </c>
      <c r="BN13" s="113">
        <f t="shared" ref="BN13:BN22" si="26">IF($AT13="Profile 1",AO$10*$AS13,IF($AT13="Profile 2",AO$18*$AS13,IF($AT13="Profile 3",AO$26*$AS13,IF($AT13="Profile 4",AO$34*$AS13,IF($AT13="Profile 5",AO$42*$AS13,IF($AT13="Profile 6",AO$50*$AS13,0))))))</f>
        <v>0</v>
      </c>
    </row>
    <row r="14" spans="1:66">
      <c r="A14" s="276"/>
      <c r="B14" s="30"/>
      <c r="C14" s="126"/>
      <c r="D14" s="126"/>
      <c r="E14" s="127"/>
      <c r="F14" s="279"/>
      <c r="G14" s="280"/>
      <c r="H14" s="36">
        <f t="shared" si="6"/>
        <v>0</v>
      </c>
      <c r="I14" s="280">
        <v>1</v>
      </c>
      <c r="J14" s="36">
        <f t="shared" si="1"/>
        <v>0</v>
      </c>
      <c r="K14" s="282">
        <v>0.95</v>
      </c>
      <c r="L14" s="96">
        <f t="shared" si="2"/>
        <v>0</v>
      </c>
      <c r="M14" s="6"/>
      <c r="N14" s="138" t="s">
        <v>217</v>
      </c>
      <c r="O14" s="302">
        <v>3</v>
      </c>
      <c r="P14" s="302">
        <v>0.95</v>
      </c>
      <c r="Q14" s="21">
        <f>O14/P14</f>
        <v>3.1578947368421053</v>
      </c>
      <c r="R14" s="137">
        <f>IF(F39=0,0,(VLOOKUP(F39,'Danish Standard DS439'!A3:B202,2,FALSE)))</f>
        <v>0</v>
      </c>
      <c r="S14" s="28">
        <f>Q14*R14</f>
        <v>0</v>
      </c>
      <c r="AP14" s="44"/>
      <c r="AR14" s="112" t="str">
        <f t="shared" si="3"/>
        <v/>
      </c>
      <c r="AS14" s="36">
        <f t="shared" si="4"/>
        <v>0</v>
      </c>
      <c r="AT14" s="310"/>
      <c r="AU14" s="36">
        <f t="shared" si="7"/>
        <v>0</v>
      </c>
      <c r="AV14" s="36">
        <f t="shared" si="8"/>
        <v>0</v>
      </c>
      <c r="AW14" s="36">
        <f t="shared" si="9"/>
        <v>0</v>
      </c>
      <c r="AX14" s="36">
        <f t="shared" si="10"/>
        <v>0</v>
      </c>
      <c r="AY14" s="36">
        <f t="shared" si="11"/>
        <v>0</v>
      </c>
      <c r="AZ14" s="36">
        <f t="shared" si="12"/>
        <v>0</v>
      </c>
      <c r="BA14" s="36">
        <f t="shared" si="13"/>
        <v>0</v>
      </c>
      <c r="BB14" s="36">
        <f t="shared" si="14"/>
        <v>0</v>
      </c>
      <c r="BC14" s="36">
        <f t="shared" si="15"/>
        <v>0</v>
      </c>
      <c r="BD14" s="36">
        <f t="shared" si="16"/>
        <v>0</v>
      </c>
      <c r="BE14" s="36">
        <f t="shared" si="17"/>
        <v>0</v>
      </c>
      <c r="BF14" s="36">
        <f t="shared" si="18"/>
        <v>0</v>
      </c>
      <c r="BG14" s="36">
        <f t="shared" si="19"/>
        <v>0</v>
      </c>
      <c r="BH14" s="36">
        <f t="shared" si="20"/>
        <v>0</v>
      </c>
      <c r="BI14" s="36">
        <f t="shared" si="21"/>
        <v>0</v>
      </c>
      <c r="BJ14" s="36">
        <f t="shared" si="22"/>
        <v>0</v>
      </c>
      <c r="BK14" s="36">
        <f t="shared" si="23"/>
        <v>0</v>
      </c>
      <c r="BL14" s="36">
        <f t="shared" si="24"/>
        <v>0</v>
      </c>
      <c r="BM14" s="36">
        <f t="shared" si="25"/>
        <v>0</v>
      </c>
      <c r="BN14" s="113">
        <f t="shared" si="26"/>
        <v>0</v>
      </c>
    </row>
    <row r="15" spans="1:66">
      <c r="A15" s="276"/>
      <c r="B15" s="30"/>
      <c r="C15" s="126"/>
      <c r="D15" s="126"/>
      <c r="E15" s="127"/>
      <c r="F15" s="279"/>
      <c r="G15" s="280"/>
      <c r="H15" s="36">
        <f t="shared" si="6"/>
        <v>0</v>
      </c>
      <c r="I15" s="280">
        <v>1</v>
      </c>
      <c r="J15" s="36">
        <f t="shared" si="1"/>
        <v>0</v>
      </c>
      <c r="K15" s="282">
        <v>0.85</v>
      </c>
      <c r="L15" s="96">
        <f t="shared" si="2"/>
        <v>0</v>
      </c>
      <c r="M15" s="1"/>
      <c r="N15" s="138" t="s">
        <v>21</v>
      </c>
      <c r="O15" s="302">
        <v>2.4</v>
      </c>
      <c r="P15" s="302">
        <v>0.95</v>
      </c>
      <c r="Q15" s="21">
        <f t="shared" ref="Q15:Q21" si="27">O15/P15</f>
        <v>2.5263157894736841</v>
      </c>
      <c r="R15" s="364" t="s">
        <v>246</v>
      </c>
      <c r="S15" s="366">
        <f>((((1000*(Q15+Q16)/230)-10)*0.3)+10)*(230/1000)</f>
        <v>4.6731578947368417</v>
      </c>
      <c r="AP15" s="44"/>
      <c r="AR15" s="112" t="str">
        <f t="shared" si="3"/>
        <v/>
      </c>
      <c r="AS15" s="36">
        <f t="shared" si="4"/>
        <v>0</v>
      </c>
      <c r="AT15" s="310"/>
      <c r="AU15" s="36">
        <f t="shared" si="7"/>
        <v>0</v>
      </c>
      <c r="AV15" s="36">
        <f t="shared" si="8"/>
        <v>0</v>
      </c>
      <c r="AW15" s="36">
        <f t="shared" si="9"/>
        <v>0</v>
      </c>
      <c r="AX15" s="36">
        <f t="shared" si="10"/>
        <v>0</v>
      </c>
      <c r="AY15" s="36">
        <f t="shared" si="11"/>
        <v>0</v>
      </c>
      <c r="AZ15" s="36">
        <f t="shared" si="12"/>
        <v>0</v>
      </c>
      <c r="BA15" s="36">
        <f t="shared" si="13"/>
        <v>0</v>
      </c>
      <c r="BB15" s="36">
        <f t="shared" si="14"/>
        <v>0</v>
      </c>
      <c r="BC15" s="36">
        <f t="shared" si="15"/>
        <v>0</v>
      </c>
      <c r="BD15" s="36">
        <f t="shared" si="16"/>
        <v>0</v>
      </c>
      <c r="BE15" s="36">
        <f t="shared" si="17"/>
        <v>0</v>
      </c>
      <c r="BF15" s="36">
        <f t="shared" si="18"/>
        <v>0</v>
      </c>
      <c r="BG15" s="36">
        <f t="shared" si="19"/>
        <v>0</v>
      </c>
      <c r="BH15" s="36">
        <f t="shared" si="20"/>
        <v>0</v>
      </c>
      <c r="BI15" s="36">
        <f t="shared" si="21"/>
        <v>0</v>
      </c>
      <c r="BJ15" s="36">
        <f t="shared" si="22"/>
        <v>0</v>
      </c>
      <c r="BK15" s="36">
        <f t="shared" si="23"/>
        <v>0</v>
      </c>
      <c r="BL15" s="36">
        <f t="shared" si="24"/>
        <v>0</v>
      </c>
      <c r="BM15" s="36">
        <f t="shared" si="25"/>
        <v>0</v>
      </c>
      <c r="BN15" s="113">
        <f t="shared" si="26"/>
        <v>0</v>
      </c>
    </row>
    <row r="16" spans="1:66">
      <c r="A16" s="276"/>
      <c r="B16" s="30"/>
      <c r="C16" s="126"/>
      <c r="D16" s="126"/>
      <c r="E16" s="127"/>
      <c r="F16" s="279"/>
      <c r="G16" s="280"/>
      <c r="H16" s="36">
        <f t="shared" si="6"/>
        <v>0</v>
      </c>
      <c r="I16" s="282">
        <v>1</v>
      </c>
      <c r="J16" s="36">
        <f t="shared" si="1"/>
        <v>0</v>
      </c>
      <c r="K16" s="282">
        <v>0.95</v>
      </c>
      <c r="L16" s="96">
        <f t="shared" si="2"/>
        <v>0</v>
      </c>
      <c r="M16" s="1"/>
      <c r="N16" s="138" t="s">
        <v>22</v>
      </c>
      <c r="O16" s="302">
        <v>7.3</v>
      </c>
      <c r="P16" s="302">
        <v>0.95</v>
      </c>
      <c r="Q16" s="21">
        <f t="shared" si="27"/>
        <v>7.6842105263157894</v>
      </c>
      <c r="R16" s="365"/>
      <c r="S16" s="367"/>
      <c r="V16" s="247" t="s">
        <v>231</v>
      </c>
      <c r="W16" s="362" t="s">
        <v>232</v>
      </c>
      <c r="X16" s="363"/>
      <c r="AP16" s="44"/>
      <c r="AR16" s="112" t="str">
        <f t="shared" si="3"/>
        <v/>
      </c>
      <c r="AS16" s="36">
        <f t="shared" si="4"/>
        <v>0</v>
      </c>
      <c r="AT16" s="310"/>
      <c r="AU16" s="36">
        <f t="shared" si="7"/>
        <v>0</v>
      </c>
      <c r="AV16" s="36">
        <f t="shared" si="8"/>
        <v>0</v>
      </c>
      <c r="AW16" s="36">
        <f t="shared" si="9"/>
        <v>0</v>
      </c>
      <c r="AX16" s="36">
        <f t="shared" si="10"/>
        <v>0</v>
      </c>
      <c r="AY16" s="36">
        <f t="shared" si="11"/>
        <v>0</v>
      </c>
      <c r="AZ16" s="36">
        <f t="shared" si="12"/>
        <v>0</v>
      </c>
      <c r="BA16" s="36">
        <f t="shared" si="13"/>
        <v>0</v>
      </c>
      <c r="BB16" s="36">
        <f t="shared" si="14"/>
        <v>0</v>
      </c>
      <c r="BC16" s="36">
        <f t="shared" si="15"/>
        <v>0</v>
      </c>
      <c r="BD16" s="36">
        <f t="shared" si="16"/>
        <v>0</v>
      </c>
      <c r="BE16" s="36">
        <f t="shared" si="17"/>
        <v>0</v>
      </c>
      <c r="BF16" s="36">
        <f t="shared" si="18"/>
        <v>0</v>
      </c>
      <c r="BG16" s="36">
        <f t="shared" si="19"/>
        <v>0</v>
      </c>
      <c r="BH16" s="36">
        <f t="shared" si="20"/>
        <v>0</v>
      </c>
      <c r="BI16" s="36">
        <f t="shared" si="21"/>
        <v>0</v>
      </c>
      <c r="BJ16" s="36">
        <f t="shared" si="22"/>
        <v>0</v>
      </c>
      <c r="BK16" s="36">
        <f t="shared" si="23"/>
        <v>0</v>
      </c>
      <c r="BL16" s="36">
        <f t="shared" si="24"/>
        <v>0</v>
      </c>
      <c r="BM16" s="36">
        <f t="shared" si="25"/>
        <v>0</v>
      </c>
      <c r="BN16" s="113">
        <f t="shared" si="26"/>
        <v>0</v>
      </c>
    </row>
    <row r="17" spans="1:66">
      <c r="A17" s="276"/>
      <c r="B17" s="30"/>
      <c r="C17" s="126"/>
      <c r="D17" s="126"/>
      <c r="E17" s="127"/>
      <c r="F17" s="281"/>
      <c r="G17" s="282"/>
      <c r="H17" s="36">
        <f t="shared" si="6"/>
        <v>0</v>
      </c>
      <c r="I17" s="282">
        <v>1</v>
      </c>
      <c r="J17" s="36">
        <f t="shared" si="1"/>
        <v>0</v>
      </c>
      <c r="K17" s="282">
        <v>0.95</v>
      </c>
      <c r="L17" s="96">
        <f t="shared" si="2"/>
        <v>0</v>
      </c>
      <c r="M17" s="1"/>
      <c r="N17" s="304" t="s">
        <v>23</v>
      </c>
      <c r="O17" s="302">
        <v>0.1</v>
      </c>
      <c r="P17" s="302">
        <v>0.85</v>
      </c>
      <c r="Q17" s="21">
        <f t="shared" si="27"/>
        <v>0.11764705882352942</v>
      </c>
      <c r="R17" s="282">
        <v>0.3</v>
      </c>
      <c r="S17" s="28">
        <f>Q17*R17</f>
        <v>3.5294117647058823E-2</v>
      </c>
      <c r="V17" s="246">
        <v>0.20833333333333334</v>
      </c>
      <c r="W17" s="246">
        <v>0.25</v>
      </c>
      <c r="X17" s="246">
        <v>0.29166666666666702</v>
      </c>
      <c r="Y17" s="246">
        <v>0.33333333333333298</v>
      </c>
      <c r="Z17" s="246">
        <v>0.375</v>
      </c>
      <c r="AA17" s="246">
        <v>0.41666666666666702</v>
      </c>
      <c r="AB17" s="246">
        <v>0.45833333333333298</v>
      </c>
      <c r="AC17" s="246">
        <v>0.5</v>
      </c>
      <c r="AD17" s="246">
        <v>0.54166666666666696</v>
      </c>
      <c r="AE17" s="246">
        <v>0.58333333333333304</v>
      </c>
      <c r="AF17" s="246">
        <v>0.625</v>
      </c>
      <c r="AG17" s="246">
        <v>0.66666666666666696</v>
      </c>
      <c r="AH17" s="246">
        <v>0.70833333333333304</v>
      </c>
      <c r="AI17" s="246">
        <v>0.75</v>
      </c>
      <c r="AJ17" s="246">
        <v>0.79166666666666696</v>
      </c>
      <c r="AK17" s="246">
        <v>0.83333333333333304</v>
      </c>
      <c r="AL17" s="246">
        <v>0.875</v>
      </c>
      <c r="AM17" s="246">
        <v>0.91666666666666696</v>
      </c>
      <c r="AN17" s="246">
        <v>0.95833333333333304</v>
      </c>
      <c r="AO17" s="246">
        <v>1</v>
      </c>
      <c r="AP17" s="250" t="s">
        <v>41</v>
      </c>
      <c r="AR17" s="112" t="str">
        <f t="shared" si="3"/>
        <v/>
      </c>
      <c r="AS17" s="36">
        <f t="shared" si="4"/>
        <v>0</v>
      </c>
      <c r="AT17" s="310"/>
      <c r="AU17" s="36">
        <f t="shared" si="7"/>
        <v>0</v>
      </c>
      <c r="AV17" s="36">
        <f t="shared" si="8"/>
        <v>0</v>
      </c>
      <c r="AW17" s="36">
        <f t="shared" si="9"/>
        <v>0</v>
      </c>
      <c r="AX17" s="36">
        <f t="shared" si="10"/>
        <v>0</v>
      </c>
      <c r="AY17" s="36">
        <f t="shared" si="11"/>
        <v>0</v>
      </c>
      <c r="AZ17" s="36">
        <f t="shared" si="12"/>
        <v>0</v>
      </c>
      <c r="BA17" s="36">
        <f t="shared" si="13"/>
        <v>0</v>
      </c>
      <c r="BB17" s="36">
        <f t="shared" si="14"/>
        <v>0</v>
      </c>
      <c r="BC17" s="36">
        <f t="shared" si="15"/>
        <v>0</v>
      </c>
      <c r="BD17" s="36">
        <f t="shared" si="16"/>
        <v>0</v>
      </c>
      <c r="BE17" s="36">
        <f t="shared" si="17"/>
        <v>0</v>
      </c>
      <c r="BF17" s="36">
        <f t="shared" si="18"/>
        <v>0</v>
      </c>
      <c r="BG17" s="36">
        <f t="shared" si="19"/>
        <v>0</v>
      </c>
      <c r="BH17" s="36">
        <f t="shared" si="20"/>
        <v>0</v>
      </c>
      <c r="BI17" s="36">
        <f t="shared" si="21"/>
        <v>0</v>
      </c>
      <c r="BJ17" s="36">
        <f t="shared" si="22"/>
        <v>0</v>
      </c>
      <c r="BK17" s="36">
        <f t="shared" si="23"/>
        <v>0</v>
      </c>
      <c r="BL17" s="36">
        <f t="shared" si="24"/>
        <v>0</v>
      </c>
      <c r="BM17" s="36">
        <f t="shared" si="25"/>
        <v>0</v>
      </c>
      <c r="BN17" s="113">
        <f t="shared" si="26"/>
        <v>0</v>
      </c>
    </row>
    <row r="18" spans="1:66">
      <c r="A18" s="277"/>
      <c r="B18" s="30"/>
      <c r="C18" s="126"/>
      <c r="D18" s="126"/>
      <c r="E18" s="127"/>
      <c r="F18" s="281"/>
      <c r="G18" s="282"/>
      <c r="H18" s="36">
        <f t="shared" si="6"/>
        <v>0</v>
      </c>
      <c r="I18" s="282">
        <v>1</v>
      </c>
      <c r="J18" s="36">
        <f t="shared" si="1"/>
        <v>0</v>
      </c>
      <c r="K18" s="282">
        <v>0.95</v>
      </c>
      <c r="L18" s="96">
        <f t="shared" si="2"/>
        <v>0</v>
      </c>
      <c r="M18" s="4"/>
      <c r="N18" s="304" t="s">
        <v>24</v>
      </c>
      <c r="O18" s="302">
        <v>1</v>
      </c>
      <c r="P18" s="302">
        <v>0.85</v>
      </c>
      <c r="Q18" s="21">
        <f t="shared" si="27"/>
        <v>1.1764705882352942</v>
      </c>
      <c r="R18" s="282">
        <v>0.3</v>
      </c>
      <c r="S18" s="28">
        <f>Q18*R18</f>
        <v>0.35294117647058826</v>
      </c>
      <c r="U18" s="246" t="s">
        <v>2</v>
      </c>
      <c r="V18" s="21">
        <f>IF($W16=$W$59,V$61,IF($W16=$W$67,V$69,IF($W16=$W$75,V$77,IF($W16=$W$83,V$85,IF($W16=$W$91,V$93,IF($W16=$W$107,V$109,IF($W16=$W$115,V$117,IF($W16=$W$123,V$125,IF($W16=$W$131,V$133,IF($W16=$W$139,V$141,0))))))))))</f>
        <v>0</v>
      </c>
      <c r="W18" s="21">
        <f t="shared" ref="W18:AO18" si="28">IF($W16=$W$59,W$61,IF($W16=$W$67,W$69,IF($W16=$W$75,W$77,IF($W16=$W$83,W$85,IF($W16=$W$91,W$93,IF($W16=$W$107,W$109,IF($W16=$W$115,W$117,IF($W16=$W$123,W$125,IF($W16=$W$131,W$133,IF($W16=$W$139,W$141,0))))))))))</f>
        <v>0.3</v>
      </c>
      <c r="X18" s="21">
        <f t="shared" si="28"/>
        <v>0.6</v>
      </c>
      <c r="Y18" s="21">
        <f t="shared" si="28"/>
        <v>0.7</v>
      </c>
      <c r="Z18" s="21">
        <f t="shared" si="28"/>
        <v>0.8</v>
      </c>
      <c r="AA18" s="21">
        <f t="shared" si="28"/>
        <v>0.9</v>
      </c>
      <c r="AB18" s="21">
        <f t="shared" si="28"/>
        <v>0.9</v>
      </c>
      <c r="AC18" s="21">
        <f t="shared" si="28"/>
        <v>0.9</v>
      </c>
      <c r="AD18" s="21">
        <f t="shared" si="28"/>
        <v>0.9</v>
      </c>
      <c r="AE18" s="21">
        <f t="shared" si="28"/>
        <v>0.9</v>
      </c>
      <c r="AF18" s="21">
        <f t="shared" si="28"/>
        <v>0.9</v>
      </c>
      <c r="AG18" s="21">
        <f t="shared" si="28"/>
        <v>0.8</v>
      </c>
      <c r="AH18" s="21">
        <f t="shared" si="28"/>
        <v>0.7</v>
      </c>
      <c r="AI18" s="21">
        <f t="shared" si="28"/>
        <v>0.6</v>
      </c>
      <c r="AJ18" s="21">
        <f t="shared" si="28"/>
        <v>0.3</v>
      </c>
      <c r="AK18" s="21">
        <f t="shared" si="28"/>
        <v>0.1</v>
      </c>
      <c r="AL18" s="21">
        <f t="shared" si="28"/>
        <v>0</v>
      </c>
      <c r="AM18" s="21">
        <f t="shared" si="28"/>
        <v>0</v>
      </c>
      <c r="AN18" s="21">
        <f t="shared" si="28"/>
        <v>0</v>
      </c>
      <c r="AO18" s="21">
        <f t="shared" si="28"/>
        <v>0</v>
      </c>
      <c r="AP18" s="35">
        <f>AVERAGE(V18:AO18)</f>
        <v>0.51500000000000001</v>
      </c>
      <c r="AR18" s="112" t="str">
        <f t="shared" si="3"/>
        <v/>
      </c>
      <c r="AS18" s="36">
        <f t="shared" si="4"/>
        <v>0</v>
      </c>
      <c r="AT18" s="311"/>
      <c r="AU18" s="36">
        <f t="shared" si="7"/>
        <v>0</v>
      </c>
      <c r="AV18" s="36">
        <f t="shared" si="8"/>
        <v>0</v>
      </c>
      <c r="AW18" s="36">
        <f t="shared" si="9"/>
        <v>0</v>
      </c>
      <c r="AX18" s="36">
        <f t="shared" si="10"/>
        <v>0</v>
      </c>
      <c r="AY18" s="36">
        <f t="shared" si="11"/>
        <v>0</v>
      </c>
      <c r="AZ18" s="36">
        <f t="shared" si="12"/>
        <v>0</v>
      </c>
      <c r="BA18" s="36">
        <f t="shared" si="13"/>
        <v>0</v>
      </c>
      <c r="BB18" s="36">
        <f t="shared" si="14"/>
        <v>0</v>
      </c>
      <c r="BC18" s="36">
        <f t="shared" si="15"/>
        <v>0</v>
      </c>
      <c r="BD18" s="36">
        <f t="shared" si="16"/>
        <v>0</v>
      </c>
      <c r="BE18" s="36">
        <f t="shared" si="17"/>
        <v>0</v>
      </c>
      <c r="BF18" s="36">
        <f t="shared" si="18"/>
        <v>0</v>
      </c>
      <c r="BG18" s="36">
        <f t="shared" si="19"/>
        <v>0</v>
      </c>
      <c r="BH18" s="36">
        <f t="shared" si="20"/>
        <v>0</v>
      </c>
      <c r="BI18" s="36">
        <f t="shared" si="21"/>
        <v>0</v>
      </c>
      <c r="BJ18" s="36">
        <f t="shared" si="22"/>
        <v>0</v>
      </c>
      <c r="BK18" s="36">
        <f t="shared" si="23"/>
        <v>0</v>
      </c>
      <c r="BL18" s="36">
        <f t="shared" si="24"/>
        <v>0</v>
      </c>
      <c r="BM18" s="36">
        <f t="shared" si="25"/>
        <v>0</v>
      </c>
      <c r="BN18" s="113">
        <f t="shared" si="26"/>
        <v>0</v>
      </c>
    </row>
    <row r="19" spans="1:66">
      <c r="A19" s="278"/>
      <c r="B19" s="15"/>
      <c r="C19" s="128"/>
      <c r="D19" s="128"/>
      <c r="E19" s="129"/>
      <c r="F19" s="281"/>
      <c r="G19" s="282"/>
      <c r="H19" s="36">
        <f t="shared" si="6"/>
        <v>0</v>
      </c>
      <c r="I19" s="282">
        <v>1</v>
      </c>
      <c r="J19" s="36">
        <f t="shared" si="1"/>
        <v>0</v>
      </c>
      <c r="K19" s="282">
        <v>0.95</v>
      </c>
      <c r="L19" s="96">
        <f t="shared" si="2"/>
        <v>0</v>
      </c>
      <c r="M19" s="4"/>
      <c r="N19" s="304" t="s">
        <v>25</v>
      </c>
      <c r="O19" s="302">
        <v>2.2000000000000002</v>
      </c>
      <c r="P19" s="302">
        <v>0.85</v>
      </c>
      <c r="Q19" s="21">
        <f t="shared" si="27"/>
        <v>2.5882352941176472</v>
      </c>
      <c r="R19" s="282">
        <v>0.3</v>
      </c>
      <c r="S19" s="28">
        <f>Q19*R19</f>
        <v>0.77647058823529413</v>
      </c>
      <c r="AR19" s="112" t="str">
        <f t="shared" si="3"/>
        <v/>
      </c>
      <c r="AS19" s="36">
        <f t="shared" si="4"/>
        <v>0</v>
      </c>
      <c r="AT19" s="311"/>
      <c r="AU19" s="36">
        <f t="shared" si="7"/>
        <v>0</v>
      </c>
      <c r="AV19" s="36">
        <f t="shared" si="8"/>
        <v>0</v>
      </c>
      <c r="AW19" s="36">
        <f t="shared" si="9"/>
        <v>0</v>
      </c>
      <c r="AX19" s="36">
        <f t="shared" si="10"/>
        <v>0</v>
      </c>
      <c r="AY19" s="36">
        <f t="shared" si="11"/>
        <v>0</v>
      </c>
      <c r="AZ19" s="36">
        <f t="shared" si="12"/>
        <v>0</v>
      </c>
      <c r="BA19" s="36">
        <f t="shared" si="13"/>
        <v>0</v>
      </c>
      <c r="BB19" s="36">
        <f t="shared" si="14"/>
        <v>0</v>
      </c>
      <c r="BC19" s="36">
        <f t="shared" si="15"/>
        <v>0</v>
      </c>
      <c r="BD19" s="36">
        <f t="shared" si="16"/>
        <v>0</v>
      </c>
      <c r="BE19" s="36">
        <f t="shared" si="17"/>
        <v>0</v>
      </c>
      <c r="BF19" s="36">
        <f t="shared" si="18"/>
        <v>0</v>
      </c>
      <c r="BG19" s="36">
        <f t="shared" si="19"/>
        <v>0</v>
      </c>
      <c r="BH19" s="36">
        <f t="shared" si="20"/>
        <v>0</v>
      </c>
      <c r="BI19" s="36">
        <f t="shared" si="21"/>
        <v>0</v>
      </c>
      <c r="BJ19" s="36">
        <f t="shared" si="22"/>
        <v>0</v>
      </c>
      <c r="BK19" s="36">
        <f t="shared" si="23"/>
        <v>0</v>
      </c>
      <c r="BL19" s="36">
        <f t="shared" si="24"/>
        <v>0</v>
      </c>
      <c r="BM19" s="36">
        <f t="shared" si="25"/>
        <v>0</v>
      </c>
      <c r="BN19" s="113">
        <f t="shared" si="26"/>
        <v>0</v>
      </c>
    </row>
    <row r="20" spans="1:66">
      <c r="A20" s="278"/>
      <c r="B20" s="15"/>
      <c r="C20" s="128"/>
      <c r="D20" s="128"/>
      <c r="E20" s="129"/>
      <c r="F20" s="281"/>
      <c r="G20" s="282"/>
      <c r="H20" s="36">
        <f t="shared" si="6"/>
        <v>0</v>
      </c>
      <c r="I20" s="282">
        <v>1</v>
      </c>
      <c r="J20" s="36">
        <f t="shared" si="1"/>
        <v>0</v>
      </c>
      <c r="K20" s="282">
        <v>0.95</v>
      </c>
      <c r="L20" s="96">
        <f t="shared" si="2"/>
        <v>0</v>
      </c>
      <c r="M20" s="4"/>
      <c r="N20" s="304" t="s">
        <v>26</v>
      </c>
      <c r="O20" s="302">
        <v>3</v>
      </c>
      <c r="P20" s="302">
        <v>0.9</v>
      </c>
      <c r="Q20" s="21">
        <f t="shared" si="27"/>
        <v>3.333333333333333</v>
      </c>
      <c r="R20" s="282">
        <v>0.3</v>
      </c>
      <c r="S20" s="28">
        <f>Q20*R20</f>
        <v>0.99999999999999989</v>
      </c>
      <c r="AR20" s="112" t="str">
        <f t="shared" si="3"/>
        <v/>
      </c>
      <c r="AS20" s="36">
        <f t="shared" si="4"/>
        <v>0</v>
      </c>
      <c r="AT20" s="311"/>
      <c r="AU20" s="36">
        <f t="shared" si="7"/>
        <v>0</v>
      </c>
      <c r="AV20" s="36">
        <f t="shared" si="8"/>
        <v>0</v>
      </c>
      <c r="AW20" s="36">
        <f t="shared" si="9"/>
        <v>0</v>
      </c>
      <c r="AX20" s="36">
        <f t="shared" si="10"/>
        <v>0</v>
      </c>
      <c r="AY20" s="36">
        <f t="shared" si="11"/>
        <v>0</v>
      </c>
      <c r="AZ20" s="36">
        <f t="shared" si="12"/>
        <v>0</v>
      </c>
      <c r="BA20" s="36">
        <f t="shared" si="13"/>
        <v>0</v>
      </c>
      <c r="BB20" s="36">
        <f t="shared" si="14"/>
        <v>0</v>
      </c>
      <c r="BC20" s="36">
        <f t="shared" si="15"/>
        <v>0</v>
      </c>
      <c r="BD20" s="36">
        <f t="shared" si="16"/>
        <v>0</v>
      </c>
      <c r="BE20" s="36">
        <f t="shared" si="17"/>
        <v>0</v>
      </c>
      <c r="BF20" s="36">
        <f t="shared" si="18"/>
        <v>0</v>
      </c>
      <c r="BG20" s="36">
        <f t="shared" si="19"/>
        <v>0</v>
      </c>
      <c r="BH20" s="36">
        <f t="shared" si="20"/>
        <v>0</v>
      </c>
      <c r="BI20" s="36">
        <f t="shared" si="21"/>
        <v>0</v>
      </c>
      <c r="BJ20" s="36">
        <f t="shared" si="22"/>
        <v>0</v>
      </c>
      <c r="BK20" s="36">
        <f t="shared" si="23"/>
        <v>0</v>
      </c>
      <c r="BL20" s="36">
        <f t="shared" si="24"/>
        <v>0</v>
      </c>
      <c r="BM20" s="36">
        <f t="shared" si="25"/>
        <v>0</v>
      </c>
      <c r="BN20" s="113">
        <f t="shared" si="26"/>
        <v>0</v>
      </c>
    </row>
    <row r="21" spans="1:66">
      <c r="A21" s="278"/>
      <c r="B21" s="15"/>
      <c r="C21" s="128"/>
      <c r="D21" s="128"/>
      <c r="E21" s="129"/>
      <c r="F21" s="281"/>
      <c r="G21" s="282"/>
      <c r="H21" s="36">
        <f t="shared" si="6"/>
        <v>0</v>
      </c>
      <c r="I21" s="282">
        <v>1</v>
      </c>
      <c r="J21" s="36">
        <f t="shared" si="1"/>
        <v>0</v>
      </c>
      <c r="K21" s="282">
        <v>0.95</v>
      </c>
      <c r="L21" s="96">
        <f t="shared" si="2"/>
        <v>0</v>
      </c>
      <c r="M21" s="4"/>
      <c r="N21" s="304" t="s">
        <v>4</v>
      </c>
      <c r="O21" s="303">
        <v>0.9</v>
      </c>
      <c r="P21" s="303">
        <v>0.9</v>
      </c>
      <c r="Q21" s="23">
        <f t="shared" si="27"/>
        <v>1</v>
      </c>
      <c r="R21" s="284">
        <v>0.66</v>
      </c>
      <c r="S21" s="28">
        <f>Q21*R21</f>
        <v>0.66</v>
      </c>
      <c r="AR21" s="112" t="str">
        <f t="shared" si="3"/>
        <v/>
      </c>
      <c r="AS21" s="36">
        <f t="shared" si="4"/>
        <v>0</v>
      </c>
      <c r="AT21" s="311"/>
      <c r="AU21" s="36">
        <f t="shared" si="7"/>
        <v>0</v>
      </c>
      <c r="AV21" s="36">
        <f t="shared" si="8"/>
        <v>0</v>
      </c>
      <c r="AW21" s="36">
        <f t="shared" si="9"/>
        <v>0</v>
      </c>
      <c r="AX21" s="36">
        <f t="shared" si="10"/>
        <v>0</v>
      </c>
      <c r="AY21" s="36">
        <f t="shared" si="11"/>
        <v>0</v>
      </c>
      <c r="AZ21" s="36">
        <f t="shared" si="12"/>
        <v>0</v>
      </c>
      <c r="BA21" s="36">
        <f t="shared" si="13"/>
        <v>0</v>
      </c>
      <c r="BB21" s="36">
        <f t="shared" si="14"/>
        <v>0</v>
      </c>
      <c r="BC21" s="36">
        <f t="shared" si="15"/>
        <v>0</v>
      </c>
      <c r="BD21" s="36">
        <f t="shared" si="16"/>
        <v>0</v>
      </c>
      <c r="BE21" s="36">
        <f t="shared" si="17"/>
        <v>0</v>
      </c>
      <c r="BF21" s="36">
        <f t="shared" si="18"/>
        <v>0</v>
      </c>
      <c r="BG21" s="36">
        <f t="shared" si="19"/>
        <v>0</v>
      </c>
      <c r="BH21" s="36">
        <f t="shared" si="20"/>
        <v>0</v>
      </c>
      <c r="BI21" s="36">
        <f t="shared" si="21"/>
        <v>0</v>
      </c>
      <c r="BJ21" s="36">
        <f t="shared" si="22"/>
        <v>0</v>
      </c>
      <c r="BK21" s="36">
        <f t="shared" si="23"/>
        <v>0</v>
      </c>
      <c r="BL21" s="36">
        <f t="shared" si="24"/>
        <v>0</v>
      </c>
      <c r="BM21" s="36">
        <f t="shared" si="25"/>
        <v>0</v>
      </c>
      <c r="BN21" s="113">
        <f t="shared" si="26"/>
        <v>0</v>
      </c>
    </row>
    <row r="22" spans="1:66" ht="15" thickBot="1">
      <c r="A22" s="278"/>
      <c r="B22" s="107"/>
      <c r="C22" s="130"/>
      <c r="D22" s="130"/>
      <c r="E22" s="131"/>
      <c r="F22" s="283"/>
      <c r="G22" s="284"/>
      <c r="H22" s="104">
        <f t="shared" si="6"/>
        <v>0</v>
      </c>
      <c r="I22" s="284">
        <v>1</v>
      </c>
      <c r="J22" s="104">
        <f t="shared" si="1"/>
        <v>0</v>
      </c>
      <c r="K22" s="284">
        <v>0.95</v>
      </c>
      <c r="L22" s="105">
        <f t="shared" si="2"/>
        <v>0</v>
      </c>
      <c r="M22" s="4"/>
      <c r="N22" s="24" t="s">
        <v>27</v>
      </c>
      <c r="O22" s="25"/>
      <c r="P22" s="25"/>
      <c r="Q22" s="25"/>
      <c r="R22" s="26"/>
      <c r="S22" s="93">
        <f>SUM(S13:S21)</f>
        <v>7.4978637770897825</v>
      </c>
      <c r="AR22" s="114" t="str">
        <f t="shared" si="3"/>
        <v/>
      </c>
      <c r="AS22" s="104">
        <f t="shared" si="4"/>
        <v>0</v>
      </c>
      <c r="AT22" s="312"/>
      <c r="AU22" s="104">
        <f t="shared" si="7"/>
        <v>0</v>
      </c>
      <c r="AV22" s="104">
        <f t="shared" si="8"/>
        <v>0</v>
      </c>
      <c r="AW22" s="104">
        <f t="shared" si="9"/>
        <v>0</v>
      </c>
      <c r="AX22" s="104">
        <f t="shared" si="10"/>
        <v>0</v>
      </c>
      <c r="AY22" s="104">
        <f t="shared" si="11"/>
        <v>0</v>
      </c>
      <c r="AZ22" s="104">
        <f t="shared" si="12"/>
        <v>0</v>
      </c>
      <c r="BA22" s="104">
        <f t="shared" si="13"/>
        <v>0</v>
      </c>
      <c r="BB22" s="104">
        <f t="shared" si="14"/>
        <v>0</v>
      </c>
      <c r="BC22" s="104">
        <f t="shared" si="15"/>
        <v>0</v>
      </c>
      <c r="BD22" s="104">
        <f t="shared" si="16"/>
        <v>0</v>
      </c>
      <c r="BE22" s="104">
        <f t="shared" si="17"/>
        <v>0</v>
      </c>
      <c r="BF22" s="104">
        <f t="shared" si="18"/>
        <v>0</v>
      </c>
      <c r="BG22" s="104">
        <f t="shared" si="19"/>
        <v>0</v>
      </c>
      <c r="BH22" s="104">
        <f t="shared" si="20"/>
        <v>0</v>
      </c>
      <c r="BI22" s="104">
        <f t="shared" si="21"/>
        <v>0</v>
      </c>
      <c r="BJ22" s="104">
        <f t="shared" si="22"/>
        <v>0</v>
      </c>
      <c r="BK22" s="104">
        <f t="shared" si="23"/>
        <v>0</v>
      </c>
      <c r="BL22" s="104">
        <f t="shared" si="24"/>
        <v>0</v>
      </c>
      <c r="BM22" s="104">
        <f t="shared" si="25"/>
        <v>0</v>
      </c>
      <c r="BN22" s="115">
        <f t="shared" si="26"/>
        <v>0</v>
      </c>
    </row>
    <row r="23" spans="1:66" ht="15" thickBot="1">
      <c r="A23" s="151" t="s">
        <v>211</v>
      </c>
      <c r="B23" s="152"/>
      <c r="C23" s="152"/>
      <c r="D23" s="152"/>
      <c r="E23" s="153"/>
      <c r="F23" s="152"/>
      <c r="G23" s="152"/>
      <c r="H23" s="152"/>
      <c r="I23" s="152"/>
      <c r="J23" s="152"/>
      <c r="K23" s="152"/>
      <c r="L23" s="154"/>
      <c r="M23" s="1"/>
      <c r="AR23" s="151" t="s">
        <v>36</v>
      </c>
      <c r="AS23" s="172"/>
      <c r="AT23" s="313"/>
      <c r="AU23" s="173"/>
      <c r="AV23" s="173"/>
      <c r="AW23" s="173"/>
      <c r="AX23" s="173"/>
      <c r="AY23" s="173"/>
      <c r="AZ23" s="173"/>
      <c r="BA23" s="173"/>
      <c r="BB23" s="173"/>
      <c r="BC23" s="173"/>
      <c r="BD23" s="173"/>
      <c r="BE23" s="173"/>
      <c r="BF23" s="173"/>
      <c r="BG23" s="173"/>
      <c r="BH23" s="173"/>
      <c r="BI23" s="173"/>
      <c r="BJ23" s="173"/>
      <c r="BK23" s="173"/>
      <c r="BL23" s="173"/>
      <c r="BM23" s="173"/>
      <c r="BN23" s="174"/>
    </row>
    <row r="24" spans="1:66" ht="15" thickBot="1">
      <c r="A24" s="285"/>
      <c r="B24" s="280"/>
      <c r="C24" s="280"/>
      <c r="D24" s="280"/>
      <c r="E24" s="286"/>
      <c r="F24" s="274"/>
      <c r="G24" s="275"/>
      <c r="H24" s="102">
        <f t="shared" ref="H24:H34" si="29">((C24+D24+E24)*B24)/1000</f>
        <v>0</v>
      </c>
      <c r="I24" s="280">
        <v>1</v>
      </c>
      <c r="J24" s="102">
        <f t="shared" ref="J24:J36" si="30">H24*I24</f>
        <v>0</v>
      </c>
      <c r="K24" s="280">
        <v>0.95</v>
      </c>
      <c r="L24" s="103">
        <f t="shared" ref="L24:L36" si="31">J24/K24</f>
        <v>0</v>
      </c>
      <c r="M24" s="4"/>
      <c r="N24" s="159" t="s">
        <v>218</v>
      </c>
      <c r="O24" s="150" t="s">
        <v>220</v>
      </c>
      <c r="P24" s="150" t="s">
        <v>221</v>
      </c>
      <c r="V24" s="247" t="s">
        <v>241</v>
      </c>
      <c r="W24" s="362" t="s">
        <v>235</v>
      </c>
      <c r="X24" s="363"/>
      <c r="AP24" s="44"/>
      <c r="AR24" s="112" t="str">
        <f t="shared" ref="AR24:AR36" si="32">IF(A24="","",A24)</f>
        <v/>
      </c>
      <c r="AS24" s="102">
        <f t="shared" ref="AS24:AS36" si="33">H24/K24</f>
        <v>0</v>
      </c>
      <c r="AT24" s="310"/>
      <c r="AU24" s="102">
        <f t="shared" ref="AU24:BN24" si="34">IF($AT24="Profile 1",V$10*$AS24,IF($AT24="Profile 2",V$18*$AS24,IF($AT24="Profile 3",V$26*$AS24,IF($AT24="Profile 4",V$34*$AS24,IF($AT24="Profile 5",V$42*$AS24,IF($AT24="Profile 6",V$50*$AS24,0))))))</f>
        <v>0</v>
      </c>
      <c r="AV24" s="102">
        <f t="shared" si="34"/>
        <v>0</v>
      </c>
      <c r="AW24" s="102">
        <f t="shared" si="34"/>
        <v>0</v>
      </c>
      <c r="AX24" s="102">
        <f t="shared" si="34"/>
        <v>0</v>
      </c>
      <c r="AY24" s="102">
        <f t="shared" si="34"/>
        <v>0</v>
      </c>
      <c r="AZ24" s="102">
        <f t="shared" si="34"/>
        <v>0</v>
      </c>
      <c r="BA24" s="102">
        <f t="shared" si="34"/>
        <v>0</v>
      </c>
      <c r="BB24" s="102">
        <f t="shared" si="34"/>
        <v>0</v>
      </c>
      <c r="BC24" s="102">
        <f t="shared" si="34"/>
        <v>0</v>
      </c>
      <c r="BD24" s="102">
        <f t="shared" si="34"/>
        <v>0</v>
      </c>
      <c r="BE24" s="102">
        <f t="shared" si="34"/>
        <v>0</v>
      </c>
      <c r="BF24" s="102">
        <f t="shared" si="34"/>
        <v>0</v>
      </c>
      <c r="BG24" s="102">
        <f t="shared" si="34"/>
        <v>0</v>
      </c>
      <c r="BH24" s="102">
        <f t="shared" si="34"/>
        <v>0</v>
      </c>
      <c r="BI24" s="102">
        <f t="shared" si="34"/>
        <v>0</v>
      </c>
      <c r="BJ24" s="102">
        <f t="shared" si="34"/>
        <v>0</v>
      </c>
      <c r="BK24" s="102">
        <f t="shared" si="34"/>
        <v>0</v>
      </c>
      <c r="BL24" s="102">
        <f t="shared" si="34"/>
        <v>0</v>
      </c>
      <c r="BM24" s="102">
        <f t="shared" si="34"/>
        <v>0</v>
      </c>
      <c r="BN24" s="111">
        <f t="shared" si="34"/>
        <v>0</v>
      </c>
    </row>
    <row r="25" spans="1:66">
      <c r="A25" s="287"/>
      <c r="B25" s="282"/>
      <c r="C25" s="282"/>
      <c r="D25" s="282"/>
      <c r="E25" s="284"/>
      <c r="F25" s="132"/>
      <c r="G25" s="127"/>
      <c r="H25" s="36">
        <f t="shared" si="29"/>
        <v>0</v>
      </c>
      <c r="I25" s="280">
        <v>1</v>
      </c>
      <c r="J25" s="36">
        <f t="shared" si="30"/>
        <v>0</v>
      </c>
      <c r="K25" s="282">
        <v>0.95</v>
      </c>
      <c r="L25" s="96">
        <f t="shared" si="31"/>
        <v>0</v>
      </c>
      <c r="M25" s="4"/>
      <c r="N25" s="97" t="s">
        <v>39</v>
      </c>
      <c r="O25" s="305">
        <v>0.7</v>
      </c>
      <c r="P25" s="28">
        <f>$S$22*O25</f>
        <v>5.2485046439628471</v>
      </c>
      <c r="V25" s="246">
        <v>0.20833333333333334</v>
      </c>
      <c r="W25" s="246">
        <v>0.25</v>
      </c>
      <c r="X25" s="246">
        <v>0.29166666666666702</v>
      </c>
      <c r="Y25" s="246">
        <v>0.33333333333333298</v>
      </c>
      <c r="Z25" s="246">
        <v>0.375</v>
      </c>
      <c r="AA25" s="246">
        <v>0.41666666666666702</v>
      </c>
      <c r="AB25" s="246">
        <v>0.45833333333333298</v>
      </c>
      <c r="AC25" s="246">
        <v>0.5</v>
      </c>
      <c r="AD25" s="246">
        <v>0.54166666666666696</v>
      </c>
      <c r="AE25" s="246">
        <v>0.58333333333333304</v>
      </c>
      <c r="AF25" s="246">
        <v>0.625</v>
      </c>
      <c r="AG25" s="246">
        <v>0.66666666666666696</v>
      </c>
      <c r="AH25" s="246">
        <v>0.70833333333333304</v>
      </c>
      <c r="AI25" s="246">
        <v>0.75</v>
      </c>
      <c r="AJ25" s="246">
        <v>0.79166666666666696</v>
      </c>
      <c r="AK25" s="246">
        <v>0.83333333333333304</v>
      </c>
      <c r="AL25" s="246">
        <v>0.875</v>
      </c>
      <c r="AM25" s="246">
        <v>0.91666666666666696</v>
      </c>
      <c r="AN25" s="246">
        <v>0.95833333333333304</v>
      </c>
      <c r="AO25" s="246">
        <v>1</v>
      </c>
      <c r="AP25" s="250" t="s">
        <v>41</v>
      </c>
      <c r="AR25" s="112" t="str">
        <f t="shared" si="32"/>
        <v/>
      </c>
      <c r="AS25" s="36">
        <f t="shared" si="33"/>
        <v>0</v>
      </c>
      <c r="AT25" s="310"/>
      <c r="AU25" s="36">
        <f t="shared" ref="AU25:AU37" si="35">IF($AT25="Profile 1",V$10*$AS25,IF($AT25="Profile 2",V$18*$AS25,IF($AT25="Profile 3",V$26*$AS25,IF($AT25="Profile 4",V$34*$AS25,IF($AT25="Profile 5",V$42*$AS25,IF($AT25="Profile 6",V$50*$AS25,0))))))</f>
        <v>0</v>
      </c>
      <c r="AV25" s="36">
        <f t="shared" ref="AV25:AV37" si="36">IF($AT25="Profile 1",W$10*$AS25,IF($AT25="Profile 2",W$18*$AS25,IF($AT25="Profile 3",W$26*$AS25,IF($AT25="Profile 4",W$34*$AS25,IF($AT25="Profile 5",W$42*$AS25,IF($AT25="Profile 6",W$50*$AS25,0))))))</f>
        <v>0</v>
      </c>
      <c r="AW25" s="36">
        <f t="shared" ref="AW25:AW37" si="37">IF($AT25="Profile 1",X$10*$AS25,IF($AT25="Profile 2",X$18*$AS25,IF($AT25="Profile 3",X$26*$AS25,IF($AT25="Profile 4",X$34*$AS25,IF($AT25="Profile 5",X$42*$AS25,IF($AT25="Profile 6",X$50*$AS25,0))))))</f>
        <v>0</v>
      </c>
      <c r="AX25" s="36">
        <f t="shared" ref="AX25:AX37" si="38">IF($AT25="Profile 1",Y$10*$AS25,IF($AT25="Profile 2",Y$18*$AS25,IF($AT25="Profile 3",Y$26*$AS25,IF($AT25="Profile 4",Y$34*$AS25,IF($AT25="Profile 5",Y$42*$AS25,IF($AT25="Profile 6",Y$50*$AS25,0))))))</f>
        <v>0</v>
      </c>
      <c r="AY25" s="36">
        <f t="shared" ref="AY25:AY37" si="39">IF($AT25="Profile 1",Z$10*$AS25,IF($AT25="Profile 2",Z$18*$AS25,IF($AT25="Profile 3",Z$26*$AS25,IF($AT25="Profile 4",Z$34*$AS25,IF($AT25="Profile 5",Z$42*$AS25,IF($AT25="Profile 6",Z$50*$AS25,0))))))</f>
        <v>0</v>
      </c>
      <c r="AZ25" s="36">
        <f t="shared" ref="AZ25:AZ37" si="40">IF($AT25="Profile 1",AA$10*$AS25,IF($AT25="Profile 2",AA$18*$AS25,IF($AT25="Profile 3",AA$26*$AS25,IF($AT25="Profile 4",AA$34*$AS25,IF($AT25="Profile 5",AA$42*$AS25,IF($AT25="Profile 6",AA$50*$AS25,0))))))</f>
        <v>0</v>
      </c>
      <c r="BA25" s="36">
        <f t="shared" ref="BA25:BA37" si="41">IF($AT25="Profile 1",AB$10*$AS25,IF($AT25="Profile 2",AB$18*$AS25,IF($AT25="Profile 3",AB$26*$AS25,IF($AT25="Profile 4",AB$34*$AS25,IF($AT25="Profile 5",AB$42*$AS25,IF($AT25="Profile 6",AB$50*$AS25,0))))))</f>
        <v>0</v>
      </c>
      <c r="BB25" s="36">
        <f t="shared" ref="BB25:BB37" si="42">IF($AT25="Profile 1",AC$10*$AS25,IF($AT25="Profile 2",AC$18*$AS25,IF($AT25="Profile 3",AC$26*$AS25,IF($AT25="Profile 4",AC$34*$AS25,IF($AT25="Profile 5",AC$42*$AS25,IF($AT25="Profile 6",AC$50*$AS25,0))))))</f>
        <v>0</v>
      </c>
      <c r="BC25" s="36">
        <f t="shared" ref="BC25:BC37" si="43">IF($AT25="Profile 1",AD$10*$AS25,IF($AT25="Profile 2",AD$18*$AS25,IF($AT25="Profile 3",AD$26*$AS25,IF($AT25="Profile 4",AD$34*$AS25,IF($AT25="Profile 5",AD$42*$AS25,IF($AT25="Profile 6",AD$50*$AS25,0))))))</f>
        <v>0</v>
      </c>
      <c r="BD25" s="36">
        <f t="shared" ref="BD25:BD37" si="44">IF($AT25="Profile 1",AE$10*$AS25,IF($AT25="Profile 2",AE$18*$AS25,IF($AT25="Profile 3",AE$26*$AS25,IF($AT25="Profile 4",AE$34*$AS25,IF($AT25="Profile 5",AE$42*$AS25,IF($AT25="Profile 6",AE$50*$AS25,0))))))</f>
        <v>0</v>
      </c>
      <c r="BE25" s="36">
        <f t="shared" ref="BE25:BE37" si="45">IF($AT25="Profile 1",AF$10*$AS25,IF($AT25="Profile 2",AF$18*$AS25,IF($AT25="Profile 3",AF$26*$AS25,IF($AT25="Profile 4",AF$34*$AS25,IF($AT25="Profile 5",AF$42*$AS25,IF($AT25="Profile 6",AF$50*$AS25,0))))))</f>
        <v>0</v>
      </c>
      <c r="BF25" s="36">
        <f t="shared" ref="BF25:BF37" si="46">IF($AT25="Profile 1",AG$10*$AS25,IF($AT25="Profile 2",AG$18*$AS25,IF($AT25="Profile 3",AG$26*$AS25,IF($AT25="Profile 4",AG$34*$AS25,IF($AT25="Profile 5",AG$42*$AS25,IF($AT25="Profile 6",AG$50*$AS25,0))))))</f>
        <v>0</v>
      </c>
      <c r="BG25" s="36">
        <f t="shared" ref="BG25:BG37" si="47">IF($AT25="Profile 1",AH$10*$AS25,IF($AT25="Profile 2",AH$18*$AS25,IF($AT25="Profile 3",AH$26*$AS25,IF($AT25="Profile 4",AH$34*$AS25,IF($AT25="Profile 5",AH$42*$AS25,IF($AT25="Profile 6",AH$50*$AS25,0))))))</f>
        <v>0</v>
      </c>
      <c r="BH25" s="36">
        <f t="shared" ref="BH25:BH37" si="48">IF($AT25="Profile 1",AI$10*$AS25,IF($AT25="Profile 2",AI$18*$AS25,IF($AT25="Profile 3",AI$26*$AS25,IF($AT25="Profile 4",AI$34*$AS25,IF($AT25="Profile 5",AI$42*$AS25,IF($AT25="Profile 6",AI$50*$AS25,0))))))</f>
        <v>0</v>
      </c>
      <c r="BI25" s="36">
        <f t="shared" ref="BI25:BI37" si="49">IF($AT25="Profile 1",AJ$10*$AS25,IF($AT25="Profile 2",AJ$18*$AS25,IF($AT25="Profile 3",AJ$26*$AS25,IF($AT25="Profile 4",AJ$34*$AS25,IF($AT25="Profile 5",AJ$42*$AS25,IF($AT25="Profile 6",AJ$50*$AS25,0))))))</f>
        <v>0</v>
      </c>
      <c r="BJ25" s="36">
        <f t="shared" ref="BJ25:BJ37" si="50">IF($AT25="Profile 1",AK$10*$AS25,IF($AT25="Profile 2",AK$18*$AS25,IF($AT25="Profile 3",AK$26*$AS25,IF($AT25="Profile 4",AK$34*$AS25,IF($AT25="Profile 5",AK$42*$AS25,IF($AT25="Profile 6",AK$50*$AS25,0))))))</f>
        <v>0</v>
      </c>
      <c r="BK25" s="36">
        <f t="shared" ref="BK25:BK37" si="51">IF($AT25="Profile 1",AL$10*$AS25,IF($AT25="Profile 2",AL$18*$AS25,IF($AT25="Profile 3",AL$26*$AS25,IF($AT25="Profile 4",AL$34*$AS25,IF($AT25="Profile 5",AL$42*$AS25,IF($AT25="Profile 6",AL$50*$AS25,0))))))</f>
        <v>0</v>
      </c>
      <c r="BL25" s="36">
        <f t="shared" ref="BL25:BL37" si="52">IF($AT25="Profile 1",AM$10*$AS25,IF($AT25="Profile 2",AM$18*$AS25,IF($AT25="Profile 3",AM$26*$AS25,IF($AT25="Profile 4",AM$34*$AS25,IF($AT25="Profile 5",AM$42*$AS25,IF($AT25="Profile 6",AM$50*$AS25,0))))))</f>
        <v>0</v>
      </c>
      <c r="BM25" s="36">
        <f t="shared" ref="BM25:BM37" si="53">IF($AT25="Profile 1",AN$10*$AS25,IF($AT25="Profile 2",AN$18*$AS25,IF($AT25="Profile 3",AN$26*$AS25,IF($AT25="Profile 4",AN$34*$AS25,IF($AT25="Profile 5",AN$42*$AS25,IF($AT25="Profile 6",AN$50*$AS25,0))))))</f>
        <v>0</v>
      </c>
      <c r="BN25" s="113">
        <f t="shared" ref="BN25:BN37" si="54">IF($AT25="Profile 1",AO$10*$AS25,IF($AT25="Profile 2",AO$18*$AS25,IF($AT25="Profile 3",AO$26*$AS25,IF($AT25="Profile 4",AO$34*$AS25,IF($AT25="Profile 5",AO$42*$AS25,IF($AT25="Profile 6",AO$50*$AS25,0))))))</f>
        <v>0</v>
      </c>
    </row>
    <row r="26" spans="1:66">
      <c r="A26" s="287"/>
      <c r="B26" s="282"/>
      <c r="C26" s="282"/>
      <c r="D26" s="282"/>
      <c r="E26" s="284"/>
      <c r="F26" s="132"/>
      <c r="G26" s="127"/>
      <c r="H26" s="36">
        <f t="shared" si="29"/>
        <v>0</v>
      </c>
      <c r="I26" s="280">
        <v>1</v>
      </c>
      <c r="J26" s="36">
        <f t="shared" si="30"/>
        <v>0</v>
      </c>
      <c r="K26" s="282">
        <v>0.95</v>
      </c>
      <c r="L26" s="96">
        <f t="shared" si="31"/>
        <v>0</v>
      </c>
      <c r="M26" s="4"/>
      <c r="N26" s="19" t="s">
        <v>28</v>
      </c>
      <c r="O26" s="302">
        <v>0.6</v>
      </c>
      <c r="P26" s="28">
        <f>$S$22*O26</f>
        <v>4.4987182662538689</v>
      </c>
      <c r="U26" s="246" t="s">
        <v>2</v>
      </c>
      <c r="V26" s="21">
        <f>IF($W24=$W$59,V$61,IF($W24=$W$67,V$69,IF($W24=$W$75,V$77,IF($W24=$W$83,V$85,IF($W24=$W$91,V$93,IF($W24=$W$107,V$109,IF($W24=$W$115,V$117,IF($W24=$W$123,V$125,IF($W24=$W$131,V$133,IF($W24=$W$139,V$141,0))))))))))</f>
        <v>0.9</v>
      </c>
      <c r="W26" s="21">
        <f t="shared" ref="W26:AO26" si="55">IF($W24=$W$59,W$61,IF($W24=$W$67,W$69,IF($W24=$W$75,W$77,IF($W24=$W$83,W$85,IF($W24=$W$91,W$93,IF($W24=$W$107,W$109,IF($W24=$W$115,W$117,IF($W24=$W$123,W$125,IF($W24=$W$131,W$133,IF($W24=$W$139,W$141,0))))))))))</f>
        <v>0.7</v>
      </c>
      <c r="X26" s="21">
        <f t="shared" si="55"/>
        <v>0.4</v>
      </c>
      <c r="Y26" s="21">
        <f t="shared" si="55"/>
        <v>0.2</v>
      </c>
      <c r="Z26" s="21">
        <f t="shared" si="55"/>
        <v>0</v>
      </c>
      <c r="AA26" s="21">
        <f t="shared" si="55"/>
        <v>0</v>
      </c>
      <c r="AB26" s="21">
        <f t="shared" si="55"/>
        <v>0</v>
      </c>
      <c r="AC26" s="21">
        <f t="shared" si="55"/>
        <v>0</v>
      </c>
      <c r="AD26" s="21">
        <f t="shared" si="55"/>
        <v>0</v>
      </c>
      <c r="AE26" s="21">
        <f t="shared" si="55"/>
        <v>0</v>
      </c>
      <c r="AF26" s="21">
        <f t="shared" si="55"/>
        <v>0</v>
      </c>
      <c r="AG26" s="21">
        <f t="shared" si="55"/>
        <v>0</v>
      </c>
      <c r="AH26" s="21">
        <f t="shared" si="55"/>
        <v>0.2</v>
      </c>
      <c r="AI26" s="21">
        <f t="shared" si="55"/>
        <v>0.4</v>
      </c>
      <c r="AJ26" s="21">
        <f t="shared" si="55"/>
        <v>0.7</v>
      </c>
      <c r="AK26" s="21">
        <f t="shared" si="55"/>
        <v>0.8</v>
      </c>
      <c r="AL26" s="21">
        <f t="shared" si="55"/>
        <v>0.95</v>
      </c>
      <c r="AM26" s="21">
        <f t="shared" si="55"/>
        <v>0.95</v>
      </c>
      <c r="AN26" s="21">
        <f t="shared" si="55"/>
        <v>0.95</v>
      </c>
      <c r="AO26" s="21">
        <f t="shared" si="55"/>
        <v>0.95</v>
      </c>
      <c r="AP26" s="35">
        <f>AVERAGE(V26:AO26)</f>
        <v>0.40499999999999997</v>
      </c>
      <c r="AR26" s="112" t="str">
        <f t="shared" si="32"/>
        <v/>
      </c>
      <c r="AS26" s="36">
        <f t="shared" si="33"/>
        <v>0</v>
      </c>
      <c r="AT26" s="310"/>
      <c r="AU26" s="36">
        <f t="shared" si="35"/>
        <v>0</v>
      </c>
      <c r="AV26" s="36">
        <f t="shared" si="36"/>
        <v>0</v>
      </c>
      <c r="AW26" s="36">
        <f t="shared" si="37"/>
        <v>0</v>
      </c>
      <c r="AX26" s="36">
        <f t="shared" si="38"/>
        <v>0</v>
      </c>
      <c r="AY26" s="36">
        <f t="shared" si="39"/>
        <v>0</v>
      </c>
      <c r="AZ26" s="36">
        <f t="shared" si="40"/>
        <v>0</v>
      </c>
      <c r="BA26" s="36">
        <f t="shared" si="41"/>
        <v>0</v>
      </c>
      <c r="BB26" s="36">
        <f t="shared" si="42"/>
        <v>0</v>
      </c>
      <c r="BC26" s="36">
        <f t="shared" si="43"/>
        <v>0</v>
      </c>
      <c r="BD26" s="36">
        <f t="shared" si="44"/>
        <v>0</v>
      </c>
      <c r="BE26" s="36">
        <f t="shared" si="45"/>
        <v>0</v>
      </c>
      <c r="BF26" s="36">
        <f t="shared" si="46"/>
        <v>0</v>
      </c>
      <c r="BG26" s="36">
        <f t="shared" si="47"/>
        <v>0</v>
      </c>
      <c r="BH26" s="36">
        <f t="shared" si="48"/>
        <v>0</v>
      </c>
      <c r="BI26" s="36">
        <f t="shared" si="49"/>
        <v>0</v>
      </c>
      <c r="BJ26" s="36">
        <f t="shared" si="50"/>
        <v>0</v>
      </c>
      <c r="BK26" s="36">
        <f t="shared" si="51"/>
        <v>0</v>
      </c>
      <c r="BL26" s="36">
        <f t="shared" si="52"/>
        <v>0</v>
      </c>
      <c r="BM26" s="36">
        <f t="shared" si="53"/>
        <v>0</v>
      </c>
      <c r="BN26" s="113">
        <f t="shared" si="54"/>
        <v>0</v>
      </c>
    </row>
    <row r="27" spans="1:66" ht="15" thickBot="1">
      <c r="A27" s="287"/>
      <c r="B27" s="282"/>
      <c r="C27" s="282"/>
      <c r="D27" s="282"/>
      <c r="E27" s="284"/>
      <c r="F27" s="132"/>
      <c r="G27" s="127"/>
      <c r="H27" s="36">
        <f t="shared" si="29"/>
        <v>0</v>
      </c>
      <c r="I27" s="280">
        <v>1</v>
      </c>
      <c r="J27" s="36">
        <f t="shared" si="30"/>
        <v>0</v>
      </c>
      <c r="K27" s="282">
        <v>0.95</v>
      </c>
      <c r="L27" s="96">
        <f t="shared" si="31"/>
        <v>0</v>
      </c>
      <c r="M27" s="4"/>
      <c r="N27" s="34" t="s">
        <v>29</v>
      </c>
      <c r="O27" s="306">
        <v>0.5</v>
      </c>
      <c r="P27" s="29">
        <f>$S$22*O27</f>
        <v>3.7489318885448912</v>
      </c>
      <c r="AR27" s="112" t="str">
        <f t="shared" si="32"/>
        <v/>
      </c>
      <c r="AS27" s="36">
        <f t="shared" si="33"/>
        <v>0</v>
      </c>
      <c r="AT27" s="310"/>
      <c r="AU27" s="36">
        <f t="shared" si="35"/>
        <v>0</v>
      </c>
      <c r="AV27" s="36">
        <f t="shared" si="36"/>
        <v>0</v>
      </c>
      <c r="AW27" s="36">
        <f t="shared" si="37"/>
        <v>0</v>
      </c>
      <c r="AX27" s="36">
        <f t="shared" si="38"/>
        <v>0</v>
      </c>
      <c r="AY27" s="36">
        <f t="shared" si="39"/>
        <v>0</v>
      </c>
      <c r="AZ27" s="36">
        <f t="shared" si="40"/>
        <v>0</v>
      </c>
      <c r="BA27" s="36">
        <f t="shared" si="41"/>
        <v>0</v>
      </c>
      <c r="BB27" s="36">
        <f t="shared" si="42"/>
        <v>0</v>
      </c>
      <c r="BC27" s="36">
        <f t="shared" si="43"/>
        <v>0</v>
      </c>
      <c r="BD27" s="36">
        <f t="shared" si="44"/>
        <v>0</v>
      </c>
      <c r="BE27" s="36">
        <f t="shared" si="45"/>
        <v>0</v>
      </c>
      <c r="BF27" s="36">
        <f t="shared" si="46"/>
        <v>0</v>
      </c>
      <c r="BG27" s="36">
        <f t="shared" si="47"/>
        <v>0</v>
      </c>
      <c r="BH27" s="36">
        <f t="shared" si="48"/>
        <v>0</v>
      </c>
      <c r="BI27" s="36">
        <f t="shared" si="49"/>
        <v>0</v>
      </c>
      <c r="BJ27" s="36">
        <f t="shared" si="50"/>
        <v>0</v>
      </c>
      <c r="BK27" s="36">
        <f t="shared" si="51"/>
        <v>0</v>
      </c>
      <c r="BL27" s="36">
        <f t="shared" si="52"/>
        <v>0</v>
      </c>
      <c r="BM27" s="36">
        <f t="shared" si="53"/>
        <v>0</v>
      </c>
      <c r="BN27" s="113">
        <f t="shared" si="54"/>
        <v>0</v>
      </c>
    </row>
    <row r="28" spans="1:66">
      <c r="A28" s="287"/>
      <c r="B28" s="282"/>
      <c r="C28" s="282"/>
      <c r="D28" s="282"/>
      <c r="E28" s="284"/>
      <c r="F28" s="132"/>
      <c r="G28" s="127"/>
      <c r="H28" s="36">
        <f t="shared" si="29"/>
        <v>0</v>
      </c>
      <c r="I28" s="282">
        <v>1</v>
      </c>
      <c r="J28" s="36">
        <f t="shared" si="30"/>
        <v>0</v>
      </c>
      <c r="K28" s="282">
        <v>0.95</v>
      </c>
      <c r="L28" s="96">
        <f t="shared" si="31"/>
        <v>0</v>
      </c>
      <c r="M28" s="4"/>
      <c r="AR28" s="112" t="str">
        <f t="shared" si="32"/>
        <v/>
      </c>
      <c r="AS28" s="36">
        <f t="shared" si="33"/>
        <v>0</v>
      </c>
      <c r="AT28" s="310"/>
      <c r="AU28" s="36">
        <f t="shared" si="35"/>
        <v>0</v>
      </c>
      <c r="AV28" s="36">
        <f t="shared" si="36"/>
        <v>0</v>
      </c>
      <c r="AW28" s="36">
        <f t="shared" si="37"/>
        <v>0</v>
      </c>
      <c r="AX28" s="36">
        <f t="shared" si="38"/>
        <v>0</v>
      </c>
      <c r="AY28" s="36">
        <f t="shared" si="39"/>
        <v>0</v>
      </c>
      <c r="AZ28" s="36">
        <f t="shared" si="40"/>
        <v>0</v>
      </c>
      <c r="BA28" s="36">
        <f t="shared" si="41"/>
        <v>0</v>
      </c>
      <c r="BB28" s="36">
        <f t="shared" si="42"/>
        <v>0</v>
      </c>
      <c r="BC28" s="36">
        <f t="shared" si="43"/>
        <v>0</v>
      </c>
      <c r="BD28" s="36">
        <f t="shared" si="44"/>
        <v>0</v>
      </c>
      <c r="BE28" s="36">
        <f t="shared" si="45"/>
        <v>0</v>
      </c>
      <c r="BF28" s="36">
        <f t="shared" si="46"/>
        <v>0</v>
      </c>
      <c r="BG28" s="36">
        <f t="shared" si="47"/>
        <v>0</v>
      </c>
      <c r="BH28" s="36">
        <f t="shared" si="48"/>
        <v>0</v>
      </c>
      <c r="BI28" s="36">
        <f t="shared" si="49"/>
        <v>0</v>
      </c>
      <c r="BJ28" s="36">
        <f t="shared" si="50"/>
        <v>0</v>
      </c>
      <c r="BK28" s="36">
        <f t="shared" si="51"/>
        <v>0</v>
      </c>
      <c r="BL28" s="36">
        <f t="shared" si="52"/>
        <v>0</v>
      </c>
      <c r="BM28" s="36">
        <f t="shared" si="53"/>
        <v>0</v>
      </c>
      <c r="BN28" s="113">
        <f t="shared" si="54"/>
        <v>0</v>
      </c>
    </row>
    <row r="29" spans="1:66">
      <c r="A29" s="278"/>
      <c r="B29" s="288"/>
      <c r="C29" s="284"/>
      <c r="D29" s="284"/>
      <c r="E29" s="284"/>
      <c r="F29" s="132"/>
      <c r="G29" s="127"/>
      <c r="H29" s="36">
        <f t="shared" si="29"/>
        <v>0</v>
      </c>
      <c r="I29" s="282">
        <v>1</v>
      </c>
      <c r="J29" s="36">
        <f t="shared" si="30"/>
        <v>0</v>
      </c>
      <c r="K29" s="282">
        <v>0.95</v>
      </c>
      <c r="L29" s="96">
        <f t="shared" si="31"/>
        <v>0</v>
      </c>
      <c r="M29" s="4"/>
      <c r="AR29" s="112" t="str">
        <f t="shared" si="32"/>
        <v/>
      </c>
      <c r="AS29" s="36">
        <f t="shared" si="33"/>
        <v>0</v>
      </c>
      <c r="AT29" s="311"/>
      <c r="AU29" s="36">
        <f t="shared" si="35"/>
        <v>0</v>
      </c>
      <c r="AV29" s="36">
        <f t="shared" si="36"/>
        <v>0</v>
      </c>
      <c r="AW29" s="36">
        <f t="shared" si="37"/>
        <v>0</v>
      </c>
      <c r="AX29" s="36">
        <f t="shared" si="38"/>
        <v>0</v>
      </c>
      <c r="AY29" s="36">
        <f t="shared" si="39"/>
        <v>0</v>
      </c>
      <c r="AZ29" s="36">
        <f t="shared" si="40"/>
        <v>0</v>
      </c>
      <c r="BA29" s="36">
        <f t="shared" si="41"/>
        <v>0</v>
      </c>
      <c r="BB29" s="36">
        <f t="shared" si="42"/>
        <v>0</v>
      </c>
      <c r="BC29" s="36">
        <f t="shared" si="43"/>
        <v>0</v>
      </c>
      <c r="BD29" s="36">
        <f t="shared" si="44"/>
        <v>0</v>
      </c>
      <c r="BE29" s="36">
        <f t="shared" si="45"/>
        <v>0</v>
      </c>
      <c r="BF29" s="36">
        <f t="shared" si="46"/>
        <v>0</v>
      </c>
      <c r="BG29" s="36">
        <f t="shared" si="47"/>
        <v>0</v>
      </c>
      <c r="BH29" s="36">
        <f t="shared" si="48"/>
        <v>0</v>
      </c>
      <c r="BI29" s="36">
        <f t="shared" si="49"/>
        <v>0</v>
      </c>
      <c r="BJ29" s="36">
        <f t="shared" si="50"/>
        <v>0</v>
      </c>
      <c r="BK29" s="36">
        <f t="shared" si="51"/>
        <v>0</v>
      </c>
      <c r="BL29" s="36">
        <f t="shared" si="52"/>
        <v>0</v>
      </c>
      <c r="BM29" s="36">
        <f t="shared" si="53"/>
        <v>0</v>
      </c>
      <c r="BN29" s="113">
        <f t="shared" si="54"/>
        <v>0</v>
      </c>
    </row>
    <row r="30" spans="1:66">
      <c r="A30" s="278"/>
      <c r="B30" s="288"/>
      <c r="C30" s="284"/>
      <c r="D30" s="284"/>
      <c r="E30" s="284"/>
      <c r="F30" s="132"/>
      <c r="G30" s="127"/>
      <c r="H30" s="36">
        <f t="shared" si="29"/>
        <v>0</v>
      </c>
      <c r="I30" s="282">
        <v>1</v>
      </c>
      <c r="J30" s="36">
        <f t="shared" si="30"/>
        <v>0</v>
      </c>
      <c r="K30" s="282">
        <v>0.95</v>
      </c>
      <c r="L30" s="96">
        <f t="shared" si="31"/>
        <v>0</v>
      </c>
      <c r="M30" s="4"/>
      <c r="AR30" s="112" t="str">
        <f t="shared" si="32"/>
        <v/>
      </c>
      <c r="AS30" s="36">
        <f t="shared" si="33"/>
        <v>0</v>
      </c>
      <c r="AT30" s="311"/>
      <c r="AU30" s="36">
        <f t="shared" si="35"/>
        <v>0</v>
      </c>
      <c r="AV30" s="36">
        <f t="shared" si="36"/>
        <v>0</v>
      </c>
      <c r="AW30" s="36">
        <f t="shared" si="37"/>
        <v>0</v>
      </c>
      <c r="AX30" s="36">
        <f t="shared" si="38"/>
        <v>0</v>
      </c>
      <c r="AY30" s="36">
        <f t="shared" si="39"/>
        <v>0</v>
      </c>
      <c r="AZ30" s="36">
        <f t="shared" si="40"/>
        <v>0</v>
      </c>
      <c r="BA30" s="36">
        <f t="shared" si="41"/>
        <v>0</v>
      </c>
      <c r="BB30" s="36">
        <f t="shared" si="42"/>
        <v>0</v>
      </c>
      <c r="BC30" s="36">
        <f t="shared" si="43"/>
        <v>0</v>
      </c>
      <c r="BD30" s="36">
        <f t="shared" si="44"/>
        <v>0</v>
      </c>
      <c r="BE30" s="36">
        <f t="shared" si="45"/>
        <v>0</v>
      </c>
      <c r="BF30" s="36">
        <f t="shared" si="46"/>
        <v>0</v>
      </c>
      <c r="BG30" s="36">
        <f t="shared" si="47"/>
        <v>0</v>
      </c>
      <c r="BH30" s="36">
        <f t="shared" si="48"/>
        <v>0</v>
      </c>
      <c r="BI30" s="36">
        <f t="shared" si="49"/>
        <v>0</v>
      </c>
      <c r="BJ30" s="36">
        <f t="shared" si="50"/>
        <v>0</v>
      </c>
      <c r="BK30" s="36">
        <f t="shared" si="51"/>
        <v>0</v>
      </c>
      <c r="BL30" s="36">
        <f t="shared" si="52"/>
        <v>0</v>
      </c>
      <c r="BM30" s="36">
        <f t="shared" si="53"/>
        <v>0</v>
      </c>
      <c r="BN30" s="113">
        <f t="shared" si="54"/>
        <v>0</v>
      </c>
    </row>
    <row r="31" spans="1:66">
      <c r="A31" s="278"/>
      <c r="B31" s="288"/>
      <c r="C31" s="284"/>
      <c r="D31" s="284"/>
      <c r="E31" s="284"/>
      <c r="F31" s="132"/>
      <c r="G31" s="127"/>
      <c r="H31" s="36">
        <f t="shared" si="29"/>
        <v>0</v>
      </c>
      <c r="I31" s="282">
        <v>1</v>
      </c>
      <c r="J31" s="36">
        <f t="shared" si="30"/>
        <v>0</v>
      </c>
      <c r="K31" s="282">
        <v>0.95</v>
      </c>
      <c r="L31" s="96">
        <f t="shared" si="31"/>
        <v>0</v>
      </c>
      <c r="M31" s="4"/>
      <c r="AR31" s="112" t="str">
        <f t="shared" si="32"/>
        <v/>
      </c>
      <c r="AS31" s="36">
        <f t="shared" si="33"/>
        <v>0</v>
      </c>
      <c r="AT31" s="311"/>
      <c r="AU31" s="36">
        <f t="shared" si="35"/>
        <v>0</v>
      </c>
      <c r="AV31" s="36">
        <f t="shared" si="36"/>
        <v>0</v>
      </c>
      <c r="AW31" s="36">
        <f t="shared" si="37"/>
        <v>0</v>
      </c>
      <c r="AX31" s="36">
        <f t="shared" si="38"/>
        <v>0</v>
      </c>
      <c r="AY31" s="36">
        <f t="shared" si="39"/>
        <v>0</v>
      </c>
      <c r="AZ31" s="36">
        <f t="shared" si="40"/>
        <v>0</v>
      </c>
      <c r="BA31" s="36">
        <f t="shared" si="41"/>
        <v>0</v>
      </c>
      <c r="BB31" s="36">
        <f t="shared" si="42"/>
        <v>0</v>
      </c>
      <c r="BC31" s="36">
        <f t="shared" si="43"/>
        <v>0</v>
      </c>
      <c r="BD31" s="36">
        <f t="shared" si="44"/>
        <v>0</v>
      </c>
      <c r="BE31" s="36">
        <f t="shared" si="45"/>
        <v>0</v>
      </c>
      <c r="BF31" s="36">
        <f t="shared" si="46"/>
        <v>0</v>
      </c>
      <c r="BG31" s="36">
        <f t="shared" si="47"/>
        <v>0</v>
      </c>
      <c r="BH31" s="36">
        <f t="shared" si="48"/>
        <v>0</v>
      </c>
      <c r="BI31" s="36">
        <f t="shared" si="49"/>
        <v>0</v>
      </c>
      <c r="BJ31" s="36">
        <f t="shared" si="50"/>
        <v>0</v>
      </c>
      <c r="BK31" s="36">
        <f t="shared" si="51"/>
        <v>0</v>
      </c>
      <c r="BL31" s="36">
        <f t="shared" si="52"/>
        <v>0</v>
      </c>
      <c r="BM31" s="36">
        <f t="shared" si="53"/>
        <v>0</v>
      </c>
      <c r="BN31" s="113">
        <f t="shared" si="54"/>
        <v>0</v>
      </c>
    </row>
    <row r="32" spans="1:66">
      <c r="A32" s="278"/>
      <c r="B32" s="288"/>
      <c r="C32" s="284"/>
      <c r="D32" s="284"/>
      <c r="E32" s="284"/>
      <c r="F32" s="132"/>
      <c r="G32" s="127"/>
      <c r="H32" s="36">
        <f t="shared" si="29"/>
        <v>0</v>
      </c>
      <c r="I32" s="282">
        <v>1</v>
      </c>
      <c r="J32" s="36">
        <f t="shared" si="30"/>
        <v>0</v>
      </c>
      <c r="K32" s="282">
        <v>0.95</v>
      </c>
      <c r="L32" s="96">
        <f t="shared" si="31"/>
        <v>0</v>
      </c>
      <c r="M32" s="4"/>
      <c r="V32" s="247" t="s">
        <v>233</v>
      </c>
      <c r="W32" s="362" t="s">
        <v>234</v>
      </c>
      <c r="X32" s="363"/>
      <c r="AP32" s="44"/>
      <c r="AR32" s="112" t="str">
        <f t="shared" si="32"/>
        <v/>
      </c>
      <c r="AS32" s="36">
        <f t="shared" si="33"/>
        <v>0</v>
      </c>
      <c r="AT32" s="311"/>
      <c r="AU32" s="36">
        <f t="shared" si="35"/>
        <v>0</v>
      </c>
      <c r="AV32" s="36">
        <f t="shared" si="36"/>
        <v>0</v>
      </c>
      <c r="AW32" s="36">
        <f t="shared" si="37"/>
        <v>0</v>
      </c>
      <c r="AX32" s="36">
        <f t="shared" si="38"/>
        <v>0</v>
      </c>
      <c r="AY32" s="36">
        <f t="shared" si="39"/>
        <v>0</v>
      </c>
      <c r="AZ32" s="36">
        <f t="shared" si="40"/>
        <v>0</v>
      </c>
      <c r="BA32" s="36">
        <f t="shared" si="41"/>
        <v>0</v>
      </c>
      <c r="BB32" s="36">
        <f t="shared" si="42"/>
        <v>0</v>
      </c>
      <c r="BC32" s="36">
        <f t="shared" si="43"/>
        <v>0</v>
      </c>
      <c r="BD32" s="36">
        <f t="shared" si="44"/>
        <v>0</v>
      </c>
      <c r="BE32" s="36">
        <f t="shared" si="45"/>
        <v>0</v>
      </c>
      <c r="BF32" s="36">
        <f t="shared" si="46"/>
        <v>0</v>
      </c>
      <c r="BG32" s="36">
        <f t="shared" si="47"/>
        <v>0</v>
      </c>
      <c r="BH32" s="36">
        <f t="shared" si="48"/>
        <v>0</v>
      </c>
      <c r="BI32" s="36">
        <f t="shared" si="49"/>
        <v>0</v>
      </c>
      <c r="BJ32" s="36">
        <f t="shared" si="50"/>
        <v>0</v>
      </c>
      <c r="BK32" s="36">
        <f t="shared" si="51"/>
        <v>0</v>
      </c>
      <c r="BL32" s="36">
        <f t="shared" si="52"/>
        <v>0</v>
      </c>
      <c r="BM32" s="36">
        <f t="shared" si="53"/>
        <v>0</v>
      </c>
      <c r="BN32" s="113">
        <f t="shared" si="54"/>
        <v>0</v>
      </c>
    </row>
    <row r="33" spans="1:70">
      <c r="A33" s="278"/>
      <c r="B33" s="288"/>
      <c r="C33" s="284"/>
      <c r="D33" s="284"/>
      <c r="E33" s="284"/>
      <c r="F33" s="132"/>
      <c r="G33" s="127"/>
      <c r="H33" s="36">
        <f t="shared" si="29"/>
        <v>0</v>
      </c>
      <c r="I33" s="282">
        <v>1</v>
      </c>
      <c r="J33" s="36">
        <f t="shared" si="30"/>
        <v>0</v>
      </c>
      <c r="K33" s="282">
        <v>0.95</v>
      </c>
      <c r="L33" s="96">
        <f t="shared" si="31"/>
        <v>0</v>
      </c>
      <c r="M33" s="4"/>
      <c r="V33" s="246">
        <v>0.20833333333333334</v>
      </c>
      <c r="W33" s="246">
        <v>0.25</v>
      </c>
      <c r="X33" s="246">
        <v>0.29166666666666702</v>
      </c>
      <c r="Y33" s="246">
        <v>0.33333333333333298</v>
      </c>
      <c r="Z33" s="246">
        <v>0.375</v>
      </c>
      <c r="AA33" s="246">
        <v>0.41666666666666702</v>
      </c>
      <c r="AB33" s="246">
        <v>0.45833333333333298</v>
      </c>
      <c r="AC33" s="246">
        <v>0.5</v>
      </c>
      <c r="AD33" s="246">
        <v>0.54166666666666696</v>
      </c>
      <c r="AE33" s="246">
        <v>0.58333333333333304</v>
      </c>
      <c r="AF33" s="246">
        <v>0.625</v>
      </c>
      <c r="AG33" s="246">
        <v>0.66666666666666696</v>
      </c>
      <c r="AH33" s="246">
        <v>0.70833333333333304</v>
      </c>
      <c r="AI33" s="246">
        <v>0.75</v>
      </c>
      <c r="AJ33" s="246">
        <v>0.79166666666666696</v>
      </c>
      <c r="AK33" s="246">
        <v>0.83333333333333304</v>
      </c>
      <c r="AL33" s="246">
        <v>0.875</v>
      </c>
      <c r="AM33" s="246">
        <v>0.91666666666666696</v>
      </c>
      <c r="AN33" s="246">
        <v>0.95833333333333304</v>
      </c>
      <c r="AO33" s="246">
        <v>1</v>
      </c>
      <c r="AP33" s="250" t="s">
        <v>41</v>
      </c>
      <c r="AR33" s="112" t="str">
        <f t="shared" si="32"/>
        <v/>
      </c>
      <c r="AS33" s="36">
        <f t="shared" si="33"/>
        <v>0</v>
      </c>
      <c r="AT33" s="311"/>
      <c r="AU33" s="36">
        <f t="shared" si="35"/>
        <v>0</v>
      </c>
      <c r="AV33" s="36">
        <f t="shared" si="36"/>
        <v>0</v>
      </c>
      <c r="AW33" s="36">
        <f t="shared" si="37"/>
        <v>0</v>
      </c>
      <c r="AX33" s="36">
        <f t="shared" si="38"/>
        <v>0</v>
      </c>
      <c r="AY33" s="36">
        <f t="shared" si="39"/>
        <v>0</v>
      </c>
      <c r="AZ33" s="36">
        <f t="shared" si="40"/>
        <v>0</v>
      </c>
      <c r="BA33" s="36">
        <f t="shared" si="41"/>
        <v>0</v>
      </c>
      <c r="BB33" s="36">
        <f t="shared" si="42"/>
        <v>0</v>
      </c>
      <c r="BC33" s="36">
        <f t="shared" si="43"/>
        <v>0</v>
      </c>
      <c r="BD33" s="36">
        <f t="shared" si="44"/>
        <v>0</v>
      </c>
      <c r="BE33" s="36">
        <f t="shared" si="45"/>
        <v>0</v>
      </c>
      <c r="BF33" s="36">
        <f t="shared" si="46"/>
        <v>0</v>
      </c>
      <c r="BG33" s="36">
        <f t="shared" si="47"/>
        <v>0</v>
      </c>
      <c r="BH33" s="36">
        <f t="shared" si="48"/>
        <v>0</v>
      </c>
      <c r="BI33" s="36">
        <f t="shared" si="49"/>
        <v>0</v>
      </c>
      <c r="BJ33" s="36">
        <f t="shared" si="50"/>
        <v>0</v>
      </c>
      <c r="BK33" s="36">
        <f t="shared" si="51"/>
        <v>0</v>
      </c>
      <c r="BL33" s="36">
        <f t="shared" si="52"/>
        <v>0</v>
      </c>
      <c r="BM33" s="36">
        <f t="shared" si="53"/>
        <v>0</v>
      </c>
      <c r="BN33" s="113">
        <f t="shared" si="54"/>
        <v>0</v>
      </c>
    </row>
    <row r="34" spans="1:70" ht="15" thickBot="1">
      <c r="A34" s="278"/>
      <c r="B34" s="288"/>
      <c r="C34" s="284"/>
      <c r="D34" s="284"/>
      <c r="E34" s="284"/>
      <c r="F34" s="132"/>
      <c r="G34" s="127"/>
      <c r="H34" s="36">
        <f t="shared" si="29"/>
        <v>0</v>
      </c>
      <c r="I34" s="282">
        <v>1</v>
      </c>
      <c r="J34" s="36">
        <f t="shared" si="30"/>
        <v>0</v>
      </c>
      <c r="K34" s="282">
        <v>0.95</v>
      </c>
      <c r="L34" s="96">
        <f t="shared" si="31"/>
        <v>0</v>
      </c>
      <c r="M34" s="4"/>
      <c r="U34" s="246" t="s">
        <v>2</v>
      </c>
      <c r="V34" s="21">
        <f>IF($W32=$W$59,V$61,IF($W32=$W$67,V$69,IF($W32=$W$75,V$77,IF($W32=$W$83,V$85,IF($W32=$W$91,V$93,IF($W32=$W$107,V$109,IF($W32=$W$115,V$117,IF($W32=$W$123,V$125,IF($W32=$W$131,V$133,IF($W32=$W$139,V$141,0))))))))))</f>
        <v>0</v>
      </c>
      <c r="W34" s="21">
        <f t="shared" ref="W34:AO34" si="56">IF($W32=$W$59,W$61,IF($W32=$W$67,W$69,IF($W32=$W$75,W$77,IF($W32=$W$83,W$85,IF($W32=$W$91,W$93,IF($W32=$W$107,W$109,IF($W32=$W$115,W$117,IF($W32=$W$123,W$125,IF($W32=$W$131,W$133,IF($W32=$W$139,W$141,0))))))))))</f>
        <v>0.1</v>
      </c>
      <c r="X34" s="21">
        <f t="shared" si="56"/>
        <v>0.1</v>
      </c>
      <c r="Y34" s="21">
        <f t="shared" si="56"/>
        <v>0.5</v>
      </c>
      <c r="Z34" s="21">
        <f t="shared" si="56"/>
        <v>0.7</v>
      </c>
      <c r="AA34" s="21">
        <f t="shared" si="56"/>
        <v>0.5</v>
      </c>
      <c r="AB34" s="21">
        <f t="shared" si="56"/>
        <v>0.1</v>
      </c>
      <c r="AC34" s="21">
        <f t="shared" si="56"/>
        <v>0.5</v>
      </c>
      <c r="AD34" s="21">
        <f t="shared" si="56"/>
        <v>0.7</v>
      </c>
      <c r="AE34" s="21">
        <f t="shared" si="56"/>
        <v>0.5</v>
      </c>
      <c r="AF34" s="21">
        <f t="shared" si="56"/>
        <v>0.1</v>
      </c>
      <c r="AG34" s="21">
        <f t="shared" si="56"/>
        <v>0.5</v>
      </c>
      <c r="AH34" s="21">
        <f t="shared" si="56"/>
        <v>0.7</v>
      </c>
      <c r="AI34" s="21">
        <f t="shared" si="56"/>
        <v>0.5</v>
      </c>
      <c r="AJ34" s="21">
        <f t="shared" si="56"/>
        <v>0.1</v>
      </c>
      <c r="AK34" s="21">
        <f t="shared" si="56"/>
        <v>0</v>
      </c>
      <c r="AL34" s="21">
        <f t="shared" si="56"/>
        <v>0</v>
      </c>
      <c r="AM34" s="21">
        <f t="shared" si="56"/>
        <v>0</v>
      </c>
      <c r="AN34" s="21">
        <f t="shared" si="56"/>
        <v>0</v>
      </c>
      <c r="AO34" s="21">
        <f t="shared" si="56"/>
        <v>0</v>
      </c>
      <c r="AP34" s="35">
        <f>AVERAGE(V34:AO34)</f>
        <v>0.28000000000000003</v>
      </c>
      <c r="AR34" s="114" t="str">
        <f t="shared" si="32"/>
        <v/>
      </c>
      <c r="AS34" s="104">
        <f t="shared" si="33"/>
        <v>0</v>
      </c>
      <c r="AT34" s="312"/>
      <c r="AU34" s="104">
        <f t="shared" si="35"/>
        <v>0</v>
      </c>
      <c r="AV34" s="104">
        <f t="shared" si="36"/>
        <v>0</v>
      </c>
      <c r="AW34" s="104">
        <f t="shared" si="37"/>
        <v>0</v>
      </c>
      <c r="AX34" s="104">
        <f t="shared" si="38"/>
        <v>0</v>
      </c>
      <c r="AY34" s="104">
        <f t="shared" si="39"/>
        <v>0</v>
      </c>
      <c r="AZ34" s="104">
        <f t="shared" si="40"/>
        <v>0</v>
      </c>
      <c r="BA34" s="104">
        <f t="shared" si="41"/>
        <v>0</v>
      </c>
      <c r="BB34" s="104">
        <f t="shared" si="42"/>
        <v>0</v>
      </c>
      <c r="BC34" s="104">
        <f t="shared" si="43"/>
        <v>0</v>
      </c>
      <c r="BD34" s="104">
        <f t="shared" si="44"/>
        <v>0</v>
      </c>
      <c r="BE34" s="104">
        <f t="shared" si="45"/>
        <v>0</v>
      </c>
      <c r="BF34" s="104">
        <f t="shared" si="46"/>
        <v>0</v>
      </c>
      <c r="BG34" s="104">
        <f t="shared" si="47"/>
        <v>0</v>
      </c>
      <c r="BH34" s="104">
        <f t="shared" si="48"/>
        <v>0</v>
      </c>
      <c r="BI34" s="104">
        <f t="shared" si="49"/>
        <v>0</v>
      </c>
      <c r="BJ34" s="104">
        <f t="shared" si="50"/>
        <v>0</v>
      </c>
      <c r="BK34" s="104">
        <f t="shared" si="51"/>
        <v>0</v>
      </c>
      <c r="BL34" s="104">
        <f t="shared" si="52"/>
        <v>0</v>
      </c>
      <c r="BM34" s="104">
        <f t="shared" si="53"/>
        <v>0</v>
      </c>
      <c r="BN34" s="115">
        <f t="shared" si="54"/>
        <v>0</v>
      </c>
    </row>
    <row r="35" spans="1:70">
      <c r="A35" s="199" t="s">
        <v>260</v>
      </c>
      <c r="B35" s="185"/>
      <c r="C35" s="185"/>
      <c r="D35" s="185"/>
      <c r="E35" s="185"/>
      <c r="F35" s="185"/>
      <c r="G35" s="198">
        <f>DD!B3</f>
        <v>0</v>
      </c>
      <c r="H35" s="36">
        <f>G35</f>
        <v>0</v>
      </c>
      <c r="I35" s="289">
        <v>1</v>
      </c>
      <c r="J35" s="36">
        <f t="shared" ref="J35" si="57">H35*I35</f>
        <v>0</v>
      </c>
      <c r="K35" s="282">
        <v>0.95</v>
      </c>
      <c r="L35" s="96">
        <f t="shared" ref="L35" si="58">J35/K35</f>
        <v>0</v>
      </c>
      <c r="M35" s="4"/>
      <c r="AR35" s="197" t="str">
        <f t="shared" si="32"/>
        <v>Heating Load</v>
      </c>
      <c r="AS35" s="190">
        <f t="shared" si="33"/>
        <v>0</v>
      </c>
      <c r="AT35" s="314"/>
      <c r="AU35" s="190">
        <f>IF($BO$35="January",DD!AG3,IF($BO$35="February",DD!AG4,IF($BO$35="March",DD!AG5,IF($BO$35="April",DD!AG6,IF($BO$35="May",DD!AG7,IF($BO$35="June",DD!AG8,IF($BO$35="July",DD!AG9,IF($BO$35="August",DD!AG10,IF($BO$35="September",DD!AG11,IF($BO$35="October",DD!AG12,IF($BO$35="November",DD!AG13,IF($BO$35="December",DD!AG14,0))))))))))))</f>
        <v>0</v>
      </c>
      <c r="AV35" s="190">
        <f>IF($BO$35="January",DD!AH3,IF($BO$35="February",DD!AH4,IF($BO$35="March",DD!AH5,IF($BO$35="April",DD!AH6,IF($BO$35="May",DD!AH7,IF($BO$35="June",DD!AH8,IF($BO$35="July",DD!AH9,IF($BO$35="August",DD!AH10,IF($BO$35="September",DD!AH11,IF($BO$35="October",DD!AH12,IF($BO$35="November",DD!AH13,IF($BO$35="December",DD!AH14,0))))))))))))</f>
        <v>0</v>
      </c>
      <c r="AW35" s="190">
        <f>IF($BO$35="January",DD!AI3,IF($BO$35="February",DD!AI4,IF($BO$35="March",DD!AI5,IF($BO$35="April",DD!AI6,IF($BO$35="May",DD!AI7,IF($BO$35="June",DD!AI8,IF($BO$35="July",DD!AI9,IF($BO$35="August",DD!AI10,IF($BO$35="September",DD!AI11,IF($BO$35="October",DD!AI12,IF($BO$35="November",DD!AI13,IF($BO$35="December",DD!AI14,0))))))))))))</f>
        <v>0</v>
      </c>
      <c r="AX35" s="190">
        <f>IF($BO$35="January",DD!AJ3,IF($BO$35="February",DD!AJ4,IF($BO$35="March",DD!AJ5,IF($BO$35="April",DD!AJ6,IF($BO$35="May",DD!AJ7,IF($BO$35="June",DD!AJ8,IF($BO$35="July",DD!AJ9,IF($BO$35="August",DD!AJ10,IF($BO$35="September",DD!AJ11,IF($BO$35="October",DD!AJ12,IF($BO$35="November",DD!AJ13,IF($BO$35="December",DD!AJ14,0))))))))))))</f>
        <v>0</v>
      </c>
      <c r="AY35" s="190">
        <f>IF($BO$35="January",DD!AK3,IF($BO$35="February",DD!AK4,IF($BO$35="March",DD!AK5,IF($BO$35="April",DD!AK6,IF($BO$35="May",DD!AK7,IF($BO$35="June",DD!AK8,IF($BO$35="July",DD!AK9,IF($BO$35="August",DD!AK10,IF($BO$35="September",DD!AK11,IF($BO$35="October",DD!AK12,IF($BO$35="November",DD!AK13,IF($BO$35="December",DD!AK14,0))))))))))))</f>
        <v>0</v>
      </c>
      <c r="AZ35" s="190">
        <f>IF($BO$35="January",DD!AL3,IF($BO$35="February",DD!AL4,IF($BO$35="March",DD!AL5,IF($BO$35="April",DD!AL6,IF($BO$35="May",DD!AL7,IF($BO$35="June",DD!AL8,IF($BO$35="July",DD!AL9,IF($BO$35="August",DD!AL10,IF($BO$35="September",DD!AL11,IF($BO$35="October",DD!AL12,IF($BO$35="November",DD!AL13,IF($BO$35="December",DD!AL14,0))))))))))))</f>
        <v>0</v>
      </c>
      <c r="BA35" s="190">
        <f>IF($BO$35="January",DD!AM3,IF($BO$35="February",DD!AM4,IF($BO$35="March",DD!AM5,IF($BO$35="April",DD!AM6,IF($BO$35="May",DD!AM7,IF($BO$35="June",DD!AM8,IF($BO$35="July",DD!AM9,IF($BO$35="August",DD!AM10,IF($BO$35="September",DD!AM11,IF($BO$35="October",DD!AM12,IF($BO$35="November",DD!AM13,IF($BO$35="December",DD!AM14,0))))))))))))</f>
        <v>0</v>
      </c>
      <c r="BB35" s="190">
        <f>IF($BO$35="January",DD!AN3,IF($BO$35="February",DD!AN4,IF($BO$35="March",DD!AN5,IF($BO$35="April",DD!AN6,IF($BO$35="May",DD!AN7,IF($BO$35="June",DD!AN8,IF($BO$35="July",DD!AN9,IF($BO$35="August",DD!AN10,IF($BO$35="September",DD!AN11,IF($BO$35="October",DD!AN12,IF($BO$35="November",DD!AN13,IF($BO$35="December",DD!AN14,0))))))))))))</f>
        <v>0</v>
      </c>
      <c r="BC35" s="190">
        <f>IF($BO$35="January",DD!AO3,IF($BO$35="February",DD!AO4,IF($BO$35="March",DD!AO5,IF($BO$35="April",DD!AO6,IF($BO$35="May",DD!AO7,IF($BO$35="June",DD!AO8,IF($BO$35="July",DD!AO9,IF($BO$35="August",DD!AO10,IF($BO$35="September",DD!AO11,IF($BO$35="October",DD!AO12,IF($BO$35="November",DD!AO13,IF($BO$35="December",DD!AO14,0))))))))))))</f>
        <v>0</v>
      </c>
      <c r="BD35" s="190">
        <f>IF($BO$35="January",DD!AP3,IF($BO$35="February",DD!AP4,IF($BO$35="March",DD!AP5,IF($BO$35="April",DD!AP6,IF($BO$35="May",DD!AP7,IF($BO$35="June",DD!AP8,IF($BO$35="July",DD!AP9,IF($BO$35="August",DD!AP10,IF($BO$35="September",DD!AP11,IF($BO$35="October",DD!AP12,IF($BO$35="November",DD!AP13,IF($BO$35="December",DD!AP14,0))))))))))))</f>
        <v>0</v>
      </c>
      <c r="BE35" s="190">
        <f>IF($BO$35="January",DD!AQ3,IF($BO$35="February",DD!AQ4,IF($BO$35="March",DD!AQ5,IF($BO$35="April",DD!AQ6,IF($BO$35="May",DD!AQ7,IF($BO$35="June",DD!AQ8,IF($BO$35="July",DD!AQ9,IF($BO$35="August",DD!AQ10,IF($BO$35="September",DD!AQ11,IF($BO$35="October",DD!AQ12,IF($BO$35="November",DD!AQ13,IF($BO$35="December",DD!AQ14,0))))))))))))</f>
        <v>0</v>
      </c>
      <c r="BF35" s="190">
        <f>IF($BO$35="January",DD!AR3,IF($BO$35="February",DD!AR4,IF($BO$35="March",DD!AR5,IF($BO$35="April",DD!AR6,IF($BO$35="May",DD!AR7,IF($BO$35="June",DD!AR8,IF($BO$35="July",DD!AR9,IF($BO$35="August",DD!AR10,IF($BO$35="September",DD!AR11,IF($BO$35="October",DD!AR12,IF($BO$35="November",DD!AR13,IF($BO$35="December",DD!AR14,0))))))))))))</f>
        <v>0</v>
      </c>
      <c r="BG35" s="190">
        <f>IF($BO$35="January",DD!AS3,IF($BO$35="February",DD!AS4,IF($BO$35="March",DD!AS5,IF($BO$35="April",DD!AS6,IF($BO$35="May",DD!AS7,IF($BO$35="June",DD!AS8,IF($BO$35="July",DD!AS9,IF($BO$35="August",DD!AS10,IF($BO$35="September",DD!AS11,IF($BO$35="October",DD!AS12,IF($BO$35="November",DD!AS13,IF($BO$35="December",DD!AS14,0))))))))))))</f>
        <v>0</v>
      </c>
      <c r="BH35" s="190">
        <f>IF($BO$35="January",DD!AT3,IF($BO$35="February",DD!AT4,IF($BO$35="March",DD!AT5,IF($BO$35="April",DD!AT6,IF($BO$35="May",DD!AT7,IF($BO$35="June",DD!AT8,IF($BO$35="July",DD!AT9,IF($BO$35="August",DD!AT10,IF($BO$35="September",DD!AT11,IF($BO$35="October",DD!AT12,IF($BO$35="November",DD!AT13,IF($BO$35="December",DD!AT14,0))))))))))))</f>
        <v>0</v>
      </c>
      <c r="BI35" s="190">
        <f>IF($BO$35="January",DD!AU3,IF($BO$35="February",DD!AU4,IF($BO$35="March",DD!AU5,IF($BO$35="April",DD!AU6,IF($BO$35="May",DD!AU7,IF($BO$35="June",DD!AU8,IF($BO$35="July",DD!AU9,IF($BO$35="August",DD!AU10,IF($BO$35="September",DD!AU11,IF($BO$35="October",DD!AU12,IF($BO$35="November",DD!AU13,IF($BO$35="December",DD!AU14,0))))))))))))</f>
        <v>0</v>
      </c>
      <c r="BJ35" s="190">
        <f>IF($BO$35="January",DD!AV3,IF($BO$35="February",DD!AV4,IF($BO$35="March",DD!AV5,IF($BO$35="April",DD!AV6,IF($BO$35="May",DD!AV7,IF($BO$35="June",DD!AV8,IF($BO$35="July",DD!AV9,IF($BO$35="August",DD!AV10,IF($BO$35="September",DD!AV11,IF($BO$35="October",DD!AV12,IF($BO$35="November",DD!AV13,IF($BO$35="December",DD!AV14,0))))))))))))</f>
        <v>0</v>
      </c>
      <c r="BK35" s="190">
        <f>IF($BO$35="January",DD!AW3,IF($BO$35="February",DD!AW4,IF($BO$35="March",DD!AW5,IF($BO$35="April",DD!AW6,IF($BO$35="May",DD!AW7,IF($BO$35="June",DD!AW8,IF($BO$35="July",DD!AW9,IF($BO$35="August",DD!AW10,IF($BO$35="September",DD!AW11,IF($BO$35="October",DD!AW12,IF($BO$35="November",DD!AW13,IF($BO$35="December",DD!AW14,0))))))))))))</f>
        <v>0</v>
      </c>
      <c r="BL35" s="190">
        <f>IF($BO$35="January",DD!AX3,IF($BO$35="February",DD!AX4,IF($BO$35="March",DD!AX5,IF($BO$35="April",DD!AX6,IF($BO$35="May",DD!AX7,IF($BO$35="June",DD!AX8,IF($BO$35="July",DD!AX9,IF($BO$35="August",DD!AX10,IF($BO$35="September",DD!AX11,IF($BO$35="October",DD!AX12,IF($BO$35="November",DD!AX13,IF($BO$35="December",DD!AX14,0))))))))))))</f>
        <v>0</v>
      </c>
      <c r="BM35" s="190">
        <f>IF($BO$35="January",DD!AY3,IF($BO$35="February",DD!AY4,IF($BO$35="March",DD!AY5,IF($BO$35="April",DD!AY6,IF($BO$35="May",DD!AY7,IF($BO$35="June",DD!AY8,IF($BO$35="July",DD!AY9,IF($BO$35="August",DD!AY10,IF($BO$35="September",DD!AY11,IF($BO$35="October",DD!AY12,IF($BO$35="November",DD!AY13,IF($BO$35="December",DD!AY14,0))))))))))))</f>
        <v>0</v>
      </c>
      <c r="BN35" s="190">
        <f>IF($BO$35="January",DD!AZ3,IF($BO$35="February",DD!AZ4,IF($BO$35="March",DD!AZ5,IF($BO$35="April",DD!AZ6,IF($BO$35="May",DD!AZ7,IF($BO$35="June",DD!AZ8,IF($BO$35="July",DD!AZ9,IF($BO$35="August",DD!AZ10,IF($BO$35="September",DD!AZ11,IF($BO$35="October",DD!AZ12,IF($BO$35="November",DD!AZ13,IF($BO$35="December",DD!AZ14,0))))))))))))</f>
        <v>0</v>
      </c>
      <c r="BO35" s="358" t="s">
        <v>183</v>
      </c>
    </row>
    <row r="36" spans="1:70" ht="15" thickBot="1">
      <c r="A36" s="199" t="s">
        <v>278</v>
      </c>
      <c r="B36" s="185"/>
      <c r="C36" s="185"/>
      <c r="D36" s="185"/>
      <c r="E36" s="185"/>
      <c r="F36" s="185"/>
      <c r="G36" s="198">
        <f>DD!B6</f>
        <v>0</v>
      </c>
      <c r="H36" s="36">
        <f>G36</f>
        <v>0</v>
      </c>
      <c r="I36" s="289">
        <v>1</v>
      </c>
      <c r="J36" s="36">
        <f t="shared" si="30"/>
        <v>0</v>
      </c>
      <c r="K36" s="282">
        <v>0.95</v>
      </c>
      <c r="L36" s="96">
        <f t="shared" si="31"/>
        <v>0</v>
      </c>
      <c r="M36" s="4"/>
      <c r="AR36" s="139" t="str">
        <f t="shared" si="32"/>
        <v>Cooling Load</v>
      </c>
      <c r="AS36" s="37">
        <f t="shared" si="33"/>
        <v>0</v>
      </c>
      <c r="AT36" s="315"/>
      <c r="AU36" s="37">
        <f>IF($BO$35="January",DD!AG15,IF($BO$35="February",DD!AG16,IF($BO$35="March",DD!AG17,IF($BO$35="April",DD!AG18,IF($BO$35="May",DD!AG19,IF($BO$35="June",DD!AG20,IF($BO$35="July",DD!AG21,IF($BO$35="August",DD!AG22,IF($BO$35="September",DD!AG23,IF($BO$35="October",DD!AG24,IF($BO$35="November",DD!AG25,IF($BO$35="December",DD!AG26,0))))))))))))</f>
        <v>0</v>
      </c>
      <c r="AV36" s="37">
        <f>IF($BO$35="January",DD!AH15,IF($BO$35="February",DD!AH16,IF($BO$35="March",DD!AH17,IF($BO$35="April",DD!AH18,IF($BO$35="May",DD!AH19,IF($BO$35="June",DD!AH20,IF($BO$35="July",DD!AH21,IF($BO$35="August",DD!AH22,IF($BO$35="September",DD!AH23,IF($BO$35="October",DD!AH24,IF($BO$35="November",DD!AH25,IF($BO$35="December",DD!AH26,0))))))))))))</f>
        <v>0</v>
      </c>
      <c r="AW36" s="37">
        <f>IF($BO$35="January",DD!AI15,IF($BO$35="February",DD!AI16,IF($BO$35="March",DD!AI17,IF($BO$35="April",DD!AI18,IF($BO$35="May",DD!AI19,IF($BO$35="June",DD!AI20,IF($BO$35="July",DD!AI21,IF($BO$35="August",DD!AI22,IF($BO$35="September",DD!AI23,IF($BO$35="October",DD!AI24,IF($BO$35="November",DD!AI25,IF($BO$35="December",DD!AI26,0))))))))))))</f>
        <v>0</v>
      </c>
      <c r="AX36" s="37">
        <f>IF($BO$35="January",DD!AJ15,IF($BO$35="February",DD!AJ16,IF($BO$35="March",DD!AJ17,IF($BO$35="April",DD!AJ18,IF($BO$35="May",DD!AJ19,IF($BO$35="June",DD!AJ20,IF($BO$35="July",DD!AJ21,IF($BO$35="August",DD!AJ22,IF($BO$35="September",DD!AJ23,IF($BO$35="October",DD!AJ24,IF($BO$35="November",DD!AJ25,IF($BO$35="December",DD!AJ26,0))))))))))))</f>
        <v>0</v>
      </c>
      <c r="AY36" s="37">
        <f>IF($BO$35="January",DD!AK15,IF($BO$35="February",DD!AK16,IF($BO$35="March",DD!AK17,IF($BO$35="April",DD!AK18,IF($BO$35="May",DD!AK19,IF($BO$35="June",DD!AK20,IF($BO$35="July",DD!AK21,IF($BO$35="August",DD!AK22,IF($BO$35="September",DD!AK23,IF($BO$35="October",DD!AK24,IF($BO$35="November",DD!AK25,IF($BO$35="December",DD!AK26,0))))))))))))</f>
        <v>0</v>
      </c>
      <c r="AZ36" s="37">
        <f>IF($BO$35="January",DD!AL15,IF($BO$35="February",DD!AL16,IF($BO$35="March",DD!AL17,IF($BO$35="April",DD!AL18,IF($BO$35="May",DD!AL19,IF($BO$35="June",DD!AL20,IF($BO$35="July",DD!AL21,IF($BO$35="August",DD!AL22,IF($BO$35="September",DD!AL23,IF($BO$35="October",DD!AL24,IF($BO$35="November",DD!AL25,IF($BO$35="December",DD!AL26,0))))))))))))</f>
        <v>0</v>
      </c>
      <c r="BA36" s="37">
        <f>IF($BO$35="January",DD!AM15,IF($BO$35="February",DD!AM16,IF($BO$35="March",DD!AM17,IF($BO$35="April",DD!AM18,IF($BO$35="May",DD!AM19,IF($BO$35="June",DD!AM20,IF($BO$35="July",DD!AM21,IF($BO$35="August",DD!AM22,IF($BO$35="September",DD!AM23,IF($BO$35="October",DD!AM24,IF($BO$35="November",DD!AM25,IF($BO$35="December",DD!AM26,0))))))))))))</f>
        <v>0</v>
      </c>
      <c r="BB36" s="37">
        <f>IF($BO$35="January",DD!AN15,IF($BO$35="February",DD!AN16,IF($BO$35="March",DD!AN17,IF($BO$35="April",DD!AN18,IF($BO$35="May",DD!AN19,IF($BO$35="June",DD!AN20,IF($BO$35="July",DD!AN21,IF($BO$35="August",DD!AN22,IF($BO$35="September",DD!AN23,IF($BO$35="October",DD!AN24,IF($BO$35="November",DD!AN25,IF($BO$35="December",DD!AN26,0))))))))))))</f>
        <v>0</v>
      </c>
      <c r="BC36" s="37">
        <f>IF($BO$35="January",DD!AO15,IF($BO$35="February",DD!AO16,IF($BO$35="March",DD!AO17,IF($BO$35="April",DD!AO18,IF($BO$35="May",DD!AO19,IF($BO$35="June",DD!AO20,IF($BO$35="July",DD!AO21,IF($BO$35="August",DD!AO22,IF($BO$35="September",DD!AO23,IF($BO$35="October",DD!AO24,IF($BO$35="November",DD!AO25,IF($BO$35="December",DD!AO26,0))))))))))))</f>
        <v>0</v>
      </c>
      <c r="BD36" s="37">
        <f>IF($BO$35="January",DD!AP15,IF($BO$35="February",DD!AP16,IF($BO$35="March",DD!AP17,IF($BO$35="April",DD!AP18,IF($BO$35="May",DD!AP19,IF($BO$35="June",DD!AP20,IF($BO$35="July",DD!AP21,IF($BO$35="August",DD!AP22,IF($BO$35="September",DD!AP23,IF($BO$35="October",DD!AP24,IF($BO$35="November",DD!AP25,IF($BO$35="December",DD!AP26,0))))))))))))</f>
        <v>0</v>
      </c>
      <c r="BE36" s="37">
        <f>IF($BO$35="January",DD!AQ15,IF($BO$35="February",DD!AQ16,IF($BO$35="March",DD!AQ17,IF($BO$35="April",DD!AQ18,IF($BO$35="May",DD!AQ19,IF($BO$35="June",DD!AQ20,IF($BO$35="July",DD!AQ21,IF($BO$35="August",DD!AQ22,IF($BO$35="September",DD!AQ23,IF($BO$35="October",DD!AQ24,IF($BO$35="November",DD!AQ25,IF($BO$35="December",DD!AQ26,0))))))))))))</f>
        <v>0</v>
      </c>
      <c r="BF36" s="37">
        <f>IF($BO$35="January",DD!AR15,IF($BO$35="February",DD!AR16,IF($BO$35="March",DD!AR17,IF($BO$35="April",DD!AR18,IF($BO$35="May",DD!AR19,IF($BO$35="June",DD!AR20,IF($BO$35="July",DD!AR21,IF($BO$35="August",DD!AR22,IF($BO$35="September",DD!AR23,IF($BO$35="October",DD!AR24,IF($BO$35="November",DD!AR25,IF($BO$35="December",DD!AR26,0))))))))))))</f>
        <v>0</v>
      </c>
      <c r="BG36" s="37">
        <f>IF($BO$35="January",DD!AS15,IF($BO$35="February",DD!AS16,IF($BO$35="March",DD!AS17,IF($BO$35="April",DD!AS18,IF($BO$35="May",DD!AS19,IF($BO$35="June",DD!AS20,IF($BO$35="July",DD!AS21,IF($BO$35="August",DD!AS22,IF($BO$35="September",DD!AS23,IF($BO$35="October",DD!AS24,IF($BO$35="November",DD!AS25,IF($BO$35="December",DD!AS26,0))))))))))))</f>
        <v>0</v>
      </c>
      <c r="BH36" s="37">
        <f>IF($BO$35="January",DD!AT15,IF($BO$35="February",DD!AT16,IF($BO$35="March",DD!AT17,IF($BO$35="April",DD!AT18,IF($BO$35="May",DD!AT19,IF($BO$35="June",DD!AT20,IF($BO$35="July",DD!AT21,IF($BO$35="August",DD!AT22,IF($BO$35="September",DD!AT23,IF($BO$35="October",DD!AT24,IF($BO$35="November",DD!AT25,IF($BO$35="December",DD!AT26,0))))))))))))</f>
        <v>0</v>
      </c>
      <c r="BI36" s="37">
        <f>IF($BO$35="January",DD!AU15,IF($BO$35="February",DD!AU16,IF($BO$35="March",DD!AU17,IF($BO$35="April",DD!AU18,IF($BO$35="May",DD!AU19,IF($BO$35="June",DD!AU20,IF($BO$35="July",DD!AU21,IF($BO$35="August",DD!AU22,IF($BO$35="September",DD!AU23,IF($BO$35="October",DD!AU24,IF($BO$35="November",DD!AU25,IF($BO$35="December",DD!AU26,0))))))))))))</f>
        <v>0</v>
      </c>
      <c r="BJ36" s="37">
        <f>IF($BO$35="January",DD!AV15,IF($BO$35="February",DD!AV16,IF($BO$35="March",DD!AV17,IF($BO$35="April",DD!AV18,IF($BO$35="May",DD!AV19,IF($BO$35="June",DD!AV20,IF($BO$35="July",DD!AV21,IF($BO$35="August",DD!AV22,IF($BO$35="September",DD!AV23,IF($BO$35="October",DD!AV24,IF($BO$35="November",DD!AV25,IF($BO$35="December",DD!AV26,0))))))))))))</f>
        <v>0</v>
      </c>
      <c r="BK36" s="37">
        <f>IF($BO$35="January",DD!AW15,IF($BO$35="February",DD!AW16,IF($BO$35="March",DD!AW17,IF($BO$35="April",DD!AW18,IF($BO$35="May",DD!AW19,IF($BO$35="June",DD!AW20,IF($BO$35="July",DD!AW21,IF($BO$35="August",DD!AW22,IF($BO$35="September",DD!AW23,IF($BO$35="October",DD!AW24,IF($BO$35="November",DD!AW25,IF($BO$35="December",DD!AW26,0))))))))))))</f>
        <v>0</v>
      </c>
      <c r="BL36" s="37">
        <f>IF($BO$35="January",DD!AX15,IF($BO$35="February",DD!AX16,IF($BO$35="March",DD!AX17,IF($BO$35="April",DD!AX18,IF($BO$35="May",DD!AX19,IF($BO$35="June",DD!AX20,IF($BO$35="July",DD!AX21,IF($BO$35="August",DD!AX22,IF($BO$35="September",DD!AX23,IF($BO$35="October",DD!AX24,IF($BO$35="November",DD!AX25,IF($BO$35="December",DD!AX26,0))))))))))))</f>
        <v>0</v>
      </c>
      <c r="BM36" s="37">
        <f>IF($BO$35="January",DD!AY15,IF($BO$35="February",DD!AY16,IF($BO$35="March",DD!AY17,IF($BO$35="April",DD!AY18,IF($BO$35="May",DD!AY19,IF($BO$35="June",DD!AY20,IF($BO$35="July",DD!AY21,IF($BO$35="August",DD!AY22,IF($BO$35="September",DD!AY23,IF($BO$35="October",DD!AY24,IF($BO$35="November",DD!AY25,IF($BO$35="December",DD!AY26,0))))))))))))</f>
        <v>0</v>
      </c>
      <c r="BN36" s="37">
        <f>IF($BO$35="January",DD!AZ15,IF($BO$35="February",DD!AZ16,IF($BO$35="March",DD!AZ17,IF($BO$35="April",DD!AZ18,IF($BO$35="May",DD!AZ19,IF($BO$35="June",DD!AZ20,IF($BO$35="July",DD!AZ21,IF($BO$35="August",DD!AZ22,IF($BO$35="September",DD!AZ23,IF($BO$35="October",DD!AZ24,IF($BO$35="November",DD!AZ25,IF($BO$35="December",DD!AZ26,0))))))))))))</f>
        <v>0</v>
      </c>
      <c r="BO36" s="359"/>
    </row>
    <row r="37" spans="1:70" ht="15" thickBot="1">
      <c r="A37" s="160" t="s">
        <v>225</v>
      </c>
      <c r="B37" s="184"/>
      <c r="C37" s="184"/>
      <c r="D37" s="184"/>
      <c r="E37" s="184"/>
      <c r="F37" s="184"/>
      <c r="G37" s="184"/>
      <c r="H37" s="165"/>
      <c r="I37" s="289">
        <v>0.4</v>
      </c>
      <c r="J37" s="164"/>
      <c r="K37" s="164"/>
      <c r="L37" s="163">
        <f>I37*L52</f>
        <v>0</v>
      </c>
      <c r="M37" s="4"/>
      <c r="AR37" s="194" t="str">
        <f>A37</f>
        <v>Life Safety Loads</v>
      </c>
      <c r="AS37" s="195">
        <f>L52</f>
        <v>0</v>
      </c>
      <c r="AT37" s="316" t="s">
        <v>227</v>
      </c>
      <c r="AU37" s="195">
        <f t="shared" si="35"/>
        <v>0</v>
      </c>
      <c r="AV37" s="195">
        <f t="shared" si="36"/>
        <v>0</v>
      </c>
      <c r="AW37" s="195">
        <f t="shared" si="37"/>
        <v>0</v>
      </c>
      <c r="AX37" s="195">
        <f t="shared" si="38"/>
        <v>0</v>
      </c>
      <c r="AY37" s="195">
        <f t="shared" si="39"/>
        <v>0</v>
      </c>
      <c r="AZ37" s="195">
        <f t="shared" si="40"/>
        <v>0</v>
      </c>
      <c r="BA37" s="195">
        <f t="shared" si="41"/>
        <v>0</v>
      </c>
      <c r="BB37" s="195">
        <f t="shared" si="42"/>
        <v>0</v>
      </c>
      <c r="BC37" s="195">
        <f t="shared" si="43"/>
        <v>0</v>
      </c>
      <c r="BD37" s="195">
        <f t="shared" si="44"/>
        <v>0</v>
      </c>
      <c r="BE37" s="195">
        <f t="shared" si="45"/>
        <v>0</v>
      </c>
      <c r="BF37" s="195">
        <f t="shared" si="46"/>
        <v>0</v>
      </c>
      <c r="BG37" s="195">
        <f t="shared" si="47"/>
        <v>0</v>
      </c>
      <c r="BH37" s="195">
        <f t="shared" si="48"/>
        <v>0</v>
      </c>
      <c r="BI37" s="195">
        <f t="shared" si="49"/>
        <v>0</v>
      </c>
      <c r="BJ37" s="195">
        <f t="shared" si="50"/>
        <v>0</v>
      </c>
      <c r="BK37" s="195">
        <f t="shared" si="51"/>
        <v>0</v>
      </c>
      <c r="BL37" s="195">
        <f t="shared" si="52"/>
        <v>0</v>
      </c>
      <c r="BM37" s="195">
        <f t="shared" si="53"/>
        <v>0</v>
      </c>
      <c r="BN37" s="196">
        <f t="shared" si="54"/>
        <v>0</v>
      </c>
    </row>
    <row r="38" spans="1:70" ht="15" thickBot="1">
      <c r="A38" s="144" t="s">
        <v>224</v>
      </c>
      <c r="B38" s="145"/>
      <c r="C38" s="145"/>
      <c r="D38" s="145"/>
      <c r="E38" s="146"/>
      <c r="F38" s="145"/>
      <c r="G38" s="145"/>
      <c r="H38" s="145"/>
      <c r="I38" s="145"/>
      <c r="J38" s="145"/>
      <c r="K38" s="145"/>
      <c r="L38" s="147"/>
      <c r="M38" s="4"/>
      <c r="AR38" s="144" t="s">
        <v>224</v>
      </c>
      <c r="AS38" s="175"/>
      <c r="AT38" s="176"/>
      <c r="AU38" s="176"/>
      <c r="AV38" s="176"/>
      <c r="AW38" s="176"/>
      <c r="AX38" s="176"/>
      <c r="AY38" s="176"/>
      <c r="AZ38" s="176"/>
      <c r="BA38" s="176"/>
      <c r="BB38" s="176"/>
      <c r="BC38" s="176"/>
      <c r="BD38" s="176"/>
      <c r="BE38" s="176"/>
      <c r="BF38" s="176"/>
      <c r="BG38" s="176"/>
      <c r="BH38" s="176"/>
      <c r="BI38" s="176"/>
      <c r="BJ38" s="176"/>
      <c r="BK38" s="176"/>
      <c r="BL38" s="176"/>
      <c r="BM38" s="176"/>
      <c r="BN38" s="177"/>
    </row>
    <row r="39" spans="1:70">
      <c r="A39" s="120" t="s">
        <v>226</v>
      </c>
      <c r="B39" s="123"/>
      <c r="C39" s="124"/>
      <c r="D39" s="124"/>
      <c r="E39" s="125"/>
      <c r="F39" s="292"/>
      <c r="G39" s="106">
        <f>IF(F39=0,0,IF(F39&lt;49.5,P25,IF(49.5&lt;F39&gt;99.5,P26,IF(F39&gt;99.5,P27,""))))</f>
        <v>0</v>
      </c>
      <c r="H39" s="121"/>
      <c r="I39" s="106">
        <f>IF(F39&lt;49.5,O25,IF(F39&lt;99.5,O26,O27))</f>
        <v>0.7</v>
      </c>
      <c r="J39" s="88"/>
      <c r="K39" s="89"/>
      <c r="L39" s="105">
        <f>IF(F39=0,0,(G39*F39))</f>
        <v>0</v>
      </c>
      <c r="M39" s="4"/>
      <c r="AR39" s="110" t="str">
        <f>A39</f>
        <v>Residential Units from Table</v>
      </c>
      <c r="AS39" s="102">
        <f>S22*F39</f>
        <v>0</v>
      </c>
      <c r="AT39" s="36" t="s">
        <v>253</v>
      </c>
      <c r="AU39" s="102">
        <f>($F$39*$S$13*V$61)+IF($R$7="Tank/Buffer Immersion",($F$39*$S$14*V$93),($F$39*$S$14*V$85))+($F$39*$S$15*V$141)+($F$39*$Q$17*$R$17)+($F$39*$S$18*V$61)+($F$39*$S$19*V$61)+($F$39*$S$20*V$61)+($F$39*$S$21*V$61)</f>
        <v>0</v>
      </c>
      <c r="AV39" s="102">
        <f t="shared" ref="AV39:BN39" si="59">($F$39*$S$13*W$61)+IF($R$7="Tank/Buffer Immersion",($F$39*$S$14*W$93),($F$39*$S$14*W$85))+($F$39*$S$15*W$141)+($F$39*$Q$17*$R$17)+($F$39*$S$18*W$61)+($F$39*$S$19*W$61)+($F$39*$S$20*W$61)+($F$39*$S$21*W$61)</f>
        <v>0</v>
      </c>
      <c r="AW39" s="102">
        <f t="shared" si="59"/>
        <v>0</v>
      </c>
      <c r="AX39" s="102">
        <f t="shared" si="59"/>
        <v>0</v>
      </c>
      <c r="AY39" s="102">
        <f t="shared" si="59"/>
        <v>0</v>
      </c>
      <c r="AZ39" s="102">
        <f t="shared" si="59"/>
        <v>0</v>
      </c>
      <c r="BA39" s="102">
        <f t="shared" si="59"/>
        <v>0</v>
      </c>
      <c r="BB39" s="102">
        <f t="shared" si="59"/>
        <v>0</v>
      </c>
      <c r="BC39" s="102">
        <f t="shared" si="59"/>
        <v>0</v>
      </c>
      <c r="BD39" s="102">
        <f t="shared" si="59"/>
        <v>0</v>
      </c>
      <c r="BE39" s="102">
        <f t="shared" si="59"/>
        <v>0</v>
      </c>
      <c r="BF39" s="102">
        <f t="shared" si="59"/>
        <v>0</v>
      </c>
      <c r="BG39" s="102">
        <f t="shared" si="59"/>
        <v>0</v>
      </c>
      <c r="BH39" s="102">
        <f t="shared" si="59"/>
        <v>0</v>
      </c>
      <c r="BI39" s="102">
        <f t="shared" si="59"/>
        <v>0</v>
      </c>
      <c r="BJ39" s="102">
        <f t="shared" si="59"/>
        <v>0</v>
      </c>
      <c r="BK39" s="102">
        <f t="shared" si="59"/>
        <v>0</v>
      </c>
      <c r="BL39" s="102">
        <f t="shared" si="59"/>
        <v>0</v>
      </c>
      <c r="BM39" s="102">
        <f t="shared" si="59"/>
        <v>0</v>
      </c>
      <c r="BN39" s="102">
        <f t="shared" si="59"/>
        <v>0</v>
      </c>
    </row>
    <row r="40" spans="1:70">
      <c r="A40" s="277"/>
      <c r="B40" s="30"/>
      <c r="C40" s="126"/>
      <c r="D40" s="126"/>
      <c r="E40" s="127"/>
      <c r="F40" s="281"/>
      <c r="G40" s="282"/>
      <c r="H40" s="36">
        <f>G40*F40</f>
        <v>0</v>
      </c>
      <c r="I40" s="282">
        <v>1</v>
      </c>
      <c r="J40" s="102">
        <f>H40*I40</f>
        <v>0</v>
      </c>
      <c r="K40" s="280">
        <v>0.95</v>
      </c>
      <c r="L40" s="96">
        <f>J40/K40</f>
        <v>0</v>
      </c>
      <c r="M40" s="4"/>
      <c r="V40" s="247" t="s">
        <v>240</v>
      </c>
      <c r="W40" s="362" t="s">
        <v>332</v>
      </c>
      <c r="X40" s="363"/>
      <c r="AP40" s="44"/>
      <c r="AR40" s="112" t="str">
        <f>IF(A40="","",A40)</f>
        <v/>
      </c>
      <c r="AS40" s="36">
        <f>H40/K40</f>
        <v>0</v>
      </c>
      <c r="AT40" s="311"/>
      <c r="AU40" s="36">
        <f t="shared" ref="AU40:BD43" si="60">IF($AT40="Profile 1",V$10*$AS40,IF($AT40="Profile 2",V$18*$AS40,IF($AT40="Profile 3",V$26*$AS40,IF($AT40="Profile 4",V$34*$AS40,IF($AT40="Profile 5",V$42*$AS40,IF($AT40="Profile 6",V$50*$AS40,0))))))</f>
        <v>0</v>
      </c>
      <c r="AV40" s="36">
        <f t="shared" si="60"/>
        <v>0</v>
      </c>
      <c r="AW40" s="36">
        <f t="shared" si="60"/>
        <v>0</v>
      </c>
      <c r="AX40" s="36">
        <f t="shared" si="60"/>
        <v>0</v>
      </c>
      <c r="AY40" s="36">
        <f t="shared" si="60"/>
        <v>0</v>
      </c>
      <c r="AZ40" s="36">
        <f t="shared" si="60"/>
        <v>0</v>
      </c>
      <c r="BA40" s="36">
        <f t="shared" si="60"/>
        <v>0</v>
      </c>
      <c r="BB40" s="36">
        <f t="shared" si="60"/>
        <v>0</v>
      </c>
      <c r="BC40" s="36">
        <f t="shared" si="60"/>
        <v>0</v>
      </c>
      <c r="BD40" s="36">
        <f t="shared" si="60"/>
        <v>0</v>
      </c>
      <c r="BE40" s="36">
        <f t="shared" ref="BE40:BN43" si="61">IF($AT40="Profile 1",AF$10*$AS40,IF($AT40="Profile 2",AF$18*$AS40,IF($AT40="Profile 3",AF$26*$AS40,IF($AT40="Profile 4",AF$34*$AS40,IF($AT40="Profile 5",AF$42*$AS40,IF($AT40="Profile 6",AF$50*$AS40,0))))))</f>
        <v>0</v>
      </c>
      <c r="BF40" s="36">
        <f t="shared" si="61"/>
        <v>0</v>
      </c>
      <c r="BG40" s="36">
        <f t="shared" si="61"/>
        <v>0</v>
      </c>
      <c r="BH40" s="36">
        <f t="shared" si="61"/>
        <v>0</v>
      </c>
      <c r="BI40" s="36">
        <f t="shared" si="61"/>
        <v>0</v>
      </c>
      <c r="BJ40" s="36">
        <f t="shared" si="61"/>
        <v>0</v>
      </c>
      <c r="BK40" s="36">
        <f t="shared" si="61"/>
        <v>0</v>
      </c>
      <c r="BL40" s="36">
        <f t="shared" si="61"/>
        <v>0</v>
      </c>
      <c r="BM40" s="36">
        <f t="shared" si="61"/>
        <v>0</v>
      </c>
      <c r="BN40" s="113">
        <f t="shared" si="61"/>
        <v>0</v>
      </c>
    </row>
    <row r="41" spans="1:70">
      <c r="A41" s="290"/>
      <c r="B41" s="30"/>
      <c r="C41" s="126"/>
      <c r="D41" s="126"/>
      <c r="E41" s="127"/>
      <c r="F41" s="281"/>
      <c r="G41" s="282"/>
      <c r="H41" s="36">
        <f>G41*F41</f>
        <v>0</v>
      </c>
      <c r="I41" s="282">
        <v>1</v>
      </c>
      <c r="J41" s="36">
        <f>H41*I41</f>
        <v>0</v>
      </c>
      <c r="K41" s="282">
        <v>0.95</v>
      </c>
      <c r="L41" s="96">
        <f>J41/K41</f>
        <v>0</v>
      </c>
      <c r="M41" s="4"/>
      <c r="V41" s="246">
        <v>0.20833333333333334</v>
      </c>
      <c r="W41" s="246">
        <v>0.25</v>
      </c>
      <c r="X41" s="246">
        <v>0.29166666666666702</v>
      </c>
      <c r="Y41" s="246">
        <v>0.33333333333333298</v>
      </c>
      <c r="Z41" s="246">
        <v>0.375</v>
      </c>
      <c r="AA41" s="246">
        <v>0.41666666666666702</v>
      </c>
      <c r="AB41" s="246">
        <v>0.45833333333333298</v>
      </c>
      <c r="AC41" s="246">
        <v>0.5</v>
      </c>
      <c r="AD41" s="246">
        <v>0.54166666666666696</v>
      </c>
      <c r="AE41" s="246">
        <v>0.58333333333333304</v>
      </c>
      <c r="AF41" s="246">
        <v>0.625</v>
      </c>
      <c r="AG41" s="246">
        <v>0.66666666666666696</v>
      </c>
      <c r="AH41" s="246">
        <v>0.70833333333333304</v>
      </c>
      <c r="AI41" s="246">
        <v>0.75</v>
      </c>
      <c r="AJ41" s="246">
        <v>0.79166666666666696</v>
      </c>
      <c r="AK41" s="246">
        <v>0.83333333333333304</v>
      </c>
      <c r="AL41" s="246">
        <v>0.875</v>
      </c>
      <c r="AM41" s="246">
        <v>0.91666666666666696</v>
      </c>
      <c r="AN41" s="246">
        <v>0.95833333333333304</v>
      </c>
      <c r="AO41" s="246">
        <v>1</v>
      </c>
      <c r="AP41" s="250" t="s">
        <v>41</v>
      </c>
      <c r="AR41" s="112" t="str">
        <f>IF(A41="","",A41)</f>
        <v/>
      </c>
      <c r="AS41" s="36">
        <f>H41/K41</f>
        <v>0</v>
      </c>
      <c r="AT41" s="311"/>
      <c r="AU41" s="36">
        <f t="shared" si="60"/>
        <v>0</v>
      </c>
      <c r="AV41" s="36">
        <f t="shared" si="60"/>
        <v>0</v>
      </c>
      <c r="AW41" s="36">
        <f t="shared" si="60"/>
        <v>0</v>
      </c>
      <c r="AX41" s="36">
        <f t="shared" si="60"/>
        <v>0</v>
      </c>
      <c r="AY41" s="36">
        <f t="shared" si="60"/>
        <v>0</v>
      </c>
      <c r="AZ41" s="36">
        <f t="shared" si="60"/>
        <v>0</v>
      </c>
      <c r="BA41" s="36">
        <f t="shared" si="60"/>
        <v>0</v>
      </c>
      <c r="BB41" s="36">
        <f t="shared" si="60"/>
        <v>0</v>
      </c>
      <c r="BC41" s="36">
        <f t="shared" si="60"/>
        <v>0</v>
      </c>
      <c r="BD41" s="36">
        <f t="shared" si="60"/>
        <v>0</v>
      </c>
      <c r="BE41" s="36">
        <f t="shared" si="61"/>
        <v>0</v>
      </c>
      <c r="BF41" s="36">
        <f t="shared" si="61"/>
        <v>0</v>
      </c>
      <c r="BG41" s="36">
        <f t="shared" si="61"/>
        <v>0</v>
      </c>
      <c r="BH41" s="36">
        <f t="shared" si="61"/>
        <v>0</v>
      </c>
      <c r="BI41" s="36">
        <f t="shared" si="61"/>
        <v>0</v>
      </c>
      <c r="BJ41" s="36">
        <f t="shared" si="61"/>
        <v>0</v>
      </c>
      <c r="BK41" s="36">
        <f t="shared" si="61"/>
        <v>0</v>
      </c>
      <c r="BL41" s="36">
        <f t="shared" si="61"/>
        <v>0</v>
      </c>
      <c r="BM41" s="36">
        <f t="shared" si="61"/>
        <v>0</v>
      </c>
      <c r="BN41" s="113">
        <f t="shared" si="61"/>
        <v>0</v>
      </c>
    </row>
    <row r="42" spans="1:70">
      <c r="A42" s="277"/>
      <c r="B42" s="30"/>
      <c r="C42" s="126"/>
      <c r="D42" s="126"/>
      <c r="E42" s="127"/>
      <c r="F42" s="281"/>
      <c r="G42" s="282"/>
      <c r="H42" s="36">
        <f>G42*F42</f>
        <v>0</v>
      </c>
      <c r="I42" s="282">
        <v>1</v>
      </c>
      <c r="J42" s="36">
        <f>H42*I42</f>
        <v>0</v>
      </c>
      <c r="K42" s="282">
        <v>0.95</v>
      </c>
      <c r="L42" s="96">
        <f>J42/K42</f>
        <v>0</v>
      </c>
      <c r="M42" s="4"/>
      <c r="U42" s="246" t="s">
        <v>2</v>
      </c>
      <c r="V42" s="21">
        <f>IF($W40=$W$59,V$61,IF($W40=$W$67,V$69,IF($W40=$W$75,V$77,IF($W40=$W$83,V$85,IF($W40=$W$91,V$93,IF($W40=$W$107,V$109,IF($W40=$W$115,V$117,IF($W40=$W$123,V$125,IF($W40=$W$131,V$133,IF($W40=$W$139,V$141,0))))))))))</f>
        <v>0.2</v>
      </c>
      <c r="W42" s="21">
        <f t="shared" ref="W42:AO42" si="62">IF($W40=$W$59,W$61,IF($W40=$W$67,W$69,IF($W40=$W$75,W$77,IF($W40=$W$83,W$85,IF($W40=$W$91,W$93,IF($W40=$W$107,W$109,IF($W40=$W$115,W$117,IF($W40=$W$123,W$125,IF($W40=$W$131,W$133,IF($W40=$W$139,W$141,0))))))))))</f>
        <v>0.3</v>
      </c>
      <c r="X42" s="21">
        <f t="shared" si="62"/>
        <v>0.4</v>
      </c>
      <c r="Y42" s="21">
        <f t="shared" si="62"/>
        <v>0.3</v>
      </c>
      <c r="Z42" s="21">
        <f t="shared" si="62"/>
        <v>0.2</v>
      </c>
      <c r="AA42" s="21">
        <f t="shared" si="62"/>
        <v>0</v>
      </c>
      <c r="AB42" s="21">
        <f t="shared" si="62"/>
        <v>0</v>
      </c>
      <c r="AC42" s="21">
        <f t="shared" si="62"/>
        <v>0</v>
      </c>
      <c r="AD42" s="21">
        <f t="shared" si="62"/>
        <v>0</v>
      </c>
      <c r="AE42" s="21">
        <f t="shared" si="62"/>
        <v>0</v>
      </c>
      <c r="AF42" s="21">
        <f t="shared" si="62"/>
        <v>0</v>
      </c>
      <c r="AG42" s="21">
        <f t="shared" si="62"/>
        <v>0.4</v>
      </c>
      <c r="AH42" s="21">
        <f t="shared" si="62"/>
        <v>0.4</v>
      </c>
      <c r="AI42" s="21">
        <f t="shared" si="62"/>
        <v>0.7</v>
      </c>
      <c r="AJ42" s="21">
        <f t="shared" si="62"/>
        <v>0.7</v>
      </c>
      <c r="AK42" s="21">
        <f t="shared" si="62"/>
        <v>0.7</v>
      </c>
      <c r="AL42" s="21">
        <f t="shared" si="62"/>
        <v>0.7</v>
      </c>
      <c r="AM42" s="21">
        <f t="shared" si="62"/>
        <v>0.3</v>
      </c>
      <c r="AN42" s="21">
        <f t="shared" si="62"/>
        <v>0.1</v>
      </c>
      <c r="AO42" s="21">
        <f t="shared" si="62"/>
        <v>0</v>
      </c>
      <c r="AP42" s="35">
        <f>AVERAGE(V42:AO42)</f>
        <v>0.26999999999999996</v>
      </c>
      <c r="AR42" s="112" t="str">
        <f>IF(A42="","",A42)</f>
        <v/>
      </c>
      <c r="AS42" s="36">
        <f>H42/K42</f>
        <v>0</v>
      </c>
      <c r="AT42" s="311"/>
      <c r="AU42" s="36">
        <f t="shared" si="60"/>
        <v>0</v>
      </c>
      <c r="AV42" s="36">
        <f t="shared" si="60"/>
        <v>0</v>
      </c>
      <c r="AW42" s="36">
        <f t="shared" si="60"/>
        <v>0</v>
      </c>
      <c r="AX42" s="36">
        <f t="shared" si="60"/>
        <v>0</v>
      </c>
      <c r="AY42" s="36">
        <f t="shared" si="60"/>
        <v>0</v>
      </c>
      <c r="AZ42" s="36">
        <f t="shared" si="60"/>
        <v>0</v>
      </c>
      <c r="BA42" s="36">
        <f t="shared" si="60"/>
        <v>0</v>
      </c>
      <c r="BB42" s="36">
        <f t="shared" si="60"/>
        <v>0</v>
      </c>
      <c r="BC42" s="36">
        <f t="shared" si="60"/>
        <v>0</v>
      </c>
      <c r="BD42" s="36">
        <f t="shared" si="60"/>
        <v>0</v>
      </c>
      <c r="BE42" s="36">
        <f t="shared" si="61"/>
        <v>0</v>
      </c>
      <c r="BF42" s="36">
        <f t="shared" si="61"/>
        <v>0</v>
      </c>
      <c r="BG42" s="36">
        <f t="shared" si="61"/>
        <v>0</v>
      </c>
      <c r="BH42" s="36">
        <f t="shared" si="61"/>
        <v>0</v>
      </c>
      <c r="BI42" s="36">
        <f t="shared" si="61"/>
        <v>0</v>
      </c>
      <c r="BJ42" s="36">
        <f t="shared" si="61"/>
        <v>0</v>
      </c>
      <c r="BK42" s="36">
        <f t="shared" si="61"/>
        <v>0</v>
      </c>
      <c r="BL42" s="36">
        <f t="shared" si="61"/>
        <v>0</v>
      </c>
      <c r="BM42" s="36">
        <f t="shared" si="61"/>
        <v>0</v>
      </c>
      <c r="BN42" s="113">
        <f t="shared" si="61"/>
        <v>0</v>
      </c>
    </row>
    <row r="43" spans="1:70" ht="15" thickBot="1">
      <c r="A43" s="291"/>
      <c r="B43" s="107"/>
      <c r="C43" s="130"/>
      <c r="D43" s="130"/>
      <c r="E43" s="131"/>
      <c r="F43" s="293"/>
      <c r="G43" s="294"/>
      <c r="H43" s="37">
        <f>G43*F43</f>
        <v>0</v>
      </c>
      <c r="I43" s="294">
        <v>1</v>
      </c>
      <c r="J43" s="37">
        <f>H43*I43</f>
        <v>0</v>
      </c>
      <c r="K43" s="294">
        <v>0.95</v>
      </c>
      <c r="L43" s="108">
        <f>J43/K43</f>
        <v>0</v>
      </c>
      <c r="M43" s="4"/>
      <c r="AR43" s="139" t="str">
        <f>IF(A43="","",A43)</f>
        <v/>
      </c>
      <c r="AS43" s="37">
        <f>H43/K43</f>
        <v>0</v>
      </c>
      <c r="AT43" s="315"/>
      <c r="AU43" s="37">
        <f t="shared" si="60"/>
        <v>0</v>
      </c>
      <c r="AV43" s="37">
        <f t="shared" si="60"/>
        <v>0</v>
      </c>
      <c r="AW43" s="37">
        <f t="shared" si="60"/>
        <v>0</v>
      </c>
      <c r="AX43" s="37">
        <f t="shared" si="60"/>
        <v>0</v>
      </c>
      <c r="AY43" s="37">
        <f t="shared" si="60"/>
        <v>0</v>
      </c>
      <c r="AZ43" s="37">
        <f t="shared" si="60"/>
        <v>0</v>
      </c>
      <c r="BA43" s="37">
        <f t="shared" si="60"/>
        <v>0</v>
      </c>
      <c r="BB43" s="37">
        <f t="shared" si="60"/>
        <v>0</v>
      </c>
      <c r="BC43" s="37">
        <f t="shared" si="60"/>
        <v>0</v>
      </c>
      <c r="BD43" s="37">
        <f t="shared" si="60"/>
        <v>0</v>
      </c>
      <c r="BE43" s="37">
        <f t="shared" si="61"/>
        <v>0</v>
      </c>
      <c r="BF43" s="37">
        <f t="shared" si="61"/>
        <v>0</v>
      </c>
      <c r="BG43" s="37">
        <f t="shared" si="61"/>
        <v>0</v>
      </c>
      <c r="BH43" s="37">
        <f t="shared" si="61"/>
        <v>0</v>
      </c>
      <c r="BI43" s="37">
        <f t="shared" si="61"/>
        <v>0</v>
      </c>
      <c r="BJ43" s="37">
        <f t="shared" si="61"/>
        <v>0</v>
      </c>
      <c r="BK43" s="37">
        <f t="shared" si="61"/>
        <v>0</v>
      </c>
      <c r="BL43" s="37">
        <f t="shared" si="61"/>
        <v>0</v>
      </c>
      <c r="BM43" s="37">
        <f t="shared" si="61"/>
        <v>0</v>
      </c>
      <c r="BN43" s="116">
        <f t="shared" si="61"/>
        <v>0</v>
      </c>
    </row>
    <row r="44" spans="1:70" ht="15" thickBot="1">
      <c r="A44" s="1"/>
      <c r="E44" s="13"/>
      <c r="AR44" s="1"/>
      <c r="AU44" s="133"/>
      <c r="AV44" s="133"/>
      <c r="AW44" s="133"/>
      <c r="AX44" s="133"/>
      <c r="AY44" s="133"/>
      <c r="AZ44" s="133"/>
      <c r="BA44" s="133"/>
      <c r="BB44" s="133"/>
      <c r="BC44" s="133"/>
      <c r="BD44" s="133"/>
      <c r="BE44" s="133"/>
      <c r="BF44" s="133"/>
      <c r="BG44" s="133"/>
      <c r="BH44" s="133"/>
      <c r="BI44" s="133"/>
      <c r="BJ44" s="133"/>
      <c r="BK44" s="133"/>
      <c r="BL44" s="133"/>
      <c r="BM44" s="133"/>
      <c r="BN44" s="133"/>
      <c r="BO44" s="253" t="s">
        <v>51</v>
      </c>
      <c r="BP44" s="98">
        <f>AVERAGE(AU46:BN46)</f>
        <v>0</v>
      </c>
    </row>
    <row r="45" spans="1:70" ht="15" thickBot="1">
      <c r="F45" s="211" t="s">
        <v>283</v>
      </c>
      <c r="G45" s="212"/>
      <c r="H45" s="212"/>
      <c r="I45" s="212"/>
      <c r="J45" s="212"/>
      <c r="K45" s="212"/>
      <c r="L45" s="213"/>
      <c r="BO45" s="254" t="s">
        <v>52</v>
      </c>
      <c r="BP45" s="119">
        <f>(BP44*1000)/(IF($AS$49=400,692.820323,230))</f>
        <v>0</v>
      </c>
    </row>
    <row r="46" spans="1:70">
      <c r="A46" s="243" t="s">
        <v>32</v>
      </c>
      <c r="B46" s="98">
        <f>SUM(L12:L43)</f>
        <v>0</v>
      </c>
      <c r="C46" s="10"/>
      <c r="D46" s="10"/>
      <c r="F46" s="360" t="s">
        <v>30</v>
      </c>
      <c r="G46" s="361"/>
      <c r="H46" s="161" t="s">
        <v>3</v>
      </c>
      <c r="I46" s="161" t="s">
        <v>40</v>
      </c>
      <c r="J46" s="161" t="s">
        <v>19</v>
      </c>
      <c r="K46" s="161" t="s">
        <v>2</v>
      </c>
      <c r="L46" s="162" t="s">
        <v>20</v>
      </c>
      <c r="AR46" s="243" t="s">
        <v>44</v>
      </c>
      <c r="AS46" s="32">
        <f>SUM(AS12:AS43)</f>
        <v>0</v>
      </c>
      <c r="AT46" s="253" t="s">
        <v>46</v>
      </c>
      <c r="AU46" s="83">
        <f>SUM(AU12:AU43)</f>
        <v>0</v>
      </c>
      <c r="AV46" s="83">
        <f t="shared" ref="AV46:BN46" si="63">SUM(AV12:AV43)</f>
        <v>0</v>
      </c>
      <c r="AW46" s="83">
        <f t="shared" si="63"/>
        <v>0</v>
      </c>
      <c r="AX46" s="83">
        <f t="shared" si="63"/>
        <v>0</v>
      </c>
      <c r="AY46" s="83">
        <f t="shared" si="63"/>
        <v>0</v>
      </c>
      <c r="AZ46" s="83">
        <f t="shared" si="63"/>
        <v>0</v>
      </c>
      <c r="BA46" s="83">
        <f t="shared" si="63"/>
        <v>0</v>
      </c>
      <c r="BB46" s="83">
        <f t="shared" si="63"/>
        <v>0</v>
      </c>
      <c r="BC46" s="83">
        <f t="shared" si="63"/>
        <v>0</v>
      </c>
      <c r="BD46" s="83">
        <f t="shared" si="63"/>
        <v>0</v>
      </c>
      <c r="BE46" s="83">
        <f t="shared" si="63"/>
        <v>0</v>
      </c>
      <c r="BF46" s="83">
        <f t="shared" si="63"/>
        <v>0</v>
      </c>
      <c r="BG46" s="83">
        <f t="shared" si="63"/>
        <v>0</v>
      </c>
      <c r="BH46" s="83">
        <f t="shared" si="63"/>
        <v>0</v>
      </c>
      <c r="BI46" s="83">
        <f t="shared" si="63"/>
        <v>0</v>
      </c>
      <c r="BJ46" s="83">
        <f t="shared" si="63"/>
        <v>0</v>
      </c>
      <c r="BK46" s="83">
        <f t="shared" si="63"/>
        <v>0</v>
      </c>
      <c r="BL46" s="83">
        <f t="shared" si="63"/>
        <v>0</v>
      </c>
      <c r="BM46" s="83">
        <f t="shared" si="63"/>
        <v>0</v>
      </c>
      <c r="BN46" s="117">
        <f t="shared" si="63"/>
        <v>0</v>
      </c>
      <c r="BO46" s="253" t="s">
        <v>48</v>
      </c>
      <c r="BP46" s="119">
        <f>MAX(AU46:BN46)</f>
        <v>0</v>
      </c>
      <c r="BR46" s="8">
        <f>SUM(AU46:BN46)</f>
        <v>0</v>
      </c>
    </row>
    <row r="47" spans="1:70" ht="15" thickBot="1">
      <c r="A47" s="244" t="s">
        <v>34</v>
      </c>
      <c r="B47" s="99">
        <f>(B46*1000)/(IF(B49=400,692.820323,230))</f>
        <v>0</v>
      </c>
      <c r="F47" s="356"/>
      <c r="G47" s="357"/>
      <c r="H47" s="295"/>
      <c r="I47" s="295"/>
      <c r="J47" s="295">
        <v>0.85</v>
      </c>
      <c r="K47" s="295">
        <v>1</v>
      </c>
      <c r="L47" s="109">
        <f>((H47*I47)/J47)*K47</f>
        <v>0</v>
      </c>
      <c r="AR47" s="244" t="s">
        <v>45</v>
      </c>
      <c r="AS47" s="32">
        <f>(AS46*1000)/(IF(AS49=400,692.820323,230))</f>
        <v>0</v>
      </c>
      <c r="AT47" s="254" t="s">
        <v>47</v>
      </c>
      <c r="AU47" s="38">
        <f>(AU46*1000)/(IF($AS$49=400,692.820323,230))</f>
        <v>0</v>
      </c>
      <c r="AV47" s="38">
        <f t="shared" ref="AV47:BN47" si="64">(AV46*1000)/(IF($AS$49=400,692.820323,230))</f>
        <v>0</v>
      </c>
      <c r="AW47" s="38">
        <f t="shared" si="64"/>
        <v>0</v>
      </c>
      <c r="AX47" s="38">
        <f t="shared" si="64"/>
        <v>0</v>
      </c>
      <c r="AY47" s="38">
        <f t="shared" si="64"/>
        <v>0</v>
      </c>
      <c r="AZ47" s="38">
        <f t="shared" si="64"/>
        <v>0</v>
      </c>
      <c r="BA47" s="38">
        <f t="shared" si="64"/>
        <v>0</v>
      </c>
      <c r="BB47" s="38">
        <f t="shared" si="64"/>
        <v>0</v>
      </c>
      <c r="BC47" s="38">
        <f t="shared" si="64"/>
        <v>0</v>
      </c>
      <c r="BD47" s="38">
        <f t="shared" si="64"/>
        <v>0</v>
      </c>
      <c r="BE47" s="38">
        <f t="shared" si="64"/>
        <v>0</v>
      </c>
      <c r="BF47" s="38">
        <f t="shared" si="64"/>
        <v>0</v>
      </c>
      <c r="BG47" s="38">
        <f t="shared" si="64"/>
        <v>0</v>
      </c>
      <c r="BH47" s="38">
        <f t="shared" si="64"/>
        <v>0</v>
      </c>
      <c r="BI47" s="38">
        <f t="shared" si="64"/>
        <v>0</v>
      </c>
      <c r="BJ47" s="38">
        <f t="shared" si="64"/>
        <v>0</v>
      </c>
      <c r="BK47" s="38">
        <f t="shared" si="64"/>
        <v>0</v>
      </c>
      <c r="BL47" s="38">
        <f t="shared" si="64"/>
        <v>0</v>
      </c>
      <c r="BM47" s="38">
        <f t="shared" si="64"/>
        <v>0</v>
      </c>
      <c r="BN47" s="118">
        <f t="shared" si="64"/>
        <v>0</v>
      </c>
      <c r="BO47" s="254" t="s">
        <v>49</v>
      </c>
      <c r="BP47" s="99">
        <f>(BP46*1000)/(IF($AS$49=400,692.820323,230))</f>
        <v>0</v>
      </c>
    </row>
    <row r="48" spans="1:70" ht="15" thickBot="1">
      <c r="F48" s="356"/>
      <c r="G48" s="357"/>
      <c r="H48" s="296"/>
      <c r="I48" s="296"/>
      <c r="J48" s="295">
        <v>0.85</v>
      </c>
      <c r="K48" s="295">
        <v>1</v>
      </c>
      <c r="L48" s="28">
        <f>(H48*I48)/J48</f>
        <v>0</v>
      </c>
      <c r="V48" s="247" t="s">
        <v>239</v>
      </c>
      <c r="W48" s="248" t="s">
        <v>236</v>
      </c>
      <c r="X48" s="308">
        <v>0.2</v>
      </c>
      <c r="AP48" s="44"/>
    </row>
    <row r="49" spans="1:52">
      <c r="A49" s="84" t="s">
        <v>37</v>
      </c>
      <c r="B49" s="297">
        <v>400</v>
      </c>
      <c r="F49" s="356"/>
      <c r="G49" s="357"/>
      <c r="H49" s="296"/>
      <c r="I49" s="296"/>
      <c r="J49" s="295">
        <v>0.85</v>
      </c>
      <c r="K49" s="295">
        <v>1</v>
      </c>
      <c r="L49" s="28">
        <f>(H49*I49)/J49</f>
        <v>0</v>
      </c>
      <c r="V49" s="246">
        <v>0.20833333333333334</v>
      </c>
      <c r="W49" s="246">
        <v>0.25</v>
      </c>
      <c r="X49" s="249">
        <v>0.29166666666666702</v>
      </c>
      <c r="Y49" s="246">
        <v>0.33333333333333298</v>
      </c>
      <c r="Z49" s="246">
        <v>0.375</v>
      </c>
      <c r="AA49" s="246">
        <v>0.41666666666666702</v>
      </c>
      <c r="AB49" s="246">
        <v>0.45833333333333298</v>
      </c>
      <c r="AC49" s="246">
        <v>0.5</v>
      </c>
      <c r="AD49" s="246">
        <v>0.54166666666666696</v>
      </c>
      <c r="AE49" s="246">
        <v>0.58333333333333304</v>
      </c>
      <c r="AF49" s="246">
        <v>0.625</v>
      </c>
      <c r="AG49" s="246">
        <v>0.66666666666666696</v>
      </c>
      <c r="AH49" s="246">
        <v>0.70833333333333304</v>
      </c>
      <c r="AI49" s="246">
        <v>0.75</v>
      </c>
      <c r="AJ49" s="246">
        <v>0.79166666666666696</v>
      </c>
      <c r="AK49" s="246">
        <v>0.83333333333333304</v>
      </c>
      <c r="AL49" s="246">
        <v>0.875</v>
      </c>
      <c r="AM49" s="246">
        <v>0.91666666666666696</v>
      </c>
      <c r="AN49" s="246">
        <v>0.95833333333333304</v>
      </c>
      <c r="AO49" s="246">
        <v>1</v>
      </c>
      <c r="AP49" s="250" t="s">
        <v>41</v>
      </c>
      <c r="AR49" s="84" t="s">
        <v>37</v>
      </c>
      <c r="AS49" s="317">
        <v>400</v>
      </c>
      <c r="AX49" s="10"/>
      <c r="AZ49" s="10"/>
    </row>
    <row r="50" spans="1:52" ht="15" customHeight="1">
      <c r="A50" s="11"/>
      <c r="B50" s="11"/>
      <c r="C50" s="10"/>
      <c r="D50" s="10"/>
      <c r="E50" s="10"/>
      <c r="F50" s="356"/>
      <c r="G50" s="357"/>
      <c r="H50" s="296"/>
      <c r="I50" s="296"/>
      <c r="J50" s="295">
        <v>0.85</v>
      </c>
      <c r="K50" s="295">
        <v>1</v>
      </c>
      <c r="L50" s="28">
        <f>(H50*I50)/J50</f>
        <v>0</v>
      </c>
      <c r="U50" s="246" t="s">
        <v>2</v>
      </c>
      <c r="V50" s="21">
        <f>$X$48</f>
        <v>0.2</v>
      </c>
      <c r="W50" s="21">
        <f>V50</f>
        <v>0.2</v>
      </c>
      <c r="X50" s="21">
        <f t="shared" ref="X50:AO50" si="65">W50</f>
        <v>0.2</v>
      </c>
      <c r="Y50" s="21">
        <f t="shared" si="65"/>
        <v>0.2</v>
      </c>
      <c r="Z50" s="21">
        <f t="shared" si="65"/>
        <v>0.2</v>
      </c>
      <c r="AA50" s="21">
        <f t="shared" si="65"/>
        <v>0.2</v>
      </c>
      <c r="AB50" s="21">
        <f t="shared" si="65"/>
        <v>0.2</v>
      </c>
      <c r="AC50" s="21">
        <f t="shared" si="65"/>
        <v>0.2</v>
      </c>
      <c r="AD50" s="21">
        <f t="shared" si="65"/>
        <v>0.2</v>
      </c>
      <c r="AE50" s="21">
        <f t="shared" si="65"/>
        <v>0.2</v>
      </c>
      <c r="AF50" s="21">
        <f t="shared" si="65"/>
        <v>0.2</v>
      </c>
      <c r="AG50" s="21">
        <f t="shared" si="65"/>
        <v>0.2</v>
      </c>
      <c r="AH50" s="21">
        <f t="shared" si="65"/>
        <v>0.2</v>
      </c>
      <c r="AI50" s="21">
        <f t="shared" si="65"/>
        <v>0.2</v>
      </c>
      <c r="AJ50" s="21">
        <f t="shared" si="65"/>
        <v>0.2</v>
      </c>
      <c r="AK50" s="21">
        <f t="shared" si="65"/>
        <v>0.2</v>
      </c>
      <c r="AL50" s="21">
        <f t="shared" si="65"/>
        <v>0.2</v>
      </c>
      <c r="AM50" s="21">
        <f t="shared" si="65"/>
        <v>0.2</v>
      </c>
      <c r="AN50" s="21">
        <f t="shared" si="65"/>
        <v>0.2</v>
      </c>
      <c r="AO50" s="21">
        <f t="shared" si="65"/>
        <v>0.2</v>
      </c>
      <c r="AP50" s="35">
        <f>AVERAGE(V50:AO50)</f>
        <v>0.20000000000000004</v>
      </c>
    </row>
    <row r="51" spans="1:52">
      <c r="A51" s="84" t="s">
        <v>242</v>
      </c>
      <c r="B51" s="298">
        <v>0.2</v>
      </c>
      <c r="F51" s="356"/>
      <c r="G51" s="357"/>
      <c r="H51" s="296"/>
      <c r="I51" s="296"/>
      <c r="J51" s="295">
        <v>0.85</v>
      </c>
      <c r="K51" s="295">
        <v>1</v>
      </c>
      <c r="L51" s="28">
        <f>(H51*I51)/J51</f>
        <v>0</v>
      </c>
    </row>
    <row r="52" spans="1:52" ht="15" thickBot="1">
      <c r="A52" s="84" t="s">
        <v>243</v>
      </c>
      <c r="B52" s="33">
        <f>B46+(B46*B51)</f>
        <v>0</v>
      </c>
      <c r="F52" s="101" t="s">
        <v>27</v>
      </c>
      <c r="G52" s="25"/>
      <c r="H52" s="25"/>
      <c r="I52" s="25"/>
      <c r="J52" s="25"/>
      <c r="K52" s="26"/>
      <c r="L52" s="93">
        <f>SUM(L47:L51)</f>
        <v>0</v>
      </c>
      <c r="Q52" s="90"/>
    </row>
    <row r="53" spans="1:52">
      <c r="A53" s="84" t="s">
        <v>244</v>
      </c>
      <c r="B53" s="33">
        <f>(B52*1000)/(IF(B49=400,692.820323,230))</f>
        <v>0</v>
      </c>
    </row>
    <row r="56" spans="1:52">
      <c r="H56" s="331" t="s">
        <v>317</v>
      </c>
      <c r="AD56" s="331" t="s">
        <v>317</v>
      </c>
      <c r="AZ56" s="331" t="s">
        <v>317</v>
      </c>
    </row>
    <row r="59" spans="1:52">
      <c r="R59">
        <v>1</v>
      </c>
      <c r="S59" s="12" t="str">
        <f>W59</f>
        <v>Morning/Evening</v>
      </c>
      <c r="V59" s="134"/>
      <c r="W59" s="134" t="s">
        <v>230</v>
      </c>
      <c r="X59" s="134"/>
    </row>
    <row r="60" spans="1:52">
      <c r="A60" s="1"/>
      <c r="R60">
        <v>2</v>
      </c>
      <c r="S60" s="12" t="str">
        <f>W67</f>
        <v>Daytime</v>
      </c>
      <c r="V60" s="43">
        <v>0.20833333333333334</v>
      </c>
      <c r="W60" s="43">
        <v>0.25</v>
      </c>
      <c r="X60" s="43">
        <v>0.29166666666666702</v>
      </c>
      <c r="Y60" s="43">
        <v>0.33333333333333298</v>
      </c>
      <c r="Z60" s="43">
        <v>0.375</v>
      </c>
      <c r="AA60" s="43">
        <v>0.41666666666666702</v>
      </c>
      <c r="AB60" s="43">
        <v>0.45833333333333298</v>
      </c>
      <c r="AC60" s="43">
        <v>0.5</v>
      </c>
      <c r="AD60" s="43">
        <v>0.54166666666666696</v>
      </c>
      <c r="AE60" s="43">
        <v>0.58333333333333304</v>
      </c>
      <c r="AF60" s="43">
        <v>0.625</v>
      </c>
      <c r="AG60" s="43">
        <v>0.66666666666666696</v>
      </c>
      <c r="AH60" s="43">
        <v>0.70833333333333304</v>
      </c>
      <c r="AI60" s="43">
        <v>0.75</v>
      </c>
      <c r="AJ60" s="43">
        <v>0.79166666666666696</v>
      </c>
      <c r="AK60" s="43">
        <v>0.83333333333333304</v>
      </c>
      <c r="AL60" s="43">
        <v>0.875</v>
      </c>
      <c r="AM60" s="43">
        <v>0.91666666666666696</v>
      </c>
      <c r="AN60" s="43">
        <v>0.95833333333333304</v>
      </c>
      <c r="AO60" s="43">
        <v>1</v>
      </c>
      <c r="AP60" s="43" t="s">
        <v>41</v>
      </c>
    </row>
    <row r="61" spans="1:52">
      <c r="R61">
        <v>3</v>
      </c>
      <c r="S61" s="12" t="str">
        <f>W75</f>
        <v>Evening Only</v>
      </c>
      <c r="U61" s="43" t="s">
        <v>2</v>
      </c>
      <c r="V61" s="296">
        <v>0</v>
      </c>
      <c r="W61" s="296">
        <v>0.5</v>
      </c>
      <c r="X61" s="296">
        <v>0.7</v>
      </c>
      <c r="Y61" s="296">
        <v>0.7</v>
      </c>
      <c r="Z61" s="296">
        <v>0.5</v>
      </c>
      <c r="AA61" s="296">
        <v>0.2</v>
      </c>
      <c r="AB61" s="296">
        <v>0.1</v>
      </c>
      <c r="AC61" s="296">
        <v>0</v>
      </c>
      <c r="AD61" s="296">
        <v>0</v>
      </c>
      <c r="AE61" s="296">
        <v>0</v>
      </c>
      <c r="AF61" s="296">
        <v>0</v>
      </c>
      <c r="AG61" s="296">
        <v>0.4</v>
      </c>
      <c r="AH61" s="296">
        <v>0.4</v>
      </c>
      <c r="AI61" s="296">
        <v>0.7</v>
      </c>
      <c r="AJ61" s="296">
        <v>0.7</v>
      </c>
      <c r="AK61" s="296">
        <v>0.7</v>
      </c>
      <c r="AL61" s="296">
        <v>0.7</v>
      </c>
      <c r="AM61" s="296">
        <v>0.3</v>
      </c>
      <c r="AN61" s="296">
        <v>0.1</v>
      </c>
      <c r="AO61" s="296">
        <v>0</v>
      </c>
      <c r="AP61" s="35">
        <f>AVERAGE(V61:AO61)</f>
        <v>0.33500000000000002</v>
      </c>
    </row>
    <row r="62" spans="1:52">
      <c r="A62" s="1"/>
      <c r="B62" s="3"/>
      <c r="R62">
        <v>4</v>
      </c>
      <c r="S62" s="12" t="str">
        <f>W83</f>
        <v>Occasional Use</v>
      </c>
      <c r="AP62" s="44"/>
    </row>
    <row r="63" spans="1:52">
      <c r="B63" s="1"/>
      <c r="R63">
        <v>5</v>
      </c>
      <c r="S63" s="12" t="str">
        <f>W91</f>
        <v>Hot Water Demand</v>
      </c>
      <c r="AP63" s="44"/>
    </row>
    <row r="64" spans="1:52">
      <c r="A64" s="1"/>
      <c r="B64" s="3"/>
      <c r="R64">
        <v>6</v>
      </c>
      <c r="S64" s="12" t="str">
        <f>W107</f>
        <v>School/Education</v>
      </c>
      <c r="AP64" s="44"/>
    </row>
    <row r="65" spans="1:42">
      <c r="A65" s="1"/>
      <c r="R65">
        <v>7</v>
      </c>
      <c r="S65" s="12" t="str">
        <f>W115</f>
        <v>Restaurant</v>
      </c>
      <c r="AP65" s="44"/>
    </row>
    <row r="66" spans="1:42">
      <c r="R66">
        <v>8</v>
      </c>
      <c r="S66" s="12" t="str">
        <f>W123</f>
        <v>Supermarket</v>
      </c>
      <c r="AP66" s="44"/>
    </row>
    <row r="67" spans="1:42">
      <c r="R67">
        <v>9</v>
      </c>
      <c r="S67" s="12" t="str">
        <f>W131</f>
        <v>Student Accommodation</v>
      </c>
      <c r="V67" s="72"/>
      <c r="W67" s="91" t="s">
        <v>232</v>
      </c>
      <c r="X67" s="92"/>
      <c r="AP67" s="44"/>
    </row>
    <row r="68" spans="1:42">
      <c r="R68">
        <v>10</v>
      </c>
      <c r="S68" s="12" t="str">
        <f>W139</f>
        <v>Afternoon</v>
      </c>
      <c r="V68" s="43">
        <v>0.20833333333333334</v>
      </c>
      <c r="W68" s="43">
        <v>0.25</v>
      </c>
      <c r="X68" s="43">
        <v>0.29166666666666702</v>
      </c>
      <c r="Y68" s="43">
        <v>0.33333333333333298</v>
      </c>
      <c r="Z68" s="43">
        <v>0.375</v>
      </c>
      <c r="AA68" s="43">
        <v>0.41666666666666702</v>
      </c>
      <c r="AB68" s="43">
        <v>0.45833333333333298</v>
      </c>
      <c r="AC68" s="43">
        <v>0.5</v>
      </c>
      <c r="AD68" s="43">
        <v>0.54166666666666696</v>
      </c>
      <c r="AE68" s="43">
        <v>0.58333333333333304</v>
      </c>
      <c r="AF68" s="43">
        <v>0.625</v>
      </c>
      <c r="AG68" s="43">
        <v>0.66666666666666696</v>
      </c>
      <c r="AH68" s="43">
        <v>0.70833333333333304</v>
      </c>
      <c r="AI68" s="43">
        <v>0.75</v>
      </c>
      <c r="AJ68" s="43">
        <v>0.79166666666666696</v>
      </c>
      <c r="AK68" s="43">
        <v>0.83333333333333304</v>
      </c>
      <c r="AL68" s="43">
        <v>0.875</v>
      </c>
      <c r="AM68" s="43">
        <v>0.91666666666666696</v>
      </c>
      <c r="AN68" s="43">
        <v>0.95833333333333304</v>
      </c>
      <c r="AO68" s="43">
        <v>1</v>
      </c>
      <c r="AP68" s="45" t="s">
        <v>41</v>
      </c>
    </row>
    <row r="69" spans="1:42">
      <c r="U69" s="43" t="s">
        <v>2</v>
      </c>
      <c r="V69" s="296">
        <v>0</v>
      </c>
      <c r="W69" s="296">
        <v>0.3</v>
      </c>
      <c r="X69" s="296">
        <v>0.6</v>
      </c>
      <c r="Y69" s="296">
        <v>0.7</v>
      </c>
      <c r="Z69" s="296">
        <v>0.8</v>
      </c>
      <c r="AA69" s="296">
        <v>0.9</v>
      </c>
      <c r="AB69" s="296">
        <v>0.9</v>
      </c>
      <c r="AC69" s="296">
        <v>0.9</v>
      </c>
      <c r="AD69" s="296">
        <v>0.9</v>
      </c>
      <c r="AE69" s="296">
        <v>0.9</v>
      </c>
      <c r="AF69" s="296">
        <v>0.9</v>
      </c>
      <c r="AG69" s="296">
        <v>0.8</v>
      </c>
      <c r="AH69" s="296">
        <v>0.7</v>
      </c>
      <c r="AI69" s="296">
        <v>0.6</v>
      </c>
      <c r="AJ69" s="296">
        <v>0.3</v>
      </c>
      <c r="AK69" s="296">
        <v>0.1</v>
      </c>
      <c r="AL69" s="296">
        <v>0</v>
      </c>
      <c r="AM69" s="296">
        <v>0</v>
      </c>
      <c r="AN69" s="296">
        <v>0</v>
      </c>
      <c r="AO69" s="296">
        <v>0</v>
      </c>
      <c r="AP69" s="35">
        <f>AVERAGE(V69:AO69)</f>
        <v>0.51500000000000001</v>
      </c>
    </row>
    <row r="75" spans="1:42">
      <c r="V75" s="72"/>
      <c r="W75" s="72" t="s">
        <v>235</v>
      </c>
      <c r="X75" s="72"/>
      <c r="AP75" s="44"/>
    </row>
    <row r="76" spans="1:42">
      <c r="V76" s="43">
        <v>0.20833333333333334</v>
      </c>
      <c r="W76" s="43">
        <v>0.25</v>
      </c>
      <c r="X76" s="43">
        <v>0.29166666666666702</v>
      </c>
      <c r="Y76" s="43">
        <v>0.33333333333333298</v>
      </c>
      <c r="Z76" s="43">
        <v>0.375</v>
      </c>
      <c r="AA76" s="43">
        <v>0.41666666666666702</v>
      </c>
      <c r="AB76" s="43">
        <v>0.45833333333333298</v>
      </c>
      <c r="AC76" s="43">
        <v>0.5</v>
      </c>
      <c r="AD76" s="43">
        <v>0.54166666666666696</v>
      </c>
      <c r="AE76" s="43">
        <v>0.58333333333333304</v>
      </c>
      <c r="AF76" s="43">
        <v>0.625</v>
      </c>
      <c r="AG76" s="43">
        <v>0.66666666666666696</v>
      </c>
      <c r="AH76" s="43">
        <v>0.70833333333333304</v>
      </c>
      <c r="AI76" s="43">
        <v>0.75</v>
      </c>
      <c r="AJ76" s="43">
        <v>0.79166666666666696</v>
      </c>
      <c r="AK76" s="43">
        <v>0.83333333333333304</v>
      </c>
      <c r="AL76" s="43">
        <v>0.875</v>
      </c>
      <c r="AM76" s="43">
        <v>0.91666666666666696</v>
      </c>
      <c r="AN76" s="43">
        <v>0.95833333333333304</v>
      </c>
      <c r="AO76" s="43">
        <v>1</v>
      </c>
      <c r="AP76" s="45" t="s">
        <v>41</v>
      </c>
    </row>
    <row r="77" spans="1:42">
      <c r="U77" s="43" t="s">
        <v>2</v>
      </c>
      <c r="V77" s="296">
        <v>0.9</v>
      </c>
      <c r="W77" s="296">
        <v>0.7</v>
      </c>
      <c r="X77" s="296">
        <v>0.4</v>
      </c>
      <c r="Y77" s="296">
        <v>0.2</v>
      </c>
      <c r="Z77" s="296">
        <v>0</v>
      </c>
      <c r="AA77" s="296">
        <v>0</v>
      </c>
      <c r="AB77" s="296">
        <v>0</v>
      </c>
      <c r="AC77" s="296">
        <v>0</v>
      </c>
      <c r="AD77" s="296">
        <v>0</v>
      </c>
      <c r="AE77" s="296">
        <v>0</v>
      </c>
      <c r="AF77" s="296">
        <v>0</v>
      </c>
      <c r="AG77" s="296">
        <v>0</v>
      </c>
      <c r="AH77" s="296">
        <v>0.2</v>
      </c>
      <c r="AI77" s="296">
        <v>0.4</v>
      </c>
      <c r="AJ77" s="296">
        <v>0.7</v>
      </c>
      <c r="AK77" s="296">
        <v>0.8</v>
      </c>
      <c r="AL77" s="296">
        <v>0.95</v>
      </c>
      <c r="AM77" s="296">
        <v>0.95</v>
      </c>
      <c r="AN77" s="296">
        <v>0.95</v>
      </c>
      <c r="AO77" s="296">
        <v>0.95</v>
      </c>
      <c r="AP77" s="35">
        <f>AVERAGE(V77:AO77)</f>
        <v>0.40499999999999997</v>
      </c>
    </row>
    <row r="83" spans="21:42">
      <c r="V83" s="72"/>
      <c r="W83" s="72" t="s">
        <v>234</v>
      </c>
      <c r="X83" s="72"/>
      <c r="AP83" s="44"/>
    </row>
    <row r="84" spans="21:42">
      <c r="V84" s="43">
        <v>0.20833333333333334</v>
      </c>
      <c r="W84" s="43">
        <v>0.25</v>
      </c>
      <c r="X84" s="43">
        <v>0.29166666666666702</v>
      </c>
      <c r="Y84" s="43">
        <v>0.33333333333333298</v>
      </c>
      <c r="Z84" s="43">
        <v>0.375</v>
      </c>
      <c r="AA84" s="43">
        <v>0.41666666666666702</v>
      </c>
      <c r="AB84" s="43">
        <v>0.45833333333333298</v>
      </c>
      <c r="AC84" s="43">
        <v>0.5</v>
      </c>
      <c r="AD84" s="43">
        <v>0.54166666666666696</v>
      </c>
      <c r="AE84" s="43">
        <v>0.58333333333333304</v>
      </c>
      <c r="AF84" s="43">
        <v>0.625</v>
      </c>
      <c r="AG84" s="43">
        <v>0.66666666666666696</v>
      </c>
      <c r="AH84" s="43">
        <v>0.70833333333333304</v>
      </c>
      <c r="AI84" s="43">
        <v>0.75</v>
      </c>
      <c r="AJ84" s="43">
        <v>0.79166666666666696</v>
      </c>
      <c r="AK84" s="43">
        <v>0.83333333333333304</v>
      </c>
      <c r="AL84" s="43">
        <v>0.875</v>
      </c>
      <c r="AM84" s="43">
        <v>0.91666666666666696</v>
      </c>
      <c r="AN84" s="43">
        <v>0.95833333333333304</v>
      </c>
      <c r="AO84" s="43">
        <v>1</v>
      </c>
      <c r="AP84" s="45" t="s">
        <v>41</v>
      </c>
    </row>
    <row r="85" spans="21:42">
      <c r="U85" s="43" t="s">
        <v>2</v>
      </c>
      <c r="V85" s="296">
        <v>0</v>
      </c>
      <c r="W85" s="296">
        <v>0.1</v>
      </c>
      <c r="X85" s="296">
        <v>0.1</v>
      </c>
      <c r="Y85" s="296">
        <v>0.5</v>
      </c>
      <c r="Z85" s="296">
        <v>0.7</v>
      </c>
      <c r="AA85" s="296">
        <v>0.5</v>
      </c>
      <c r="AB85" s="296">
        <v>0.1</v>
      </c>
      <c r="AC85" s="296">
        <v>0.5</v>
      </c>
      <c r="AD85" s="296">
        <v>0.7</v>
      </c>
      <c r="AE85" s="296">
        <v>0.5</v>
      </c>
      <c r="AF85" s="296">
        <v>0.1</v>
      </c>
      <c r="AG85" s="296">
        <v>0.5</v>
      </c>
      <c r="AH85" s="296">
        <v>0.7</v>
      </c>
      <c r="AI85" s="296">
        <v>0.5</v>
      </c>
      <c r="AJ85" s="296">
        <v>0.1</v>
      </c>
      <c r="AK85" s="296">
        <v>0</v>
      </c>
      <c r="AL85" s="296">
        <v>0</v>
      </c>
      <c r="AM85" s="296">
        <v>0</v>
      </c>
      <c r="AN85" s="296">
        <v>0</v>
      </c>
      <c r="AO85" s="296">
        <v>0</v>
      </c>
      <c r="AP85" s="35">
        <f>AVERAGE(V85:AO85)</f>
        <v>0.28000000000000003</v>
      </c>
    </row>
    <row r="91" spans="21:42">
      <c r="V91" s="72"/>
      <c r="W91" s="91" t="s">
        <v>247</v>
      </c>
      <c r="X91" s="92"/>
      <c r="Z91" t="s">
        <v>251</v>
      </c>
      <c r="AP91" s="44"/>
    </row>
    <row r="92" spans="21:42">
      <c r="V92" s="43">
        <v>0.20833333333333334</v>
      </c>
      <c r="W92" s="43">
        <v>0.25</v>
      </c>
      <c r="X92" s="43">
        <v>0.29166666666666702</v>
      </c>
      <c r="Y92" s="43">
        <v>0.33333333333333298</v>
      </c>
      <c r="Z92" s="43">
        <v>0.375</v>
      </c>
      <c r="AA92" s="43">
        <v>0.41666666666666702</v>
      </c>
      <c r="AB92" s="43">
        <v>0.45833333333333298</v>
      </c>
      <c r="AC92" s="43">
        <v>0.5</v>
      </c>
      <c r="AD92" s="43">
        <v>0.54166666666666696</v>
      </c>
      <c r="AE92" s="43">
        <v>0.58333333333333304</v>
      </c>
      <c r="AF92" s="43">
        <v>0.625</v>
      </c>
      <c r="AG92" s="43">
        <v>0.66666666666666696</v>
      </c>
      <c r="AH92" s="43">
        <v>0.70833333333333304</v>
      </c>
      <c r="AI92" s="43">
        <v>0.75</v>
      </c>
      <c r="AJ92" s="43">
        <v>0.79166666666666696</v>
      </c>
      <c r="AK92" s="43">
        <v>0.83333333333333304</v>
      </c>
      <c r="AL92" s="43">
        <v>0.875</v>
      </c>
      <c r="AM92" s="43">
        <v>0.91666666666666696</v>
      </c>
      <c r="AN92" s="43">
        <v>0.95833333333333304</v>
      </c>
      <c r="AO92" s="43">
        <v>1</v>
      </c>
      <c r="AP92" s="45" t="s">
        <v>41</v>
      </c>
    </row>
    <row r="93" spans="21:42">
      <c r="U93" s="43" t="s">
        <v>2</v>
      </c>
      <c r="V93" s="44">
        <v>0.1</v>
      </c>
      <c r="W93" s="44">
        <v>0.25</v>
      </c>
      <c r="X93" s="44">
        <v>0.73</v>
      </c>
      <c r="Y93" s="44">
        <v>0.77</v>
      </c>
      <c r="Z93" s="44">
        <v>0.65</v>
      </c>
      <c r="AA93" s="44">
        <v>0.53</v>
      </c>
      <c r="AB93" s="44">
        <v>0.47</v>
      </c>
      <c r="AC93" s="44">
        <v>0.43</v>
      </c>
      <c r="AD93" s="44">
        <v>0.42</v>
      </c>
      <c r="AE93" s="44">
        <v>0.4</v>
      </c>
      <c r="AF93" s="44">
        <v>0.36</v>
      </c>
      <c r="AG93" s="44">
        <v>0.32</v>
      </c>
      <c r="AH93" s="44">
        <v>0.37</v>
      </c>
      <c r="AI93" s="44">
        <v>0.49</v>
      </c>
      <c r="AJ93" s="44">
        <v>0.56000000000000005</v>
      </c>
      <c r="AK93" s="44">
        <v>0.73</v>
      </c>
      <c r="AL93" s="44">
        <v>0.77</v>
      </c>
      <c r="AM93" s="44">
        <v>0.73</v>
      </c>
      <c r="AN93" s="44">
        <v>0.4</v>
      </c>
      <c r="AO93" s="44">
        <v>0.2</v>
      </c>
      <c r="AP93" s="35">
        <f>AVERAGE(V93:AO93)</f>
        <v>0.4840000000000001</v>
      </c>
    </row>
    <row r="98" spans="21:42" ht="15" thickBot="1"/>
    <row r="99" spans="21:42" ht="15" thickBot="1">
      <c r="V99" s="72"/>
      <c r="W99" s="91" t="s">
        <v>236</v>
      </c>
      <c r="X99" s="308">
        <v>0.2</v>
      </c>
      <c r="AP99" s="44"/>
    </row>
    <row r="100" spans="21:42">
      <c r="V100" s="43">
        <v>0.20833333333333334</v>
      </c>
      <c r="W100" s="43">
        <v>0.25</v>
      </c>
      <c r="X100" s="100">
        <v>0.29166666666666702</v>
      </c>
      <c r="Y100" s="43">
        <v>0.33333333333333298</v>
      </c>
      <c r="Z100" s="43">
        <v>0.375</v>
      </c>
      <c r="AA100" s="43">
        <v>0.41666666666666702</v>
      </c>
      <c r="AB100" s="43">
        <v>0.45833333333333298</v>
      </c>
      <c r="AC100" s="43">
        <v>0.5</v>
      </c>
      <c r="AD100" s="43">
        <v>0.54166666666666696</v>
      </c>
      <c r="AE100" s="43">
        <v>0.58333333333333304</v>
      </c>
      <c r="AF100" s="43">
        <v>0.625</v>
      </c>
      <c r="AG100" s="43">
        <v>0.66666666666666696</v>
      </c>
      <c r="AH100" s="43">
        <v>0.70833333333333304</v>
      </c>
      <c r="AI100" s="43">
        <v>0.75</v>
      </c>
      <c r="AJ100" s="43">
        <v>0.79166666666666696</v>
      </c>
      <c r="AK100" s="43">
        <v>0.83333333333333304</v>
      </c>
      <c r="AL100" s="43">
        <v>0.875</v>
      </c>
      <c r="AM100" s="43">
        <v>0.91666666666666696</v>
      </c>
      <c r="AN100" s="43">
        <v>0.95833333333333304</v>
      </c>
      <c r="AO100" s="43">
        <v>1</v>
      </c>
      <c r="AP100" s="45" t="s">
        <v>41</v>
      </c>
    </row>
    <row r="101" spans="21:42">
      <c r="U101" s="43" t="s">
        <v>2</v>
      </c>
      <c r="V101" s="90">
        <f>$X$48</f>
        <v>0.2</v>
      </c>
      <c r="W101" s="90">
        <f t="shared" ref="W101:AO101" si="66">V101</f>
        <v>0.2</v>
      </c>
      <c r="X101" s="90">
        <f t="shared" si="66"/>
        <v>0.2</v>
      </c>
      <c r="Y101" s="90">
        <f t="shared" si="66"/>
        <v>0.2</v>
      </c>
      <c r="Z101" s="90">
        <f t="shared" si="66"/>
        <v>0.2</v>
      </c>
      <c r="AA101" s="90">
        <f t="shared" si="66"/>
        <v>0.2</v>
      </c>
      <c r="AB101" s="90">
        <f t="shared" si="66"/>
        <v>0.2</v>
      </c>
      <c r="AC101" s="90">
        <f t="shared" si="66"/>
        <v>0.2</v>
      </c>
      <c r="AD101" s="90">
        <f t="shared" si="66"/>
        <v>0.2</v>
      </c>
      <c r="AE101" s="90">
        <f t="shared" si="66"/>
        <v>0.2</v>
      </c>
      <c r="AF101" s="90">
        <f t="shared" si="66"/>
        <v>0.2</v>
      </c>
      <c r="AG101" s="90">
        <f t="shared" si="66"/>
        <v>0.2</v>
      </c>
      <c r="AH101" s="90">
        <f t="shared" si="66"/>
        <v>0.2</v>
      </c>
      <c r="AI101" s="90">
        <f t="shared" si="66"/>
        <v>0.2</v>
      </c>
      <c r="AJ101" s="90">
        <f t="shared" si="66"/>
        <v>0.2</v>
      </c>
      <c r="AK101" s="90">
        <f t="shared" si="66"/>
        <v>0.2</v>
      </c>
      <c r="AL101" s="90">
        <f t="shared" si="66"/>
        <v>0.2</v>
      </c>
      <c r="AM101" s="90">
        <f t="shared" si="66"/>
        <v>0.2</v>
      </c>
      <c r="AN101" s="90">
        <f t="shared" si="66"/>
        <v>0.2</v>
      </c>
      <c r="AO101" s="90">
        <f t="shared" si="66"/>
        <v>0.2</v>
      </c>
      <c r="AP101" s="35">
        <f>AVERAGE(V101:AO101)</f>
        <v>0.20000000000000004</v>
      </c>
    </row>
    <row r="107" spans="21:42">
      <c r="V107" s="72"/>
      <c r="W107" s="91" t="s">
        <v>237</v>
      </c>
      <c r="X107" s="92"/>
      <c r="AP107" s="44"/>
    </row>
    <row r="108" spans="21:42">
      <c r="V108" s="43">
        <v>0.20833333333333334</v>
      </c>
      <c r="W108" s="43">
        <v>0.25</v>
      </c>
      <c r="X108" s="100">
        <v>0.29166666666666702</v>
      </c>
      <c r="Y108" s="43">
        <v>0.33333333333333298</v>
      </c>
      <c r="Z108" s="43">
        <v>0.375</v>
      </c>
      <c r="AA108" s="43">
        <v>0.41666666666666702</v>
      </c>
      <c r="AB108" s="43">
        <v>0.45833333333333298</v>
      </c>
      <c r="AC108" s="43">
        <v>0.5</v>
      </c>
      <c r="AD108" s="43">
        <v>0.54166666666666696</v>
      </c>
      <c r="AE108" s="43">
        <v>0.58333333333333304</v>
      </c>
      <c r="AF108" s="43">
        <v>0.625</v>
      </c>
      <c r="AG108" s="43">
        <v>0.66666666666666696</v>
      </c>
      <c r="AH108" s="43">
        <v>0.70833333333333304</v>
      </c>
      <c r="AI108" s="43">
        <v>0.75</v>
      </c>
      <c r="AJ108" s="43">
        <v>0.79166666666666696</v>
      </c>
      <c r="AK108" s="43">
        <v>0.83333333333333304</v>
      </c>
      <c r="AL108" s="43">
        <v>0.875</v>
      </c>
      <c r="AM108" s="43">
        <v>0.91666666666666696</v>
      </c>
      <c r="AN108" s="43">
        <v>0.95833333333333304</v>
      </c>
      <c r="AO108" s="43">
        <v>1</v>
      </c>
      <c r="AP108" s="45" t="s">
        <v>41</v>
      </c>
    </row>
    <row r="109" spans="21:42">
      <c r="U109" s="43" t="s">
        <v>2</v>
      </c>
      <c r="V109" s="296">
        <v>0.2</v>
      </c>
      <c r="W109" s="296">
        <v>0.3</v>
      </c>
      <c r="X109" s="296">
        <v>0.4</v>
      </c>
      <c r="Y109" s="296">
        <v>0.6</v>
      </c>
      <c r="Z109" s="296">
        <v>0.7</v>
      </c>
      <c r="AA109" s="309">
        <v>1</v>
      </c>
      <c r="AB109" s="296">
        <v>0.8</v>
      </c>
      <c r="AC109" s="296">
        <v>0.7</v>
      </c>
      <c r="AD109" s="296">
        <v>0.7</v>
      </c>
      <c r="AE109" s="296">
        <v>0.6</v>
      </c>
      <c r="AF109" s="296">
        <v>0.8</v>
      </c>
      <c r="AG109" s="296">
        <v>0.6</v>
      </c>
      <c r="AH109" s="296">
        <v>0.5</v>
      </c>
      <c r="AI109" s="296">
        <v>0.4</v>
      </c>
      <c r="AJ109" s="296">
        <v>0.3</v>
      </c>
      <c r="AK109" s="296">
        <v>0.2</v>
      </c>
      <c r="AL109" s="296">
        <v>0.2</v>
      </c>
      <c r="AM109" s="296">
        <v>0.2</v>
      </c>
      <c r="AN109" s="296">
        <v>0.2</v>
      </c>
      <c r="AO109" s="296">
        <v>0.2</v>
      </c>
      <c r="AP109" s="35">
        <f>AVERAGE(V109:AO109)</f>
        <v>0.47999999999999982</v>
      </c>
    </row>
    <row r="115" spans="21:52">
      <c r="V115" s="72"/>
      <c r="W115" s="91" t="s">
        <v>14</v>
      </c>
      <c r="X115" s="92"/>
      <c r="AP115" s="44"/>
    </row>
    <row r="116" spans="21:52">
      <c r="V116" s="43">
        <v>0.20833333333333334</v>
      </c>
      <c r="W116" s="43">
        <v>0.25</v>
      </c>
      <c r="X116" s="100">
        <v>0.29166666666666702</v>
      </c>
      <c r="Y116" s="43">
        <v>0.33333333333333298</v>
      </c>
      <c r="Z116" s="43">
        <v>0.375</v>
      </c>
      <c r="AA116" s="43">
        <v>0.41666666666666702</v>
      </c>
      <c r="AB116" s="43">
        <v>0.45833333333333298</v>
      </c>
      <c r="AC116" s="43">
        <v>0.5</v>
      </c>
      <c r="AD116" s="43">
        <v>0.54166666666666696</v>
      </c>
      <c r="AE116" s="43">
        <v>0.58333333333333304</v>
      </c>
      <c r="AF116" s="43">
        <v>0.625</v>
      </c>
      <c r="AG116" s="43">
        <v>0.66666666666666696</v>
      </c>
      <c r="AH116" s="43">
        <v>0.70833333333333304</v>
      </c>
      <c r="AI116" s="43">
        <v>0.75</v>
      </c>
      <c r="AJ116" s="43">
        <v>0.79166666666666696</v>
      </c>
      <c r="AK116" s="43">
        <v>0.83333333333333304</v>
      </c>
      <c r="AL116" s="43">
        <v>0.875</v>
      </c>
      <c r="AM116" s="43">
        <v>0.91666666666666696</v>
      </c>
      <c r="AN116" s="43">
        <v>0.95833333333333304</v>
      </c>
      <c r="AO116" s="43">
        <v>1</v>
      </c>
      <c r="AP116" s="45" t="s">
        <v>41</v>
      </c>
    </row>
    <row r="117" spans="21:52">
      <c r="U117" s="43" t="s">
        <v>2</v>
      </c>
      <c r="V117" s="296">
        <v>0.1</v>
      </c>
      <c r="W117" s="296">
        <v>0.2</v>
      </c>
      <c r="X117" s="296">
        <v>0.2</v>
      </c>
      <c r="Y117" s="296">
        <v>0.2</v>
      </c>
      <c r="Z117" s="296">
        <v>0.6</v>
      </c>
      <c r="AA117" s="296">
        <v>0.7</v>
      </c>
      <c r="AB117" s="296">
        <v>0.8</v>
      </c>
      <c r="AC117" s="296">
        <v>0.9</v>
      </c>
      <c r="AD117" s="296">
        <v>1</v>
      </c>
      <c r="AE117" s="296">
        <v>1</v>
      </c>
      <c r="AF117" s="296">
        <v>0.6</v>
      </c>
      <c r="AG117" s="296">
        <v>0.6</v>
      </c>
      <c r="AH117" s="296">
        <v>0.8</v>
      </c>
      <c r="AI117" s="296">
        <v>1</v>
      </c>
      <c r="AJ117" s="296">
        <v>1</v>
      </c>
      <c r="AK117" s="296">
        <v>0.8</v>
      </c>
      <c r="AL117" s="296">
        <v>0.6</v>
      </c>
      <c r="AM117" s="296">
        <v>0.4</v>
      </c>
      <c r="AN117" s="296">
        <v>0.2</v>
      </c>
      <c r="AO117" s="296">
        <v>0.1</v>
      </c>
      <c r="AP117" s="35">
        <f>AVERAGE(V117:AO117)</f>
        <v>0.59</v>
      </c>
    </row>
    <row r="123" spans="21:52">
      <c r="V123" s="72"/>
      <c r="W123" s="91" t="s">
        <v>238</v>
      </c>
      <c r="X123" s="92"/>
      <c r="AP123" s="44"/>
      <c r="AX123" s="10"/>
      <c r="AZ123" s="10"/>
    </row>
    <row r="124" spans="21:52">
      <c r="V124" s="43">
        <v>0.20833333333333334</v>
      </c>
      <c r="W124" s="43">
        <v>0.25</v>
      </c>
      <c r="X124" s="100">
        <v>0.29166666666666702</v>
      </c>
      <c r="Y124" s="43">
        <v>0.33333333333333298</v>
      </c>
      <c r="Z124" s="43">
        <v>0.375</v>
      </c>
      <c r="AA124" s="43">
        <v>0.41666666666666702</v>
      </c>
      <c r="AB124" s="43">
        <v>0.45833333333333298</v>
      </c>
      <c r="AC124" s="43">
        <v>0.5</v>
      </c>
      <c r="AD124" s="43">
        <v>0.54166666666666696</v>
      </c>
      <c r="AE124" s="43">
        <v>0.58333333333333304</v>
      </c>
      <c r="AF124" s="43">
        <v>0.625</v>
      </c>
      <c r="AG124" s="43">
        <v>0.66666666666666696</v>
      </c>
      <c r="AH124" s="43">
        <v>0.70833333333333304</v>
      </c>
      <c r="AI124" s="43">
        <v>0.75</v>
      </c>
      <c r="AJ124" s="43">
        <v>0.79166666666666696</v>
      </c>
      <c r="AK124" s="43">
        <v>0.83333333333333304</v>
      </c>
      <c r="AL124" s="43">
        <v>0.875</v>
      </c>
      <c r="AM124" s="43">
        <v>0.91666666666666696</v>
      </c>
      <c r="AN124" s="43">
        <v>0.95833333333333304</v>
      </c>
      <c r="AO124" s="43">
        <v>1</v>
      </c>
      <c r="AP124" s="45" t="s">
        <v>41</v>
      </c>
    </row>
    <row r="125" spans="21:52">
      <c r="U125" s="43" t="s">
        <v>2</v>
      </c>
      <c r="V125" s="296">
        <v>0.4</v>
      </c>
      <c r="W125" s="296">
        <v>0.4</v>
      </c>
      <c r="X125" s="296">
        <v>0.4</v>
      </c>
      <c r="Y125" s="296">
        <v>0.4</v>
      </c>
      <c r="Z125" s="296">
        <v>0.6</v>
      </c>
      <c r="AA125" s="296">
        <v>0.7</v>
      </c>
      <c r="AB125" s="296">
        <v>0.7</v>
      </c>
      <c r="AC125" s="296">
        <v>0.6</v>
      </c>
      <c r="AD125" s="296">
        <v>0.6</v>
      </c>
      <c r="AE125" s="296">
        <v>0.6</v>
      </c>
      <c r="AF125" s="296">
        <v>0.6</v>
      </c>
      <c r="AG125" s="296">
        <v>0.6</v>
      </c>
      <c r="AH125" s="296">
        <v>0.6</v>
      </c>
      <c r="AI125" s="296">
        <v>0.6</v>
      </c>
      <c r="AJ125" s="296">
        <v>0.7</v>
      </c>
      <c r="AK125" s="296">
        <v>0.7</v>
      </c>
      <c r="AL125" s="296">
        <v>0.4</v>
      </c>
      <c r="AM125" s="296">
        <v>0.4</v>
      </c>
      <c r="AN125" s="296">
        <v>0.4</v>
      </c>
      <c r="AO125" s="296">
        <v>0.4</v>
      </c>
      <c r="AP125" s="35">
        <f>AVERAGE(V125:AO125)</f>
        <v>0.53999999999999992</v>
      </c>
    </row>
    <row r="130" spans="21:52">
      <c r="AZ130" s="331"/>
    </row>
    <row r="131" spans="21:52">
      <c r="V131" s="72"/>
      <c r="W131" s="72" t="s">
        <v>252</v>
      </c>
      <c r="X131" s="72"/>
      <c r="AP131" s="44"/>
    </row>
    <row r="132" spans="21:52">
      <c r="V132" s="43">
        <v>0.20833333333333334</v>
      </c>
      <c r="W132" s="43">
        <v>0.25</v>
      </c>
      <c r="X132" s="43">
        <v>0.29166666666666702</v>
      </c>
      <c r="Y132" s="43">
        <v>0.33333333333333298</v>
      </c>
      <c r="Z132" s="43">
        <v>0.375</v>
      </c>
      <c r="AA132" s="43">
        <v>0.41666666666666702</v>
      </c>
      <c r="AB132" s="43">
        <v>0.45833333333333298</v>
      </c>
      <c r="AC132" s="43">
        <v>0.5</v>
      </c>
      <c r="AD132" s="43">
        <v>0.54166666666666696</v>
      </c>
      <c r="AE132" s="43">
        <v>0.58333333333333304</v>
      </c>
      <c r="AF132" s="43">
        <v>0.625</v>
      </c>
      <c r="AG132" s="43">
        <v>0.66666666666666696</v>
      </c>
      <c r="AH132" s="43">
        <v>0.70833333333333304</v>
      </c>
      <c r="AI132" s="43">
        <v>0.75</v>
      </c>
      <c r="AJ132" s="43">
        <v>0.79166666666666696</v>
      </c>
      <c r="AK132" s="43">
        <v>0.83333333333333304</v>
      </c>
      <c r="AL132" s="43">
        <v>0.875</v>
      </c>
      <c r="AM132" s="43">
        <v>0.91666666666666696</v>
      </c>
      <c r="AN132" s="43">
        <v>0.95833333333333304</v>
      </c>
      <c r="AO132" s="43">
        <v>1</v>
      </c>
      <c r="AP132" s="45" t="s">
        <v>41</v>
      </c>
    </row>
    <row r="133" spans="21:52">
      <c r="U133" s="43" t="s">
        <v>2</v>
      </c>
      <c r="V133" s="296">
        <v>0</v>
      </c>
      <c r="W133" s="296">
        <v>0</v>
      </c>
      <c r="X133" s="296">
        <v>0</v>
      </c>
      <c r="Y133" s="296">
        <v>0.1</v>
      </c>
      <c r="Z133" s="296">
        <v>0.7</v>
      </c>
      <c r="AA133" s="296">
        <v>0.4</v>
      </c>
      <c r="AB133" s="296">
        <v>0.1</v>
      </c>
      <c r="AC133" s="296">
        <v>0.7</v>
      </c>
      <c r="AD133" s="296">
        <v>0.7</v>
      </c>
      <c r="AE133" s="296">
        <v>0.2</v>
      </c>
      <c r="AF133" s="296">
        <v>0.2</v>
      </c>
      <c r="AG133" s="296">
        <v>0.2</v>
      </c>
      <c r="AH133" s="296">
        <v>0.2</v>
      </c>
      <c r="AI133" s="296">
        <v>0.3</v>
      </c>
      <c r="AJ133" s="296">
        <v>0.5</v>
      </c>
      <c r="AK133" s="296">
        <v>0.5</v>
      </c>
      <c r="AL133" s="296">
        <v>0.7</v>
      </c>
      <c r="AM133" s="296">
        <v>0.5</v>
      </c>
      <c r="AN133" s="296">
        <v>0.5</v>
      </c>
      <c r="AO133" s="296">
        <v>0.4</v>
      </c>
      <c r="AP133" s="35">
        <f>AVERAGE(V133:AO133)</f>
        <v>0.34500000000000008</v>
      </c>
    </row>
    <row r="139" spans="21:52">
      <c r="V139" s="72"/>
      <c r="W139" s="72" t="s">
        <v>332</v>
      </c>
      <c r="X139" s="72"/>
      <c r="AP139" s="44"/>
    </row>
    <row r="140" spans="21:52">
      <c r="V140" s="43">
        <v>0.20833333333333334</v>
      </c>
      <c r="W140" s="43">
        <v>0.25</v>
      </c>
      <c r="X140" s="43">
        <v>0.29166666666666702</v>
      </c>
      <c r="Y140" s="43">
        <v>0.33333333333333298</v>
      </c>
      <c r="Z140" s="43">
        <v>0.375</v>
      </c>
      <c r="AA140" s="43">
        <v>0.41666666666666702</v>
      </c>
      <c r="AB140" s="43">
        <v>0.45833333333333298</v>
      </c>
      <c r="AC140" s="43">
        <v>0.5</v>
      </c>
      <c r="AD140" s="43">
        <v>0.54166666666666696</v>
      </c>
      <c r="AE140" s="43">
        <v>0.58333333333333304</v>
      </c>
      <c r="AF140" s="43">
        <v>0.625</v>
      </c>
      <c r="AG140" s="43">
        <v>0.66666666666666696</v>
      </c>
      <c r="AH140" s="43">
        <v>0.70833333333333304</v>
      </c>
      <c r="AI140" s="43">
        <v>0.75</v>
      </c>
      <c r="AJ140" s="43">
        <v>0.79166666666666696</v>
      </c>
      <c r="AK140" s="43">
        <v>0.83333333333333304</v>
      </c>
      <c r="AL140" s="43">
        <v>0.875</v>
      </c>
      <c r="AM140" s="43">
        <v>0.91666666666666696</v>
      </c>
      <c r="AN140" s="43">
        <v>0.95833333333333304</v>
      </c>
      <c r="AO140" s="43">
        <v>1</v>
      </c>
      <c r="AP140" s="45" t="s">
        <v>41</v>
      </c>
    </row>
    <row r="141" spans="21:52">
      <c r="U141" s="43" t="s">
        <v>2</v>
      </c>
      <c r="V141" s="296">
        <v>0.2</v>
      </c>
      <c r="W141" s="296">
        <v>0.3</v>
      </c>
      <c r="X141" s="296">
        <v>0.4</v>
      </c>
      <c r="Y141" s="296">
        <v>0.3</v>
      </c>
      <c r="Z141" s="296">
        <v>0.2</v>
      </c>
      <c r="AA141" s="296">
        <v>0</v>
      </c>
      <c r="AB141" s="296">
        <v>0</v>
      </c>
      <c r="AC141" s="296">
        <v>0</v>
      </c>
      <c r="AD141" s="296">
        <v>0</v>
      </c>
      <c r="AE141" s="296">
        <v>0</v>
      </c>
      <c r="AF141" s="296">
        <v>0</v>
      </c>
      <c r="AG141" s="296">
        <v>0.4</v>
      </c>
      <c r="AH141" s="296">
        <v>0.4</v>
      </c>
      <c r="AI141" s="296">
        <v>0.7</v>
      </c>
      <c r="AJ141" s="296">
        <v>0.7</v>
      </c>
      <c r="AK141" s="296">
        <v>0.7</v>
      </c>
      <c r="AL141" s="296">
        <v>0.7</v>
      </c>
      <c r="AM141" s="296">
        <v>0.3</v>
      </c>
      <c r="AN141" s="296">
        <v>0.1</v>
      </c>
      <c r="AO141" s="296">
        <v>0</v>
      </c>
      <c r="AP141" s="35">
        <f>AVERAGE(V141:AO141)</f>
        <v>0.26999999999999996</v>
      </c>
    </row>
    <row r="147" spans="21:42">
      <c r="V147" s="72"/>
      <c r="W147" s="72" t="s">
        <v>333</v>
      </c>
      <c r="X147" s="72"/>
      <c r="AP147" s="44"/>
    </row>
    <row r="148" spans="21:42">
      <c r="V148" s="43">
        <v>0.20833333333333334</v>
      </c>
      <c r="W148" s="43">
        <v>0.25</v>
      </c>
      <c r="X148" s="43">
        <v>0.29166666666666702</v>
      </c>
      <c r="Y148" s="43">
        <v>0.33333333333333298</v>
      </c>
      <c r="Z148" s="43">
        <v>0.375</v>
      </c>
      <c r="AA148" s="43">
        <v>0.41666666666666702</v>
      </c>
      <c r="AB148" s="43">
        <v>0.45833333333333298</v>
      </c>
      <c r="AC148" s="43">
        <v>0.5</v>
      </c>
      <c r="AD148" s="43">
        <v>0.54166666666666696</v>
      </c>
      <c r="AE148" s="43">
        <v>0.58333333333333304</v>
      </c>
      <c r="AF148" s="43">
        <v>0.625</v>
      </c>
      <c r="AG148" s="43">
        <v>0.66666666666666696</v>
      </c>
      <c r="AH148" s="43">
        <v>0.70833333333333304</v>
      </c>
      <c r="AI148" s="43">
        <v>0.75</v>
      </c>
      <c r="AJ148" s="43">
        <v>0.79166666666666696</v>
      </c>
      <c r="AK148" s="43">
        <v>0.83333333333333304</v>
      </c>
      <c r="AL148" s="43">
        <v>0.875</v>
      </c>
      <c r="AM148" s="43">
        <v>0.91666666666666696</v>
      </c>
      <c r="AN148" s="43">
        <v>0.95833333333333304</v>
      </c>
      <c r="AO148" s="43">
        <v>1</v>
      </c>
      <c r="AP148" s="45" t="s">
        <v>41</v>
      </c>
    </row>
    <row r="149" spans="21:42">
      <c r="U149" s="43" t="s">
        <v>2</v>
      </c>
      <c r="V149" s="296">
        <v>0.35299999999999998</v>
      </c>
      <c r="W149" s="296">
        <v>0.372</v>
      </c>
      <c r="X149" s="296">
        <v>0.41499999999999998</v>
      </c>
      <c r="Y149" s="296">
        <v>0.45800000000000002</v>
      </c>
      <c r="Z149" s="296">
        <v>0.48499999999999999</v>
      </c>
      <c r="AA149" s="296">
        <v>0.48699999999999999</v>
      </c>
      <c r="AB149" s="296">
        <v>0.502</v>
      </c>
      <c r="AC149" s="296">
        <v>0.52100000000000002</v>
      </c>
      <c r="AD149" s="296">
        <v>0.53100000000000003</v>
      </c>
      <c r="AE149" s="296">
        <v>0.52</v>
      </c>
      <c r="AF149" s="296">
        <v>0.51100000000000001</v>
      </c>
      <c r="AG149" s="296">
        <v>0.52600000000000002</v>
      </c>
      <c r="AH149" s="296">
        <v>0.57599999999999996</v>
      </c>
      <c r="AI149" s="296">
        <v>0.67200000000000004</v>
      </c>
      <c r="AJ149" s="296">
        <v>0.72199999999999998</v>
      </c>
      <c r="AK149" s="296">
        <v>0.70099999999999996</v>
      </c>
      <c r="AL149" s="296">
        <v>0.67300000000000004</v>
      </c>
      <c r="AM149" s="296">
        <v>0.63400000000000001</v>
      </c>
      <c r="AN149" s="296">
        <v>0.58799999999999997</v>
      </c>
      <c r="AO149" s="296">
        <v>0.51800000000000002</v>
      </c>
      <c r="AP149" s="35">
        <f>AVERAGE(V149:AO149)</f>
        <v>0.53825000000000001</v>
      </c>
    </row>
  </sheetData>
  <sheetProtection algorithmName="SHA-512" hashValue="/rd4odcD0bGrnVyxF10TM5+21HLsm+gV5vl2UCt5oLkj/nyssSzpRuNK4bjHh2u6WlTjfRUFCZufw2/VSyaKnA==" saltValue="ty5yCTtOhoLF5JrYuQFaDQ==" spinCount="100000" sheet="1" objects="1" scenarios="1" selectLockedCells="1"/>
  <mergeCells count="38">
    <mergeCell ref="A1:D1"/>
    <mergeCell ref="A2:C2"/>
    <mergeCell ref="T1:W1"/>
    <mergeCell ref="A3:C3"/>
    <mergeCell ref="A7:A10"/>
    <mergeCell ref="B7:B10"/>
    <mergeCell ref="C7:E7"/>
    <mergeCell ref="C8:C10"/>
    <mergeCell ref="D8:D10"/>
    <mergeCell ref="E8:E10"/>
    <mergeCell ref="F8:F10"/>
    <mergeCell ref="G8:G10"/>
    <mergeCell ref="I8:I10"/>
    <mergeCell ref="L8:L10"/>
    <mergeCell ref="F7:G7"/>
    <mergeCell ref="H7:H10"/>
    <mergeCell ref="K8:K10"/>
    <mergeCell ref="I7:J7"/>
    <mergeCell ref="AU7:BN9"/>
    <mergeCell ref="AR7:AR10"/>
    <mergeCell ref="AS7:AS10"/>
    <mergeCell ref="AT7:AT10"/>
    <mergeCell ref="W8:X8"/>
    <mergeCell ref="K7:L7"/>
    <mergeCell ref="J8:J10"/>
    <mergeCell ref="W24:X24"/>
    <mergeCell ref="W32:X32"/>
    <mergeCell ref="W40:X40"/>
    <mergeCell ref="R15:R16"/>
    <mergeCell ref="S15:S16"/>
    <mergeCell ref="W16:X16"/>
    <mergeCell ref="F50:G50"/>
    <mergeCell ref="F51:G51"/>
    <mergeCell ref="BO35:BO36"/>
    <mergeCell ref="F46:G46"/>
    <mergeCell ref="F47:G47"/>
    <mergeCell ref="F48:G48"/>
    <mergeCell ref="F49:G49"/>
  </mergeCells>
  <phoneticPr fontId="5" type="noConversion"/>
  <conditionalFormatting sqref="AU46:BN46">
    <cfRule type="colorScale" priority="6">
      <colorScale>
        <cfvo type="min"/>
        <cfvo type="max"/>
        <color rgb="FF63BE7B"/>
        <color rgb="FFFFEF9C"/>
      </colorScale>
    </cfRule>
  </conditionalFormatting>
  <conditionalFormatting sqref="AU47:BN47">
    <cfRule type="colorScale" priority="5">
      <colorScale>
        <cfvo type="min"/>
        <cfvo type="max"/>
        <color rgb="FF63BE7B"/>
        <color rgb="FFFFEF9C"/>
      </colorScale>
    </cfRule>
  </conditionalFormatting>
  <dataValidations count="5">
    <dataValidation type="list" allowBlank="1" showInputMessage="1" showErrorMessage="1" sqref="B49 AS49" xr:uid="{9D9D18C3-6035-4FE1-B54F-9BEDC6B81DF6}">
      <formula1>"230, 400"</formula1>
    </dataValidation>
    <dataValidation type="list" allowBlank="1" showInputMessage="1" showErrorMessage="1" sqref="O8" xr:uid="{6360A1A5-17D9-483D-A90D-1E5E81908293}">
      <formula1>"Electric Panels, Heat Pump, Gas"</formula1>
    </dataValidation>
    <dataValidation type="list" allowBlank="1" showInputMessage="1" showErrorMessage="1" sqref="AT40:AT43 AT12:AT22 AT24:AT37" xr:uid="{85BE5B15-A9E2-49CA-AE7D-7475092B986A}">
      <formula1>"Profile 1, Profile 2, Profile 3, Profile 4, Profile 5, Profile 6"</formula1>
    </dataValidation>
    <dataValidation type="list" allowBlank="1" showInputMessage="1" showErrorMessage="1" sqref="R7" xr:uid="{04628642-F47E-4D0B-8FB7-E33E017A91DA}">
      <formula1>"Instantaneous, Tank/Buffer Immersion"</formula1>
    </dataValidation>
    <dataValidation type="list" allowBlank="1" showInputMessage="1" showErrorMessage="1" sqref="W8:X8 W16:X16 W24:X24 W32:X32 W40:X40" xr:uid="{18A47464-AC37-481C-B6ED-7ED26191B91F}">
      <formula1>$S$59:$S$68</formula1>
    </dataValidation>
  </dataValidations>
  <pageMargins left="0.25" right="0.25" top="0.75" bottom="0.75" header="0.3" footer="0.3"/>
  <pageSetup paperSize="8" scale="59" fitToWidth="0" orientation="landscape" r:id="rId1"/>
  <headerFooter>
    <oddFooter>&amp;CPage &amp;P of &amp;N&amp;R&amp;8© Henry Metcalfe, 2024</oddFooter>
  </headerFooter>
  <colBreaks count="2" manualBreakCount="2">
    <brk id="19" max="55" man="1"/>
    <brk id="43" max="55" man="1"/>
  </colBreaks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B5232A9-B0F1-4003-8D30-09B055E2EF32}">
          <x14:formula1>
            <xm:f>DD!$AE$3:$AE$14</xm:f>
          </x14:formula1>
          <xm:sqref>BO35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43EDF-D3EA-455C-9EEF-460B85B9C453}">
  <sheetPr>
    <tabColor theme="6"/>
  </sheetPr>
  <dimension ref="A1:BA68"/>
  <sheetViews>
    <sheetView view="pageBreakPreview" zoomScale="63" zoomScaleNormal="85" zoomScaleSheetLayoutView="100" zoomScalePageLayoutView="70" workbookViewId="0">
      <selection activeCell="B1" sqref="B1"/>
    </sheetView>
  </sheetViews>
  <sheetFormatPr defaultRowHeight="14.4"/>
  <cols>
    <col min="1" max="1" width="24.6640625" style="31" bestFit="1" customWidth="1"/>
    <col min="2" max="2" width="10" style="31" bestFit="1" customWidth="1"/>
    <col min="3" max="14" width="8.88671875" style="31"/>
    <col min="19" max="19" width="24.6640625" bestFit="1" customWidth="1"/>
    <col min="20" max="20" width="10" bestFit="1" customWidth="1"/>
    <col min="31" max="31" width="10.109375" bestFit="1" customWidth="1"/>
  </cols>
  <sheetData>
    <row r="1" spans="1:53" ht="15" thickBot="1">
      <c r="A1" s="253" t="s">
        <v>258</v>
      </c>
      <c r="B1" s="318"/>
      <c r="C1" s="269" t="s">
        <v>3</v>
      </c>
      <c r="D1"/>
      <c r="E1"/>
      <c r="F1"/>
      <c r="G1"/>
      <c r="H1"/>
      <c r="I1"/>
      <c r="J1"/>
      <c r="K1"/>
      <c r="L1"/>
      <c r="M1"/>
    </row>
    <row r="2" spans="1:53" ht="15" thickBot="1">
      <c r="A2" s="265" t="s">
        <v>261</v>
      </c>
      <c r="B2" s="318">
        <v>3.5</v>
      </c>
      <c r="C2" s="266"/>
      <c r="D2" t="s">
        <v>287</v>
      </c>
      <c r="E2"/>
      <c r="F2"/>
      <c r="G2"/>
      <c r="H2"/>
      <c r="I2"/>
      <c r="J2"/>
      <c r="K2"/>
      <c r="L2"/>
      <c r="M2"/>
      <c r="AE2" s="41"/>
      <c r="AF2" s="181"/>
      <c r="AG2" s="192">
        <v>0.20833333333333334</v>
      </c>
      <c r="AH2" s="192">
        <v>0.25</v>
      </c>
      <c r="AI2" s="192">
        <v>0.29166666666666702</v>
      </c>
      <c r="AJ2" s="192">
        <v>0.33333333333333298</v>
      </c>
      <c r="AK2" s="192">
        <v>0.375</v>
      </c>
      <c r="AL2" s="192">
        <v>0.41666666666666702</v>
      </c>
      <c r="AM2" s="192">
        <v>0.45833333333333298</v>
      </c>
      <c r="AN2" s="192">
        <v>0.5</v>
      </c>
      <c r="AO2" s="192">
        <v>0.54166666666666696</v>
      </c>
      <c r="AP2" s="192">
        <v>0.58333333333333304</v>
      </c>
      <c r="AQ2" s="192">
        <v>0.625</v>
      </c>
      <c r="AR2" s="192">
        <v>0.66666666666666696</v>
      </c>
      <c r="AS2" s="192">
        <v>0.70833333333333304</v>
      </c>
      <c r="AT2" s="192">
        <v>0.75</v>
      </c>
      <c r="AU2" s="192">
        <v>0.79166666666666696</v>
      </c>
      <c r="AV2" s="192">
        <v>0.83333333333333304</v>
      </c>
      <c r="AW2" s="192">
        <v>0.875</v>
      </c>
      <c r="AX2" s="192">
        <v>0.91666666666666696</v>
      </c>
      <c r="AY2" s="192">
        <v>0.95833333333333304</v>
      </c>
      <c r="AZ2" s="193">
        <v>1</v>
      </c>
      <c r="BA2" s="193" t="s">
        <v>285</v>
      </c>
    </row>
    <row r="3" spans="1:53" ht="15" thickBot="1">
      <c r="A3" s="255" t="s">
        <v>279</v>
      </c>
      <c r="B3" s="268">
        <f>B1/B2</f>
        <v>0</v>
      </c>
      <c r="C3" s="216" t="s">
        <v>3</v>
      </c>
      <c r="D3"/>
      <c r="E3"/>
      <c r="F3"/>
      <c r="G3"/>
      <c r="H3"/>
      <c r="I3"/>
      <c r="J3"/>
      <c r="K3"/>
      <c r="L3"/>
      <c r="M3"/>
      <c r="AE3" s="42" t="s">
        <v>183</v>
      </c>
      <c r="AF3" t="s">
        <v>281</v>
      </c>
      <c r="AG3" s="36">
        <f>IF(AMD!$AT$35="Profile 1",AMD!V$10*$B$20,IF(AMD!$AT$35="Profile 2",AMD!V$18*$B$20,IF(AMD!$AT$35="Profile 3",AMD!V$26*$B$20,IF(AMD!$AT$35="Profile 4",AMD!V$34*$B$20,IF(AMD!$AT$35="Profile 5",AMD!V$42*$B$20,IF(AMD!$AT$35="Profile 6",AMD!V$50*$B$20,0))))))</f>
        <v>0</v>
      </c>
      <c r="AH3" s="36">
        <f>IF(AMD!$AT$35="Profile 1",AMD!W$10*$B$20,IF(AMD!$AT$35="Profile 2",AMD!W$18*$B$20,IF(AMD!$AT$35="Profile 3",AMD!W$26*$B$20,IF(AMD!$AT$35="Profile 4",AMD!W$34*$B$20,IF(AMD!$AT$35="Profile 5",AMD!W$42*$B$20,IF(AMD!$AT$35="Profile 6",AMD!W$50*$B$20,0))))))</f>
        <v>0</v>
      </c>
      <c r="AI3" s="36">
        <f>IF(AMD!$AT$35="Profile 1",AMD!X$10*$B$20,IF(AMD!$AT$35="Profile 2",AMD!X$18*$B$20,IF(AMD!$AT$35="Profile 3",AMD!X$26*$B$20,IF(AMD!$AT$35="Profile 4",AMD!X$34*$B$20,IF(AMD!$AT$35="Profile 5",AMD!X$42*$B$20,IF(AMD!$AT$35="Profile 6",AMD!X$50*$B$20,0))))))</f>
        <v>0</v>
      </c>
      <c r="AJ3" s="36">
        <f>IF(AMD!$AT$35="Profile 1",AMD!Y$10*$B$20,IF(AMD!$AT$35="Profile 2",AMD!Y$18*$B$20,IF(AMD!$AT$35="Profile 3",AMD!Y$26*$B$20,IF(AMD!$AT$35="Profile 4",AMD!Y$34*$B$20,IF(AMD!$AT$35="Profile 5",AMD!Y$42*$B$20,IF(AMD!$AT$35="Profile 6",AMD!Y$50*$B$20,0))))))</f>
        <v>0</v>
      </c>
      <c r="AK3" s="36">
        <f>IF(AMD!$AT$35="Profile 1",AMD!Z$10*$B$20,IF(AMD!$AT$35="Profile 2",AMD!Z$18*$B$20,IF(AMD!$AT$35="Profile 3",AMD!Z$26*$B$20,IF(AMD!$AT$35="Profile 4",AMD!Z$34*$B$20,IF(AMD!$AT$35="Profile 5",AMD!Z$42*$B$20,IF(AMD!$AT$35="Profile 6",AMD!Z$50*$B$20,0))))))</f>
        <v>0</v>
      </c>
      <c r="AL3" s="36">
        <f>IF(AMD!$AT$35="Profile 1",AMD!AA$10*$B$20,IF(AMD!$AT$35="Profile 2",AMD!AA$18*$B$20,IF(AMD!$AT$35="Profile 3",AMD!AA$26*$B$20,IF(AMD!$AT$35="Profile 4",AMD!AA$34*$B$20,IF(AMD!$AT$35="Profile 5",AMD!AA$42*$B$20,IF(AMD!$AT$35="Profile 6",AMD!AA$50*$B$20,0))))))</f>
        <v>0</v>
      </c>
      <c r="AM3" s="36">
        <f>IF(AMD!$AT$35="Profile 1",AMD!AB$10*$B$20,IF(AMD!$AT$35="Profile 2",AMD!AB$18*$B$20,IF(AMD!$AT$35="Profile 3",AMD!AB$26*$B$20,IF(AMD!$AT$35="Profile 4",AMD!AB$34*$B$20,IF(AMD!$AT$35="Profile 5",AMD!AB$42*$B$20,IF(AMD!$AT$35="Profile 6",AMD!AB$50*$B$20,0))))))</f>
        <v>0</v>
      </c>
      <c r="AN3" s="36">
        <f>IF(AMD!$AT$35="Profile 1",AMD!AC$10*$B$20,IF(AMD!$AT$35="Profile 2",AMD!AC$18*$B$20,IF(AMD!$AT$35="Profile 3",AMD!AC$26*$B$20,IF(AMD!$AT$35="Profile 4",AMD!AC$34*$B$20,IF(AMD!$AT$35="Profile 5",AMD!AC$42*$B$20,IF(AMD!$AT$35="Profile 6",AMD!AC$50*$B$20,0))))))</f>
        <v>0</v>
      </c>
      <c r="AO3" s="36">
        <f>IF(AMD!$AT$35="Profile 1",AMD!AD$10*$B$20,IF(AMD!$AT$35="Profile 2",AMD!AD$18*$B$20,IF(AMD!$AT$35="Profile 3",AMD!AD$26*$B$20,IF(AMD!$AT$35="Profile 4",AMD!AD$34*$B$20,IF(AMD!$AT$35="Profile 5",AMD!AD$42*$B$20,IF(AMD!$AT$35="Profile 6",AMD!AD$50*$B$20,0))))))</f>
        <v>0</v>
      </c>
      <c r="AP3" s="36">
        <f>IF(AMD!$AT$35="Profile 1",AMD!AE$10*$B$20,IF(AMD!$AT$35="Profile 2",AMD!AE$18*$B$20,IF(AMD!$AT$35="Profile 3",AMD!AE$26*$B$20,IF(AMD!$AT$35="Profile 4",AMD!AE$34*$B$20,IF(AMD!$AT$35="Profile 5",AMD!AE$42*$B$20,IF(AMD!$AT$35="Profile 6",AMD!AE$50*$B$20,0))))))</f>
        <v>0</v>
      </c>
      <c r="AQ3" s="36">
        <f>IF(AMD!$AT$35="Profile 1",AMD!AF$10*$B$20,IF(AMD!$AT$35="Profile 2",AMD!AF$18*$B$20,IF(AMD!$AT$35="Profile 3",AMD!AF$26*$B$20,IF(AMD!$AT$35="Profile 4",AMD!AF$34*$B$20,IF(AMD!$AT$35="Profile 5",AMD!AF$42*$B$20,IF(AMD!$AT$35="Profile 6",AMD!AF$50*$B$20,0))))))</f>
        <v>0</v>
      </c>
      <c r="AR3" s="36">
        <f>IF(AMD!$AT$35="Profile 1",AMD!AG$10*$B$20,IF(AMD!$AT$35="Profile 2",AMD!AG$18*$B$20,IF(AMD!$AT$35="Profile 3",AMD!AG$26*$B$20,IF(AMD!$AT$35="Profile 4",AMD!AG$34*$B$20,IF(AMD!$AT$35="Profile 5",AMD!AG$42*$B$20,IF(AMD!$AT$35="Profile 6",AMD!AG$50*$B$20,0))))))</f>
        <v>0</v>
      </c>
      <c r="AS3" s="36">
        <f>IF(AMD!$AT$35="Profile 1",AMD!AH$10*$B$20,IF(AMD!$AT$35="Profile 2",AMD!AH$18*$B$20,IF(AMD!$AT$35="Profile 3",AMD!AH$26*$B$20,IF(AMD!$AT$35="Profile 4",AMD!AH$34*$B$20,IF(AMD!$AT$35="Profile 5",AMD!AH$42*$B$20,IF(AMD!$AT$35="Profile 6",AMD!AH$50*$B$20,0))))))</f>
        <v>0</v>
      </c>
      <c r="AT3" s="36">
        <f>IF(AMD!$AT$35="Profile 1",AMD!AI$10*$B$20,IF(AMD!$AT$35="Profile 2",AMD!AI$18*$B$20,IF(AMD!$AT$35="Profile 3",AMD!AI$26*$B$20,IF(AMD!$AT$35="Profile 4",AMD!AI$34*$B$20,IF(AMD!$AT$35="Profile 5",AMD!AI$42*$B$20,IF(AMD!$AT$35="Profile 6",AMD!AI$50*$B$20,0))))))</f>
        <v>0</v>
      </c>
      <c r="AU3" s="36">
        <f>IF(AMD!$AT$35="Profile 1",AMD!AJ$10*$B$20,IF(AMD!$AT$35="Profile 2",AMD!AJ$18*$B$20,IF(AMD!$AT$35="Profile 3",AMD!AJ$26*$B$20,IF(AMD!$AT$35="Profile 4",AMD!AJ$34*$B$20,IF(AMD!$AT$35="Profile 5",AMD!AJ$42*$B$20,IF(AMD!$AT$35="Profile 6",AMD!AJ$50*$B$20,0))))))</f>
        <v>0</v>
      </c>
      <c r="AV3" s="36">
        <f>IF(AMD!$AT$35="Profile 1",AMD!AK$10*$B$20,IF(AMD!$AT$35="Profile 2",AMD!AK$18*$B$20,IF(AMD!$AT$35="Profile 3",AMD!AK$26*$B$20,IF(AMD!$AT$35="Profile 4",AMD!AK$34*$B$20,IF(AMD!$AT$35="Profile 5",AMD!AK$42*$B$20,IF(AMD!$AT$35="Profile 6",AMD!AK$50*$B$20,0))))))</f>
        <v>0</v>
      </c>
      <c r="AW3" s="36">
        <f>IF(AMD!$AT$35="Profile 1",AMD!AL$10*$B$20,IF(AMD!$AT$35="Profile 2",AMD!AL$18*$B$20,IF(AMD!$AT$35="Profile 3",AMD!AL$26*$B$20,IF(AMD!$AT$35="Profile 4",AMD!AL$34*$B$20,IF(AMD!$AT$35="Profile 5",AMD!AL$42*$B$20,IF(AMD!$AT$35="Profile 6",AMD!AL$50*$B$20,0))))))</f>
        <v>0</v>
      </c>
      <c r="AX3" s="36">
        <f>IF(AMD!$AT$35="Profile 1",AMD!AM$10*$B$20,IF(AMD!$AT$35="Profile 2",AMD!AM$18*$B$20,IF(AMD!$AT$35="Profile 3",AMD!AM$26*$B$20,IF(AMD!$AT$35="Profile 4",AMD!AM$34*$B$20,IF(AMD!$AT$35="Profile 5",AMD!AM$42*$B$20,IF(AMD!$AT$35="Profile 6",AMD!AM$50*$B$20,0))))))</f>
        <v>0</v>
      </c>
      <c r="AY3" s="36">
        <f>IF(AMD!$AT$35="Profile 1",AMD!AN$10*$B$20,IF(AMD!$AT$35="Profile 2",AMD!AN$18*$B$20,IF(AMD!$AT$35="Profile 3",AMD!AN$26*$B$20,IF(AMD!$AT$35="Profile 4",AMD!AN$34*$B$20,IF(AMD!$AT$35="Profile 5",AMD!AN$42*$B$20,IF(AMD!$AT$35="Profile 6",AMD!AN$50*$B$20,0))))))</f>
        <v>0</v>
      </c>
      <c r="AZ3" s="36">
        <f>IF(AMD!$AT$35="Profile 1",AMD!AO$10*$B$20,IF(AMD!$AT$35="Profile 2",AMD!AO$18*$B$20,IF(AMD!$AT$35="Profile 3",AMD!AO$26*$B$20,IF(AMD!$AT$35="Profile 4",AMD!AO$34*$B$20,IF(AMD!$AT$35="Profile 5",AMD!AO$42*$B$20,IF(AMD!$AT$35="Profile 6",AMD!AO$50*$B$20,0))))))</f>
        <v>0</v>
      </c>
      <c r="BA3" s="90">
        <f>MAX(AG3:AZ3)</f>
        <v>0</v>
      </c>
    </row>
    <row r="4" spans="1:53" ht="15" thickBot="1">
      <c r="A4" s="265" t="s">
        <v>264</v>
      </c>
      <c r="B4" s="318"/>
      <c r="C4" s="266" t="s">
        <v>3</v>
      </c>
      <c r="D4"/>
      <c r="E4"/>
      <c r="F4"/>
      <c r="G4"/>
      <c r="H4"/>
      <c r="I4"/>
      <c r="J4"/>
      <c r="K4"/>
      <c r="L4"/>
      <c r="M4"/>
      <c r="AE4" s="42" t="s">
        <v>184</v>
      </c>
      <c r="AF4" t="s">
        <v>281</v>
      </c>
      <c r="AG4" s="36">
        <f>IF(AMD!$AT$35="Profile 1",AMD!V$10*$C$20,IF(AMD!$AT$35="Profile 2",AMD!V$18*$C$20,IF(AMD!$AT$35="Profile 3",AMD!V$26*$C$20,IF(AMD!$AT$35="Profile 4",AMD!V$34*$C$20,IF(AMD!$AT$35="Profile 5",AMD!V$42*$C$20,IF(AMD!$AT$35="Profile 6",AMD!V$50*$C$20,0))))))</f>
        <v>0</v>
      </c>
      <c r="AH4" s="36">
        <f>IF(AMD!$AT$35="Profile 1",AMD!W$10*$C$20,IF(AMD!$AT$35="Profile 2",AMD!W$18*$C$20,IF(AMD!$AT$35="Profile 3",AMD!W$26*$C$20,IF(AMD!$AT$35="Profile 4",AMD!W$34*$C$20,IF(AMD!$AT$35="Profile 5",AMD!W$42*$C$20,IF(AMD!$AT$35="Profile 6",AMD!W$50*$C$20,0))))))</f>
        <v>0</v>
      </c>
      <c r="AI4" s="36">
        <f>IF(AMD!$AT$35="Profile 1",AMD!X$10*$C$20,IF(AMD!$AT$35="Profile 2",AMD!X$18*$C$20,IF(AMD!$AT$35="Profile 3",AMD!X$26*$C$20,IF(AMD!$AT$35="Profile 4",AMD!X$34*$C$20,IF(AMD!$AT$35="Profile 5",AMD!X$42*$C$20,IF(AMD!$AT$35="Profile 6",AMD!X$50*$C$20,0))))))</f>
        <v>0</v>
      </c>
      <c r="AJ4" s="36">
        <f>IF(AMD!$AT$35="Profile 1",AMD!Y$10*$C$20,IF(AMD!$AT$35="Profile 2",AMD!Y$18*$C$20,IF(AMD!$AT$35="Profile 3",AMD!Y$26*$C$20,IF(AMD!$AT$35="Profile 4",AMD!Y$34*$C$20,IF(AMD!$AT$35="Profile 5",AMD!Y$42*$C$20,IF(AMD!$AT$35="Profile 6",AMD!Y$50*$C$20,0))))))</f>
        <v>0</v>
      </c>
      <c r="AK4" s="36">
        <f>IF(AMD!$AT$35="Profile 1",AMD!Z$10*$C$20,IF(AMD!$AT$35="Profile 2",AMD!Z$18*$C$20,IF(AMD!$AT$35="Profile 3",AMD!Z$26*$C$20,IF(AMD!$AT$35="Profile 4",AMD!Z$34*$C$20,IF(AMD!$AT$35="Profile 5",AMD!Z$42*$C$20,IF(AMD!$AT$35="Profile 6",AMD!Z$50*$C$20,0))))))</f>
        <v>0</v>
      </c>
      <c r="AL4" s="36">
        <f>IF(AMD!$AT$35="Profile 1",AMD!AA$10*$C$20,IF(AMD!$AT$35="Profile 2",AMD!AA$18*$C$20,IF(AMD!$AT$35="Profile 3",AMD!AA$26*$C$20,IF(AMD!$AT$35="Profile 4",AMD!AA$34*$C$20,IF(AMD!$AT$35="Profile 5",AMD!AA$42*$C$20,IF(AMD!$AT$35="Profile 6",AMD!AA$50*$C$20,0))))))</f>
        <v>0</v>
      </c>
      <c r="AM4" s="36">
        <f>IF(AMD!$AT$35="Profile 1",AMD!AB$10*$C$20,IF(AMD!$AT$35="Profile 2",AMD!AB$18*$C$20,IF(AMD!$AT$35="Profile 3",AMD!AB$26*$C$20,IF(AMD!$AT$35="Profile 4",AMD!AB$34*$C$20,IF(AMD!$AT$35="Profile 5",AMD!AB$42*$C$20,IF(AMD!$AT$35="Profile 6",AMD!AB$50*$C$20,0))))))</f>
        <v>0</v>
      </c>
      <c r="AN4" s="36">
        <f>IF(AMD!$AT$35="Profile 1",AMD!AC$10*$C$20,IF(AMD!$AT$35="Profile 2",AMD!AC$18*$C$20,IF(AMD!$AT$35="Profile 3",AMD!AC$26*$C$20,IF(AMD!$AT$35="Profile 4",AMD!AC$34*$C$20,IF(AMD!$AT$35="Profile 5",AMD!AC$42*$C$20,IF(AMD!$AT$35="Profile 6",AMD!AC$50*$C$20,0))))))</f>
        <v>0</v>
      </c>
      <c r="AO4" s="36">
        <f>IF(AMD!$AT$35="Profile 1",AMD!AD$10*$C$20,IF(AMD!$AT$35="Profile 2",AMD!AD$18*$C$20,IF(AMD!$AT$35="Profile 3",AMD!AD$26*$C$20,IF(AMD!$AT$35="Profile 4",AMD!AD$34*$C$20,IF(AMD!$AT$35="Profile 5",AMD!AD$42*$C$20,IF(AMD!$AT$35="Profile 6",AMD!AD$50*$C$20,0))))))</f>
        <v>0</v>
      </c>
      <c r="AP4" s="36">
        <f>IF(AMD!$AT$35="Profile 1",AMD!AE$10*$C$20,IF(AMD!$AT$35="Profile 2",AMD!AE$18*$C$20,IF(AMD!$AT$35="Profile 3",AMD!AE$26*$C$20,IF(AMD!$AT$35="Profile 4",AMD!AE$34*$C$20,IF(AMD!$AT$35="Profile 5",AMD!AE$42*$C$20,IF(AMD!$AT$35="Profile 6",AMD!AE$50*$C$20,0))))))</f>
        <v>0</v>
      </c>
      <c r="AQ4" s="36">
        <f>IF(AMD!$AT$35="Profile 1",AMD!AF$10*$C$20,IF(AMD!$AT$35="Profile 2",AMD!AF$18*$C$20,IF(AMD!$AT$35="Profile 3",AMD!AF$26*$C$20,IF(AMD!$AT$35="Profile 4",AMD!AF$34*$C$20,IF(AMD!$AT$35="Profile 5",AMD!AF$42*$C$20,IF(AMD!$AT$35="Profile 6",AMD!AF$50*$C$20,0))))))</f>
        <v>0</v>
      </c>
      <c r="AR4" s="36">
        <f>IF(AMD!$AT$35="Profile 1",AMD!AG$10*$C$20,IF(AMD!$AT$35="Profile 2",AMD!AG$18*$C$20,IF(AMD!$AT$35="Profile 3",AMD!AG$26*$C$20,IF(AMD!$AT$35="Profile 4",AMD!AG$34*$C$20,IF(AMD!$AT$35="Profile 5",AMD!AG$42*$C$20,IF(AMD!$AT$35="Profile 6",AMD!AG$50*$C$20,0))))))</f>
        <v>0</v>
      </c>
      <c r="AS4" s="36">
        <f>IF(AMD!$AT$35="Profile 1",AMD!AH$10*$C$20,IF(AMD!$AT$35="Profile 2",AMD!AH$18*$C$20,IF(AMD!$AT$35="Profile 3",AMD!AH$26*$C$20,IF(AMD!$AT$35="Profile 4",AMD!AH$34*$C$20,IF(AMD!$AT$35="Profile 5",AMD!AH$42*$C$20,IF(AMD!$AT$35="Profile 6",AMD!AH$50*$C$20,0))))))</f>
        <v>0</v>
      </c>
      <c r="AT4" s="36">
        <f>IF(AMD!$AT$35="Profile 1",AMD!AI$10*$C$20,IF(AMD!$AT$35="Profile 2",AMD!AI$18*$C$20,IF(AMD!$AT$35="Profile 3",AMD!AI$26*$C$20,IF(AMD!$AT$35="Profile 4",AMD!AI$34*$C$20,IF(AMD!$AT$35="Profile 5",AMD!AI$42*$C$20,IF(AMD!$AT$35="Profile 6",AMD!AI$50*$C$20,0))))))</f>
        <v>0</v>
      </c>
      <c r="AU4" s="36">
        <f>IF(AMD!$AT$35="Profile 1",AMD!AJ$10*$C$20,IF(AMD!$AT$35="Profile 2",AMD!AJ$18*$C$20,IF(AMD!$AT$35="Profile 3",AMD!AJ$26*$C$20,IF(AMD!$AT$35="Profile 4",AMD!AJ$34*$C$20,IF(AMD!$AT$35="Profile 5",AMD!AJ$42*$C$20,IF(AMD!$AT$35="Profile 6",AMD!AJ$50*$C$20,0))))))</f>
        <v>0</v>
      </c>
      <c r="AV4" s="36">
        <f>IF(AMD!$AT$35="Profile 1",AMD!AK$10*$C$20,IF(AMD!$AT$35="Profile 2",AMD!AK$18*$C$20,IF(AMD!$AT$35="Profile 3",AMD!AK$26*$C$20,IF(AMD!$AT$35="Profile 4",AMD!AK$34*$C$20,IF(AMD!$AT$35="Profile 5",AMD!AK$42*$C$20,IF(AMD!$AT$35="Profile 6",AMD!AK$50*$C$20,0))))))</f>
        <v>0</v>
      </c>
      <c r="AW4" s="36">
        <f>IF(AMD!$AT$35="Profile 1",AMD!AL$10*$C$20,IF(AMD!$AT$35="Profile 2",AMD!AL$18*$C$20,IF(AMD!$AT$35="Profile 3",AMD!AL$26*$C$20,IF(AMD!$AT$35="Profile 4",AMD!AL$34*$C$20,IF(AMD!$AT$35="Profile 5",AMD!AL$42*$C$20,IF(AMD!$AT$35="Profile 6",AMD!AL$50*$C$20,0))))))</f>
        <v>0</v>
      </c>
      <c r="AX4" s="36">
        <f>IF(AMD!$AT$35="Profile 1",AMD!AM$10*$C$20,IF(AMD!$AT$35="Profile 2",AMD!AM$18*$C$20,IF(AMD!$AT$35="Profile 3",AMD!AM$26*$C$20,IF(AMD!$AT$35="Profile 4",AMD!AM$34*$C$20,IF(AMD!$AT$35="Profile 5",AMD!AM$42*$C$20,IF(AMD!$AT$35="Profile 6",AMD!AM$50*$C$20,0))))))</f>
        <v>0</v>
      </c>
      <c r="AY4" s="36">
        <f>IF(AMD!$AT$35="Profile 1",AMD!AN$10*$C$20,IF(AMD!$AT$35="Profile 2",AMD!AN$18*$C$20,IF(AMD!$AT$35="Profile 3",AMD!AN$26*$C$20,IF(AMD!$AT$35="Profile 4",AMD!AN$34*$C$20,IF(AMD!$AT$35="Profile 5",AMD!AN$42*$C$20,IF(AMD!$AT$35="Profile 6",AMD!AN$50*$C$20,0))))))</f>
        <v>0</v>
      </c>
      <c r="AZ4" s="36">
        <f>IF(AMD!$AT$35="Profile 1",AMD!AO$10*$C$20,IF(AMD!$AT$35="Profile 2",AMD!AO$18*$C$20,IF(AMD!$AT$35="Profile 3",AMD!AO$26*$C$20,IF(AMD!$AT$35="Profile 4",AMD!AO$34*$C$20,IF(AMD!$AT$35="Profile 5",AMD!AO$42*$C$20,IF(AMD!$AT$35="Profile 6",AMD!AO$50*$C$20,0))))))</f>
        <v>0</v>
      </c>
      <c r="BA4" s="90">
        <f t="shared" ref="BA4:BA26" si="0">MAX(AG4:AZ4)</f>
        <v>0</v>
      </c>
    </row>
    <row r="5" spans="1:53" ht="15" thickBot="1">
      <c r="A5" s="265" t="s">
        <v>261</v>
      </c>
      <c r="B5" s="318">
        <v>3.5</v>
      </c>
      <c r="C5" s="266"/>
      <c r="D5"/>
      <c r="E5"/>
      <c r="F5"/>
      <c r="G5"/>
      <c r="H5"/>
      <c r="I5"/>
      <c r="J5"/>
      <c r="K5"/>
      <c r="L5"/>
      <c r="M5"/>
      <c r="AE5" s="42" t="s">
        <v>185</v>
      </c>
      <c r="AF5" t="s">
        <v>281</v>
      </c>
      <c r="AG5" s="36">
        <f>IF(AMD!$AT$35="Profile 1",AMD!V$10*$D$20,IF(AMD!$AT$35="Profile 2",AMD!V$18*$D$20,IF(AMD!$AT$35="Profile 3",AMD!V$26*$D$20,IF(AMD!$AT$35="Profile 4",AMD!V$34*$D$20,IF(AMD!$AT$35="Profile 5",AMD!V$42*$D$20,IF(AMD!$AT$35="Profile 6",AMD!V$50*$D$20,0))))))</f>
        <v>0</v>
      </c>
      <c r="AH5" s="36">
        <f>IF(AMD!$AT$35="Profile 1",AMD!W$10*$D$20,IF(AMD!$AT$35="Profile 2",AMD!W$18*$D$20,IF(AMD!$AT$35="Profile 3",AMD!W$26*$D$20,IF(AMD!$AT$35="Profile 4",AMD!W$34*$D$20,IF(AMD!$AT$35="Profile 5",AMD!W$42*$D$20,IF(AMD!$AT$35="Profile 6",AMD!W$50*$D$20,0))))))</f>
        <v>0</v>
      </c>
      <c r="AI5" s="36">
        <f>IF(AMD!$AT$35="Profile 1",AMD!X$10*$D$20,IF(AMD!$AT$35="Profile 2",AMD!X$18*$D$20,IF(AMD!$AT$35="Profile 3",AMD!X$26*$D$20,IF(AMD!$AT$35="Profile 4",AMD!X$34*$D$20,IF(AMD!$AT$35="Profile 5",AMD!X$42*$D$20,IF(AMD!$AT$35="Profile 6",AMD!X$50*$D$20,0))))))</f>
        <v>0</v>
      </c>
      <c r="AJ5" s="36">
        <f>IF(AMD!$AT$35="Profile 1",AMD!Y$10*$D$20,IF(AMD!$AT$35="Profile 2",AMD!Y$18*$D$20,IF(AMD!$AT$35="Profile 3",AMD!Y$26*$D$20,IF(AMD!$AT$35="Profile 4",AMD!Y$34*$D$20,IF(AMD!$AT$35="Profile 5",AMD!Y$42*$D$20,IF(AMD!$AT$35="Profile 6",AMD!Y$50*$D$20,0))))))</f>
        <v>0</v>
      </c>
      <c r="AK5" s="36">
        <f>IF(AMD!$AT$35="Profile 1",AMD!Z$10*$D$20,IF(AMD!$AT$35="Profile 2",AMD!Z$18*$D$20,IF(AMD!$AT$35="Profile 3",AMD!Z$26*$D$20,IF(AMD!$AT$35="Profile 4",AMD!Z$34*$D$20,IF(AMD!$AT$35="Profile 5",AMD!Z$42*$D$20,IF(AMD!$AT$35="Profile 6",AMD!Z$50*$D$20,0))))))</f>
        <v>0</v>
      </c>
      <c r="AL5" s="36">
        <f>IF(AMD!$AT$35="Profile 1",AMD!AA$10*$D$20,IF(AMD!$AT$35="Profile 2",AMD!AA$18*$D$20,IF(AMD!$AT$35="Profile 3",AMD!AA$26*$D$20,IF(AMD!$AT$35="Profile 4",AMD!AA$34*$D$20,IF(AMD!$AT$35="Profile 5",AMD!AA$42*$D$20,IF(AMD!$AT$35="Profile 6",AMD!AA$50*$D$20,0))))))</f>
        <v>0</v>
      </c>
      <c r="AM5" s="36">
        <f>IF(AMD!$AT$35="Profile 1",AMD!AB$10*$D$20,IF(AMD!$AT$35="Profile 2",AMD!AB$18*$D$20,IF(AMD!$AT$35="Profile 3",AMD!AB$26*$D$20,IF(AMD!$AT$35="Profile 4",AMD!AB$34*$D$20,IF(AMD!$AT$35="Profile 5",AMD!AB$42*$D$20,IF(AMD!$AT$35="Profile 6",AMD!AB$50*$D$20,0))))))</f>
        <v>0</v>
      </c>
      <c r="AN5" s="36">
        <f>IF(AMD!$AT$35="Profile 1",AMD!AC$10*$D$20,IF(AMD!$AT$35="Profile 2",AMD!AC$18*$D$20,IF(AMD!$AT$35="Profile 3",AMD!AC$26*$D$20,IF(AMD!$AT$35="Profile 4",AMD!AC$34*$D$20,IF(AMD!$AT$35="Profile 5",AMD!AC$42*$D$20,IF(AMD!$AT$35="Profile 6",AMD!AC$50*$D$20,0))))))</f>
        <v>0</v>
      </c>
      <c r="AO5" s="36">
        <f>IF(AMD!$AT$35="Profile 1",AMD!AD$10*$D$20,IF(AMD!$AT$35="Profile 2",AMD!AD$18*$D$20,IF(AMD!$AT$35="Profile 3",AMD!AD$26*$D$20,IF(AMD!$AT$35="Profile 4",AMD!AD$34*$D$20,IF(AMD!$AT$35="Profile 5",AMD!AD$42*$D$20,IF(AMD!$AT$35="Profile 6",AMD!AD$50*$D$20,0))))))</f>
        <v>0</v>
      </c>
      <c r="AP5" s="36">
        <f>IF(AMD!$AT$35="Profile 1",AMD!AE$10*$D$20,IF(AMD!$AT$35="Profile 2",AMD!AE$18*$D$20,IF(AMD!$AT$35="Profile 3",AMD!AE$26*$D$20,IF(AMD!$AT$35="Profile 4",AMD!AE$34*$D$20,IF(AMD!$AT$35="Profile 5",AMD!AE$42*$D$20,IF(AMD!$AT$35="Profile 6",AMD!AE$50*$D$20,0))))))</f>
        <v>0</v>
      </c>
      <c r="AQ5" s="36">
        <f>IF(AMD!$AT$35="Profile 1",AMD!AF$10*$D$20,IF(AMD!$AT$35="Profile 2",AMD!AF$18*$D$20,IF(AMD!$AT$35="Profile 3",AMD!AF$26*$D$20,IF(AMD!$AT$35="Profile 4",AMD!AF$34*$D$20,IF(AMD!$AT$35="Profile 5",AMD!AF$42*$D$20,IF(AMD!$AT$35="Profile 6",AMD!AF$50*$D$20,0))))))</f>
        <v>0</v>
      </c>
      <c r="AR5" s="36">
        <f>IF(AMD!$AT$35="Profile 1",AMD!AG$10*$D$20,IF(AMD!$AT$35="Profile 2",AMD!AG$18*$D$20,IF(AMD!$AT$35="Profile 3",AMD!AG$26*$D$20,IF(AMD!$AT$35="Profile 4",AMD!AG$34*$D$20,IF(AMD!$AT$35="Profile 5",AMD!AG$42*$D$20,IF(AMD!$AT$35="Profile 6",AMD!AG$50*$D$20,0))))))</f>
        <v>0</v>
      </c>
      <c r="AS5" s="36">
        <f>IF(AMD!$AT$35="Profile 1",AMD!AH$10*$D$20,IF(AMD!$AT$35="Profile 2",AMD!AH$18*$D$20,IF(AMD!$AT$35="Profile 3",AMD!AH$26*$D$20,IF(AMD!$AT$35="Profile 4",AMD!AH$34*$D$20,IF(AMD!$AT$35="Profile 5",AMD!AH$42*$D$20,IF(AMD!$AT$35="Profile 6",AMD!AH$50*$D$20,0))))))</f>
        <v>0</v>
      </c>
      <c r="AT5" s="36">
        <f>IF(AMD!$AT$35="Profile 1",AMD!AI$10*$D$20,IF(AMD!$AT$35="Profile 2",AMD!AI$18*$D$20,IF(AMD!$AT$35="Profile 3",AMD!AI$26*$D$20,IF(AMD!$AT$35="Profile 4",AMD!AI$34*$D$20,IF(AMD!$AT$35="Profile 5",AMD!AI$42*$D$20,IF(AMD!$AT$35="Profile 6",AMD!AI$50*$D$20,0))))))</f>
        <v>0</v>
      </c>
      <c r="AU5" s="36">
        <f>IF(AMD!$AT$35="Profile 1",AMD!AJ$10*$D$20,IF(AMD!$AT$35="Profile 2",AMD!AJ$18*$D$20,IF(AMD!$AT$35="Profile 3",AMD!AJ$26*$D$20,IF(AMD!$AT$35="Profile 4",AMD!AJ$34*$D$20,IF(AMD!$AT$35="Profile 5",AMD!AJ$42*$D$20,IF(AMD!$AT$35="Profile 6",AMD!AJ$50*$D$20,0))))))</f>
        <v>0</v>
      </c>
      <c r="AV5" s="36">
        <f>IF(AMD!$AT$35="Profile 1",AMD!AK$10*$D$20,IF(AMD!$AT$35="Profile 2",AMD!AK$18*$D$20,IF(AMD!$AT$35="Profile 3",AMD!AK$26*$D$20,IF(AMD!$AT$35="Profile 4",AMD!AK$34*$D$20,IF(AMD!$AT$35="Profile 5",AMD!AK$42*$D$20,IF(AMD!$AT$35="Profile 6",AMD!AK$50*$D$20,0))))))</f>
        <v>0</v>
      </c>
      <c r="AW5" s="36">
        <f>IF(AMD!$AT$35="Profile 1",AMD!AL$10*$D$20,IF(AMD!$AT$35="Profile 2",AMD!AL$18*$D$20,IF(AMD!$AT$35="Profile 3",AMD!AL$26*$D$20,IF(AMD!$AT$35="Profile 4",AMD!AL$34*$D$20,IF(AMD!$AT$35="Profile 5",AMD!AL$42*$D$20,IF(AMD!$AT$35="Profile 6",AMD!AL$50*$D$20,0))))))</f>
        <v>0</v>
      </c>
      <c r="AX5" s="36">
        <f>IF(AMD!$AT$35="Profile 1",AMD!AM$10*$D$20,IF(AMD!$AT$35="Profile 2",AMD!AM$18*$D$20,IF(AMD!$AT$35="Profile 3",AMD!AM$26*$D$20,IF(AMD!$AT$35="Profile 4",AMD!AM$34*$D$20,IF(AMD!$AT$35="Profile 5",AMD!AM$42*$D$20,IF(AMD!$AT$35="Profile 6",AMD!AM$50*$D$20,0))))))</f>
        <v>0</v>
      </c>
      <c r="AY5" s="36">
        <f>IF(AMD!$AT$35="Profile 1",AMD!AN$10*$D$20,IF(AMD!$AT$35="Profile 2",AMD!AN$18*$D$20,IF(AMD!$AT$35="Profile 3",AMD!AN$26*$D$20,IF(AMD!$AT$35="Profile 4",AMD!AN$34*$D$20,IF(AMD!$AT$35="Profile 5",AMD!AN$42*$D$20,IF(AMD!$AT$35="Profile 6",AMD!AN$50*$D$20,0))))))</f>
        <v>0</v>
      </c>
      <c r="AZ5" s="36">
        <f>IF(AMD!$AT$35="Profile 1",AMD!AO$10*$D$20,IF(AMD!$AT$35="Profile 2",AMD!AO$18*$D$20,IF(AMD!$AT$35="Profile 3",AMD!AO$26*$D$20,IF(AMD!$AT$35="Profile 4",AMD!AO$34*$D$20,IF(AMD!$AT$35="Profile 5",AMD!AO$42*$D$20,IF(AMD!$AT$35="Profile 6",AMD!AO$50*$D$20,0))))))</f>
        <v>0</v>
      </c>
      <c r="BA5" s="90">
        <f t="shared" si="0"/>
        <v>0</v>
      </c>
    </row>
    <row r="6" spans="1:53" ht="15" thickBot="1">
      <c r="A6" s="244" t="s">
        <v>280</v>
      </c>
      <c r="B6" s="267">
        <f>B4/B5</f>
        <v>0</v>
      </c>
      <c r="C6" s="217" t="s">
        <v>3</v>
      </c>
      <c r="D6"/>
      <c r="E6"/>
      <c r="F6"/>
      <c r="G6"/>
      <c r="H6"/>
      <c r="I6"/>
      <c r="J6"/>
      <c r="K6"/>
      <c r="L6"/>
      <c r="M6"/>
      <c r="AE6" s="42" t="s">
        <v>186</v>
      </c>
      <c r="AF6" t="s">
        <v>281</v>
      </c>
      <c r="AG6" s="36">
        <f>IF(AMD!$AT$35="Profile 1",AMD!V$10*$E$20,IF(AMD!$AT$35="Profile 2",AMD!V$18*$E$20,IF(AMD!$AT$35="Profile 3",AMD!V$26*$E$20,IF(AMD!$AT$35="Profile 4",AMD!V$34*$E$20,IF(AMD!$AT$35="Profile 5",AMD!V$42*$E$20,IF(AMD!$AT$35="Profile 6",AMD!V$50*$E$20,0))))))</f>
        <v>0</v>
      </c>
      <c r="AH6" s="36">
        <f>IF(AMD!$AT$35="Profile 1",AMD!W$10*$E$20,IF(AMD!$AT$35="Profile 2",AMD!W$18*$E$20,IF(AMD!$AT$35="Profile 3",AMD!W$26*$E$20,IF(AMD!$AT$35="Profile 4",AMD!W$34*$E$20,IF(AMD!$AT$35="Profile 5",AMD!W$42*$E$20,IF(AMD!$AT$35="Profile 6",AMD!W$50*$E$20,0))))))</f>
        <v>0</v>
      </c>
      <c r="AI6" s="36">
        <f>IF(AMD!$AT$35="Profile 1",AMD!X$10*$E$20,IF(AMD!$AT$35="Profile 2",AMD!X$18*$E$20,IF(AMD!$AT$35="Profile 3",AMD!X$26*$E$20,IF(AMD!$AT$35="Profile 4",AMD!X$34*$E$20,IF(AMD!$AT$35="Profile 5",AMD!X$42*$E$20,IF(AMD!$AT$35="Profile 6",AMD!X$50*$E$20,0))))))</f>
        <v>0</v>
      </c>
      <c r="AJ6" s="36">
        <f>IF(AMD!$AT$35="Profile 1",AMD!Y$10*$E$20,IF(AMD!$AT$35="Profile 2",AMD!Y$18*$E$20,IF(AMD!$AT$35="Profile 3",AMD!Y$26*$E$20,IF(AMD!$AT$35="Profile 4",AMD!Y$34*$E$20,IF(AMD!$AT$35="Profile 5",AMD!Y$42*$E$20,IF(AMD!$AT$35="Profile 6",AMD!Y$50*$E$20,0))))))</f>
        <v>0</v>
      </c>
      <c r="AK6" s="36">
        <f>IF(AMD!$AT$35="Profile 1",AMD!Z$10*$E$20,IF(AMD!$AT$35="Profile 2",AMD!Z$18*$E$20,IF(AMD!$AT$35="Profile 3",AMD!Z$26*$E$20,IF(AMD!$AT$35="Profile 4",AMD!Z$34*$E$20,IF(AMD!$AT$35="Profile 5",AMD!Z$42*$E$20,IF(AMD!$AT$35="Profile 6",AMD!Z$50*$E$20,0))))))</f>
        <v>0</v>
      </c>
      <c r="AL6" s="36">
        <f>IF(AMD!$AT$35="Profile 1",AMD!AA$10*$E$20,IF(AMD!$AT$35="Profile 2",AMD!AA$18*$E$20,IF(AMD!$AT$35="Profile 3",AMD!AA$26*$E$20,IF(AMD!$AT$35="Profile 4",AMD!AA$34*$E$20,IF(AMD!$AT$35="Profile 5",AMD!AA$42*$E$20,IF(AMD!$AT$35="Profile 6",AMD!AA$50*$E$20,0))))))</f>
        <v>0</v>
      </c>
      <c r="AM6" s="36">
        <f>IF(AMD!$AT$35="Profile 1",AMD!AB$10*$E$20,IF(AMD!$AT$35="Profile 2",AMD!AB$18*$E$20,IF(AMD!$AT$35="Profile 3",AMD!AB$26*$E$20,IF(AMD!$AT$35="Profile 4",AMD!AB$34*$E$20,IF(AMD!$AT$35="Profile 5",AMD!AB$42*$E$20,IF(AMD!$AT$35="Profile 6",AMD!AB$50*$E$20,0))))))</f>
        <v>0</v>
      </c>
      <c r="AN6" s="36">
        <f>IF(AMD!$AT$35="Profile 1",AMD!AC$10*$E$20,IF(AMD!$AT$35="Profile 2",AMD!AC$18*$E$20,IF(AMD!$AT$35="Profile 3",AMD!AC$26*$E$20,IF(AMD!$AT$35="Profile 4",AMD!AC$34*$E$20,IF(AMD!$AT$35="Profile 5",AMD!AC$42*$E$20,IF(AMD!$AT$35="Profile 6",AMD!AC$50*$E$20,0))))))</f>
        <v>0</v>
      </c>
      <c r="AO6" s="36">
        <f>IF(AMD!$AT$35="Profile 1",AMD!AD$10*$E$20,IF(AMD!$AT$35="Profile 2",AMD!AD$18*$E$20,IF(AMD!$AT$35="Profile 3",AMD!AD$26*$E$20,IF(AMD!$AT$35="Profile 4",AMD!AD$34*$E$20,IF(AMD!$AT$35="Profile 5",AMD!AD$42*$E$20,IF(AMD!$AT$35="Profile 6",AMD!AD$50*$E$20,0))))))</f>
        <v>0</v>
      </c>
      <c r="AP6" s="36">
        <f>IF(AMD!$AT$35="Profile 1",AMD!AE$10*$E$20,IF(AMD!$AT$35="Profile 2",AMD!AE$18*$E$20,IF(AMD!$AT$35="Profile 3",AMD!AE$26*$E$20,IF(AMD!$AT$35="Profile 4",AMD!AE$34*$E$20,IF(AMD!$AT$35="Profile 5",AMD!AE$42*$E$20,IF(AMD!$AT$35="Profile 6",AMD!AE$50*$E$20,0))))))</f>
        <v>0</v>
      </c>
      <c r="AQ6" s="36">
        <f>IF(AMD!$AT$35="Profile 1",AMD!AF$10*$E$20,IF(AMD!$AT$35="Profile 2",AMD!AF$18*$E$20,IF(AMD!$AT$35="Profile 3",AMD!AF$26*$E$20,IF(AMD!$AT$35="Profile 4",AMD!AF$34*$E$20,IF(AMD!$AT$35="Profile 5",AMD!AF$42*$E$20,IF(AMD!$AT$35="Profile 6",AMD!AF$50*$E$20,0))))))</f>
        <v>0</v>
      </c>
      <c r="AR6" s="36">
        <f>IF(AMD!$AT$35="Profile 1",AMD!AG$10*$E$20,IF(AMD!$AT$35="Profile 2",AMD!AG$18*$E$20,IF(AMD!$AT$35="Profile 3",AMD!AG$26*$E$20,IF(AMD!$AT$35="Profile 4",AMD!AG$34*$E$20,IF(AMD!$AT$35="Profile 5",AMD!AG$42*$E$20,IF(AMD!$AT$35="Profile 6",AMD!AG$50*$E$20,0))))))</f>
        <v>0</v>
      </c>
      <c r="AS6" s="36">
        <f>IF(AMD!$AT$35="Profile 1",AMD!AH$10*$E$20,IF(AMD!$AT$35="Profile 2",AMD!AH$18*$E$20,IF(AMD!$AT$35="Profile 3",AMD!AH$26*$E$20,IF(AMD!$AT$35="Profile 4",AMD!AH$34*$E$20,IF(AMD!$AT$35="Profile 5",AMD!AH$42*$E$20,IF(AMD!$AT$35="Profile 6",AMD!AH$50*$E$20,0))))))</f>
        <v>0</v>
      </c>
      <c r="AT6" s="36">
        <f>IF(AMD!$AT$35="Profile 1",AMD!AI$10*$E$20,IF(AMD!$AT$35="Profile 2",AMD!AI$18*$E$20,IF(AMD!$AT$35="Profile 3",AMD!AI$26*$E$20,IF(AMD!$AT$35="Profile 4",AMD!AI$34*$E$20,IF(AMD!$AT$35="Profile 5",AMD!AI$42*$E$20,IF(AMD!$AT$35="Profile 6",AMD!AI$50*$E$20,0))))))</f>
        <v>0</v>
      </c>
      <c r="AU6" s="36">
        <f>IF(AMD!$AT$35="Profile 1",AMD!AJ$10*$E$20,IF(AMD!$AT$35="Profile 2",AMD!AJ$18*$E$20,IF(AMD!$AT$35="Profile 3",AMD!AJ$26*$E$20,IF(AMD!$AT$35="Profile 4",AMD!AJ$34*$E$20,IF(AMD!$AT$35="Profile 5",AMD!AJ$42*$E$20,IF(AMD!$AT$35="Profile 6",AMD!AJ$50*$E$20,0))))))</f>
        <v>0</v>
      </c>
      <c r="AV6" s="36">
        <f>IF(AMD!$AT$35="Profile 1",AMD!AK$10*$E$20,IF(AMD!$AT$35="Profile 2",AMD!AK$18*$E$20,IF(AMD!$AT$35="Profile 3",AMD!AK$26*$E$20,IF(AMD!$AT$35="Profile 4",AMD!AK$34*$E$20,IF(AMD!$AT$35="Profile 5",AMD!AK$42*$E$20,IF(AMD!$AT$35="Profile 6",AMD!AK$50*$E$20,0))))))</f>
        <v>0</v>
      </c>
      <c r="AW6" s="36">
        <f>IF(AMD!$AT$35="Profile 1",AMD!AL$10*$E$20,IF(AMD!$AT$35="Profile 2",AMD!AL$18*$E$20,IF(AMD!$AT$35="Profile 3",AMD!AL$26*$E$20,IF(AMD!$AT$35="Profile 4",AMD!AL$34*$E$20,IF(AMD!$AT$35="Profile 5",AMD!AL$42*$E$20,IF(AMD!$AT$35="Profile 6",AMD!AL$50*$E$20,0))))))</f>
        <v>0</v>
      </c>
      <c r="AX6" s="36">
        <f>IF(AMD!$AT$35="Profile 1",AMD!AM$10*$E$20,IF(AMD!$AT$35="Profile 2",AMD!AM$18*$E$20,IF(AMD!$AT$35="Profile 3",AMD!AM$26*$E$20,IF(AMD!$AT$35="Profile 4",AMD!AM$34*$E$20,IF(AMD!$AT$35="Profile 5",AMD!AM$42*$E$20,IF(AMD!$AT$35="Profile 6",AMD!AM$50*$E$20,0))))))</f>
        <v>0</v>
      </c>
      <c r="AY6" s="36">
        <f>IF(AMD!$AT$35="Profile 1",AMD!AN$10*$E$20,IF(AMD!$AT$35="Profile 2",AMD!AN$18*$E$20,IF(AMD!$AT$35="Profile 3",AMD!AN$26*$E$20,IF(AMD!$AT$35="Profile 4",AMD!AN$34*$E$20,IF(AMD!$AT$35="Profile 5",AMD!AN$42*$E$20,IF(AMD!$AT$35="Profile 6",AMD!AN$50*$E$20,0))))))</f>
        <v>0</v>
      </c>
      <c r="AZ6" s="36">
        <f>IF(AMD!$AT$35="Profile 1",AMD!AO$10*$E$20,IF(AMD!$AT$35="Profile 2",AMD!AO$18*$E$20,IF(AMD!$AT$35="Profile 3",AMD!AO$26*$E$20,IF(AMD!$AT$35="Profile 4",AMD!AO$34*$E$20,IF(AMD!$AT$35="Profile 5",AMD!AO$42*$E$20,IF(AMD!$AT$35="Profile 6",AMD!AO$50*$E$20,0))))))</f>
        <v>0</v>
      </c>
      <c r="BA6" s="90">
        <f t="shared" si="0"/>
        <v>0</v>
      </c>
    </row>
    <row r="7" spans="1:53" ht="15" thickBot="1">
      <c r="A7" s="1"/>
      <c r="B7"/>
      <c r="C7"/>
      <c r="D7"/>
      <c r="E7"/>
      <c r="F7"/>
      <c r="G7"/>
      <c r="H7"/>
      <c r="I7"/>
      <c r="J7"/>
      <c r="K7"/>
      <c r="L7"/>
      <c r="M7"/>
      <c r="AE7" s="42" t="s">
        <v>96</v>
      </c>
      <c r="AF7" t="s">
        <v>281</v>
      </c>
      <c r="AG7" s="36">
        <f>IF(AMD!$AT$35="Profile 1",AMD!V$10*$F$20,IF(AMD!$AT$35="Profile 2",AMD!V$18*$F$20,IF(AMD!$AT$35="Profile 3",AMD!V$26*$F$20,IF(AMD!$AT$35="Profile 4",AMD!V$34*$F$20,IF(AMD!$AT$35="Profile 5",AMD!V$42*$F$20,IF(AMD!$AT$35="Profile 6",AMD!V$50*$F$20,0))))))</f>
        <v>0</v>
      </c>
      <c r="AH7" s="36">
        <f>IF(AMD!$AT$35="Profile 1",AMD!W$10*$F$20,IF(AMD!$AT$35="Profile 2",AMD!W$18*$F$20,IF(AMD!$AT$35="Profile 3",AMD!W$26*$F$20,IF(AMD!$AT$35="Profile 4",AMD!W$34*$F$20,IF(AMD!$AT$35="Profile 5",AMD!W$42*$F$20,IF(AMD!$AT$35="Profile 6",AMD!W$50*$F$20,0))))))</f>
        <v>0</v>
      </c>
      <c r="AI7" s="36">
        <f>IF(AMD!$AT$35="Profile 1",AMD!X$10*$F$20,IF(AMD!$AT$35="Profile 2",AMD!X$18*$F$20,IF(AMD!$AT$35="Profile 3",AMD!X$26*$F$20,IF(AMD!$AT$35="Profile 4",AMD!X$34*$F$20,IF(AMD!$AT$35="Profile 5",AMD!X$42*$F$20,IF(AMD!$AT$35="Profile 6",AMD!X$50*$F$20,0))))))</f>
        <v>0</v>
      </c>
      <c r="AJ7" s="36">
        <f>IF(AMD!$AT$35="Profile 1",AMD!Y$10*$F$20,IF(AMD!$AT$35="Profile 2",AMD!Y$18*$F$20,IF(AMD!$AT$35="Profile 3",AMD!Y$26*$F$20,IF(AMD!$AT$35="Profile 4",AMD!Y$34*$F$20,IF(AMD!$AT$35="Profile 5",AMD!Y$42*$F$20,IF(AMD!$AT$35="Profile 6",AMD!Y$50*$F$20,0))))))</f>
        <v>0</v>
      </c>
      <c r="AK7" s="36">
        <f>IF(AMD!$AT$35="Profile 1",AMD!Z$10*$F$20,IF(AMD!$AT$35="Profile 2",AMD!Z$18*$F$20,IF(AMD!$AT$35="Profile 3",AMD!Z$26*$F$20,IF(AMD!$AT$35="Profile 4",AMD!Z$34*$F$20,IF(AMD!$AT$35="Profile 5",AMD!Z$42*$F$20,IF(AMD!$AT$35="Profile 6",AMD!Z$50*$F$20,0))))))</f>
        <v>0</v>
      </c>
      <c r="AL7" s="36">
        <f>IF(AMD!$AT$35="Profile 1",AMD!AA$10*$F$20,IF(AMD!$AT$35="Profile 2",AMD!AA$18*$F$20,IF(AMD!$AT$35="Profile 3",AMD!AA$26*$F$20,IF(AMD!$AT$35="Profile 4",AMD!AA$34*$F$20,IF(AMD!$AT$35="Profile 5",AMD!AA$42*$F$20,IF(AMD!$AT$35="Profile 6",AMD!AA$50*$F$20,0))))))</f>
        <v>0</v>
      </c>
      <c r="AM7" s="36">
        <f>IF(AMD!$AT$35="Profile 1",AMD!AB$10*$F$20,IF(AMD!$AT$35="Profile 2",AMD!AB$18*$F$20,IF(AMD!$AT$35="Profile 3",AMD!AB$26*$F$20,IF(AMD!$AT$35="Profile 4",AMD!AB$34*$F$20,IF(AMD!$AT$35="Profile 5",AMD!AB$42*$F$20,IF(AMD!$AT$35="Profile 6",AMD!AB$50*$F$20,0))))))</f>
        <v>0</v>
      </c>
      <c r="AN7" s="36">
        <f>IF(AMD!$AT$35="Profile 1",AMD!AC$10*$F$20,IF(AMD!$AT$35="Profile 2",AMD!AC$18*$F$20,IF(AMD!$AT$35="Profile 3",AMD!AC$26*$F$20,IF(AMD!$AT$35="Profile 4",AMD!AC$34*$F$20,IF(AMD!$AT$35="Profile 5",AMD!AC$42*$F$20,IF(AMD!$AT$35="Profile 6",AMD!AC$50*$F$20,0))))))</f>
        <v>0</v>
      </c>
      <c r="AO7" s="36">
        <f>IF(AMD!$AT$35="Profile 1",AMD!AD$10*$F$20,IF(AMD!$AT$35="Profile 2",AMD!AD$18*$F$20,IF(AMD!$AT$35="Profile 3",AMD!AD$26*$F$20,IF(AMD!$AT$35="Profile 4",AMD!AD$34*$F$20,IF(AMD!$AT$35="Profile 5",AMD!AD$42*$F$20,IF(AMD!$AT$35="Profile 6",AMD!AD$50*$F$20,0))))))</f>
        <v>0</v>
      </c>
      <c r="AP7" s="36">
        <f>IF(AMD!$AT$35="Profile 1",AMD!AE$10*$F$20,IF(AMD!$AT$35="Profile 2",AMD!AE$18*$F$20,IF(AMD!$AT$35="Profile 3",AMD!AE$26*$F$20,IF(AMD!$AT$35="Profile 4",AMD!AE$34*$F$20,IF(AMD!$AT$35="Profile 5",AMD!AE$42*$F$20,IF(AMD!$AT$35="Profile 6",AMD!AE$50*$F$20,0))))))</f>
        <v>0</v>
      </c>
      <c r="AQ7" s="36">
        <f>IF(AMD!$AT$35="Profile 1",AMD!AF$10*$F$20,IF(AMD!$AT$35="Profile 2",AMD!AF$18*$F$20,IF(AMD!$AT$35="Profile 3",AMD!AF$26*$F$20,IF(AMD!$AT$35="Profile 4",AMD!AF$34*$F$20,IF(AMD!$AT$35="Profile 5",AMD!AF$42*$F$20,IF(AMD!$AT$35="Profile 6",AMD!AF$50*$F$20,0))))))</f>
        <v>0</v>
      </c>
      <c r="AR7" s="36">
        <f>IF(AMD!$AT$35="Profile 1",AMD!AG$10*$F$20,IF(AMD!$AT$35="Profile 2",AMD!AG$18*$F$20,IF(AMD!$AT$35="Profile 3",AMD!AG$26*$F$20,IF(AMD!$AT$35="Profile 4",AMD!AG$34*$F$20,IF(AMD!$AT$35="Profile 5",AMD!AG$42*$F$20,IF(AMD!$AT$35="Profile 6",AMD!AG$50*$F$20,0))))))</f>
        <v>0</v>
      </c>
      <c r="AS7" s="36">
        <f>IF(AMD!$AT$35="Profile 1",AMD!AH$10*$F$20,IF(AMD!$AT$35="Profile 2",AMD!AH$18*$F$20,IF(AMD!$AT$35="Profile 3",AMD!AH$26*$F$20,IF(AMD!$AT$35="Profile 4",AMD!AH$34*$F$20,IF(AMD!$AT$35="Profile 5",AMD!AH$42*$F$20,IF(AMD!$AT$35="Profile 6",AMD!AH$50*$F$20,0))))))</f>
        <v>0</v>
      </c>
      <c r="AT7" s="36">
        <f>IF(AMD!$AT$35="Profile 1",AMD!AI$10*$F$20,IF(AMD!$AT$35="Profile 2",AMD!AI$18*$F$20,IF(AMD!$AT$35="Profile 3",AMD!AI$26*$F$20,IF(AMD!$AT$35="Profile 4",AMD!AI$34*$F$20,IF(AMD!$AT$35="Profile 5",AMD!AI$42*$F$20,IF(AMD!$AT$35="Profile 6",AMD!AI$50*$F$20,0))))))</f>
        <v>0</v>
      </c>
      <c r="AU7" s="36">
        <f>IF(AMD!$AT$35="Profile 1",AMD!AJ$10*$F$20,IF(AMD!$AT$35="Profile 2",AMD!AJ$18*$F$20,IF(AMD!$AT$35="Profile 3",AMD!AJ$26*$F$20,IF(AMD!$AT$35="Profile 4",AMD!AJ$34*$F$20,IF(AMD!$AT$35="Profile 5",AMD!AJ$42*$F$20,IF(AMD!$AT$35="Profile 6",AMD!AJ$50*$F$20,0))))))</f>
        <v>0</v>
      </c>
      <c r="AV7" s="36">
        <f>IF(AMD!$AT$35="Profile 1",AMD!AK$10*$F$20,IF(AMD!$AT$35="Profile 2",AMD!AK$18*$F$20,IF(AMD!$AT$35="Profile 3",AMD!AK$26*$F$20,IF(AMD!$AT$35="Profile 4",AMD!AK$34*$F$20,IF(AMD!$AT$35="Profile 5",AMD!AK$42*$F$20,IF(AMD!$AT$35="Profile 6",AMD!AK$50*$F$20,0))))))</f>
        <v>0</v>
      </c>
      <c r="AW7" s="36">
        <f>IF(AMD!$AT$35="Profile 1",AMD!AL$10*$F$20,IF(AMD!$AT$35="Profile 2",AMD!AL$18*$F$20,IF(AMD!$AT$35="Profile 3",AMD!AL$26*$F$20,IF(AMD!$AT$35="Profile 4",AMD!AL$34*$F$20,IF(AMD!$AT$35="Profile 5",AMD!AL$42*$F$20,IF(AMD!$AT$35="Profile 6",AMD!AL$50*$F$20,0))))))</f>
        <v>0</v>
      </c>
      <c r="AX7" s="36">
        <f>IF(AMD!$AT$35="Profile 1",AMD!AM$10*$F$20,IF(AMD!$AT$35="Profile 2",AMD!AM$18*$F$20,IF(AMD!$AT$35="Profile 3",AMD!AM$26*$F$20,IF(AMD!$AT$35="Profile 4",AMD!AM$34*$F$20,IF(AMD!$AT$35="Profile 5",AMD!AM$42*$F$20,IF(AMD!$AT$35="Profile 6",AMD!AM$50*$F$20,0))))))</f>
        <v>0</v>
      </c>
      <c r="AY7" s="36">
        <f>IF(AMD!$AT$35="Profile 1",AMD!AN$10*$F$20,IF(AMD!$AT$35="Profile 2",AMD!AN$18*$F$20,IF(AMD!$AT$35="Profile 3",AMD!AN$26*$F$20,IF(AMD!$AT$35="Profile 4",AMD!AN$34*$F$20,IF(AMD!$AT$35="Profile 5",AMD!AN$42*$F$20,IF(AMD!$AT$35="Profile 6",AMD!AN$50*$F$20,0))))))</f>
        <v>0</v>
      </c>
      <c r="AZ7" s="36">
        <f>IF(AMD!$AT$35="Profile 1",AMD!AO$10*$F$20,IF(AMD!$AT$35="Profile 2",AMD!AO$18*$F$20,IF(AMD!$AT$35="Profile 3",AMD!AO$26*$F$20,IF(AMD!$AT$35="Profile 4",AMD!AO$34*$F$20,IF(AMD!$AT$35="Profile 5",AMD!AO$42*$F$20,IF(AMD!$AT$35="Profile 6",AMD!AO$50*$F$20,0))))))</f>
        <v>0</v>
      </c>
      <c r="BA7" s="90">
        <f t="shared" si="0"/>
        <v>0</v>
      </c>
    </row>
    <row r="8" spans="1:53" ht="15" thickBot="1">
      <c r="A8" s="253" t="s">
        <v>182</v>
      </c>
      <c r="B8" s="387" t="s">
        <v>254</v>
      </c>
      <c r="C8" s="388"/>
      <c r="D8"/>
      <c r="E8"/>
      <c r="F8"/>
      <c r="G8"/>
      <c r="H8"/>
      <c r="I8"/>
      <c r="J8"/>
      <c r="K8"/>
      <c r="L8"/>
      <c r="M8"/>
      <c r="AE8" s="42" t="s">
        <v>187</v>
      </c>
      <c r="AF8" t="s">
        <v>281</v>
      </c>
      <c r="AG8" s="36">
        <f>IF(AMD!$AT$35="Profile 1",AMD!V$10*$G$20,IF(AMD!$AT$35="Profile 2",AMD!V$18*$G$20,IF(AMD!$AT$35="Profile 3",AMD!V$26*$G$20,IF(AMD!$AT$35="Profile 4",AMD!V$34*$G$20,IF(AMD!$AT$35="Profile 5",AMD!V$42*$G$20,IF(AMD!$AT$35="Profile 6",AMD!V$50*$G$20,0))))))</f>
        <v>0</v>
      </c>
      <c r="AH8" s="36">
        <f>IF(AMD!$AT$35="Profile 1",AMD!W$10*$G$20,IF(AMD!$AT$35="Profile 2",AMD!W$18*$G$20,IF(AMD!$AT$35="Profile 3",AMD!W$26*$G$20,IF(AMD!$AT$35="Profile 4",AMD!W$34*$G$20,IF(AMD!$AT$35="Profile 5",AMD!W$42*$G$20,IF(AMD!$AT$35="Profile 6",AMD!W$50*$G$20,0))))))</f>
        <v>0</v>
      </c>
      <c r="AI8" s="36">
        <f>IF(AMD!$AT$35="Profile 1",AMD!X$10*$G$20,IF(AMD!$AT$35="Profile 2",AMD!X$18*$G$20,IF(AMD!$AT$35="Profile 3",AMD!X$26*$G$20,IF(AMD!$AT$35="Profile 4",AMD!X$34*$G$20,IF(AMD!$AT$35="Profile 5",AMD!X$42*$G$20,IF(AMD!$AT$35="Profile 6",AMD!X$50*$G$20,0))))))</f>
        <v>0</v>
      </c>
      <c r="AJ8" s="36">
        <f>IF(AMD!$AT$35="Profile 1",AMD!Y$10*$G$20,IF(AMD!$AT$35="Profile 2",AMD!Y$18*$G$20,IF(AMD!$AT$35="Profile 3",AMD!Y$26*$G$20,IF(AMD!$AT$35="Profile 4",AMD!Y$34*$G$20,IF(AMD!$AT$35="Profile 5",AMD!Y$42*$G$20,IF(AMD!$AT$35="Profile 6",AMD!Y$50*$G$20,0))))))</f>
        <v>0</v>
      </c>
      <c r="AK8" s="36">
        <f>IF(AMD!$AT$35="Profile 1",AMD!Z$10*$G$20,IF(AMD!$AT$35="Profile 2",AMD!Z$18*$G$20,IF(AMD!$AT$35="Profile 3",AMD!Z$26*$G$20,IF(AMD!$AT$35="Profile 4",AMD!Z$34*$G$20,IF(AMD!$AT$35="Profile 5",AMD!Z$42*$G$20,IF(AMD!$AT$35="Profile 6",AMD!Z$50*$G$20,0))))))</f>
        <v>0</v>
      </c>
      <c r="AL8" s="36">
        <f>IF(AMD!$AT$35="Profile 1",AMD!AA$10*$G$20,IF(AMD!$AT$35="Profile 2",AMD!AA$18*$G$20,IF(AMD!$AT$35="Profile 3",AMD!AA$26*$G$20,IF(AMD!$AT$35="Profile 4",AMD!AA$34*$G$20,IF(AMD!$AT$35="Profile 5",AMD!AA$42*$G$20,IF(AMD!$AT$35="Profile 6",AMD!AA$50*$G$20,0))))))</f>
        <v>0</v>
      </c>
      <c r="AM8" s="36">
        <f>IF(AMD!$AT$35="Profile 1",AMD!AB$10*$G$20,IF(AMD!$AT$35="Profile 2",AMD!AB$18*$G$20,IF(AMD!$AT$35="Profile 3",AMD!AB$26*$G$20,IF(AMD!$AT$35="Profile 4",AMD!AB$34*$G$20,IF(AMD!$AT$35="Profile 5",AMD!AB$42*$G$20,IF(AMD!$AT$35="Profile 6",AMD!AB$50*$G$20,0))))))</f>
        <v>0</v>
      </c>
      <c r="AN8" s="36">
        <f>IF(AMD!$AT$35="Profile 1",AMD!AC$10*$G$20,IF(AMD!$AT$35="Profile 2",AMD!AC$18*$G$20,IF(AMD!$AT$35="Profile 3",AMD!AC$26*$G$20,IF(AMD!$AT$35="Profile 4",AMD!AC$34*$G$20,IF(AMD!$AT$35="Profile 5",AMD!AC$42*$G$20,IF(AMD!$AT$35="Profile 6",AMD!AC$50*$G$20,0))))))</f>
        <v>0</v>
      </c>
      <c r="AO8" s="36">
        <f>IF(AMD!$AT$35="Profile 1",AMD!AD$10*$G$20,IF(AMD!$AT$35="Profile 2",AMD!AD$18*$G$20,IF(AMD!$AT$35="Profile 3",AMD!AD$26*$G$20,IF(AMD!$AT$35="Profile 4",AMD!AD$34*$G$20,IF(AMD!$AT$35="Profile 5",AMD!AD$42*$G$20,IF(AMD!$AT$35="Profile 6",AMD!AD$50*$G$20,0))))))</f>
        <v>0</v>
      </c>
      <c r="AP8" s="36">
        <f>IF(AMD!$AT$35="Profile 1",AMD!AE$10*$G$20,IF(AMD!$AT$35="Profile 2",AMD!AE$18*$G$20,IF(AMD!$AT$35="Profile 3",AMD!AE$26*$G$20,IF(AMD!$AT$35="Profile 4",AMD!AE$34*$G$20,IF(AMD!$AT$35="Profile 5",AMD!AE$42*$G$20,IF(AMD!$AT$35="Profile 6",AMD!AE$50*$G$20,0))))))</f>
        <v>0</v>
      </c>
      <c r="AQ8" s="36">
        <f>IF(AMD!$AT$35="Profile 1",AMD!AF$10*$G$20,IF(AMD!$AT$35="Profile 2",AMD!AF$18*$G$20,IF(AMD!$AT$35="Profile 3",AMD!AF$26*$G$20,IF(AMD!$AT$35="Profile 4",AMD!AF$34*$G$20,IF(AMD!$AT$35="Profile 5",AMD!AF$42*$G$20,IF(AMD!$AT$35="Profile 6",AMD!AF$50*$G$20,0))))))</f>
        <v>0</v>
      </c>
      <c r="AR8" s="36">
        <f>IF(AMD!$AT$35="Profile 1",AMD!AG$10*$G$20,IF(AMD!$AT$35="Profile 2",AMD!AG$18*$G$20,IF(AMD!$AT$35="Profile 3",AMD!AG$26*$G$20,IF(AMD!$AT$35="Profile 4",AMD!AG$34*$G$20,IF(AMD!$AT$35="Profile 5",AMD!AG$42*$G$20,IF(AMD!$AT$35="Profile 6",AMD!AG$50*$G$20,0))))))</f>
        <v>0</v>
      </c>
      <c r="AS8" s="36">
        <f>IF(AMD!$AT$35="Profile 1",AMD!AH$10*$G$20,IF(AMD!$AT$35="Profile 2",AMD!AH$18*$G$20,IF(AMD!$AT$35="Profile 3",AMD!AH$26*$G$20,IF(AMD!$AT$35="Profile 4",AMD!AH$34*$G$20,IF(AMD!$AT$35="Profile 5",AMD!AH$42*$G$20,IF(AMD!$AT$35="Profile 6",AMD!AH$50*$G$20,0))))))</f>
        <v>0</v>
      </c>
      <c r="AT8" s="36">
        <f>IF(AMD!$AT$35="Profile 1",AMD!AI$10*$G$20,IF(AMD!$AT$35="Profile 2",AMD!AI$18*$G$20,IF(AMD!$AT$35="Profile 3",AMD!AI$26*$G$20,IF(AMD!$AT$35="Profile 4",AMD!AI$34*$G$20,IF(AMD!$AT$35="Profile 5",AMD!AI$42*$G$20,IF(AMD!$AT$35="Profile 6",AMD!AI$50*$G$20,0))))))</f>
        <v>0</v>
      </c>
      <c r="AU8" s="36">
        <f>IF(AMD!$AT$35="Profile 1",AMD!AJ$10*$G$20,IF(AMD!$AT$35="Profile 2",AMD!AJ$18*$G$20,IF(AMD!$AT$35="Profile 3",AMD!AJ$26*$G$20,IF(AMD!$AT$35="Profile 4",AMD!AJ$34*$G$20,IF(AMD!$AT$35="Profile 5",AMD!AJ$42*$G$20,IF(AMD!$AT$35="Profile 6",AMD!AJ$50*$G$20,0))))))</f>
        <v>0</v>
      </c>
      <c r="AV8" s="36">
        <f>IF(AMD!$AT$35="Profile 1",AMD!AK$10*$G$20,IF(AMD!$AT$35="Profile 2",AMD!AK$18*$G$20,IF(AMD!$AT$35="Profile 3",AMD!AK$26*$G$20,IF(AMD!$AT$35="Profile 4",AMD!AK$34*$G$20,IF(AMD!$AT$35="Profile 5",AMD!AK$42*$G$20,IF(AMD!$AT$35="Profile 6",AMD!AK$50*$G$20,0))))))</f>
        <v>0</v>
      </c>
      <c r="AW8" s="36">
        <f>IF(AMD!$AT$35="Profile 1",AMD!AL$10*$G$20,IF(AMD!$AT$35="Profile 2",AMD!AL$18*$G$20,IF(AMD!$AT$35="Profile 3",AMD!AL$26*$G$20,IF(AMD!$AT$35="Profile 4",AMD!AL$34*$G$20,IF(AMD!$AT$35="Profile 5",AMD!AL$42*$G$20,IF(AMD!$AT$35="Profile 6",AMD!AL$50*$G$20,0))))))</f>
        <v>0</v>
      </c>
      <c r="AX8" s="36">
        <f>IF(AMD!$AT$35="Profile 1",AMD!AM$10*$G$20,IF(AMD!$AT$35="Profile 2",AMD!AM$18*$G$20,IF(AMD!$AT$35="Profile 3",AMD!AM$26*$G$20,IF(AMD!$AT$35="Profile 4",AMD!AM$34*$G$20,IF(AMD!$AT$35="Profile 5",AMD!AM$42*$G$20,IF(AMD!$AT$35="Profile 6",AMD!AM$50*$G$20,0))))))</f>
        <v>0</v>
      </c>
      <c r="AY8" s="36">
        <f>IF(AMD!$AT$35="Profile 1",AMD!AN$10*$G$20,IF(AMD!$AT$35="Profile 2",AMD!AN$18*$G$20,IF(AMD!$AT$35="Profile 3",AMD!AN$26*$G$20,IF(AMD!$AT$35="Profile 4",AMD!AN$34*$G$20,IF(AMD!$AT$35="Profile 5",AMD!AN$42*$G$20,IF(AMD!$AT$35="Profile 6",AMD!AN$50*$G$20,0))))))</f>
        <v>0</v>
      </c>
      <c r="AZ8" s="36">
        <f>IF(AMD!$AT$35="Profile 1",AMD!AO$10*$G$20,IF(AMD!$AT$35="Profile 2",AMD!AO$18*$G$20,IF(AMD!$AT$35="Profile 3",AMD!AO$26*$G$20,IF(AMD!$AT$35="Profile 4",AMD!AO$34*$G$20,IF(AMD!$AT$35="Profile 5",AMD!AO$42*$G$20,IF(AMD!$AT$35="Profile 6",AMD!AO$50*$G$20,0))))))</f>
        <v>0</v>
      </c>
      <c r="BA8" s="90">
        <f t="shared" si="0"/>
        <v>0</v>
      </c>
    </row>
    <row r="9" spans="1:53">
      <c r="A9" s="255" t="s">
        <v>259</v>
      </c>
      <c r="B9" s="263">
        <f>MAX(B15:M15)</f>
        <v>168</v>
      </c>
      <c r="C9" s="264"/>
      <c r="D9"/>
      <c r="E9"/>
      <c r="F9"/>
      <c r="G9"/>
      <c r="H9"/>
      <c r="I9"/>
      <c r="J9"/>
      <c r="K9"/>
      <c r="L9"/>
      <c r="M9"/>
      <c r="AE9" s="42" t="s">
        <v>188</v>
      </c>
      <c r="AF9" t="s">
        <v>281</v>
      </c>
      <c r="AG9" s="36">
        <f>IF(AMD!$AT$35="Profile 1",AMD!V$10*$H$20,IF(AMD!$AT$35="Profile 2",AMD!V$18*$H$20,IF(AMD!$AT$35="Profile 3",AMD!V$26*$H$20,IF(AMD!$AT$35="Profile 4",AMD!V$34*$H$20,IF(AMD!$AT$35="Profile 5",AMD!V$42*$H$20,IF(AMD!$AT$35="Profile 6",AMD!V$50*$H$20,0))))))</f>
        <v>0</v>
      </c>
      <c r="AH9" s="36">
        <f>IF(AMD!$AT$35="Profile 1",AMD!W$10*$H$20,IF(AMD!$AT$35="Profile 2",AMD!W$18*$H$20,IF(AMD!$AT$35="Profile 3",AMD!W$26*$H$20,IF(AMD!$AT$35="Profile 4",AMD!W$34*$H$20,IF(AMD!$AT$35="Profile 5",AMD!W$42*$H$20,IF(AMD!$AT$35="Profile 6",AMD!W$50*$H$20,0))))))</f>
        <v>0</v>
      </c>
      <c r="AI9" s="36">
        <f>IF(AMD!$AT$35="Profile 1",AMD!X$10*$H$20,IF(AMD!$AT$35="Profile 2",AMD!X$18*$H$20,IF(AMD!$AT$35="Profile 3",AMD!X$26*$H$20,IF(AMD!$AT$35="Profile 4",AMD!X$34*$H$20,IF(AMD!$AT$35="Profile 5",AMD!X$42*$H$20,IF(AMD!$AT$35="Profile 6",AMD!X$50*$H$20,0))))))</f>
        <v>0</v>
      </c>
      <c r="AJ9" s="36">
        <f>IF(AMD!$AT$35="Profile 1",AMD!Y$10*$H$20,IF(AMD!$AT$35="Profile 2",AMD!Y$18*$H$20,IF(AMD!$AT$35="Profile 3",AMD!Y$26*$H$20,IF(AMD!$AT$35="Profile 4",AMD!Y$34*$H$20,IF(AMD!$AT$35="Profile 5",AMD!Y$42*$H$20,IF(AMD!$AT$35="Profile 6",AMD!Y$50*$H$20,0))))))</f>
        <v>0</v>
      </c>
      <c r="AK9" s="36">
        <f>IF(AMD!$AT$35="Profile 1",AMD!Z$10*$H$20,IF(AMD!$AT$35="Profile 2",AMD!Z$18*$H$20,IF(AMD!$AT$35="Profile 3",AMD!Z$26*$H$20,IF(AMD!$AT$35="Profile 4",AMD!Z$34*$H$20,IF(AMD!$AT$35="Profile 5",AMD!Z$42*$H$20,IF(AMD!$AT$35="Profile 6",AMD!Z$50*$H$20,0))))))</f>
        <v>0</v>
      </c>
      <c r="AL9" s="36">
        <f>IF(AMD!$AT$35="Profile 1",AMD!AA$10*$H$20,IF(AMD!$AT$35="Profile 2",AMD!AA$18*$H$20,IF(AMD!$AT$35="Profile 3",AMD!AA$26*$H$20,IF(AMD!$AT$35="Profile 4",AMD!AA$34*$H$20,IF(AMD!$AT$35="Profile 5",AMD!AA$42*$H$20,IF(AMD!$AT$35="Profile 6",AMD!AA$50*$H$20,0))))))</f>
        <v>0</v>
      </c>
      <c r="AM9" s="36">
        <f>IF(AMD!$AT$35="Profile 1",AMD!AB$10*$H$20,IF(AMD!$AT$35="Profile 2",AMD!AB$18*$H$20,IF(AMD!$AT$35="Profile 3",AMD!AB$26*$H$20,IF(AMD!$AT$35="Profile 4",AMD!AB$34*$H$20,IF(AMD!$AT$35="Profile 5",AMD!AB$42*$H$20,IF(AMD!$AT$35="Profile 6",AMD!AB$50*$H$20,0))))))</f>
        <v>0</v>
      </c>
      <c r="AN9" s="36">
        <f>IF(AMD!$AT$35="Profile 1",AMD!AC$10*$H$20,IF(AMD!$AT$35="Profile 2",AMD!AC$18*$H$20,IF(AMD!$AT$35="Profile 3",AMD!AC$26*$H$20,IF(AMD!$AT$35="Profile 4",AMD!AC$34*$H$20,IF(AMD!$AT$35="Profile 5",AMD!AC$42*$H$20,IF(AMD!$AT$35="Profile 6",AMD!AC$50*$H$20,0))))))</f>
        <v>0</v>
      </c>
      <c r="AO9" s="36">
        <f>IF(AMD!$AT$35="Profile 1",AMD!AD$10*$H$20,IF(AMD!$AT$35="Profile 2",AMD!AD$18*$H$20,IF(AMD!$AT$35="Profile 3",AMD!AD$26*$H$20,IF(AMD!$AT$35="Profile 4",AMD!AD$34*$H$20,IF(AMD!$AT$35="Profile 5",AMD!AD$42*$H$20,IF(AMD!$AT$35="Profile 6",AMD!AD$50*$H$20,0))))))</f>
        <v>0</v>
      </c>
      <c r="AP9" s="36">
        <f>IF(AMD!$AT$35="Profile 1",AMD!AE$10*$H$20,IF(AMD!$AT$35="Profile 2",AMD!AE$18*$H$20,IF(AMD!$AT$35="Profile 3",AMD!AE$26*$H$20,IF(AMD!$AT$35="Profile 4",AMD!AE$34*$H$20,IF(AMD!$AT$35="Profile 5",AMD!AE$42*$H$20,IF(AMD!$AT$35="Profile 6",AMD!AE$50*$H$20,0))))))</f>
        <v>0</v>
      </c>
      <c r="AQ9" s="36">
        <f>IF(AMD!$AT$35="Profile 1",AMD!AF$10*$H$20,IF(AMD!$AT$35="Profile 2",AMD!AF$18*$H$20,IF(AMD!$AT$35="Profile 3",AMD!AF$26*$H$20,IF(AMD!$AT$35="Profile 4",AMD!AF$34*$H$20,IF(AMD!$AT$35="Profile 5",AMD!AF$42*$H$20,IF(AMD!$AT$35="Profile 6",AMD!AF$50*$H$20,0))))))</f>
        <v>0</v>
      </c>
      <c r="AR9" s="36">
        <f>IF(AMD!$AT$35="Profile 1",AMD!AG$10*$H$20,IF(AMD!$AT$35="Profile 2",AMD!AG$18*$H$20,IF(AMD!$AT$35="Profile 3",AMD!AG$26*$H$20,IF(AMD!$AT$35="Profile 4",AMD!AG$34*$H$20,IF(AMD!$AT$35="Profile 5",AMD!AG$42*$H$20,IF(AMD!$AT$35="Profile 6",AMD!AG$50*$H$20,0))))))</f>
        <v>0</v>
      </c>
      <c r="AS9" s="36">
        <f>IF(AMD!$AT$35="Profile 1",AMD!AH$10*$H$20,IF(AMD!$AT$35="Profile 2",AMD!AH$18*$H$20,IF(AMD!$AT$35="Profile 3",AMD!AH$26*$H$20,IF(AMD!$AT$35="Profile 4",AMD!AH$34*$H$20,IF(AMD!$AT$35="Profile 5",AMD!AH$42*$H$20,IF(AMD!$AT$35="Profile 6",AMD!AH$50*$H$20,0))))))</f>
        <v>0</v>
      </c>
      <c r="AT9" s="36">
        <f>IF(AMD!$AT$35="Profile 1",AMD!AI$10*$H$20,IF(AMD!$AT$35="Profile 2",AMD!AI$18*$H$20,IF(AMD!$AT$35="Profile 3",AMD!AI$26*$H$20,IF(AMD!$AT$35="Profile 4",AMD!AI$34*$H$20,IF(AMD!$AT$35="Profile 5",AMD!AI$42*$H$20,IF(AMD!$AT$35="Profile 6",AMD!AI$50*$H$20,0))))))</f>
        <v>0</v>
      </c>
      <c r="AU9" s="36">
        <f>IF(AMD!$AT$35="Profile 1",AMD!AJ$10*$H$20,IF(AMD!$AT$35="Profile 2",AMD!AJ$18*$H$20,IF(AMD!$AT$35="Profile 3",AMD!AJ$26*$H$20,IF(AMD!$AT$35="Profile 4",AMD!AJ$34*$H$20,IF(AMD!$AT$35="Profile 5",AMD!AJ$42*$H$20,IF(AMD!$AT$35="Profile 6",AMD!AJ$50*$H$20,0))))))</f>
        <v>0</v>
      </c>
      <c r="AV9" s="36">
        <f>IF(AMD!$AT$35="Profile 1",AMD!AK$10*$H$20,IF(AMD!$AT$35="Profile 2",AMD!AK$18*$H$20,IF(AMD!$AT$35="Profile 3",AMD!AK$26*$H$20,IF(AMD!$AT$35="Profile 4",AMD!AK$34*$H$20,IF(AMD!$AT$35="Profile 5",AMD!AK$42*$H$20,IF(AMD!$AT$35="Profile 6",AMD!AK$50*$H$20,0))))))</f>
        <v>0</v>
      </c>
      <c r="AW9" s="36">
        <f>IF(AMD!$AT$35="Profile 1",AMD!AL$10*$H$20,IF(AMD!$AT$35="Profile 2",AMD!AL$18*$H$20,IF(AMD!$AT$35="Profile 3",AMD!AL$26*$H$20,IF(AMD!$AT$35="Profile 4",AMD!AL$34*$H$20,IF(AMD!$AT$35="Profile 5",AMD!AL$42*$H$20,IF(AMD!$AT$35="Profile 6",AMD!AL$50*$H$20,0))))))</f>
        <v>0</v>
      </c>
      <c r="AX9" s="36">
        <f>IF(AMD!$AT$35="Profile 1",AMD!AM$10*$H$20,IF(AMD!$AT$35="Profile 2",AMD!AM$18*$H$20,IF(AMD!$AT$35="Profile 3",AMD!AM$26*$H$20,IF(AMD!$AT$35="Profile 4",AMD!AM$34*$H$20,IF(AMD!$AT$35="Profile 5",AMD!AM$42*$H$20,IF(AMD!$AT$35="Profile 6",AMD!AM$50*$H$20,0))))))</f>
        <v>0</v>
      </c>
      <c r="AY9" s="36">
        <f>IF(AMD!$AT$35="Profile 1",AMD!AN$10*$H$20,IF(AMD!$AT$35="Profile 2",AMD!AN$18*$H$20,IF(AMD!$AT$35="Profile 3",AMD!AN$26*$H$20,IF(AMD!$AT$35="Profile 4",AMD!AN$34*$H$20,IF(AMD!$AT$35="Profile 5",AMD!AN$42*$H$20,IF(AMD!$AT$35="Profile 6",AMD!AN$50*$H$20,0))))))</f>
        <v>0</v>
      </c>
      <c r="AZ9" s="36">
        <f>IF(AMD!$AT$35="Profile 1",AMD!AO$10*$H$20,IF(AMD!$AT$35="Profile 2",AMD!AO$18*$H$20,IF(AMD!$AT$35="Profile 3",AMD!AO$26*$H$20,IF(AMD!$AT$35="Profile 4",AMD!AO$34*$H$20,IF(AMD!$AT$35="Profile 5",AMD!AO$42*$H$20,IF(AMD!$AT$35="Profile 6",AMD!AO$50*$H$20,0))))))</f>
        <v>0</v>
      </c>
      <c r="BA9" s="90">
        <f t="shared" si="0"/>
        <v>0</v>
      </c>
    </row>
    <row r="10" spans="1:53">
      <c r="A10" s="255" t="s">
        <v>267</v>
      </c>
      <c r="B10" s="201" t="str">
        <f>_xlfn.XLOOKUP(B9,B15:M15,B14:M14)</f>
        <v>Jan</v>
      </c>
      <c r="C10" s="202"/>
      <c r="D10"/>
      <c r="E10"/>
      <c r="F10"/>
      <c r="G10"/>
      <c r="H10"/>
      <c r="I10"/>
      <c r="J10"/>
      <c r="K10"/>
      <c r="L10"/>
      <c r="M10"/>
      <c r="AE10" s="42" t="s">
        <v>189</v>
      </c>
      <c r="AF10" t="s">
        <v>281</v>
      </c>
      <c r="AG10" s="36">
        <f>IF(AMD!$AT$35="Profile 1",AMD!V$10*$I$20,IF(AMD!$AT$35="Profile 2",AMD!V$18*$I$20,IF(AMD!$AT$35="Profile 3",AMD!V$26*$I$20,IF(AMD!$AT$35="Profile 4",AMD!V$34*$I$20,IF(AMD!$AT$35="Profile 5",AMD!V$42*$I$20,IF(AMD!$AT$35="Profile 6",AMD!V$50*$I$20,0))))))</f>
        <v>0</v>
      </c>
      <c r="AH10" s="36">
        <f>IF(AMD!$AT$35="Profile 1",AMD!W$10*$I$20,IF(AMD!$AT$35="Profile 2",AMD!W$18*$I$20,IF(AMD!$AT$35="Profile 3",AMD!W$26*$I$20,IF(AMD!$AT$35="Profile 4",AMD!W$34*$I$20,IF(AMD!$AT$35="Profile 5",AMD!W$42*$I$20,IF(AMD!$AT$35="Profile 6",AMD!W$50*$I$20,0))))))</f>
        <v>0</v>
      </c>
      <c r="AI10" s="36">
        <f>IF(AMD!$AT$35="Profile 1",AMD!X$10*$I$20,IF(AMD!$AT$35="Profile 2",AMD!X$18*$I$20,IF(AMD!$AT$35="Profile 3",AMD!X$26*$I$20,IF(AMD!$AT$35="Profile 4",AMD!X$34*$I$20,IF(AMD!$AT$35="Profile 5",AMD!X$42*$I$20,IF(AMD!$AT$35="Profile 6",AMD!X$50*$I$20,0))))))</f>
        <v>0</v>
      </c>
      <c r="AJ10" s="36">
        <f>IF(AMD!$AT$35="Profile 1",AMD!Y$10*$I$20,IF(AMD!$AT$35="Profile 2",AMD!Y$18*$I$20,IF(AMD!$AT$35="Profile 3",AMD!Y$26*$I$20,IF(AMD!$AT$35="Profile 4",AMD!Y$34*$I$20,IF(AMD!$AT$35="Profile 5",AMD!Y$42*$I$20,IF(AMD!$AT$35="Profile 6",AMD!Y$50*$I$20,0))))))</f>
        <v>0</v>
      </c>
      <c r="AK10" s="36">
        <f>IF(AMD!$AT$35="Profile 1",AMD!Z$10*$I$20,IF(AMD!$AT$35="Profile 2",AMD!Z$18*$I$20,IF(AMD!$AT$35="Profile 3",AMD!Z$26*$I$20,IF(AMD!$AT$35="Profile 4",AMD!Z$34*$I$20,IF(AMD!$AT$35="Profile 5",AMD!Z$42*$I$20,IF(AMD!$AT$35="Profile 6",AMD!Z$50*$I$20,0))))))</f>
        <v>0</v>
      </c>
      <c r="AL10" s="36">
        <f>IF(AMD!$AT$35="Profile 1",AMD!AA$10*$I$20,IF(AMD!$AT$35="Profile 2",AMD!AA$18*$I$20,IF(AMD!$AT$35="Profile 3",AMD!AA$26*$I$20,IF(AMD!$AT$35="Profile 4",AMD!AA$34*$I$20,IF(AMD!$AT$35="Profile 5",AMD!AA$42*$I$20,IF(AMD!$AT$35="Profile 6",AMD!AA$50*$I$20,0))))))</f>
        <v>0</v>
      </c>
      <c r="AM10" s="36">
        <f>IF(AMD!$AT$35="Profile 1",AMD!AB$10*$I$20,IF(AMD!$AT$35="Profile 2",AMD!AB$18*$I$20,IF(AMD!$AT$35="Profile 3",AMD!AB$26*$I$20,IF(AMD!$AT$35="Profile 4",AMD!AB$34*$I$20,IF(AMD!$AT$35="Profile 5",AMD!AB$42*$I$20,IF(AMD!$AT$35="Profile 6",AMD!AB$50*$I$20,0))))))</f>
        <v>0</v>
      </c>
      <c r="AN10" s="36">
        <f>IF(AMD!$AT$35="Profile 1",AMD!AC$10*$I$20,IF(AMD!$AT$35="Profile 2",AMD!AC$18*$I$20,IF(AMD!$AT$35="Profile 3",AMD!AC$26*$I$20,IF(AMD!$AT$35="Profile 4",AMD!AC$34*$I$20,IF(AMD!$AT$35="Profile 5",AMD!AC$42*$I$20,IF(AMD!$AT$35="Profile 6",AMD!AC$50*$I$20,0))))))</f>
        <v>0</v>
      </c>
      <c r="AO10" s="36">
        <f>IF(AMD!$AT$35="Profile 1",AMD!AD$10*$I$20,IF(AMD!$AT$35="Profile 2",AMD!AD$18*$I$20,IF(AMD!$AT$35="Profile 3",AMD!AD$26*$I$20,IF(AMD!$AT$35="Profile 4",AMD!AD$34*$I$20,IF(AMD!$AT$35="Profile 5",AMD!AD$42*$I$20,IF(AMD!$AT$35="Profile 6",AMD!AD$50*$I$20,0))))))</f>
        <v>0</v>
      </c>
      <c r="AP10" s="36">
        <f>IF(AMD!$AT$35="Profile 1",AMD!AE$10*$I$20,IF(AMD!$AT$35="Profile 2",AMD!AE$18*$I$20,IF(AMD!$AT$35="Profile 3",AMD!AE$26*$I$20,IF(AMD!$AT$35="Profile 4",AMD!AE$34*$I$20,IF(AMD!$AT$35="Profile 5",AMD!AE$42*$I$20,IF(AMD!$AT$35="Profile 6",AMD!AE$50*$I$20,0))))))</f>
        <v>0</v>
      </c>
      <c r="AQ10" s="36">
        <f>IF(AMD!$AT$35="Profile 1",AMD!AF$10*$I$20,IF(AMD!$AT$35="Profile 2",AMD!AF$18*$I$20,IF(AMD!$AT$35="Profile 3",AMD!AF$26*$I$20,IF(AMD!$AT$35="Profile 4",AMD!AF$34*$I$20,IF(AMD!$AT$35="Profile 5",AMD!AF$42*$I$20,IF(AMD!$AT$35="Profile 6",AMD!AF$50*$I$20,0))))))</f>
        <v>0</v>
      </c>
      <c r="AR10" s="36">
        <f>IF(AMD!$AT$35="Profile 1",AMD!AG$10*$I$20,IF(AMD!$AT$35="Profile 2",AMD!AG$18*$I$20,IF(AMD!$AT$35="Profile 3",AMD!AG$26*$I$20,IF(AMD!$AT$35="Profile 4",AMD!AG$34*$I$20,IF(AMD!$AT$35="Profile 5",AMD!AG$42*$I$20,IF(AMD!$AT$35="Profile 6",AMD!AG$50*$I$20,0))))))</f>
        <v>0</v>
      </c>
      <c r="AS10" s="36">
        <f>IF(AMD!$AT$35="Profile 1",AMD!AH$10*$I$20,IF(AMD!$AT$35="Profile 2",AMD!AH$18*$I$20,IF(AMD!$AT$35="Profile 3",AMD!AH$26*$I$20,IF(AMD!$AT$35="Profile 4",AMD!AH$34*$I$20,IF(AMD!$AT$35="Profile 5",AMD!AH$42*$I$20,IF(AMD!$AT$35="Profile 6",AMD!AH$50*$I$20,0))))))</f>
        <v>0</v>
      </c>
      <c r="AT10" s="36">
        <f>IF(AMD!$AT$35="Profile 1",AMD!AI$10*$I$20,IF(AMD!$AT$35="Profile 2",AMD!AI$18*$I$20,IF(AMD!$AT$35="Profile 3",AMD!AI$26*$I$20,IF(AMD!$AT$35="Profile 4",AMD!AI$34*$I$20,IF(AMD!$AT$35="Profile 5",AMD!AI$42*$I$20,IF(AMD!$AT$35="Profile 6",AMD!AI$50*$I$20,0))))))</f>
        <v>0</v>
      </c>
      <c r="AU10" s="36">
        <f>IF(AMD!$AT$35="Profile 1",AMD!AJ$10*$I$20,IF(AMD!$AT$35="Profile 2",AMD!AJ$18*$I$20,IF(AMD!$AT$35="Profile 3",AMD!AJ$26*$I$20,IF(AMD!$AT$35="Profile 4",AMD!AJ$34*$I$20,IF(AMD!$AT$35="Profile 5",AMD!AJ$42*$I$20,IF(AMD!$AT$35="Profile 6",AMD!AJ$50*$I$20,0))))))</f>
        <v>0</v>
      </c>
      <c r="AV10" s="36">
        <f>IF(AMD!$AT$35="Profile 1",AMD!AK$10*$I$20,IF(AMD!$AT$35="Profile 2",AMD!AK$18*$I$20,IF(AMD!$AT$35="Profile 3",AMD!AK$26*$I$20,IF(AMD!$AT$35="Profile 4",AMD!AK$34*$I$20,IF(AMD!$AT$35="Profile 5",AMD!AK$42*$I$20,IF(AMD!$AT$35="Profile 6",AMD!AK$50*$I$20,0))))))</f>
        <v>0</v>
      </c>
      <c r="AW10" s="36">
        <f>IF(AMD!$AT$35="Profile 1",AMD!AL$10*$I$20,IF(AMD!$AT$35="Profile 2",AMD!AL$18*$I$20,IF(AMD!$AT$35="Profile 3",AMD!AL$26*$I$20,IF(AMD!$AT$35="Profile 4",AMD!AL$34*$I$20,IF(AMD!$AT$35="Profile 5",AMD!AL$42*$I$20,IF(AMD!$AT$35="Profile 6",AMD!AL$50*$I$20,0))))))</f>
        <v>0</v>
      </c>
      <c r="AX10" s="36">
        <f>IF(AMD!$AT$35="Profile 1",AMD!AM$10*$I$20,IF(AMD!$AT$35="Profile 2",AMD!AM$18*$I$20,IF(AMD!$AT$35="Profile 3",AMD!AM$26*$I$20,IF(AMD!$AT$35="Profile 4",AMD!AM$34*$I$20,IF(AMD!$AT$35="Profile 5",AMD!AM$42*$I$20,IF(AMD!$AT$35="Profile 6",AMD!AM$50*$I$20,0))))))</f>
        <v>0</v>
      </c>
      <c r="AY10" s="36">
        <f>IF(AMD!$AT$35="Profile 1",AMD!AN$10*$I$20,IF(AMD!$AT$35="Profile 2",AMD!AN$18*$I$20,IF(AMD!$AT$35="Profile 3",AMD!AN$26*$I$20,IF(AMD!$AT$35="Profile 4",AMD!AN$34*$I$20,IF(AMD!$AT$35="Profile 5",AMD!AN$42*$I$20,IF(AMD!$AT$35="Profile 6",AMD!AN$50*$I$20,0))))))</f>
        <v>0</v>
      </c>
      <c r="AZ10" s="36">
        <f>IF(AMD!$AT$35="Profile 1",AMD!AO$10*$I$20,IF(AMD!$AT$35="Profile 2",AMD!AO$18*$I$20,IF(AMD!$AT$35="Profile 3",AMD!AO$26*$I$20,IF(AMD!$AT$35="Profile 4",AMD!AO$34*$I$20,IF(AMD!$AT$35="Profile 5",AMD!AO$42*$I$20,IF(AMD!$AT$35="Profile 6",AMD!AO$50*$I$20,0))))))</f>
        <v>0</v>
      </c>
      <c r="BA10" s="90">
        <f t="shared" si="0"/>
        <v>0</v>
      </c>
    </row>
    <row r="11" spans="1:53">
      <c r="A11" s="255" t="s">
        <v>265</v>
      </c>
      <c r="B11" s="201">
        <f>MAX(B16:M16)</f>
        <v>19</v>
      </c>
      <c r="C11" s="202"/>
      <c r="D11"/>
      <c r="E11"/>
      <c r="F11"/>
      <c r="G11"/>
      <c r="H11"/>
      <c r="I11"/>
      <c r="J11"/>
      <c r="K11"/>
      <c r="L11"/>
      <c r="M11"/>
      <c r="AE11" s="42" t="s">
        <v>190</v>
      </c>
      <c r="AF11" t="s">
        <v>281</v>
      </c>
      <c r="AG11" s="36">
        <f>IF(AMD!$AT$35="Profile 1",AMD!V$10*$J$20,IF(AMD!$AT$35="Profile 2",AMD!V$18*$J$20,IF(AMD!$AT$35="Profile 3",AMD!V$26*$J$20,IF(AMD!$AT$35="Profile 4",AMD!V$34*$J$20,IF(AMD!$AT$35="Profile 5",AMD!V$42*$J$20,IF(AMD!$AT$35="Profile 6",AMD!V$50*$J$20,0))))))</f>
        <v>0</v>
      </c>
      <c r="AH11" s="36">
        <f>IF(AMD!$AT$35="Profile 1",AMD!W$10*$J$20,IF(AMD!$AT$35="Profile 2",AMD!W$18*$J$20,IF(AMD!$AT$35="Profile 3",AMD!W$26*$J$20,IF(AMD!$AT$35="Profile 4",AMD!W$34*$J$20,IF(AMD!$AT$35="Profile 5",AMD!W$42*$J$20,IF(AMD!$AT$35="Profile 6",AMD!W$50*$J$20,0))))))</f>
        <v>0</v>
      </c>
      <c r="AI11" s="36">
        <f>IF(AMD!$AT$35="Profile 1",AMD!X$10*$J$20,IF(AMD!$AT$35="Profile 2",AMD!X$18*$J$20,IF(AMD!$AT$35="Profile 3",AMD!X$26*$J$20,IF(AMD!$AT$35="Profile 4",AMD!X$34*$J$20,IF(AMD!$AT$35="Profile 5",AMD!X$42*$J$20,IF(AMD!$AT$35="Profile 6",AMD!X$50*$J$20,0))))))</f>
        <v>0</v>
      </c>
      <c r="AJ11" s="36">
        <f>IF(AMD!$AT$35="Profile 1",AMD!Y$10*$J$20,IF(AMD!$AT$35="Profile 2",AMD!Y$18*$J$20,IF(AMD!$AT$35="Profile 3",AMD!Y$26*$J$20,IF(AMD!$AT$35="Profile 4",AMD!Y$34*$J$20,IF(AMD!$AT$35="Profile 5",AMD!Y$42*$J$20,IF(AMD!$AT$35="Profile 6",AMD!Y$50*$J$20,0))))))</f>
        <v>0</v>
      </c>
      <c r="AK11" s="36">
        <f>IF(AMD!$AT$35="Profile 1",AMD!Z$10*$J$20,IF(AMD!$AT$35="Profile 2",AMD!Z$18*$J$20,IF(AMD!$AT$35="Profile 3",AMD!Z$26*$J$20,IF(AMD!$AT$35="Profile 4",AMD!Z$34*$J$20,IF(AMD!$AT$35="Profile 5",AMD!Z$42*$J$20,IF(AMD!$AT$35="Profile 6",AMD!Z$50*$J$20,0))))))</f>
        <v>0</v>
      </c>
      <c r="AL11" s="36">
        <f>IF(AMD!$AT$35="Profile 1",AMD!AA$10*$J$20,IF(AMD!$AT$35="Profile 2",AMD!AA$18*$J$20,IF(AMD!$AT$35="Profile 3",AMD!AA$26*$J$20,IF(AMD!$AT$35="Profile 4",AMD!AA$34*$J$20,IF(AMD!$AT$35="Profile 5",AMD!AA$42*$J$20,IF(AMD!$AT$35="Profile 6",AMD!AA$50*$J$20,0))))))</f>
        <v>0</v>
      </c>
      <c r="AM11" s="36">
        <f>IF(AMD!$AT$35="Profile 1",AMD!AB$10*$J$20,IF(AMD!$AT$35="Profile 2",AMD!AB$18*$J$20,IF(AMD!$AT$35="Profile 3",AMD!AB$26*$J$20,IF(AMD!$AT$35="Profile 4",AMD!AB$34*$J$20,IF(AMD!$AT$35="Profile 5",AMD!AB$42*$J$20,IF(AMD!$AT$35="Profile 6",AMD!AB$50*$J$20,0))))))</f>
        <v>0</v>
      </c>
      <c r="AN11" s="36">
        <f>IF(AMD!$AT$35="Profile 1",AMD!AC$10*$J$20,IF(AMD!$AT$35="Profile 2",AMD!AC$18*$J$20,IF(AMD!$AT$35="Profile 3",AMD!AC$26*$J$20,IF(AMD!$AT$35="Profile 4",AMD!AC$34*$J$20,IF(AMD!$AT$35="Profile 5",AMD!AC$42*$J$20,IF(AMD!$AT$35="Profile 6",AMD!AC$50*$J$20,0))))))</f>
        <v>0</v>
      </c>
      <c r="AO11" s="36">
        <f>IF(AMD!$AT$35="Profile 1",AMD!AD$10*$J$20,IF(AMD!$AT$35="Profile 2",AMD!AD$18*$J$20,IF(AMD!$AT$35="Profile 3",AMD!AD$26*$J$20,IF(AMD!$AT$35="Profile 4",AMD!AD$34*$J$20,IF(AMD!$AT$35="Profile 5",AMD!AD$42*$J$20,IF(AMD!$AT$35="Profile 6",AMD!AD$50*$J$20,0))))))</f>
        <v>0</v>
      </c>
      <c r="AP11" s="36">
        <f>IF(AMD!$AT$35="Profile 1",AMD!AE$10*$J$20,IF(AMD!$AT$35="Profile 2",AMD!AE$18*$J$20,IF(AMD!$AT$35="Profile 3",AMD!AE$26*$J$20,IF(AMD!$AT$35="Profile 4",AMD!AE$34*$J$20,IF(AMD!$AT$35="Profile 5",AMD!AE$42*$J$20,IF(AMD!$AT$35="Profile 6",AMD!AE$50*$J$20,0))))))</f>
        <v>0</v>
      </c>
      <c r="AQ11" s="36">
        <f>IF(AMD!$AT$35="Profile 1",AMD!AF$10*$J$20,IF(AMD!$AT$35="Profile 2",AMD!AF$18*$J$20,IF(AMD!$AT$35="Profile 3",AMD!AF$26*$J$20,IF(AMD!$AT$35="Profile 4",AMD!AF$34*$J$20,IF(AMD!$AT$35="Profile 5",AMD!AF$42*$J$20,IF(AMD!$AT$35="Profile 6",AMD!AF$50*$J$20,0))))))</f>
        <v>0</v>
      </c>
      <c r="AR11" s="36">
        <f>IF(AMD!$AT$35="Profile 1",AMD!AG$10*$J$20,IF(AMD!$AT$35="Profile 2",AMD!AG$18*$J$20,IF(AMD!$AT$35="Profile 3",AMD!AG$26*$J$20,IF(AMD!$AT$35="Profile 4",AMD!AG$34*$J$20,IF(AMD!$AT$35="Profile 5",AMD!AG$42*$J$20,IF(AMD!$AT$35="Profile 6",AMD!AG$50*$J$20,0))))))</f>
        <v>0</v>
      </c>
      <c r="AS11" s="36">
        <f>IF(AMD!$AT$35="Profile 1",AMD!AH$10*$J$20,IF(AMD!$AT$35="Profile 2",AMD!AH$18*$J$20,IF(AMD!$AT$35="Profile 3",AMD!AH$26*$J$20,IF(AMD!$AT$35="Profile 4",AMD!AH$34*$J$20,IF(AMD!$AT$35="Profile 5",AMD!AH$42*$J$20,IF(AMD!$AT$35="Profile 6",AMD!AH$50*$J$20,0))))))</f>
        <v>0</v>
      </c>
      <c r="AT11" s="36">
        <f>IF(AMD!$AT$35="Profile 1",AMD!AI$10*$J$20,IF(AMD!$AT$35="Profile 2",AMD!AI$18*$J$20,IF(AMD!$AT$35="Profile 3",AMD!AI$26*$J$20,IF(AMD!$AT$35="Profile 4",AMD!AI$34*$J$20,IF(AMD!$AT$35="Profile 5",AMD!AI$42*$J$20,IF(AMD!$AT$35="Profile 6",AMD!AI$50*$J$20,0))))))</f>
        <v>0</v>
      </c>
      <c r="AU11" s="36">
        <f>IF(AMD!$AT$35="Profile 1",AMD!AJ$10*$J$20,IF(AMD!$AT$35="Profile 2",AMD!AJ$18*$J$20,IF(AMD!$AT$35="Profile 3",AMD!AJ$26*$J$20,IF(AMD!$AT$35="Profile 4",AMD!AJ$34*$J$20,IF(AMD!$AT$35="Profile 5",AMD!AJ$42*$J$20,IF(AMD!$AT$35="Profile 6",AMD!AJ$50*$J$20,0))))))</f>
        <v>0</v>
      </c>
      <c r="AV11" s="36">
        <f>IF(AMD!$AT$35="Profile 1",AMD!AK$10*$J$20,IF(AMD!$AT$35="Profile 2",AMD!AK$18*$J$20,IF(AMD!$AT$35="Profile 3",AMD!AK$26*$J$20,IF(AMD!$AT$35="Profile 4",AMD!AK$34*$J$20,IF(AMD!$AT$35="Profile 5",AMD!AK$42*$J$20,IF(AMD!$AT$35="Profile 6",AMD!AK$50*$J$20,0))))))</f>
        <v>0</v>
      </c>
      <c r="AW11" s="36">
        <f>IF(AMD!$AT$35="Profile 1",AMD!AL$10*$J$20,IF(AMD!$AT$35="Profile 2",AMD!AL$18*$J$20,IF(AMD!$AT$35="Profile 3",AMD!AL$26*$J$20,IF(AMD!$AT$35="Profile 4",AMD!AL$34*$J$20,IF(AMD!$AT$35="Profile 5",AMD!AL$42*$J$20,IF(AMD!$AT$35="Profile 6",AMD!AL$50*$J$20,0))))))</f>
        <v>0</v>
      </c>
      <c r="AX11" s="36">
        <f>IF(AMD!$AT$35="Profile 1",AMD!AM$10*$J$20,IF(AMD!$AT$35="Profile 2",AMD!AM$18*$J$20,IF(AMD!$AT$35="Profile 3",AMD!AM$26*$J$20,IF(AMD!$AT$35="Profile 4",AMD!AM$34*$J$20,IF(AMD!$AT$35="Profile 5",AMD!AM$42*$J$20,IF(AMD!$AT$35="Profile 6",AMD!AM$50*$J$20,0))))))</f>
        <v>0</v>
      </c>
      <c r="AY11" s="36">
        <f>IF(AMD!$AT$35="Profile 1",AMD!AN$10*$J$20,IF(AMD!$AT$35="Profile 2",AMD!AN$18*$J$20,IF(AMD!$AT$35="Profile 3",AMD!AN$26*$J$20,IF(AMD!$AT$35="Profile 4",AMD!AN$34*$J$20,IF(AMD!$AT$35="Profile 5",AMD!AN$42*$J$20,IF(AMD!$AT$35="Profile 6",AMD!AN$50*$J$20,0))))))</f>
        <v>0</v>
      </c>
      <c r="AZ11" s="36">
        <f>IF(AMD!$AT$35="Profile 1",AMD!AO$10*$J$20,IF(AMD!$AT$35="Profile 2",AMD!AO$18*$J$20,IF(AMD!$AT$35="Profile 3",AMD!AO$26*$J$20,IF(AMD!$AT$35="Profile 4",AMD!AO$34*$J$20,IF(AMD!$AT$35="Profile 5",AMD!AO$42*$J$20,IF(AMD!$AT$35="Profile 6",AMD!AO$50*$J$20,0))))))</f>
        <v>0</v>
      </c>
      <c r="BA11" s="90">
        <f t="shared" si="0"/>
        <v>0</v>
      </c>
    </row>
    <row r="12" spans="1:53" ht="15" thickBot="1">
      <c r="A12" s="244" t="s">
        <v>266</v>
      </c>
      <c r="B12" s="203" t="str">
        <f>_xlfn.XLOOKUP(B11,B16:M16,B14:M14)</f>
        <v>Jul</v>
      </c>
      <c r="C12" s="204"/>
      <c r="D12"/>
      <c r="E12"/>
      <c r="F12"/>
      <c r="G12"/>
      <c r="H12"/>
      <c r="I12"/>
      <c r="J12"/>
      <c r="K12"/>
      <c r="L12"/>
      <c r="M12"/>
      <c r="AE12" s="42" t="s">
        <v>191</v>
      </c>
      <c r="AF12" t="s">
        <v>281</v>
      </c>
      <c r="AG12" s="36">
        <f>IF(AMD!$AT$35="Profile 1",AMD!V$10*$K$20,IF(AMD!$AT$35="Profile 2",AMD!V$18*$K$20,IF(AMD!$AT$35="Profile 3",AMD!V$26*$K$20,IF(AMD!$AT$35="Profile 4",AMD!V$34*$K$20,IF(AMD!$AT$35="Profile 5",AMD!V$42*$K$20,IF(AMD!$AT$35="Profile 6",AMD!V$50*$K$20,0))))))</f>
        <v>0</v>
      </c>
      <c r="AH12" s="36">
        <f>IF(AMD!$AT$35="Profile 1",AMD!W$10*$K$20,IF(AMD!$AT$35="Profile 2",AMD!W$18*$K$20,IF(AMD!$AT$35="Profile 3",AMD!W$26*$K$20,IF(AMD!$AT$35="Profile 4",AMD!W$34*$K$20,IF(AMD!$AT$35="Profile 5",AMD!W$42*$K$20,IF(AMD!$AT$35="Profile 6",AMD!W$50*$K$20,0))))))</f>
        <v>0</v>
      </c>
      <c r="AI12" s="36">
        <f>IF(AMD!$AT$35="Profile 1",AMD!X$10*$K$20,IF(AMD!$AT$35="Profile 2",AMD!X$18*$K$20,IF(AMD!$AT$35="Profile 3",AMD!X$26*$K$20,IF(AMD!$AT$35="Profile 4",AMD!X$34*$K$20,IF(AMD!$AT$35="Profile 5",AMD!X$42*$K$20,IF(AMD!$AT$35="Profile 6",AMD!X$50*$K$20,0))))))</f>
        <v>0</v>
      </c>
      <c r="AJ12" s="36">
        <f>IF(AMD!$AT$35="Profile 1",AMD!Y$10*$K$20,IF(AMD!$AT$35="Profile 2",AMD!Y$18*$K$20,IF(AMD!$AT$35="Profile 3",AMD!Y$26*$K$20,IF(AMD!$AT$35="Profile 4",AMD!Y$34*$K$20,IF(AMD!$AT$35="Profile 5",AMD!Y$42*$K$20,IF(AMD!$AT$35="Profile 6",AMD!Y$50*$K$20,0))))))</f>
        <v>0</v>
      </c>
      <c r="AK12" s="36">
        <f>IF(AMD!$AT$35="Profile 1",AMD!Z$10*$K$20,IF(AMD!$AT$35="Profile 2",AMD!Z$18*$K$20,IF(AMD!$AT$35="Profile 3",AMD!Z$26*$K$20,IF(AMD!$AT$35="Profile 4",AMD!Z$34*$K$20,IF(AMD!$AT$35="Profile 5",AMD!Z$42*$K$20,IF(AMD!$AT$35="Profile 6",AMD!Z$50*$K$20,0))))))</f>
        <v>0</v>
      </c>
      <c r="AL12" s="36">
        <f>IF(AMD!$AT$35="Profile 1",AMD!AA$10*$K$20,IF(AMD!$AT$35="Profile 2",AMD!AA$18*$K$20,IF(AMD!$AT$35="Profile 3",AMD!AA$26*$K$20,IF(AMD!$AT$35="Profile 4",AMD!AA$34*$K$20,IF(AMD!$AT$35="Profile 5",AMD!AA$42*$K$20,IF(AMD!$AT$35="Profile 6",AMD!AA$50*$K$20,0))))))</f>
        <v>0</v>
      </c>
      <c r="AM12" s="36">
        <f>IF(AMD!$AT$35="Profile 1",AMD!AB$10*$K$20,IF(AMD!$AT$35="Profile 2",AMD!AB$18*$K$20,IF(AMD!$AT$35="Profile 3",AMD!AB$26*$K$20,IF(AMD!$AT$35="Profile 4",AMD!AB$34*$K$20,IF(AMD!$AT$35="Profile 5",AMD!AB$42*$K$20,IF(AMD!$AT$35="Profile 6",AMD!AB$50*$K$20,0))))))</f>
        <v>0</v>
      </c>
      <c r="AN12" s="36">
        <f>IF(AMD!$AT$35="Profile 1",AMD!AC$10*$K$20,IF(AMD!$AT$35="Profile 2",AMD!AC$18*$K$20,IF(AMD!$AT$35="Profile 3",AMD!AC$26*$K$20,IF(AMD!$AT$35="Profile 4",AMD!AC$34*$K$20,IF(AMD!$AT$35="Profile 5",AMD!AC$42*$K$20,IF(AMD!$AT$35="Profile 6",AMD!AC$50*$K$20,0))))))</f>
        <v>0</v>
      </c>
      <c r="AO12" s="36">
        <f>IF(AMD!$AT$35="Profile 1",AMD!AD$10*$K$20,IF(AMD!$AT$35="Profile 2",AMD!AD$18*$K$20,IF(AMD!$AT$35="Profile 3",AMD!AD$26*$K$20,IF(AMD!$AT$35="Profile 4",AMD!AD$34*$K$20,IF(AMD!$AT$35="Profile 5",AMD!AD$42*$K$20,IF(AMD!$AT$35="Profile 6",AMD!AD$50*$K$20,0))))))</f>
        <v>0</v>
      </c>
      <c r="AP12" s="36">
        <f>IF(AMD!$AT$35="Profile 1",AMD!AE$10*$K$20,IF(AMD!$AT$35="Profile 2",AMD!AE$18*$K$20,IF(AMD!$AT$35="Profile 3",AMD!AE$26*$K$20,IF(AMD!$AT$35="Profile 4",AMD!AE$34*$K$20,IF(AMD!$AT$35="Profile 5",AMD!AE$42*$K$20,IF(AMD!$AT$35="Profile 6",AMD!AE$50*$K$20,0))))))</f>
        <v>0</v>
      </c>
      <c r="AQ12" s="36">
        <f>IF(AMD!$AT$35="Profile 1",AMD!AF$10*$K$20,IF(AMD!$AT$35="Profile 2",AMD!AF$18*$K$20,IF(AMD!$AT$35="Profile 3",AMD!AF$26*$K$20,IF(AMD!$AT$35="Profile 4",AMD!AF$34*$K$20,IF(AMD!$AT$35="Profile 5",AMD!AF$42*$K$20,IF(AMD!$AT$35="Profile 6",AMD!AF$50*$K$20,0))))))</f>
        <v>0</v>
      </c>
      <c r="AR12" s="36">
        <f>IF(AMD!$AT$35="Profile 1",AMD!AG$10*$K$20,IF(AMD!$AT$35="Profile 2",AMD!AG$18*$K$20,IF(AMD!$AT$35="Profile 3",AMD!AG$26*$K$20,IF(AMD!$AT$35="Profile 4",AMD!AG$34*$K$20,IF(AMD!$AT$35="Profile 5",AMD!AG$42*$K$20,IF(AMD!$AT$35="Profile 6",AMD!AG$50*$K$20,0))))))</f>
        <v>0</v>
      </c>
      <c r="AS12" s="36">
        <f>IF(AMD!$AT$35="Profile 1",AMD!AH$10*$K$20,IF(AMD!$AT$35="Profile 2",AMD!AH$18*$K$20,IF(AMD!$AT$35="Profile 3",AMD!AH$26*$K$20,IF(AMD!$AT$35="Profile 4",AMD!AH$34*$K$20,IF(AMD!$AT$35="Profile 5",AMD!AH$42*$K$20,IF(AMD!$AT$35="Profile 6",AMD!AH$50*$K$20,0))))))</f>
        <v>0</v>
      </c>
      <c r="AT12" s="36">
        <f>IF(AMD!$AT$35="Profile 1",AMD!AI$10*$K$20,IF(AMD!$AT$35="Profile 2",AMD!AI$18*$K$20,IF(AMD!$AT$35="Profile 3",AMD!AI$26*$K$20,IF(AMD!$AT$35="Profile 4",AMD!AI$34*$K$20,IF(AMD!$AT$35="Profile 5",AMD!AI$42*$K$20,IF(AMD!$AT$35="Profile 6",AMD!AI$50*$K$20,0))))))</f>
        <v>0</v>
      </c>
      <c r="AU12" s="36">
        <f>IF(AMD!$AT$35="Profile 1",AMD!AJ$10*$K$20,IF(AMD!$AT$35="Profile 2",AMD!AJ$18*$K$20,IF(AMD!$AT$35="Profile 3",AMD!AJ$26*$K$20,IF(AMD!$AT$35="Profile 4",AMD!AJ$34*$K$20,IF(AMD!$AT$35="Profile 5",AMD!AJ$42*$K$20,IF(AMD!$AT$35="Profile 6",AMD!AJ$50*$K$20,0))))))</f>
        <v>0</v>
      </c>
      <c r="AV12" s="36">
        <f>IF(AMD!$AT$35="Profile 1",AMD!AK$10*$K$20,IF(AMD!$AT$35="Profile 2",AMD!AK$18*$K$20,IF(AMD!$AT$35="Profile 3",AMD!AK$26*$K$20,IF(AMD!$AT$35="Profile 4",AMD!AK$34*$K$20,IF(AMD!$AT$35="Profile 5",AMD!AK$42*$K$20,IF(AMD!$AT$35="Profile 6",AMD!AK$50*$K$20,0))))))</f>
        <v>0</v>
      </c>
      <c r="AW12" s="36">
        <f>IF(AMD!$AT$35="Profile 1",AMD!AL$10*$K$20,IF(AMD!$AT$35="Profile 2",AMD!AL$18*$K$20,IF(AMD!$AT$35="Profile 3",AMD!AL$26*$K$20,IF(AMD!$AT$35="Profile 4",AMD!AL$34*$K$20,IF(AMD!$AT$35="Profile 5",AMD!AL$42*$K$20,IF(AMD!$AT$35="Profile 6",AMD!AL$50*$K$20,0))))))</f>
        <v>0</v>
      </c>
      <c r="AX12" s="36">
        <f>IF(AMD!$AT$35="Profile 1",AMD!AM$10*$K$20,IF(AMD!$AT$35="Profile 2",AMD!AM$18*$K$20,IF(AMD!$AT$35="Profile 3",AMD!AM$26*$K$20,IF(AMD!$AT$35="Profile 4",AMD!AM$34*$K$20,IF(AMD!$AT$35="Profile 5",AMD!AM$42*$K$20,IF(AMD!$AT$35="Profile 6",AMD!AM$50*$K$20,0))))))</f>
        <v>0</v>
      </c>
      <c r="AY12" s="36">
        <f>IF(AMD!$AT$35="Profile 1",AMD!AN$10*$K$20,IF(AMD!$AT$35="Profile 2",AMD!AN$18*$K$20,IF(AMD!$AT$35="Profile 3",AMD!AN$26*$K$20,IF(AMD!$AT$35="Profile 4",AMD!AN$34*$K$20,IF(AMD!$AT$35="Profile 5",AMD!AN$42*$K$20,IF(AMD!$AT$35="Profile 6",AMD!AN$50*$K$20,0))))))</f>
        <v>0</v>
      </c>
      <c r="AZ12" s="36">
        <f>IF(AMD!$AT$35="Profile 1",AMD!AO$10*$K$20,IF(AMD!$AT$35="Profile 2",AMD!AO$18*$K$20,IF(AMD!$AT$35="Profile 3",AMD!AO$26*$K$20,IF(AMD!$AT$35="Profile 4",AMD!AO$34*$K$20,IF(AMD!$AT$35="Profile 5",AMD!AO$42*$K$20,IF(AMD!$AT$35="Profile 6",AMD!AO$50*$K$20,0))))))</f>
        <v>0</v>
      </c>
      <c r="BA12" s="90">
        <f t="shared" si="0"/>
        <v>0</v>
      </c>
    </row>
    <row r="13" spans="1:53" ht="15" thickBot="1">
      <c r="A13"/>
      <c r="B13"/>
      <c r="C13"/>
      <c r="D13"/>
      <c r="E13"/>
      <c r="F13"/>
      <c r="G13"/>
      <c r="H13"/>
      <c r="I13"/>
      <c r="J13"/>
      <c r="K13"/>
      <c r="L13"/>
      <c r="M13"/>
      <c r="AE13" s="42" t="s">
        <v>192</v>
      </c>
      <c r="AF13" t="s">
        <v>281</v>
      </c>
      <c r="AG13" s="36">
        <f>IF(AMD!$AT$35="Profile 1",AMD!V$10*$L$20,IF(AMD!$AT$35="Profile 2",AMD!V$18*$L$20,IF(AMD!$AT$35="Profile 3",AMD!V$26*$L$20,IF(AMD!$AT$35="Profile 4",AMD!V$34*$L$20,IF(AMD!$AT$35="Profile 5",AMD!V$42*$L$20,IF(AMD!$AT$35="Profile 6",AMD!V$50*$L$20,0))))))</f>
        <v>0</v>
      </c>
      <c r="AH13" s="36">
        <f>IF(AMD!$AT$35="Profile 1",AMD!W$10*$L$20,IF(AMD!$AT$35="Profile 2",AMD!W$18*$L$20,IF(AMD!$AT$35="Profile 3",AMD!W$26*$L$20,IF(AMD!$AT$35="Profile 4",AMD!W$34*$L$20,IF(AMD!$AT$35="Profile 5",AMD!W$42*$L$20,IF(AMD!$AT$35="Profile 6",AMD!W$50*$L$20,0))))))</f>
        <v>0</v>
      </c>
      <c r="AI13" s="36">
        <f>IF(AMD!$AT$35="Profile 1",AMD!X$10*$L$20,IF(AMD!$AT$35="Profile 2",AMD!X$18*$L$20,IF(AMD!$AT$35="Profile 3",AMD!X$26*$L$20,IF(AMD!$AT$35="Profile 4",AMD!X$34*$L$20,IF(AMD!$AT$35="Profile 5",AMD!X$42*$L$20,IF(AMD!$AT$35="Profile 6",AMD!X$50*$L$20,0))))))</f>
        <v>0</v>
      </c>
      <c r="AJ13" s="36">
        <f>IF(AMD!$AT$35="Profile 1",AMD!Y$10*$L$20,IF(AMD!$AT$35="Profile 2",AMD!Y$18*$L$20,IF(AMD!$AT$35="Profile 3",AMD!Y$26*$L$20,IF(AMD!$AT$35="Profile 4",AMD!Y$34*$L$20,IF(AMD!$AT$35="Profile 5",AMD!Y$42*$L$20,IF(AMD!$AT$35="Profile 6",AMD!Y$50*$L$20,0))))))</f>
        <v>0</v>
      </c>
      <c r="AK13" s="36">
        <f>IF(AMD!$AT$35="Profile 1",AMD!Z$10*$L$20,IF(AMD!$AT$35="Profile 2",AMD!Z$18*$L$20,IF(AMD!$AT$35="Profile 3",AMD!Z$26*$L$20,IF(AMD!$AT$35="Profile 4",AMD!Z$34*$L$20,IF(AMD!$AT$35="Profile 5",AMD!Z$42*$L$20,IF(AMD!$AT$35="Profile 6",AMD!Z$50*$L$20,0))))))</f>
        <v>0</v>
      </c>
      <c r="AL13" s="36">
        <f>IF(AMD!$AT$35="Profile 1",AMD!AA$10*$L$20,IF(AMD!$AT$35="Profile 2",AMD!AA$18*$L$20,IF(AMD!$AT$35="Profile 3",AMD!AA$26*$L$20,IF(AMD!$AT$35="Profile 4",AMD!AA$34*$L$20,IF(AMD!$AT$35="Profile 5",AMD!AA$42*$L$20,IF(AMD!$AT$35="Profile 6",AMD!AA$50*$L$20,0))))))</f>
        <v>0</v>
      </c>
      <c r="AM13" s="36">
        <f>IF(AMD!$AT$35="Profile 1",AMD!AB$10*$L$20,IF(AMD!$AT$35="Profile 2",AMD!AB$18*$L$20,IF(AMD!$AT$35="Profile 3",AMD!AB$26*$L$20,IF(AMD!$AT$35="Profile 4",AMD!AB$34*$L$20,IF(AMD!$AT$35="Profile 5",AMD!AB$42*$L$20,IF(AMD!$AT$35="Profile 6",AMD!AB$50*$L$20,0))))))</f>
        <v>0</v>
      </c>
      <c r="AN13" s="36">
        <f>IF(AMD!$AT$35="Profile 1",AMD!AC$10*$L$20,IF(AMD!$AT$35="Profile 2",AMD!AC$18*$L$20,IF(AMD!$AT$35="Profile 3",AMD!AC$26*$L$20,IF(AMD!$AT$35="Profile 4",AMD!AC$34*$L$20,IF(AMD!$AT$35="Profile 5",AMD!AC$42*$L$20,IF(AMD!$AT$35="Profile 6",AMD!AC$50*$L$20,0))))))</f>
        <v>0</v>
      </c>
      <c r="AO13" s="36">
        <f>IF(AMD!$AT$35="Profile 1",AMD!AD$10*$L$20,IF(AMD!$AT$35="Profile 2",AMD!AD$18*$L$20,IF(AMD!$AT$35="Profile 3",AMD!AD$26*$L$20,IF(AMD!$AT$35="Profile 4",AMD!AD$34*$L$20,IF(AMD!$AT$35="Profile 5",AMD!AD$42*$L$20,IF(AMD!$AT$35="Profile 6",AMD!AD$50*$L$20,0))))))</f>
        <v>0</v>
      </c>
      <c r="AP13" s="36">
        <f>IF(AMD!$AT$35="Profile 1",AMD!AE$10*$L$20,IF(AMD!$AT$35="Profile 2",AMD!AE$18*$L$20,IF(AMD!$AT$35="Profile 3",AMD!AE$26*$L$20,IF(AMD!$AT$35="Profile 4",AMD!AE$34*$L$20,IF(AMD!$AT$35="Profile 5",AMD!AE$42*$L$20,IF(AMD!$AT$35="Profile 6",AMD!AE$50*$L$20,0))))))</f>
        <v>0</v>
      </c>
      <c r="AQ13" s="36">
        <f>IF(AMD!$AT$35="Profile 1",AMD!AF$10*$L$20,IF(AMD!$AT$35="Profile 2",AMD!AF$18*$L$20,IF(AMD!$AT$35="Profile 3",AMD!AF$26*$L$20,IF(AMD!$AT$35="Profile 4",AMD!AF$34*$L$20,IF(AMD!$AT$35="Profile 5",AMD!AF$42*$L$20,IF(AMD!$AT$35="Profile 6",AMD!AF$50*$L$20,0))))))</f>
        <v>0</v>
      </c>
      <c r="AR13" s="36">
        <f>IF(AMD!$AT$35="Profile 1",AMD!AG$10*$L$20,IF(AMD!$AT$35="Profile 2",AMD!AG$18*$L$20,IF(AMD!$AT$35="Profile 3",AMD!AG$26*$L$20,IF(AMD!$AT$35="Profile 4",AMD!AG$34*$L$20,IF(AMD!$AT$35="Profile 5",AMD!AG$42*$L$20,IF(AMD!$AT$35="Profile 6",AMD!AG$50*$L$20,0))))))</f>
        <v>0</v>
      </c>
      <c r="AS13" s="36">
        <f>IF(AMD!$AT$35="Profile 1",AMD!AH$10*$L$20,IF(AMD!$AT$35="Profile 2",AMD!AH$18*$L$20,IF(AMD!$AT$35="Profile 3",AMD!AH$26*$L$20,IF(AMD!$AT$35="Profile 4",AMD!AH$34*$L$20,IF(AMD!$AT$35="Profile 5",AMD!AH$42*$L$20,IF(AMD!$AT$35="Profile 6",AMD!AH$50*$L$20,0))))))</f>
        <v>0</v>
      </c>
      <c r="AT13" s="36">
        <f>IF(AMD!$AT$35="Profile 1",AMD!AI$10*$L$20,IF(AMD!$AT$35="Profile 2",AMD!AI$18*$L$20,IF(AMD!$AT$35="Profile 3",AMD!AI$26*$L$20,IF(AMD!$AT$35="Profile 4",AMD!AI$34*$L$20,IF(AMD!$AT$35="Profile 5",AMD!AI$42*$L$20,IF(AMD!$AT$35="Profile 6",AMD!AI$50*$L$20,0))))))</f>
        <v>0</v>
      </c>
      <c r="AU13" s="36">
        <f>IF(AMD!$AT$35="Profile 1",AMD!AJ$10*$L$20,IF(AMD!$AT$35="Profile 2",AMD!AJ$18*$L$20,IF(AMD!$AT$35="Profile 3",AMD!AJ$26*$L$20,IF(AMD!$AT$35="Profile 4",AMD!AJ$34*$L$20,IF(AMD!$AT$35="Profile 5",AMD!AJ$42*$L$20,IF(AMD!$AT$35="Profile 6",AMD!AJ$50*$L$20,0))))))</f>
        <v>0</v>
      </c>
      <c r="AV13" s="36">
        <f>IF(AMD!$AT$35="Profile 1",AMD!AK$10*$L$20,IF(AMD!$AT$35="Profile 2",AMD!AK$18*$L$20,IF(AMD!$AT$35="Profile 3",AMD!AK$26*$L$20,IF(AMD!$AT$35="Profile 4",AMD!AK$34*$L$20,IF(AMD!$AT$35="Profile 5",AMD!AK$42*$L$20,IF(AMD!$AT$35="Profile 6",AMD!AK$50*$L$20,0))))))</f>
        <v>0</v>
      </c>
      <c r="AW13" s="36">
        <f>IF(AMD!$AT$35="Profile 1",AMD!AL$10*$L$20,IF(AMD!$AT$35="Profile 2",AMD!AL$18*$L$20,IF(AMD!$AT$35="Profile 3",AMD!AL$26*$L$20,IF(AMD!$AT$35="Profile 4",AMD!AL$34*$L$20,IF(AMD!$AT$35="Profile 5",AMD!AL$42*$L$20,IF(AMD!$AT$35="Profile 6",AMD!AL$50*$L$20,0))))))</f>
        <v>0</v>
      </c>
      <c r="AX13" s="36">
        <f>IF(AMD!$AT$35="Profile 1",AMD!AM$10*$L$20,IF(AMD!$AT$35="Profile 2",AMD!AM$18*$L$20,IF(AMD!$AT$35="Profile 3",AMD!AM$26*$L$20,IF(AMD!$AT$35="Profile 4",AMD!AM$34*$L$20,IF(AMD!$AT$35="Profile 5",AMD!AM$42*$L$20,IF(AMD!$AT$35="Profile 6",AMD!AM$50*$L$20,0))))))</f>
        <v>0</v>
      </c>
      <c r="AY13" s="36">
        <f>IF(AMD!$AT$35="Profile 1",AMD!AN$10*$L$20,IF(AMD!$AT$35="Profile 2",AMD!AN$18*$L$20,IF(AMD!$AT$35="Profile 3",AMD!AN$26*$L$20,IF(AMD!$AT$35="Profile 4",AMD!AN$34*$L$20,IF(AMD!$AT$35="Profile 5",AMD!AN$42*$L$20,IF(AMD!$AT$35="Profile 6",AMD!AN$50*$L$20,0))))))</f>
        <v>0</v>
      </c>
      <c r="AZ13" s="36">
        <f>IF(AMD!$AT$35="Profile 1",AMD!AO$10*$L$20,IF(AMD!$AT$35="Profile 2",AMD!AO$18*$L$20,IF(AMD!$AT$35="Profile 3",AMD!AO$26*$L$20,IF(AMD!$AT$35="Profile 4",AMD!AO$34*$L$20,IF(AMD!$AT$35="Profile 5",AMD!AO$42*$L$20,IF(AMD!$AT$35="Profile 6",AMD!AO$50*$L$20,0))))))</f>
        <v>0</v>
      </c>
      <c r="BA13" s="90">
        <f t="shared" si="0"/>
        <v>0</v>
      </c>
    </row>
    <row r="14" spans="1:53" ht="15" thickBot="1">
      <c r="A14" s="223" t="str">
        <f>B8</f>
        <v>London Gatwick</v>
      </c>
      <c r="B14" s="224" t="s">
        <v>92</v>
      </c>
      <c r="C14" s="224" t="s">
        <v>93</v>
      </c>
      <c r="D14" s="224" t="s">
        <v>94</v>
      </c>
      <c r="E14" s="224" t="s">
        <v>95</v>
      </c>
      <c r="F14" s="224" t="s">
        <v>96</v>
      </c>
      <c r="G14" s="224" t="s">
        <v>97</v>
      </c>
      <c r="H14" s="224" t="s">
        <v>98</v>
      </c>
      <c r="I14" s="224" t="s">
        <v>99</v>
      </c>
      <c r="J14" s="224" t="s">
        <v>100</v>
      </c>
      <c r="K14" s="224" t="s">
        <v>101</v>
      </c>
      <c r="L14" s="224" t="s">
        <v>102</v>
      </c>
      <c r="M14" s="224" t="s">
        <v>103</v>
      </c>
      <c r="N14" s="225" t="s">
        <v>31</v>
      </c>
      <c r="AE14" s="42" t="s">
        <v>193</v>
      </c>
      <c r="AF14" t="s">
        <v>281</v>
      </c>
      <c r="AG14" s="104">
        <f>IF(AMD!$AT$35="Profile 1",AMD!V$10*$M$20,IF(AMD!$AT$35="Profile 2",AMD!V$18*$M$20,IF(AMD!$AT$35="Profile 3",AMD!V$26*$M$20,IF(AMD!$AT$35="Profile 4",AMD!V$34*$M$20,IF(AMD!$AT$35="Profile 5",AMD!V$42*$M$20,IF(AMD!$AT$35="Profile 6",AMD!V$50*$M$20,0))))))</f>
        <v>0</v>
      </c>
      <c r="AH14" s="104">
        <f>IF(AMD!$AT$35="Profile 1",AMD!W$10*$M$20,IF(AMD!$AT$35="Profile 2",AMD!W$18*$M$20,IF(AMD!$AT$35="Profile 3",AMD!W$26*$M$20,IF(AMD!$AT$35="Profile 4",AMD!W$34*$M$20,IF(AMD!$AT$35="Profile 5",AMD!W$42*$M$20,IF(AMD!$AT$35="Profile 6",AMD!W$50*$M$20,0))))))</f>
        <v>0</v>
      </c>
      <c r="AI14" s="104">
        <f>IF(AMD!$AT$35="Profile 1",AMD!X$10*$M$20,IF(AMD!$AT$35="Profile 2",AMD!X$18*$M$20,IF(AMD!$AT$35="Profile 3",AMD!X$26*$M$20,IF(AMD!$AT$35="Profile 4",AMD!X$34*$M$20,IF(AMD!$AT$35="Profile 5",AMD!X$42*$M$20,IF(AMD!$AT$35="Profile 6",AMD!X$50*$M$20,0))))))</f>
        <v>0</v>
      </c>
      <c r="AJ14" s="104">
        <f>IF(AMD!$AT$35="Profile 1",AMD!Y$10*$M$20,IF(AMD!$AT$35="Profile 2",AMD!Y$18*$M$20,IF(AMD!$AT$35="Profile 3",AMD!Y$26*$M$20,IF(AMD!$AT$35="Profile 4",AMD!Y$34*$M$20,IF(AMD!$AT$35="Profile 5",AMD!Y$42*$M$20,IF(AMD!$AT$35="Profile 6",AMD!Y$50*$M$20,0))))))</f>
        <v>0</v>
      </c>
      <c r="AK14" s="104">
        <f>IF(AMD!$AT$35="Profile 1",AMD!Z$10*$M$20,IF(AMD!$AT$35="Profile 2",AMD!Z$18*$M$20,IF(AMD!$AT$35="Profile 3",AMD!Z$26*$M$20,IF(AMD!$AT$35="Profile 4",AMD!Z$34*$M$20,IF(AMD!$AT$35="Profile 5",AMD!Z$42*$M$20,IF(AMD!$AT$35="Profile 6",AMD!Z$50*$M$20,0))))))</f>
        <v>0</v>
      </c>
      <c r="AL14" s="104">
        <f>IF(AMD!$AT$35="Profile 1",AMD!AA$10*$M$20,IF(AMD!$AT$35="Profile 2",AMD!AA$18*$M$20,IF(AMD!$AT$35="Profile 3",AMD!AA$26*$M$20,IF(AMD!$AT$35="Profile 4",AMD!AA$34*$M$20,IF(AMD!$AT$35="Profile 5",AMD!AA$42*$M$20,IF(AMD!$AT$35="Profile 6",AMD!AA$50*$M$20,0))))))</f>
        <v>0</v>
      </c>
      <c r="AM14" s="104">
        <f>IF(AMD!$AT$35="Profile 1",AMD!AB$10*$M$20,IF(AMD!$AT$35="Profile 2",AMD!AB$18*$M$20,IF(AMD!$AT$35="Profile 3",AMD!AB$26*$M$20,IF(AMD!$AT$35="Profile 4",AMD!AB$34*$M$20,IF(AMD!$AT$35="Profile 5",AMD!AB$42*$M$20,IF(AMD!$AT$35="Profile 6",AMD!AB$50*$M$20,0))))))</f>
        <v>0</v>
      </c>
      <c r="AN14" s="104">
        <f>IF(AMD!$AT$35="Profile 1",AMD!AC$10*$M$20,IF(AMD!$AT$35="Profile 2",AMD!AC$18*$M$20,IF(AMD!$AT$35="Profile 3",AMD!AC$26*$M$20,IF(AMD!$AT$35="Profile 4",AMD!AC$34*$M$20,IF(AMD!$AT$35="Profile 5",AMD!AC$42*$M$20,IF(AMD!$AT$35="Profile 6",AMD!AC$50*$M$20,0))))))</f>
        <v>0</v>
      </c>
      <c r="AO14" s="104">
        <f>IF(AMD!$AT$35="Profile 1",AMD!AD$10*$M$20,IF(AMD!$AT$35="Profile 2",AMD!AD$18*$M$20,IF(AMD!$AT$35="Profile 3",AMD!AD$26*$M$20,IF(AMD!$AT$35="Profile 4",AMD!AD$34*$M$20,IF(AMD!$AT$35="Profile 5",AMD!AD$42*$M$20,IF(AMD!$AT$35="Profile 6",AMD!AD$50*$M$20,0))))))</f>
        <v>0</v>
      </c>
      <c r="AP14" s="104">
        <f>IF(AMD!$AT$35="Profile 1",AMD!AE$10*$M$20,IF(AMD!$AT$35="Profile 2",AMD!AE$18*$M$20,IF(AMD!$AT$35="Profile 3",AMD!AE$26*$M$20,IF(AMD!$AT$35="Profile 4",AMD!AE$34*$M$20,IF(AMD!$AT$35="Profile 5",AMD!AE$42*$M$20,IF(AMD!$AT$35="Profile 6",AMD!AE$50*$M$20,0))))))</f>
        <v>0</v>
      </c>
      <c r="AQ14" s="104">
        <f>IF(AMD!$AT$35="Profile 1",AMD!AF$10*$M$20,IF(AMD!$AT$35="Profile 2",AMD!AF$18*$M$20,IF(AMD!$AT$35="Profile 3",AMD!AF$26*$M$20,IF(AMD!$AT$35="Profile 4",AMD!AF$34*$M$20,IF(AMD!$AT$35="Profile 5",AMD!AF$42*$M$20,IF(AMD!$AT$35="Profile 6",AMD!AF$50*$M$20,0))))))</f>
        <v>0</v>
      </c>
      <c r="AR14" s="104">
        <f>IF(AMD!$AT$35="Profile 1",AMD!AG$10*$M$20,IF(AMD!$AT$35="Profile 2",AMD!AG$18*$M$20,IF(AMD!$AT$35="Profile 3",AMD!AG$26*$M$20,IF(AMD!$AT$35="Profile 4",AMD!AG$34*$M$20,IF(AMD!$AT$35="Profile 5",AMD!AG$42*$M$20,IF(AMD!$AT$35="Profile 6",AMD!AG$50*$M$20,0))))))</f>
        <v>0</v>
      </c>
      <c r="AS14" s="104">
        <f>IF(AMD!$AT$35="Profile 1",AMD!AH$10*$M$20,IF(AMD!$AT$35="Profile 2",AMD!AH$18*$M$20,IF(AMD!$AT$35="Profile 3",AMD!AH$26*$M$20,IF(AMD!$AT$35="Profile 4",AMD!AH$34*$M$20,IF(AMD!$AT$35="Profile 5",AMD!AH$42*$M$20,IF(AMD!$AT$35="Profile 6",AMD!AH$50*$M$20,0))))))</f>
        <v>0</v>
      </c>
      <c r="AT14" s="104">
        <f>IF(AMD!$AT$35="Profile 1",AMD!AI$10*$M$20,IF(AMD!$AT$35="Profile 2",AMD!AI$18*$M$20,IF(AMD!$AT$35="Profile 3",AMD!AI$26*$M$20,IF(AMD!$AT$35="Profile 4",AMD!AI$34*$M$20,IF(AMD!$AT$35="Profile 5",AMD!AI$42*$M$20,IF(AMD!$AT$35="Profile 6",AMD!AI$50*$M$20,0))))))</f>
        <v>0</v>
      </c>
      <c r="AU14" s="104">
        <f>IF(AMD!$AT$35="Profile 1",AMD!AJ$10*$M$20,IF(AMD!$AT$35="Profile 2",AMD!AJ$18*$M$20,IF(AMD!$AT$35="Profile 3",AMD!AJ$26*$M$20,IF(AMD!$AT$35="Profile 4",AMD!AJ$34*$M$20,IF(AMD!$AT$35="Profile 5",AMD!AJ$42*$M$20,IF(AMD!$AT$35="Profile 6",AMD!AJ$50*$M$20,0))))))</f>
        <v>0</v>
      </c>
      <c r="AV14" s="104">
        <f>IF(AMD!$AT$35="Profile 1",AMD!AK$10*$M$20,IF(AMD!$AT$35="Profile 2",AMD!AK$18*$M$20,IF(AMD!$AT$35="Profile 3",AMD!AK$26*$M$20,IF(AMD!$AT$35="Profile 4",AMD!AK$34*$M$20,IF(AMD!$AT$35="Profile 5",AMD!AK$42*$M$20,IF(AMD!$AT$35="Profile 6",AMD!AK$50*$M$20,0))))))</f>
        <v>0</v>
      </c>
      <c r="AW14" s="104">
        <f>IF(AMD!$AT$35="Profile 1",AMD!AL$10*$M$20,IF(AMD!$AT$35="Profile 2",AMD!AL$18*$M$20,IF(AMD!$AT$35="Profile 3",AMD!AL$26*$M$20,IF(AMD!$AT$35="Profile 4",AMD!AL$34*$M$20,IF(AMD!$AT$35="Profile 5",AMD!AL$42*$M$20,IF(AMD!$AT$35="Profile 6",AMD!AL$50*$M$20,0))))))</f>
        <v>0</v>
      </c>
      <c r="AX14" s="104">
        <f>IF(AMD!$AT$35="Profile 1",AMD!AM$10*$M$20,IF(AMD!$AT$35="Profile 2",AMD!AM$18*$M$20,IF(AMD!$AT$35="Profile 3",AMD!AM$26*$M$20,IF(AMD!$AT$35="Profile 4",AMD!AM$34*$M$20,IF(AMD!$AT$35="Profile 5",AMD!AM$42*$M$20,IF(AMD!$AT$35="Profile 6",AMD!AM$50*$M$20,0))))))</f>
        <v>0</v>
      </c>
      <c r="AY14" s="104">
        <f>IF(AMD!$AT$35="Profile 1",AMD!AN$10*$M$20,IF(AMD!$AT$35="Profile 2",AMD!AN$18*$M$20,IF(AMD!$AT$35="Profile 3",AMD!AN$26*$M$20,IF(AMD!$AT$35="Profile 4",AMD!AN$34*$M$20,IF(AMD!$AT$35="Profile 5",AMD!AN$42*$M$20,IF(AMD!$AT$35="Profile 6",AMD!AN$50*$M$20,0))))))</f>
        <v>0</v>
      </c>
      <c r="AZ14" s="104">
        <f>IF(AMD!$AT$35="Profile 1",AMD!AO$10*$M$20,IF(AMD!$AT$35="Profile 2",AMD!AO$18*$M$20,IF(AMD!$AT$35="Profile 3",AMD!AO$26*$M$20,IF(AMD!$AT$35="Profile 4",AMD!AO$34*$M$20,IF(AMD!$AT$35="Profile 5",AMD!AO$42*$M$20,IF(AMD!$AT$35="Profile 6",AMD!AO$50*$M$20,0))))))</f>
        <v>0</v>
      </c>
      <c r="BA14" s="90">
        <f t="shared" si="0"/>
        <v>0</v>
      </c>
    </row>
    <row r="15" spans="1:53">
      <c r="A15" s="226" t="s">
        <v>255</v>
      </c>
      <c r="B15" s="227">
        <f>IF($A$14=$A$25,B26,IF($A$14=$A$29,B30,IF($A$14=$A$33,B34,IF($A$14=$A$37,B38,IF($A$14=$A$41,B42,IF($A$14=$A$45,B46,IF($A$14=$A$49,B50,IF($A$14=$A$53,B54,IF($A$14=$A$57,B58,IF($A$14=$A$61,B62,IF($A$14=$A$65,B66,0)))))))))))</f>
        <v>168</v>
      </c>
      <c r="C15" s="227">
        <f t="shared" ref="C15:M16" si="1">IF($A$14=$A$25,C26,IF($A$14=$A$29,C30,IF($A$14=$A$33,C34,IF($A$14=$A$37,C38,IF($A$14=$A$41,C42,IF($A$14=$A$45,C46,IF($A$14=$A$49,C50,IF($A$14=$A$53,C54,IF($A$14=$A$57,C58,IF($A$14=$A$61,C62,IF($A$14=$A$65,C66,0)))))))))))</f>
        <v>156</v>
      </c>
      <c r="D15" s="227">
        <f t="shared" si="1"/>
        <v>112</v>
      </c>
      <c r="E15" s="227">
        <f t="shared" si="1"/>
        <v>62</v>
      </c>
      <c r="F15" s="227">
        <f t="shared" si="1"/>
        <v>13</v>
      </c>
      <c r="G15" s="227">
        <f t="shared" si="1"/>
        <v>1</v>
      </c>
      <c r="H15" s="227">
        <f t="shared" si="1"/>
        <v>0</v>
      </c>
      <c r="I15" s="227">
        <f t="shared" si="1"/>
        <v>0</v>
      </c>
      <c r="J15" s="227">
        <f t="shared" si="1"/>
        <v>1</v>
      </c>
      <c r="K15" s="227">
        <f t="shared" si="1"/>
        <v>25</v>
      </c>
      <c r="L15" s="227">
        <f t="shared" si="1"/>
        <v>94</v>
      </c>
      <c r="M15" s="227">
        <f t="shared" si="1"/>
        <v>149</v>
      </c>
      <c r="N15" s="228">
        <f t="shared" ref="N15" si="2">IF($A$14=$A$25,N26,IF($A$14=$A$29,N30,IF($A$14=$A$33,N34,IF($A$14=$A$37,N38,IF($A$14=$A$41,N42,IF($A$14=$A$45,N46,IF($A$14=$A$49,N50,IF($A$14=$A$53,N54,IF($A$14=$A$57,N58,IF($A$14=$A$61,N62,0))))))))))</f>
        <v>781</v>
      </c>
      <c r="AE15" s="41" t="s">
        <v>183</v>
      </c>
      <c r="AF15" s="181" t="s">
        <v>282</v>
      </c>
      <c r="AG15" s="190">
        <f>IF(AMD!$AT$36="Profile 1",AMD!V$10*$B$22,IF(AMD!$AT$36="Profile 2",AMD!V$18*$B$22,IF(AMD!$AT$36="Profile 3",AMD!V$26*$B$22,IF(AMD!$AT$36="Profile 4",AMD!V$34*$B$22,IF(AMD!$AT$36="Profile 5",AMD!V$42*$B$22,IF(AMD!$AT$36="Profile 6",AMD!V$50*$B$22,0))))))</f>
        <v>0</v>
      </c>
      <c r="AH15" s="190">
        <f>IF(AMD!$AT$36="Profile 1",AMD!W$10*$B$22,IF(AMD!$AT$36="Profile 2",AMD!W$18*$B$22,IF(AMD!$AT$36="Profile 3",AMD!W$26*$B$22,IF(AMD!$AT$36="Profile 4",AMD!W$34*$B$22,IF(AMD!$AT$36="Profile 5",AMD!W$42*$B$22,IF(AMD!$AT$36="Profile 6",AMD!W$50*$B$22,0))))))</f>
        <v>0</v>
      </c>
      <c r="AI15" s="190">
        <f>IF(AMD!$AT$36="Profile 1",AMD!X$10*$B$22,IF(AMD!$AT$36="Profile 2",AMD!X$18*$B$22,IF(AMD!$AT$36="Profile 3",AMD!X$26*$B$22,IF(AMD!$AT$36="Profile 4",AMD!X$34*$B$22,IF(AMD!$AT$36="Profile 5",AMD!X$42*$B$22,IF(AMD!$AT$36="Profile 6",AMD!X$50*$B$22,0))))))</f>
        <v>0</v>
      </c>
      <c r="AJ15" s="190">
        <f>IF(AMD!$AT$36="Profile 1",AMD!Y$10*$B$22,IF(AMD!$AT$36="Profile 2",AMD!Y$18*$B$22,IF(AMD!$AT$36="Profile 3",AMD!Y$26*$B$22,IF(AMD!$AT$36="Profile 4",AMD!Y$34*$B$22,IF(AMD!$AT$36="Profile 5",AMD!Y$42*$B$22,IF(AMD!$AT$36="Profile 6",AMD!Y$50*$B$22,0))))))</f>
        <v>0</v>
      </c>
      <c r="AK15" s="190">
        <f>IF(AMD!$AT$36="Profile 1",AMD!Z$10*$B$22,IF(AMD!$AT$36="Profile 2",AMD!Z$18*$B$22,IF(AMD!$AT$36="Profile 3",AMD!Z$26*$B$22,IF(AMD!$AT$36="Profile 4",AMD!Z$34*$B$22,IF(AMD!$AT$36="Profile 5",AMD!Z$42*$B$22,IF(AMD!$AT$36="Profile 6",AMD!Z$50*$B$22,0))))))</f>
        <v>0</v>
      </c>
      <c r="AL15" s="190">
        <f>IF(AMD!$AT$36="Profile 1",AMD!AA$10*$B$22,IF(AMD!$AT$36="Profile 2",AMD!AA$18*$B$22,IF(AMD!$AT$36="Profile 3",AMD!AA$26*$B$22,IF(AMD!$AT$36="Profile 4",AMD!AA$34*$B$22,IF(AMD!$AT$36="Profile 5",AMD!AA$42*$B$22,IF(AMD!$AT$36="Profile 6",AMD!AA$50*$B$22,0))))))</f>
        <v>0</v>
      </c>
      <c r="AM15" s="190">
        <f>IF(AMD!$AT$36="Profile 1",AMD!AB$10*$B$22,IF(AMD!$AT$36="Profile 2",AMD!AB$18*$B$22,IF(AMD!$AT$36="Profile 3",AMD!AB$26*$B$22,IF(AMD!$AT$36="Profile 4",AMD!AB$34*$B$22,IF(AMD!$AT$36="Profile 5",AMD!AB$42*$B$22,IF(AMD!$AT$36="Profile 6",AMD!AB$50*$B$22,0))))))</f>
        <v>0</v>
      </c>
      <c r="AN15" s="190">
        <f>IF(AMD!$AT$36="Profile 1",AMD!AC$10*$B$22,IF(AMD!$AT$36="Profile 2",AMD!AC$18*$B$22,IF(AMD!$AT$36="Profile 3",AMD!AC$26*$B$22,IF(AMD!$AT$36="Profile 4",AMD!AC$34*$B$22,IF(AMD!$AT$36="Profile 5",AMD!AC$42*$B$22,IF(AMD!$AT$36="Profile 6",AMD!AC$50*$B$22,0))))))</f>
        <v>0</v>
      </c>
      <c r="AO15" s="190">
        <f>IF(AMD!$AT$36="Profile 1",AMD!AD$10*$B$22,IF(AMD!$AT$36="Profile 2",AMD!AD$18*$B$22,IF(AMD!$AT$36="Profile 3",AMD!AD$26*$B$22,IF(AMD!$AT$36="Profile 4",AMD!AD$34*$B$22,IF(AMD!$AT$36="Profile 5",AMD!AD$42*$B$22,IF(AMD!$AT$36="Profile 6",AMD!AD$50*$B$22,0))))))</f>
        <v>0</v>
      </c>
      <c r="AP15" s="190">
        <f>IF(AMD!$AT$36="Profile 1",AMD!AE$10*$B$22,IF(AMD!$AT$36="Profile 2",AMD!AE$18*$B$22,IF(AMD!$AT$36="Profile 3",AMD!AE$26*$B$22,IF(AMD!$AT$36="Profile 4",AMD!AE$34*$B$22,IF(AMD!$AT$36="Profile 5",AMD!AE$42*$B$22,IF(AMD!$AT$36="Profile 6",AMD!AE$50*$B$22,0))))))</f>
        <v>0</v>
      </c>
      <c r="AQ15" s="190">
        <f>IF(AMD!$AT$36="Profile 1",AMD!AF$10*$B$22,IF(AMD!$AT$36="Profile 2",AMD!AF$18*$B$22,IF(AMD!$AT$36="Profile 3",AMD!AF$26*$B$22,IF(AMD!$AT$36="Profile 4",AMD!AF$34*$B$22,IF(AMD!$AT$36="Profile 5",AMD!AF$42*$B$22,IF(AMD!$AT$36="Profile 6",AMD!AF$50*$B$22,0))))))</f>
        <v>0</v>
      </c>
      <c r="AR15" s="190">
        <f>IF(AMD!$AT$36="Profile 1",AMD!AG$10*$B$22,IF(AMD!$AT$36="Profile 2",AMD!AG$18*$B$22,IF(AMD!$AT$36="Profile 3",AMD!AG$26*$B$22,IF(AMD!$AT$36="Profile 4",AMD!AG$34*$B$22,IF(AMD!$AT$36="Profile 5",AMD!AG$42*$B$22,IF(AMD!$AT$36="Profile 6",AMD!AG$50*$B$22,0))))))</f>
        <v>0</v>
      </c>
      <c r="AS15" s="190">
        <f>IF(AMD!$AT$36="Profile 1",AMD!AH$10*$B$22,IF(AMD!$AT$36="Profile 2",AMD!AH$18*$B$22,IF(AMD!$AT$36="Profile 3",AMD!AH$26*$B$22,IF(AMD!$AT$36="Profile 4",AMD!AH$34*$B$22,IF(AMD!$AT$36="Profile 5",AMD!AH$42*$B$22,IF(AMD!$AT$36="Profile 6",AMD!AH$50*$B$22,0))))))</f>
        <v>0</v>
      </c>
      <c r="AT15" s="190">
        <f>IF(AMD!$AT$36="Profile 1",AMD!AI$10*$B$22,IF(AMD!$AT$36="Profile 2",AMD!AI$18*$B$22,IF(AMD!$AT$36="Profile 3",AMD!AI$26*$B$22,IF(AMD!$AT$36="Profile 4",AMD!AI$34*$B$22,IF(AMD!$AT$36="Profile 5",AMD!AI$42*$B$22,IF(AMD!$AT$36="Profile 6",AMD!AI$50*$B$22,0))))))</f>
        <v>0</v>
      </c>
      <c r="AU15" s="190">
        <f>IF(AMD!$AT$36="Profile 1",AMD!AJ$10*$B$22,IF(AMD!$AT$36="Profile 2",AMD!AJ$18*$B$22,IF(AMD!$AT$36="Profile 3",AMD!AJ$26*$B$22,IF(AMD!$AT$36="Profile 4",AMD!AJ$34*$B$22,IF(AMD!$AT$36="Profile 5",AMD!AJ$42*$B$22,IF(AMD!$AT$36="Profile 6",AMD!AJ$50*$B$22,0))))))</f>
        <v>0</v>
      </c>
      <c r="AV15" s="190">
        <f>IF(AMD!$AT$36="Profile 1",AMD!AK$10*$B$22,IF(AMD!$AT$36="Profile 2",AMD!AK$18*$B$22,IF(AMD!$AT$36="Profile 3",AMD!AK$26*$B$22,IF(AMD!$AT$36="Profile 4",AMD!AK$34*$B$22,IF(AMD!$AT$36="Profile 5",AMD!AK$42*$B$22,IF(AMD!$AT$36="Profile 6",AMD!AK$50*$B$22,0))))))</f>
        <v>0</v>
      </c>
      <c r="AW15" s="190">
        <f>IF(AMD!$AT$36="Profile 1",AMD!AL$10*$B$22,IF(AMD!$AT$36="Profile 2",AMD!AL$18*$B$22,IF(AMD!$AT$36="Profile 3",AMD!AL$26*$B$22,IF(AMD!$AT$36="Profile 4",AMD!AL$34*$B$22,IF(AMD!$AT$36="Profile 5",AMD!AL$42*$B$22,IF(AMD!$AT$36="Profile 6",AMD!AL$50*$B$22,0))))))</f>
        <v>0</v>
      </c>
      <c r="AX15" s="190">
        <f>IF(AMD!$AT$36="Profile 1",AMD!AM$10*$B$22,IF(AMD!$AT$36="Profile 2",AMD!AM$18*$B$22,IF(AMD!$AT$36="Profile 3",AMD!AM$26*$B$22,IF(AMD!$AT$36="Profile 4",AMD!AM$34*$B$22,IF(AMD!$AT$36="Profile 5",AMD!AM$42*$B$22,IF(AMD!$AT$36="Profile 6",AMD!AM$50*$B$22,0))))))</f>
        <v>0</v>
      </c>
      <c r="AY15" s="190">
        <f>IF(AMD!$AT$36="Profile 1",AMD!AN$10*$B$22,IF(AMD!$AT$36="Profile 2",AMD!AN$18*$B$22,IF(AMD!$AT$36="Profile 3",AMD!AN$26*$B$22,IF(AMD!$AT$36="Profile 4",AMD!AN$34*$B$22,IF(AMD!$AT$36="Profile 5",AMD!AN$42*$B$22,IF(AMD!$AT$36="Profile 6",AMD!AN$50*$B$22,0))))))</f>
        <v>0</v>
      </c>
      <c r="AZ15" s="191">
        <f>IF(AMD!$AT$36="Profile 1",AMD!AO$10*$B$22,IF(AMD!$AT$36="Profile 2",AMD!AO$18*$B$22,IF(AMD!$AT$36="Profile 3",AMD!AO$26*$B$22,IF(AMD!$AT$36="Profile 4",AMD!AO$34*$B$22,IF(AMD!$AT$36="Profile 5",AMD!AO$42*$B$22,IF(AMD!$AT$36="Profile 6",AMD!AO$50*$B$22,0))))))</f>
        <v>0</v>
      </c>
      <c r="BA15" s="90">
        <f t="shared" si="0"/>
        <v>0</v>
      </c>
    </row>
    <row r="16" spans="1:53" ht="15" thickBot="1">
      <c r="A16" s="229" t="s">
        <v>256</v>
      </c>
      <c r="B16" s="270">
        <f>IF($A$14=$A$25,B27,IF($A$14=$A$29,B31,IF($A$14=$A$33,B35,IF($A$14=$A$37,B39,IF($A$14=$A$41,B43,IF($A$14=$A$45,B47,IF($A$14=$A$49,B51,IF($A$14=$A$53,B55,IF($A$14=$A$57,B59,IF($A$14=$A$61,B63,IF($A$14=$A$65,B67,0)))))))))))</f>
        <v>0</v>
      </c>
      <c r="C16" s="270">
        <f t="shared" si="1"/>
        <v>0</v>
      </c>
      <c r="D16" s="270">
        <f t="shared" si="1"/>
        <v>0</v>
      </c>
      <c r="E16" s="270">
        <f t="shared" si="1"/>
        <v>0</v>
      </c>
      <c r="F16" s="270">
        <f t="shared" si="1"/>
        <v>1</v>
      </c>
      <c r="G16" s="270">
        <f t="shared" si="1"/>
        <v>5</v>
      </c>
      <c r="H16" s="270">
        <f t="shared" si="1"/>
        <v>19</v>
      </c>
      <c r="I16" s="270">
        <f t="shared" si="1"/>
        <v>17</v>
      </c>
      <c r="J16" s="270">
        <f t="shared" si="1"/>
        <v>2</v>
      </c>
      <c r="K16" s="270">
        <f t="shared" si="1"/>
        <v>0</v>
      </c>
      <c r="L16" s="270">
        <f t="shared" si="1"/>
        <v>0</v>
      </c>
      <c r="M16" s="270">
        <f t="shared" si="1"/>
        <v>0</v>
      </c>
      <c r="N16" s="230">
        <f t="shared" ref="N16" si="3">IF($A$14=$A$25,N27,IF($A$14=$A$29,N31,IF($A$14=$A$33,N35,IF($A$14=$A$37,N39,IF($A$14=$A$41,N43,IF($A$14=$A$45,N47,IF($A$14=$A$49,N51,IF($A$14=$A$53,N55,IF($A$14=$A$57,N59,IF($A$14=$A$61,N63,0))))))))))</f>
        <v>44</v>
      </c>
      <c r="AE16" s="42" t="s">
        <v>184</v>
      </c>
      <c r="AF16" t="s">
        <v>282</v>
      </c>
      <c r="AG16" s="36">
        <f>IF(AMD!$AT$36="Profile 1",AMD!V$10*$C$22,IF(AMD!$AT$36="Profile 2",AMD!V$18*$C$22,IF(AMD!$AT$36="Profile 3",AMD!V$26*$C$22,IF(AMD!$AT$36="Profile 4",AMD!V$34*$C$22,IF(AMD!$AT$36="Profile 5",AMD!V$42*$C$22,IF(AMD!$AT$36="Profile 6",AMD!V$50*$C$22,0))))))</f>
        <v>0</v>
      </c>
      <c r="AH16" s="36">
        <f>IF(AMD!$AT$36="Profile 1",AMD!W$10*$C$22,IF(AMD!$AT$36="Profile 2",AMD!W$18*$C$22,IF(AMD!$AT$36="Profile 3",AMD!W$26*$C$22,IF(AMD!$AT$36="Profile 4",AMD!W$34*$C$22,IF(AMD!$AT$36="Profile 5",AMD!W$42*$C$22,IF(AMD!$AT$36="Profile 6",AMD!W$50*$C$22,0))))))</f>
        <v>0</v>
      </c>
      <c r="AI16" s="36">
        <f>IF(AMD!$AT$36="Profile 1",AMD!X$10*$C$22,IF(AMD!$AT$36="Profile 2",AMD!X$18*$C$22,IF(AMD!$AT$36="Profile 3",AMD!X$26*$C$22,IF(AMD!$AT$36="Profile 4",AMD!X$34*$C$22,IF(AMD!$AT$36="Profile 5",AMD!X$42*$C$22,IF(AMD!$AT$36="Profile 6",AMD!X$50*$C$22,0))))))</f>
        <v>0</v>
      </c>
      <c r="AJ16" s="36">
        <f>IF(AMD!$AT$36="Profile 1",AMD!Y$10*$C$22,IF(AMD!$AT$36="Profile 2",AMD!Y$18*$C$22,IF(AMD!$AT$36="Profile 3",AMD!Y$26*$C$22,IF(AMD!$AT$36="Profile 4",AMD!Y$34*$C$22,IF(AMD!$AT$36="Profile 5",AMD!Y$42*$C$22,IF(AMD!$AT$36="Profile 6",AMD!Y$50*$C$22,0))))))</f>
        <v>0</v>
      </c>
      <c r="AK16" s="36">
        <f>IF(AMD!$AT$36="Profile 1",AMD!Z$10*$C$22,IF(AMD!$AT$36="Profile 2",AMD!Z$18*$C$22,IF(AMD!$AT$36="Profile 3",AMD!Z$26*$C$22,IF(AMD!$AT$36="Profile 4",AMD!Z$34*$C$22,IF(AMD!$AT$36="Profile 5",AMD!Z$42*$C$22,IF(AMD!$AT$36="Profile 6",AMD!Z$50*$C$22,0))))))</f>
        <v>0</v>
      </c>
      <c r="AL16" s="36">
        <f>IF(AMD!$AT$36="Profile 1",AMD!AA$10*$C$22,IF(AMD!$AT$36="Profile 2",AMD!AA$18*$C$22,IF(AMD!$AT$36="Profile 3",AMD!AA$26*$C$22,IF(AMD!$AT$36="Profile 4",AMD!AA$34*$C$22,IF(AMD!$AT$36="Profile 5",AMD!AA$42*$C$22,IF(AMD!$AT$36="Profile 6",AMD!AA$50*$C$22,0))))))</f>
        <v>0</v>
      </c>
      <c r="AM16" s="36">
        <f>IF(AMD!$AT$36="Profile 1",AMD!AB$10*$C$22,IF(AMD!$AT$36="Profile 2",AMD!AB$18*$C$22,IF(AMD!$AT$36="Profile 3",AMD!AB$26*$C$22,IF(AMD!$AT$36="Profile 4",AMD!AB$34*$C$22,IF(AMD!$AT$36="Profile 5",AMD!AB$42*$C$22,IF(AMD!$AT$36="Profile 6",AMD!AB$50*$C$22,0))))))</f>
        <v>0</v>
      </c>
      <c r="AN16" s="36">
        <f>IF(AMD!$AT$36="Profile 1",AMD!AC$10*$C$22,IF(AMD!$AT$36="Profile 2",AMD!AC$18*$C$22,IF(AMD!$AT$36="Profile 3",AMD!AC$26*$C$22,IF(AMD!$AT$36="Profile 4",AMD!AC$34*$C$22,IF(AMD!$AT$36="Profile 5",AMD!AC$42*$C$22,IF(AMD!$AT$36="Profile 6",AMD!AC$50*$C$22,0))))))</f>
        <v>0</v>
      </c>
      <c r="AO16" s="36">
        <f>IF(AMD!$AT$36="Profile 1",AMD!AD$10*$C$22,IF(AMD!$AT$36="Profile 2",AMD!AD$18*$C$22,IF(AMD!$AT$36="Profile 3",AMD!AD$26*$C$22,IF(AMD!$AT$36="Profile 4",AMD!AD$34*$C$22,IF(AMD!$AT$36="Profile 5",AMD!AD$42*$C$22,IF(AMD!$AT$36="Profile 6",AMD!AD$50*$C$22,0))))))</f>
        <v>0</v>
      </c>
      <c r="AP16" s="36">
        <f>IF(AMD!$AT$36="Profile 1",AMD!AE$10*$C$22,IF(AMD!$AT$36="Profile 2",AMD!AE$18*$C$22,IF(AMD!$AT$36="Profile 3",AMD!AE$26*$C$22,IF(AMD!$AT$36="Profile 4",AMD!AE$34*$C$22,IF(AMD!$AT$36="Profile 5",AMD!AE$42*$C$22,IF(AMD!$AT$36="Profile 6",AMD!AE$50*$C$22,0))))))</f>
        <v>0</v>
      </c>
      <c r="AQ16" s="36">
        <f>IF(AMD!$AT$36="Profile 1",AMD!AF$10*$C$22,IF(AMD!$AT$36="Profile 2",AMD!AF$18*$C$22,IF(AMD!$AT$36="Profile 3",AMD!AF$26*$C$22,IF(AMD!$AT$36="Profile 4",AMD!AF$34*$C$22,IF(AMD!$AT$36="Profile 5",AMD!AF$42*$C$22,IF(AMD!$AT$36="Profile 6",AMD!AF$50*$C$22,0))))))</f>
        <v>0</v>
      </c>
      <c r="AR16" s="36">
        <f>IF(AMD!$AT$36="Profile 1",AMD!AG$10*$C$22,IF(AMD!$AT$36="Profile 2",AMD!AG$18*$C$22,IF(AMD!$AT$36="Profile 3",AMD!AG$26*$C$22,IF(AMD!$AT$36="Profile 4",AMD!AG$34*$C$22,IF(AMD!$AT$36="Profile 5",AMD!AG$42*$C$22,IF(AMD!$AT$36="Profile 6",AMD!AG$50*$C$22,0))))))</f>
        <v>0</v>
      </c>
      <c r="AS16" s="36">
        <f>IF(AMD!$AT$36="Profile 1",AMD!AH$10*$C$22,IF(AMD!$AT$36="Profile 2",AMD!AH$18*$C$22,IF(AMD!$AT$36="Profile 3",AMD!AH$26*$C$22,IF(AMD!$AT$36="Profile 4",AMD!AH$34*$C$22,IF(AMD!$AT$36="Profile 5",AMD!AH$42*$C$22,IF(AMD!$AT$36="Profile 6",AMD!AH$50*$C$22,0))))))</f>
        <v>0</v>
      </c>
      <c r="AT16" s="36">
        <f>IF(AMD!$AT$36="Profile 1",AMD!AI$10*$C$22,IF(AMD!$AT$36="Profile 2",AMD!AI$18*$C$22,IF(AMD!$AT$36="Profile 3",AMD!AI$26*$C$22,IF(AMD!$AT$36="Profile 4",AMD!AI$34*$C$22,IF(AMD!$AT$36="Profile 5",AMD!AI$42*$C$22,IF(AMD!$AT$36="Profile 6",AMD!AI$50*$C$22,0))))))</f>
        <v>0</v>
      </c>
      <c r="AU16" s="36">
        <f>IF(AMD!$AT$36="Profile 1",AMD!AJ$10*$C$22,IF(AMD!$AT$36="Profile 2",AMD!AJ$18*$C$22,IF(AMD!$AT$36="Profile 3",AMD!AJ$26*$C$22,IF(AMD!$AT$36="Profile 4",AMD!AJ$34*$C$22,IF(AMD!$AT$36="Profile 5",AMD!AJ$42*$C$22,IF(AMD!$AT$36="Profile 6",AMD!AJ$50*$C$22,0))))))</f>
        <v>0</v>
      </c>
      <c r="AV16" s="36">
        <f>IF(AMD!$AT$36="Profile 1",AMD!AK$10*$C$22,IF(AMD!$AT$36="Profile 2",AMD!AK$18*$C$22,IF(AMD!$AT$36="Profile 3",AMD!AK$26*$C$22,IF(AMD!$AT$36="Profile 4",AMD!AK$34*$C$22,IF(AMD!$AT$36="Profile 5",AMD!AK$42*$C$22,IF(AMD!$AT$36="Profile 6",AMD!AK$50*$C$22,0))))))</f>
        <v>0</v>
      </c>
      <c r="AW16" s="36">
        <f>IF(AMD!$AT$36="Profile 1",AMD!AL$10*$C$22,IF(AMD!$AT$36="Profile 2",AMD!AL$18*$C$22,IF(AMD!$AT$36="Profile 3",AMD!AL$26*$C$22,IF(AMD!$AT$36="Profile 4",AMD!AL$34*$C$22,IF(AMD!$AT$36="Profile 5",AMD!AL$42*$C$22,IF(AMD!$AT$36="Profile 6",AMD!AL$50*$C$22,0))))))</f>
        <v>0</v>
      </c>
      <c r="AX16" s="36">
        <f>IF(AMD!$AT$36="Profile 1",AMD!AM$10*$C$22,IF(AMD!$AT$36="Profile 2",AMD!AM$18*$C$22,IF(AMD!$AT$36="Profile 3",AMD!AM$26*$C$22,IF(AMD!$AT$36="Profile 4",AMD!AM$34*$C$22,IF(AMD!$AT$36="Profile 5",AMD!AM$42*$C$22,IF(AMD!$AT$36="Profile 6",AMD!AM$50*$C$22,0))))))</f>
        <v>0</v>
      </c>
      <c r="AY16" s="36">
        <f>IF(AMD!$AT$36="Profile 1",AMD!AN$10*$C$22,IF(AMD!$AT$36="Profile 2",AMD!AN$18*$C$22,IF(AMD!$AT$36="Profile 3",AMD!AN$26*$C$22,IF(AMD!$AT$36="Profile 4",AMD!AN$34*$C$22,IF(AMD!$AT$36="Profile 5",AMD!AN$42*$C$22,IF(AMD!$AT$36="Profile 6",AMD!AN$50*$C$22,0))))))</f>
        <v>0</v>
      </c>
      <c r="AZ16" s="113">
        <f>IF(AMD!$AT$36="Profile 1",AMD!AO$10*$C$22,IF(AMD!$AT$36="Profile 2",AMD!AO$18*$C$22,IF(AMD!$AT$36="Profile 3",AMD!AO$26*$C$22,IF(AMD!$AT$36="Profile 4",AMD!AO$34*$C$22,IF(AMD!$AT$36="Profile 5",AMD!AO$42*$C$22,IF(AMD!$AT$36="Profile 6",AMD!AO$50*$C$22,0))))))</f>
        <v>0</v>
      </c>
      <c r="BA16" s="90">
        <f t="shared" si="0"/>
        <v>0</v>
      </c>
    </row>
    <row r="17" spans="1:53" ht="15" thickBot="1">
      <c r="AE17" s="42" t="s">
        <v>185</v>
      </c>
      <c r="AF17" t="s">
        <v>282</v>
      </c>
      <c r="AG17" s="36">
        <f>IF(AMD!$AT$36="Profile 1",AMD!V$10*$D$22,IF(AMD!$AT$36="Profile 2",AMD!V$18*$D$22,IF(AMD!$AT$36="Profile 3",AMD!V$26*$D$22,IF(AMD!$AT$36="Profile 4",AMD!V$34*$D$22,IF(AMD!$AT$36="Profile 5",AMD!V$42*$D$22,IF(AMD!$AT$36="Profile 6",AMD!V$50*$D$22,0))))))</f>
        <v>0</v>
      </c>
      <c r="AH17" s="36">
        <f>IF(AMD!$AT$36="Profile 1",AMD!W$10*$D$22,IF(AMD!$AT$36="Profile 2",AMD!W$18*$D$22,IF(AMD!$AT$36="Profile 3",AMD!W$26*$D$22,IF(AMD!$AT$36="Profile 4",AMD!W$34*$D$22,IF(AMD!$AT$36="Profile 5",AMD!W$42*$D$22,IF(AMD!$AT$36="Profile 6",AMD!W$50*$D$22,0))))))</f>
        <v>0</v>
      </c>
      <c r="AI17" s="36">
        <f>IF(AMD!$AT$36="Profile 1",AMD!X$10*$D$22,IF(AMD!$AT$36="Profile 2",AMD!X$18*$D$22,IF(AMD!$AT$36="Profile 3",AMD!X$26*$D$22,IF(AMD!$AT$36="Profile 4",AMD!X$34*$D$22,IF(AMD!$AT$36="Profile 5",AMD!X$42*$D$22,IF(AMD!$AT$36="Profile 6",AMD!X$50*$D$22,0))))))</f>
        <v>0</v>
      </c>
      <c r="AJ17" s="36">
        <f>IF(AMD!$AT$36="Profile 1",AMD!Y$10*$D$22,IF(AMD!$AT$36="Profile 2",AMD!Y$18*$D$22,IF(AMD!$AT$36="Profile 3",AMD!Y$26*$D$22,IF(AMD!$AT$36="Profile 4",AMD!Y$34*$D$22,IF(AMD!$AT$36="Profile 5",AMD!Y$42*$D$22,IF(AMD!$AT$36="Profile 6",AMD!Y$50*$D$22,0))))))</f>
        <v>0</v>
      </c>
      <c r="AK17" s="36">
        <f>IF(AMD!$AT$36="Profile 1",AMD!Z$10*$D$22,IF(AMD!$AT$36="Profile 2",AMD!Z$18*$D$22,IF(AMD!$AT$36="Profile 3",AMD!Z$26*$D$22,IF(AMD!$AT$36="Profile 4",AMD!Z$34*$D$22,IF(AMD!$AT$36="Profile 5",AMD!Z$42*$D$22,IF(AMD!$AT$36="Profile 6",AMD!Z$50*$D$22,0))))))</f>
        <v>0</v>
      </c>
      <c r="AL17" s="36">
        <f>IF(AMD!$AT$36="Profile 1",AMD!AA$10*$D$22,IF(AMD!$AT$36="Profile 2",AMD!AA$18*$D$22,IF(AMD!$AT$36="Profile 3",AMD!AA$26*$D$22,IF(AMD!$AT$36="Profile 4",AMD!AA$34*$D$22,IF(AMD!$AT$36="Profile 5",AMD!AA$42*$D$22,IF(AMD!$AT$36="Profile 6",AMD!AA$50*$D$22,0))))))</f>
        <v>0</v>
      </c>
      <c r="AM17" s="36">
        <f>IF(AMD!$AT$36="Profile 1",AMD!AB$10*$D$22,IF(AMD!$AT$36="Profile 2",AMD!AB$18*$D$22,IF(AMD!$AT$36="Profile 3",AMD!AB$26*$D$22,IF(AMD!$AT$36="Profile 4",AMD!AB$34*$D$22,IF(AMD!$AT$36="Profile 5",AMD!AB$42*$D$22,IF(AMD!$AT$36="Profile 6",AMD!AB$50*$D$22,0))))))</f>
        <v>0</v>
      </c>
      <c r="AN17" s="36">
        <f>IF(AMD!$AT$36="Profile 1",AMD!AC$10*$D$22,IF(AMD!$AT$36="Profile 2",AMD!AC$18*$D$22,IF(AMD!$AT$36="Profile 3",AMD!AC$26*$D$22,IF(AMD!$AT$36="Profile 4",AMD!AC$34*$D$22,IF(AMD!$AT$36="Profile 5",AMD!AC$42*$D$22,IF(AMD!$AT$36="Profile 6",AMD!AC$50*$D$22,0))))))</f>
        <v>0</v>
      </c>
      <c r="AO17" s="36">
        <f>IF(AMD!$AT$36="Profile 1",AMD!AD$10*$D$22,IF(AMD!$AT$36="Profile 2",AMD!AD$18*$D$22,IF(AMD!$AT$36="Profile 3",AMD!AD$26*$D$22,IF(AMD!$AT$36="Profile 4",AMD!AD$34*$D$22,IF(AMD!$AT$36="Profile 5",AMD!AD$42*$D$22,IF(AMD!$AT$36="Profile 6",AMD!AD$50*$D$22,0))))))</f>
        <v>0</v>
      </c>
      <c r="AP17" s="36">
        <f>IF(AMD!$AT$36="Profile 1",AMD!AE$10*$D$22,IF(AMD!$AT$36="Profile 2",AMD!AE$18*$D$22,IF(AMD!$AT$36="Profile 3",AMD!AE$26*$D$22,IF(AMD!$AT$36="Profile 4",AMD!AE$34*$D$22,IF(AMD!$AT$36="Profile 5",AMD!AE$42*$D$22,IF(AMD!$AT$36="Profile 6",AMD!AE$50*$D$22,0))))))</f>
        <v>0</v>
      </c>
      <c r="AQ17" s="36">
        <f>IF(AMD!$AT$36="Profile 1",AMD!AF$10*$D$22,IF(AMD!$AT$36="Profile 2",AMD!AF$18*$D$22,IF(AMD!$AT$36="Profile 3",AMD!AF$26*$D$22,IF(AMD!$AT$36="Profile 4",AMD!AF$34*$D$22,IF(AMD!$AT$36="Profile 5",AMD!AF$42*$D$22,IF(AMD!$AT$36="Profile 6",AMD!AF$50*$D$22,0))))))</f>
        <v>0</v>
      </c>
      <c r="AR17" s="36">
        <f>IF(AMD!$AT$36="Profile 1",AMD!AG$10*$D$22,IF(AMD!$AT$36="Profile 2",AMD!AG$18*$D$22,IF(AMD!$AT$36="Profile 3",AMD!AG$26*$D$22,IF(AMD!$AT$36="Profile 4",AMD!AG$34*$D$22,IF(AMD!$AT$36="Profile 5",AMD!AG$42*$D$22,IF(AMD!$AT$36="Profile 6",AMD!AG$50*$D$22,0))))))</f>
        <v>0</v>
      </c>
      <c r="AS17" s="36">
        <f>IF(AMD!$AT$36="Profile 1",AMD!AH$10*$D$22,IF(AMD!$AT$36="Profile 2",AMD!AH$18*$D$22,IF(AMD!$AT$36="Profile 3",AMD!AH$26*$D$22,IF(AMD!$AT$36="Profile 4",AMD!AH$34*$D$22,IF(AMD!$AT$36="Profile 5",AMD!AH$42*$D$22,IF(AMD!$AT$36="Profile 6",AMD!AH$50*$D$22,0))))))</f>
        <v>0</v>
      </c>
      <c r="AT17" s="36">
        <f>IF(AMD!$AT$36="Profile 1",AMD!AI$10*$D$22,IF(AMD!$AT$36="Profile 2",AMD!AI$18*$D$22,IF(AMD!$AT$36="Profile 3",AMD!AI$26*$D$22,IF(AMD!$AT$36="Profile 4",AMD!AI$34*$D$22,IF(AMD!$AT$36="Profile 5",AMD!AI$42*$D$22,IF(AMD!$AT$36="Profile 6",AMD!AI$50*$D$22,0))))))</f>
        <v>0</v>
      </c>
      <c r="AU17" s="36">
        <f>IF(AMD!$AT$36="Profile 1",AMD!AJ$10*$D$22,IF(AMD!$AT$36="Profile 2",AMD!AJ$18*$D$22,IF(AMD!$AT$36="Profile 3",AMD!AJ$26*$D$22,IF(AMD!$AT$36="Profile 4",AMD!AJ$34*$D$22,IF(AMD!$AT$36="Profile 5",AMD!AJ$42*$D$22,IF(AMD!$AT$36="Profile 6",AMD!AJ$50*$D$22,0))))))</f>
        <v>0</v>
      </c>
      <c r="AV17" s="36">
        <f>IF(AMD!$AT$36="Profile 1",AMD!AK$10*$D$22,IF(AMD!$AT$36="Profile 2",AMD!AK$18*$D$22,IF(AMD!$AT$36="Profile 3",AMD!AK$26*$D$22,IF(AMD!$AT$36="Profile 4",AMD!AK$34*$D$22,IF(AMD!$AT$36="Profile 5",AMD!AK$42*$D$22,IF(AMD!$AT$36="Profile 6",AMD!AK$50*$D$22,0))))))</f>
        <v>0</v>
      </c>
      <c r="AW17" s="36">
        <f>IF(AMD!$AT$36="Profile 1",AMD!AL$10*$D$22,IF(AMD!$AT$36="Profile 2",AMD!AL$18*$D$22,IF(AMD!$AT$36="Profile 3",AMD!AL$26*$D$22,IF(AMD!$AT$36="Profile 4",AMD!AL$34*$D$22,IF(AMD!$AT$36="Profile 5",AMD!AL$42*$D$22,IF(AMD!$AT$36="Profile 6",AMD!AL$50*$D$22,0))))))</f>
        <v>0</v>
      </c>
      <c r="AX17" s="36">
        <f>IF(AMD!$AT$36="Profile 1",AMD!AM$10*$D$22,IF(AMD!$AT$36="Profile 2",AMD!AM$18*$D$22,IF(AMD!$AT$36="Profile 3",AMD!AM$26*$D$22,IF(AMD!$AT$36="Profile 4",AMD!AM$34*$D$22,IF(AMD!$AT$36="Profile 5",AMD!AM$42*$D$22,IF(AMD!$AT$36="Profile 6",AMD!AM$50*$D$22,0))))))</f>
        <v>0</v>
      </c>
      <c r="AY17" s="36">
        <f>IF(AMD!$AT$36="Profile 1",AMD!AN$10*$D$22,IF(AMD!$AT$36="Profile 2",AMD!AN$18*$D$22,IF(AMD!$AT$36="Profile 3",AMD!AN$26*$D$22,IF(AMD!$AT$36="Profile 4",AMD!AN$34*$D$22,IF(AMD!$AT$36="Profile 5",AMD!AN$42*$D$22,IF(AMD!$AT$36="Profile 6",AMD!AN$50*$D$22,0))))))</f>
        <v>0</v>
      </c>
      <c r="AZ17" s="113">
        <f>IF(AMD!$AT$36="Profile 1",AMD!AO$10*$D$22,IF(AMD!$AT$36="Profile 2",AMD!AO$18*$D$22,IF(AMD!$AT$36="Profile 3",AMD!AO$26*$D$22,IF(AMD!$AT$36="Profile 4",AMD!AO$34*$D$22,IF(AMD!$AT$36="Profile 5",AMD!AO$42*$D$22,IF(AMD!$AT$36="Profile 6",AMD!AO$50*$D$22,0))))))</f>
        <v>0</v>
      </c>
      <c r="BA17" s="90">
        <f t="shared" si="0"/>
        <v>0</v>
      </c>
    </row>
    <row r="18" spans="1:53">
      <c r="A18"/>
      <c r="B18" s="186" t="s">
        <v>92</v>
      </c>
      <c r="C18" s="186" t="s">
        <v>93</v>
      </c>
      <c r="D18" s="186" t="s">
        <v>94</v>
      </c>
      <c r="E18" s="186" t="s">
        <v>95</v>
      </c>
      <c r="F18" s="186" t="s">
        <v>96</v>
      </c>
      <c r="G18" s="186" t="s">
        <v>97</v>
      </c>
      <c r="H18" s="186" t="s">
        <v>98</v>
      </c>
      <c r="I18" s="186" t="s">
        <v>99</v>
      </c>
      <c r="J18" s="186" t="s">
        <v>100</v>
      </c>
      <c r="K18" s="186" t="s">
        <v>101</v>
      </c>
      <c r="L18" s="186" t="s">
        <v>102</v>
      </c>
      <c r="M18" s="187" t="s">
        <v>103</v>
      </c>
      <c r="AE18" s="42" t="s">
        <v>186</v>
      </c>
      <c r="AF18" t="s">
        <v>282</v>
      </c>
      <c r="AG18" s="36">
        <f>IF(AMD!$AT$36="Profile 1",AMD!V$10*$E$22,IF(AMD!$AT$36="Profile 2",AMD!V$18*$E$22,IF(AMD!$AT$36="Profile 3",AMD!V$26*$E$22,IF(AMD!$AT$36="Profile 4",AMD!V$34*$E$22,IF(AMD!$AT$36="Profile 5",AMD!V$42*$E$22,IF(AMD!$AT$36="Profile 6",AMD!V$50*$E$22,0))))))</f>
        <v>0</v>
      </c>
      <c r="AH18" s="36">
        <f>IF(AMD!$AT$36="Profile 1",AMD!W$10*$E$22,IF(AMD!$AT$36="Profile 2",AMD!W$18*$E$22,IF(AMD!$AT$36="Profile 3",AMD!W$26*$E$22,IF(AMD!$AT$36="Profile 4",AMD!W$34*$E$22,IF(AMD!$AT$36="Profile 5",AMD!W$42*$E$22,IF(AMD!$AT$36="Profile 6",AMD!W$50*$E$22,0))))))</f>
        <v>0</v>
      </c>
      <c r="AI18" s="36">
        <f>IF(AMD!$AT$36="Profile 1",AMD!X$10*$E$22,IF(AMD!$AT$36="Profile 2",AMD!X$18*$E$22,IF(AMD!$AT$36="Profile 3",AMD!X$26*$E$22,IF(AMD!$AT$36="Profile 4",AMD!X$34*$E$22,IF(AMD!$AT$36="Profile 5",AMD!X$42*$E$22,IF(AMD!$AT$36="Profile 6",AMD!X$50*$E$22,0))))))</f>
        <v>0</v>
      </c>
      <c r="AJ18" s="36">
        <f>IF(AMD!$AT$36="Profile 1",AMD!Y$10*$E$22,IF(AMD!$AT$36="Profile 2",AMD!Y$18*$E$22,IF(AMD!$AT$36="Profile 3",AMD!Y$26*$E$22,IF(AMD!$AT$36="Profile 4",AMD!Y$34*$E$22,IF(AMD!$AT$36="Profile 5",AMD!Y$42*$E$22,IF(AMD!$AT$36="Profile 6",AMD!Y$50*$E$22,0))))))</f>
        <v>0</v>
      </c>
      <c r="AK18" s="36">
        <f>IF(AMD!$AT$36="Profile 1",AMD!Z$10*$E$22,IF(AMD!$AT$36="Profile 2",AMD!Z$18*$E$22,IF(AMD!$AT$36="Profile 3",AMD!Z$26*$E$22,IF(AMD!$AT$36="Profile 4",AMD!Z$34*$E$22,IF(AMD!$AT$36="Profile 5",AMD!Z$42*$E$22,IF(AMD!$AT$36="Profile 6",AMD!Z$50*$E$22,0))))))</f>
        <v>0</v>
      </c>
      <c r="AL18" s="36">
        <f>IF(AMD!$AT$36="Profile 1",AMD!AA$10*$E$22,IF(AMD!$AT$36="Profile 2",AMD!AA$18*$E$22,IF(AMD!$AT$36="Profile 3",AMD!AA$26*$E$22,IF(AMD!$AT$36="Profile 4",AMD!AA$34*$E$22,IF(AMD!$AT$36="Profile 5",AMD!AA$42*$E$22,IF(AMD!$AT$36="Profile 6",AMD!AA$50*$E$22,0))))))</f>
        <v>0</v>
      </c>
      <c r="AM18" s="36">
        <f>IF(AMD!$AT$36="Profile 1",AMD!AB$10*$E$22,IF(AMD!$AT$36="Profile 2",AMD!AB$18*$E$22,IF(AMD!$AT$36="Profile 3",AMD!AB$26*$E$22,IF(AMD!$AT$36="Profile 4",AMD!AB$34*$E$22,IF(AMD!$AT$36="Profile 5",AMD!AB$42*$E$22,IF(AMD!$AT$36="Profile 6",AMD!AB$50*$E$22,0))))))</f>
        <v>0</v>
      </c>
      <c r="AN18" s="36">
        <f>IF(AMD!$AT$36="Profile 1",AMD!AC$10*$E$22,IF(AMD!$AT$36="Profile 2",AMD!AC$18*$E$22,IF(AMD!$AT$36="Profile 3",AMD!AC$26*$E$22,IF(AMD!$AT$36="Profile 4",AMD!AC$34*$E$22,IF(AMD!$AT$36="Profile 5",AMD!AC$42*$E$22,IF(AMD!$AT$36="Profile 6",AMD!AC$50*$E$22,0))))))</f>
        <v>0</v>
      </c>
      <c r="AO18" s="36">
        <f>IF(AMD!$AT$36="Profile 1",AMD!AD$10*$E$22,IF(AMD!$AT$36="Profile 2",AMD!AD$18*$E$22,IF(AMD!$AT$36="Profile 3",AMD!AD$26*$E$22,IF(AMD!$AT$36="Profile 4",AMD!AD$34*$E$22,IF(AMD!$AT$36="Profile 5",AMD!AD$42*$E$22,IF(AMD!$AT$36="Profile 6",AMD!AD$50*$E$22,0))))))</f>
        <v>0</v>
      </c>
      <c r="AP18" s="36">
        <f>IF(AMD!$AT$36="Profile 1",AMD!AE$10*$E$22,IF(AMD!$AT$36="Profile 2",AMD!AE$18*$E$22,IF(AMD!$AT$36="Profile 3",AMD!AE$26*$E$22,IF(AMD!$AT$36="Profile 4",AMD!AE$34*$E$22,IF(AMD!$AT$36="Profile 5",AMD!AE$42*$E$22,IF(AMD!$AT$36="Profile 6",AMD!AE$50*$E$22,0))))))</f>
        <v>0</v>
      </c>
      <c r="AQ18" s="36">
        <f>IF(AMD!$AT$36="Profile 1",AMD!AF$10*$E$22,IF(AMD!$AT$36="Profile 2",AMD!AF$18*$E$22,IF(AMD!$AT$36="Profile 3",AMD!AF$26*$E$22,IF(AMD!$AT$36="Profile 4",AMD!AF$34*$E$22,IF(AMD!$AT$36="Profile 5",AMD!AF$42*$E$22,IF(AMD!$AT$36="Profile 6",AMD!AF$50*$E$22,0))))))</f>
        <v>0</v>
      </c>
      <c r="AR18" s="36">
        <f>IF(AMD!$AT$36="Profile 1",AMD!AG$10*$E$22,IF(AMD!$AT$36="Profile 2",AMD!AG$18*$E$22,IF(AMD!$AT$36="Profile 3",AMD!AG$26*$E$22,IF(AMD!$AT$36="Profile 4",AMD!AG$34*$E$22,IF(AMD!$AT$36="Profile 5",AMD!AG$42*$E$22,IF(AMD!$AT$36="Profile 6",AMD!AG$50*$E$22,0))))))</f>
        <v>0</v>
      </c>
      <c r="AS18" s="36">
        <f>IF(AMD!$AT$36="Profile 1",AMD!AH$10*$E$22,IF(AMD!$AT$36="Profile 2",AMD!AH$18*$E$22,IF(AMD!$AT$36="Profile 3",AMD!AH$26*$E$22,IF(AMD!$AT$36="Profile 4",AMD!AH$34*$E$22,IF(AMD!$AT$36="Profile 5",AMD!AH$42*$E$22,IF(AMD!$AT$36="Profile 6",AMD!AH$50*$E$22,0))))))</f>
        <v>0</v>
      </c>
      <c r="AT18" s="36">
        <f>IF(AMD!$AT$36="Profile 1",AMD!AI$10*$E$22,IF(AMD!$AT$36="Profile 2",AMD!AI$18*$E$22,IF(AMD!$AT$36="Profile 3",AMD!AI$26*$E$22,IF(AMD!$AT$36="Profile 4",AMD!AI$34*$E$22,IF(AMD!$AT$36="Profile 5",AMD!AI$42*$E$22,IF(AMD!$AT$36="Profile 6",AMD!AI$50*$E$22,0))))))</f>
        <v>0</v>
      </c>
      <c r="AU18" s="36">
        <f>IF(AMD!$AT$36="Profile 1",AMD!AJ$10*$E$22,IF(AMD!$AT$36="Profile 2",AMD!AJ$18*$E$22,IF(AMD!$AT$36="Profile 3",AMD!AJ$26*$E$22,IF(AMD!$AT$36="Profile 4",AMD!AJ$34*$E$22,IF(AMD!$AT$36="Profile 5",AMD!AJ$42*$E$22,IF(AMD!$AT$36="Profile 6",AMD!AJ$50*$E$22,0))))))</f>
        <v>0</v>
      </c>
      <c r="AV18" s="36">
        <f>IF(AMD!$AT$36="Profile 1",AMD!AK$10*$E$22,IF(AMD!$AT$36="Profile 2",AMD!AK$18*$E$22,IF(AMD!$AT$36="Profile 3",AMD!AK$26*$E$22,IF(AMD!$AT$36="Profile 4",AMD!AK$34*$E$22,IF(AMD!$AT$36="Profile 5",AMD!AK$42*$E$22,IF(AMD!$AT$36="Profile 6",AMD!AK$50*$E$22,0))))))</f>
        <v>0</v>
      </c>
      <c r="AW18" s="36">
        <f>IF(AMD!$AT$36="Profile 1",AMD!AL$10*$E$22,IF(AMD!$AT$36="Profile 2",AMD!AL$18*$E$22,IF(AMD!$AT$36="Profile 3",AMD!AL$26*$E$22,IF(AMD!$AT$36="Profile 4",AMD!AL$34*$E$22,IF(AMD!$AT$36="Profile 5",AMD!AL$42*$E$22,IF(AMD!$AT$36="Profile 6",AMD!AL$50*$E$22,0))))))</f>
        <v>0</v>
      </c>
      <c r="AX18" s="36">
        <f>IF(AMD!$AT$36="Profile 1",AMD!AM$10*$E$22,IF(AMD!$AT$36="Profile 2",AMD!AM$18*$E$22,IF(AMD!$AT$36="Profile 3",AMD!AM$26*$E$22,IF(AMD!$AT$36="Profile 4",AMD!AM$34*$E$22,IF(AMD!$AT$36="Profile 5",AMD!AM$42*$E$22,IF(AMD!$AT$36="Profile 6",AMD!AM$50*$E$22,0))))))</f>
        <v>0</v>
      </c>
      <c r="AY18" s="36">
        <f>IF(AMD!$AT$36="Profile 1",AMD!AN$10*$E$22,IF(AMD!$AT$36="Profile 2",AMD!AN$18*$E$22,IF(AMD!$AT$36="Profile 3",AMD!AN$26*$E$22,IF(AMD!$AT$36="Profile 4",AMD!AN$34*$E$22,IF(AMD!$AT$36="Profile 5",AMD!AN$42*$E$22,IF(AMD!$AT$36="Profile 6",AMD!AN$50*$E$22,0))))))</f>
        <v>0</v>
      </c>
      <c r="AZ18" s="113">
        <f>IF(AMD!$AT$36="Profile 1",AMD!AO$10*$E$22,IF(AMD!$AT$36="Profile 2",AMD!AO$18*$E$22,IF(AMD!$AT$36="Profile 3",AMD!AO$26*$E$22,IF(AMD!$AT$36="Profile 4",AMD!AO$34*$E$22,IF(AMD!$AT$36="Profile 5",AMD!AO$42*$E$22,IF(AMD!$AT$36="Profile 6",AMD!AO$50*$E$22,0))))))</f>
        <v>0</v>
      </c>
      <c r="BA18" s="90">
        <f t="shared" si="0"/>
        <v>0</v>
      </c>
    </row>
    <row r="19" spans="1:53">
      <c r="A19" s="256" t="s">
        <v>263</v>
      </c>
      <c r="B19" s="188">
        <f>(B15/$B$9)*$B$1</f>
        <v>0</v>
      </c>
      <c r="C19" s="188">
        <f>(C15/$B$9)*$B$1</f>
        <v>0</v>
      </c>
      <c r="D19" s="188">
        <f t="shared" ref="D19:M19" si="4">(D15/$B$9)*$B$1</f>
        <v>0</v>
      </c>
      <c r="E19" s="188">
        <f t="shared" si="4"/>
        <v>0</v>
      </c>
      <c r="F19" s="188">
        <f t="shared" si="4"/>
        <v>0</v>
      </c>
      <c r="G19" s="188">
        <f t="shared" si="4"/>
        <v>0</v>
      </c>
      <c r="H19" s="188">
        <f>(H15/$B$9)*$B$1</f>
        <v>0</v>
      </c>
      <c r="I19" s="188">
        <f t="shared" si="4"/>
        <v>0</v>
      </c>
      <c r="J19" s="188">
        <f t="shared" si="4"/>
        <v>0</v>
      </c>
      <c r="K19" s="188">
        <f t="shared" si="4"/>
        <v>0</v>
      </c>
      <c r="L19" s="188">
        <f t="shared" si="4"/>
        <v>0</v>
      </c>
      <c r="M19" s="189">
        <f t="shared" si="4"/>
        <v>0</v>
      </c>
      <c r="AE19" s="42" t="s">
        <v>96</v>
      </c>
      <c r="AF19" t="s">
        <v>282</v>
      </c>
      <c r="AG19" s="36">
        <f>IF(AMD!$AT$36="Profile 1",AMD!V$10*$F$22,IF(AMD!$AT$36="Profile 2",AMD!V$18*$F$22,IF(AMD!$AT$36="Profile 3",AMD!V$26*$F$22,IF(AMD!$AT$36="Profile 4",AMD!V$34*$F$22,IF(AMD!$AT$36="Profile 5",AMD!V$42*$F$22,IF(AMD!$AT$36="Profile 6",AMD!V$50*$F$22,0))))))</f>
        <v>0</v>
      </c>
      <c r="AH19" s="36">
        <f>IF(AMD!$AT$36="Profile 1",AMD!W$10*$F$22,IF(AMD!$AT$36="Profile 2",AMD!W$18*$F$22,IF(AMD!$AT$36="Profile 3",AMD!W$26*$F$22,IF(AMD!$AT$36="Profile 4",AMD!W$34*$F$22,IF(AMD!$AT$36="Profile 5",AMD!W$42*$F$22,IF(AMD!$AT$36="Profile 6",AMD!W$50*$F$22,0))))))</f>
        <v>0</v>
      </c>
      <c r="AI19" s="36">
        <f>IF(AMD!$AT$36="Profile 1",AMD!X$10*$F$22,IF(AMD!$AT$36="Profile 2",AMD!X$18*$F$22,IF(AMD!$AT$36="Profile 3",AMD!X$26*$F$22,IF(AMD!$AT$36="Profile 4",AMD!X$34*$F$22,IF(AMD!$AT$36="Profile 5",AMD!X$42*$F$22,IF(AMD!$AT$36="Profile 6",AMD!X$50*$F$22,0))))))</f>
        <v>0</v>
      </c>
      <c r="AJ19" s="36">
        <f>IF(AMD!$AT$36="Profile 1",AMD!Y$10*$F$22,IF(AMD!$AT$36="Profile 2",AMD!Y$18*$F$22,IF(AMD!$AT$36="Profile 3",AMD!Y$26*$F$22,IF(AMD!$AT$36="Profile 4",AMD!Y$34*$F$22,IF(AMD!$AT$36="Profile 5",AMD!Y$42*$F$22,IF(AMD!$AT$36="Profile 6",AMD!Y$50*$F$22,0))))))</f>
        <v>0</v>
      </c>
      <c r="AK19" s="36">
        <f>IF(AMD!$AT$36="Profile 1",AMD!Z$10*$F$22,IF(AMD!$AT$36="Profile 2",AMD!Z$18*$F$22,IF(AMD!$AT$36="Profile 3",AMD!Z$26*$F$22,IF(AMD!$AT$36="Profile 4",AMD!Z$34*$F$22,IF(AMD!$AT$36="Profile 5",AMD!Z$42*$F$22,IF(AMD!$AT$36="Profile 6",AMD!Z$50*$F$22,0))))))</f>
        <v>0</v>
      </c>
      <c r="AL19" s="36">
        <f>IF(AMD!$AT$36="Profile 1",AMD!AA$10*$F$22,IF(AMD!$AT$36="Profile 2",AMD!AA$18*$F$22,IF(AMD!$AT$36="Profile 3",AMD!AA$26*$F$22,IF(AMD!$AT$36="Profile 4",AMD!AA$34*$F$22,IF(AMD!$AT$36="Profile 5",AMD!AA$42*$F$22,IF(AMD!$AT$36="Profile 6",AMD!AA$50*$F$22,0))))))</f>
        <v>0</v>
      </c>
      <c r="AM19" s="36">
        <f>IF(AMD!$AT$36="Profile 1",AMD!AB$10*$F$22,IF(AMD!$AT$36="Profile 2",AMD!AB$18*$F$22,IF(AMD!$AT$36="Profile 3",AMD!AB$26*$F$22,IF(AMD!$AT$36="Profile 4",AMD!AB$34*$F$22,IF(AMD!$AT$36="Profile 5",AMD!AB$42*$F$22,IF(AMD!$AT$36="Profile 6",AMD!AB$50*$F$22,0))))))</f>
        <v>0</v>
      </c>
      <c r="AN19" s="36">
        <f>IF(AMD!$AT$36="Profile 1",AMD!AC$10*$F$22,IF(AMD!$AT$36="Profile 2",AMD!AC$18*$F$22,IF(AMD!$AT$36="Profile 3",AMD!AC$26*$F$22,IF(AMD!$AT$36="Profile 4",AMD!AC$34*$F$22,IF(AMD!$AT$36="Profile 5",AMD!AC$42*$F$22,IF(AMD!$AT$36="Profile 6",AMD!AC$50*$F$22,0))))))</f>
        <v>0</v>
      </c>
      <c r="AO19" s="36">
        <f>IF(AMD!$AT$36="Profile 1",AMD!AD$10*$F$22,IF(AMD!$AT$36="Profile 2",AMD!AD$18*$F$22,IF(AMD!$AT$36="Profile 3",AMD!AD$26*$F$22,IF(AMD!$AT$36="Profile 4",AMD!AD$34*$F$22,IF(AMD!$AT$36="Profile 5",AMD!AD$42*$F$22,IF(AMD!$AT$36="Profile 6",AMD!AD$50*$F$22,0))))))</f>
        <v>0</v>
      </c>
      <c r="AP19" s="36">
        <f>IF(AMD!$AT$36="Profile 1",AMD!AE$10*$F$22,IF(AMD!$AT$36="Profile 2",AMD!AE$18*$F$22,IF(AMD!$AT$36="Profile 3",AMD!AE$26*$F$22,IF(AMD!$AT$36="Profile 4",AMD!AE$34*$F$22,IF(AMD!$AT$36="Profile 5",AMD!AE$42*$F$22,IF(AMD!$AT$36="Profile 6",AMD!AE$50*$F$22,0))))))</f>
        <v>0</v>
      </c>
      <c r="AQ19" s="36">
        <f>IF(AMD!$AT$36="Profile 1",AMD!AF$10*$F$22,IF(AMD!$AT$36="Profile 2",AMD!AF$18*$F$22,IF(AMD!$AT$36="Profile 3",AMD!AF$26*$F$22,IF(AMD!$AT$36="Profile 4",AMD!AF$34*$F$22,IF(AMD!$AT$36="Profile 5",AMD!AF$42*$F$22,IF(AMD!$AT$36="Profile 6",AMD!AF$50*$F$22,0))))))</f>
        <v>0</v>
      </c>
      <c r="AR19" s="36">
        <f>IF(AMD!$AT$36="Profile 1",AMD!AG$10*$F$22,IF(AMD!$AT$36="Profile 2",AMD!AG$18*$F$22,IF(AMD!$AT$36="Profile 3",AMD!AG$26*$F$22,IF(AMD!$AT$36="Profile 4",AMD!AG$34*$F$22,IF(AMD!$AT$36="Profile 5",AMD!AG$42*$F$22,IF(AMD!$AT$36="Profile 6",AMD!AG$50*$F$22,0))))))</f>
        <v>0</v>
      </c>
      <c r="AS19" s="36">
        <f>IF(AMD!$AT$36="Profile 1",AMD!AH$10*$F$22,IF(AMD!$AT$36="Profile 2",AMD!AH$18*$F$22,IF(AMD!$AT$36="Profile 3",AMD!AH$26*$F$22,IF(AMD!$AT$36="Profile 4",AMD!AH$34*$F$22,IF(AMD!$AT$36="Profile 5",AMD!AH$42*$F$22,IF(AMD!$AT$36="Profile 6",AMD!AH$50*$F$22,0))))))</f>
        <v>0</v>
      </c>
      <c r="AT19" s="36">
        <f>IF(AMD!$AT$36="Profile 1",AMD!AI$10*$F$22,IF(AMD!$AT$36="Profile 2",AMD!AI$18*$F$22,IF(AMD!$AT$36="Profile 3",AMD!AI$26*$F$22,IF(AMD!$AT$36="Profile 4",AMD!AI$34*$F$22,IF(AMD!$AT$36="Profile 5",AMD!AI$42*$F$22,IF(AMD!$AT$36="Profile 6",AMD!AI$50*$F$22,0))))))</f>
        <v>0</v>
      </c>
      <c r="AU19" s="36">
        <f>IF(AMD!$AT$36="Profile 1",AMD!AJ$10*$F$22,IF(AMD!$AT$36="Profile 2",AMD!AJ$18*$F$22,IF(AMD!$AT$36="Profile 3",AMD!AJ$26*$F$22,IF(AMD!$AT$36="Profile 4",AMD!AJ$34*$F$22,IF(AMD!$AT$36="Profile 5",AMD!AJ$42*$F$22,IF(AMD!$AT$36="Profile 6",AMD!AJ$50*$F$22,0))))))</f>
        <v>0</v>
      </c>
      <c r="AV19" s="36">
        <f>IF(AMD!$AT$36="Profile 1",AMD!AK$10*$F$22,IF(AMD!$AT$36="Profile 2",AMD!AK$18*$F$22,IF(AMD!$AT$36="Profile 3",AMD!AK$26*$F$22,IF(AMD!$AT$36="Profile 4",AMD!AK$34*$F$22,IF(AMD!$AT$36="Profile 5",AMD!AK$42*$F$22,IF(AMD!$AT$36="Profile 6",AMD!AK$50*$F$22,0))))))</f>
        <v>0</v>
      </c>
      <c r="AW19" s="36">
        <f>IF(AMD!$AT$36="Profile 1",AMD!AL$10*$F$22,IF(AMD!$AT$36="Profile 2",AMD!AL$18*$F$22,IF(AMD!$AT$36="Profile 3",AMD!AL$26*$F$22,IF(AMD!$AT$36="Profile 4",AMD!AL$34*$F$22,IF(AMD!$AT$36="Profile 5",AMD!AL$42*$F$22,IF(AMD!$AT$36="Profile 6",AMD!AL$50*$F$22,0))))))</f>
        <v>0</v>
      </c>
      <c r="AX19" s="36">
        <f>IF(AMD!$AT$36="Profile 1",AMD!AM$10*$F$22,IF(AMD!$AT$36="Profile 2",AMD!AM$18*$F$22,IF(AMD!$AT$36="Profile 3",AMD!AM$26*$F$22,IF(AMD!$AT$36="Profile 4",AMD!AM$34*$F$22,IF(AMD!$AT$36="Profile 5",AMD!AM$42*$F$22,IF(AMD!$AT$36="Profile 6",AMD!AM$50*$F$22,0))))))</f>
        <v>0</v>
      </c>
      <c r="AY19" s="36">
        <f>IF(AMD!$AT$36="Profile 1",AMD!AN$10*$F$22,IF(AMD!$AT$36="Profile 2",AMD!AN$18*$F$22,IF(AMD!$AT$36="Profile 3",AMD!AN$26*$F$22,IF(AMD!$AT$36="Profile 4",AMD!AN$34*$F$22,IF(AMD!$AT$36="Profile 5",AMD!AN$42*$F$22,IF(AMD!$AT$36="Profile 6",AMD!AN$50*$F$22,0))))))</f>
        <v>0</v>
      </c>
      <c r="AZ19" s="113">
        <f>IF(AMD!$AT$36="Profile 1",AMD!AO$10*$F$22,IF(AMD!$AT$36="Profile 2",AMD!AO$18*$F$22,IF(AMD!$AT$36="Profile 3",AMD!AO$26*$F$22,IF(AMD!$AT$36="Profile 4",AMD!AO$34*$F$22,IF(AMD!$AT$36="Profile 5",AMD!AO$42*$F$22,IF(AMD!$AT$36="Profile 6",AMD!AO$50*$F$22,0))))))</f>
        <v>0</v>
      </c>
      <c r="BA19" s="90">
        <f t="shared" si="0"/>
        <v>0</v>
      </c>
    </row>
    <row r="20" spans="1:53">
      <c r="A20" s="256" t="s">
        <v>262</v>
      </c>
      <c r="B20" s="205">
        <f t="shared" ref="B20:M20" si="5">B19/$B$2</f>
        <v>0</v>
      </c>
      <c r="C20" s="205">
        <f t="shared" si="5"/>
        <v>0</v>
      </c>
      <c r="D20" s="205">
        <f t="shared" si="5"/>
        <v>0</v>
      </c>
      <c r="E20" s="205">
        <f t="shared" si="5"/>
        <v>0</v>
      </c>
      <c r="F20" s="205">
        <f t="shared" si="5"/>
        <v>0</v>
      </c>
      <c r="G20" s="205">
        <f t="shared" si="5"/>
        <v>0</v>
      </c>
      <c r="H20" s="205">
        <f t="shared" si="5"/>
        <v>0</v>
      </c>
      <c r="I20" s="205">
        <f t="shared" si="5"/>
        <v>0</v>
      </c>
      <c r="J20" s="205">
        <f t="shared" si="5"/>
        <v>0</v>
      </c>
      <c r="K20" s="205">
        <f t="shared" si="5"/>
        <v>0</v>
      </c>
      <c r="L20" s="205">
        <f t="shared" si="5"/>
        <v>0</v>
      </c>
      <c r="M20" s="206">
        <f t="shared" si="5"/>
        <v>0</v>
      </c>
      <c r="AE20" s="42" t="s">
        <v>187</v>
      </c>
      <c r="AF20" t="s">
        <v>282</v>
      </c>
      <c r="AG20" s="36">
        <f>IF(AMD!$AT$36="Profile 1",AMD!V$10*$G$22,IF(AMD!$AT$36="Profile 2",AMD!V$18*$G$22,IF(AMD!$AT$36="Profile 3",AMD!V$26*$G$22,IF(AMD!$AT$36="Profile 4",AMD!V$34*$G$22,IF(AMD!$AT$36="Profile 5",AMD!V$42*$G$22,IF(AMD!$AT$36="Profile 6",AMD!V$50*$G$22,0))))))</f>
        <v>0</v>
      </c>
      <c r="AH20" s="36">
        <f>IF(AMD!$AT$36="Profile 1",AMD!W$10*$G$22,IF(AMD!$AT$36="Profile 2",AMD!W$18*$G$22,IF(AMD!$AT$36="Profile 3",AMD!W$26*$G$22,IF(AMD!$AT$36="Profile 4",AMD!W$34*$G$22,IF(AMD!$AT$36="Profile 5",AMD!W$42*$G$22,IF(AMD!$AT$36="Profile 6",AMD!W$50*$G$22,0))))))</f>
        <v>0</v>
      </c>
      <c r="AI20" s="36">
        <f>IF(AMD!$AT$36="Profile 1",AMD!X$10*$G$22,IF(AMD!$AT$36="Profile 2",AMD!X$18*$G$22,IF(AMD!$AT$36="Profile 3",AMD!X$26*$G$22,IF(AMD!$AT$36="Profile 4",AMD!X$34*$G$22,IF(AMD!$AT$36="Profile 5",AMD!X$42*$G$22,IF(AMD!$AT$36="Profile 6",AMD!X$50*$G$22,0))))))</f>
        <v>0</v>
      </c>
      <c r="AJ20" s="36">
        <f>IF(AMD!$AT$36="Profile 1",AMD!Y$10*$G$22,IF(AMD!$AT$36="Profile 2",AMD!Y$18*$G$22,IF(AMD!$AT$36="Profile 3",AMD!Y$26*$G$22,IF(AMD!$AT$36="Profile 4",AMD!Y$34*$G$22,IF(AMD!$AT$36="Profile 5",AMD!Y$42*$G$22,IF(AMD!$AT$36="Profile 6",AMD!Y$50*$G$22,0))))))</f>
        <v>0</v>
      </c>
      <c r="AK20" s="36">
        <f>IF(AMD!$AT$36="Profile 1",AMD!Z$10*$G$22,IF(AMD!$AT$36="Profile 2",AMD!Z$18*$G$22,IF(AMD!$AT$36="Profile 3",AMD!Z$26*$G$22,IF(AMD!$AT$36="Profile 4",AMD!Z$34*$G$22,IF(AMD!$AT$36="Profile 5",AMD!Z$42*$G$22,IF(AMD!$AT$36="Profile 6",AMD!Z$50*$G$22,0))))))</f>
        <v>0</v>
      </c>
      <c r="AL20" s="36">
        <f>IF(AMD!$AT$36="Profile 1",AMD!AA$10*$G$22,IF(AMD!$AT$36="Profile 2",AMD!AA$18*$G$22,IF(AMD!$AT$36="Profile 3",AMD!AA$26*$G$22,IF(AMD!$AT$36="Profile 4",AMD!AA$34*$G$22,IF(AMD!$AT$36="Profile 5",AMD!AA$42*$G$22,IF(AMD!$AT$36="Profile 6",AMD!AA$50*$G$22,0))))))</f>
        <v>0</v>
      </c>
      <c r="AM20" s="36">
        <f>IF(AMD!$AT$36="Profile 1",AMD!AB$10*$G$22,IF(AMD!$AT$36="Profile 2",AMD!AB$18*$G$22,IF(AMD!$AT$36="Profile 3",AMD!AB$26*$G$22,IF(AMD!$AT$36="Profile 4",AMD!AB$34*$G$22,IF(AMD!$AT$36="Profile 5",AMD!AB$42*$G$22,IF(AMD!$AT$36="Profile 6",AMD!AB$50*$G$22,0))))))</f>
        <v>0</v>
      </c>
      <c r="AN20" s="36">
        <f>IF(AMD!$AT$36="Profile 1",AMD!AC$10*$G$22,IF(AMD!$AT$36="Profile 2",AMD!AC$18*$G$22,IF(AMD!$AT$36="Profile 3",AMD!AC$26*$G$22,IF(AMD!$AT$36="Profile 4",AMD!AC$34*$G$22,IF(AMD!$AT$36="Profile 5",AMD!AC$42*$G$22,IF(AMD!$AT$36="Profile 6",AMD!AC$50*$G$22,0))))))</f>
        <v>0</v>
      </c>
      <c r="AO20" s="36">
        <f>IF(AMD!$AT$36="Profile 1",AMD!AD$10*$G$22,IF(AMD!$AT$36="Profile 2",AMD!AD$18*$G$22,IF(AMD!$AT$36="Profile 3",AMD!AD$26*$G$22,IF(AMD!$AT$36="Profile 4",AMD!AD$34*$G$22,IF(AMD!$AT$36="Profile 5",AMD!AD$42*$G$22,IF(AMD!$AT$36="Profile 6",AMD!AD$50*$G$22,0))))))</f>
        <v>0</v>
      </c>
      <c r="AP20" s="36">
        <f>IF(AMD!$AT$36="Profile 1",AMD!AE$10*$G$22,IF(AMD!$AT$36="Profile 2",AMD!AE$18*$G$22,IF(AMD!$AT$36="Profile 3",AMD!AE$26*$G$22,IF(AMD!$AT$36="Profile 4",AMD!AE$34*$G$22,IF(AMD!$AT$36="Profile 5",AMD!AE$42*$G$22,IF(AMD!$AT$36="Profile 6",AMD!AE$50*$G$22,0))))))</f>
        <v>0</v>
      </c>
      <c r="AQ20" s="36">
        <f>IF(AMD!$AT$36="Profile 1",AMD!AF$10*$G$22,IF(AMD!$AT$36="Profile 2",AMD!AF$18*$G$22,IF(AMD!$AT$36="Profile 3",AMD!AF$26*$G$22,IF(AMD!$AT$36="Profile 4",AMD!AF$34*$G$22,IF(AMD!$AT$36="Profile 5",AMD!AF$42*$G$22,IF(AMD!$AT$36="Profile 6",AMD!AF$50*$G$22,0))))))</f>
        <v>0</v>
      </c>
      <c r="AR20" s="36">
        <f>IF(AMD!$AT$36="Profile 1",AMD!AG$10*$G$22,IF(AMD!$AT$36="Profile 2",AMD!AG$18*$G$22,IF(AMD!$AT$36="Profile 3",AMD!AG$26*$G$22,IF(AMD!$AT$36="Profile 4",AMD!AG$34*$G$22,IF(AMD!$AT$36="Profile 5",AMD!AG$42*$G$22,IF(AMD!$AT$36="Profile 6",AMD!AG$50*$G$22,0))))))</f>
        <v>0</v>
      </c>
      <c r="AS20" s="36">
        <f>IF(AMD!$AT$36="Profile 1",AMD!AH$10*$G$22,IF(AMD!$AT$36="Profile 2",AMD!AH$18*$G$22,IF(AMD!$AT$36="Profile 3",AMD!AH$26*$G$22,IF(AMD!$AT$36="Profile 4",AMD!AH$34*$G$22,IF(AMD!$AT$36="Profile 5",AMD!AH$42*$G$22,IF(AMD!$AT$36="Profile 6",AMD!AH$50*$G$22,0))))))</f>
        <v>0</v>
      </c>
      <c r="AT20" s="36">
        <f>IF(AMD!$AT$36="Profile 1",AMD!AI$10*$G$22,IF(AMD!$AT$36="Profile 2",AMD!AI$18*$G$22,IF(AMD!$AT$36="Profile 3",AMD!AI$26*$G$22,IF(AMD!$AT$36="Profile 4",AMD!AI$34*$G$22,IF(AMD!$AT$36="Profile 5",AMD!AI$42*$G$22,IF(AMD!$AT$36="Profile 6",AMD!AI$50*$G$22,0))))))</f>
        <v>0</v>
      </c>
      <c r="AU20" s="36">
        <f>IF(AMD!$AT$36="Profile 1",AMD!AJ$10*$G$22,IF(AMD!$AT$36="Profile 2",AMD!AJ$18*$G$22,IF(AMD!$AT$36="Profile 3",AMD!AJ$26*$G$22,IF(AMD!$AT$36="Profile 4",AMD!AJ$34*$G$22,IF(AMD!$AT$36="Profile 5",AMD!AJ$42*$G$22,IF(AMD!$AT$36="Profile 6",AMD!AJ$50*$G$22,0))))))</f>
        <v>0</v>
      </c>
      <c r="AV20" s="36">
        <f>IF(AMD!$AT$36="Profile 1",AMD!AK$10*$G$22,IF(AMD!$AT$36="Profile 2",AMD!AK$18*$G$22,IF(AMD!$AT$36="Profile 3",AMD!AK$26*$G$22,IF(AMD!$AT$36="Profile 4",AMD!AK$34*$G$22,IF(AMD!$AT$36="Profile 5",AMD!AK$42*$G$22,IF(AMD!$AT$36="Profile 6",AMD!AK$50*$G$22,0))))))</f>
        <v>0</v>
      </c>
      <c r="AW20" s="36">
        <f>IF(AMD!$AT$36="Profile 1",AMD!AL$10*$G$22,IF(AMD!$AT$36="Profile 2",AMD!AL$18*$G$22,IF(AMD!$AT$36="Profile 3",AMD!AL$26*$G$22,IF(AMD!$AT$36="Profile 4",AMD!AL$34*$G$22,IF(AMD!$AT$36="Profile 5",AMD!AL$42*$G$22,IF(AMD!$AT$36="Profile 6",AMD!AL$50*$G$22,0))))))</f>
        <v>0</v>
      </c>
      <c r="AX20" s="36">
        <f>IF(AMD!$AT$36="Profile 1",AMD!AM$10*$G$22,IF(AMD!$AT$36="Profile 2",AMD!AM$18*$G$22,IF(AMD!$AT$36="Profile 3",AMD!AM$26*$G$22,IF(AMD!$AT$36="Profile 4",AMD!AM$34*$G$22,IF(AMD!$AT$36="Profile 5",AMD!AM$42*$G$22,IF(AMD!$AT$36="Profile 6",AMD!AM$50*$G$22,0))))))</f>
        <v>0</v>
      </c>
      <c r="AY20" s="36">
        <f>IF(AMD!$AT$36="Profile 1",AMD!AN$10*$G$22,IF(AMD!$AT$36="Profile 2",AMD!AN$18*$G$22,IF(AMD!$AT$36="Profile 3",AMD!AN$26*$G$22,IF(AMD!$AT$36="Profile 4",AMD!AN$34*$G$22,IF(AMD!$AT$36="Profile 5",AMD!AN$42*$G$22,IF(AMD!$AT$36="Profile 6",AMD!AN$50*$G$22,0))))))</f>
        <v>0</v>
      </c>
      <c r="AZ20" s="113">
        <f>IF(AMD!$AT$36="Profile 1",AMD!AO$10*$G$22,IF(AMD!$AT$36="Profile 2",AMD!AO$18*$G$22,IF(AMD!$AT$36="Profile 3",AMD!AO$26*$G$22,IF(AMD!$AT$36="Profile 4",AMD!AO$34*$G$22,IF(AMD!$AT$36="Profile 5",AMD!AO$42*$G$22,IF(AMD!$AT$36="Profile 6",AMD!AO$50*$G$22,0))))))</f>
        <v>0</v>
      </c>
      <c r="BA20" s="90">
        <f t="shared" si="0"/>
        <v>0</v>
      </c>
    </row>
    <row r="21" spans="1:53">
      <c r="A21" s="256" t="s">
        <v>269</v>
      </c>
      <c r="B21" s="207">
        <f>(B16/$B$11)*$B$4</f>
        <v>0</v>
      </c>
      <c r="C21" s="207">
        <f t="shared" ref="C21:M21" si="6">(C16/$B$11)*$B$4</f>
        <v>0</v>
      </c>
      <c r="D21" s="207">
        <f t="shared" si="6"/>
        <v>0</v>
      </c>
      <c r="E21" s="207">
        <f t="shared" si="6"/>
        <v>0</v>
      </c>
      <c r="F21" s="207">
        <f t="shared" si="6"/>
        <v>0</v>
      </c>
      <c r="G21" s="207">
        <f t="shared" si="6"/>
        <v>0</v>
      </c>
      <c r="H21" s="207">
        <f t="shared" si="6"/>
        <v>0</v>
      </c>
      <c r="I21" s="207">
        <f t="shared" si="6"/>
        <v>0</v>
      </c>
      <c r="J21" s="207">
        <f t="shared" si="6"/>
        <v>0</v>
      </c>
      <c r="K21" s="207">
        <f t="shared" si="6"/>
        <v>0</v>
      </c>
      <c r="L21" s="207">
        <f t="shared" si="6"/>
        <v>0</v>
      </c>
      <c r="M21" s="208">
        <f t="shared" si="6"/>
        <v>0</v>
      </c>
      <c r="AE21" s="42" t="s">
        <v>188</v>
      </c>
      <c r="AF21" t="s">
        <v>282</v>
      </c>
      <c r="AG21" s="36">
        <f>IF(AMD!$AT$36="Profile 1",AMD!V$10*$H$22,IF(AMD!$AT$36="Profile 2",AMD!V$18*$H$22,IF(AMD!$AT$36="Profile 3",AMD!V$26*$H$22,IF(AMD!$AT$36="Profile 4",AMD!V$34*$H$22,IF(AMD!$AT$36="Profile 5",AMD!V$42*$H$22,IF(AMD!$AT$36="Profile 6",AMD!V$50*$H$22,0))))))</f>
        <v>0</v>
      </c>
      <c r="AH21" s="36">
        <f>IF(AMD!$AT$36="Profile 1",AMD!W$10*$H$22,IF(AMD!$AT$36="Profile 2",AMD!W$18*$H$22,IF(AMD!$AT$36="Profile 3",AMD!W$26*$H$22,IF(AMD!$AT$36="Profile 4",AMD!W$34*$H$22,IF(AMD!$AT$36="Profile 5",AMD!W$42*$H$22,IF(AMD!$AT$36="Profile 6",AMD!W$50*$H$22,0))))))</f>
        <v>0</v>
      </c>
      <c r="AI21" s="36">
        <f>IF(AMD!$AT$36="Profile 1",AMD!X$10*$H$22,IF(AMD!$AT$36="Profile 2",AMD!X$18*$H$22,IF(AMD!$AT$36="Profile 3",AMD!X$26*$H$22,IF(AMD!$AT$36="Profile 4",AMD!X$34*$H$22,IF(AMD!$AT$36="Profile 5",AMD!X$42*$H$22,IF(AMD!$AT$36="Profile 6",AMD!X$50*$H$22,0))))))</f>
        <v>0</v>
      </c>
      <c r="AJ21" s="36">
        <f>IF(AMD!$AT$36="Profile 1",AMD!Y$10*$H$22,IF(AMD!$AT$36="Profile 2",AMD!Y$18*$H$22,IF(AMD!$AT$36="Profile 3",AMD!Y$26*$H$22,IF(AMD!$AT$36="Profile 4",AMD!Y$34*$H$22,IF(AMD!$AT$36="Profile 5",AMD!Y$42*$H$22,IF(AMD!$AT$36="Profile 6",AMD!Y$50*$H$22,0))))))</f>
        <v>0</v>
      </c>
      <c r="AK21" s="36">
        <f>IF(AMD!$AT$36="Profile 1",AMD!Z$10*$H$22,IF(AMD!$AT$36="Profile 2",AMD!Z$18*$H$22,IF(AMD!$AT$36="Profile 3",AMD!Z$26*$H$22,IF(AMD!$AT$36="Profile 4",AMD!Z$34*$H$22,IF(AMD!$AT$36="Profile 5",AMD!Z$42*$H$22,IF(AMD!$AT$36="Profile 6",AMD!Z$50*$H$22,0))))))</f>
        <v>0</v>
      </c>
      <c r="AL21" s="36">
        <f>IF(AMD!$AT$36="Profile 1",AMD!AA$10*$H$22,IF(AMD!$AT$36="Profile 2",AMD!AA$18*$H$22,IF(AMD!$AT$36="Profile 3",AMD!AA$26*$H$22,IF(AMD!$AT$36="Profile 4",AMD!AA$34*$H$22,IF(AMD!$AT$36="Profile 5",AMD!AA$42*$H$22,IF(AMD!$AT$36="Profile 6",AMD!AA$50*$H$22,0))))))</f>
        <v>0</v>
      </c>
      <c r="AM21" s="36">
        <f>IF(AMD!$AT$36="Profile 1",AMD!AB$10*$H$22,IF(AMD!$AT$36="Profile 2",AMD!AB$18*$H$22,IF(AMD!$AT$36="Profile 3",AMD!AB$26*$H$22,IF(AMD!$AT$36="Profile 4",AMD!AB$34*$H$22,IF(AMD!$AT$36="Profile 5",AMD!AB$42*$H$22,IF(AMD!$AT$36="Profile 6",AMD!AB$50*$H$22,0))))))</f>
        <v>0</v>
      </c>
      <c r="AN21" s="36">
        <f>IF(AMD!$AT$36="Profile 1",AMD!AC$10*$H$22,IF(AMD!$AT$36="Profile 2",AMD!AC$18*$H$22,IF(AMD!$AT$36="Profile 3",AMD!AC$26*$H$22,IF(AMD!$AT$36="Profile 4",AMD!AC$34*$H$22,IF(AMD!$AT$36="Profile 5",AMD!AC$42*$H$22,IF(AMD!$AT$36="Profile 6",AMD!AC$50*$H$22,0))))))</f>
        <v>0</v>
      </c>
      <c r="AO21" s="36">
        <f>IF(AMD!$AT$36="Profile 1",AMD!AD$10*$H$22,IF(AMD!$AT$36="Profile 2",AMD!AD$18*$H$22,IF(AMD!$AT$36="Profile 3",AMD!AD$26*$H$22,IF(AMD!$AT$36="Profile 4",AMD!AD$34*$H$22,IF(AMD!$AT$36="Profile 5",AMD!AD$42*$H$22,IF(AMD!$AT$36="Profile 6",AMD!AD$50*$H$22,0))))))</f>
        <v>0</v>
      </c>
      <c r="AP21" s="36">
        <f>IF(AMD!$AT$36="Profile 1",AMD!AE$10*$H$22,IF(AMD!$AT$36="Profile 2",AMD!AE$18*$H$22,IF(AMD!$AT$36="Profile 3",AMD!AE$26*$H$22,IF(AMD!$AT$36="Profile 4",AMD!AE$34*$H$22,IF(AMD!$AT$36="Profile 5",AMD!AE$42*$H$22,IF(AMD!$AT$36="Profile 6",AMD!AE$50*$H$22,0))))))</f>
        <v>0</v>
      </c>
      <c r="AQ21" s="36">
        <f>IF(AMD!$AT$36="Profile 1",AMD!AF$10*$H$22,IF(AMD!$AT$36="Profile 2",AMD!AF$18*$H$22,IF(AMD!$AT$36="Profile 3",AMD!AF$26*$H$22,IF(AMD!$AT$36="Profile 4",AMD!AF$34*$H$22,IF(AMD!$AT$36="Profile 5",AMD!AF$42*$H$22,IF(AMD!$AT$36="Profile 6",AMD!AF$50*$H$22,0))))))</f>
        <v>0</v>
      </c>
      <c r="AR21" s="36">
        <f>IF(AMD!$AT$36="Profile 1",AMD!AG$10*$H$22,IF(AMD!$AT$36="Profile 2",AMD!AG$18*$H$22,IF(AMD!$AT$36="Profile 3",AMD!AG$26*$H$22,IF(AMD!$AT$36="Profile 4",AMD!AG$34*$H$22,IF(AMD!$AT$36="Profile 5",AMD!AG$42*$H$22,IF(AMD!$AT$36="Profile 6",AMD!AG$50*$H$22,0))))))</f>
        <v>0</v>
      </c>
      <c r="AS21" s="36">
        <f>IF(AMD!$AT$36="Profile 1",AMD!AH$10*$H$22,IF(AMD!$AT$36="Profile 2",AMD!AH$18*$H$22,IF(AMD!$AT$36="Profile 3",AMD!AH$26*$H$22,IF(AMD!$AT$36="Profile 4",AMD!AH$34*$H$22,IF(AMD!$AT$36="Profile 5",AMD!AH$42*$H$22,IF(AMD!$AT$36="Profile 6",AMD!AH$50*$H$22,0))))))</f>
        <v>0</v>
      </c>
      <c r="AT21" s="36">
        <f>IF(AMD!$AT$36="Profile 1",AMD!AI$10*$H$22,IF(AMD!$AT$36="Profile 2",AMD!AI$18*$H$22,IF(AMD!$AT$36="Profile 3",AMD!AI$26*$H$22,IF(AMD!$AT$36="Profile 4",AMD!AI$34*$H$22,IF(AMD!$AT$36="Profile 5",AMD!AI$42*$H$22,IF(AMD!$AT$36="Profile 6",AMD!AI$50*$H$22,0))))))</f>
        <v>0</v>
      </c>
      <c r="AU21" s="36">
        <f>IF(AMD!$AT$36="Profile 1",AMD!AJ$10*$H$22,IF(AMD!$AT$36="Profile 2",AMD!AJ$18*$H$22,IF(AMD!$AT$36="Profile 3",AMD!AJ$26*$H$22,IF(AMD!$AT$36="Profile 4",AMD!AJ$34*$H$22,IF(AMD!$AT$36="Profile 5",AMD!AJ$42*$H$22,IF(AMD!$AT$36="Profile 6",AMD!AJ$50*$H$22,0))))))</f>
        <v>0</v>
      </c>
      <c r="AV21" s="36">
        <f>IF(AMD!$AT$36="Profile 1",AMD!AK$10*$H$22,IF(AMD!$AT$36="Profile 2",AMD!AK$18*$H$22,IF(AMD!$AT$36="Profile 3",AMD!AK$26*$H$22,IF(AMD!$AT$36="Profile 4",AMD!AK$34*$H$22,IF(AMD!$AT$36="Profile 5",AMD!AK$42*$H$22,IF(AMD!$AT$36="Profile 6",AMD!AK$50*$H$22,0))))))</f>
        <v>0</v>
      </c>
      <c r="AW21" s="36">
        <f>IF(AMD!$AT$36="Profile 1",AMD!AL$10*$H$22,IF(AMD!$AT$36="Profile 2",AMD!AL$18*$H$22,IF(AMD!$AT$36="Profile 3",AMD!AL$26*$H$22,IF(AMD!$AT$36="Profile 4",AMD!AL$34*$H$22,IF(AMD!$AT$36="Profile 5",AMD!AL$42*$H$22,IF(AMD!$AT$36="Profile 6",AMD!AL$50*$H$22,0))))))</f>
        <v>0</v>
      </c>
      <c r="AX21" s="36">
        <f>IF(AMD!$AT$36="Profile 1",AMD!AM$10*$H$22,IF(AMD!$AT$36="Profile 2",AMD!AM$18*$H$22,IF(AMD!$AT$36="Profile 3",AMD!AM$26*$H$22,IF(AMD!$AT$36="Profile 4",AMD!AM$34*$H$22,IF(AMD!$AT$36="Profile 5",AMD!AM$42*$H$22,IF(AMD!$AT$36="Profile 6",AMD!AM$50*$H$22,0))))))</f>
        <v>0</v>
      </c>
      <c r="AY21" s="36">
        <f>IF(AMD!$AT$36="Profile 1",AMD!AN$10*$H$22,IF(AMD!$AT$36="Profile 2",AMD!AN$18*$H$22,IF(AMD!$AT$36="Profile 3",AMD!AN$26*$H$22,IF(AMD!$AT$36="Profile 4",AMD!AN$34*$H$22,IF(AMD!$AT$36="Profile 5",AMD!AN$42*$H$22,IF(AMD!$AT$36="Profile 6",AMD!AN$50*$H$22,0))))))</f>
        <v>0</v>
      </c>
      <c r="AZ21" s="113">
        <f>IF(AMD!$AT$36="Profile 1",AMD!AO$10*$H$22,IF(AMD!$AT$36="Profile 2",AMD!AO$18*$H$22,IF(AMD!$AT$36="Profile 3",AMD!AO$26*$H$22,IF(AMD!$AT$36="Profile 4",AMD!AO$34*$H$22,IF(AMD!$AT$36="Profile 5",AMD!AO$42*$H$22,IF(AMD!$AT$36="Profile 6",AMD!AO$50*$H$22,0))))))</f>
        <v>0</v>
      </c>
      <c r="BA21" s="90">
        <f t="shared" si="0"/>
        <v>0</v>
      </c>
    </row>
    <row r="22" spans="1:53" ht="15" thickBot="1">
      <c r="A22" s="257" t="s">
        <v>268</v>
      </c>
      <c r="B22" s="209">
        <f>B21/$B$5</f>
        <v>0</v>
      </c>
      <c r="C22" s="209">
        <f t="shared" ref="C22:M22" si="7">C21/$B$5</f>
        <v>0</v>
      </c>
      <c r="D22" s="209">
        <f t="shared" si="7"/>
        <v>0</v>
      </c>
      <c r="E22" s="209">
        <f t="shared" si="7"/>
        <v>0</v>
      </c>
      <c r="F22" s="209">
        <f t="shared" si="7"/>
        <v>0</v>
      </c>
      <c r="G22" s="209">
        <f t="shared" si="7"/>
        <v>0</v>
      </c>
      <c r="H22" s="209">
        <f t="shared" si="7"/>
        <v>0</v>
      </c>
      <c r="I22" s="209">
        <f t="shared" si="7"/>
        <v>0</v>
      </c>
      <c r="J22" s="209">
        <f t="shared" si="7"/>
        <v>0</v>
      </c>
      <c r="K22" s="209">
        <f t="shared" si="7"/>
        <v>0</v>
      </c>
      <c r="L22" s="209">
        <f t="shared" si="7"/>
        <v>0</v>
      </c>
      <c r="M22" s="210">
        <f t="shared" si="7"/>
        <v>0</v>
      </c>
      <c r="AE22" s="42" t="s">
        <v>189</v>
      </c>
      <c r="AF22" t="s">
        <v>282</v>
      </c>
      <c r="AG22" s="36">
        <f>IF(AMD!$AT$36="Profile 1",AMD!V$10*$I$22,IF(AMD!$AT$36="Profile 2",AMD!V$18*$I$22,IF(AMD!$AT$36="Profile 3",AMD!V$26*$I$22,IF(AMD!$AT$36="Profile 4",AMD!V$34*$I$22,IF(AMD!$AT$36="Profile 5",AMD!V$42*$I$22,IF(AMD!$AT$36="Profile 6",AMD!V$50*$I$22,0))))))</f>
        <v>0</v>
      </c>
      <c r="AH22" s="36">
        <f>IF(AMD!$AT$36="Profile 1",AMD!W$10*$I$22,IF(AMD!$AT$36="Profile 2",AMD!W$18*$I$22,IF(AMD!$AT$36="Profile 3",AMD!W$26*$I$22,IF(AMD!$AT$36="Profile 4",AMD!W$34*$I$22,IF(AMD!$AT$36="Profile 5",AMD!W$42*$I$22,IF(AMD!$AT$36="Profile 6",AMD!W$50*$I$22,0))))))</f>
        <v>0</v>
      </c>
      <c r="AI22" s="36">
        <f>IF(AMD!$AT$36="Profile 1",AMD!X$10*$I$22,IF(AMD!$AT$36="Profile 2",AMD!X$18*$I$22,IF(AMD!$AT$36="Profile 3",AMD!X$26*$I$22,IF(AMD!$AT$36="Profile 4",AMD!X$34*$I$22,IF(AMD!$AT$36="Profile 5",AMD!X$42*$I$22,IF(AMD!$AT$36="Profile 6",AMD!X$50*$I$22,0))))))</f>
        <v>0</v>
      </c>
      <c r="AJ22" s="36">
        <f>IF(AMD!$AT$36="Profile 1",AMD!Y$10*$I$22,IF(AMD!$AT$36="Profile 2",AMD!Y$18*$I$22,IF(AMD!$AT$36="Profile 3",AMD!Y$26*$I$22,IF(AMD!$AT$36="Profile 4",AMD!Y$34*$I$22,IF(AMD!$AT$36="Profile 5",AMD!Y$42*$I$22,IF(AMD!$AT$36="Profile 6",AMD!Y$50*$I$22,0))))))</f>
        <v>0</v>
      </c>
      <c r="AK22" s="36">
        <f>IF(AMD!$AT$36="Profile 1",AMD!Z$10*$I$22,IF(AMD!$AT$36="Profile 2",AMD!Z$18*$I$22,IF(AMD!$AT$36="Profile 3",AMD!Z$26*$I$22,IF(AMD!$AT$36="Profile 4",AMD!Z$34*$I$22,IF(AMD!$AT$36="Profile 5",AMD!Z$42*$I$22,IF(AMD!$AT$36="Profile 6",AMD!Z$50*$I$22,0))))))</f>
        <v>0</v>
      </c>
      <c r="AL22" s="36">
        <f>IF(AMD!$AT$36="Profile 1",AMD!AA$10*$I$22,IF(AMD!$AT$36="Profile 2",AMD!AA$18*$I$22,IF(AMD!$AT$36="Profile 3",AMD!AA$26*$I$22,IF(AMD!$AT$36="Profile 4",AMD!AA$34*$I$22,IF(AMD!$AT$36="Profile 5",AMD!AA$42*$I$22,IF(AMD!$AT$36="Profile 6",AMD!AA$50*$I$22,0))))))</f>
        <v>0</v>
      </c>
      <c r="AM22" s="36">
        <f>IF(AMD!$AT$36="Profile 1",AMD!AB$10*$I$22,IF(AMD!$AT$36="Profile 2",AMD!AB$18*$I$22,IF(AMD!$AT$36="Profile 3",AMD!AB$26*$I$22,IF(AMD!$AT$36="Profile 4",AMD!AB$34*$I$22,IF(AMD!$AT$36="Profile 5",AMD!AB$42*$I$22,IF(AMD!$AT$36="Profile 6",AMD!AB$50*$I$22,0))))))</f>
        <v>0</v>
      </c>
      <c r="AN22" s="36">
        <f>IF(AMD!$AT$36="Profile 1",AMD!AC$10*$I$22,IF(AMD!$AT$36="Profile 2",AMD!AC$18*$I$22,IF(AMD!$AT$36="Profile 3",AMD!AC$26*$I$22,IF(AMD!$AT$36="Profile 4",AMD!AC$34*$I$22,IF(AMD!$AT$36="Profile 5",AMD!AC$42*$I$22,IF(AMD!$AT$36="Profile 6",AMD!AC$50*$I$22,0))))))</f>
        <v>0</v>
      </c>
      <c r="AO22" s="36">
        <f>IF(AMD!$AT$36="Profile 1",AMD!AD$10*$I$22,IF(AMD!$AT$36="Profile 2",AMD!AD$18*$I$22,IF(AMD!$AT$36="Profile 3",AMD!AD$26*$I$22,IF(AMD!$AT$36="Profile 4",AMD!AD$34*$I$22,IF(AMD!$AT$36="Profile 5",AMD!AD$42*$I$22,IF(AMD!$AT$36="Profile 6",AMD!AD$50*$I$22,0))))))</f>
        <v>0</v>
      </c>
      <c r="AP22" s="36">
        <f>IF(AMD!$AT$36="Profile 1",AMD!AE$10*$I$22,IF(AMD!$AT$36="Profile 2",AMD!AE$18*$I$22,IF(AMD!$AT$36="Profile 3",AMD!AE$26*$I$22,IF(AMD!$AT$36="Profile 4",AMD!AE$34*$I$22,IF(AMD!$AT$36="Profile 5",AMD!AE$42*$I$22,IF(AMD!$AT$36="Profile 6",AMD!AE$50*$I$22,0))))))</f>
        <v>0</v>
      </c>
      <c r="AQ22" s="36">
        <f>IF(AMD!$AT$36="Profile 1",AMD!AF$10*$I$22,IF(AMD!$AT$36="Profile 2",AMD!AF$18*$I$22,IF(AMD!$AT$36="Profile 3",AMD!AF$26*$I$22,IF(AMD!$AT$36="Profile 4",AMD!AF$34*$I$22,IF(AMD!$AT$36="Profile 5",AMD!AF$42*$I$22,IF(AMD!$AT$36="Profile 6",AMD!AF$50*$I$22,0))))))</f>
        <v>0</v>
      </c>
      <c r="AR22" s="36">
        <f>IF(AMD!$AT$36="Profile 1",AMD!AG$10*$I$22,IF(AMD!$AT$36="Profile 2",AMD!AG$18*$I$22,IF(AMD!$AT$36="Profile 3",AMD!AG$26*$I$22,IF(AMD!$AT$36="Profile 4",AMD!AG$34*$I$22,IF(AMD!$AT$36="Profile 5",AMD!AG$42*$I$22,IF(AMD!$AT$36="Profile 6",AMD!AG$50*$I$22,0))))))</f>
        <v>0</v>
      </c>
      <c r="AS22" s="36">
        <f>IF(AMD!$AT$36="Profile 1",AMD!AH$10*$I$22,IF(AMD!$AT$36="Profile 2",AMD!AH$18*$I$22,IF(AMD!$AT$36="Profile 3",AMD!AH$26*$I$22,IF(AMD!$AT$36="Profile 4",AMD!AH$34*$I$22,IF(AMD!$AT$36="Profile 5",AMD!AH$42*$I$22,IF(AMD!$AT$36="Profile 6",AMD!AH$50*$I$22,0))))))</f>
        <v>0</v>
      </c>
      <c r="AT22" s="36">
        <f>IF(AMD!$AT$36="Profile 1",AMD!AI$10*$I$22,IF(AMD!$AT$36="Profile 2",AMD!AI$18*$I$22,IF(AMD!$AT$36="Profile 3",AMD!AI$26*$I$22,IF(AMD!$AT$36="Profile 4",AMD!AI$34*$I$22,IF(AMD!$AT$36="Profile 5",AMD!AI$42*$I$22,IF(AMD!$AT$36="Profile 6",AMD!AI$50*$I$22,0))))))</f>
        <v>0</v>
      </c>
      <c r="AU22" s="36">
        <f>IF(AMD!$AT$36="Profile 1",AMD!AJ$10*$I$22,IF(AMD!$AT$36="Profile 2",AMD!AJ$18*$I$22,IF(AMD!$AT$36="Profile 3",AMD!AJ$26*$I$22,IF(AMD!$AT$36="Profile 4",AMD!AJ$34*$I$22,IF(AMD!$AT$36="Profile 5",AMD!AJ$42*$I$22,IF(AMD!$AT$36="Profile 6",AMD!AJ$50*$I$22,0))))))</f>
        <v>0</v>
      </c>
      <c r="AV22" s="36">
        <f>IF(AMD!$AT$36="Profile 1",AMD!AK$10*$I$22,IF(AMD!$AT$36="Profile 2",AMD!AK$18*$I$22,IF(AMD!$AT$36="Profile 3",AMD!AK$26*$I$22,IF(AMD!$AT$36="Profile 4",AMD!AK$34*$I$22,IF(AMD!$AT$36="Profile 5",AMD!AK$42*$I$22,IF(AMD!$AT$36="Profile 6",AMD!AK$50*$I$22,0))))))</f>
        <v>0</v>
      </c>
      <c r="AW22" s="36">
        <f>IF(AMD!$AT$36="Profile 1",AMD!AL$10*$I$22,IF(AMD!$AT$36="Profile 2",AMD!AL$18*$I$22,IF(AMD!$AT$36="Profile 3",AMD!AL$26*$I$22,IF(AMD!$AT$36="Profile 4",AMD!AL$34*$I$22,IF(AMD!$AT$36="Profile 5",AMD!AL$42*$I$22,IF(AMD!$AT$36="Profile 6",AMD!AL$50*$I$22,0))))))</f>
        <v>0</v>
      </c>
      <c r="AX22" s="36">
        <f>IF(AMD!$AT$36="Profile 1",AMD!AM$10*$I$22,IF(AMD!$AT$36="Profile 2",AMD!AM$18*$I$22,IF(AMD!$AT$36="Profile 3",AMD!AM$26*$I$22,IF(AMD!$AT$36="Profile 4",AMD!AM$34*$I$22,IF(AMD!$AT$36="Profile 5",AMD!AM$42*$I$22,IF(AMD!$AT$36="Profile 6",AMD!AM$50*$I$22,0))))))</f>
        <v>0</v>
      </c>
      <c r="AY22" s="36">
        <f>IF(AMD!$AT$36="Profile 1",AMD!AN$10*$I$22,IF(AMD!$AT$36="Profile 2",AMD!AN$18*$I$22,IF(AMD!$AT$36="Profile 3",AMD!AN$26*$I$22,IF(AMD!$AT$36="Profile 4",AMD!AN$34*$I$22,IF(AMD!$AT$36="Profile 5",AMD!AN$42*$I$22,IF(AMD!$AT$36="Profile 6",AMD!AN$50*$I$22,0))))))</f>
        <v>0</v>
      </c>
      <c r="AZ22" s="113">
        <f>IF(AMD!$AT$36="Profile 1",AMD!AO$10*$I$22,IF(AMD!$AT$36="Profile 2",AMD!AO$18*$I$22,IF(AMD!$AT$36="Profile 3",AMD!AO$26*$I$22,IF(AMD!$AT$36="Profile 4",AMD!AO$34*$I$22,IF(AMD!$AT$36="Profile 5",AMD!AO$42*$I$22,IF(AMD!$AT$36="Profile 6",AMD!AO$50*$I$22,0))))))</f>
        <v>0</v>
      </c>
      <c r="BA22" s="90">
        <f t="shared" si="0"/>
        <v>0</v>
      </c>
    </row>
    <row r="23" spans="1:53">
      <c r="AE23" s="42" t="s">
        <v>190</v>
      </c>
      <c r="AF23" t="s">
        <v>282</v>
      </c>
      <c r="AG23" s="36">
        <f>IF(AMD!$AT$36="Profile 1",AMD!V$10*$J$22,IF(AMD!$AT$36="Profile 2",AMD!V$18*$J$22,IF(AMD!$AT$36="Profile 3",AMD!V$26*$J$22,IF(AMD!$AT$36="Profile 4",AMD!V$34*$J$22,IF(AMD!$AT$36="Profile 5",AMD!V$42*$J$22,IF(AMD!$AT$36="Profile 6",AMD!V$50*$J$22,0))))))</f>
        <v>0</v>
      </c>
      <c r="AH23" s="36">
        <f>IF(AMD!$AT$36="Profile 1",AMD!W$10*$J$22,IF(AMD!$AT$36="Profile 2",AMD!W$18*$J$22,IF(AMD!$AT$36="Profile 3",AMD!W$26*$J$22,IF(AMD!$AT$36="Profile 4",AMD!W$34*$J$22,IF(AMD!$AT$36="Profile 5",AMD!W$42*$J$22,IF(AMD!$AT$36="Profile 6",AMD!W$50*$J$22,0))))))</f>
        <v>0</v>
      </c>
      <c r="AI23" s="36">
        <f>IF(AMD!$AT$36="Profile 1",AMD!X$10*$J$22,IF(AMD!$AT$36="Profile 2",AMD!X$18*$J$22,IF(AMD!$AT$36="Profile 3",AMD!X$26*$J$22,IF(AMD!$AT$36="Profile 4",AMD!X$34*$J$22,IF(AMD!$AT$36="Profile 5",AMD!X$42*$J$22,IF(AMD!$AT$36="Profile 6",AMD!X$50*$J$22,0))))))</f>
        <v>0</v>
      </c>
      <c r="AJ23" s="36">
        <f>IF(AMD!$AT$36="Profile 1",AMD!Y$10*$J$22,IF(AMD!$AT$36="Profile 2",AMD!Y$18*$J$22,IF(AMD!$AT$36="Profile 3",AMD!Y$26*$J$22,IF(AMD!$AT$36="Profile 4",AMD!Y$34*$J$22,IF(AMD!$AT$36="Profile 5",AMD!Y$42*$J$22,IF(AMD!$AT$36="Profile 6",AMD!Y$50*$J$22,0))))))</f>
        <v>0</v>
      </c>
      <c r="AK23" s="36">
        <f>IF(AMD!$AT$36="Profile 1",AMD!Z$10*$J$22,IF(AMD!$AT$36="Profile 2",AMD!Z$18*$J$22,IF(AMD!$AT$36="Profile 3",AMD!Z$26*$J$22,IF(AMD!$AT$36="Profile 4",AMD!Z$34*$J$22,IF(AMD!$AT$36="Profile 5",AMD!Z$42*$J$22,IF(AMD!$AT$36="Profile 6",AMD!Z$50*$J$22,0))))))</f>
        <v>0</v>
      </c>
      <c r="AL23" s="36">
        <f>IF(AMD!$AT$36="Profile 1",AMD!AA$10*$J$22,IF(AMD!$AT$36="Profile 2",AMD!AA$18*$J$22,IF(AMD!$AT$36="Profile 3",AMD!AA$26*$J$22,IF(AMD!$AT$36="Profile 4",AMD!AA$34*$J$22,IF(AMD!$AT$36="Profile 5",AMD!AA$42*$J$22,IF(AMD!$AT$36="Profile 6",AMD!AA$50*$J$22,0))))))</f>
        <v>0</v>
      </c>
      <c r="AM23" s="36">
        <f>IF(AMD!$AT$36="Profile 1",AMD!AB$10*$J$22,IF(AMD!$AT$36="Profile 2",AMD!AB$18*$J$22,IF(AMD!$AT$36="Profile 3",AMD!AB$26*$J$22,IF(AMD!$AT$36="Profile 4",AMD!AB$34*$J$22,IF(AMD!$AT$36="Profile 5",AMD!AB$42*$J$22,IF(AMD!$AT$36="Profile 6",AMD!AB$50*$J$22,0))))))</f>
        <v>0</v>
      </c>
      <c r="AN23" s="36">
        <f>IF(AMD!$AT$36="Profile 1",AMD!AC$10*$J$22,IF(AMD!$AT$36="Profile 2",AMD!AC$18*$J$22,IF(AMD!$AT$36="Profile 3",AMD!AC$26*$J$22,IF(AMD!$AT$36="Profile 4",AMD!AC$34*$J$22,IF(AMD!$AT$36="Profile 5",AMD!AC$42*$J$22,IF(AMD!$AT$36="Profile 6",AMD!AC$50*$J$22,0))))))</f>
        <v>0</v>
      </c>
      <c r="AO23" s="36">
        <f>IF(AMD!$AT$36="Profile 1",AMD!AD$10*$J$22,IF(AMD!$AT$36="Profile 2",AMD!AD$18*$J$22,IF(AMD!$AT$36="Profile 3",AMD!AD$26*$J$22,IF(AMD!$AT$36="Profile 4",AMD!AD$34*$J$22,IF(AMD!$AT$36="Profile 5",AMD!AD$42*$J$22,IF(AMD!$AT$36="Profile 6",AMD!AD$50*$J$22,0))))))</f>
        <v>0</v>
      </c>
      <c r="AP23" s="36">
        <f>IF(AMD!$AT$36="Profile 1",AMD!AE$10*$J$22,IF(AMD!$AT$36="Profile 2",AMD!AE$18*$J$22,IF(AMD!$AT$36="Profile 3",AMD!AE$26*$J$22,IF(AMD!$AT$36="Profile 4",AMD!AE$34*$J$22,IF(AMD!$AT$36="Profile 5",AMD!AE$42*$J$22,IF(AMD!$AT$36="Profile 6",AMD!AE$50*$J$22,0))))))</f>
        <v>0</v>
      </c>
      <c r="AQ23" s="36">
        <f>IF(AMD!$AT$36="Profile 1",AMD!AF$10*$J$22,IF(AMD!$AT$36="Profile 2",AMD!AF$18*$J$22,IF(AMD!$AT$36="Profile 3",AMD!AF$26*$J$22,IF(AMD!$AT$36="Profile 4",AMD!AF$34*$J$22,IF(AMD!$AT$36="Profile 5",AMD!AF$42*$J$22,IF(AMD!$AT$36="Profile 6",AMD!AF$50*$J$22,0))))))</f>
        <v>0</v>
      </c>
      <c r="AR23" s="36">
        <f>IF(AMD!$AT$36="Profile 1",AMD!AG$10*$J$22,IF(AMD!$AT$36="Profile 2",AMD!AG$18*$J$22,IF(AMD!$AT$36="Profile 3",AMD!AG$26*$J$22,IF(AMD!$AT$36="Profile 4",AMD!AG$34*$J$22,IF(AMD!$AT$36="Profile 5",AMD!AG$42*$J$22,IF(AMD!$AT$36="Profile 6",AMD!AG$50*$J$22,0))))))</f>
        <v>0</v>
      </c>
      <c r="AS23" s="36">
        <f>IF(AMD!$AT$36="Profile 1",AMD!AH$10*$J$22,IF(AMD!$AT$36="Profile 2",AMD!AH$18*$J$22,IF(AMD!$AT$36="Profile 3",AMD!AH$26*$J$22,IF(AMD!$AT$36="Profile 4",AMD!AH$34*$J$22,IF(AMD!$AT$36="Profile 5",AMD!AH$42*$J$22,IF(AMD!$AT$36="Profile 6",AMD!AH$50*$J$22,0))))))</f>
        <v>0</v>
      </c>
      <c r="AT23" s="36">
        <f>IF(AMD!$AT$36="Profile 1",AMD!AI$10*$J$22,IF(AMD!$AT$36="Profile 2",AMD!AI$18*$J$22,IF(AMD!$AT$36="Profile 3",AMD!AI$26*$J$22,IF(AMD!$AT$36="Profile 4",AMD!AI$34*$J$22,IF(AMD!$AT$36="Profile 5",AMD!AI$42*$J$22,IF(AMD!$AT$36="Profile 6",AMD!AI$50*$J$22,0))))))</f>
        <v>0</v>
      </c>
      <c r="AU23" s="36">
        <f>IF(AMD!$AT$36="Profile 1",AMD!AJ$10*$J$22,IF(AMD!$AT$36="Profile 2",AMD!AJ$18*$J$22,IF(AMD!$AT$36="Profile 3",AMD!AJ$26*$J$22,IF(AMD!$AT$36="Profile 4",AMD!AJ$34*$J$22,IF(AMD!$AT$36="Profile 5",AMD!AJ$42*$J$22,IF(AMD!$AT$36="Profile 6",AMD!AJ$50*$J$22,0))))))</f>
        <v>0</v>
      </c>
      <c r="AV23" s="36">
        <f>IF(AMD!$AT$36="Profile 1",AMD!AK$10*$J$22,IF(AMD!$AT$36="Profile 2",AMD!AK$18*$J$22,IF(AMD!$AT$36="Profile 3",AMD!AK$26*$J$22,IF(AMD!$AT$36="Profile 4",AMD!AK$34*$J$22,IF(AMD!$AT$36="Profile 5",AMD!AK$42*$J$22,IF(AMD!$AT$36="Profile 6",AMD!AK$50*$J$22,0))))))</f>
        <v>0</v>
      </c>
      <c r="AW23" s="36">
        <f>IF(AMD!$AT$36="Profile 1",AMD!AL$10*$J$22,IF(AMD!$AT$36="Profile 2",AMD!AL$18*$J$22,IF(AMD!$AT$36="Profile 3",AMD!AL$26*$J$22,IF(AMD!$AT$36="Profile 4",AMD!AL$34*$J$22,IF(AMD!$AT$36="Profile 5",AMD!AL$42*$J$22,IF(AMD!$AT$36="Profile 6",AMD!AL$50*$J$22,0))))))</f>
        <v>0</v>
      </c>
      <c r="AX23" s="36">
        <f>IF(AMD!$AT$36="Profile 1",AMD!AM$10*$J$22,IF(AMD!$AT$36="Profile 2",AMD!AM$18*$J$22,IF(AMD!$AT$36="Profile 3",AMD!AM$26*$J$22,IF(AMD!$AT$36="Profile 4",AMD!AM$34*$J$22,IF(AMD!$AT$36="Profile 5",AMD!AM$42*$J$22,IF(AMD!$AT$36="Profile 6",AMD!AM$50*$J$22,0))))))</f>
        <v>0</v>
      </c>
      <c r="AY23" s="36">
        <f>IF(AMD!$AT$36="Profile 1",AMD!AN$10*$J$22,IF(AMD!$AT$36="Profile 2",AMD!AN$18*$J$22,IF(AMD!$AT$36="Profile 3",AMD!AN$26*$J$22,IF(AMD!$AT$36="Profile 4",AMD!AN$34*$J$22,IF(AMD!$AT$36="Profile 5",AMD!AN$42*$J$22,IF(AMD!$AT$36="Profile 6",AMD!AN$50*$J$22,0))))))</f>
        <v>0</v>
      </c>
      <c r="AZ23" s="113">
        <f>IF(AMD!$AT$36="Profile 1",AMD!AO$10*$J$22,IF(AMD!$AT$36="Profile 2",AMD!AO$18*$J$22,IF(AMD!$AT$36="Profile 3",AMD!AO$26*$J$22,IF(AMD!$AT$36="Profile 4",AMD!AO$34*$J$22,IF(AMD!$AT$36="Profile 5",AMD!AO$42*$J$22,IF(AMD!$AT$36="Profile 6",AMD!AO$50*$J$22,0))))))</f>
        <v>0</v>
      </c>
      <c r="BA23" s="90">
        <f t="shared" si="0"/>
        <v>0</v>
      </c>
    </row>
    <row r="24" spans="1:53">
      <c r="A24" s="179"/>
      <c r="B24" s="179"/>
      <c r="C24" s="179"/>
      <c r="D24" s="179"/>
      <c r="E24" s="179"/>
      <c r="F24" s="179"/>
      <c r="G24" s="179"/>
      <c r="H24" s="179"/>
      <c r="I24" s="179"/>
      <c r="J24" s="179"/>
      <c r="K24" s="179"/>
      <c r="L24" s="179"/>
      <c r="M24" s="179"/>
      <c r="N24" s="179"/>
      <c r="AE24" s="42" t="s">
        <v>191</v>
      </c>
      <c r="AF24" t="s">
        <v>282</v>
      </c>
      <c r="AG24" s="36">
        <f>IF(AMD!$AT$36="Profile 1",AMD!V$10*$K$22,IF(AMD!$AT$36="Profile 2",AMD!V$18*$K$22,IF(AMD!$AT$36="Profile 3",AMD!V$26*$K$22,IF(AMD!$AT$36="Profile 4",AMD!V$34*$K$22,IF(AMD!$AT$36="Profile 5",AMD!V$42*$K$22,IF(AMD!$AT$36="Profile 6",AMD!V$50*$K$22,0))))))</f>
        <v>0</v>
      </c>
      <c r="AH24" s="36">
        <f>IF(AMD!$AT$36="Profile 1",AMD!W$10*$K$22,IF(AMD!$AT$36="Profile 2",AMD!W$18*$K$22,IF(AMD!$AT$36="Profile 3",AMD!W$26*$K$22,IF(AMD!$AT$36="Profile 4",AMD!W$34*$K$22,IF(AMD!$AT$36="Profile 5",AMD!W$42*$K$22,IF(AMD!$AT$36="Profile 6",AMD!W$50*$K$22,0))))))</f>
        <v>0</v>
      </c>
      <c r="AI24" s="36">
        <f>IF(AMD!$AT$36="Profile 1",AMD!X$10*$K$22,IF(AMD!$AT$36="Profile 2",AMD!X$18*$K$22,IF(AMD!$AT$36="Profile 3",AMD!X$26*$K$22,IF(AMD!$AT$36="Profile 4",AMD!X$34*$K$22,IF(AMD!$AT$36="Profile 5",AMD!X$42*$K$22,IF(AMD!$AT$36="Profile 6",AMD!X$50*$K$22,0))))))</f>
        <v>0</v>
      </c>
      <c r="AJ24" s="36">
        <f>IF(AMD!$AT$36="Profile 1",AMD!Y$10*$K$22,IF(AMD!$AT$36="Profile 2",AMD!Y$18*$K$22,IF(AMD!$AT$36="Profile 3",AMD!Y$26*$K$22,IF(AMD!$AT$36="Profile 4",AMD!Y$34*$K$22,IF(AMD!$AT$36="Profile 5",AMD!Y$42*$K$22,IF(AMD!$AT$36="Profile 6",AMD!Y$50*$K$22,0))))))</f>
        <v>0</v>
      </c>
      <c r="AK24" s="36">
        <f>IF(AMD!$AT$36="Profile 1",AMD!Z$10*$K$22,IF(AMD!$AT$36="Profile 2",AMD!Z$18*$K$22,IF(AMD!$AT$36="Profile 3",AMD!Z$26*$K$22,IF(AMD!$AT$36="Profile 4",AMD!Z$34*$K$22,IF(AMD!$AT$36="Profile 5",AMD!Z$42*$K$22,IF(AMD!$AT$36="Profile 6",AMD!Z$50*$K$22,0))))))</f>
        <v>0</v>
      </c>
      <c r="AL24" s="36">
        <f>IF(AMD!$AT$36="Profile 1",AMD!AA$10*$K$22,IF(AMD!$AT$36="Profile 2",AMD!AA$18*$K$22,IF(AMD!$AT$36="Profile 3",AMD!AA$26*$K$22,IF(AMD!$AT$36="Profile 4",AMD!AA$34*$K$22,IF(AMD!$AT$36="Profile 5",AMD!AA$42*$K$22,IF(AMD!$AT$36="Profile 6",AMD!AA$50*$K$22,0))))))</f>
        <v>0</v>
      </c>
      <c r="AM24" s="36">
        <f>IF(AMD!$AT$36="Profile 1",AMD!AB$10*$K$22,IF(AMD!$AT$36="Profile 2",AMD!AB$18*$K$22,IF(AMD!$AT$36="Profile 3",AMD!AB$26*$K$22,IF(AMD!$AT$36="Profile 4",AMD!AB$34*$K$22,IF(AMD!$AT$36="Profile 5",AMD!AB$42*$K$22,IF(AMD!$AT$36="Profile 6",AMD!AB$50*$K$22,0))))))</f>
        <v>0</v>
      </c>
      <c r="AN24" s="36">
        <f>IF(AMD!$AT$36="Profile 1",AMD!AC$10*$K$22,IF(AMD!$AT$36="Profile 2",AMD!AC$18*$K$22,IF(AMD!$AT$36="Profile 3",AMD!AC$26*$K$22,IF(AMD!$AT$36="Profile 4",AMD!AC$34*$K$22,IF(AMD!$AT$36="Profile 5",AMD!AC$42*$K$22,IF(AMD!$AT$36="Profile 6",AMD!AC$50*$K$22,0))))))</f>
        <v>0</v>
      </c>
      <c r="AO24" s="36">
        <f>IF(AMD!$AT$36="Profile 1",AMD!AD$10*$K$22,IF(AMD!$AT$36="Profile 2",AMD!AD$18*$K$22,IF(AMD!$AT$36="Profile 3",AMD!AD$26*$K$22,IF(AMD!$AT$36="Profile 4",AMD!AD$34*$K$22,IF(AMD!$AT$36="Profile 5",AMD!AD$42*$K$22,IF(AMD!$AT$36="Profile 6",AMD!AD$50*$K$22,0))))))</f>
        <v>0</v>
      </c>
      <c r="AP24" s="36">
        <f>IF(AMD!$AT$36="Profile 1",AMD!AE$10*$K$22,IF(AMD!$AT$36="Profile 2",AMD!AE$18*$K$22,IF(AMD!$AT$36="Profile 3",AMD!AE$26*$K$22,IF(AMD!$AT$36="Profile 4",AMD!AE$34*$K$22,IF(AMD!$AT$36="Profile 5",AMD!AE$42*$K$22,IF(AMD!$AT$36="Profile 6",AMD!AE$50*$K$22,0))))))</f>
        <v>0</v>
      </c>
      <c r="AQ24" s="36">
        <f>IF(AMD!$AT$36="Profile 1",AMD!AF$10*$K$22,IF(AMD!$AT$36="Profile 2",AMD!AF$18*$K$22,IF(AMD!$AT$36="Profile 3",AMD!AF$26*$K$22,IF(AMD!$AT$36="Profile 4",AMD!AF$34*$K$22,IF(AMD!$AT$36="Profile 5",AMD!AF$42*$K$22,IF(AMD!$AT$36="Profile 6",AMD!AF$50*$K$22,0))))))</f>
        <v>0</v>
      </c>
      <c r="AR24" s="36">
        <f>IF(AMD!$AT$36="Profile 1",AMD!AG$10*$K$22,IF(AMD!$AT$36="Profile 2",AMD!AG$18*$K$22,IF(AMD!$AT$36="Profile 3",AMD!AG$26*$K$22,IF(AMD!$AT$36="Profile 4",AMD!AG$34*$K$22,IF(AMD!$AT$36="Profile 5",AMD!AG$42*$K$22,IF(AMD!$AT$36="Profile 6",AMD!AG$50*$K$22,0))))))</f>
        <v>0</v>
      </c>
      <c r="AS24" s="36">
        <f>IF(AMD!$AT$36="Profile 1",AMD!AH$10*$K$22,IF(AMD!$AT$36="Profile 2",AMD!AH$18*$K$22,IF(AMD!$AT$36="Profile 3",AMD!AH$26*$K$22,IF(AMD!$AT$36="Profile 4",AMD!AH$34*$K$22,IF(AMD!$AT$36="Profile 5",AMD!AH$42*$K$22,IF(AMD!$AT$36="Profile 6",AMD!AH$50*$K$22,0))))))</f>
        <v>0</v>
      </c>
      <c r="AT24" s="36">
        <f>IF(AMD!$AT$36="Profile 1",AMD!AI$10*$K$22,IF(AMD!$AT$36="Profile 2",AMD!AI$18*$K$22,IF(AMD!$AT$36="Profile 3",AMD!AI$26*$K$22,IF(AMD!$AT$36="Profile 4",AMD!AI$34*$K$22,IF(AMD!$AT$36="Profile 5",AMD!AI$42*$K$22,IF(AMD!$AT$36="Profile 6",AMD!AI$50*$K$22,0))))))</f>
        <v>0</v>
      </c>
      <c r="AU24" s="36">
        <f>IF(AMD!$AT$36="Profile 1",AMD!AJ$10*$K$22,IF(AMD!$AT$36="Profile 2",AMD!AJ$18*$K$22,IF(AMD!$AT$36="Profile 3",AMD!AJ$26*$K$22,IF(AMD!$AT$36="Profile 4",AMD!AJ$34*$K$22,IF(AMD!$AT$36="Profile 5",AMD!AJ$42*$K$22,IF(AMD!$AT$36="Profile 6",AMD!AJ$50*$K$22,0))))))</f>
        <v>0</v>
      </c>
      <c r="AV24" s="36">
        <f>IF(AMD!$AT$36="Profile 1",AMD!AK$10*$K$22,IF(AMD!$AT$36="Profile 2",AMD!AK$18*$K$22,IF(AMD!$AT$36="Profile 3",AMD!AK$26*$K$22,IF(AMD!$AT$36="Profile 4",AMD!AK$34*$K$22,IF(AMD!$AT$36="Profile 5",AMD!AK$42*$K$22,IF(AMD!$AT$36="Profile 6",AMD!AK$50*$K$22,0))))))</f>
        <v>0</v>
      </c>
      <c r="AW24" s="36">
        <f>IF(AMD!$AT$36="Profile 1",AMD!AL$10*$K$22,IF(AMD!$AT$36="Profile 2",AMD!AL$18*$K$22,IF(AMD!$AT$36="Profile 3",AMD!AL$26*$K$22,IF(AMD!$AT$36="Profile 4",AMD!AL$34*$K$22,IF(AMD!$AT$36="Profile 5",AMD!AL$42*$K$22,IF(AMD!$AT$36="Profile 6",AMD!AL$50*$K$22,0))))))</f>
        <v>0</v>
      </c>
      <c r="AX24" s="36">
        <f>IF(AMD!$AT$36="Profile 1",AMD!AM$10*$K$22,IF(AMD!$AT$36="Profile 2",AMD!AM$18*$K$22,IF(AMD!$AT$36="Profile 3",AMD!AM$26*$K$22,IF(AMD!$AT$36="Profile 4",AMD!AM$34*$K$22,IF(AMD!$AT$36="Profile 5",AMD!AM$42*$K$22,IF(AMD!$AT$36="Profile 6",AMD!AM$50*$K$22,0))))))</f>
        <v>0</v>
      </c>
      <c r="AY24" s="36">
        <f>IF(AMD!$AT$36="Profile 1",AMD!AN$10*$K$22,IF(AMD!$AT$36="Profile 2",AMD!AN$18*$K$22,IF(AMD!$AT$36="Profile 3",AMD!AN$26*$K$22,IF(AMD!$AT$36="Profile 4",AMD!AN$34*$K$22,IF(AMD!$AT$36="Profile 5",AMD!AN$42*$K$22,IF(AMD!$AT$36="Profile 6",AMD!AN$50*$K$22,0))))))</f>
        <v>0</v>
      </c>
      <c r="AZ24" s="113">
        <f>IF(AMD!$AT$36="Profile 1",AMD!AO$10*$K$22,IF(AMD!$AT$36="Profile 2",AMD!AO$18*$K$22,IF(AMD!$AT$36="Profile 3",AMD!AO$26*$K$22,IF(AMD!$AT$36="Profile 4",AMD!AO$34*$K$22,IF(AMD!$AT$36="Profile 5",AMD!AO$42*$K$22,IF(AMD!$AT$36="Profile 6",AMD!AO$50*$K$22,0))))))</f>
        <v>0</v>
      </c>
      <c r="BA24" s="90">
        <f t="shared" si="0"/>
        <v>0</v>
      </c>
    </row>
    <row r="25" spans="1:53">
      <c r="A25" s="31" t="s">
        <v>254</v>
      </c>
      <c r="B25" s="31" t="s">
        <v>92</v>
      </c>
      <c r="C25" s="31" t="s">
        <v>93</v>
      </c>
      <c r="D25" s="31" t="s">
        <v>94</v>
      </c>
      <c r="E25" s="31" t="s">
        <v>95</v>
      </c>
      <c r="F25" s="31" t="s">
        <v>96</v>
      </c>
      <c r="G25" s="31" t="s">
        <v>97</v>
      </c>
      <c r="H25" s="31" t="s">
        <v>98</v>
      </c>
      <c r="I25" s="31" t="s">
        <v>99</v>
      </c>
      <c r="J25" s="31" t="s">
        <v>100</v>
      </c>
      <c r="K25" s="31" t="s">
        <v>101</v>
      </c>
      <c r="L25" s="31" t="s">
        <v>102</v>
      </c>
      <c r="M25" s="31" t="s">
        <v>103</v>
      </c>
      <c r="N25" s="31" t="s">
        <v>31</v>
      </c>
      <c r="AE25" s="42" t="s">
        <v>192</v>
      </c>
      <c r="AF25" t="s">
        <v>282</v>
      </c>
      <c r="AG25" s="36">
        <f>IF(AMD!$AT$36="Profile 1",AMD!V$10*$L$22,IF(AMD!$AT$36="Profile 2",AMD!V$18*$L$22,IF(AMD!$AT$36="Profile 3",AMD!V$26*$L$22,IF(AMD!$AT$36="Profile 4",AMD!V$34*$L$22,IF(AMD!$AT$36="Profile 5",AMD!V$42*$L$22,IF(AMD!$AT$36="Profile 6",AMD!V$50*$L$22,0))))))</f>
        <v>0</v>
      </c>
      <c r="AH25" s="36">
        <f>IF(AMD!$AT$36="Profile 1",AMD!W$10*$L$22,IF(AMD!$AT$36="Profile 2",AMD!W$18*$L$22,IF(AMD!$AT$36="Profile 3",AMD!W$26*$L$22,IF(AMD!$AT$36="Profile 4",AMD!W$34*$L$22,IF(AMD!$AT$36="Profile 5",AMD!W$42*$L$22,IF(AMD!$AT$36="Profile 6",AMD!W$50*$L$22,0))))))</f>
        <v>0</v>
      </c>
      <c r="AI25" s="36">
        <f>IF(AMD!$AT$36="Profile 1",AMD!X$10*$L$22,IF(AMD!$AT$36="Profile 2",AMD!X$18*$L$22,IF(AMD!$AT$36="Profile 3",AMD!X$26*$L$22,IF(AMD!$AT$36="Profile 4",AMD!X$34*$L$22,IF(AMD!$AT$36="Profile 5",AMD!X$42*$L$22,IF(AMD!$AT$36="Profile 6",AMD!X$50*$L$22,0))))))</f>
        <v>0</v>
      </c>
      <c r="AJ25" s="36">
        <f>IF(AMD!$AT$36="Profile 1",AMD!Y$10*$L$22,IF(AMD!$AT$36="Profile 2",AMD!Y$18*$L$22,IF(AMD!$AT$36="Profile 3",AMD!Y$26*$L$22,IF(AMD!$AT$36="Profile 4",AMD!Y$34*$L$22,IF(AMD!$AT$36="Profile 5",AMD!Y$42*$L$22,IF(AMD!$AT$36="Profile 6",AMD!Y$50*$L$22,0))))))</f>
        <v>0</v>
      </c>
      <c r="AK25" s="36">
        <f>IF(AMD!$AT$36="Profile 1",AMD!Z$10*$L$22,IF(AMD!$AT$36="Profile 2",AMD!Z$18*$L$22,IF(AMD!$AT$36="Profile 3",AMD!Z$26*$L$22,IF(AMD!$AT$36="Profile 4",AMD!Z$34*$L$22,IF(AMD!$AT$36="Profile 5",AMD!Z$42*$L$22,IF(AMD!$AT$36="Profile 6",AMD!Z$50*$L$22,0))))))</f>
        <v>0</v>
      </c>
      <c r="AL25" s="36">
        <f>IF(AMD!$AT$36="Profile 1",AMD!AA$10*$L$22,IF(AMD!$AT$36="Profile 2",AMD!AA$18*$L$22,IF(AMD!$AT$36="Profile 3",AMD!AA$26*$L$22,IF(AMD!$AT$36="Profile 4",AMD!AA$34*$L$22,IF(AMD!$AT$36="Profile 5",AMD!AA$42*$L$22,IF(AMD!$AT$36="Profile 6",AMD!AA$50*$L$22,0))))))</f>
        <v>0</v>
      </c>
      <c r="AM25" s="36">
        <f>IF(AMD!$AT$36="Profile 1",AMD!AB$10*$L$22,IF(AMD!$AT$36="Profile 2",AMD!AB$18*$L$22,IF(AMD!$AT$36="Profile 3",AMD!AB$26*$L$22,IF(AMD!$AT$36="Profile 4",AMD!AB$34*$L$22,IF(AMD!$AT$36="Profile 5",AMD!AB$42*$L$22,IF(AMD!$AT$36="Profile 6",AMD!AB$50*$L$22,0))))))</f>
        <v>0</v>
      </c>
      <c r="AN25" s="36">
        <f>IF(AMD!$AT$36="Profile 1",AMD!AC$10*$L$22,IF(AMD!$AT$36="Profile 2",AMD!AC$18*$L$22,IF(AMD!$AT$36="Profile 3",AMD!AC$26*$L$22,IF(AMD!$AT$36="Profile 4",AMD!AC$34*$L$22,IF(AMD!$AT$36="Profile 5",AMD!AC$42*$L$22,IF(AMD!$AT$36="Profile 6",AMD!AC$50*$L$22,0))))))</f>
        <v>0</v>
      </c>
      <c r="AO25" s="36">
        <f>IF(AMD!$AT$36="Profile 1",AMD!AD$10*$L$22,IF(AMD!$AT$36="Profile 2",AMD!AD$18*$L$22,IF(AMD!$AT$36="Profile 3",AMD!AD$26*$L$22,IF(AMD!$AT$36="Profile 4",AMD!AD$34*$L$22,IF(AMD!$AT$36="Profile 5",AMD!AD$42*$L$22,IF(AMD!$AT$36="Profile 6",AMD!AD$50*$L$22,0))))))</f>
        <v>0</v>
      </c>
      <c r="AP25" s="36">
        <f>IF(AMD!$AT$36="Profile 1",AMD!AE$10*$L$22,IF(AMD!$AT$36="Profile 2",AMD!AE$18*$L$22,IF(AMD!$AT$36="Profile 3",AMD!AE$26*$L$22,IF(AMD!$AT$36="Profile 4",AMD!AE$34*$L$22,IF(AMD!$AT$36="Profile 5",AMD!AE$42*$L$22,IF(AMD!$AT$36="Profile 6",AMD!AE$50*$L$22,0))))))</f>
        <v>0</v>
      </c>
      <c r="AQ25" s="36">
        <f>IF(AMD!$AT$36="Profile 1",AMD!AF$10*$L$22,IF(AMD!$AT$36="Profile 2",AMD!AF$18*$L$22,IF(AMD!$AT$36="Profile 3",AMD!AF$26*$L$22,IF(AMD!$AT$36="Profile 4",AMD!AF$34*$L$22,IF(AMD!$AT$36="Profile 5",AMD!AF$42*$L$22,IF(AMD!$AT$36="Profile 6",AMD!AF$50*$L$22,0))))))</f>
        <v>0</v>
      </c>
      <c r="AR25" s="36">
        <f>IF(AMD!$AT$36="Profile 1",AMD!AG$10*$L$22,IF(AMD!$AT$36="Profile 2",AMD!AG$18*$L$22,IF(AMD!$AT$36="Profile 3",AMD!AG$26*$L$22,IF(AMD!$AT$36="Profile 4",AMD!AG$34*$L$22,IF(AMD!$AT$36="Profile 5",AMD!AG$42*$L$22,IF(AMD!$AT$36="Profile 6",AMD!AG$50*$L$22,0))))))</f>
        <v>0</v>
      </c>
      <c r="AS25" s="36">
        <f>IF(AMD!$AT$36="Profile 1",AMD!AH$10*$L$22,IF(AMD!$AT$36="Profile 2",AMD!AH$18*$L$22,IF(AMD!$AT$36="Profile 3",AMD!AH$26*$L$22,IF(AMD!$AT$36="Profile 4",AMD!AH$34*$L$22,IF(AMD!$AT$36="Profile 5",AMD!AH$42*$L$22,IF(AMD!$AT$36="Profile 6",AMD!AH$50*$L$22,0))))))</f>
        <v>0</v>
      </c>
      <c r="AT25" s="36">
        <f>IF(AMD!$AT$36="Profile 1",AMD!AI$10*$L$22,IF(AMD!$AT$36="Profile 2",AMD!AI$18*$L$22,IF(AMD!$AT$36="Profile 3",AMD!AI$26*$L$22,IF(AMD!$AT$36="Profile 4",AMD!AI$34*$L$22,IF(AMD!$AT$36="Profile 5",AMD!AI$42*$L$22,IF(AMD!$AT$36="Profile 6",AMD!AI$50*$L$22,0))))))</f>
        <v>0</v>
      </c>
      <c r="AU25" s="36">
        <f>IF(AMD!$AT$36="Profile 1",AMD!AJ$10*$L$22,IF(AMD!$AT$36="Profile 2",AMD!AJ$18*$L$22,IF(AMD!$AT$36="Profile 3",AMD!AJ$26*$L$22,IF(AMD!$AT$36="Profile 4",AMD!AJ$34*$L$22,IF(AMD!$AT$36="Profile 5",AMD!AJ$42*$L$22,IF(AMD!$AT$36="Profile 6",AMD!AJ$50*$L$22,0))))))</f>
        <v>0</v>
      </c>
      <c r="AV25" s="36">
        <f>IF(AMD!$AT$36="Profile 1",AMD!AK$10*$L$22,IF(AMD!$AT$36="Profile 2",AMD!AK$18*$L$22,IF(AMD!$AT$36="Profile 3",AMD!AK$26*$L$22,IF(AMD!$AT$36="Profile 4",AMD!AK$34*$L$22,IF(AMD!$AT$36="Profile 5",AMD!AK$42*$L$22,IF(AMD!$AT$36="Profile 6",AMD!AK$50*$L$22,0))))))</f>
        <v>0</v>
      </c>
      <c r="AW25" s="36">
        <f>IF(AMD!$AT$36="Profile 1",AMD!AL$10*$L$22,IF(AMD!$AT$36="Profile 2",AMD!AL$18*$L$22,IF(AMD!$AT$36="Profile 3",AMD!AL$26*$L$22,IF(AMD!$AT$36="Profile 4",AMD!AL$34*$L$22,IF(AMD!$AT$36="Profile 5",AMD!AL$42*$L$22,IF(AMD!$AT$36="Profile 6",AMD!AL$50*$L$22,0))))))</f>
        <v>0</v>
      </c>
      <c r="AX25" s="36">
        <f>IF(AMD!$AT$36="Profile 1",AMD!AM$10*$L$22,IF(AMD!$AT$36="Profile 2",AMD!AM$18*$L$22,IF(AMD!$AT$36="Profile 3",AMD!AM$26*$L$22,IF(AMD!$AT$36="Profile 4",AMD!AM$34*$L$22,IF(AMD!$AT$36="Profile 5",AMD!AM$42*$L$22,IF(AMD!$AT$36="Profile 6",AMD!AM$50*$L$22,0))))))</f>
        <v>0</v>
      </c>
      <c r="AY25" s="36">
        <f>IF(AMD!$AT$36="Profile 1",AMD!AN$10*$L$22,IF(AMD!$AT$36="Profile 2",AMD!AN$18*$L$22,IF(AMD!$AT$36="Profile 3",AMD!AN$26*$L$22,IF(AMD!$AT$36="Profile 4",AMD!AN$34*$L$22,IF(AMD!$AT$36="Profile 5",AMD!AN$42*$L$22,IF(AMD!$AT$36="Profile 6",AMD!AN$50*$L$22,0))))))</f>
        <v>0</v>
      </c>
      <c r="AZ25" s="113">
        <f>IF(AMD!$AT$36="Profile 1",AMD!AO$10*$L$22,IF(AMD!$AT$36="Profile 2",AMD!AO$18*$L$22,IF(AMD!$AT$36="Profile 3",AMD!AO$26*$L$22,IF(AMD!$AT$36="Profile 4",AMD!AO$34*$L$22,IF(AMD!$AT$36="Profile 5",AMD!AO$42*$L$22,IF(AMD!$AT$36="Profile 6",AMD!AO$50*$L$22,0))))))</f>
        <v>0</v>
      </c>
      <c r="BA25" s="90">
        <f t="shared" si="0"/>
        <v>0</v>
      </c>
    </row>
    <row r="26" spans="1:53" ht="15" thickBot="1">
      <c r="A26" s="31" t="s">
        <v>255</v>
      </c>
      <c r="B26" s="180">
        <v>168</v>
      </c>
      <c r="C26" s="180">
        <v>156</v>
      </c>
      <c r="D26" s="180">
        <v>112</v>
      </c>
      <c r="E26" s="180">
        <v>62</v>
      </c>
      <c r="F26" s="180">
        <v>13</v>
      </c>
      <c r="G26" s="180">
        <v>1</v>
      </c>
      <c r="H26" s="180">
        <v>0</v>
      </c>
      <c r="I26" s="180">
        <v>0</v>
      </c>
      <c r="J26" s="180">
        <v>1</v>
      </c>
      <c r="K26" s="180">
        <v>25</v>
      </c>
      <c r="L26" s="180">
        <v>94</v>
      </c>
      <c r="M26" s="180">
        <v>149</v>
      </c>
      <c r="N26" s="31">
        <f>SUM(B26:M26)</f>
        <v>781</v>
      </c>
      <c r="AE26" s="182" t="s">
        <v>193</v>
      </c>
      <c r="AF26" s="183" t="s">
        <v>282</v>
      </c>
      <c r="AG26" s="37">
        <f>IF(AMD!$AT$36="Profile 1",AMD!V$10*$M$22,IF(AMD!$AT$36="Profile 2",AMD!V$18*$M$22,IF(AMD!$AT$36="Profile 3",AMD!V$26*$M$22,IF(AMD!$AT$36="Profile 4",AMD!V$34*$M$22,IF(AMD!$AT$36="Profile 5",AMD!V$42*$M$22,IF(AMD!$AT$36="Profile 6",AMD!V$50*$M$22,0))))))</f>
        <v>0</v>
      </c>
      <c r="AH26" s="37">
        <f>IF(AMD!$AT$36="Profile 1",AMD!W$10*$M$22,IF(AMD!$AT$36="Profile 2",AMD!W$18*$M$22,IF(AMD!$AT$36="Profile 3",AMD!W$26*$M$22,IF(AMD!$AT$36="Profile 4",AMD!W$34*$M$22,IF(AMD!$AT$36="Profile 5",AMD!W$42*$M$22,IF(AMD!$AT$36="Profile 6",AMD!W$50*$M$22,0))))))</f>
        <v>0</v>
      </c>
      <c r="AI26" s="37">
        <f>IF(AMD!$AT$36="Profile 1",AMD!X$10*$M$22,IF(AMD!$AT$36="Profile 2",AMD!X$18*$M$22,IF(AMD!$AT$36="Profile 3",AMD!X$26*$M$22,IF(AMD!$AT$36="Profile 4",AMD!X$34*$M$22,IF(AMD!$AT$36="Profile 5",AMD!X$42*$M$22,IF(AMD!$AT$36="Profile 6",AMD!X$50*$M$22,0))))))</f>
        <v>0</v>
      </c>
      <c r="AJ26" s="37">
        <f>IF(AMD!$AT$36="Profile 1",AMD!Y$10*$M$22,IF(AMD!$AT$36="Profile 2",AMD!Y$18*$M$22,IF(AMD!$AT$36="Profile 3",AMD!Y$26*$M$22,IF(AMD!$AT$36="Profile 4",AMD!Y$34*$M$22,IF(AMD!$AT$36="Profile 5",AMD!Y$42*$M$22,IF(AMD!$AT$36="Profile 6",AMD!Y$50*$M$22,0))))))</f>
        <v>0</v>
      </c>
      <c r="AK26" s="37">
        <f>IF(AMD!$AT$36="Profile 1",AMD!Z$10*$M$22,IF(AMD!$AT$36="Profile 2",AMD!Z$18*$M$22,IF(AMD!$AT$36="Profile 3",AMD!Z$26*$M$22,IF(AMD!$AT$36="Profile 4",AMD!Z$34*$M$22,IF(AMD!$AT$36="Profile 5",AMD!Z$42*$M$22,IF(AMD!$AT$36="Profile 6",AMD!Z$50*$M$22,0))))))</f>
        <v>0</v>
      </c>
      <c r="AL26" s="37">
        <f>IF(AMD!$AT$36="Profile 1",AMD!AA$10*$M$22,IF(AMD!$AT$36="Profile 2",AMD!AA$18*$M$22,IF(AMD!$AT$36="Profile 3",AMD!AA$26*$M$22,IF(AMD!$AT$36="Profile 4",AMD!AA$34*$M$22,IF(AMD!$AT$36="Profile 5",AMD!AA$42*$M$22,IF(AMD!$AT$36="Profile 6",AMD!AA$50*$M$22,0))))))</f>
        <v>0</v>
      </c>
      <c r="AM26" s="37">
        <f>IF(AMD!$AT$36="Profile 1",AMD!AB$10*$M$22,IF(AMD!$AT$36="Profile 2",AMD!AB$18*$M$22,IF(AMD!$AT$36="Profile 3",AMD!AB$26*$M$22,IF(AMD!$AT$36="Profile 4",AMD!AB$34*$M$22,IF(AMD!$AT$36="Profile 5",AMD!AB$42*$M$22,IF(AMD!$AT$36="Profile 6",AMD!AB$50*$M$22,0))))))</f>
        <v>0</v>
      </c>
      <c r="AN26" s="37">
        <f>IF(AMD!$AT$36="Profile 1",AMD!AC$10*$M$22,IF(AMD!$AT$36="Profile 2",AMD!AC$18*$M$22,IF(AMD!$AT$36="Profile 3",AMD!AC$26*$M$22,IF(AMD!$AT$36="Profile 4",AMD!AC$34*$M$22,IF(AMD!$AT$36="Profile 5",AMD!AC$42*$M$22,IF(AMD!$AT$36="Profile 6",AMD!AC$50*$M$22,0))))))</f>
        <v>0</v>
      </c>
      <c r="AO26" s="37">
        <f>IF(AMD!$AT$36="Profile 1",AMD!AD$10*$M$22,IF(AMD!$AT$36="Profile 2",AMD!AD$18*$M$22,IF(AMD!$AT$36="Profile 3",AMD!AD$26*$M$22,IF(AMD!$AT$36="Profile 4",AMD!AD$34*$M$22,IF(AMD!$AT$36="Profile 5",AMD!AD$42*$M$22,IF(AMD!$AT$36="Profile 6",AMD!AD$50*$M$22,0))))))</f>
        <v>0</v>
      </c>
      <c r="AP26" s="37">
        <f>IF(AMD!$AT$36="Profile 1",AMD!AE$10*$M$22,IF(AMD!$AT$36="Profile 2",AMD!AE$18*$M$22,IF(AMD!$AT$36="Profile 3",AMD!AE$26*$M$22,IF(AMD!$AT$36="Profile 4",AMD!AE$34*$M$22,IF(AMD!$AT$36="Profile 5",AMD!AE$42*$M$22,IF(AMD!$AT$36="Profile 6",AMD!AE$50*$M$22,0))))))</f>
        <v>0</v>
      </c>
      <c r="AQ26" s="37">
        <f>IF(AMD!$AT$36="Profile 1",AMD!AF$10*$M$22,IF(AMD!$AT$36="Profile 2",AMD!AF$18*$M$22,IF(AMD!$AT$36="Profile 3",AMD!AF$26*$M$22,IF(AMD!$AT$36="Profile 4",AMD!AF$34*$M$22,IF(AMD!$AT$36="Profile 5",AMD!AF$42*$M$22,IF(AMD!$AT$36="Profile 6",AMD!AF$50*$M$22,0))))))</f>
        <v>0</v>
      </c>
      <c r="AR26" s="37">
        <f>IF(AMD!$AT$36="Profile 1",AMD!AG$10*$M$22,IF(AMD!$AT$36="Profile 2",AMD!AG$18*$M$22,IF(AMD!$AT$36="Profile 3",AMD!AG$26*$M$22,IF(AMD!$AT$36="Profile 4",AMD!AG$34*$M$22,IF(AMD!$AT$36="Profile 5",AMD!AG$42*$M$22,IF(AMD!$AT$36="Profile 6",AMD!AG$50*$M$22,0))))))</f>
        <v>0</v>
      </c>
      <c r="AS26" s="37">
        <f>IF(AMD!$AT$36="Profile 1",AMD!AH$10*$M$22,IF(AMD!$AT$36="Profile 2",AMD!AH$18*$M$22,IF(AMD!$AT$36="Profile 3",AMD!AH$26*$M$22,IF(AMD!$AT$36="Profile 4",AMD!AH$34*$M$22,IF(AMD!$AT$36="Profile 5",AMD!AH$42*$M$22,IF(AMD!$AT$36="Profile 6",AMD!AH$50*$M$22,0))))))</f>
        <v>0</v>
      </c>
      <c r="AT26" s="37">
        <f>IF(AMD!$AT$36="Profile 1",AMD!AI$10*$M$22,IF(AMD!$AT$36="Profile 2",AMD!AI$18*$M$22,IF(AMD!$AT$36="Profile 3",AMD!AI$26*$M$22,IF(AMD!$AT$36="Profile 4",AMD!AI$34*$M$22,IF(AMD!$AT$36="Profile 5",AMD!AI$42*$M$22,IF(AMD!$AT$36="Profile 6",AMD!AI$50*$M$22,0))))))</f>
        <v>0</v>
      </c>
      <c r="AU26" s="37">
        <f>IF(AMD!$AT$36="Profile 1",AMD!AJ$10*$M$22,IF(AMD!$AT$36="Profile 2",AMD!AJ$18*$M$22,IF(AMD!$AT$36="Profile 3",AMD!AJ$26*$M$22,IF(AMD!$AT$36="Profile 4",AMD!AJ$34*$M$22,IF(AMD!$AT$36="Profile 5",AMD!AJ$42*$M$22,IF(AMD!$AT$36="Profile 6",AMD!AJ$50*$M$22,0))))))</f>
        <v>0</v>
      </c>
      <c r="AV26" s="37">
        <f>IF(AMD!$AT$36="Profile 1",AMD!AK$10*$M$22,IF(AMD!$AT$36="Profile 2",AMD!AK$18*$M$22,IF(AMD!$AT$36="Profile 3",AMD!AK$26*$M$22,IF(AMD!$AT$36="Profile 4",AMD!AK$34*$M$22,IF(AMD!$AT$36="Profile 5",AMD!AK$42*$M$22,IF(AMD!$AT$36="Profile 6",AMD!AK$50*$M$22,0))))))</f>
        <v>0</v>
      </c>
      <c r="AW26" s="37">
        <f>IF(AMD!$AT$36="Profile 1",AMD!AL$10*$M$22,IF(AMD!$AT$36="Profile 2",AMD!AL$18*$M$22,IF(AMD!$AT$36="Profile 3",AMD!AL$26*$M$22,IF(AMD!$AT$36="Profile 4",AMD!AL$34*$M$22,IF(AMD!$AT$36="Profile 5",AMD!AL$42*$M$22,IF(AMD!$AT$36="Profile 6",AMD!AL$50*$M$22,0))))))</f>
        <v>0</v>
      </c>
      <c r="AX26" s="37">
        <f>IF(AMD!$AT$36="Profile 1",AMD!AM$10*$M$22,IF(AMD!$AT$36="Profile 2",AMD!AM$18*$M$22,IF(AMD!$AT$36="Profile 3",AMD!AM$26*$M$22,IF(AMD!$AT$36="Profile 4",AMD!AM$34*$M$22,IF(AMD!$AT$36="Profile 5",AMD!AM$42*$M$22,IF(AMD!$AT$36="Profile 6",AMD!AM$50*$M$22,0))))))</f>
        <v>0</v>
      </c>
      <c r="AY26" s="37">
        <f>IF(AMD!$AT$36="Profile 1",AMD!AN$10*$M$22,IF(AMD!$AT$36="Profile 2",AMD!AN$18*$M$22,IF(AMD!$AT$36="Profile 3",AMD!AN$26*$M$22,IF(AMD!$AT$36="Profile 4",AMD!AN$34*$M$22,IF(AMD!$AT$36="Profile 5",AMD!AN$42*$M$22,IF(AMD!$AT$36="Profile 6",AMD!AN$50*$M$22,0))))))</f>
        <v>0</v>
      </c>
      <c r="AZ26" s="116">
        <f>IF(AMD!$AT$36="Profile 1",AMD!AO$10*$M$22,IF(AMD!$AT$36="Profile 2",AMD!AO$18*$M$22,IF(AMD!$AT$36="Profile 3",AMD!AO$26*$M$22,IF(AMD!$AT$36="Profile 4",AMD!AO$34*$M$22,IF(AMD!$AT$36="Profile 5",AMD!AO$42*$M$22,IF(AMD!$AT$36="Profile 6",AMD!AO$50*$M$22,0))))))</f>
        <v>0</v>
      </c>
      <c r="BA26" s="90">
        <f t="shared" si="0"/>
        <v>0</v>
      </c>
    </row>
    <row r="27" spans="1:53" ht="15" thickBot="1">
      <c r="A27" s="31" t="s">
        <v>256</v>
      </c>
      <c r="B27" s="180">
        <v>0</v>
      </c>
      <c r="C27" s="180">
        <v>0</v>
      </c>
      <c r="D27" s="180">
        <v>0</v>
      </c>
      <c r="E27" s="180">
        <v>0</v>
      </c>
      <c r="F27" s="180">
        <v>1</v>
      </c>
      <c r="G27" s="180">
        <v>5</v>
      </c>
      <c r="H27" s="180">
        <v>19</v>
      </c>
      <c r="I27" s="180">
        <v>17</v>
      </c>
      <c r="J27" s="180">
        <v>2</v>
      </c>
      <c r="K27" s="180">
        <v>0</v>
      </c>
      <c r="L27" s="180">
        <v>0</v>
      </c>
      <c r="M27" s="180">
        <v>0</v>
      </c>
      <c r="N27" s="31">
        <f>SUM(B27:M27)</f>
        <v>44</v>
      </c>
    </row>
    <row r="28" spans="1:53">
      <c r="AE28" s="97" t="s">
        <v>183</v>
      </c>
      <c r="AF28" s="200" t="s">
        <v>284</v>
      </c>
      <c r="AG28" s="218">
        <f>AG3+AG15</f>
        <v>0</v>
      </c>
      <c r="AH28" s="218">
        <f t="shared" ref="AH28:AZ28" si="8">AH3+AH15</f>
        <v>0</v>
      </c>
      <c r="AI28" s="218">
        <f t="shared" si="8"/>
        <v>0</v>
      </c>
      <c r="AJ28" s="218">
        <f t="shared" si="8"/>
        <v>0</v>
      </c>
      <c r="AK28" s="218">
        <f t="shared" si="8"/>
        <v>0</v>
      </c>
      <c r="AL28" s="218">
        <f t="shared" si="8"/>
        <v>0</v>
      </c>
      <c r="AM28" s="218">
        <f t="shared" si="8"/>
        <v>0</v>
      </c>
      <c r="AN28" s="218">
        <f t="shared" si="8"/>
        <v>0</v>
      </c>
      <c r="AO28" s="218">
        <f t="shared" si="8"/>
        <v>0</v>
      </c>
      <c r="AP28" s="218">
        <f t="shared" si="8"/>
        <v>0</v>
      </c>
      <c r="AQ28" s="218">
        <f t="shared" si="8"/>
        <v>0</v>
      </c>
      <c r="AR28" s="218">
        <f t="shared" si="8"/>
        <v>0</v>
      </c>
      <c r="AS28" s="218">
        <f t="shared" si="8"/>
        <v>0</v>
      </c>
      <c r="AT28" s="218">
        <f t="shared" si="8"/>
        <v>0</v>
      </c>
      <c r="AU28" s="218">
        <f t="shared" si="8"/>
        <v>0</v>
      </c>
      <c r="AV28" s="218">
        <f t="shared" si="8"/>
        <v>0</v>
      </c>
      <c r="AW28" s="218">
        <f t="shared" si="8"/>
        <v>0</v>
      </c>
      <c r="AX28" s="218">
        <f t="shared" si="8"/>
        <v>0</v>
      </c>
      <c r="AY28" s="218">
        <f t="shared" si="8"/>
        <v>0</v>
      </c>
      <c r="AZ28" s="218">
        <f t="shared" si="8"/>
        <v>0</v>
      </c>
      <c r="BA28" s="122">
        <f>MAX(AG28:AZ28)</f>
        <v>0</v>
      </c>
    </row>
    <row r="29" spans="1:53">
      <c r="A29" s="31" t="s">
        <v>257</v>
      </c>
      <c r="B29" s="31" t="s">
        <v>92</v>
      </c>
      <c r="C29" s="31" t="s">
        <v>93</v>
      </c>
      <c r="D29" s="31" t="s">
        <v>94</v>
      </c>
      <c r="E29" s="31" t="s">
        <v>95</v>
      </c>
      <c r="F29" s="31" t="s">
        <v>96</v>
      </c>
      <c r="G29" s="31" t="s">
        <v>97</v>
      </c>
      <c r="H29" s="31" t="s">
        <v>98</v>
      </c>
      <c r="I29" s="31" t="s">
        <v>99</v>
      </c>
      <c r="J29" s="31" t="s">
        <v>100</v>
      </c>
      <c r="K29" s="31" t="s">
        <v>101</v>
      </c>
      <c r="L29" s="31" t="s">
        <v>102</v>
      </c>
      <c r="M29" s="31" t="s">
        <v>103</v>
      </c>
      <c r="N29" s="31" t="s">
        <v>31</v>
      </c>
      <c r="AE29" s="19" t="s">
        <v>184</v>
      </c>
      <c r="AF29" s="20" t="s">
        <v>284</v>
      </c>
      <c r="AG29" s="40">
        <f t="shared" ref="AG29:AZ29" si="9">AG4+AG16</f>
        <v>0</v>
      </c>
      <c r="AH29" s="40">
        <f t="shared" si="9"/>
        <v>0</v>
      </c>
      <c r="AI29" s="40">
        <f t="shared" si="9"/>
        <v>0</v>
      </c>
      <c r="AJ29" s="40">
        <f t="shared" si="9"/>
        <v>0</v>
      </c>
      <c r="AK29" s="40">
        <f t="shared" si="9"/>
        <v>0</v>
      </c>
      <c r="AL29" s="40">
        <f t="shared" si="9"/>
        <v>0</v>
      </c>
      <c r="AM29" s="40">
        <f t="shared" si="9"/>
        <v>0</v>
      </c>
      <c r="AN29" s="40">
        <f t="shared" si="9"/>
        <v>0</v>
      </c>
      <c r="AO29" s="40">
        <f t="shared" si="9"/>
        <v>0</v>
      </c>
      <c r="AP29" s="40">
        <f t="shared" si="9"/>
        <v>0</v>
      </c>
      <c r="AQ29" s="40">
        <f t="shared" si="9"/>
        <v>0</v>
      </c>
      <c r="AR29" s="40">
        <f t="shared" si="9"/>
        <v>0</v>
      </c>
      <c r="AS29" s="40">
        <f t="shared" si="9"/>
        <v>0</v>
      </c>
      <c r="AT29" s="40">
        <f t="shared" si="9"/>
        <v>0</v>
      </c>
      <c r="AU29" s="40">
        <f t="shared" si="9"/>
        <v>0</v>
      </c>
      <c r="AV29" s="40">
        <f t="shared" si="9"/>
        <v>0</v>
      </c>
      <c r="AW29" s="40">
        <f t="shared" si="9"/>
        <v>0</v>
      </c>
      <c r="AX29" s="40">
        <f t="shared" si="9"/>
        <v>0</v>
      </c>
      <c r="AY29" s="40">
        <f t="shared" si="9"/>
        <v>0</v>
      </c>
      <c r="AZ29" s="40">
        <f t="shared" si="9"/>
        <v>0</v>
      </c>
      <c r="BA29" s="219">
        <f t="shared" ref="BA29:BA39" si="10">MAX(AG29:AZ29)</f>
        <v>0</v>
      </c>
    </row>
    <row r="30" spans="1:53">
      <c r="A30" s="31" t="s">
        <v>255</v>
      </c>
      <c r="B30" s="180">
        <v>199</v>
      </c>
      <c r="C30" s="180">
        <v>174</v>
      </c>
      <c r="D30" s="180">
        <v>151</v>
      </c>
      <c r="E30" s="180">
        <v>102</v>
      </c>
      <c r="F30" s="180">
        <v>43</v>
      </c>
      <c r="G30" s="180">
        <v>9</v>
      </c>
      <c r="H30" s="180">
        <v>0</v>
      </c>
      <c r="I30" s="180">
        <v>1</v>
      </c>
      <c r="J30" s="180">
        <v>8</v>
      </c>
      <c r="K30" s="180">
        <v>48</v>
      </c>
      <c r="L30" s="180">
        <v>122</v>
      </c>
      <c r="M30" s="180">
        <v>186</v>
      </c>
      <c r="N30" s="31">
        <f>SUM(B30:M30)</f>
        <v>1043</v>
      </c>
      <c r="AE30" s="19" t="s">
        <v>185</v>
      </c>
      <c r="AF30" s="20" t="s">
        <v>284</v>
      </c>
      <c r="AG30" s="40">
        <f t="shared" ref="AG30:AZ30" si="11">AG5+AG17</f>
        <v>0</v>
      </c>
      <c r="AH30" s="40">
        <f t="shared" si="11"/>
        <v>0</v>
      </c>
      <c r="AI30" s="40">
        <f t="shared" si="11"/>
        <v>0</v>
      </c>
      <c r="AJ30" s="40">
        <f t="shared" si="11"/>
        <v>0</v>
      </c>
      <c r="AK30" s="40">
        <f t="shared" si="11"/>
        <v>0</v>
      </c>
      <c r="AL30" s="40">
        <f t="shared" si="11"/>
        <v>0</v>
      </c>
      <c r="AM30" s="40">
        <f t="shared" si="11"/>
        <v>0</v>
      </c>
      <c r="AN30" s="40">
        <f t="shared" si="11"/>
        <v>0</v>
      </c>
      <c r="AO30" s="40">
        <f t="shared" si="11"/>
        <v>0</v>
      </c>
      <c r="AP30" s="40">
        <f t="shared" si="11"/>
        <v>0</v>
      </c>
      <c r="AQ30" s="40">
        <f t="shared" si="11"/>
        <v>0</v>
      </c>
      <c r="AR30" s="40">
        <f t="shared" si="11"/>
        <v>0</v>
      </c>
      <c r="AS30" s="40">
        <f t="shared" si="11"/>
        <v>0</v>
      </c>
      <c r="AT30" s="40">
        <f t="shared" si="11"/>
        <v>0</v>
      </c>
      <c r="AU30" s="40">
        <f t="shared" si="11"/>
        <v>0</v>
      </c>
      <c r="AV30" s="40">
        <f t="shared" si="11"/>
        <v>0</v>
      </c>
      <c r="AW30" s="40">
        <f t="shared" si="11"/>
        <v>0</v>
      </c>
      <c r="AX30" s="40">
        <f t="shared" si="11"/>
        <v>0</v>
      </c>
      <c r="AY30" s="40">
        <f t="shared" si="11"/>
        <v>0</v>
      </c>
      <c r="AZ30" s="40">
        <f t="shared" si="11"/>
        <v>0</v>
      </c>
      <c r="BA30" s="219">
        <f t="shared" si="10"/>
        <v>0</v>
      </c>
    </row>
    <row r="31" spans="1:53">
      <c r="A31" s="31" t="s">
        <v>256</v>
      </c>
      <c r="B31" s="180">
        <v>0</v>
      </c>
      <c r="C31" s="180">
        <v>0</v>
      </c>
      <c r="D31" s="180">
        <v>0</v>
      </c>
      <c r="E31" s="180">
        <v>0</v>
      </c>
      <c r="F31" s="180">
        <v>0</v>
      </c>
      <c r="G31" s="180">
        <v>0</v>
      </c>
      <c r="H31" s="180">
        <v>1</v>
      </c>
      <c r="I31" s="180">
        <v>1</v>
      </c>
      <c r="J31" s="180">
        <v>0</v>
      </c>
      <c r="K31" s="180">
        <v>0</v>
      </c>
      <c r="L31" s="180">
        <v>0</v>
      </c>
      <c r="M31" s="180">
        <v>0</v>
      </c>
      <c r="N31" s="31">
        <f>SUM(B31:M31)</f>
        <v>2</v>
      </c>
      <c r="AE31" s="19" t="s">
        <v>186</v>
      </c>
      <c r="AF31" s="20" t="s">
        <v>284</v>
      </c>
      <c r="AG31" s="40">
        <f t="shared" ref="AG31:AZ31" si="12">AG6+AG18</f>
        <v>0</v>
      </c>
      <c r="AH31" s="40">
        <f t="shared" si="12"/>
        <v>0</v>
      </c>
      <c r="AI31" s="40">
        <f t="shared" si="12"/>
        <v>0</v>
      </c>
      <c r="AJ31" s="40">
        <f t="shared" si="12"/>
        <v>0</v>
      </c>
      <c r="AK31" s="40">
        <f t="shared" si="12"/>
        <v>0</v>
      </c>
      <c r="AL31" s="40">
        <f t="shared" si="12"/>
        <v>0</v>
      </c>
      <c r="AM31" s="40">
        <f t="shared" si="12"/>
        <v>0</v>
      </c>
      <c r="AN31" s="40">
        <f t="shared" si="12"/>
        <v>0</v>
      </c>
      <c r="AO31" s="40">
        <f t="shared" si="12"/>
        <v>0</v>
      </c>
      <c r="AP31" s="40">
        <f t="shared" si="12"/>
        <v>0</v>
      </c>
      <c r="AQ31" s="40">
        <f t="shared" si="12"/>
        <v>0</v>
      </c>
      <c r="AR31" s="40">
        <f t="shared" si="12"/>
        <v>0</v>
      </c>
      <c r="AS31" s="40">
        <f t="shared" si="12"/>
        <v>0</v>
      </c>
      <c r="AT31" s="40">
        <f t="shared" si="12"/>
        <v>0</v>
      </c>
      <c r="AU31" s="40">
        <f t="shared" si="12"/>
        <v>0</v>
      </c>
      <c r="AV31" s="40">
        <f t="shared" si="12"/>
        <v>0</v>
      </c>
      <c r="AW31" s="40">
        <f t="shared" si="12"/>
        <v>0</v>
      </c>
      <c r="AX31" s="40">
        <f t="shared" si="12"/>
        <v>0</v>
      </c>
      <c r="AY31" s="40">
        <f t="shared" si="12"/>
        <v>0</v>
      </c>
      <c r="AZ31" s="40">
        <f t="shared" si="12"/>
        <v>0</v>
      </c>
      <c r="BA31" s="219">
        <f t="shared" si="10"/>
        <v>0</v>
      </c>
    </row>
    <row r="32" spans="1:53">
      <c r="AE32" s="19" t="s">
        <v>96</v>
      </c>
      <c r="AF32" s="20" t="s">
        <v>284</v>
      </c>
      <c r="AG32" s="40">
        <f t="shared" ref="AG32:AZ32" si="13">AG7+AG19</f>
        <v>0</v>
      </c>
      <c r="AH32" s="40">
        <f t="shared" si="13"/>
        <v>0</v>
      </c>
      <c r="AI32" s="40">
        <f t="shared" si="13"/>
        <v>0</v>
      </c>
      <c r="AJ32" s="40">
        <f t="shared" si="13"/>
        <v>0</v>
      </c>
      <c r="AK32" s="40">
        <f t="shared" si="13"/>
        <v>0</v>
      </c>
      <c r="AL32" s="40">
        <f t="shared" si="13"/>
        <v>0</v>
      </c>
      <c r="AM32" s="40">
        <f t="shared" si="13"/>
        <v>0</v>
      </c>
      <c r="AN32" s="40">
        <f t="shared" si="13"/>
        <v>0</v>
      </c>
      <c r="AO32" s="40">
        <f t="shared" si="13"/>
        <v>0</v>
      </c>
      <c r="AP32" s="40">
        <f t="shared" si="13"/>
        <v>0</v>
      </c>
      <c r="AQ32" s="40">
        <f t="shared" si="13"/>
        <v>0</v>
      </c>
      <c r="AR32" s="40">
        <f t="shared" si="13"/>
        <v>0</v>
      </c>
      <c r="AS32" s="40">
        <f t="shared" si="13"/>
        <v>0</v>
      </c>
      <c r="AT32" s="40">
        <f t="shared" si="13"/>
        <v>0</v>
      </c>
      <c r="AU32" s="40">
        <f t="shared" si="13"/>
        <v>0</v>
      </c>
      <c r="AV32" s="40">
        <f t="shared" si="13"/>
        <v>0</v>
      </c>
      <c r="AW32" s="40">
        <f t="shared" si="13"/>
        <v>0</v>
      </c>
      <c r="AX32" s="40">
        <f t="shared" si="13"/>
        <v>0</v>
      </c>
      <c r="AY32" s="40">
        <f t="shared" si="13"/>
        <v>0</v>
      </c>
      <c r="AZ32" s="40">
        <f t="shared" si="13"/>
        <v>0</v>
      </c>
      <c r="BA32" s="219">
        <f t="shared" si="10"/>
        <v>0</v>
      </c>
    </row>
    <row r="33" spans="1:53">
      <c r="A33" s="31" t="s">
        <v>270</v>
      </c>
      <c r="B33" s="31" t="s">
        <v>92</v>
      </c>
      <c r="C33" s="31" t="s">
        <v>93</v>
      </c>
      <c r="D33" s="31" t="s">
        <v>94</v>
      </c>
      <c r="E33" s="31" t="s">
        <v>95</v>
      </c>
      <c r="F33" s="31" t="s">
        <v>96</v>
      </c>
      <c r="G33" s="31" t="s">
        <v>97</v>
      </c>
      <c r="H33" s="31" t="s">
        <v>98</v>
      </c>
      <c r="I33" s="31" t="s">
        <v>99</v>
      </c>
      <c r="J33" s="31" t="s">
        <v>100</v>
      </c>
      <c r="K33" s="31" t="s">
        <v>101</v>
      </c>
      <c r="L33" s="31" t="s">
        <v>102</v>
      </c>
      <c r="M33" s="31" t="s">
        <v>103</v>
      </c>
      <c r="N33" s="31" t="s">
        <v>31</v>
      </c>
      <c r="AE33" s="19" t="s">
        <v>187</v>
      </c>
      <c r="AF33" s="20" t="s">
        <v>284</v>
      </c>
      <c r="AG33" s="40">
        <f t="shared" ref="AG33:AZ33" si="14">AG8+AG20</f>
        <v>0</v>
      </c>
      <c r="AH33" s="40">
        <f t="shared" si="14"/>
        <v>0</v>
      </c>
      <c r="AI33" s="40">
        <f t="shared" si="14"/>
        <v>0</v>
      </c>
      <c r="AJ33" s="40">
        <f t="shared" si="14"/>
        <v>0</v>
      </c>
      <c r="AK33" s="40">
        <f t="shared" si="14"/>
        <v>0</v>
      </c>
      <c r="AL33" s="40">
        <f t="shared" si="14"/>
        <v>0</v>
      </c>
      <c r="AM33" s="40">
        <f t="shared" si="14"/>
        <v>0</v>
      </c>
      <c r="AN33" s="40">
        <f t="shared" si="14"/>
        <v>0</v>
      </c>
      <c r="AO33" s="40">
        <f t="shared" si="14"/>
        <v>0</v>
      </c>
      <c r="AP33" s="40">
        <f t="shared" si="14"/>
        <v>0</v>
      </c>
      <c r="AQ33" s="40">
        <f t="shared" si="14"/>
        <v>0</v>
      </c>
      <c r="AR33" s="40">
        <f t="shared" si="14"/>
        <v>0</v>
      </c>
      <c r="AS33" s="40">
        <f t="shared" si="14"/>
        <v>0</v>
      </c>
      <c r="AT33" s="40">
        <f t="shared" si="14"/>
        <v>0</v>
      </c>
      <c r="AU33" s="40">
        <f t="shared" si="14"/>
        <v>0</v>
      </c>
      <c r="AV33" s="40">
        <f t="shared" si="14"/>
        <v>0</v>
      </c>
      <c r="AW33" s="40">
        <f t="shared" si="14"/>
        <v>0</v>
      </c>
      <c r="AX33" s="40">
        <f t="shared" si="14"/>
        <v>0</v>
      </c>
      <c r="AY33" s="40">
        <f t="shared" si="14"/>
        <v>0</v>
      </c>
      <c r="AZ33" s="40">
        <f t="shared" si="14"/>
        <v>0</v>
      </c>
      <c r="BA33" s="219">
        <f t="shared" si="10"/>
        <v>0</v>
      </c>
    </row>
    <row r="34" spans="1:53">
      <c r="A34" s="31" t="s">
        <v>255</v>
      </c>
      <c r="B34" s="180">
        <v>174</v>
      </c>
      <c r="C34" s="180">
        <v>163</v>
      </c>
      <c r="D34" s="180">
        <v>124</v>
      </c>
      <c r="E34" s="180">
        <v>74</v>
      </c>
      <c r="F34" s="180">
        <v>18</v>
      </c>
      <c r="G34" s="180">
        <v>2</v>
      </c>
      <c r="H34" s="180">
        <v>0</v>
      </c>
      <c r="I34" s="180">
        <v>0</v>
      </c>
      <c r="J34" s="180">
        <v>2</v>
      </c>
      <c r="K34" s="180">
        <v>26</v>
      </c>
      <c r="L34" s="180">
        <v>94</v>
      </c>
      <c r="M34" s="180">
        <v>145</v>
      </c>
      <c r="N34" s="31">
        <f>SUM(B34:M34)</f>
        <v>822</v>
      </c>
      <c r="AE34" s="19" t="s">
        <v>188</v>
      </c>
      <c r="AF34" s="20" t="s">
        <v>284</v>
      </c>
      <c r="AG34" s="40">
        <f t="shared" ref="AG34:AZ34" si="15">AG9+AG21</f>
        <v>0</v>
      </c>
      <c r="AH34" s="40">
        <f t="shared" si="15"/>
        <v>0</v>
      </c>
      <c r="AI34" s="40">
        <f t="shared" si="15"/>
        <v>0</v>
      </c>
      <c r="AJ34" s="40">
        <f t="shared" si="15"/>
        <v>0</v>
      </c>
      <c r="AK34" s="40">
        <f t="shared" si="15"/>
        <v>0</v>
      </c>
      <c r="AL34" s="40">
        <f t="shared" si="15"/>
        <v>0</v>
      </c>
      <c r="AM34" s="40">
        <f t="shared" si="15"/>
        <v>0</v>
      </c>
      <c r="AN34" s="40">
        <f t="shared" si="15"/>
        <v>0</v>
      </c>
      <c r="AO34" s="40">
        <f t="shared" si="15"/>
        <v>0</v>
      </c>
      <c r="AP34" s="40">
        <f t="shared" si="15"/>
        <v>0</v>
      </c>
      <c r="AQ34" s="40">
        <f t="shared" si="15"/>
        <v>0</v>
      </c>
      <c r="AR34" s="40">
        <f t="shared" si="15"/>
        <v>0</v>
      </c>
      <c r="AS34" s="40">
        <f t="shared" si="15"/>
        <v>0</v>
      </c>
      <c r="AT34" s="40">
        <f t="shared" si="15"/>
        <v>0</v>
      </c>
      <c r="AU34" s="40">
        <f t="shared" si="15"/>
        <v>0</v>
      </c>
      <c r="AV34" s="40">
        <f t="shared" si="15"/>
        <v>0</v>
      </c>
      <c r="AW34" s="40">
        <f t="shared" si="15"/>
        <v>0</v>
      </c>
      <c r="AX34" s="40">
        <f t="shared" si="15"/>
        <v>0</v>
      </c>
      <c r="AY34" s="40">
        <f t="shared" si="15"/>
        <v>0</v>
      </c>
      <c r="AZ34" s="40">
        <f t="shared" si="15"/>
        <v>0</v>
      </c>
      <c r="BA34" s="219">
        <f t="shared" si="10"/>
        <v>0</v>
      </c>
    </row>
    <row r="35" spans="1:53">
      <c r="A35" s="31" t="s">
        <v>256</v>
      </c>
      <c r="B35" s="180">
        <v>0</v>
      </c>
      <c r="C35" s="180">
        <v>0</v>
      </c>
      <c r="D35" s="180">
        <v>0</v>
      </c>
      <c r="E35" s="180">
        <v>0</v>
      </c>
      <c r="F35" s="180">
        <v>0</v>
      </c>
      <c r="G35" s="180">
        <v>3</v>
      </c>
      <c r="H35" s="180">
        <v>8</v>
      </c>
      <c r="I35" s="180">
        <v>7</v>
      </c>
      <c r="J35" s="180">
        <v>1</v>
      </c>
      <c r="K35" s="180">
        <v>0</v>
      </c>
      <c r="L35" s="180">
        <v>0</v>
      </c>
      <c r="M35" s="180">
        <v>0</v>
      </c>
      <c r="N35" s="31">
        <f>SUM(B35:M35)</f>
        <v>19</v>
      </c>
      <c r="AE35" s="19" t="s">
        <v>189</v>
      </c>
      <c r="AF35" s="20" t="s">
        <v>284</v>
      </c>
      <c r="AG35" s="40">
        <f t="shared" ref="AG35:AZ35" si="16">AG10+AG22</f>
        <v>0</v>
      </c>
      <c r="AH35" s="40">
        <f t="shared" si="16"/>
        <v>0</v>
      </c>
      <c r="AI35" s="40">
        <f t="shared" si="16"/>
        <v>0</v>
      </c>
      <c r="AJ35" s="40">
        <f t="shared" si="16"/>
        <v>0</v>
      </c>
      <c r="AK35" s="40">
        <f t="shared" si="16"/>
        <v>0</v>
      </c>
      <c r="AL35" s="40">
        <f t="shared" si="16"/>
        <v>0</v>
      </c>
      <c r="AM35" s="40">
        <f t="shared" si="16"/>
        <v>0</v>
      </c>
      <c r="AN35" s="40">
        <f t="shared" si="16"/>
        <v>0</v>
      </c>
      <c r="AO35" s="40">
        <f t="shared" si="16"/>
        <v>0</v>
      </c>
      <c r="AP35" s="40">
        <f t="shared" si="16"/>
        <v>0</v>
      </c>
      <c r="AQ35" s="40">
        <f t="shared" si="16"/>
        <v>0</v>
      </c>
      <c r="AR35" s="40">
        <f t="shared" si="16"/>
        <v>0</v>
      </c>
      <c r="AS35" s="40">
        <f t="shared" si="16"/>
        <v>0</v>
      </c>
      <c r="AT35" s="40">
        <f t="shared" si="16"/>
        <v>0</v>
      </c>
      <c r="AU35" s="40">
        <f t="shared" si="16"/>
        <v>0</v>
      </c>
      <c r="AV35" s="40">
        <f t="shared" si="16"/>
        <v>0</v>
      </c>
      <c r="AW35" s="40">
        <f t="shared" si="16"/>
        <v>0</v>
      </c>
      <c r="AX35" s="40">
        <f t="shared" si="16"/>
        <v>0</v>
      </c>
      <c r="AY35" s="40">
        <f t="shared" si="16"/>
        <v>0</v>
      </c>
      <c r="AZ35" s="40">
        <f t="shared" si="16"/>
        <v>0</v>
      </c>
      <c r="BA35" s="219">
        <f t="shared" si="10"/>
        <v>0</v>
      </c>
    </row>
    <row r="36" spans="1:53">
      <c r="AE36" s="19" t="s">
        <v>190</v>
      </c>
      <c r="AF36" s="20" t="s">
        <v>284</v>
      </c>
      <c r="AG36" s="40">
        <f t="shared" ref="AG36:AZ36" si="17">AG11+AG23</f>
        <v>0</v>
      </c>
      <c r="AH36" s="40">
        <f t="shared" si="17"/>
        <v>0</v>
      </c>
      <c r="AI36" s="40">
        <f t="shared" si="17"/>
        <v>0</v>
      </c>
      <c r="AJ36" s="40">
        <f t="shared" si="17"/>
        <v>0</v>
      </c>
      <c r="AK36" s="40">
        <f t="shared" si="17"/>
        <v>0</v>
      </c>
      <c r="AL36" s="40">
        <f t="shared" si="17"/>
        <v>0</v>
      </c>
      <c r="AM36" s="40">
        <f t="shared" si="17"/>
        <v>0</v>
      </c>
      <c r="AN36" s="40">
        <f t="shared" si="17"/>
        <v>0</v>
      </c>
      <c r="AO36" s="40">
        <f t="shared" si="17"/>
        <v>0</v>
      </c>
      <c r="AP36" s="40">
        <f t="shared" si="17"/>
        <v>0</v>
      </c>
      <c r="AQ36" s="40">
        <f t="shared" si="17"/>
        <v>0</v>
      </c>
      <c r="AR36" s="40">
        <f t="shared" si="17"/>
        <v>0</v>
      </c>
      <c r="AS36" s="40">
        <f t="shared" si="17"/>
        <v>0</v>
      </c>
      <c r="AT36" s="40">
        <f t="shared" si="17"/>
        <v>0</v>
      </c>
      <c r="AU36" s="40">
        <f t="shared" si="17"/>
        <v>0</v>
      </c>
      <c r="AV36" s="40">
        <f t="shared" si="17"/>
        <v>0</v>
      </c>
      <c r="AW36" s="40">
        <f t="shared" si="17"/>
        <v>0</v>
      </c>
      <c r="AX36" s="40">
        <f t="shared" si="17"/>
        <v>0</v>
      </c>
      <c r="AY36" s="40">
        <f t="shared" si="17"/>
        <v>0</v>
      </c>
      <c r="AZ36" s="40">
        <f t="shared" si="17"/>
        <v>0</v>
      </c>
      <c r="BA36" s="219">
        <f t="shared" si="10"/>
        <v>0</v>
      </c>
    </row>
    <row r="37" spans="1:53">
      <c r="A37" s="31" t="s">
        <v>271</v>
      </c>
      <c r="B37" s="31" t="s">
        <v>92</v>
      </c>
      <c r="C37" s="31" t="s">
        <v>93</v>
      </c>
      <c r="D37" s="31" t="s">
        <v>94</v>
      </c>
      <c r="E37" s="31" t="s">
        <v>95</v>
      </c>
      <c r="F37" s="31" t="s">
        <v>96</v>
      </c>
      <c r="G37" s="31" t="s">
        <v>97</v>
      </c>
      <c r="H37" s="31" t="s">
        <v>98</v>
      </c>
      <c r="I37" s="31" t="s">
        <v>99</v>
      </c>
      <c r="J37" s="31" t="s">
        <v>100</v>
      </c>
      <c r="K37" s="31" t="s">
        <v>101</v>
      </c>
      <c r="L37" s="31" t="s">
        <v>102</v>
      </c>
      <c r="M37" s="31" t="s">
        <v>103</v>
      </c>
      <c r="N37" s="31" t="s">
        <v>31</v>
      </c>
      <c r="AE37" s="19" t="s">
        <v>191</v>
      </c>
      <c r="AF37" s="20" t="s">
        <v>284</v>
      </c>
      <c r="AG37" s="40">
        <f t="shared" ref="AG37:AZ37" si="18">AG12+AG24</f>
        <v>0</v>
      </c>
      <c r="AH37" s="40">
        <f t="shared" si="18"/>
        <v>0</v>
      </c>
      <c r="AI37" s="40">
        <f t="shared" si="18"/>
        <v>0</v>
      </c>
      <c r="AJ37" s="40">
        <f t="shared" si="18"/>
        <v>0</v>
      </c>
      <c r="AK37" s="40">
        <f t="shared" si="18"/>
        <v>0</v>
      </c>
      <c r="AL37" s="40">
        <f t="shared" si="18"/>
        <v>0</v>
      </c>
      <c r="AM37" s="40">
        <f t="shared" si="18"/>
        <v>0</v>
      </c>
      <c r="AN37" s="40">
        <f t="shared" si="18"/>
        <v>0</v>
      </c>
      <c r="AO37" s="40">
        <f t="shared" si="18"/>
        <v>0</v>
      </c>
      <c r="AP37" s="40">
        <f t="shared" si="18"/>
        <v>0</v>
      </c>
      <c r="AQ37" s="40">
        <f t="shared" si="18"/>
        <v>0</v>
      </c>
      <c r="AR37" s="40">
        <f t="shared" si="18"/>
        <v>0</v>
      </c>
      <c r="AS37" s="40">
        <f t="shared" si="18"/>
        <v>0</v>
      </c>
      <c r="AT37" s="40">
        <f t="shared" si="18"/>
        <v>0</v>
      </c>
      <c r="AU37" s="40">
        <f t="shared" si="18"/>
        <v>0</v>
      </c>
      <c r="AV37" s="40">
        <f t="shared" si="18"/>
        <v>0</v>
      </c>
      <c r="AW37" s="40">
        <f t="shared" si="18"/>
        <v>0</v>
      </c>
      <c r="AX37" s="40">
        <f t="shared" si="18"/>
        <v>0</v>
      </c>
      <c r="AY37" s="40">
        <f t="shared" si="18"/>
        <v>0</v>
      </c>
      <c r="AZ37" s="40">
        <f t="shared" si="18"/>
        <v>0</v>
      </c>
      <c r="BA37" s="219">
        <f t="shared" si="10"/>
        <v>0</v>
      </c>
    </row>
    <row r="38" spans="1:53">
      <c r="A38" s="31" t="s">
        <v>255</v>
      </c>
      <c r="B38" s="180">
        <v>170</v>
      </c>
      <c r="C38" s="180">
        <v>151</v>
      </c>
      <c r="D38" s="180">
        <v>123</v>
      </c>
      <c r="E38" s="180">
        <v>76</v>
      </c>
      <c r="F38" s="180">
        <v>23</v>
      </c>
      <c r="G38" s="180">
        <v>2</v>
      </c>
      <c r="H38" s="180">
        <v>0</v>
      </c>
      <c r="I38" s="180">
        <v>0</v>
      </c>
      <c r="J38" s="180">
        <v>4</v>
      </c>
      <c r="K38" s="180">
        <v>35</v>
      </c>
      <c r="L38" s="180">
        <v>100</v>
      </c>
      <c r="M38" s="180">
        <v>151</v>
      </c>
      <c r="N38" s="31">
        <f>SUM(B38:M38)</f>
        <v>835</v>
      </c>
      <c r="AE38" s="19" t="s">
        <v>192</v>
      </c>
      <c r="AF38" s="20" t="s">
        <v>284</v>
      </c>
      <c r="AG38" s="40">
        <f t="shared" ref="AG38:AZ38" si="19">AG13+AG25</f>
        <v>0</v>
      </c>
      <c r="AH38" s="40">
        <f t="shared" si="19"/>
        <v>0</v>
      </c>
      <c r="AI38" s="40">
        <f t="shared" si="19"/>
        <v>0</v>
      </c>
      <c r="AJ38" s="40">
        <f t="shared" si="19"/>
        <v>0</v>
      </c>
      <c r="AK38" s="40">
        <f t="shared" si="19"/>
        <v>0</v>
      </c>
      <c r="AL38" s="40">
        <f t="shared" si="19"/>
        <v>0</v>
      </c>
      <c r="AM38" s="40">
        <f t="shared" si="19"/>
        <v>0</v>
      </c>
      <c r="AN38" s="40">
        <f t="shared" si="19"/>
        <v>0</v>
      </c>
      <c r="AO38" s="40">
        <f t="shared" si="19"/>
        <v>0</v>
      </c>
      <c r="AP38" s="40">
        <f t="shared" si="19"/>
        <v>0</v>
      </c>
      <c r="AQ38" s="40">
        <f t="shared" si="19"/>
        <v>0</v>
      </c>
      <c r="AR38" s="40">
        <f t="shared" si="19"/>
        <v>0</v>
      </c>
      <c r="AS38" s="40">
        <f t="shared" si="19"/>
        <v>0</v>
      </c>
      <c r="AT38" s="40">
        <f t="shared" si="19"/>
        <v>0</v>
      </c>
      <c r="AU38" s="40">
        <f t="shared" si="19"/>
        <v>0</v>
      </c>
      <c r="AV38" s="40">
        <f t="shared" si="19"/>
        <v>0</v>
      </c>
      <c r="AW38" s="40">
        <f t="shared" si="19"/>
        <v>0</v>
      </c>
      <c r="AX38" s="40">
        <f t="shared" si="19"/>
        <v>0</v>
      </c>
      <c r="AY38" s="40">
        <f t="shared" si="19"/>
        <v>0</v>
      </c>
      <c r="AZ38" s="40">
        <f t="shared" si="19"/>
        <v>0</v>
      </c>
      <c r="BA38" s="219">
        <f t="shared" si="10"/>
        <v>0</v>
      </c>
    </row>
    <row r="39" spans="1:53" ht="15" thickBot="1">
      <c r="A39" s="31" t="s">
        <v>256</v>
      </c>
      <c r="B39" s="180">
        <v>0</v>
      </c>
      <c r="C39" s="180">
        <v>0</v>
      </c>
      <c r="D39" s="180">
        <v>0</v>
      </c>
      <c r="E39" s="180">
        <v>0</v>
      </c>
      <c r="F39" s="180">
        <v>0</v>
      </c>
      <c r="G39" s="180">
        <v>1</v>
      </c>
      <c r="H39" s="180">
        <v>4</v>
      </c>
      <c r="I39" s="180">
        <v>3</v>
      </c>
      <c r="J39" s="180">
        <v>0</v>
      </c>
      <c r="K39" s="180">
        <v>0</v>
      </c>
      <c r="L39" s="180">
        <v>0</v>
      </c>
      <c r="M39" s="180">
        <v>0</v>
      </c>
      <c r="N39" s="31">
        <f>SUM(B39:M39)</f>
        <v>8</v>
      </c>
      <c r="AE39" s="34" t="s">
        <v>193</v>
      </c>
      <c r="AF39" s="220" t="s">
        <v>284</v>
      </c>
      <c r="AG39" s="221">
        <f t="shared" ref="AG39:AZ39" si="20">AG14+AG26</f>
        <v>0</v>
      </c>
      <c r="AH39" s="221">
        <f t="shared" si="20"/>
        <v>0</v>
      </c>
      <c r="AI39" s="221">
        <f t="shared" si="20"/>
        <v>0</v>
      </c>
      <c r="AJ39" s="221">
        <f t="shared" si="20"/>
        <v>0</v>
      </c>
      <c r="AK39" s="221">
        <f t="shared" si="20"/>
        <v>0</v>
      </c>
      <c r="AL39" s="221">
        <f t="shared" si="20"/>
        <v>0</v>
      </c>
      <c r="AM39" s="221">
        <f t="shared" si="20"/>
        <v>0</v>
      </c>
      <c r="AN39" s="221">
        <f t="shared" si="20"/>
        <v>0</v>
      </c>
      <c r="AO39" s="221">
        <f t="shared" si="20"/>
        <v>0</v>
      </c>
      <c r="AP39" s="221">
        <f t="shared" si="20"/>
        <v>0</v>
      </c>
      <c r="AQ39" s="221">
        <f t="shared" si="20"/>
        <v>0</v>
      </c>
      <c r="AR39" s="221">
        <f t="shared" si="20"/>
        <v>0</v>
      </c>
      <c r="AS39" s="221">
        <f t="shared" si="20"/>
        <v>0</v>
      </c>
      <c r="AT39" s="221">
        <f t="shared" si="20"/>
        <v>0</v>
      </c>
      <c r="AU39" s="221">
        <f t="shared" si="20"/>
        <v>0</v>
      </c>
      <c r="AV39" s="221">
        <f t="shared" si="20"/>
        <v>0</v>
      </c>
      <c r="AW39" s="221">
        <f t="shared" si="20"/>
        <v>0</v>
      </c>
      <c r="AX39" s="221">
        <f t="shared" si="20"/>
        <v>0</v>
      </c>
      <c r="AY39" s="221">
        <f t="shared" si="20"/>
        <v>0</v>
      </c>
      <c r="AZ39" s="221">
        <f t="shared" si="20"/>
        <v>0</v>
      </c>
      <c r="BA39" s="222">
        <f t="shared" si="10"/>
        <v>0</v>
      </c>
    </row>
    <row r="41" spans="1:53">
      <c r="A41" s="31" t="s">
        <v>272</v>
      </c>
      <c r="B41" s="31" t="s">
        <v>92</v>
      </c>
      <c r="C41" s="31" t="s">
        <v>93</v>
      </c>
      <c r="D41" s="31" t="s">
        <v>94</v>
      </c>
      <c r="E41" s="31" t="s">
        <v>95</v>
      </c>
      <c r="F41" s="31" t="s">
        <v>96</v>
      </c>
      <c r="G41" s="31" t="s">
        <v>97</v>
      </c>
      <c r="H41" s="31" t="s">
        <v>98</v>
      </c>
      <c r="I41" s="31" t="s">
        <v>99</v>
      </c>
      <c r="J41" s="31" t="s">
        <v>100</v>
      </c>
      <c r="K41" s="31" t="s">
        <v>101</v>
      </c>
      <c r="L41" s="31" t="s">
        <v>102</v>
      </c>
      <c r="M41" s="31" t="s">
        <v>103</v>
      </c>
      <c r="N41" s="31" t="s">
        <v>31</v>
      </c>
    </row>
    <row r="42" spans="1:53">
      <c r="A42" s="31" t="s">
        <v>255</v>
      </c>
      <c r="B42" s="180">
        <v>184</v>
      </c>
      <c r="C42" s="180">
        <v>165</v>
      </c>
      <c r="D42" s="180">
        <v>122</v>
      </c>
      <c r="E42" s="180">
        <v>73</v>
      </c>
      <c r="F42" s="180">
        <v>18</v>
      </c>
      <c r="G42" s="180">
        <v>2</v>
      </c>
      <c r="H42" s="180">
        <v>0</v>
      </c>
      <c r="I42" s="180">
        <v>0</v>
      </c>
      <c r="J42" s="180">
        <v>2</v>
      </c>
      <c r="K42" s="180">
        <v>32</v>
      </c>
      <c r="L42" s="180">
        <v>106</v>
      </c>
      <c r="M42" s="180">
        <v>166</v>
      </c>
      <c r="N42" s="31">
        <f>SUM(B42:M42)</f>
        <v>870</v>
      </c>
    </row>
    <row r="43" spans="1:53">
      <c r="A43" s="31" t="s">
        <v>256</v>
      </c>
      <c r="B43" s="180">
        <v>0</v>
      </c>
      <c r="C43" s="180">
        <v>0</v>
      </c>
      <c r="D43" s="180">
        <v>0</v>
      </c>
      <c r="E43" s="180">
        <v>0</v>
      </c>
      <c r="F43" s="180">
        <v>0</v>
      </c>
      <c r="G43" s="180">
        <v>4</v>
      </c>
      <c r="H43" s="180">
        <v>14</v>
      </c>
      <c r="I43" s="180">
        <v>12</v>
      </c>
      <c r="J43" s="180">
        <v>1</v>
      </c>
      <c r="K43" s="180">
        <v>0</v>
      </c>
      <c r="L43" s="180">
        <v>0</v>
      </c>
      <c r="M43" s="180">
        <v>0</v>
      </c>
      <c r="N43" s="31">
        <f>SUM(B43:M43)</f>
        <v>31</v>
      </c>
    </row>
    <row r="45" spans="1:53">
      <c r="A45" s="31" t="s">
        <v>273</v>
      </c>
      <c r="B45" s="31" t="s">
        <v>92</v>
      </c>
      <c r="C45" s="31" t="s">
        <v>93</v>
      </c>
      <c r="D45" s="31" t="s">
        <v>94</v>
      </c>
      <c r="E45" s="31" t="s">
        <v>95</v>
      </c>
      <c r="F45" s="31" t="s">
        <v>96</v>
      </c>
      <c r="G45" s="31" t="s">
        <v>97</v>
      </c>
      <c r="H45" s="31" t="s">
        <v>98</v>
      </c>
      <c r="I45" s="31" t="s">
        <v>99</v>
      </c>
      <c r="J45" s="31" t="s">
        <v>100</v>
      </c>
      <c r="K45" s="31" t="s">
        <v>101</v>
      </c>
      <c r="L45" s="31" t="s">
        <v>102</v>
      </c>
      <c r="M45" s="31" t="s">
        <v>103</v>
      </c>
      <c r="N45" s="31" t="s">
        <v>31</v>
      </c>
    </row>
    <row r="46" spans="1:53">
      <c r="A46" s="31" t="s">
        <v>255</v>
      </c>
      <c r="B46" s="180">
        <v>192</v>
      </c>
      <c r="C46" s="180">
        <v>175</v>
      </c>
      <c r="D46" s="180">
        <v>126</v>
      </c>
      <c r="E46" s="180">
        <v>78</v>
      </c>
      <c r="F46" s="180">
        <v>21</v>
      </c>
      <c r="G46" s="180">
        <v>3</v>
      </c>
      <c r="H46" s="180">
        <v>0</v>
      </c>
      <c r="I46" s="180">
        <v>0</v>
      </c>
      <c r="J46" s="180">
        <v>3</v>
      </c>
      <c r="K46" s="180">
        <v>36</v>
      </c>
      <c r="L46" s="180">
        <v>111</v>
      </c>
      <c r="M46" s="180">
        <v>158</v>
      </c>
      <c r="N46" s="31">
        <f>SUM(B46:M46)</f>
        <v>903</v>
      </c>
    </row>
    <row r="47" spans="1:53">
      <c r="A47" s="31" t="s">
        <v>256</v>
      </c>
      <c r="B47" s="180">
        <v>0</v>
      </c>
      <c r="C47" s="180">
        <v>0</v>
      </c>
      <c r="D47" s="180">
        <v>0</v>
      </c>
      <c r="E47" s="180">
        <v>0</v>
      </c>
      <c r="F47" s="180">
        <v>0</v>
      </c>
      <c r="G47" s="180">
        <v>3</v>
      </c>
      <c r="H47" s="180">
        <v>12</v>
      </c>
      <c r="I47" s="180">
        <v>11</v>
      </c>
      <c r="J47" s="180">
        <v>1</v>
      </c>
      <c r="K47" s="180">
        <v>0</v>
      </c>
      <c r="L47" s="180">
        <v>0</v>
      </c>
      <c r="M47" s="180">
        <v>0</v>
      </c>
      <c r="N47" s="31">
        <f>SUM(B47:M47)</f>
        <v>27</v>
      </c>
    </row>
    <row r="49" spans="1:14">
      <c r="A49" s="31" t="s">
        <v>274</v>
      </c>
      <c r="B49" s="31" t="s">
        <v>92</v>
      </c>
      <c r="C49" s="31" t="s">
        <v>93</v>
      </c>
      <c r="D49" s="31" t="s">
        <v>94</v>
      </c>
      <c r="E49" s="31" t="s">
        <v>95</v>
      </c>
      <c r="F49" s="31" t="s">
        <v>96</v>
      </c>
      <c r="G49" s="31" t="s">
        <v>97</v>
      </c>
      <c r="H49" s="31" t="s">
        <v>98</v>
      </c>
      <c r="I49" s="31" t="s">
        <v>99</v>
      </c>
      <c r="J49" s="31" t="s">
        <v>100</v>
      </c>
      <c r="K49" s="31" t="s">
        <v>101</v>
      </c>
      <c r="L49" s="31" t="s">
        <v>102</v>
      </c>
      <c r="M49" s="31" t="s">
        <v>103</v>
      </c>
      <c r="N49" s="31" t="s">
        <v>31</v>
      </c>
    </row>
    <row r="50" spans="1:14">
      <c r="A50" s="31" t="s">
        <v>255</v>
      </c>
      <c r="B50" s="180">
        <v>172</v>
      </c>
      <c r="C50" s="180">
        <v>158</v>
      </c>
      <c r="D50" s="180">
        <v>122</v>
      </c>
      <c r="E50" s="180">
        <v>73</v>
      </c>
      <c r="F50" s="180">
        <v>18</v>
      </c>
      <c r="G50" s="180">
        <v>1</v>
      </c>
      <c r="H50" s="180">
        <v>0</v>
      </c>
      <c r="I50" s="180">
        <v>0</v>
      </c>
      <c r="J50" s="180">
        <v>1</v>
      </c>
      <c r="K50" s="180">
        <v>18</v>
      </c>
      <c r="L50" s="180">
        <v>87</v>
      </c>
      <c r="M50" s="180">
        <v>143</v>
      </c>
      <c r="N50" s="31">
        <f>SUM(B50:M50)</f>
        <v>793</v>
      </c>
    </row>
    <row r="51" spans="1:14">
      <c r="A51" s="31" t="s">
        <v>256</v>
      </c>
      <c r="B51" s="180">
        <v>0</v>
      </c>
      <c r="C51" s="180">
        <v>0</v>
      </c>
      <c r="D51" s="180">
        <v>0</v>
      </c>
      <c r="E51" s="180">
        <v>0</v>
      </c>
      <c r="F51" s="180">
        <v>0</v>
      </c>
      <c r="G51" s="180">
        <v>2</v>
      </c>
      <c r="H51" s="180">
        <v>7</v>
      </c>
      <c r="I51" s="180">
        <v>10</v>
      </c>
      <c r="J51" s="180">
        <v>1</v>
      </c>
      <c r="K51" s="180">
        <v>0</v>
      </c>
      <c r="L51" s="180">
        <v>0</v>
      </c>
      <c r="M51" s="180">
        <v>0</v>
      </c>
      <c r="N51" s="31">
        <f>SUM(B51:M51)</f>
        <v>20</v>
      </c>
    </row>
    <row r="53" spans="1:14">
      <c r="A53" s="31" t="s">
        <v>275</v>
      </c>
      <c r="B53" s="31" t="s">
        <v>92</v>
      </c>
      <c r="C53" s="31" t="s">
        <v>93</v>
      </c>
      <c r="D53" s="31" t="s">
        <v>94</v>
      </c>
      <c r="E53" s="31" t="s">
        <v>95</v>
      </c>
      <c r="F53" s="31" t="s">
        <v>96</v>
      </c>
      <c r="G53" s="31" t="s">
        <v>97</v>
      </c>
      <c r="H53" s="31" t="s">
        <v>98</v>
      </c>
      <c r="I53" s="31" t="s">
        <v>99</v>
      </c>
      <c r="J53" s="31" t="s">
        <v>100</v>
      </c>
      <c r="K53" s="31" t="s">
        <v>101</v>
      </c>
      <c r="L53" s="31" t="s">
        <v>102</v>
      </c>
      <c r="M53" s="31" t="s">
        <v>103</v>
      </c>
      <c r="N53" s="31" t="s">
        <v>31</v>
      </c>
    </row>
    <row r="54" spans="1:14">
      <c r="A54" s="31" t="s">
        <v>255</v>
      </c>
      <c r="B54" s="180">
        <v>116</v>
      </c>
      <c r="C54" s="180">
        <v>113</v>
      </c>
      <c r="D54" s="180">
        <v>77</v>
      </c>
      <c r="E54" s="180">
        <v>41</v>
      </c>
      <c r="F54" s="180">
        <v>6</v>
      </c>
      <c r="G54" s="180">
        <v>0</v>
      </c>
      <c r="H54" s="180">
        <v>0</v>
      </c>
      <c r="I54" s="180">
        <v>0</v>
      </c>
      <c r="J54" s="180">
        <v>0</v>
      </c>
      <c r="K54" s="180">
        <v>4</v>
      </c>
      <c r="L54" s="180">
        <v>39</v>
      </c>
      <c r="M54" s="180">
        <v>88</v>
      </c>
      <c r="N54" s="31">
        <f>SUM(B54:M54)</f>
        <v>484</v>
      </c>
    </row>
    <row r="55" spans="1:14">
      <c r="A55" s="31" t="s">
        <v>256</v>
      </c>
      <c r="B55" s="180">
        <v>0</v>
      </c>
      <c r="C55" s="180">
        <v>0</v>
      </c>
      <c r="D55" s="180">
        <v>0</v>
      </c>
      <c r="E55" s="180">
        <v>0</v>
      </c>
      <c r="F55" s="180">
        <v>1</v>
      </c>
      <c r="G55" s="180">
        <v>4</v>
      </c>
      <c r="H55" s="180">
        <v>13</v>
      </c>
      <c r="I55" s="180">
        <v>14</v>
      </c>
      <c r="J55" s="180">
        <v>4</v>
      </c>
      <c r="K55" s="180">
        <v>0</v>
      </c>
      <c r="L55" s="180">
        <v>0</v>
      </c>
      <c r="M55" s="180">
        <v>0</v>
      </c>
      <c r="N55" s="31">
        <f>SUM(B55:M55)</f>
        <v>36</v>
      </c>
    </row>
    <row r="57" spans="1:14">
      <c r="A57" s="31" t="s">
        <v>276</v>
      </c>
      <c r="B57" s="31" t="s">
        <v>92</v>
      </c>
      <c r="C57" s="31" t="s">
        <v>93</v>
      </c>
      <c r="D57" s="31" t="s">
        <v>94</v>
      </c>
      <c r="E57" s="31" t="s">
        <v>95</v>
      </c>
      <c r="F57" s="31" t="s">
        <v>96</v>
      </c>
      <c r="G57" s="31" t="s">
        <v>97</v>
      </c>
      <c r="H57" s="31" t="s">
        <v>98</v>
      </c>
      <c r="I57" s="31" t="s">
        <v>99</v>
      </c>
      <c r="J57" s="31" t="s">
        <v>100</v>
      </c>
      <c r="K57" s="31" t="s">
        <v>101</v>
      </c>
      <c r="L57" s="31" t="s">
        <v>102</v>
      </c>
      <c r="M57" s="31" t="s">
        <v>103</v>
      </c>
      <c r="N57" s="31" t="s">
        <v>31</v>
      </c>
    </row>
    <row r="58" spans="1:14">
      <c r="A58" s="31" t="s">
        <v>255</v>
      </c>
      <c r="B58" s="180">
        <v>197</v>
      </c>
      <c r="C58" s="180">
        <v>166</v>
      </c>
      <c r="D58" s="180">
        <v>142</v>
      </c>
      <c r="E58" s="180">
        <v>94</v>
      </c>
      <c r="F58" s="180">
        <v>37</v>
      </c>
      <c r="G58" s="180">
        <v>5</v>
      </c>
      <c r="H58" s="180">
        <v>0</v>
      </c>
      <c r="I58" s="180">
        <v>0</v>
      </c>
      <c r="J58" s="180">
        <v>6</v>
      </c>
      <c r="K58" s="180">
        <v>43</v>
      </c>
      <c r="L58" s="180">
        <v>118</v>
      </c>
      <c r="M58" s="180">
        <v>181</v>
      </c>
      <c r="N58" s="31">
        <f>SUM(B58:M58)</f>
        <v>989</v>
      </c>
    </row>
    <row r="59" spans="1:14">
      <c r="A59" s="31" t="s">
        <v>256</v>
      </c>
      <c r="B59" s="180">
        <v>0</v>
      </c>
      <c r="C59" s="180">
        <v>0</v>
      </c>
      <c r="D59" s="180">
        <v>0</v>
      </c>
      <c r="E59" s="180">
        <v>0</v>
      </c>
      <c r="F59" s="180">
        <v>0</v>
      </c>
      <c r="G59" s="180">
        <v>0</v>
      </c>
      <c r="H59" s="180">
        <v>2</v>
      </c>
      <c r="I59" s="180">
        <v>2</v>
      </c>
      <c r="J59" s="180">
        <v>1</v>
      </c>
      <c r="K59" s="180">
        <v>0</v>
      </c>
      <c r="L59" s="180">
        <v>0</v>
      </c>
      <c r="M59" s="180">
        <v>0</v>
      </c>
      <c r="N59" s="31">
        <f>SUM(B59:M59)</f>
        <v>5</v>
      </c>
    </row>
    <row r="61" spans="1:14">
      <c r="A61" s="31" t="s">
        <v>277</v>
      </c>
      <c r="B61" s="31" t="s">
        <v>92</v>
      </c>
      <c r="C61" s="31" t="s">
        <v>93</v>
      </c>
      <c r="D61" s="31" t="s">
        <v>94</v>
      </c>
      <c r="E61" s="31" t="s">
        <v>95</v>
      </c>
      <c r="F61" s="31" t="s">
        <v>96</v>
      </c>
      <c r="G61" s="31" t="s">
        <v>97</v>
      </c>
      <c r="H61" s="31" t="s">
        <v>98</v>
      </c>
      <c r="I61" s="31" t="s">
        <v>99</v>
      </c>
      <c r="J61" s="31" t="s">
        <v>100</v>
      </c>
      <c r="K61" s="31" t="s">
        <v>101</v>
      </c>
      <c r="L61" s="31" t="s">
        <v>102</v>
      </c>
      <c r="M61" s="31" t="s">
        <v>103</v>
      </c>
      <c r="N61" s="31" t="s">
        <v>31</v>
      </c>
    </row>
    <row r="62" spans="1:14">
      <c r="A62" s="31" t="s">
        <v>255</v>
      </c>
      <c r="B62" s="180">
        <v>158</v>
      </c>
      <c r="C62" s="180">
        <v>139</v>
      </c>
      <c r="D62" s="180">
        <v>122</v>
      </c>
      <c r="E62" s="180">
        <v>74</v>
      </c>
      <c r="F62" s="180">
        <v>17</v>
      </c>
      <c r="G62" s="180">
        <v>2</v>
      </c>
      <c r="H62" s="180">
        <v>0</v>
      </c>
      <c r="I62" s="180">
        <v>0</v>
      </c>
      <c r="J62" s="180">
        <v>4</v>
      </c>
      <c r="K62" s="180">
        <v>31</v>
      </c>
      <c r="L62" s="180">
        <v>88</v>
      </c>
      <c r="M62" s="180">
        <v>141</v>
      </c>
      <c r="N62" s="31">
        <f>SUM(B62:M62)</f>
        <v>776</v>
      </c>
    </row>
    <row r="63" spans="1:14">
      <c r="A63" s="31" t="s">
        <v>256</v>
      </c>
      <c r="B63" s="180">
        <v>0</v>
      </c>
      <c r="C63" s="180">
        <v>0</v>
      </c>
      <c r="D63" s="180">
        <v>0</v>
      </c>
      <c r="E63" s="180">
        <v>0</v>
      </c>
      <c r="F63" s="180">
        <v>1</v>
      </c>
      <c r="G63" s="180">
        <v>2</v>
      </c>
      <c r="H63" s="180">
        <v>3</v>
      </c>
      <c r="I63" s="180">
        <v>4</v>
      </c>
      <c r="J63" s="180">
        <v>0</v>
      </c>
      <c r="K63" s="180">
        <v>0</v>
      </c>
      <c r="L63" s="180">
        <v>0</v>
      </c>
      <c r="M63" s="180">
        <v>0</v>
      </c>
      <c r="N63" s="31">
        <f>SUM(B63:M63)</f>
        <v>10</v>
      </c>
    </row>
    <row r="64" spans="1:14" ht="15" thickBot="1"/>
    <row r="65" spans="1:41">
      <c r="A65" s="260" t="s">
        <v>286</v>
      </c>
      <c r="B65" s="214" t="s">
        <v>92</v>
      </c>
      <c r="C65" s="214" t="s">
        <v>93</v>
      </c>
      <c r="D65" s="214" t="s">
        <v>94</v>
      </c>
      <c r="E65" s="214" t="s">
        <v>95</v>
      </c>
      <c r="F65" s="214" t="s">
        <v>96</v>
      </c>
      <c r="G65" s="214" t="s">
        <v>97</v>
      </c>
      <c r="H65" s="214" t="s">
        <v>98</v>
      </c>
      <c r="I65" s="214" t="s">
        <v>99</v>
      </c>
      <c r="J65" s="214" t="s">
        <v>100</v>
      </c>
      <c r="K65" s="214" t="s">
        <v>101</v>
      </c>
      <c r="L65" s="214" t="s">
        <v>102</v>
      </c>
      <c r="M65" s="214" t="s">
        <v>103</v>
      </c>
      <c r="N65" s="215" t="s">
        <v>31</v>
      </c>
    </row>
    <row r="66" spans="1:41">
      <c r="A66" s="261" t="s">
        <v>255</v>
      </c>
      <c r="B66" s="319"/>
      <c r="C66" s="319"/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258">
        <f>SUM(B66:M66)</f>
        <v>0</v>
      </c>
    </row>
    <row r="67" spans="1:41" ht="15" thickBot="1">
      <c r="A67" s="262" t="s">
        <v>256</v>
      </c>
      <c r="B67" s="320"/>
      <c r="C67" s="320"/>
      <c r="D67" s="320"/>
      <c r="E67" s="320"/>
      <c r="F67" s="320"/>
      <c r="G67" s="320"/>
      <c r="H67" s="320"/>
      <c r="I67" s="320"/>
      <c r="J67" s="320"/>
      <c r="K67" s="320"/>
      <c r="L67" s="320"/>
      <c r="M67" s="320"/>
      <c r="N67" s="259">
        <f>SUM(B67:M67)</f>
        <v>0</v>
      </c>
    </row>
    <row r="68" spans="1:41">
      <c r="E68" s="331" t="s">
        <v>317</v>
      </c>
      <c r="T68" s="331" t="s">
        <v>317</v>
      </c>
      <c r="AO68" s="331" t="s">
        <v>317</v>
      </c>
    </row>
  </sheetData>
  <sheetProtection algorithmName="SHA-512" hashValue="1L56174lzytQdw7Cm23TXAJTXzTMzo9CEzFSF2Z8fRtrFMkPdQomY3CJJVmluVzWe32VVTYl3u9kpjNSMToRVg==" saltValue="TEpFObKVKb2zf86zIL9MuQ==" spinCount="100000" sheet="1" objects="1" scenarios="1" selectLockedCells="1"/>
  <mergeCells count="1">
    <mergeCell ref="B8:C8"/>
  </mergeCells>
  <phoneticPr fontId="18" type="noConversion"/>
  <conditionalFormatting sqref="B19:M19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1:M21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:M26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7:M27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0:M30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1:M31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4:M34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5:M35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8:M38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9:M39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2:M42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3:M43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6:M46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7:M47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0:M50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1:M51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4:M54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5:M55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8:M58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9:M59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2:M6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3:M63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6:M6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7:M6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3:AZ14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15:AZ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28:AZ3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A3:BA26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{113D9E20-EBFC-4654-B175-6419EC3C1F7C}</x14:id>
        </ext>
      </extLst>
    </cfRule>
  </conditionalFormatting>
  <conditionalFormatting sqref="BA28:BA39">
    <cfRule type="top10" dxfId="0" priority="3" rank="1"/>
  </conditionalFormatting>
  <dataValidations count="1">
    <dataValidation type="list" allowBlank="1" showInputMessage="1" showErrorMessage="1" sqref="B8:C8" xr:uid="{3EB003D2-DE15-429E-A5B5-D8B02F1682E8}">
      <formula1>"Aberdeen Dyce, Aughton, Belfast, Birmingham, Finningley, Hemsby, Jersey, Leuchars, London Gatwick, Oban, Custom Location"</formula1>
    </dataValidation>
  </dataValidations>
  <pageMargins left="0.7" right="0.7" top="0.75" bottom="0.75" header="0.3" footer="0.3"/>
  <pageSetup paperSize="9" scale="39" orientation="portrait" r:id="rId1"/>
  <headerFooter>
    <oddFooter>&amp;R© Henry Metcalfe, 2024</oddFooter>
  </headerFooter>
  <colBreaks count="2" manualBreakCount="2">
    <brk id="14" max="1048575" man="1"/>
    <brk id="29" max="1048575" man="1"/>
  </colBreaks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13D9E20-EBFC-4654-B175-6419EC3C1F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BA3:BA26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0A7B6-3FDF-410F-BC7B-D901E7607DE2}">
  <dimension ref="A1:B202"/>
  <sheetViews>
    <sheetView workbookViewId="0">
      <selection activeCell="F37" sqref="F37"/>
    </sheetView>
  </sheetViews>
  <sheetFormatPr defaultRowHeight="14.4"/>
  <cols>
    <col min="1" max="1" width="20.33203125" bestFit="1" customWidth="1"/>
    <col min="2" max="2" width="16.6640625" bestFit="1" customWidth="1"/>
  </cols>
  <sheetData>
    <row r="1" spans="1:2">
      <c r="A1" t="s">
        <v>222</v>
      </c>
    </row>
    <row r="2" spans="1:2">
      <c r="A2" t="s">
        <v>223</v>
      </c>
      <c r="B2" t="s">
        <v>220</v>
      </c>
    </row>
    <row r="3" spans="1:2">
      <c r="A3">
        <v>1</v>
      </c>
      <c r="B3">
        <f>0.768/(A3^0.514)</f>
        <v>0.76800000000000002</v>
      </c>
    </row>
    <row r="4" spans="1:2">
      <c r="A4">
        <v>2</v>
      </c>
      <c r="B4">
        <f t="shared" ref="B4:B67" si="0">0.768/(A4^0.514)</f>
        <v>0.5378136272206866</v>
      </c>
    </row>
    <row r="5" spans="1:2">
      <c r="A5">
        <v>3</v>
      </c>
      <c r="B5">
        <f t="shared" si="0"/>
        <v>0.43663736262037961</v>
      </c>
    </row>
    <row r="6" spans="1:2">
      <c r="A6">
        <v>4</v>
      </c>
      <c r="B6">
        <f t="shared" si="0"/>
        <v>0.3766191375316037</v>
      </c>
    </row>
    <row r="7" spans="1:2">
      <c r="A7">
        <v>5</v>
      </c>
      <c r="B7">
        <f t="shared" si="0"/>
        <v>0.33580769041616115</v>
      </c>
    </row>
    <row r="8" spans="1:2">
      <c r="A8">
        <v>6</v>
      </c>
      <c r="B8">
        <f t="shared" si="0"/>
        <v>0.30576760907674555</v>
      </c>
    </row>
    <row r="9" spans="1:2">
      <c r="A9">
        <v>7</v>
      </c>
      <c r="B9">
        <f t="shared" si="0"/>
        <v>0.28247552694007111</v>
      </c>
    </row>
    <row r="10" spans="1:2">
      <c r="A10">
        <v>8</v>
      </c>
      <c r="B10">
        <f t="shared" si="0"/>
        <v>0.2637381568184875</v>
      </c>
    </row>
    <row r="11" spans="1:2">
      <c r="A11">
        <v>9</v>
      </c>
      <c r="B11">
        <f t="shared" si="0"/>
        <v>0.24824503442198029</v>
      </c>
    </row>
    <row r="12" spans="1:2">
      <c r="A12">
        <v>10</v>
      </c>
      <c r="B12">
        <f t="shared" si="0"/>
        <v>0.235158791707444</v>
      </c>
    </row>
    <row r="13" spans="1:2">
      <c r="A13">
        <v>11</v>
      </c>
      <c r="B13">
        <f t="shared" si="0"/>
        <v>0.22391613018577491</v>
      </c>
    </row>
    <row r="14" spans="1:2">
      <c r="A14">
        <v>12</v>
      </c>
      <c r="B14">
        <f t="shared" si="0"/>
        <v>0.2141223788075019</v>
      </c>
    </row>
    <row r="15" spans="1:2">
      <c r="A15">
        <v>13</v>
      </c>
      <c r="B15">
        <f t="shared" si="0"/>
        <v>0.20549172457397843</v>
      </c>
    </row>
    <row r="16" spans="1:2">
      <c r="A16">
        <v>14</v>
      </c>
      <c r="B16">
        <f t="shared" si="0"/>
        <v>0.19781144237593024</v>
      </c>
    </row>
    <row r="17" spans="1:2">
      <c r="A17">
        <v>15</v>
      </c>
      <c r="B17">
        <f t="shared" si="0"/>
        <v>0.19091951079551239</v>
      </c>
    </row>
    <row r="18" spans="1:2">
      <c r="A18">
        <v>16</v>
      </c>
      <c r="B18">
        <f t="shared" si="0"/>
        <v>0.18469007129563678</v>
      </c>
    </row>
    <row r="19" spans="1:2">
      <c r="A19">
        <v>17</v>
      </c>
      <c r="B19">
        <f t="shared" si="0"/>
        <v>0.17902367762056864</v>
      </c>
    </row>
    <row r="20" spans="1:2">
      <c r="A20">
        <v>18</v>
      </c>
      <c r="B20">
        <f t="shared" si="0"/>
        <v>0.17384057604428313</v>
      </c>
    </row>
    <row r="21" spans="1:2">
      <c r="A21">
        <v>19</v>
      </c>
      <c r="B21">
        <f t="shared" si="0"/>
        <v>0.16907596278259585</v>
      </c>
    </row>
    <row r="22" spans="1:2">
      <c r="A22">
        <v>20</v>
      </c>
      <c r="B22">
        <f t="shared" si="0"/>
        <v>0.16467656606902917</v>
      </c>
    </row>
    <row r="23" spans="1:2">
      <c r="A23">
        <v>21</v>
      </c>
      <c r="B23">
        <f t="shared" si="0"/>
        <v>0.16059813683322216</v>
      </c>
    </row>
    <row r="24" spans="1:2">
      <c r="A24">
        <v>22</v>
      </c>
      <c r="B24">
        <f t="shared" si="0"/>
        <v>0.15680357574014461</v>
      </c>
    </row>
    <row r="25" spans="1:2">
      <c r="A25">
        <v>23</v>
      </c>
      <c r="B25">
        <f t="shared" si="0"/>
        <v>0.15326151431096993</v>
      </c>
    </row>
    <row r="26" spans="1:2">
      <c r="A26">
        <v>24</v>
      </c>
      <c r="B26">
        <f t="shared" si="0"/>
        <v>0.1499452255411256</v>
      </c>
    </row>
    <row r="27" spans="1:2">
      <c r="A27">
        <v>25</v>
      </c>
      <c r="B27">
        <f t="shared" si="0"/>
        <v>0.14683177726905769</v>
      </c>
    </row>
    <row r="28" spans="1:2">
      <c r="A28">
        <v>26</v>
      </c>
      <c r="B28">
        <f t="shared" si="0"/>
        <v>0.14390136687104901</v>
      </c>
    </row>
    <row r="29" spans="1:2">
      <c r="A29">
        <v>27</v>
      </c>
      <c r="B29">
        <f t="shared" si="0"/>
        <v>0.14113679311669119</v>
      </c>
    </row>
    <row r="30" spans="1:2">
      <c r="A30">
        <v>28</v>
      </c>
      <c r="B30">
        <f t="shared" si="0"/>
        <v>0.13852303298171206</v>
      </c>
    </row>
    <row r="31" spans="1:2">
      <c r="A31">
        <v>29</v>
      </c>
      <c r="B31">
        <f t="shared" si="0"/>
        <v>0.13604689963342223</v>
      </c>
    </row>
    <row r="32" spans="1:2">
      <c r="A32">
        <v>30</v>
      </c>
      <c r="B32">
        <f t="shared" si="0"/>
        <v>0.1336967638126739</v>
      </c>
    </row>
    <row r="33" spans="1:2">
      <c r="A33">
        <v>31</v>
      </c>
      <c r="B33">
        <f t="shared" si="0"/>
        <v>0.13146232518077894</v>
      </c>
    </row>
    <row r="34" spans="1:2">
      <c r="A34">
        <v>32</v>
      </c>
      <c r="B34">
        <f t="shared" si="0"/>
        <v>0.12933442337910625</v>
      </c>
    </row>
    <row r="35" spans="1:2">
      <c r="A35">
        <v>33</v>
      </c>
      <c r="B35">
        <f t="shared" si="0"/>
        <v>0.1273048809016645</v>
      </c>
    </row>
    <row r="36" spans="1:2">
      <c r="A36">
        <v>34</v>
      </c>
      <c r="B36">
        <f t="shared" si="0"/>
        <v>0.12536637163998032</v>
      </c>
    </row>
    <row r="37" spans="1:2">
      <c r="A37">
        <v>35</v>
      </c>
      <c r="B37">
        <f t="shared" si="0"/>
        <v>0.12351231028754348</v>
      </c>
    </row>
    <row r="38" spans="1:2">
      <c r="A38">
        <v>36</v>
      </c>
      <c r="B38">
        <f t="shared" si="0"/>
        <v>0.12173675880274676</v>
      </c>
    </row>
    <row r="39" spans="1:2">
      <c r="A39">
        <v>37</v>
      </c>
      <c r="B39">
        <f t="shared" si="0"/>
        <v>0.1200343469064999</v>
      </c>
    </row>
    <row r="40" spans="1:2">
      <c r="A40">
        <v>38</v>
      </c>
      <c r="B40">
        <f t="shared" si="0"/>
        <v>0.11840020419262717</v>
      </c>
    </row>
    <row r="41" spans="1:2">
      <c r="A41">
        <v>39</v>
      </c>
      <c r="B41">
        <f t="shared" si="0"/>
        <v>0.11682990189882213</v>
      </c>
    </row>
    <row r="42" spans="1:2">
      <c r="A42">
        <v>40</v>
      </c>
      <c r="B42">
        <f t="shared" si="0"/>
        <v>0.11531940275498907</v>
      </c>
    </row>
    <row r="43" spans="1:2">
      <c r="A43">
        <v>41</v>
      </c>
      <c r="B43">
        <f t="shared" si="0"/>
        <v>0.11386501761774262</v>
      </c>
    </row>
    <row r="44" spans="1:2">
      <c r="A44">
        <v>42</v>
      </c>
      <c r="B44">
        <f t="shared" si="0"/>
        <v>0.11246336783223876</v>
      </c>
    </row>
    <row r="45" spans="1:2">
      <c r="A45">
        <v>43</v>
      </c>
      <c r="B45">
        <f t="shared" si="0"/>
        <v>0.11111135244862469</v>
      </c>
    </row>
    <row r="46" spans="1:2">
      <c r="A46">
        <v>44</v>
      </c>
      <c r="B46">
        <f t="shared" si="0"/>
        <v>0.10980611957028757</v>
      </c>
    </row>
    <row r="47" spans="1:2">
      <c r="A47">
        <v>45</v>
      </c>
      <c r="B47">
        <f t="shared" si="0"/>
        <v>0.10854504123245526</v>
      </c>
    </row>
    <row r="48" spans="1:2">
      <c r="A48">
        <v>46</v>
      </c>
      <c r="B48">
        <f t="shared" si="0"/>
        <v>0.10732569130848683</v>
      </c>
    </row>
    <row r="49" spans="1:2">
      <c r="A49">
        <v>47</v>
      </c>
      <c r="B49">
        <f t="shared" si="0"/>
        <v>0.10614582602198394</v>
      </c>
    </row>
    <row r="50" spans="1:2">
      <c r="A50">
        <v>48</v>
      </c>
      <c r="B50">
        <f t="shared" si="0"/>
        <v>0.1050033667092405</v>
      </c>
    </row>
    <row r="51" spans="1:2">
      <c r="A51">
        <v>49</v>
      </c>
      <c r="B51">
        <f t="shared" si="0"/>
        <v>0.10389638453134224</v>
      </c>
    </row>
    <row r="52" spans="1:2">
      <c r="A52">
        <v>50</v>
      </c>
      <c r="B52">
        <f t="shared" si="0"/>
        <v>0.10282308688064044</v>
      </c>
    </row>
    <row r="53" spans="1:2">
      <c r="A53">
        <v>51</v>
      </c>
      <c r="B53">
        <f t="shared" si="0"/>
        <v>0.10178180526412263</v>
      </c>
    </row>
    <row r="54" spans="1:2">
      <c r="A54">
        <v>52</v>
      </c>
      <c r="B54">
        <f t="shared" si="0"/>
        <v>0.10077098447777812</v>
      </c>
    </row>
    <row r="55" spans="1:2">
      <c r="A55">
        <v>53</v>
      </c>
      <c r="B55">
        <f t="shared" si="0"/>
        <v>9.9789172912539609E-2</v>
      </c>
    </row>
    <row r="56" spans="1:2">
      <c r="A56">
        <v>54</v>
      </c>
      <c r="B56">
        <f t="shared" si="0"/>
        <v>9.8835013854665796E-2</v>
      </c>
    </row>
    <row r="57" spans="1:2">
      <c r="A57">
        <v>55</v>
      </c>
      <c r="B57">
        <f t="shared" si="0"/>
        <v>9.7907237662251984E-2</v>
      </c>
    </row>
    <row r="58" spans="1:2">
      <c r="A58">
        <v>56</v>
      </c>
      <c r="B58">
        <f t="shared" si="0"/>
        <v>9.7004654715501751E-2</v>
      </c>
    </row>
    <row r="59" spans="1:2">
      <c r="A59">
        <v>57</v>
      </c>
      <c r="B59">
        <f t="shared" si="0"/>
        <v>9.6126149051945414E-2</v>
      </c>
    </row>
    <row r="60" spans="1:2">
      <c r="A60">
        <v>58</v>
      </c>
      <c r="B60">
        <f t="shared" si="0"/>
        <v>9.527067260934835E-2</v>
      </c>
    </row>
    <row r="61" spans="1:2">
      <c r="A61">
        <v>59</v>
      </c>
      <c r="B61">
        <f t="shared" si="0"/>
        <v>9.4437240008931625E-2</v>
      </c>
    </row>
    <row r="62" spans="1:2">
      <c r="A62">
        <v>60</v>
      </c>
      <c r="B62">
        <f t="shared" si="0"/>
        <v>9.3624923820002079E-2</v>
      </c>
    </row>
    <row r="63" spans="1:2">
      <c r="A63">
        <v>61</v>
      </c>
      <c r="B63">
        <f t="shared" si="0"/>
        <v>9.2832850254372268E-2</v>
      </c>
    </row>
    <row r="64" spans="1:2">
      <c r="A64">
        <v>62</v>
      </c>
      <c r="B64">
        <f t="shared" si="0"/>
        <v>9.2060195245234552E-2</v>
      </c>
    </row>
    <row r="65" spans="1:2">
      <c r="A65">
        <v>63</v>
      </c>
      <c r="B65">
        <f t="shared" si="0"/>
        <v>9.1306180870579401E-2</v>
      </c>
    </row>
    <row r="66" spans="1:2">
      <c r="A66">
        <v>64</v>
      </c>
      <c r="B66">
        <f t="shared" si="0"/>
        <v>9.0570072085954578E-2</v>
      </c>
    </row>
    <row r="67" spans="1:2">
      <c r="A67">
        <v>65</v>
      </c>
      <c r="B67">
        <f t="shared" si="0"/>
        <v>8.9851173735444795E-2</v>
      </c>
    </row>
    <row r="68" spans="1:2">
      <c r="A68">
        <v>66</v>
      </c>
      <c r="B68">
        <f t="shared" ref="B68:B131" si="1">0.768/(A68^0.514)</f>
        <v>8.9148827813309517E-2</v>
      </c>
    </row>
    <row r="69" spans="1:2">
      <c r="A69">
        <v>67</v>
      </c>
      <c r="B69">
        <f t="shared" si="1"/>
        <v>8.8462410951818019E-2</v>
      </c>
    </row>
    <row r="70" spans="1:2">
      <c r="A70">
        <v>68</v>
      </c>
      <c r="B70">
        <f t="shared" si="1"/>
        <v>8.7791332113534418E-2</v>
      </c>
    </row>
    <row r="71" spans="1:2">
      <c r="A71">
        <v>69</v>
      </c>
      <c r="B71">
        <f t="shared" si="1"/>
        <v>8.7135030468681582E-2</v>
      </c>
    </row>
    <row r="72" spans="1:2">
      <c r="A72">
        <v>70</v>
      </c>
      <c r="B72">
        <f t="shared" si="1"/>
        <v>8.6492973440300325E-2</v>
      </c>
    </row>
    <row r="73" spans="1:2">
      <c r="A73">
        <v>71</v>
      </c>
      <c r="B73">
        <f t="shared" si="1"/>
        <v>8.5864654901754808E-2</v>
      </c>
    </row>
    <row r="74" spans="1:2">
      <c r="A74">
        <v>72</v>
      </c>
      <c r="B74">
        <f t="shared" si="1"/>
        <v>8.5249593512754018E-2</v>
      </c>
    </row>
    <row r="75" spans="1:2">
      <c r="A75">
        <v>73</v>
      </c>
      <c r="B75">
        <f t="shared" si="1"/>
        <v>8.4647331181486998E-2</v>
      </c>
    </row>
    <row r="76" spans="1:2">
      <c r="A76">
        <v>74</v>
      </c>
      <c r="B76">
        <f t="shared" si="1"/>
        <v>8.4057431641732933E-2</v>
      </c>
    </row>
    <row r="77" spans="1:2">
      <c r="A77">
        <v>75</v>
      </c>
      <c r="B77">
        <f t="shared" si="1"/>
        <v>8.3479479134927551E-2</v>
      </c>
    </row>
    <row r="78" spans="1:2">
      <c r="A78">
        <v>76</v>
      </c>
      <c r="B78">
        <f t="shared" si="1"/>
        <v>8.2913077188159837E-2</v>
      </c>
    </row>
    <row r="79" spans="1:2">
      <c r="A79">
        <v>77</v>
      </c>
      <c r="B79">
        <f t="shared" si="1"/>
        <v>8.2357847479958765E-2</v>
      </c>
    </row>
    <row r="80" spans="1:2">
      <c r="A80">
        <v>78</v>
      </c>
      <c r="B80">
        <f t="shared" si="1"/>
        <v>8.1813428786513681E-2</v>
      </c>
    </row>
    <row r="81" spans="1:2">
      <c r="A81">
        <v>79</v>
      </c>
      <c r="B81">
        <f t="shared" si="1"/>
        <v>8.1279476001676482E-2</v>
      </c>
    </row>
    <row r="82" spans="1:2">
      <c r="A82">
        <v>80</v>
      </c>
      <c r="B82">
        <f t="shared" si="1"/>
        <v>8.0755659224718654E-2</v>
      </c>
    </row>
    <row r="83" spans="1:2">
      <c r="A83">
        <v>81</v>
      </c>
      <c r="B83">
        <f t="shared" si="1"/>
        <v>8.0241662910377848E-2</v>
      </c>
    </row>
    <row r="84" spans="1:2">
      <c r="A84">
        <v>82</v>
      </c>
      <c r="B84">
        <f t="shared" si="1"/>
        <v>7.9737185076231162E-2</v>
      </c>
    </row>
    <row r="85" spans="1:2">
      <c r="A85">
        <v>83</v>
      </c>
      <c r="B85">
        <f t="shared" si="1"/>
        <v>7.9241936562881782E-2</v>
      </c>
    </row>
    <row r="86" spans="1:2">
      <c r="A86">
        <v>84</v>
      </c>
      <c r="B86">
        <f t="shared" si="1"/>
        <v>7.8755640342852359E-2</v>
      </c>
    </row>
    <row r="87" spans="1:2">
      <c r="A87">
        <v>85</v>
      </c>
      <c r="B87">
        <f t="shared" si="1"/>
        <v>7.827803087444081E-2</v>
      </c>
    </row>
    <row r="88" spans="1:2">
      <c r="A88">
        <v>86</v>
      </c>
      <c r="B88">
        <f t="shared" si="1"/>
        <v>7.7808853497123645E-2</v>
      </c>
    </row>
    <row r="89" spans="1:2">
      <c r="A89">
        <v>87</v>
      </c>
      <c r="B89">
        <f t="shared" si="1"/>
        <v>7.7347863865386696E-2</v>
      </c>
    </row>
    <row r="90" spans="1:2">
      <c r="A90">
        <v>88</v>
      </c>
      <c r="B90">
        <f t="shared" si="1"/>
        <v>7.6894827418131195E-2</v>
      </c>
    </row>
    <row r="91" spans="1:2">
      <c r="A91">
        <v>89</v>
      </c>
      <c r="B91">
        <f t="shared" si="1"/>
        <v>7.6449518881043912E-2</v>
      </c>
    </row>
    <row r="92" spans="1:2">
      <c r="A92">
        <v>90</v>
      </c>
      <c r="B92">
        <f t="shared" si="1"/>
        <v>7.6011721799538731E-2</v>
      </c>
    </row>
    <row r="93" spans="1:2">
      <c r="A93">
        <v>91</v>
      </c>
      <c r="B93">
        <f t="shared" si="1"/>
        <v>7.5581228100076198E-2</v>
      </c>
    </row>
    <row r="94" spans="1:2">
      <c r="A94">
        <v>92</v>
      </c>
      <c r="B94">
        <f t="shared" si="1"/>
        <v>7.5157837677845077E-2</v>
      </c>
    </row>
    <row r="95" spans="1:2">
      <c r="A95">
        <v>93</v>
      </c>
      <c r="B95">
        <f t="shared" si="1"/>
        <v>7.4741358008955774E-2</v>
      </c>
    </row>
    <row r="96" spans="1:2">
      <c r="A96">
        <v>94</v>
      </c>
      <c r="B96">
        <f t="shared" si="1"/>
        <v>7.4331603785441555E-2</v>
      </c>
    </row>
    <row r="97" spans="1:2">
      <c r="A97">
        <v>95</v>
      </c>
      <c r="B97">
        <f t="shared" si="1"/>
        <v>7.3928396571500424E-2</v>
      </c>
    </row>
    <row r="98" spans="1:2">
      <c r="A98">
        <v>96</v>
      </c>
      <c r="B98">
        <f t="shared" si="1"/>
        <v>7.353156447953195E-2</v>
      </c>
    </row>
    <row r="99" spans="1:2">
      <c r="A99">
        <v>97</v>
      </c>
      <c r="B99">
        <f t="shared" si="1"/>
        <v>7.3140941864636974E-2</v>
      </c>
    </row>
    <row r="100" spans="1:2">
      <c r="A100">
        <v>98</v>
      </c>
      <c r="B100">
        <f t="shared" si="1"/>
        <v>7.2756369036349453E-2</v>
      </c>
    </row>
    <row r="101" spans="1:2">
      <c r="A101">
        <v>99</v>
      </c>
      <c r="B101">
        <f t="shared" si="1"/>
        <v>7.2377691986463988E-2</v>
      </c>
    </row>
    <row r="102" spans="1:2">
      <c r="A102">
        <v>100</v>
      </c>
      <c r="B102">
        <f t="shared" si="1"/>
        <v>7.2004762131907582E-2</v>
      </c>
    </row>
    <row r="103" spans="1:2">
      <c r="A103">
        <v>101</v>
      </c>
      <c r="B103">
        <f t="shared" si="1"/>
        <v>7.1637436071684088E-2</v>
      </c>
    </row>
    <row r="104" spans="1:2">
      <c r="A104">
        <v>102</v>
      </c>
      <c r="B104">
        <f t="shared" si="1"/>
        <v>7.1275575356988766E-2</v>
      </c>
    </row>
    <row r="105" spans="1:2">
      <c r="A105">
        <v>103</v>
      </c>
      <c r="B105">
        <f t="shared" si="1"/>
        <v>7.0919046273659414E-2</v>
      </c>
    </row>
    <row r="106" spans="1:2">
      <c r="A106">
        <v>104</v>
      </c>
      <c r="B106">
        <f t="shared" si="1"/>
        <v>7.0567719636189283E-2</v>
      </c>
    </row>
    <row r="107" spans="1:2">
      <c r="A107">
        <v>105</v>
      </c>
      <c r="B107">
        <f t="shared" si="1"/>
        <v>7.0221470592581978E-2</v>
      </c>
    </row>
    <row r="108" spans="1:2">
      <c r="A108">
        <v>106</v>
      </c>
      <c r="B108">
        <f t="shared" si="1"/>
        <v>6.988017843938181E-2</v>
      </c>
    </row>
    <row r="109" spans="1:2">
      <c r="A109">
        <v>107</v>
      </c>
      <c r="B109">
        <f t="shared" si="1"/>
        <v>6.954372644625767E-2</v>
      </c>
    </row>
    <row r="110" spans="1:2">
      <c r="A110">
        <v>108</v>
      </c>
      <c r="B110">
        <f t="shared" si="1"/>
        <v>6.9212001689563304E-2</v>
      </c>
    </row>
    <row r="111" spans="1:2">
      <c r="A111">
        <v>109</v>
      </c>
      <c r="B111">
        <f t="shared" si="1"/>
        <v>6.8884894894336648E-2</v>
      </c>
    </row>
    <row r="112" spans="1:2">
      <c r="A112">
        <v>110</v>
      </c>
      <c r="B112">
        <f t="shared" si="1"/>
        <v>6.8562300284236377E-2</v>
      </c>
    </row>
    <row r="113" spans="1:2">
      <c r="A113">
        <v>111</v>
      </c>
      <c r="B113">
        <f t="shared" si="1"/>
        <v>6.8244115438950329E-2</v>
      </c>
    </row>
    <row r="114" spans="1:2">
      <c r="A114">
        <v>112</v>
      </c>
      <c r="B114">
        <f t="shared" si="1"/>
        <v>6.793024115863841E-2</v>
      </c>
    </row>
    <row r="115" spans="1:2">
      <c r="A115">
        <v>113</v>
      </c>
      <c r="B115">
        <f t="shared" si="1"/>
        <v>6.762058133500562E-2</v>
      </c>
    </row>
    <row r="116" spans="1:2">
      <c r="A116">
        <v>114</v>
      </c>
      <c r="B116">
        <f t="shared" si="1"/>
        <v>6.7315042828623883E-2</v>
      </c>
    </row>
    <row r="117" spans="1:2">
      <c r="A117">
        <v>115</v>
      </c>
      <c r="B117">
        <f t="shared" si="1"/>
        <v>6.7013535352148754E-2</v>
      </c>
    </row>
    <row r="118" spans="1:2">
      <c r="A118">
        <v>116</v>
      </c>
      <c r="B118">
        <f t="shared" si="1"/>
        <v>6.6715971359099138E-2</v>
      </c>
    </row>
    <row r="119" spans="1:2">
      <c r="A119">
        <v>117</v>
      </c>
      <c r="B119">
        <f t="shared" si="1"/>
        <v>6.6422265937889788E-2</v>
      </c>
    </row>
    <row r="120" spans="1:2">
      <c r="A120">
        <v>118</v>
      </c>
      <c r="B120">
        <f t="shared" si="1"/>
        <v>6.6132336710825593E-2</v>
      </c>
    </row>
    <row r="121" spans="1:2">
      <c r="A121">
        <v>119</v>
      </c>
      <c r="B121">
        <f t="shared" si="1"/>
        <v>6.5846103737785849E-2</v>
      </c>
    </row>
    <row r="122" spans="1:2">
      <c r="A122">
        <v>120</v>
      </c>
      <c r="B122">
        <f t="shared" si="1"/>
        <v>6.5563489424343452E-2</v>
      </c>
    </row>
    <row r="123" spans="1:2">
      <c r="A123">
        <v>121</v>
      </c>
      <c r="B123">
        <f t="shared" si="1"/>
        <v>6.5284418434079311E-2</v>
      </c>
    </row>
    <row r="124" spans="1:2">
      <c r="A124">
        <v>122</v>
      </c>
      <c r="B124">
        <f t="shared" si="1"/>
        <v>6.5008817604868208E-2</v>
      </c>
    </row>
    <row r="125" spans="1:2">
      <c r="A125">
        <v>123</v>
      </c>
      <c r="B125">
        <f t="shared" si="1"/>
        <v>6.4736615868924735E-2</v>
      </c>
    </row>
    <row r="126" spans="1:2">
      <c r="A126">
        <v>124</v>
      </c>
      <c r="B126">
        <f t="shared" si="1"/>
        <v>6.4467744176411712E-2</v>
      </c>
    </row>
    <row r="127" spans="1:2">
      <c r="A127">
        <v>125</v>
      </c>
      <c r="B127">
        <f t="shared" si="1"/>
        <v>6.4202135422425033E-2</v>
      </c>
    </row>
    <row r="128" spans="1:2">
      <c r="A128">
        <v>126</v>
      </c>
      <c r="B128">
        <f t="shared" si="1"/>
        <v>6.3939724377180165E-2</v>
      </c>
    </row>
    <row r="129" spans="1:2">
      <c r="A129">
        <v>127</v>
      </c>
      <c r="B129">
        <f t="shared" si="1"/>
        <v>6.3680447619235248E-2</v>
      </c>
    </row>
    <row r="130" spans="1:2">
      <c r="A130">
        <v>128</v>
      </c>
      <c r="B130">
        <f t="shared" si="1"/>
        <v>6.3424243471596739E-2</v>
      </c>
    </row>
    <row r="131" spans="1:2">
      <c r="A131">
        <v>129</v>
      </c>
      <c r="B131">
        <f t="shared" si="1"/>
        <v>6.3171051940561135E-2</v>
      </c>
    </row>
    <row r="132" spans="1:2">
      <c r="A132">
        <v>130</v>
      </c>
      <c r="B132">
        <f t="shared" ref="B132:B195" si="2">0.768/(A132^0.514)</f>
        <v>6.2920814657155794E-2</v>
      </c>
    </row>
    <row r="133" spans="1:2">
      <c r="A133">
        <v>131</v>
      </c>
      <c r="B133">
        <f t="shared" si="2"/>
        <v>6.2673474821049041E-2</v>
      </c>
    </row>
    <row r="134" spans="1:2">
      <c r="A134">
        <v>132</v>
      </c>
      <c r="B134">
        <f t="shared" si="2"/>
        <v>6.2428977146807819E-2</v>
      </c>
    </row>
    <row r="135" spans="1:2">
      <c r="A135">
        <v>133</v>
      </c>
      <c r="B135">
        <f t="shared" si="2"/>
        <v>6.2187267812387502E-2</v>
      </c>
    </row>
    <row r="136" spans="1:2">
      <c r="A136">
        <v>134</v>
      </c>
      <c r="B136">
        <f t="shared" si="2"/>
        <v>6.1948294409745114E-2</v>
      </c>
    </row>
    <row r="137" spans="1:2">
      <c r="A137">
        <v>135</v>
      </c>
      <c r="B137">
        <f t="shared" si="2"/>
        <v>6.1712005897473443E-2</v>
      </c>
    </row>
    <row r="138" spans="1:2">
      <c r="A138">
        <v>136</v>
      </c>
      <c r="B138">
        <f t="shared" si="2"/>
        <v>6.1478352555359231E-2</v>
      </c>
    </row>
    <row r="139" spans="1:2">
      <c r="A139">
        <v>137</v>
      </c>
      <c r="B139">
        <f t="shared" si="2"/>
        <v>6.1247285940773076E-2</v>
      </c>
    </row>
    <row r="140" spans="1:2">
      <c r="A140">
        <v>138</v>
      </c>
      <c r="B140">
        <f t="shared" si="2"/>
        <v>6.1018758846805597E-2</v>
      </c>
    </row>
    <row r="141" spans="1:2">
      <c r="A141">
        <v>139</v>
      </c>
      <c r="B141">
        <f t="shared" si="2"/>
        <v>6.0792725262066603E-2</v>
      </c>
    </row>
    <row r="142" spans="1:2">
      <c r="A142">
        <v>140</v>
      </c>
      <c r="B142">
        <f t="shared" si="2"/>
        <v>6.0569140332070885E-2</v>
      </c>
    </row>
    <row r="143" spans="1:2">
      <c r="A143">
        <v>141</v>
      </c>
      <c r="B143">
        <f t="shared" si="2"/>
        <v>6.0347960322136365E-2</v>
      </c>
    </row>
    <row r="144" spans="1:2">
      <c r="A144">
        <v>142</v>
      </c>
      <c r="B144">
        <f t="shared" si="2"/>
        <v>6.0129142581725588E-2</v>
      </c>
    </row>
    <row r="145" spans="1:2">
      <c r="A145">
        <v>143</v>
      </c>
      <c r="B145">
        <f t="shared" si="2"/>
        <v>5.991264551016455E-2</v>
      </c>
    </row>
    <row r="146" spans="1:2">
      <c r="A146">
        <v>144</v>
      </c>
      <c r="B146">
        <f t="shared" si="2"/>
        <v>5.9698428523676232E-2</v>
      </c>
    </row>
    <row r="147" spans="1:2">
      <c r="A147">
        <v>145</v>
      </c>
      <c r="B147">
        <f t="shared" si="2"/>
        <v>5.9486452023670339E-2</v>
      </c>
    </row>
    <row r="148" spans="1:2">
      <c r="A148">
        <v>146</v>
      </c>
      <c r="B148">
        <f t="shared" si="2"/>
        <v>5.9276677366232079E-2</v>
      </c>
    </row>
    <row r="149" spans="1:2">
      <c r="A149">
        <v>147</v>
      </c>
      <c r="B149">
        <f t="shared" si="2"/>
        <v>5.9069066832757929E-2</v>
      </c>
    </row>
    <row r="150" spans="1:2">
      <c r="A150">
        <v>148</v>
      </c>
      <c r="B150">
        <f t="shared" si="2"/>
        <v>5.8863583601686635E-2</v>
      </c>
    </row>
    <row r="151" spans="1:2">
      <c r="A151">
        <v>149</v>
      </c>
      <c r="B151">
        <f t="shared" si="2"/>
        <v>5.8660191721278544E-2</v>
      </c>
    </row>
    <row r="152" spans="1:2">
      <c r="A152">
        <v>150</v>
      </c>
      <c r="B152">
        <f t="shared" si="2"/>
        <v>5.8458856083397147E-2</v>
      </c>
    </row>
    <row r="153" spans="1:2">
      <c r="A153">
        <v>151</v>
      </c>
      <c r="B153">
        <f t="shared" si="2"/>
        <v>5.8259542398249146E-2</v>
      </c>
    </row>
    <row r="154" spans="1:2">
      <c r="A154">
        <v>152</v>
      </c>
      <c r="B154">
        <f t="shared" si="2"/>
        <v>5.8062217170042993E-2</v>
      </c>
    </row>
    <row r="155" spans="1:2">
      <c r="A155">
        <v>153</v>
      </c>
      <c r="B155">
        <f t="shared" si="2"/>
        <v>5.7866847673525491E-2</v>
      </c>
    </row>
    <row r="156" spans="1:2">
      <c r="A156">
        <v>154</v>
      </c>
      <c r="B156">
        <f t="shared" si="2"/>
        <v>5.7673401931360287E-2</v>
      </c>
    </row>
    <row r="157" spans="1:2">
      <c r="A157">
        <v>155</v>
      </c>
      <c r="B157">
        <f t="shared" si="2"/>
        <v>5.7481848692312126E-2</v>
      </c>
    </row>
    <row r="158" spans="1:2">
      <c r="A158">
        <v>156</v>
      </c>
      <c r="B158">
        <f t="shared" si="2"/>
        <v>5.7292157410203458E-2</v>
      </c>
    </row>
    <row r="159" spans="1:2">
      <c r="A159">
        <v>157</v>
      </c>
      <c r="B159">
        <f t="shared" si="2"/>
        <v>5.7104298223611349E-2</v>
      </c>
    </row>
    <row r="160" spans="1:2">
      <c r="A160">
        <v>158</v>
      </c>
      <c r="B160">
        <f t="shared" si="2"/>
        <v>5.6918241936273921E-2</v>
      </c>
    </row>
    <row r="161" spans="1:2">
      <c r="A161">
        <v>159</v>
      </c>
      <c r="B161">
        <f t="shared" si="2"/>
        <v>5.6733959998177499E-2</v>
      </c>
    </row>
    <row r="162" spans="1:2">
      <c r="A162">
        <v>160</v>
      </c>
      <c r="B162">
        <f t="shared" si="2"/>
        <v>5.6551424487296401E-2</v>
      </c>
    </row>
    <row r="163" spans="1:2">
      <c r="A163">
        <v>161</v>
      </c>
      <c r="B163">
        <f t="shared" si="2"/>
        <v>5.637060809195895E-2</v>
      </c>
    </row>
    <row r="164" spans="1:2">
      <c r="A164">
        <v>162</v>
      </c>
      <c r="B164">
        <f t="shared" si="2"/>
        <v>5.6191484093815046E-2</v>
      </c>
    </row>
    <row r="165" spans="1:2">
      <c r="A165">
        <v>163</v>
      </c>
      <c r="B165">
        <f t="shared" si="2"/>
        <v>5.6014026351380225E-2</v>
      </c>
    </row>
    <row r="166" spans="1:2">
      <c r="A166">
        <v>164</v>
      </c>
      <c r="B166">
        <f t="shared" si="2"/>
        <v>5.5838209284134209E-2</v>
      </c>
    </row>
    <row r="167" spans="1:2">
      <c r="A167">
        <v>165</v>
      </c>
      <c r="B167">
        <f t="shared" si="2"/>
        <v>5.5664007857151594E-2</v>
      </c>
    </row>
    <row r="168" spans="1:2">
      <c r="A168">
        <v>166</v>
      </c>
      <c r="B168">
        <f t="shared" si="2"/>
        <v>5.5491397566243467E-2</v>
      </c>
    </row>
    <row r="169" spans="1:2">
      <c r="A169">
        <v>167</v>
      </c>
      <c r="B169">
        <f t="shared" si="2"/>
        <v>5.5320354423591046E-2</v>
      </c>
    </row>
    <row r="170" spans="1:2">
      <c r="A170">
        <v>168</v>
      </c>
      <c r="B170">
        <f t="shared" si="2"/>
        <v>5.5150854943850601E-2</v>
      </c>
    </row>
    <row r="171" spans="1:2">
      <c r="A171">
        <v>169</v>
      </c>
      <c r="B171">
        <f t="shared" si="2"/>
        <v>5.498287613071328E-2</v>
      </c>
    </row>
    <row r="172" spans="1:2">
      <c r="A172">
        <v>170</v>
      </c>
      <c r="B172">
        <f t="shared" si="2"/>
        <v>5.4816395463900915E-2</v>
      </c>
    </row>
    <row r="173" spans="1:2">
      <c r="A173">
        <v>171</v>
      </c>
      <c r="B173">
        <f t="shared" si="2"/>
        <v>5.4651390886581976E-2</v>
      </c>
    </row>
    <row r="174" spans="1:2">
      <c r="A174">
        <v>172</v>
      </c>
      <c r="B174">
        <f t="shared" si="2"/>
        <v>5.4487840793191522E-2</v>
      </c>
    </row>
    <row r="175" spans="1:2">
      <c r="A175">
        <v>173</v>
      </c>
      <c r="B175">
        <f t="shared" si="2"/>
        <v>5.4325724017639757E-2</v>
      </c>
    </row>
    <row r="176" spans="1:2">
      <c r="A176">
        <v>174</v>
      </c>
      <c r="B176">
        <f t="shared" si="2"/>
        <v>5.4165019821895193E-2</v>
      </c>
    </row>
    <row r="177" spans="1:2">
      <c r="A177">
        <v>175</v>
      </c>
      <c r="B177">
        <f t="shared" si="2"/>
        <v>5.4005707884927368E-2</v>
      </c>
    </row>
    <row r="178" spans="1:2">
      <c r="A178">
        <v>176</v>
      </c>
      <c r="B178">
        <f t="shared" si="2"/>
        <v>5.3847768291997208E-2</v>
      </c>
    </row>
    <row r="179" spans="1:2">
      <c r="A179">
        <v>177</v>
      </c>
      <c r="B179">
        <f t="shared" si="2"/>
        <v>5.3691181524280866E-2</v>
      </c>
    </row>
    <row r="180" spans="1:2">
      <c r="A180">
        <v>178</v>
      </c>
      <c r="B180">
        <f t="shared" si="2"/>
        <v>5.3535928448815863E-2</v>
      </c>
    </row>
    <row r="181" spans="1:2">
      <c r="A181">
        <v>179</v>
      </c>
      <c r="B181">
        <f t="shared" si="2"/>
        <v>5.3381990308757087E-2</v>
      </c>
    </row>
    <row r="182" spans="1:2">
      <c r="A182">
        <v>180</v>
      </c>
      <c r="B182">
        <f t="shared" si="2"/>
        <v>5.3229348713931833E-2</v>
      </c>
    </row>
    <row r="183" spans="1:2">
      <c r="A183">
        <v>181</v>
      </c>
      <c r="B183">
        <f t="shared" si="2"/>
        <v>5.3077985631682943E-2</v>
      </c>
    </row>
    <row r="184" spans="1:2">
      <c r="A184">
        <v>182</v>
      </c>
      <c r="B184">
        <f t="shared" si="2"/>
        <v>5.2927883377989648E-2</v>
      </c>
    </row>
    <row r="185" spans="1:2">
      <c r="A185">
        <v>183</v>
      </c>
      <c r="B185">
        <f t="shared" si="2"/>
        <v>5.2779024608856424E-2</v>
      </c>
    </row>
    <row r="186" spans="1:2">
      <c r="A186">
        <v>184</v>
      </c>
      <c r="B186">
        <f t="shared" si="2"/>
        <v>5.2631392311960228E-2</v>
      </c>
    </row>
    <row r="187" spans="1:2">
      <c r="A187">
        <v>185</v>
      </c>
      <c r="B187">
        <f t="shared" si="2"/>
        <v>5.2484969798546895E-2</v>
      </c>
    </row>
    <row r="188" spans="1:2">
      <c r="A188">
        <v>186</v>
      </c>
      <c r="B188">
        <f t="shared" si="2"/>
        <v>5.2339740695568238E-2</v>
      </c>
    </row>
    <row r="189" spans="1:2">
      <c r="A189">
        <v>187</v>
      </c>
      <c r="B189">
        <f t="shared" si="2"/>
        <v>5.2195688938051356E-2</v>
      </c>
    </row>
    <row r="190" spans="1:2">
      <c r="A190">
        <v>188</v>
      </c>
      <c r="B190">
        <f t="shared" si="2"/>
        <v>5.2052798761691735E-2</v>
      </c>
    </row>
    <row r="191" spans="1:2">
      <c r="A191">
        <v>189</v>
      </c>
      <c r="B191">
        <f t="shared" si="2"/>
        <v>5.1911054695662949E-2</v>
      </c>
    </row>
    <row r="192" spans="1:2">
      <c r="A192">
        <v>190</v>
      </c>
      <c r="B192">
        <f t="shared" si="2"/>
        <v>5.1770441555635427E-2</v>
      </c>
    </row>
    <row r="193" spans="1:2">
      <c r="A193">
        <v>191</v>
      </c>
      <c r="B193">
        <f t="shared" si="2"/>
        <v>5.1630944436996694E-2</v>
      </c>
    </row>
    <row r="194" spans="1:2">
      <c r="A194">
        <v>192</v>
      </c>
      <c r="B194">
        <f t="shared" si="2"/>
        <v>5.1492548708266757E-2</v>
      </c>
    </row>
    <row r="195" spans="1:2">
      <c r="A195">
        <v>193</v>
      </c>
      <c r="B195">
        <f t="shared" si="2"/>
        <v>5.1355240004701923E-2</v>
      </c>
    </row>
    <row r="196" spans="1:2">
      <c r="A196">
        <v>194</v>
      </c>
      <c r="B196">
        <f t="shared" ref="B196:B202" si="3">0.768/(A196^0.514)</f>
        <v>5.1219004222080429E-2</v>
      </c>
    </row>
    <row r="197" spans="1:2">
      <c r="A197">
        <v>195</v>
      </c>
      <c r="B197">
        <f t="shared" si="3"/>
        <v>5.1083827510664225E-2</v>
      </c>
    </row>
    <row r="198" spans="1:2">
      <c r="A198">
        <v>196</v>
      </c>
      <c r="B198">
        <f t="shared" si="3"/>
        <v>5.0949696269330692E-2</v>
      </c>
    </row>
    <row r="199" spans="1:2">
      <c r="A199">
        <v>197</v>
      </c>
      <c r="B199">
        <f t="shared" si="3"/>
        <v>5.0816597139868816E-2</v>
      </c>
    </row>
    <row r="200" spans="1:2">
      <c r="A200">
        <v>198</v>
      </c>
      <c r="B200">
        <f t="shared" si="3"/>
        <v>5.0684517001434649E-2</v>
      </c>
    </row>
    <row r="201" spans="1:2">
      <c r="A201">
        <v>199</v>
      </c>
      <c r="B201">
        <f t="shared" si="3"/>
        <v>5.0553442965160185E-2</v>
      </c>
    </row>
    <row r="202" spans="1:2">
      <c r="A202">
        <v>200</v>
      </c>
      <c r="B202">
        <f t="shared" si="3"/>
        <v>5.0423362368911415E-2</v>
      </c>
    </row>
  </sheetData>
  <pageMargins left="0.7" right="0.7" top="0.75" bottom="0.75" header="0.3" footer="0.3"/>
  <pageSetup paperSize="0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4D085-35C9-452D-9C3A-6D2C96B0D3AA}">
  <sheetPr>
    <tabColor theme="6"/>
  </sheetPr>
  <dimension ref="A1:BI17545"/>
  <sheetViews>
    <sheetView view="pageBreakPreview" zoomScale="85" zoomScaleNormal="85" zoomScaleSheetLayoutView="85" zoomScalePageLayoutView="55" workbookViewId="0">
      <selection activeCell="C7" sqref="C7"/>
    </sheetView>
  </sheetViews>
  <sheetFormatPr defaultRowHeight="14.4" outlineLevelCol="1"/>
  <cols>
    <col min="1" max="1" width="3.33203125" bestFit="1" customWidth="1"/>
    <col min="2" max="2" width="49" bestFit="1" customWidth="1"/>
    <col min="3" max="3" width="31.88671875" bestFit="1" customWidth="1"/>
    <col min="4" max="4" width="17.44140625" bestFit="1" customWidth="1"/>
    <col min="5" max="5" width="18.21875" customWidth="1"/>
    <col min="6" max="6" width="24.33203125" bestFit="1" customWidth="1"/>
    <col min="7" max="7" width="13.5546875" bestFit="1" customWidth="1"/>
    <col min="8" max="8" width="6" hidden="1" customWidth="1" outlineLevel="1"/>
    <col min="9" max="9" width="6.33203125" hidden="1" customWidth="1" outlineLevel="1"/>
    <col min="10" max="10" width="2.21875" hidden="1" customWidth="1" outlineLevel="1"/>
    <col min="11" max="11" width="5.77734375" hidden="1" customWidth="1" outlineLevel="1"/>
    <col min="12" max="12" width="24.88671875" hidden="1" customWidth="1" outlineLevel="1"/>
    <col min="13" max="13" width="22.77734375" hidden="1" customWidth="1" outlineLevel="1"/>
    <col min="14" max="14" width="13.33203125" hidden="1" customWidth="1" outlineLevel="1"/>
    <col min="15" max="15" width="18.21875" hidden="1" customWidth="1" outlineLevel="1"/>
    <col min="16" max="16" width="6.77734375" hidden="1" customWidth="1" outlineLevel="1"/>
    <col min="17" max="18" width="6.21875" hidden="1" customWidth="1" outlineLevel="1"/>
    <col min="19" max="19" width="12" hidden="1" customWidth="1" outlineLevel="1"/>
    <col min="20" max="22" width="8.88671875" hidden="1" customWidth="1" outlineLevel="1"/>
    <col min="23" max="23" width="44.109375" hidden="1" customWidth="1" outlineLevel="1"/>
    <col min="24" max="24" width="13.88671875" hidden="1" customWidth="1" outlineLevel="1"/>
    <col min="25" max="45" width="8.88671875" hidden="1" customWidth="1" outlineLevel="1"/>
    <col min="46" max="46" width="11.33203125" hidden="1" customWidth="1" outlineLevel="1"/>
    <col min="47" max="58" width="10.44140625" hidden="1" customWidth="1" outlineLevel="1"/>
    <col min="59" max="59" width="11.21875" hidden="1" customWidth="1" outlineLevel="1"/>
    <col min="60" max="60" width="8.88671875" hidden="1" customWidth="1" outlineLevel="1"/>
    <col min="61" max="61" width="8.88671875" collapsed="1"/>
  </cols>
  <sheetData>
    <row r="1" spans="2:59" ht="15" thickBot="1"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AM1" s="73" t="s">
        <v>194</v>
      </c>
      <c r="AN1" s="73" t="s">
        <v>109</v>
      </c>
      <c r="AO1" s="73" t="s">
        <v>195</v>
      </c>
      <c r="AP1" s="74" t="s">
        <v>196</v>
      </c>
      <c r="AQ1" s="73" t="s">
        <v>197</v>
      </c>
      <c r="AR1" s="73" t="s">
        <v>200</v>
      </c>
      <c r="AS1" s="79" t="s">
        <v>201</v>
      </c>
    </row>
    <row r="2" spans="2:59" ht="15" thickBot="1">
      <c r="B2" s="336" t="s">
        <v>315</v>
      </c>
      <c r="C2" s="321" t="s">
        <v>318</v>
      </c>
      <c r="E2" s="324" t="s">
        <v>123</v>
      </c>
      <c r="F2" s="326" t="s">
        <v>124</v>
      </c>
      <c r="G2" s="327" t="s">
        <v>123</v>
      </c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V2" s="46"/>
      <c r="W2" s="47" t="s">
        <v>107</v>
      </c>
      <c r="X2" s="46"/>
      <c r="AM2" s="54">
        <v>2019</v>
      </c>
      <c r="AN2" s="54" t="s">
        <v>183</v>
      </c>
      <c r="AO2" s="54">
        <v>1</v>
      </c>
      <c r="AP2" s="54">
        <v>24</v>
      </c>
      <c r="AQ2" s="54">
        <v>0</v>
      </c>
      <c r="AR2" s="76">
        <v>28500</v>
      </c>
      <c r="AS2" s="77">
        <f t="shared" ref="AS2:AS65" si="0">AQ2/AR2</f>
        <v>0</v>
      </c>
      <c r="AT2" s="59" t="s">
        <v>206</v>
      </c>
      <c r="AU2" s="59" t="s">
        <v>109</v>
      </c>
      <c r="AV2" s="57"/>
      <c r="AW2" s="57"/>
      <c r="AX2" s="57"/>
      <c r="AY2" s="57"/>
      <c r="AZ2" s="57"/>
      <c r="BA2" s="57"/>
      <c r="BB2" s="57"/>
      <c r="BC2" s="57"/>
      <c r="BD2" s="57"/>
      <c r="BE2" s="57"/>
      <c r="BF2" s="57"/>
      <c r="BG2" s="58"/>
    </row>
    <row r="3" spans="2:59" ht="15" thickBot="1">
      <c r="B3" s="337" t="s">
        <v>320</v>
      </c>
      <c r="C3" s="321" t="s">
        <v>318</v>
      </c>
      <c r="E3" s="323" t="s">
        <v>125</v>
      </c>
      <c r="F3" s="345" t="s">
        <v>126</v>
      </c>
      <c r="G3" s="339">
        <v>0.5</v>
      </c>
      <c r="H3" s="46"/>
      <c r="I3" s="46"/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V3" s="46"/>
      <c r="W3" s="46" t="s">
        <v>108</v>
      </c>
      <c r="X3" s="50">
        <v>59</v>
      </c>
      <c r="AM3" s="55">
        <v>2019</v>
      </c>
      <c r="AN3" s="55" t="s">
        <v>183</v>
      </c>
      <c r="AO3" s="55">
        <v>1</v>
      </c>
      <c r="AP3" s="55">
        <v>1</v>
      </c>
      <c r="AQ3" s="55">
        <v>0</v>
      </c>
      <c r="AR3" s="55">
        <v>28500</v>
      </c>
      <c r="AS3" s="78">
        <f t="shared" si="0"/>
        <v>0</v>
      </c>
      <c r="AT3" s="59" t="s">
        <v>196</v>
      </c>
      <c r="AU3" s="56" t="s">
        <v>183</v>
      </c>
      <c r="AV3" s="63" t="s">
        <v>184</v>
      </c>
      <c r="AW3" s="63" t="s">
        <v>185</v>
      </c>
      <c r="AX3" s="63" t="s">
        <v>186</v>
      </c>
      <c r="AY3" s="63" t="s">
        <v>96</v>
      </c>
      <c r="AZ3" s="63" t="s">
        <v>187</v>
      </c>
      <c r="BA3" s="63" t="s">
        <v>188</v>
      </c>
      <c r="BB3" s="63" t="s">
        <v>189</v>
      </c>
      <c r="BC3" s="63" t="s">
        <v>190</v>
      </c>
      <c r="BD3" s="63" t="s">
        <v>191</v>
      </c>
      <c r="BE3" s="63" t="s">
        <v>192</v>
      </c>
      <c r="BF3" s="63" t="s">
        <v>193</v>
      </c>
      <c r="BG3" s="62" t="s">
        <v>198</v>
      </c>
    </row>
    <row r="4" spans="2:59" ht="15" thickBot="1">
      <c r="B4" s="337" t="s">
        <v>328</v>
      </c>
      <c r="C4" s="334">
        <v>0.3</v>
      </c>
      <c r="E4" s="323" t="s">
        <v>127</v>
      </c>
      <c r="F4" s="345" t="s">
        <v>128</v>
      </c>
      <c r="G4" s="339">
        <v>0.65</v>
      </c>
      <c r="H4" s="46"/>
      <c r="I4" s="46"/>
      <c r="J4" s="46"/>
      <c r="K4" s="46"/>
      <c r="L4" s="46" t="s">
        <v>53</v>
      </c>
      <c r="M4" s="46"/>
      <c r="N4" s="46"/>
      <c r="O4" s="46"/>
      <c r="P4" s="46"/>
      <c r="Q4" s="46"/>
      <c r="R4" s="46"/>
      <c r="S4" s="46"/>
      <c r="T4" s="46"/>
      <c r="V4" s="46"/>
      <c r="W4" s="46"/>
      <c r="X4" s="46"/>
      <c r="AM4" s="54">
        <v>2019</v>
      </c>
      <c r="AN4" s="54" t="s">
        <v>183</v>
      </c>
      <c r="AO4" s="54">
        <v>1</v>
      </c>
      <c r="AP4" s="54">
        <v>2</v>
      </c>
      <c r="AQ4" s="54">
        <v>0</v>
      </c>
      <c r="AR4" s="55">
        <v>28500</v>
      </c>
      <c r="AS4" s="78">
        <f t="shared" si="0"/>
        <v>0</v>
      </c>
      <c r="AT4" s="56">
        <v>1</v>
      </c>
      <c r="AU4" s="64">
        <v>0</v>
      </c>
      <c r="AV4" s="65">
        <v>0</v>
      </c>
      <c r="AW4" s="65">
        <v>0</v>
      </c>
      <c r="AX4" s="65">
        <v>0</v>
      </c>
      <c r="AY4" s="65">
        <v>0</v>
      </c>
      <c r="AZ4" s="65">
        <v>0</v>
      </c>
      <c r="BA4" s="65">
        <v>0</v>
      </c>
      <c r="BB4" s="65">
        <v>0</v>
      </c>
      <c r="BC4" s="65">
        <v>0</v>
      </c>
      <c r="BD4" s="65">
        <v>0</v>
      </c>
      <c r="BE4" s="65">
        <v>0</v>
      </c>
      <c r="BF4" s="65">
        <v>0</v>
      </c>
      <c r="BG4" s="66">
        <v>0</v>
      </c>
    </row>
    <row r="5" spans="2:59" ht="15" thickBot="1">
      <c r="B5" s="337" t="s">
        <v>329</v>
      </c>
      <c r="C5" s="334">
        <v>0.8</v>
      </c>
      <c r="E5" s="323" t="s">
        <v>129</v>
      </c>
      <c r="F5" s="345" t="s">
        <v>130</v>
      </c>
      <c r="G5" s="339">
        <v>0.8</v>
      </c>
      <c r="H5" s="46"/>
      <c r="I5" s="46"/>
      <c r="J5" s="46"/>
      <c r="K5" s="46"/>
      <c r="L5" s="46" t="s">
        <v>54</v>
      </c>
      <c r="M5" s="46" t="s">
        <v>55</v>
      </c>
      <c r="N5" s="46" t="s">
        <v>56</v>
      </c>
      <c r="O5" s="46" t="s">
        <v>57</v>
      </c>
      <c r="P5" s="46" t="s">
        <v>58</v>
      </c>
      <c r="Q5" s="46" t="s">
        <v>59</v>
      </c>
      <c r="R5" s="46" t="s">
        <v>60</v>
      </c>
      <c r="S5" s="46" t="s">
        <v>61</v>
      </c>
      <c r="T5" s="46"/>
      <c r="V5" s="46"/>
      <c r="W5" s="46" t="s">
        <v>109</v>
      </c>
      <c r="X5" s="46" t="s">
        <v>110</v>
      </c>
      <c r="AM5" s="55">
        <v>2019</v>
      </c>
      <c r="AN5" s="55" t="s">
        <v>183</v>
      </c>
      <c r="AO5" s="55">
        <v>1</v>
      </c>
      <c r="AP5" s="55">
        <v>3</v>
      </c>
      <c r="AQ5" s="55">
        <v>0</v>
      </c>
      <c r="AR5" s="55">
        <v>28500</v>
      </c>
      <c r="AS5" s="78">
        <f t="shared" si="0"/>
        <v>0</v>
      </c>
      <c r="AT5" s="60">
        <v>2</v>
      </c>
      <c r="AU5" s="67">
        <v>0</v>
      </c>
      <c r="AV5" s="39">
        <v>0</v>
      </c>
      <c r="AW5" s="39">
        <v>0</v>
      </c>
      <c r="AX5" s="39">
        <v>0</v>
      </c>
      <c r="AY5" s="39">
        <v>0</v>
      </c>
      <c r="AZ5" s="39">
        <v>0</v>
      </c>
      <c r="BA5" s="39">
        <v>0</v>
      </c>
      <c r="BB5" s="39">
        <v>0</v>
      </c>
      <c r="BC5" s="39">
        <v>0</v>
      </c>
      <c r="BD5" s="39">
        <v>0</v>
      </c>
      <c r="BE5" s="39">
        <v>0</v>
      </c>
      <c r="BF5" s="39">
        <v>0</v>
      </c>
      <c r="BG5" s="68">
        <v>0</v>
      </c>
    </row>
    <row r="6" spans="2:59" ht="15" thickBot="1">
      <c r="B6" s="351" t="s">
        <v>330</v>
      </c>
      <c r="C6" s="321"/>
      <c r="E6" s="325" t="s">
        <v>131</v>
      </c>
      <c r="F6" s="346" t="s">
        <v>132</v>
      </c>
      <c r="G6" s="347">
        <v>1</v>
      </c>
      <c r="H6" s="46"/>
      <c r="I6" s="46"/>
      <c r="J6" s="46"/>
      <c r="K6" s="46"/>
      <c r="L6" s="46" t="s">
        <v>63</v>
      </c>
      <c r="M6" s="46" t="s">
        <v>64</v>
      </c>
      <c r="N6" s="46" t="s">
        <v>65</v>
      </c>
      <c r="O6" s="46">
        <v>254</v>
      </c>
      <c r="P6" s="46">
        <v>1686</v>
      </c>
      <c r="Q6" s="46">
        <v>1016</v>
      </c>
      <c r="R6" s="46">
        <v>40</v>
      </c>
      <c r="S6" s="48">
        <f>O6/(P6*Q6/1000^2)</f>
        <v>148.27995255041517</v>
      </c>
      <c r="T6" s="46"/>
      <c r="V6" s="46">
        <v>31</v>
      </c>
      <c r="W6" s="46" t="s">
        <v>92</v>
      </c>
      <c r="X6" s="49">
        <f t="shared" ref="X6:X17" si="1">0.8*C$7*C$18*$V6*0.024*X35*X21</f>
        <v>0</v>
      </c>
      <c r="AM6" s="54">
        <v>2019</v>
      </c>
      <c r="AN6" s="54" t="s">
        <v>183</v>
      </c>
      <c r="AO6" s="54">
        <v>1</v>
      </c>
      <c r="AP6" s="54">
        <v>4</v>
      </c>
      <c r="AQ6" s="54">
        <v>0</v>
      </c>
      <c r="AR6" s="55">
        <v>28500</v>
      </c>
      <c r="AS6" s="78">
        <f t="shared" si="0"/>
        <v>0</v>
      </c>
      <c r="AT6" s="60">
        <v>3</v>
      </c>
      <c r="AU6" s="67">
        <v>0</v>
      </c>
      <c r="AV6" s="39">
        <v>0</v>
      </c>
      <c r="AW6" s="39">
        <v>0</v>
      </c>
      <c r="AX6" s="39">
        <v>0</v>
      </c>
      <c r="AY6" s="39">
        <v>0</v>
      </c>
      <c r="AZ6" s="39">
        <v>0</v>
      </c>
      <c r="BA6" s="39">
        <v>0</v>
      </c>
      <c r="BB6" s="39">
        <v>0</v>
      </c>
      <c r="BC6" s="39">
        <v>0</v>
      </c>
      <c r="BD6" s="39">
        <v>0</v>
      </c>
      <c r="BE6" s="39">
        <v>0</v>
      </c>
      <c r="BF6" s="39">
        <v>0</v>
      </c>
      <c r="BG6" s="68">
        <v>0</v>
      </c>
    </row>
    <row r="7" spans="2:59" ht="15" thickBot="1">
      <c r="B7" s="350" t="s">
        <v>319</v>
      </c>
      <c r="C7" s="352"/>
      <c r="H7" s="46"/>
      <c r="I7" s="46"/>
      <c r="J7" s="46"/>
      <c r="K7" s="46"/>
      <c r="L7" s="46" t="s">
        <v>63</v>
      </c>
      <c r="M7" s="46" t="s">
        <v>64</v>
      </c>
      <c r="N7" s="46" t="s">
        <v>67</v>
      </c>
      <c r="O7" s="46">
        <v>250</v>
      </c>
      <c r="P7" s="46">
        <v>1686</v>
      </c>
      <c r="Q7" s="46">
        <v>1016</v>
      </c>
      <c r="R7" s="46">
        <v>40</v>
      </c>
      <c r="S7" s="48">
        <f>O7/(P7*Q7/1000^2)</f>
        <v>145.94483518741652</v>
      </c>
      <c r="T7" s="46"/>
      <c r="V7" s="46">
        <v>28</v>
      </c>
      <c r="W7" s="46" t="s">
        <v>93</v>
      </c>
      <c r="X7" s="49">
        <f t="shared" si="1"/>
        <v>0</v>
      </c>
      <c r="AM7" s="55">
        <v>2019</v>
      </c>
      <c r="AN7" s="55" t="s">
        <v>183</v>
      </c>
      <c r="AO7" s="55">
        <v>1</v>
      </c>
      <c r="AP7" s="55">
        <v>5</v>
      </c>
      <c r="AQ7" s="55">
        <v>0</v>
      </c>
      <c r="AR7" s="55">
        <v>28500</v>
      </c>
      <c r="AS7" s="78">
        <f t="shared" si="0"/>
        <v>0</v>
      </c>
      <c r="AT7" s="60">
        <v>4</v>
      </c>
      <c r="AU7" s="67">
        <v>0</v>
      </c>
      <c r="AV7" s="39">
        <v>0</v>
      </c>
      <c r="AW7" s="39">
        <v>0</v>
      </c>
      <c r="AX7" s="39">
        <v>0</v>
      </c>
      <c r="AY7" s="39">
        <v>0</v>
      </c>
      <c r="AZ7" s="39">
        <v>9.5206830604171159E-5</v>
      </c>
      <c r="BA7" s="39">
        <v>0</v>
      </c>
      <c r="BB7" s="39">
        <v>0</v>
      </c>
      <c r="BC7" s="39">
        <v>0</v>
      </c>
      <c r="BD7" s="39">
        <v>0</v>
      </c>
      <c r="BE7" s="39">
        <v>0</v>
      </c>
      <c r="BF7" s="39">
        <v>0</v>
      </c>
      <c r="BG7" s="68">
        <v>1.0270487911635725E-5</v>
      </c>
    </row>
    <row r="8" spans="2:59" ht="15" thickBot="1">
      <c r="B8" s="265" t="s">
        <v>62</v>
      </c>
      <c r="C8" s="321">
        <v>410</v>
      </c>
      <c r="H8" s="46"/>
      <c r="I8" s="46"/>
      <c r="J8" s="46"/>
      <c r="K8" s="46"/>
      <c r="L8" s="46" t="s">
        <v>63</v>
      </c>
      <c r="M8" s="46" t="s">
        <v>64</v>
      </c>
      <c r="N8" s="46" t="s">
        <v>69</v>
      </c>
      <c r="O8" s="46">
        <v>275</v>
      </c>
      <c r="P8" s="46">
        <v>1686</v>
      </c>
      <c r="Q8" s="46">
        <v>1016</v>
      </c>
      <c r="R8" s="46">
        <v>40</v>
      </c>
      <c r="S8" s="48">
        <f t="shared" ref="S8:S21" si="2">O8/(P8*Q8/1000^2)</f>
        <v>160.53931870615816</v>
      </c>
      <c r="T8" s="46"/>
      <c r="V8" s="46">
        <v>31</v>
      </c>
      <c r="W8" s="46" t="s">
        <v>94</v>
      </c>
      <c r="X8" s="49">
        <f t="shared" si="1"/>
        <v>0</v>
      </c>
      <c r="AM8" s="54">
        <v>2019</v>
      </c>
      <c r="AN8" s="54" t="s">
        <v>183</v>
      </c>
      <c r="AO8" s="54">
        <v>1</v>
      </c>
      <c r="AP8" s="54">
        <v>6</v>
      </c>
      <c r="AQ8" s="54">
        <v>0</v>
      </c>
      <c r="AR8" s="55">
        <v>28500</v>
      </c>
      <c r="AS8" s="78">
        <f t="shared" si="0"/>
        <v>0</v>
      </c>
      <c r="AT8" s="60">
        <v>5</v>
      </c>
      <c r="AU8" s="67">
        <v>0</v>
      </c>
      <c r="AV8" s="39">
        <v>0</v>
      </c>
      <c r="AW8" s="39">
        <v>0</v>
      </c>
      <c r="AX8" s="39">
        <v>1.2770645948737575E-4</v>
      </c>
      <c r="AY8" s="39">
        <v>3.9061396738170515E-3</v>
      </c>
      <c r="AZ8" s="39">
        <v>6.9295005890008836E-3</v>
      </c>
      <c r="BA8" s="39">
        <v>4.6153496463988966E-3</v>
      </c>
      <c r="BB8" s="39">
        <v>7.5923442933136843E-4</v>
      </c>
      <c r="BC8" s="39">
        <v>0</v>
      </c>
      <c r="BD8" s="39">
        <v>0</v>
      </c>
      <c r="BE8" s="39">
        <v>0</v>
      </c>
      <c r="BF8" s="39">
        <v>0</v>
      </c>
      <c r="BG8" s="68">
        <v>1.8829506171004571E-3</v>
      </c>
    </row>
    <row r="9" spans="2:59">
      <c r="B9" s="323" t="s">
        <v>66</v>
      </c>
      <c r="C9" s="338">
        <v>1.1339999999999999</v>
      </c>
      <c r="H9" s="46"/>
      <c r="I9" s="46"/>
      <c r="J9" s="46"/>
      <c r="K9" s="46"/>
      <c r="L9" s="46" t="s">
        <v>63</v>
      </c>
      <c r="M9" s="46" t="s">
        <v>71</v>
      </c>
      <c r="N9" s="46" t="s">
        <v>72</v>
      </c>
      <c r="O9" s="46">
        <v>271</v>
      </c>
      <c r="P9" s="46">
        <v>1686</v>
      </c>
      <c r="Q9" s="46">
        <v>1016</v>
      </c>
      <c r="R9" s="46">
        <v>40</v>
      </c>
      <c r="S9" s="48">
        <f t="shared" si="2"/>
        <v>158.2042013431595</v>
      </c>
      <c r="T9" s="46"/>
      <c r="V9" s="46">
        <v>30</v>
      </c>
      <c r="W9" s="46" t="s">
        <v>95</v>
      </c>
      <c r="X9" s="49">
        <f t="shared" si="1"/>
        <v>0</v>
      </c>
      <c r="AM9" s="55">
        <v>2019</v>
      </c>
      <c r="AN9" s="55" t="s">
        <v>183</v>
      </c>
      <c r="AO9" s="55">
        <v>1</v>
      </c>
      <c r="AP9" s="55">
        <v>7</v>
      </c>
      <c r="AQ9" s="55">
        <v>0</v>
      </c>
      <c r="AR9" s="55">
        <v>28500</v>
      </c>
      <c r="AS9" s="78">
        <f t="shared" si="0"/>
        <v>0</v>
      </c>
      <c r="AT9" s="60">
        <v>6</v>
      </c>
      <c r="AU9" s="67">
        <v>0</v>
      </c>
      <c r="AV9" s="39">
        <v>0</v>
      </c>
      <c r="AW9" s="39">
        <v>1.2005846316108098E-4</v>
      </c>
      <c r="AX9" s="39">
        <v>7.6874866212742346E-3</v>
      </c>
      <c r="AY9" s="39">
        <v>1.6798034083584747E-2</v>
      </c>
      <c r="AZ9" s="39">
        <v>1.8784170071221063E-2</v>
      </c>
      <c r="BA9" s="39">
        <v>1.5372318695713236E-2</v>
      </c>
      <c r="BB9" s="39">
        <v>1.0409548052494893E-2</v>
      </c>
      <c r="BC9" s="39">
        <v>3.581832150821221E-3</v>
      </c>
      <c r="BD9" s="39">
        <v>0</v>
      </c>
      <c r="BE9" s="39">
        <v>0</v>
      </c>
      <c r="BF9" s="39">
        <v>0</v>
      </c>
      <c r="BG9" s="68">
        <v>8.3910071793401042E-3</v>
      </c>
    </row>
    <row r="10" spans="2:59">
      <c r="B10" s="323" t="s">
        <v>68</v>
      </c>
      <c r="C10" s="339">
        <v>1.722</v>
      </c>
      <c r="H10" s="46"/>
      <c r="I10" s="46"/>
      <c r="J10" s="46"/>
      <c r="K10" s="46"/>
      <c r="L10" s="46" t="s">
        <v>63</v>
      </c>
      <c r="M10" s="46" t="s">
        <v>71</v>
      </c>
      <c r="N10" s="46" t="s">
        <v>74</v>
      </c>
      <c r="O10" s="46">
        <v>267</v>
      </c>
      <c r="P10" s="46">
        <v>1700</v>
      </c>
      <c r="Q10" s="46">
        <v>1016</v>
      </c>
      <c r="R10" s="46">
        <v>40</v>
      </c>
      <c r="S10" s="48">
        <f t="shared" si="2"/>
        <v>154.585456229736</v>
      </c>
      <c r="T10" s="46"/>
      <c r="V10" s="46">
        <v>31</v>
      </c>
      <c r="W10" s="46" t="s">
        <v>96</v>
      </c>
      <c r="X10" s="49">
        <f t="shared" si="1"/>
        <v>0</v>
      </c>
      <c r="AM10" s="54">
        <v>2019</v>
      </c>
      <c r="AN10" s="54" t="s">
        <v>183</v>
      </c>
      <c r="AO10" s="54">
        <v>1</v>
      </c>
      <c r="AP10" s="54">
        <v>8</v>
      </c>
      <c r="AQ10" s="54">
        <v>0</v>
      </c>
      <c r="AR10" s="55">
        <v>28500</v>
      </c>
      <c r="AS10" s="78">
        <f t="shared" si="0"/>
        <v>0</v>
      </c>
      <c r="AT10" s="60">
        <v>7</v>
      </c>
      <c r="AU10" s="67">
        <v>0</v>
      </c>
      <c r="AV10" s="39">
        <v>0</v>
      </c>
      <c r="AW10" s="39">
        <v>2.1881982530712652E-2</v>
      </c>
      <c r="AX10" s="39">
        <v>3.8403178913258361E-2</v>
      </c>
      <c r="AY10" s="39">
        <v>4.8167924064602588E-2</v>
      </c>
      <c r="AZ10" s="39">
        <v>4.9452595125771499E-2</v>
      </c>
      <c r="BA10" s="39">
        <v>4.4549542441729914E-2</v>
      </c>
      <c r="BB10" s="39">
        <v>3.9979044657022782E-2</v>
      </c>
      <c r="BC10" s="39">
        <v>3.5478957905569174E-2</v>
      </c>
      <c r="BD10" s="39">
        <v>2.27814601582082E-2</v>
      </c>
      <c r="BE10" s="39">
        <v>0</v>
      </c>
      <c r="BF10" s="39">
        <v>0</v>
      </c>
      <c r="BG10" s="68">
        <v>3.216358692123597E-2</v>
      </c>
    </row>
    <row r="11" spans="2:59">
      <c r="B11" s="323" t="s">
        <v>70</v>
      </c>
      <c r="C11" s="339">
        <f>ROUNDUP(1000*C7/C8,0)</f>
        <v>0</v>
      </c>
      <c r="H11" s="46"/>
      <c r="I11" s="46"/>
      <c r="J11" s="46"/>
      <c r="K11" s="46"/>
      <c r="L11" s="46" t="s">
        <v>63</v>
      </c>
      <c r="M11" s="46" t="s">
        <v>71</v>
      </c>
      <c r="N11" s="46" t="s">
        <v>76</v>
      </c>
      <c r="O11" s="46">
        <v>264</v>
      </c>
      <c r="P11" s="46">
        <v>1700</v>
      </c>
      <c r="Q11" s="46">
        <v>1016</v>
      </c>
      <c r="R11" s="46">
        <v>40</v>
      </c>
      <c r="S11" s="48">
        <f t="shared" si="2"/>
        <v>152.84854099119963</v>
      </c>
      <c r="T11" s="46"/>
      <c r="V11" s="46">
        <v>30</v>
      </c>
      <c r="W11" s="46" t="s">
        <v>97</v>
      </c>
      <c r="X11" s="49">
        <f t="shared" si="1"/>
        <v>0</v>
      </c>
      <c r="AM11" s="55">
        <v>2019</v>
      </c>
      <c r="AN11" s="55" t="s">
        <v>183</v>
      </c>
      <c r="AO11" s="55">
        <v>1</v>
      </c>
      <c r="AP11" s="55">
        <v>9</v>
      </c>
      <c r="AQ11" s="55">
        <v>983</v>
      </c>
      <c r="AR11" s="55">
        <v>28500</v>
      </c>
      <c r="AS11" s="78">
        <f t="shared" si="0"/>
        <v>3.4491228070175441E-2</v>
      </c>
      <c r="AT11" s="60">
        <v>8</v>
      </c>
      <c r="AU11" s="67">
        <v>5.3942168391103598E-4</v>
      </c>
      <c r="AV11" s="39">
        <v>4.5766166926166654E-2</v>
      </c>
      <c r="AW11" s="39">
        <v>6.7167503787230146E-2</v>
      </c>
      <c r="AX11" s="39">
        <v>7.0565616253882302E-2</v>
      </c>
      <c r="AY11" s="39">
        <v>7.8873951214056104E-2</v>
      </c>
      <c r="AZ11" s="39">
        <v>8.011358080286278E-2</v>
      </c>
      <c r="BA11" s="39">
        <v>7.4813729366350001E-2</v>
      </c>
      <c r="BB11" s="39">
        <v>7.3969262654972931E-2</v>
      </c>
      <c r="BC11" s="39">
        <v>7.9724644745347059E-2</v>
      </c>
      <c r="BD11" s="39">
        <v>8.2914273255821916E-2</v>
      </c>
      <c r="BE11" s="39">
        <v>3.7834175267160784E-2</v>
      </c>
      <c r="BF11" s="39">
        <v>4.0699380550936361E-4</v>
      </c>
      <c r="BG11" s="68">
        <v>6.6366932636120299E-2</v>
      </c>
    </row>
    <row r="12" spans="2:59">
      <c r="B12" s="323" t="s">
        <v>73</v>
      </c>
      <c r="C12" s="340">
        <v>10</v>
      </c>
      <c r="H12" s="46"/>
      <c r="I12" s="46"/>
      <c r="J12" s="46"/>
      <c r="K12" s="46"/>
      <c r="L12" s="46" t="s">
        <v>78</v>
      </c>
      <c r="M12" s="46" t="s">
        <v>79</v>
      </c>
      <c r="N12" s="46" t="s">
        <v>80</v>
      </c>
      <c r="O12" s="46">
        <v>251</v>
      </c>
      <c r="P12" s="46">
        <v>1968</v>
      </c>
      <c r="Q12" s="46">
        <v>992</v>
      </c>
      <c r="R12" s="46">
        <v>58</v>
      </c>
      <c r="S12" s="48">
        <f t="shared" si="2"/>
        <v>128.56920403881458</v>
      </c>
      <c r="T12" s="46"/>
      <c r="V12" s="46">
        <v>31</v>
      </c>
      <c r="W12" s="46" t="s">
        <v>98</v>
      </c>
      <c r="X12" s="49">
        <f t="shared" si="1"/>
        <v>0</v>
      </c>
      <c r="AM12" s="54">
        <v>2019</v>
      </c>
      <c r="AN12" s="54" t="s">
        <v>183</v>
      </c>
      <c r="AO12" s="54">
        <v>1</v>
      </c>
      <c r="AP12" s="54">
        <v>10</v>
      </c>
      <c r="AQ12" s="54">
        <v>7230.5</v>
      </c>
      <c r="AR12" s="55">
        <v>28500</v>
      </c>
      <c r="AS12" s="78">
        <f t="shared" si="0"/>
        <v>0.25370175438596493</v>
      </c>
      <c r="AT12" s="60">
        <v>9</v>
      </c>
      <c r="AU12" s="67">
        <v>7.8964445806101485E-2</v>
      </c>
      <c r="AV12" s="39">
        <v>9.9943410827530346E-2</v>
      </c>
      <c r="AW12" s="39">
        <v>0.10440286039028161</v>
      </c>
      <c r="AX12" s="39">
        <v>9.9910326168969915E-2</v>
      </c>
      <c r="AY12" s="39">
        <v>0.1055537335451736</v>
      </c>
      <c r="AZ12" s="39">
        <v>9.9781187697901425E-2</v>
      </c>
      <c r="BA12" s="39">
        <v>0.1012632078151522</v>
      </c>
      <c r="BB12" s="39">
        <v>9.762193915682349E-2</v>
      </c>
      <c r="BC12" s="39">
        <v>0.10618574858996935</v>
      </c>
      <c r="BD12" s="39">
        <v>0.12532099742710898</v>
      </c>
      <c r="BE12" s="39">
        <v>0.10527486913421837</v>
      </c>
      <c r="BF12" s="39">
        <v>8.9030082107444383E-2</v>
      </c>
      <c r="BG12" s="68">
        <v>0.10182381134781847</v>
      </c>
    </row>
    <row r="13" spans="2:59">
      <c r="B13" s="323" t="s">
        <v>75</v>
      </c>
      <c r="C13" s="339">
        <f>C11/C12</f>
        <v>0</v>
      </c>
      <c r="H13" s="46"/>
      <c r="I13" s="46"/>
      <c r="J13" s="46"/>
      <c r="K13" s="46"/>
      <c r="L13" s="46" t="s">
        <v>78</v>
      </c>
      <c r="M13" s="46" t="s">
        <v>79</v>
      </c>
      <c r="N13" s="46" t="s">
        <v>82</v>
      </c>
      <c r="O13" s="46">
        <v>254</v>
      </c>
      <c r="P13" s="46">
        <v>1968</v>
      </c>
      <c r="Q13" s="46">
        <v>992</v>
      </c>
      <c r="R13" s="46">
        <v>58</v>
      </c>
      <c r="S13" s="48">
        <f t="shared" si="2"/>
        <v>130.1058877524259</v>
      </c>
      <c r="T13" s="46"/>
      <c r="V13" s="46">
        <v>31</v>
      </c>
      <c r="W13" s="46" t="s">
        <v>99</v>
      </c>
      <c r="X13" s="49">
        <f t="shared" si="1"/>
        <v>0</v>
      </c>
      <c r="AM13" s="55">
        <v>2019</v>
      </c>
      <c r="AN13" s="55" t="s">
        <v>183</v>
      </c>
      <c r="AO13" s="55">
        <v>1</v>
      </c>
      <c r="AP13" s="55">
        <v>11</v>
      </c>
      <c r="AQ13" s="55">
        <v>4909</v>
      </c>
      <c r="AR13" s="55">
        <v>28500</v>
      </c>
      <c r="AS13" s="78">
        <f t="shared" si="0"/>
        <v>0.17224561403508773</v>
      </c>
      <c r="AT13" s="60">
        <v>10</v>
      </c>
      <c r="AU13" s="67">
        <v>0.14023387549493685</v>
      </c>
      <c r="AV13" s="39">
        <v>0.14253133143213828</v>
      </c>
      <c r="AW13" s="39">
        <v>0.12193764363347306</v>
      </c>
      <c r="AX13" s="39">
        <v>0.11376263651925259</v>
      </c>
      <c r="AY13" s="39">
        <v>0.11575072705942564</v>
      </c>
      <c r="AZ13" s="39">
        <v>0.11137621000614328</v>
      </c>
      <c r="BA13" s="39">
        <v>0.1079608657085251</v>
      </c>
      <c r="BB13" s="39">
        <v>0.10923711163890593</v>
      </c>
      <c r="BC13" s="39">
        <v>0.13179204219926327</v>
      </c>
      <c r="BD13" s="39">
        <v>0.14718133947691006</v>
      </c>
      <c r="BE13" s="39">
        <v>0.17822462764702501</v>
      </c>
      <c r="BF13" s="39">
        <v>0.15279136364634513</v>
      </c>
      <c r="BG13" s="68">
        <v>0.12383163458349943</v>
      </c>
    </row>
    <row r="14" spans="2:59">
      <c r="B14" s="323" t="s">
        <v>77</v>
      </c>
      <c r="C14" s="339">
        <f>C12*C9</f>
        <v>11.34</v>
      </c>
      <c r="H14" s="46"/>
      <c r="I14" s="46"/>
      <c r="J14" s="46"/>
      <c r="K14" s="46"/>
      <c r="L14" s="46" t="s">
        <v>78</v>
      </c>
      <c r="M14" s="46" t="s">
        <v>79</v>
      </c>
      <c r="N14" s="46" t="s">
        <v>84</v>
      </c>
      <c r="O14" s="46">
        <v>258</v>
      </c>
      <c r="P14" s="46">
        <v>1968</v>
      </c>
      <c r="Q14" s="46">
        <v>992</v>
      </c>
      <c r="R14" s="46">
        <v>58</v>
      </c>
      <c r="S14" s="48">
        <f t="shared" si="2"/>
        <v>132.15479937057435</v>
      </c>
      <c r="T14" s="46"/>
      <c r="V14" s="46">
        <v>30</v>
      </c>
      <c r="W14" s="46" t="s">
        <v>100</v>
      </c>
      <c r="X14" s="49">
        <f t="shared" si="1"/>
        <v>0</v>
      </c>
      <c r="AM14" s="54">
        <v>2019</v>
      </c>
      <c r="AN14" s="54" t="s">
        <v>183</v>
      </c>
      <c r="AO14" s="54">
        <v>1</v>
      </c>
      <c r="AP14" s="54">
        <v>12</v>
      </c>
      <c r="AQ14" s="54">
        <v>5342</v>
      </c>
      <c r="AR14" s="55">
        <v>28500</v>
      </c>
      <c r="AS14" s="78">
        <f t="shared" si="0"/>
        <v>0.18743859649122807</v>
      </c>
      <c r="AT14" s="60">
        <v>11</v>
      </c>
      <c r="AU14" s="67">
        <v>0.17752157453219758</v>
      </c>
      <c r="AV14" s="39">
        <v>0.15357339885417801</v>
      </c>
      <c r="AW14" s="39">
        <v>0.13536893689792776</v>
      </c>
      <c r="AX14" s="39">
        <v>0.12829886694267092</v>
      </c>
      <c r="AY14" s="39">
        <v>0.12409007794504209</v>
      </c>
      <c r="AZ14" s="39">
        <v>0.1131172823446716</v>
      </c>
      <c r="BA14" s="39">
        <v>0.11423960400589396</v>
      </c>
      <c r="BB14" s="39">
        <v>0.12779424797614508</v>
      </c>
      <c r="BC14" s="39">
        <v>0.13045054162027217</v>
      </c>
      <c r="BD14" s="39">
        <v>0.13627145178746666</v>
      </c>
      <c r="BE14" s="39">
        <v>0.18416148550046088</v>
      </c>
      <c r="BF14" s="39">
        <v>0.21401074303943274</v>
      </c>
      <c r="BG14" s="68">
        <v>0.13483753396288919</v>
      </c>
    </row>
    <row r="15" spans="2:59">
      <c r="B15" s="323" t="s">
        <v>81</v>
      </c>
      <c r="C15" s="339">
        <f>C13*C10</f>
        <v>0</v>
      </c>
      <c r="D15" s="90"/>
      <c r="E15" s="90"/>
      <c r="F15" s="90"/>
      <c r="H15" s="46"/>
      <c r="I15" s="46"/>
      <c r="J15" s="46"/>
      <c r="K15" s="46"/>
      <c r="L15" s="46" t="s">
        <v>78</v>
      </c>
      <c r="M15" s="46" t="s">
        <v>79</v>
      </c>
      <c r="N15" s="46" t="s">
        <v>85</v>
      </c>
      <c r="O15" s="46">
        <v>262</v>
      </c>
      <c r="P15" s="46">
        <v>1968</v>
      </c>
      <c r="Q15" s="46">
        <v>992</v>
      </c>
      <c r="R15" s="46">
        <v>58</v>
      </c>
      <c r="S15" s="48">
        <f t="shared" si="2"/>
        <v>134.2037109887228</v>
      </c>
      <c r="T15" s="46"/>
      <c r="V15" s="46">
        <v>31</v>
      </c>
      <c r="W15" s="46" t="s">
        <v>101</v>
      </c>
      <c r="X15" s="49">
        <f t="shared" si="1"/>
        <v>0</v>
      </c>
      <c r="AM15" s="55">
        <v>2019</v>
      </c>
      <c r="AN15" s="55" t="s">
        <v>183</v>
      </c>
      <c r="AO15" s="55">
        <v>1</v>
      </c>
      <c r="AP15" s="55">
        <v>13</v>
      </c>
      <c r="AQ15" s="55">
        <v>5019.5</v>
      </c>
      <c r="AR15" s="55">
        <v>28500</v>
      </c>
      <c r="AS15" s="78">
        <f t="shared" si="0"/>
        <v>0.17612280701754385</v>
      </c>
      <c r="AT15" s="60">
        <v>12</v>
      </c>
      <c r="AU15" s="67">
        <v>0.19992730650640628</v>
      </c>
      <c r="AV15" s="39">
        <v>0.15439642180078292</v>
      </c>
      <c r="AW15" s="39">
        <v>0.13115486401556822</v>
      </c>
      <c r="AX15" s="39">
        <v>0.13125877060575922</v>
      </c>
      <c r="AY15" s="39">
        <v>0.11896209061499315</v>
      </c>
      <c r="AZ15" s="39">
        <v>0.11555941925381405</v>
      </c>
      <c r="BA15" s="39">
        <v>0.11850364813943512</v>
      </c>
      <c r="BB15" s="39">
        <v>0.13006815255952286</v>
      </c>
      <c r="BC15" s="39">
        <v>0.12351407169799636</v>
      </c>
      <c r="BD15" s="39">
        <v>0.14615107337501151</v>
      </c>
      <c r="BE15" s="39">
        <v>0.17397123750583693</v>
      </c>
      <c r="BF15" s="39">
        <v>0.22271756576281274</v>
      </c>
      <c r="BG15" s="68">
        <v>0.13581701564337259</v>
      </c>
    </row>
    <row r="16" spans="2:59">
      <c r="B16" s="323" t="s">
        <v>83</v>
      </c>
      <c r="C16" s="339">
        <f>C15*C14</f>
        <v>0</v>
      </c>
      <c r="D16" s="90"/>
      <c r="E16" s="90"/>
      <c r="F16" s="90"/>
      <c r="H16" s="46"/>
      <c r="I16" s="46"/>
      <c r="J16" s="46"/>
      <c r="K16" s="46"/>
      <c r="L16" s="46" t="s">
        <v>78</v>
      </c>
      <c r="M16" s="46" t="s">
        <v>86</v>
      </c>
      <c r="N16" s="46" t="s">
        <v>87</v>
      </c>
      <c r="O16" s="46">
        <v>210</v>
      </c>
      <c r="P16" s="46">
        <v>1650</v>
      </c>
      <c r="Q16" s="46">
        <v>992</v>
      </c>
      <c r="R16" s="46">
        <v>35</v>
      </c>
      <c r="S16" s="48">
        <f t="shared" si="2"/>
        <v>128.29912023460409</v>
      </c>
      <c r="T16" s="46"/>
      <c r="V16" s="46">
        <v>30</v>
      </c>
      <c r="W16" s="46" t="s">
        <v>102</v>
      </c>
      <c r="X16" s="49">
        <f t="shared" si="1"/>
        <v>0</v>
      </c>
      <c r="AM16" s="54">
        <v>2019</v>
      </c>
      <c r="AN16" s="54" t="s">
        <v>183</v>
      </c>
      <c r="AO16" s="54">
        <v>1</v>
      </c>
      <c r="AP16" s="54">
        <v>14</v>
      </c>
      <c r="AQ16" s="54">
        <v>1646.5</v>
      </c>
      <c r="AR16" s="55">
        <v>28500</v>
      </c>
      <c r="AS16" s="78">
        <f t="shared" si="0"/>
        <v>5.7771929824561405E-2</v>
      </c>
      <c r="AT16" s="60">
        <v>13</v>
      </c>
      <c r="AU16" s="67">
        <v>0.17875582271847976</v>
      </c>
      <c r="AV16" s="39">
        <v>0.14463645734957314</v>
      </c>
      <c r="AW16" s="39">
        <v>0.13520358317763301</v>
      </c>
      <c r="AX16" s="39">
        <v>0.12560461754281757</v>
      </c>
      <c r="AY16" s="39">
        <v>0.11314168079193096</v>
      </c>
      <c r="AZ16" s="39">
        <v>0.11283763915613547</v>
      </c>
      <c r="BA16" s="39">
        <v>0.10800036548597405</v>
      </c>
      <c r="BB16" s="39">
        <v>0.11403643725909618</v>
      </c>
      <c r="BC16" s="39">
        <v>0.12959976908305992</v>
      </c>
      <c r="BD16" s="39">
        <v>0.13603960325795841</v>
      </c>
      <c r="BE16" s="39">
        <v>0.14615420778031712</v>
      </c>
      <c r="BF16" s="39">
        <v>0.15736823481970502</v>
      </c>
      <c r="BG16" s="68">
        <v>0.12647140047649499</v>
      </c>
    </row>
    <row r="17" spans="1:59" ht="15" thickBot="1">
      <c r="B17" s="323"/>
      <c r="C17" s="341"/>
      <c r="D17" s="90"/>
      <c r="E17" s="90"/>
      <c r="F17" s="90"/>
      <c r="G17" s="90"/>
      <c r="H17" s="46"/>
      <c r="I17" s="46"/>
      <c r="J17" s="46"/>
      <c r="K17" s="46"/>
      <c r="L17" s="46" t="s">
        <v>78</v>
      </c>
      <c r="M17" s="46" t="s">
        <v>86</v>
      </c>
      <c r="N17" s="46" t="s">
        <v>88</v>
      </c>
      <c r="O17" s="46">
        <v>214</v>
      </c>
      <c r="P17" s="46">
        <v>1650</v>
      </c>
      <c r="Q17" s="46">
        <v>992</v>
      </c>
      <c r="R17" s="46">
        <v>35</v>
      </c>
      <c r="S17" s="48">
        <f t="shared" si="2"/>
        <v>130.74291300097752</v>
      </c>
      <c r="T17" s="46"/>
      <c r="V17" s="46">
        <v>31</v>
      </c>
      <c r="W17" s="46" t="s">
        <v>103</v>
      </c>
      <c r="X17" s="49">
        <f t="shared" si="1"/>
        <v>0</v>
      </c>
      <c r="AM17" s="55">
        <v>2019</v>
      </c>
      <c r="AN17" s="55" t="s">
        <v>183</v>
      </c>
      <c r="AO17" s="55">
        <v>1</v>
      </c>
      <c r="AP17" s="55">
        <v>15</v>
      </c>
      <c r="AQ17" s="55">
        <v>1729</v>
      </c>
      <c r="AR17" s="55">
        <v>28500</v>
      </c>
      <c r="AS17" s="78">
        <f t="shared" si="0"/>
        <v>6.0666666666666667E-2</v>
      </c>
      <c r="AT17" s="60">
        <v>14</v>
      </c>
      <c r="AU17" s="67">
        <v>0.14405828182751401</v>
      </c>
      <c r="AV17" s="39">
        <v>0.12151357327993281</v>
      </c>
      <c r="AW17" s="39">
        <v>0.10881623240402909</v>
      </c>
      <c r="AX17" s="39">
        <v>0.10448316396710264</v>
      </c>
      <c r="AY17" s="39">
        <v>9.7776266773795251E-2</v>
      </c>
      <c r="AZ17" s="39">
        <v>9.6426372481286923E-2</v>
      </c>
      <c r="BA17" s="39">
        <v>0.10715183956957815</v>
      </c>
      <c r="BB17" s="39">
        <v>0.10919904017708378</v>
      </c>
      <c r="BC17" s="39">
        <v>0.10452241392698591</v>
      </c>
      <c r="BD17" s="39">
        <v>0.10053476149844551</v>
      </c>
      <c r="BE17" s="39">
        <v>0.11369777053421029</v>
      </c>
      <c r="BF17" s="39">
        <v>0.11555292766040698</v>
      </c>
      <c r="BG17" s="68">
        <v>0.10720155757376675</v>
      </c>
    </row>
    <row r="18" spans="1:59" ht="15" thickBot="1">
      <c r="B18" s="348" t="s">
        <v>122</v>
      </c>
      <c r="C18" s="321">
        <v>1</v>
      </c>
      <c r="D18" s="90"/>
      <c r="E18" s="90"/>
      <c r="F18" s="90"/>
      <c r="G18" s="90"/>
      <c r="H18" s="48"/>
      <c r="I18" s="46"/>
      <c r="J18" s="46"/>
      <c r="K18" s="46"/>
      <c r="L18" s="46" t="s">
        <v>78</v>
      </c>
      <c r="M18" s="46" t="s">
        <v>86</v>
      </c>
      <c r="N18" s="46" t="s">
        <v>89</v>
      </c>
      <c r="O18" s="46">
        <v>218</v>
      </c>
      <c r="P18" s="46">
        <v>1650</v>
      </c>
      <c r="Q18" s="46">
        <v>992</v>
      </c>
      <c r="R18" s="46">
        <v>35</v>
      </c>
      <c r="S18" s="48">
        <f t="shared" si="2"/>
        <v>133.18670576735093</v>
      </c>
      <c r="T18" s="46"/>
      <c r="V18" s="46"/>
      <c r="W18" s="46" t="s">
        <v>27</v>
      </c>
      <c r="X18" s="52">
        <f>SUM(X6:X17)</f>
        <v>0</v>
      </c>
      <c r="AM18" s="54">
        <v>2019</v>
      </c>
      <c r="AN18" s="54" t="s">
        <v>183</v>
      </c>
      <c r="AO18" s="54">
        <v>1</v>
      </c>
      <c r="AP18" s="54">
        <v>16</v>
      </c>
      <c r="AQ18" s="54">
        <v>0</v>
      </c>
      <c r="AR18" s="55">
        <v>28500</v>
      </c>
      <c r="AS18" s="78">
        <f t="shared" si="0"/>
        <v>0</v>
      </c>
      <c r="AT18" s="60">
        <v>15</v>
      </c>
      <c r="AU18" s="67">
        <v>7.9631600676635605E-2</v>
      </c>
      <c r="AV18" s="39">
        <v>9.5148196339774033E-2</v>
      </c>
      <c r="AW18" s="39">
        <v>9.3930544877473446E-2</v>
      </c>
      <c r="AX18" s="39">
        <v>9.00804977417448E-2</v>
      </c>
      <c r="AY18" s="39">
        <v>8.231080611875119E-2</v>
      </c>
      <c r="AZ18" s="39">
        <v>8.5648004608457826E-2</v>
      </c>
      <c r="BA18" s="39">
        <v>8.6977523475753535E-2</v>
      </c>
      <c r="BB18" s="39">
        <v>8.8068070423087452E-2</v>
      </c>
      <c r="BC18" s="39">
        <v>8.729173417706125E-2</v>
      </c>
      <c r="BD18" s="39">
        <v>8.0129907941853609E-2</v>
      </c>
      <c r="BE18" s="39">
        <v>6.0655230415508063E-2</v>
      </c>
      <c r="BF18" s="39">
        <v>4.8122089158343803E-2</v>
      </c>
      <c r="BG18" s="68">
        <v>8.4675371587087642E-2</v>
      </c>
    </row>
    <row r="19" spans="1:59" ht="15" thickBot="1">
      <c r="B19" s="348" t="s">
        <v>181</v>
      </c>
      <c r="C19" s="342">
        <v>40</v>
      </c>
      <c r="D19" s="90"/>
      <c r="E19" s="90"/>
      <c r="F19" s="90"/>
      <c r="G19" s="90"/>
      <c r="H19" s="48"/>
      <c r="I19" s="46"/>
      <c r="J19" s="46"/>
      <c r="K19" s="46"/>
      <c r="L19" s="46" t="s">
        <v>78</v>
      </c>
      <c r="M19" s="46" t="s">
        <v>86</v>
      </c>
      <c r="N19" s="46" t="s">
        <v>90</v>
      </c>
      <c r="O19" s="46">
        <v>221</v>
      </c>
      <c r="P19" s="46">
        <v>1650</v>
      </c>
      <c r="Q19" s="46">
        <v>992</v>
      </c>
      <c r="R19" s="46">
        <v>35</v>
      </c>
      <c r="S19" s="48">
        <f t="shared" si="2"/>
        <v>135.019550342131</v>
      </c>
      <c r="T19" s="46"/>
      <c r="V19" s="46"/>
      <c r="W19" s="46" t="s">
        <v>120</v>
      </c>
      <c r="X19" s="46"/>
      <c r="AM19" s="55">
        <v>2019</v>
      </c>
      <c r="AN19" s="55" t="s">
        <v>183</v>
      </c>
      <c r="AO19" s="55">
        <v>1</v>
      </c>
      <c r="AP19" s="55">
        <v>17</v>
      </c>
      <c r="AQ19" s="55">
        <v>0</v>
      </c>
      <c r="AR19" s="55">
        <v>28500</v>
      </c>
      <c r="AS19" s="78">
        <f t="shared" si="0"/>
        <v>0</v>
      </c>
      <c r="AT19" s="60">
        <v>16</v>
      </c>
      <c r="AU19" s="67">
        <v>3.6767075381728405E-4</v>
      </c>
      <c r="AV19" s="39">
        <v>4.2316141749640927E-2</v>
      </c>
      <c r="AW19" s="39">
        <v>6.1182073969862187E-2</v>
      </c>
      <c r="AX19" s="39">
        <v>6.0420400975007026E-2</v>
      </c>
      <c r="AY19" s="39">
        <v>5.8644401793476492E-2</v>
      </c>
      <c r="AZ19" s="39">
        <v>6.0275556261173556E-2</v>
      </c>
      <c r="BA19" s="39">
        <v>6.5043432697537609E-2</v>
      </c>
      <c r="BB19" s="39">
        <v>6.1611105757751437E-2</v>
      </c>
      <c r="BC19" s="39">
        <v>5.1977041648511399E-2</v>
      </c>
      <c r="BD19" s="39">
        <v>2.2357511160154948E-2</v>
      </c>
      <c r="BE19" s="39">
        <v>2.6396215262662519E-5</v>
      </c>
      <c r="BF19" s="39">
        <v>0</v>
      </c>
      <c r="BG19" s="68">
        <v>4.9794980835751998E-2</v>
      </c>
    </row>
    <row r="20" spans="1:59" ht="15" thickBot="1">
      <c r="A20" s="273"/>
      <c r="B20" s="348" t="s">
        <v>182</v>
      </c>
      <c r="C20" s="342" t="s">
        <v>142</v>
      </c>
      <c r="D20" s="90"/>
      <c r="E20" s="90"/>
      <c r="F20" s="90"/>
      <c r="G20" s="90"/>
      <c r="H20" s="48"/>
      <c r="I20" s="46"/>
      <c r="J20" s="46"/>
      <c r="K20" s="46"/>
      <c r="L20" s="46" t="s">
        <v>78</v>
      </c>
      <c r="M20" s="46" t="s">
        <v>86</v>
      </c>
      <c r="N20" s="46" t="s">
        <v>91</v>
      </c>
      <c r="O20" s="46">
        <v>225</v>
      </c>
      <c r="P20" s="46">
        <v>1650</v>
      </c>
      <c r="Q20" s="46">
        <v>992</v>
      </c>
      <c r="R20" s="46">
        <v>35</v>
      </c>
      <c r="S20" s="48">
        <f t="shared" si="2"/>
        <v>137.4633431085044</v>
      </c>
      <c r="T20" s="46"/>
      <c r="V20" s="46"/>
      <c r="W20" s="46"/>
      <c r="X20" s="46"/>
      <c r="AM20" s="54">
        <v>2019</v>
      </c>
      <c r="AN20" s="54" t="s">
        <v>183</v>
      </c>
      <c r="AO20" s="54">
        <v>1</v>
      </c>
      <c r="AP20" s="54">
        <v>18</v>
      </c>
      <c r="AQ20" s="54">
        <v>0</v>
      </c>
      <c r="AR20" s="55">
        <v>28500</v>
      </c>
      <c r="AS20" s="78">
        <f t="shared" si="0"/>
        <v>0</v>
      </c>
      <c r="AT20" s="60">
        <v>17</v>
      </c>
      <c r="AU20" s="67">
        <v>0</v>
      </c>
      <c r="AV20" s="39">
        <v>1.7490144028290528E-4</v>
      </c>
      <c r="AW20" s="39">
        <v>1.8833715852647547E-2</v>
      </c>
      <c r="AX20" s="39">
        <v>2.6507430832327244E-2</v>
      </c>
      <c r="AY20" s="39">
        <v>2.849853745025244E-2</v>
      </c>
      <c r="AZ20" s="39">
        <v>3.4555005251856452E-2</v>
      </c>
      <c r="BA20" s="39">
        <v>3.6586987408695822E-2</v>
      </c>
      <c r="BB20" s="39">
        <v>3.0832228226848678E-2</v>
      </c>
      <c r="BC20" s="39">
        <v>1.5631603575253658E-2</v>
      </c>
      <c r="BD20" s="39">
        <v>3.1762066106027999E-4</v>
      </c>
      <c r="BE20" s="39">
        <v>0</v>
      </c>
      <c r="BF20" s="39">
        <v>0</v>
      </c>
      <c r="BG20" s="68">
        <v>2.1356742029781297E-2</v>
      </c>
    </row>
    <row r="21" spans="1:59" ht="15" thickBot="1">
      <c r="A21" s="271">
        <v>31</v>
      </c>
      <c r="B21" s="349" t="s">
        <v>38</v>
      </c>
      <c r="C21" s="342" t="s">
        <v>179</v>
      </c>
      <c r="D21" s="90"/>
      <c r="E21" s="90"/>
      <c r="F21" s="90"/>
      <c r="G21" s="90"/>
      <c r="H21" s="48"/>
      <c r="I21" s="46"/>
      <c r="J21" s="46"/>
      <c r="K21" s="46"/>
      <c r="L21" s="46" t="s">
        <v>104</v>
      </c>
      <c r="M21" s="46" t="s">
        <v>105</v>
      </c>
      <c r="N21" s="46" t="s">
        <v>106</v>
      </c>
      <c r="O21" s="46">
        <v>410</v>
      </c>
      <c r="P21" s="46">
        <v>1722</v>
      </c>
      <c r="Q21" s="46">
        <v>1134</v>
      </c>
      <c r="R21" s="46">
        <v>30</v>
      </c>
      <c r="S21" s="48">
        <f t="shared" si="2"/>
        <v>209.9605274208449</v>
      </c>
      <c r="T21" s="46"/>
      <c r="V21" s="46"/>
      <c r="W21" s="46" t="s">
        <v>92</v>
      </c>
      <c r="X21" s="48">
        <f>$X$71*(COS(RADIANS($X$3-$Y$103)))^2+$X$72*COS(RADIANS($X$3-$Y$103))+$X$73</f>
        <v>1.9419270338451833</v>
      </c>
      <c r="AM21" s="55">
        <v>2019</v>
      </c>
      <c r="AN21" s="55" t="s">
        <v>183</v>
      </c>
      <c r="AO21" s="55">
        <v>1</v>
      </c>
      <c r="AP21" s="55">
        <v>19</v>
      </c>
      <c r="AQ21" s="55">
        <v>0</v>
      </c>
      <c r="AR21" s="55">
        <v>28500</v>
      </c>
      <c r="AS21" s="78">
        <f t="shared" si="0"/>
        <v>0</v>
      </c>
      <c r="AT21" s="60">
        <v>18</v>
      </c>
      <c r="AU21" s="67">
        <v>0</v>
      </c>
      <c r="AV21" s="39">
        <v>0</v>
      </c>
      <c r="AW21" s="39">
        <v>0</v>
      </c>
      <c r="AX21" s="39">
        <v>2.8893004564458512E-3</v>
      </c>
      <c r="AY21" s="39">
        <v>6.8373866975349872E-3</v>
      </c>
      <c r="AZ21" s="39">
        <v>1.1213334942188293E-2</v>
      </c>
      <c r="BA21" s="39">
        <v>1.2144969033366464E-2</v>
      </c>
      <c r="BB21" s="39">
        <v>6.2407229829690982E-3</v>
      </c>
      <c r="BC21" s="39">
        <v>2.4959867988937296E-4</v>
      </c>
      <c r="BD21" s="39">
        <v>0</v>
      </c>
      <c r="BE21" s="39">
        <v>0</v>
      </c>
      <c r="BF21" s="39">
        <v>0</v>
      </c>
      <c r="BG21" s="68">
        <v>4.5381454363805996E-3</v>
      </c>
    </row>
    <row r="22" spans="1:59">
      <c r="A22" s="271">
        <v>28</v>
      </c>
      <c r="B22" s="329" t="s">
        <v>331</v>
      </c>
      <c r="C22" s="343"/>
      <c r="D22" s="90"/>
      <c r="E22" s="90"/>
      <c r="F22" s="90"/>
      <c r="G22" s="90"/>
      <c r="H22" s="48"/>
      <c r="I22" s="48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V22" s="46"/>
      <c r="W22" s="46" t="s">
        <v>93</v>
      </c>
      <c r="X22" s="48">
        <f>$X$71*(COS(RADIANS($X$3-$Z$103)))^2+$X$72*COS(RADIANS($X$3-$Z$103))+$X$73</f>
        <v>1.6806906119650757</v>
      </c>
      <c r="AM22" s="54">
        <v>2019</v>
      </c>
      <c r="AN22" s="54" t="s">
        <v>183</v>
      </c>
      <c r="AO22" s="54">
        <v>1</v>
      </c>
      <c r="AP22" s="54">
        <v>20</v>
      </c>
      <c r="AQ22" s="54">
        <v>0</v>
      </c>
      <c r="AR22" s="55">
        <v>28500</v>
      </c>
      <c r="AS22" s="78">
        <f t="shared" si="0"/>
        <v>0</v>
      </c>
      <c r="AT22" s="60">
        <v>19</v>
      </c>
      <c r="AU22" s="67">
        <v>0</v>
      </c>
      <c r="AV22" s="39">
        <v>0</v>
      </c>
      <c r="AW22" s="39">
        <v>0</v>
      </c>
      <c r="AX22" s="39">
        <v>0</v>
      </c>
      <c r="AY22" s="39">
        <v>6.8824217356377212E-4</v>
      </c>
      <c r="AZ22" s="39">
        <v>3.8349345769105622E-3</v>
      </c>
      <c r="BA22" s="39">
        <v>2.7766165098958447E-3</v>
      </c>
      <c r="BB22" s="39">
        <v>1.738540479439574E-4</v>
      </c>
      <c r="BC22" s="39">
        <v>0</v>
      </c>
      <c r="BD22" s="39">
        <v>0</v>
      </c>
      <c r="BE22" s="39">
        <v>0</v>
      </c>
      <c r="BF22" s="39">
        <v>0</v>
      </c>
      <c r="BG22" s="68">
        <v>8.370586814485984E-4</v>
      </c>
    </row>
    <row r="23" spans="1:59">
      <c r="A23" s="271">
        <v>31</v>
      </c>
      <c r="B23" s="328" t="s">
        <v>92</v>
      </c>
      <c r="C23" s="189">
        <f t="shared" ref="C23:C35" si="3">X6</f>
        <v>0</v>
      </c>
      <c r="D23" s="90"/>
      <c r="E23" s="90"/>
      <c r="F23" s="90"/>
      <c r="G23" s="90"/>
      <c r="H23" s="48"/>
      <c r="I23" s="48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V23" s="46"/>
      <c r="W23" s="46" t="s">
        <v>94</v>
      </c>
      <c r="X23" s="48">
        <f>$X$71*(COS(RADIANS($X$3-$AA$103)))^2+$X$72*COS(RADIANS($X$3-$AA$103))+$X$73</f>
        <v>1.3895602488530998</v>
      </c>
      <c r="AM23" s="55">
        <v>2019</v>
      </c>
      <c r="AN23" s="55" t="s">
        <v>183</v>
      </c>
      <c r="AO23" s="55">
        <v>1</v>
      </c>
      <c r="AP23" s="55">
        <v>21</v>
      </c>
      <c r="AQ23" s="55">
        <v>0</v>
      </c>
      <c r="AR23" s="55">
        <v>28500</v>
      </c>
      <c r="AS23" s="78">
        <f t="shared" si="0"/>
        <v>0</v>
      </c>
      <c r="AT23" s="60">
        <v>20</v>
      </c>
      <c r="AU23" s="67">
        <v>0</v>
      </c>
      <c r="AV23" s="39">
        <v>0</v>
      </c>
      <c r="AW23" s="39">
        <v>0</v>
      </c>
      <c r="AX23" s="39">
        <v>0</v>
      </c>
      <c r="AY23" s="39">
        <v>0</v>
      </c>
      <c r="AZ23" s="39">
        <v>0</v>
      </c>
      <c r="BA23" s="39">
        <v>0</v>
      </c>
      <c r="BB23" s="39">
        <v>0</v>
      </c>
      <c r="BC23" s="39">
        <v>0</v>
      </c>
      <c r="BD23" s="39">
        <v>0</v>
      </c>
      <c r="BE23" s="39">
        <v>0</v>
      </c>
      <c r="BF23" s="39">
        <v>0</v>
      </c>
      <c r="BG23" s="68">
        <v>0</v>
      </c>
    </row>
    <row r="24" spans="1:59">
      <c r="A24" s="271">
        <v>30</v>
      </c>
      <c r="B24" s="328" t="s">
        <v>93</v>
      </c>
      <c r="C24" s="189">
        <f t="shared" si="3"/>
        <v>0</v>
      </c>
      <c r="D24" s="90"/>
      <c r="E24" s="90"/>
      <c r="F24" s="90"/>
      <c r="G24" s="90"/>
      <c r="H24" s="48"/>
      <c r="I24" s="48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V24" s="46"/>
      <c r="W24" s="46" t="s">
        <v>95</v>
      </c>
      <c r="X24" s="48">
        <f>$X$71*(COS(RADIANS($X$3-$AB$103)))^2+$X$72*COS(RADIANS($X$3-$AB$103))+$X$73</f>
        <v>1.1693548928021833</v>
      </c>
      <c r="AM24" s="54">
        <v>2019</v>
      </c>
      <c r="AN24" s="54" t="s">
        <v>183</v>
      </c>
      <c r="AO24" s="54">
        <v>1</v>
      </c>
      <c r="AP24" s="54">
        <v>22</v>
      </c>
      <c r="AQ24" s="54">
        <v>0</v>
      </c>
      <c r="AR24" s="55">
        <v>28500</v>
      </c>
      <c r="AS24" s="78">
        <f t="shared" si="0"/>
        <v>0</v>
      </c>
      <c r="AT24" s="60">
        <v>21</v>
      </c>
      <c r="AU24" s="67">
        <v>0</v>
      </c>
      <c r="AV24" s="39">
        <v>0</v>
      </c>
      <c r="AW24" s="39">
        <v>0</v>
      </c>
      <c r="AX24" s="39">
        <v>0</v>
      </c>
      <c r="AY24" s="39">
        <v>0</v>
      </c>
      <c r="AZ24" s="39">
        <v>0</v>
      </c>
      <c r="BA24" s="39">
        <v>0</v>
      </c>
      <c r="BB24" s="39">
        <v>0</v>
      </c>
      <c r="BC24" s="39">
        <v>0</v>
      </c>
      <c r="BD24" s="39">
        <v>0</v>
      </c>
      <c r="BE24" s="39">
        <v>0</v>
      </c>
      <c r="BF24" s="39">
        <v>0</v>
      </c>
      <c r="BG24" s="68">
        <v>0</v>
      </c>
    </row>
    <row r="25" spans="1:59">
      <c r="A25" s="271">
        <v>31</v>
      </c>
      <c r="B25" s="328" t="s">
        <v>94</v>
      </c>
      <c r="C25" s="189">
        <f t="shared" si="3"/>
        <v>0</v>
      </c>
      <c r="D25" s="90"/>
      <c r="E25" s="90"/>
      <c r="F25" s="90"/>
      <c r="G25" s="90"/>
      <c r="H25" s="48"/>
      <c r="I25" s="48"/>
      <c r="J25" s="46"/>
      <c r="K25" s="46"/>
      <c r="L25" s="46"/>
      <c r="M25" s="46"/>
      <c r="N25" s="46"/>
      <c r="O25" s="46"/>
      <c r="P25" s="46"/>
      <c r="Q25" s="46"/>
      <c r="R25" s="46"/>
      <c r="S25" s="46"/>
      <c r="T25" s="46"/>
      <c r="V25" s="46"/>
      <c r="W25" s="46" t="s">
        <v>96</v>
      </c>
      <c r="X25" s="48">
        <f>$X$71*(COS(RADIANS($X$3-$AC$103)))^2+$X$72*COS(RADIANS($X$3-$AC$103))+$X$73</f>
        <v>1.0518886293946603</v>
      </c>
      <c r="AM25" s="55">
        <v>2019</v>
      </c>
      <c r="AN25" s="55" t="s">
        <v>183</v>
      </c>
      <c r="AO25" s="55">
        <v>1</v>
      </c>
      <c r="AP25" s="55">
        <v>23</v>
      </c>
      <c r="AQ25" s="55">
        <v>0</v>
      </c>
      <c r="AR25" s="55">
        <v>28500</v>
      </c>
      <c r="AS25" s="78">
        <f t="shared" si="0"/>
        <v>0</v>
      </c>
      <c r="AT25" s="60">
        <v>22</v>
      </c>
      <c r="AU25" s="67">
        <v>0</v>
      </c>
      <c r="AV25" s="39">
        <v>0</v>
      </c>
      <c r="AW25" s="39">
        <v>0</v>
      </c>
      <c r="AX25" s="39">
        <v>0</v>
      </c>
      <c r="AY25" s="39">
        <v>0</v>
      </c>
      <c r="AZ25" s="39">
        <v>0</v>
      </c>
      <c r="BA25" s="39">
        <v>0</v>
      </c>
      <c r="BB25" s="39">
        <v>0</v>
      </c>
      <c r="BC25" s="39">
        <v>0</v>
      </c>
      <c r="BD25" s="39">
        <v>0</v>
      </c>
      <c r="BE25" s="39">
        <v>0</v>
      </c>
      <c r="BF25" s="39">
        <v>0</v>
      </c>
      <c r="BG25" s="68">
        <v>0</v>
      </c>
    </row>
    <row r="26" spans="1:59">
      <c r="A26" s="271">
        <v>30</v>
      </c>
      <c r="B26" s="328" t="s">
        <v>95</v>
      </c>
      <c r="C26" s="189">
        <f t="shared" si="3"/>
        <v>0</v>
      </c>
      <c r="D26" s="90"/>
      <c r="E26" s="90"/>
      <c r="F26" s="90"/>
      <c r="G26" s="90"/>
      <c r="H26" s="48"/>
      <c r="I26" s="48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V26" s="46"/>
      <c r="W26" s="46" t="s">
        <v>97</v>
      </c>
      <c r="X26" s="48">
        <f>$X$71*(COS(RADIANS($X$3-$AD$103)))^2+$X$72*COS(RADIANS($X$3-$AD$103))+$X$73</f>
        <v>1.0096493795059664</v>
      </c>
      <c r="AM26" s="54">
        <v>2019</v>
      </c>
      <c r="AN26" s="54" t="s">
        <v>183</v>
      </c>
      <c r="AO26" s="54">
        <v>2</v>
      </c>
      <c r="AP26" s="54">
        <v>24</v>
      </c>
      <c r="AQ26" s="54">
        <v>0</v>
      </c>
      <c r="AR26" s="55">
        <v>28500</v>
      </c>
      <c r="AS26" s="78">
        <f t="shared" si="0"/>
        <v>0</v>
      </c>
      <c r="AT26" s="60">
        <v>23</v>
      </c>
      <c r="AU26" s="67">
        <v>0</v>
      </c>
      <c r="AV26" s="39">
        <v>0</v>
      </c>
      <c r="AW26" s="39">
        <v>0</v>
      </c>
      <c r="AX26" s="39">
        <v>0</v>
      </c>
      <c r="AY26" s="39">
        <v>0</v>
      </c>
      <c r="AZ26" s="39">
        <v>0</v>
      </c>
      <c r="BA26" s="39">
        <v>0</v>
      </c>
      <c r="BB26" s="39">
        <v>0</v>
      </c>
      <c r="BC26" s="39">
        <v>0</v>
      </c>
      <c r="BD26" s="39">
        <v>0</v>
      </c>
      <c r="BE26" s="39">
        <v>0</v>
      </c>
      <c r="BF26" s="39">
        <v>0</v>
      </c>
      <c r="BG26" s="68">
        <v>0</v>
      </c>
    </row>
    <row r="27" spans="1:59">
      <c r="A27" s="271">
        <v>31</v>
      </c>
      <c r="B27" s="328" t="s">
        <v>96</v>
      </c>
      <c r="C27" s="189">
        <f t="shared" si="3"/>
        <v>0</v>
      </c>
      <c r="D27" s="90"/>
      <c r="E27" s="90"/>
      <c r="F27" s="90"/>
      <c r="G27" s="90"/>
      <c r="H27" s="48"/>
      <c r="I27" s="48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V27" s="46"/>
      <c r="W27" s="46" t="s">
        <v>98</v>
      </c>
      <c r="X27" s="48">
        <f>$X$71*(COS(RADIANS($X$3-$AE$103)))^2+$X$72*COS(RADIANS($X$3-$AE$103))+$X$73</f>
        <v>1.027308223406425</v>
      </c>
      <c r="AM27" s="55">
        <v>2019</v>
      </c>
      <c r="AN27" s="55" t="s">
        <v>183</v>
      </c>
      <c r="AO27" s="55">
        <v>2</v>
      </c>
      <c r="AP27" s="55">
        <v>1</v>
      </c>
      <c r="AQ27" s="55">
        <v>0</v>
      </c>
      <c r="AR27" s="55">
        <v>28500</v>
      </c>
      <c r="AS27" s="78">
        <f t="shared" si="0"/>
        <v>0</v>
      </c>
      <c r="AT27" s="60">
        <v>24</v>
      </c>
      <c r="AU27" s="67">
        <v>0</v>
      </c>
      <c r="AV27" s="39">
        <v>0</v>
      </c>
      <c r="AW27" s="39">
        <v>0</v>
      </c>
      <c r="AX27" s="39">
        <v>0</v>
      </c>
      <c r="AY27" s="39">
        <v>0</v>
      </c>
      <c r="AZ27" s="39">
        <v>0</v>
      </c>
      <c r="BA27" s="39">
        <v>0</v>
      </c>
      <c r="BB27" s="39">
        <v>0</v>
      </c>
      <c r="BC27" s="39">
        <v>0</v>
      </c>
      <c r="BD27" s="39">
        <v>0</v>
      </c>
      <c r="BE27" s="39">
        <v>0</v>
      </c>
      <c r="BF27" s="39">
        <v>0</v>
      </c>
      <c r="BG27" s="68">
        <v>0</v>
      </c>
    </row>
    <row r="28" spans="1:59">
      <c r="A28" s="271">
        <v>31</v>
      </c>
      <c r="B28" s="328" t="s">
        <v>97</v>
      </c>
      <c r="C28" s="189">
        <f t="shared" si="3"/>
        <v>0</v>
      </c>
      <c r="D28" s="90"/>
      <c r="E28" s="90"/>
      <c r="F28" s="90"/>
      <c r="G28" s="90"/>
      <c r="H28" s="48"/>
      <c r="I28" s="48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V28" s="46"/>
      <c r="W28" s="46" t="s">
        <v>99</v>
      </c>
      <c r="X28" s="48">
        <f>$X$71*(COS(RADIANS($X$3-$AF$103)))^2+$X$72*COS(RADIANS($X$3-$AF$103))+$X$73</f>
        <v>1.1132625484685339</v>
      </c>
      <c r="AM28" s="54">
        <v>2019</v>
      </c>
      <c r="AN28" s="54" t="s">
        <v>183</v>
      </c>
      <c r="AO28" s="54">
        <v>2</v>
      </c>
      <c r="AP28" s="54">
        <v>2</v>
      </c>
      <c r="AQ28" s="54">
        <v>0</v>
      </c>
      <c r="AR28" s="55">
        <v>28500</v>
      </c>
      <c r="AS28" s="78">
        <f t="shared" si="0"/>
        <v>0</v>
      </c>
      <c r="AT28" s="61" t="s">
        <v>198</v>
      </c>
      <c r="AU28" s="69">
        <v>1</v>
      </c>
      <c r="AV28" s="70">
        <v>1</v>
      </c>
      <c r="AW28" s="70">
        <v>1</v>
      </c>
      <c r="AX28" s="70">
        <v>1</v>
      </c>
      <c r="AY28" s="70">
        <v>1</v>
      </c>
      <c r="AZ28" s="70">
        <v>1</v>
      </c>
      <c r="BA28" s="70">
        <v>1</v>
      </c>
      <c r="BB28" s="70">
        <v>1</v>
      </c>
      <c r="BC28" s="70">
        <v>1</v>
      </c>
      <c r="BD28" s="70">
        <v>1</v>
      </c>
      <c r="BE28" s="70">
        <v>1</v>
      </c>
      <c r="BF28" s="70">
        <v>1</v>
      </c>
      <c r="BG28" s="71">
        <v>1</v>
      </c>
    </row>
    <row r="29" spans="1:59">
      <c r="A29" s="271">
        <v>30</v>
      </c>
      <c r="B29" s="328" t="s">
        <v>98</v>
      </c>
      <c r="C29" s="189">
        <f t="shared" si="3"/>
        <v>0</v>
      </c>
      <c r="D29" s="90"/>
      <c r="E29" s="90"/>
      <c r="F29" s="90"/>
      <c r="G29" s="90"/>
      <c r="H29" s="48"/>
      <c r="I29" s="48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V29" s="46"/>
      <c r="W29" s="46" t="s">
        <v>100</v>
      </c>
      <c r="X29" s="48">
        <f>$X$71*(COS(RADIANS($X$3-$AG$103)))^2+$X$72*COS(RADIANS($X$3-$AG$103))+$X$73</f>
        <v>1.2901676473785355</v>
      </c>
      <c r="AM29" s="55">
        <v>2019</v>
      </c>
      <c r="AN29" s="55" t="s">
        <v>183</v>
      </c>
      <c r="AO29" s="55">
        <v>2</v>
      </c>
      <c r="AP29" s="55">
        <v>3</v>
      </c>
      <c r="AQ29" s="55">
        <v>0</v>
      </c>
      <c r="AR29" s="55">
        <v>28500</v>
      </c>
      <c r="AS29" s="78">
        <f t="shared" si="0"/>
        <v>0</v>
      </c>
    </row>
    <row r="30" spans="1:59">
      <c r="A30" s="271">
        <v>31</v>
      </c>
      <c r="B30" s="328" t="s">
        <v>99</v>
      </c>
      <c r="C30" s="189">
        <f t="shared" si="3"/>
        <v>0</v>
      </c>
      <c r="D30" s="90"/>
      <c r="E30" s="90"/>
      <c r="F30" s="90"/>
      <c r="G30" s="90"/>
      <c r="H30" s="48"/>
      <c r="I30" s="48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V30" s="46"/>
      <c r="W30" s="46" t="s">
        <v>101</v>
      </c>
      <c r="X30" s="48">
        <f>$X$71*(COS(RADIANS($X$3-$AH$103)))^2+$X$72*COS(RADIANS($X$3-$AH$103))+$X$73</f>
        <v>1.5623521581321422</v>
      </c>
      <c r="AM30" s="54">
        <v>2019</v>
      </c>
      <c r="AN30" s="54" t="s">
        <v>183</v>
      </c>
      <c r="AO30" s="54">
        <v>2</v>
      </c>
      <c r="AP30" s="54">
        <v>4</v>
      </c>
      <c r="AQ30" s="54">
        <v>0</v>
      </c>
      <c r="AR30" s="55">
        <v>28500</v>
      </c>
      <c r="AS30" s="78">
        <f t="shared" si="0"/>
        <v>0</v>
      </c>
    </row>
    <row r="31" spans="1:59">
      <c r="A31" s="271">
        <v>30</v>
      </c>
      <c r="B31" s="328" t="s">
        <v>100</v>
      </c>
      <c r="C31" s="189">
        <f t="shared" si="3"/>
        <v>0</v>
      </c>
      <c r="D31" s="90"/>
      <c r="E31" s="90"/>
      <c r="F31" s="90"/>
      <c r="G31" s="90"/>
      <c r="H31" s="48"/>
      <c r="I31" s="48"/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46"/>
      <c r="V31" s="46"/>
      <c r="W31" s="46" t="s">
        <v>102</v>
      </c>
      <c r="X31" s="48">
        <f>$X$71*(COS(RADIANS($X$3-$AI$103)))^2+$X$72*COS(RADIANS($X$3-$AI$103))+$X$73</f>
        <v>1.8613926480766982</v>
      </c>
      <c r="AM31" s="55">
        <v>2019</v>
      </c>
      <c r="AN31" s="55" t="s">
        <v>183</v>
      </c>
      <c r="AO31" s="55">
        <v>2</v>
      </c>
      <c r="AP31" s="55">
        <v>5</v>
      </c>
      <c r="AQ31" s="55">
        <v>0</v>
      </c>
      <c r="AR31" s="55">
        <v>28500</v>
      </c>
      <c r="AS31" s="78">
        <f t="shared" si="0"/>
        <v>0</v>
      </c>
    </row>
    <row r="32" spans="1:59">
      <c r="A32" s="271">
        <v>31</v>
      </c>
      <c r="B32" s="328" t="s">
        <v>101</v>
      </c>
      <c r="C32" s="189">
        <f t="shared" si="3"/>
        <v>0</v>
      </c>
      <c r="D32" s="90"/>
      <c r="E32" s="90"/>
      <c r="F32" s="90"/>
      <c r="G32" s="90"/>
      <c r="H32" s="48"/>
      <c r="I32" s="48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V32" s="46"/>
      <c r="W32" s="46" t="s">
        <v>103</v>
      </c>
      <c r="X32" s="48">
        <f>$X$71*(COS(RADIANS($X$3-$AJ$103)))^2+$X$72*COS(RADIANS($X$3-$AJ$103))+$X$73</f>
        <v>2.0260658656940747</v>
      </c>
      <c r="AM32" s="54">
        <v>2019</v>
      </c>
      <c r="AN32" s="54" t="s">
        <v>183</v>
      </c>
      <c r="AO32" s="54">
        <v>2</v>
      </c>
      <c r="AP32" s="54">
        <v>6</v>
      </c>
      <c r="AQ32" s="54">
        <v>0</v>
      </c>
      <c r="AR32" s="55">
        <v>28500</v>
      </c>
      <c r="AS32" s="78">
        <f t="shared" si="0"/>
        <v>0</v>
      </c>
    </row>
    <row r="33" spans="1:45" ht="15" thickBot="1">
      <c r="A33" s="272"/>
      <c r="B33" s="328" t="s">
        <v>102</v>
      </c>
      <c r="C33" s="189">
        <f t="shared" si="3"/>
        <v>0</v>
      </c>
      <c r="D33" s="85"/>
      <c r="E33" s="85"/>
      <c r="F33" s="85"/>
      <c r="G33" s="85"/>
      <c r="H33" s="48"/>
      <c r="I33" s="48"/>
      <c r="J33" s="46"/>
      <c r="K33" s="46"/>
      <c r="L33" s="46"/>
      <c r="M33" s="46"/>
      <c r="N33" s="46"/>
      <c r="O33" s="46"/>
      <c r="P33" s="46"/>
      <c r="Q33" s="46"/>
      <c r="R33" s="46"/>
      <c r="S33" s="46"/>
      <c r="T33" s="46"/>
      <c r="V33" s="46"/>
      <c r="W33" s="46"/>
      <c r="X33" s="46"/>
      <c r="AM33" s="55">
        <v>2019</v>
      </c>
      <c r="AN33" s="55" t="s">
        <v>183</v>
      </c>
      <c r="AO33" s="55">
        <v>2</v>
      </c>
      <c r="AP33" s="55">
        <v>7</v>
      </c>
      <c r="AQ33" s="55">
        <v>0</v>
      </c>
      <c r="AR33" s="55">
        <v>28500</v>
      </c>
      <c r="AS33" s="78">
        <f t="shared" si="0"/>
        <v>0</v>
      </c>
    </row>
    <row r="34" spans="1:45">
      <c r="B34" s="328" t="s">
        <v>103</v>
      </c>
      <c r="C34" s="189">
        <f t="shared" si="3"/>
        <v>0</v>
      </c>
      <c r="D34" s="85"/>
      <c r="E34" s="85"/>
      <c r="F34" s="85"/>
      <c r="G34" s="85"/>
      <c r="H34" s="49"/>
      <c r="I34" s="49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V34" s="46"/>
      <c r="W34" s="46"/>
      <c r="X34" s="46" t="s">
        <v>121</v>
      </c>
      <c r="AM34" s="54">
        <v>2019</v>
      </c>
      <c r="AN34" s="54" t="s">
        <v>183</v>
      </c>
      <c r="AO34" s="54">
        <v>2</v>
      </c>
      <c r="AP34" s="54">
        <v>8</v>
      </c>
      <c r="AQ34" s="54">
        <v>0</v>
      </c>
      <c r="AR34" s="55">
        <v>28500</v>
      </c>
      <c r="AS34" s="78">
        <f t="shared" si="0"/>
        <v>0</v>
      </c>
    </row>
    <row r="35" spans="1:45" ht="15" thickBot="1">
      <c r="B35" s="330" t="s">
        <v>27</v>
      </c>
      <c r="C35" s="344">
        <f t="shared" si="3"/>
        <v>0</v>
      </c>
      <c r="D35" s="85"/>
      <c r="E35" s="85"/>
      <c r="F35" s="85"/>
      <c r="G35" s="85"/>
      <c r="H35" s="49"/>
      <c r="I35" s="49"/>
      <c r="J35" s="46"/>
      <c r="K35" s="46"/>
      <c r="L35" s="46"/>
      <c r="M35" s="46"/>
      <c r="N35" s="46"/>
      <c r="O35" s="46"/>
      <c r="P35" s="46"/>
      <c r="Q35" s="46"/>
      <c r="R35" s="46"/>
      <c r="S35" s="46"/>
      <c r="T35" s="46"/>
      <c r="V35" s="46"/>
      <c r="W35" s="46" t="s">
        <v>92</v>
      </c>
      <c r="X35" s="46">
        <f>VLOOKUP($C$20,$W$80:$AJ$101,3,FALSE)</f>
        <v>32</v>
      </c>
      <c r="AM35" s="55">
        <v>2019</v>
      </c>
      <c r="AN35" s="55" t="s">
        <v>183</v>
      </c>
      <c r="AO35" s="55">
        <v>2</v>
      </c>
      <c r="AP35" s="55">
        <v>9</v>
      </c>
      <c r="AQ35" s="55">
        <v>5161</v>
      </c>
      <c r="AR35" s="55">
        <v>28500</v>
      </c>
      <c r="AS35" s="78">
        <f t="shared" si="0"/>
        <v>0.1810877192982456</v>
      </c>
    </row>
    <row r="36" spans="1:45">
      <c r="B36" s="1"/>
      <c r="C36" s="85"/>
      <c r="D36" s="85"/>
      <c r="E36" s="85"/>
      <c r="F36" s="85"/>
      <c r="G36" s="85"/>
      <c r="H36" s="49"/>
      <c r="I36" s="49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V36" s="46"/>
      <c r="W36" s="46" t="s">
        <v>93</v>
      </c>
      <c r="X36" s="46">
        <f>VLOOKUP($C$20,$W$80:$AJ$101,4,FALSE)</f>
        <v>59</v>
      </c>
      <c r="AM36" s="54">
        <v>2019</v>
      </c>
      <c r="AN36" s="54" t="s">
        <v>183</v>
      </c>
      <c r="AO36" s="54">
        <v>2</v>
      </c>
      <c r="AP36" s="54">
        <v>10</v>
      </c>
      <c r="AQ36" s="54">
        <v>4476</v>
      </c>
      <c r="AR36" s="55">
        <v>28500</v>
      </c>
      <c r="AS36" s="78">
        <f t="shared" si="0"/>
        <v>0.15705263157894736</v>
      </c>
    </row>
    <row r="37" spans="1:45">
      <c r="B37" s="1"/>
      <c r="C37" s="85"/>
      <c r="D37" s="85"/>
      <c r="E37" s="85"/>
      <c r="F37" s="85"/>
      <c r="G37" s="85"/>
      <c r="H37" s="49"/>
      <c r="I37" s="49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V37" s="46"/>
      <c r="W37" s="46" t="s">
        <v>94</v>
      </c>
      <c r="X37" s="46">
        <f>VLOOKUP($C$20,$W$80:$AJ$101,5,FALSE)</f>
        <v>104</v>
      </c>
      <c r="AM37" s="55">
        <v>2019</v>
      </c>
      <c r="AN37" s="55" t="s">
        <v>183</v>
      </c>
      <c r="AO37" s="55">
        <v>2</v>
      </c>
      <c r="AP37" s="55">
        <v>11</v>
      </c>
      <c r="AQ37" s="55">
        <v>8184.5</v>
      </c>
      <c r="AR37" s="55">
        <v>28500</v>
      </c>
      <c r="AS37" s="78">
        <f t="shared" si="0"/>
        <v>0.28717543859649125</v>
      </c>
    </row>
    <row r="38" spans="1:45">
      <c r="B38" s="1"/>
      <c r="C38" s="85"/>
      <c r="D38" s="85"/>
      <c r="E38" s="85"/>
      <c r="F38" s="85"/>
      <c r="G38" s="85"/>
      <c r="H38" s="49"/>
      <c r="I38" s="49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V38" s="46"/>
      <c r="W38" s="46" t="s">
        <v>95</v>
      </c>
      <c r="X38" s="46">
        <f>VLOOKUP($C$20,$W$80:$AJ$101,6,FALSE)</f>
        <v>170</v>
      </c>
      <c r="AM38" s="54">
        <v>2019</v>
      </c>
      <c r="AN38" s="54" t="s">
        <v>183</v>
      </c>
      <c r="AO38" s="54">
        <v>2</v>
      </c>
      <c r="AP38" s="54">
        <v>12</v>
      </c>
      <c r="AQ38" s="54">
        <v>12206</v>
      </c>
      <c r="AR38" s="55">
        <v>28500</v>
      </c>
      <c r="AS38" s="78">
        <f t="shared" si="0"/>
        <v>0.42828070175438598</v>
      </c>
    </row>
    <row r="39" spans="1:45">
      <c r="B39" s="1"/>
      <c r="C39" s="85"/>
      <c r="D39" s="85"/>
      <c r="E39" s="85"/>
      <c r="F39" s="85"/>
      <c r="G39" s="85"/>
      <c r="H39" s="49"/>
      <c r="I39" s="49"/>
      <c r="J39" s="46"/>
      <c r="K39" s="46"/>
      <c r="L39" s="46"/>
      <c r="M39" s="46"/>
      <c r="N39" s="46"/>
      <c r="O39" s="46"/>
      <c r="P39" s="46"/>
      <c r="Q39" s="46"/>
      <c r="R39" s="46"/>
      <c r="S39" s="46"/>
      <c r="T39" s="46"/>
      <c r="V39" s="46"/>
      <c r="W39" s="46" t="s">
        <v>96</v>
      </c>
      <c r="X39" s="46">
        <f>VLOOKUP($C$20,$W$80:$AJ$101,7,FALSE)</f>
        <v>208</v>
      </c>
      <c r="AM39" s="55">
        <v>2019</v>
      </c>
      <c r="AN39" s="55" t="s">
        <v>183</v>
      </c>
      <c r="AO39" s="55">
        <v>2</v>
      </c>
      <c r="AP39" s="55">
        <v>13</v>
      </c>
      <c r="AQ39" s="55">
        <v>4435.5</v>
      </c>
      <c r="AR39" s="55">
        <v>28500</v>
      </c>
      <c r="AS39" s="78">
        <f t="shared" si="0"/>
        <v>0.15563157894736843</v>
      </c>
    </row>
    <row r="40" spans="1:45">
      <c r="B40" s="1"/>
      <c r="C40" s="85"/>
      <c r="D40" s="85"/>
      <c r="E40" s="85"/>
      <c r="F40" s="85"/>
      <c r="G40" s="85"/>
      <c r="H40" s="49"/>
      <c r="I40" s="49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V40" s="46"/>
      <c r="W40" s="46" t="s">
        <v>97</v>
      </c>
      <c r="X40" s="46">
        <f>VLOOKUP($C$20,$W$80:$AJ$101,8,FALSE)</f>
        <v>231</v>
      </c>
      <c r="AM40" s="54">
        <v>2019</v>
      </c>
      <c r="AN40" s="54" t="s">
        <v>183</v>
      </c>
      <c r="AO40" s="54">
        <v>2</v>
      </c>
      <c r="AP40" s="54">
        <v>14</v>
      </c>
      <c r="AQ40" s="54">
        <v>4159</v>
      </c>
      <c r="AR40" s="55">
        <v>28500</v>
      </c>
      <c r="AS40" s="78">
        <f t="shared" si="0"/>
        <v>0.14592982456140352</v>
      </c>
    </row>
    <row r="41" spans="1:45">
      <c r="B41" s="1"/>
      <c r="C41" s="31"/>
      <c r="D41" s="31"/>
      <c r="E41" s="31"/>
      <c r="F41" s="31"/>
      <c r="G41" s="31"/>
      <c r="H41" s="49"/>
      <c r="I41" s="49"/>
      <c r="J41" s="46"/>
      <c r="K41" s="46"/>
      <c r="L41" s="46"/>
      <c r="M41" s="46"/>
      <c r="N41" s="46"/>
      <c r="O41" s="46"/>
      <c r="P41" s="46"/>
      <c r="Q41" s="46"/>
      <c r="R41" s="46"/>
      <c r="S41" s="46"/>
      <c r="T41" s="46"/>
      <c r="V41" s="46"/>
      <c r="W41" s="46" t="s">
        <v>98</v>
      </c>
      <c r="X41" s="46">
        <f>VLOOKUP($C$20,$W$80:$AJ$101,9,FALSE)</f>
        <v>216</v>
      </c>
      <c r="AM41" s="55">
        <v>2019</v>
      </c>
      <c r="AN41" s="55" t="s">
        <v>183</v>
      </c>
      <c r="AO41" s="55">
        <v>2</v>
      </c>
      <c r="AP41" s="55">
        <v>15</v>
      </c>
      <c r="AQ41" s="55">
        <v>1784</v>
      </c>
      <c r="AR41" s="55">
        <v>28500</v>
      </c>
      <c r="AS41" s="78">
        <f t="shared" si="0"/>
        <v>6.2596491228070178E-2</v>
      </c>
    </row>
    <row r="42" spans="1:45">
      <c r="C42" s="85"/>
      <c r="D42" s="85"/>
      <c r="E42" s="85"/>
      <c r="F42" s="85"/>
      <c r="G42" s="85"/>
      <c r="H42" s="50"/>
      <c r="I42" s="50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V42" s="46"/>
      <c r="W42" s="46" t="s">
        <v>99</v>
      </c>
      <c r="X42" s="46">
        <f>VLOOKUP($C$20,$W$80:$AJ$101,10,FALSE)</f>
        <v>182</v>
      </c>
      <c r="AM42" s="54">
        <v>2019</v>
      </c>
      <c r="AN42" s="54" t="s">
        <v>183</v>
      </c>
      <c r="AO42" s="54">
        <v>2</v>
      </c>
      <c r="AP42" s="54">
        <v>16</v>
      </c>
      <c r="AQ42" s="54">
        <v>0</v>
      </c>
      <c r="AR42" s="55">
        <v>28500</v>
      </c>
      <c r="AS42" s="78">
        <f t="shared" si="0"/>
        <v>0</v>
      </c>
    </row>
    <row r="43" spans="1:45">
      <c r="C43" s="85"/>
      <c r="D43" s="85"/>
      <c r="E43" s="85"/>
      <c r="F43" s="85"/>
      <c r="G43" s="85"/>
      <c r="H43" s="49"/>
      <c r="I43" s="49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V43" s="46"/>
      <c r="W43" s="46" t="s">
        <v>100</v>
      </c>
      <c r="X43" s="46">
        <f>VLOOKUP($C$20,$W$80:$AJ$101,11,FALSE)</f>
        <v>133</v>
      </c>
      <c r="AM43" s="55">
        <v>2019</v>
      </c>
      <c r="AN43" s="55" t="s">
        <v>183</v>
      </c>
      <c r="AO43" s="55">
        <v>2</v>
      </c>
      <c r="AP43" s="55">
        <v>17</v>
      </c>
      <c r="AQ43" s="55">
        <v>0</v>
      </c>
      <c r="AR43" s="55">
        <v>28500</v>
      </c>
      <c r="AS43" s="78">
        <f t="shared" si="0"/>
        <v>0</v>
      </c>
    </row>
    <row r="44" spans="1:45">
      <c r="C44" s="85"/>
      <c r="D44" s="85"/>
      <c r="E44" s="85"/>
      <c r="F44" s="85"/>
      <c r="G44" s="85"/>
      <c r="H44" s="49"/>
      <c r="I44" s="49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V44" s="46"/>
      <c r="W44" s="46" t="s">
        <v>101</v>
      </c>
      <c r="X44" s="46">
        <f>VLOOKUP($C$20,$W$80:$AJ$101,12,FALSE)</f>
        <v>77</v>
      </c>
      <c r="AM44" s="54">
        <v>2019</v>
      </c>
      <c r="AN44" s="54" t="s">
        <v>183</v>
      </c>
      <c r="AO44" s="54">
        <v>2</v>
      </c>
      <c r="AP44" s="54">
        <v>18</v>
      </c>
      <c r="AQ44" s="54">
        <v>0</v>
      </c>
      <c r="AR44" s="55">
        <v>28500</v>
      </c>
      <c r="AS44" s="78">
        <f t="shared" si="0"/>
        <v>0</v>
      </c>
    </row>
    <row r="45" spans="1:45">
      <c r="C45" s="85"/>
      <c r="D45" s="85"/>
      <c r="E45" s="85"/>
      <c r="F45" s="85"/>
      <c r="G45" s="85"/>
      <c r="H45" s="49"/>
      <c r="I45" s="49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V45" s="46"/>
      <c r="W45" s="46" t="s">
        <v>102</v>
      </c>
      <c r="X45" s="46">
        <f>VLOOKUP($C$20,$W$80:$AJ$101,13,FALSE)</f>
        <v>41</v>
      </c>
      <c r="AM45" s="55">
        <v>2019</v>
      </c>
      <c r="AN45" s="55" t="s">
        <v>183</v>
      </c>
      <c r="AO45" s="55">
        <v>2</v>
      </c>
      <c r="AP45" s="55">
        <v>19</v>
      </c>
      <c r="AQ45" s="55">
        <v>0</v>
      </c>
      <c r="AR45" s="55">
        <v>28500</v>
      </c>
      <c r="AS45" s="78">
        <f t="shared" si="0"/>
        <v>0</v>
      </c>
    </row>
    <row r="46" spans="1:45">
      <c r="C46" s="85"/>
      <c r="D46" s="85"/>
      <c r="E46" s="85"/>
      <c r="F46" s="85"/>
      <c r="G46" s="85"/>
      <c r="H46" s="49"/>
      <c r="I46" s="49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V46" s="46"/>
      <c r="W46" s="46" t="s">
        <v>103</v>
      </c>
      <c r="X46" s="46">
        <f>VLOOKUP($C$20,$W$80:$AJ$101,14,FALSE)</f>
        <v>25</v>
      </c>
      <c r="AM46" s="54">
        <v>2019</v>
      </c>
      <c r="AN46" s="54" t="s">
        <v>183</v>
      </c>
      <c r="AO46" s="54">
        <v>2</v>
      </c>
      <c r="AP46" s="54">
        <v>20</v>
      </c>
      <c r="AQ46" s="54">
        <v>0</v>
      </c>
      <c r="AR46" s="55">
        <v>28500</v>
      </c>
      <c r="AS46" s="78">
        <f t="shared" si="0"/>
        <v>0</v>
      </c>
    </row>
    <row r="47" spans="1:45">
      <c r="C47" s="85"/>
      <c r="D47" s="85"/>
      <c r="E47" s="85"/>
      <c r="F47" s="85"/>
      <c r="G47" s="85"/>
      <c r="H47" s="49"/>
      <c r="I47" s="49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AM47" s="55">
        <v>2019</v>
      </c>
      <c r="AN47" s="55" t="s">
        <v>183</v>
      </c>
      <c r="AO47" s="55">
        <v>2</v>
      </c>
      <c r="AP47" s="55">
        <v>21</v>
      </c>
      <c r="AQ47" s="55">
        <v>0</v>
      </c>
      <c r="AR47" s="55">
        <v>28500</v>
      </c>
      <c r="AS47" s="78">
        <f t="shared" si="0"/>
        <v>0</v>
      </c>
    </row>
    <row r="48" spans="1:45">
      <c r="C48" s="85"/>
      <c r="D48" s="85"/>
      <c r="E48" s="85"/>
      <c r="F48" s="85"/>
      <c r="G48" s="85"/>
      <c r="H48" s="49"/>
      <c r="I48" s="49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AM48" s="54">
        <v>2019</v>
      </c>
      <c r="AN48" s="54" t="s">
        <v>183</v>
      </c>
      <c r="AO48" s="54">
        <v>2</v>
      </c>
      <c r="AP48" s="54">
        <v>22</v>
      </c>
      <c r="AQ48" s="54">
        <v>0</v>
      </c>
      <c r="AR48" s="55">
        <v>28500</v>
      </c>
      <c r="AS48" s="78">
        <f t="shared" si="0"/>
        <v>0</v>
      </c>
    </row>
    <row r="49" spans="3:45">
      <c r="H49" s="49"/>
      <c r="I49" s="49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  <c r="AM49" s="55">
        <v>2019</v>
      </c>
      <c r="AN49" s="55" t="s">
        <v>183</v>
      </c>
      <c r="AO49" s="55">
        <v>2</v>
      </c>
      <c r="AP49" s="55">
        <v>23</v>
      </c>
      <c r="AQ49" s="55">
        <v>0</v>
      </c>
      <c r="AR49" s="55">
        <v>28500</v>
      </c>
      <c r="AS49" s="78">
        <f t="shared" si="0"/>
        <v>0</v>
      </c>
    </row>
    <row r="50" spans="3:45">
      <c r="C50" s="332" t="s">
        <v>317</v>
      </c>
      <c r="D50" s="85"/>
      <c r="E50" s="85"/>
      <c r="F50" s="85"/>
      <c r="G50" s="85"/>
      <c r="H50" s="49"/>
      <c r="I50" s="49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AM50" s="54">
        <v>2019</v>
      </c>
      <c r="AN50" s="54" t="s">
        <v>183</v>
      </c>
      <c r="AO50" s="54">
        <v>3</v>
      </c>
      <c r="AP50" s="54">
        <v>24</v>
      </c>
      <c r="AQ50" s="54">
        <v>0</v>
      </c>
      <c r="AR50" s="55">
        <v>28500</v>
      </c>
      <c r="AS50" s="78">
        <f t="shared" si="0"/>
        <v>0</v>
      </c>
    </row>
    <row r="51" spans="3:45">
      <c r="C51" s="85"/>
      <c r="D51" s="85"/>
      <c r="E51" s="85"/>
      <c r="F51" s="85"/>
      <c r="G51" s="85"/>
      <c r="H51" s="49"/>
      <c r="I51" s="49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  <c r="AM51" s="55">
        <v>2019</v>
      </c>
      <c r="AN51" s="55" t="s">
        <v>183</v>
      </c>
      <c r="AO51" s="55">
        <v>3</v>
      </c>
      <c r="AP51" s="55">
        <v>1</v>
      </c>
      <c r="AQ51" s="55">
        <v>0</v>
      </c>
      <c r="AR51" s="55">
        <v>28500</v>
      </c>
      <c r="AS51" s="78">
        <f t="shared" si="0"/>
        <v>0</v>
      </c>
    </row>
    <row r="52" spans="3:45">
      <c r="C52" s="85"/>
      <c r="D52" s="85"/>
      <c r="E52" s="85"/>
      <c r="F52" s="85"/>
      <c r="G52" s="85"/>
      <c r="H52" s="49"/>
      <c r="I52" s="49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AM52" s="54">
        <v>2019</v>
      </c>
      <c r="AN52" s="54" t="s">
        <v>183</v>
      </c>
      <c r="AO52" s="54">
        <v>3</v>
      </c>
      <c r="AP52" s="54">
        <v>2</v>
      </c>
      <c r="AQ52" s="54">
        <v>0</v>
      </c>
      <c r="AR52" s="55">
        <v>28500</v>
      </c>
      <c r="AS52" s="78">
        <f t="shared" si="0"/>
        <v>0</v>
      </c>
    </row>
    <row r="53" spans="3:45">
      <c r="C53" s="85"/>
      <c r="D53" s="85"/>
      <c r="E53" s="85"/>
      <c r="F53" s="85"/>
      <c r="G53" s="85"/>
      <c r="H53" s="49"/>
      <c r="I53" s="49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AM53" s="55">
        <v>2019</v>
      </c>
      <c r="AN53" s="55" t="s">
        <v>183</v>
      </c>
      <c r="AO53" s="55">
        <v>3</v>
      </c>
      <c r="AP53" s="55">
        <v>3</v>
      </c>
      <c r="AQ53" s="55">
        <v>0</v>
      </c>
      <c r="AR53" s="55">
        <v>28500</v>
      </c>
      <c r="AS53" s="78">
        <f t="shared" si="0"/>
        <v>0</v>
      </c>
    </row>
    <row r="54" spans="3:45">
      <c r="AM54" s="54">
        <v>2019</v>
      </c>
      <c r="AN54" s="54" t="s">
        <v>183</v>
      </c>
      <c r="AO54" s="54">
        <v>3</v>
      </c>
      <c r="AP54" s="54">
        <v>4</v>
      </c>
      <c r="AQ54" s="54">
        <v>0</v>
      </c>
      <c r="AR54" s="55">
        <v>28500</v>
      </c>
      <c r="AS54" s="78">
        <f t="shared" si="0"/>
        <v>0</v>
      </c>
    </row>
    <row r="55" spans="3:45">
      <c r="AM55" s="55">
        <v>2019</v>
      </c>
      <c r="AN55" s="55" t="s">
        <v>183</v>
      </c>
      <c r="AO55" s="55">
        <v>3</v>
      </c>
      <c r="AP55" s="55">
        <v>5</v>
      </c>
      <c r="AQ55" s="55">
        <v>0</v>
      </c>
      <c r="AR55" s="55">
        <v>28500</v>
      </c>
      <c r="AS55" s="78">
        <f t="shared" si="0"/>
        <v>0</v>
      </c>
    </row>
    <row r="56" spans="3:45">
      <c r="AM56" s="54">
        <v>2019</v>
      </c>
      <c r="AN56" s="54" t="s">
        <v>183</v>
      </c>
      <c r="AO56" s="54">
        <v>3</v>
      </c>
      <c r="AP56" s="54">
        <v>6</v>
      </c>
      <c r="AQ56" s="54">
        <v>0</v>
      </c>
      <c r="AR56" s="55">
        <v>28500</v>
      </c>
      <c r="AS56" s="78">
        <f t="shared" si="0"/>
        <v>0</v>
      </c>
    </row>
    <row r="57" spans="3:45">
      <c r="AM57" s="55">
        <v>2019</v>
      </c>
      <c r="AN57" s="55" t="s">
        <v>183</v>
      </c>
      <c r="AO57" s="55">
        <v>3</v>
      </c>
      <c r="AP57" s="55">
        <v>7</v>
      </c>
      <c r="AQ57" s="55">
        <v>0</v>
      </c>
      <c r="AR57" s="55">
        <v>28500</v>
      </c>
      <c r="AS57" s="78">
        <f t="shared" si="0"/>
        <v>0</v>
      </c>
    </row>
    <row r="58" spans="3:45">
      <c r="AM58" s="54">
        <v>2019</v>
      </c>
      <c r="AN58" s="54" t="s">
        <v>183</v>
      </c>
      <c r="AO58" s="54">
        <v>3</v>
      </c>
      <c r="AP58" s="54">
        <v>8</v>
      </c>
      <c r="AQ58" s="54">
        <v>0</v>
      </c>
      <c r="AR58" s="55">
        <v>28500</v>
      </c>
      <c r="AS58" s="78">
        <f t="shared" si="0"/>
        <v>0</v>
      </c>
    </row>
    <row r="59" spans="3:45">
      <c r="AM59" s="55">
        <v>2019</v>
      </c>
      <c r="AN59" s="55" t="s">
        <v>183</v>
      </c>
      <c r="AO59" s="55">
        <v>3</v>
      </c>
      <c r="AP59" s="55">
        <v>9</v>
      </c>
      <c r="AQ59" s="55">
        <v>1401.5</v>
      </c>
      <c r="AR59" s="55">
        <v>28500</v>
      </c>
      <c r="AS59" s="78">
        <f t="shared" si="0"/>
        <v>4.9175438596491226E-2</v>
      </c>
    </row>
    <row r="60" spans="3:45">
      <c r="AM60" s="54">
        <v>2019</v>
      </c>
      <c r="AN60" s="54" t="s">
        <v>183</v>
      </c>
      <c r="AO60" s="54">
        <v>3</v>
      </c>
      <c r="AP60" s="54">
        <v>10</v>
      </c>
      <c r="AQ60" s="54">
        <v>4214.5</v>
      </c>
      <c r="AR60" s="55">
        <v>28500</v>
      </c>
      <c r="AS60" s="78">
        <f t="shared" si="0"/>
        <v>0.14787719298245613</v>
      </c>
    </row>
    <row r="61" spans="3:45">
      <c r="AM61" s="55">
        <v>2019</v>
      </c>
      <c r="AN61" s="55" t="s">
        <v>183</v>
      </c>
      <c r="AO61" s="55">
        <v>3</v>
      </c>
      <c r="AP61" s="55">
        <v>11</v>
      </c>
      <c r="AQ61" s="55">
        <v>3855</v>
      </c>
      <c r="AR61" s="55">
        <v>28500</v>
      </c>
      <c r="AS61" s="78">
        <f t="shared" si="0"/>
        <v>0.13526315789473684</v>
      </c>
    </row>
    <row r="62" spans="3:45">
      <c r="AM62" s="54">
        <v>2019</v>
      </c>
      <c r="AN62" s="54" t="s">
        <v>183</v>
      </c>
      <c r="AO62" s="54">
        <v>3</v>
      </c>
      <c r="AP62" s="54">
        <v>12</v>
      </c>
      <c r="AQ62" s="54">
        <v>3775</v>
      </c>
      <c r="AR62" s="55">
        <v>28500</v>
      </c>
      <c r="AS62" s="78">
        <f t="shared" si="0"/>
        <v>0.13245614035087719</v>
      </c>
    </row>
    <row r="63" spans="3:45">
      <c r="AM63" s="55">
        <v>2019</v>
      </c>
      <c r="AN63" s="55" t="s">
        <v>183</v>
      </c>
      <c r="AO63" s="55">
        <v>3</v>
      </c>
      <c r="AP63" s="55">
        <v>13</v>
      </c>
      <c r="AQ63" s="55">
        <v>2732.5</v>
      </c>
      <c r="AR63" s="55">
        <v>28500</v>
      </c>
      <c r="AS63" s="78">
        <f t="shared" si="0"/>
        <v>9.5877192982456144E-2</v>
      </c>
    </row>
    <row r="64" spans="3:45">
      <c r="AM64" s="54">
        <v>2019</v>
      </c>
      <c r="AN64" s="54" t="s">
        <v>183</v>
      </c>
      <c r="AO64" s="54">
        <v>3</v>
      </c>
      <c r="AP64" s="54">
        <v>14</v>
      </c>
      <c r="AQ64" s="54">
        <v>892.5</v>
      </c>
      <c r="AR64" s="55">
        <v>28500</v>
      </c>
      <c r="AS64" s="78">
        <f t="shared" si="0"/>
        <v>3.1315789473684214E-2</v>
      </c>
    </row>
    <row r="65" spans="22:45">
      <c r="V65" s="46" t="s">
        <v>111</v>
      </c>
      <c r="W65" s="51">
        <f>HLOOKUP($C$21,$W$115:$AD$124,2,FALSE)</f>
        <v>-0.66</v>
      </c>
      <c r="AM65" s="55">
        <v>2019</v>
      </c>
      <c r="AN65" s="55" t="s">
        <v>183</v>
      </c>
      <c r="AO65" s="55">
        <v>3</v>
      </c>
      <c r="AP65" s="55">
        <v>15</v>
      </c>
      <c r="AQ65" s="55">
        <v>313</v>
      </c>
      <c r="AR65" s="55">
        <v>28500</v>
      </c>
      <c r="AS65" s="78">
        <f t="shared" si="0"/>
        <v>1.0982456140350877E-2</v>
      </c>
    </row>
    <row r="66" spans="22:45">
      <c r="V66" s="46" t="s">
        <v>112</v>
      </c>
      <c r="W66" s="51">
        <f>HLOOKUP($C$21,$W$115:$AD$124,3,FALSE)</f>
        <v>-0.106</v>
      </c>
      <c r="AM66" s="54">
        <v>2019</v>
      </c>
      <c r="AN66" s="54" t="s">
        <v>183</v>
      </c>
      <c r="AO66" s="54">
        <v>3</v>
      </c>
      <c r="AP66" s="54">
        <v>16</v>
      </c>
      <c r="AQ66" s="54">
        <v>0</v>
      </c>
      <c r="AR66" s="55">
        <v>28500</v>
      </c>
      <c r="AS66" s="78">
        <f t="shared" ref="AS66:AS129" si="4">AQ66/AR66</f>
        <v>0</v>
      </c>
    </row>
    <row r="67" spans="22:45">
      <c r="V67" s="46" t="s">
        <v>113</v>
      </c>
      <c r="W67" s="51">
        <f>HLOOKUP($C$21,$W$115:$AD$124,4,FALSE)</f>
        <v>2.93</v>
      </c>
      <c r="AM67" s="55">
        <v>2019</v>
      </c>
      <c r="AN67" s="55" t="s">
        <v>183</v>
      </c>
      <c r="AO67" s="55">
        <v>3</v>
      </c>
      <c r="AP67" s="55">
        <v>17</v>
      </c>
      <c r="AQ67" s="55">
        <v>0</v>
      </c>
      <c r="AR67" s="55">
        <v>28500</v>
      </c>
      <c r="AS67" s="78">
        <f t="shared" si="4"/>
        <v>0</v>
      </c>
    </row>
    <row r="68" spans="22:45">
      <c r="V68" s="46" t="s">
        <v>114</v>
      </c>
      <c r="W68" s="51">
        <f>HLOOKUP($C$21,$W$115:$AD$124,5,FALSE)</f>
        <v>3.63</v>
      </c>
      <c r="AM68" s="54">
        <v>2019</v>
      </c>
      <c r="AN68" s="54" t="s">
        <v>183</v>
      </c>
      <c r="AO68" s="54">
        <v>3</v>
      </c>
      <c r="AP68" s="54">
        <v>18</v>
      </c>
      <c r="AQ68" s="54">
        <v>0</v>
      </c>
      <c r="AR68" s="55">
        <v>28500</v>
      </c>
      <c r="AS68" s="78">
        <f t="shared" si="4"/>
        <v>0</v>
      </c>
    </row>
    <row r="69" spans="22:45">
      <c r="V69" s="46" t="s">
        <v>115</v>
      </c>
      <c r="W69" s="51">
        <f>HLOOKUP($C$21,$W$115:$AD$124,6,FALSE)</f>
        <v>-0.374</v>
      </c>
      <c r="AM69" s="55">
        <v>2019</v>
      </c>
      <c r="AN69" s="55" t="s">
        <v>183</v>
      </c>
      <c r="AO69" s="55">
        <v>3</v>
      </c>
      <c r="AP69" s="55">
        <v>19</v>
      </c>
      <c r="AQ69" s="55">
        <v>0</v>
      </c>
      <c r="AR69" s="55">
        <v>28500</v>
      </c>
      <c r="AS69" s="78">
        <f t="shared" si="4"/>
        <v>0</v>
      </c>
    </row>
    <row r="70" spans="22:45">
      <c r="V70" s="46" t="s">
        <v>116</v>
      </c>
      <c r="W70" s="51">
        <f>HLOOKUP($C$21,$W$115:$AD$124,7,FALSE)</f>
        <v>-7.4</v>
      </c>
      <c r="AM70" s="54">
        <v>2019</v>
      </c>
      <c r="AN70" s="54" t="s">
        <v>183</v>
      </c>
      <c r="AO70" s="54">
        <v>3</v>
      </c>
      <c r="AP70" s="54">
        <v>20</v>
      </c>
      <c r="AQ70" s="54">
        <v>0</v>
      </c>
      <c r="AR70" s="55">
        <v>28500</v>
      </c>
      <c r="AS70" s="78">
        <f t="shared" si="4"/>
        <v>0</v>
      </c>
    </row>
    <row r="71" spans="22:45">
      <c r="V71" s="46" t="s">
        <v>117</v>
      </c>
      <c r="W71" s="51">
        <f>HLOOKUP($C$21,$W$115:$AD$124,8,FALSE)</f>
        <v>-2.71</v>
      </c>
      <c r="X71" s="46">
        <f>W65*(SIN(RADIANS($C$19/2)))^3+W66*(SIN(RADIANS($C$19/2)))^2+W67*(SIN(RADIANS($C$19/2)))</f>
        <v>0.96331359610774159</v>
      </c>
      <c r="AM71" s="55">
        <v>2019</v>
      </c>
      <c r="AN71" s="55" t="s">
        <v>183</v>
      </c>
      <c r="AO71" s="55">
        <v>3</v>
      </c>
      <c r="AP71" s="55">
        <v>21</v>
      </c>
      <c r="AQ71" s="55">
        <v>0</v>
      </c>
      <c r="AR71" s="55">
        <v>28500</v>
      </c>
      <c r="AS71" s="78">
        <f t="shared" si="4"/>
        <v>0</v>
      </c>
    </row>
    <row r="72" spans="22:45">
      <c r="V72" s="46" t="s">
        <v>118</v>
      </c>
      <c r="W72" s="51">
        <f>HLOOKUP($C$21,$W$115:$AD$124,9,FALSE)</f>
        <v>-0.99099999999999999</v>
      </c>
      <c r="X72" s="46">
        <f>W68*(SIN(RADIANS($C$19/2)))^3+W69*(SIN(RADIANS($C$19/2)))^2+W70*(SIN(RADIANS($C$19/2)))</f>
        <v>-2.429466963476945</v>
      </c>
      <c r="AM72" s="54">
        <v>2019</v>
      </c>
      <c r="AN72" s="54" t="s">
        <v>183</v>
      </c>
      <c r="AO72" s="54">
        <v>3</v>
      </c>
      <c r="AP72" s="54">
        <v>22</v>
      </c>
      <c r="AQ72" s="54">
        <v>0</v>
      </c>
      <c r="AR72" s="55">
        <v>28500</v>
      </c>
      <c r="AS72" s="78">
        <f t="shared" si="4"/>
        <v>0</v>
      </c>
    </row>
    <row r="73" spans="22:45">
      <c r="V73" s="46" t="s">
        <v>119</v>
      </c>
      <c r="W73" s="51">
        <f>HLOOKUP($C$21,$W$115:$AD$124,10,FALSE)</f>
        <v>4.59</v>
      </c>
      <c r="X73" s="46">
        <f>W71*(SIN(RADIANS($C$19/2)))^3+W72*(SIN(RADIANS($C$19/2)))^2+W73*(SIN(RADIANS($C$19/2)))+1</f>
        <v>2.3455237491848084</v>
      </c>
      <c r="AM73" s="55">
        <v>2019</v>
      </c>
      <c r="AN73" s="55" t="s">
        <v>183</v>
      </c>
      <c r="AO73" s="55">
        <v>3</v>
      </c>
      <c r="AP73" s="55">
        <v>23</v>
      </c>
      <c r="AQ73" s="55">
        <v>0</v>
      </c>
      <c r="AR73" s="55">
        <v>28500</v>
      </c>
      <c r="AS73" s="78">
        <f t="shared" si="4"/>
        <v>0</v>
      </c>
    </row>
    <row r="74" spans="22:45">
      <c r="AM74" s="54">
        <v>2019</v>
      </c>
      <c r="AN74" s="54" t="s">
        <v>183</v>
      </c>
      <c r="AO74" s="54">
        <v>4</v>
      </c>
      <c r="AP74" s="54">
        <v>24</v>
      </c>
      <c r="AQ74" s="54">
        <v>0</v>
      </c>
      <c r="AR74" s="55">
        <v>28500</v>
      </c>
      <c r="AS74" s="78">
        <f t="shared" si="4"/>
        <v>0</v>
      </c>
    </row>
    <row r="75" spans="22:45">
      <c r="V75" s="46" t="s">
        <v>133</v>
      </c>
      <c r="W75" s="46"/>
      <c r="X75" s="46"/>
      <c r="Y75" s="46"/>
      <c r="Z75" s="46"/>
      <c r="AA75" s="46"/>
      <c r="AB75" s="46"/>
      <c r="AC75" s="46"/>
      <c r="AD75" s="46"/>
      <c r="AE75" s="46"/>
      <c r="AF75" s="46"/>
      <c r="AG75" s="46"/>
      <c r="AH75" s="46"/>
      <c r="AI75" s="46"/>
      <c r="AJ75" s="46"/>
      <c r="AM75" s="55">
        <v>2019</v>
      </c>
      <c r="AN75" s="55" t="s">
        <v>183</v>
      </c>
      <c r="AO75" s="55">
        <v>4</v>
      </c>
      <c r="AP75" s="55">
        <v>1</v>
      </c>
      <c r="AQ75" s="55">
        <v>0</v>
      </c>
      <c r="AR75" s="55">
        <v>28500</v>
      </c>
      <c r="AS75" s="78">
        <f t="shared" si="4"/>
        <v>0</v>
      </c>
    </row>
    <row r="76" spans="22:45">
      <c r="V76" s="46" t="s">
        <v>134</v>
      </c>
      <c r="W76" s="46" t="s">
        <v>135</v>
      </c>
      <c r="X76" s="46"/>
      <c r="Y76" s="46"/>
      <c r="Z76" s="46"/>
      <c r="AA76" s="46"/>
      <c r="AB76" s="46"/>
      <c r="AC76" s="46"/>
      <c r="AD76" s="46"/>
      <c r="AE76" s="46"/>
      <c r="AF76" s="46"/>
      <c r="AG76" s="46"/>
      <c r="AH76" s="46"/>
      <c r="AI76" s="46"/>
      <c r="AJ76" s="46"/>
      <c r="AM76" s="54">
        <v>2019</v>
      </c>
      <c r="AN76" s="54" t="s">
        <v>183</v>
      </c>
      <c r="AO76" s="54">
        <v>4</v>
      </c>
      <c r="AP76" s="54">
        <v>2</v>
      </c>
      <c r="AQ76" s="54">
        <v>0</v>
      </c>
      <c r="AR76" s="55">
        <v>28500</v>
      </c>
      <c r="AS76" s="78">
        <f t="shared" si="4"/>
        <v>0</v>
      </c>
    </row>
    <row r="77" spans="22:45">
      <c r="V77" s="46" t="s">
        <v>136</v>
      </c>
      <c r="W77" s="46" t="s">
        <v>137</v>
      </c>
      <c r="X77" s="46"/>
      <c r="Y77" s="46"/>
      <c r="Z77" s="46"/>
      <c r="AA77" s="46"/>
      <c r="AB77" s="46"/>
      <c r="AC77" s="46"/>
      <c r="AD77" s="46"/>
      <c r="AE77" s="46"/>
      <c r="AF77" s="46"/>
      <c r="AG77" s="46"/>
      <c r="AH77" s="46"/>
      <c r="AI77" s="46"/>
      <c r="AJ77" s="46"/>
      <c r="AM77" s="55">
        <v>2019</v>
      </c>
      <c r="AN77" s="55" t="s">
        <v>183</v>
      </c>
      <c r="AO77" s="55">
        <v>4</v>
      </c>
      <c r="AP77" s="55">
        <v>3</v>
      </c>
      <c r="AQ77" s="55">
        <v>0</v>
      </c>
      <c r="AR77" s="55">
        <v>28500</v>
      </c>
      <c r="AS77" s="78">
        <f t="shared" si="4"/>
        <v>0</v>
      </c>
    </row>
    <row r="78" spans="22:45">
      <c r="V78" s="46"/>
      <c r="W78" s="46" t="s">
        <v>138</v>
      </c>
      <c r="X78" s="46"/>
      <c r="Y78" s="46"/>
      <c r="Z78" s="46"/>
      <c r="AA78" s="46"/>
      <c r="AB78" s="46"/>
      <c r="AC78" s="46"/>
      <c r="AD78" s="46"/>
      <c r="AE78" s="46"/>
      <c r="AF78" s="46"/>
      <c r="AG78" s="46"/>
      <c r="AH78" s="46"/>
      <c r="AI78" s="46"/>
      <c r="AJ78" s="46"/>
      <c r="AM78" s="54">
        <v>2019</v>
      </c>
      <c r="AN78" s="54" t="s">
        <v>183</v>
      </c>
      <c r="AO78" s="54">
        <v>4</v>
      </c>
      <c r="AP78" s="54">
        <v>4</v>
      </c>
      <c r="AQ78" s="54">
        <v>0</v>
      </c>
      <c r="AR78" s="55">
        <v>28500</v>
      </c>
      <c r="AS78" s="78">
        <f t="shared" si="4"/>
        <v>0</v>
      </c>
    </row>
    <row r="79" spans="22:45">
      <c r="V79" s="46" t="s">
        <v>139</v>
      </c>
      <c r="W79" s="46"/>
      <c r="X79" s="46"/>
      <c r="Y79" s="46" t="s">
        <v>92</v>
      </c>
      <c r="Z79" s="46" t="s">
        <v>93</v>
      </c>
      <c r="AA79" s="46" t="s">
        <v>94</v>
      </c>
      <c r="AB79" s="46" t="s">
        <v>95</v>
      </c>
      <c r="AC79" s="46" t="s">
        <v>96</v>
      </c>
      <c r="AD79" s="46" t="s">
        <v>97</v>
      </c>
      <c r="AE79" s="46" t="s">
        <v>98</v>
      </c>
      <c r="AF79" s="46" t="s">
        <v>99</v>
      </c>
      <c r="AG79" s="46" t="s">
        <v>100</v>
      </c>
      <c r="AH79" s="46" t="s">
        <v>101</v>
      </c>
      <c r="AI79" s="46" t="s">
        <v>102</v>
      </c>
      <c r="AJ79" s="46" t="s">
        <v>103</v>
      </c>
      <c r="AM79" s="55">
        <v>2019</v>
      </c>
      <c r="AN79" s="55" t="s">
        <v>183</v>
      </c>
      <c r="AO79" s="55">
        <v>4</v>
      </c>
      <c r="AP79" s="55">
        <v>5</v>
      </c>
      <c r="AQ79" s="55">
        <v>0</v>
      </c>
      <c r="AR79" s="55">
        <v>28500</v>
      </c>
      <c r="AS79" s="78">
        <f t="shared" si="4"/>
        <v>0</v>
      </c>
    </row>
    <row r="80" spans="22:45">
      <c r="V80" s="46">
        <v>0</v>
      </c>
      <c r="W80" s="46" t="s">
        <v>140</v>
      </c>
      <c r="X80" s="46" t="str">
        <f>V80&amp; " " &amp; W80</f>
        <v>0 UK average</v>
      </c>
      <c r="Y80" s="46">
        <v>26</v>
      </c>
      <c r="Z80" s="46">
        <v>54</v>
      </c>
      <c r="AA80" s="46">
        <v>96</v>
      </c>
      <c r="AB80" s="46">
        <v>150</v>
      </c>
      <c r="AC80" s="46">
        <v>192</v>
      </c>
      <c r="AD80" s="46">
        <v>200</v>
      </c>
      <c r="AE80" s="46">
        <v>189</v>
      </c>
      <c r="AF80" s="46">
        <v>157</v>
      </c>
      <c r="AG80" s="46">
        <v>115</v>
      </c>
      <c r="AH80" s="46">
        <v>66</v>
      </c>
      <c r="AI80" s="46">
        <v>33</v>
      </c>
      <c r="AJ80" s="46">
        <v>21</v>
      </c>
      <c r="AM80" s="54">
        <v>2019</v>
      </c>
      <c r="AN80" s="54" t="s">
        <v>183</v>
      </c>
      <c r="AO80" s="54">
        <v>4</v>
      </c>
      <c r="AP80" s="54">
        <v>6</v>
      </c>
      <c r="AQ80" s="54">
        <v>0</v>
      </c>
      <c r="AR80" s="55">
        <v>28500</v>
      </c>
      <c r="AS80" s="78">
        <f t="shared" si="4"/>
        <v>0</v>
      </c>
    </row>
    <row r="81" spans="22:45">
      <c r="V81" s="46">
        <v>1</v>
      </c>
      <c r="W81" s="46" t="s">
        <v>141</v>
      </c>
      <c r="X81" s="46" t="str">
        <f t="shared" ref="X81:X101" si="5">V81&amp; " " &amp; W81</f>
        <v>1 Thames</v>
      </c>
      <c r="Y81" s="46">
        <v>30</v>
      </c>
      <c r="Z81" s="46">
        <v>56</v>
      </c>
      <c r="AA81" s="46">
        <v>98</v>
      </c>
      <c r="AB81" s="46">
        <v>157</v>
      </c>
      <c r="AC81" s="46">
        <v>195</v>
      </c>
      <c r="AD81" s="46">
        <v>217</v>
      </c>
      <c r="AE81" s="46">
        <v>203</v>
      </c>
      <c r="AF81" s="46">
        <v>173</v>
      </c>
      <c r="AG81" s="46">
        <v>127</v>
      </c>
      <c r="AH81" s="46">
        <v>73</v>
      </c>
      <c r="AI81" s="46">
        <v>39</v>
      </c>
      <c r="AJ81" s="46">
        <v>24</v>
      </c>
      <c r="AM81" s="55">
        <v>2019</v>
      </c>
      <c r="AN81" s="55" t="s">
        <v>183</v>
      </c>
      <c r="AO81" s="55">
        <v>4</v>
      </c>
      <c r="AP81" s="55">
        <v>7</v>
      </c>
      <c r="AQ81" s="55">
        <v>0</v>
      </c>
      <c r="AR81" s="55">
        <v>28500</v>
      </c>
      <c r="AS81" s="78">
        <f t="shared" si="4"/>
        <v>0</v>
      </c>
    </row>
    <row r="82" spans="22:45">
      <c r="V82" s="46">
        <v>2</v>
      </c>
      <c r="W82" s="46" t="s">
        <v>142</v>
      </c>
      <c r="X82" s="46" t="str">
        <f t="shared" si="5"/>
        <v>2 South East England</v>
      </c>
      <c r="Y82" s="46">
        <v>32</v>
      </c>
      <c r="Z82" s="46">
        <v>59</v>
      </c>
      <c r="AA82" s="46">
        <v>104</v>
      </c>
      <c r="AB82" s="46">
        <v>170</v>
      </c>
      <c r="AC82" s="46">
        <v>208</v>
      </c>
      <c r="AD82" s="46">
        <v>231</v>
      </c>
      <c r="AE82" s="46">
        <v>216</v>
      </c>
      <c r="AF82" s="46">
        <v>182</v>
      </c>
      <c r="AG82" s="46">
        <v>133</v>
      </c>
      <c r="AH82" s="46">
        <v>77</v>
      </c>
      <c r="AI82" s="46">
        <v>41</v>
      </c>
      <c r="AJ82" s="46">
        <v>25</v>
      </c>
      <c r="AM82" s="54">
        <v>2019</v>
      </c>
      <c r="AN82" s="54" t="s">
        <v>183</v>
      </c>
      <c r="AO82" s="54">
        <v>4</v>
      </c>
      <c r="AP82" s="54">
        <v>8</v>
      </c>
      <c r="AQ82" s="54">
        <v>0</v>
      </c>
      <c r="AR82" s="55">
        <v>28500</v>
      </c>
      <c r="AS82" s="78">
        <f t="shared" si="4"/>
        <v>0</v>
      </c>
    </row>
    <row r="83" spans="22:45">
      <c r="V83" s="46">
        <v>3</v>
      </c>
      <c r="W83" s="46" t="s">
        <v>143</v>
      </c>
      <c r="X83" s="46" t="str">
        <f t="shared" si="5"/>
        <v>3 Southern England</v>
      </c>
      <c r="Y83" s="46">
        <v>35</v>
      </c>
      <c r="Z83" s="46">
        <v>62</v>
      </c>
      <c r="AA83" s="46">
        <v>109</v>
      </c>
      <c r="AB83" s="46">
        <v>172</v>
      </c>
      <c r="AC83" s="46">
        <v>209</v>
      </c>
      <c r="AD83" s="46">
        <v>235</v>
      </c>
      <c r="AE83" s="46">
        <v>217</v>
      </c>
      <c r="AF83" s="46">
        <v>185</v>
      </c>
      <c r="AG83" s="46">
        <v>138</v>
      </c>
      <c r="AH83" s="46">
        <v>80</v>
      </c>
      <c r="AI83" s="46">
        <v>44</v>
      </c>
      <c r="AJ83" s="46">
        <v>27</v>
      </c>
      <c r="AM83" s="55">
        <v>2019</v>
      </c>
      <c r="AN83" s="55" t="s">
        <v>183</v>
      </c>
      <c r="AO83" s="55">
        <v>4</v>
      </c>
      <c r="AP83" s="55">
        <v>9</v>
      </c>
      <c r="AQ83" s="55">
        <v>11119.5</v>
      </c>
      <c r="AR83" s="55">
        <v>28500</v>
      </c>
      <c r="AS83" s="78">
        <f t="shared" si="4"/>
        <v>0.39015789473684209</v>
      </c>
    </row>
    <row r="84" spans="22:45">
      <c r="V84" s="46">
        <v>4</v>
      </c>
      <c r="W84" s="46" t="s">
        <v>144</v>
      </c>
      <c r="X84" s="46" t="str">
        <f t="shared" si="5"/>
        <v>4 South West England</v>
      </c>
      <c r="Y84" s="46">
        <v>36</v>
      </c>
      <c r="Z84" s="46">
        <v>63</v>
      </c>
      <c r="AA84" s="46">
        <v>111</v>
      </c>
      <c r="AB84" s="46">
        <v>174</v>
      </c>
      <c r="AC84" s="46">
        <v>210</v>
      </c>
      <c r="AD84" s="46">
        <v>233</v>
      </c>
      <c r="AE84" s="46">
        <v>204</v>
      </c>
      <c r="AF84" s="46">
        <v>182</v>
      </c>
      <c r="AG84" s="46">
        <v>136</v>
      </c>
      <c r="AH84" s="46">
        <v>78</v>
      </c>
      <c r="AI84" s="46">
        <v>44</v>
      </c>
      <c r="AJ84" s="46">
        <v>28</v>
      </c>
      <c r="AM84" s="54">
        <v>2019</v>
      </c>
      <c r="AN84" s="54" t="s">
        <v>183</v>
      </c>
      <c r="AO84" s="54">
        <v>4</v>
      </c>
      <c r="AP84" s="54">
        <v>10</v>
      </c>
      <c r="AQ84" s="54">
        <v>21972</v>
      </c>
      <c r="AR84" s="55">
        <v>28500</v>
      </c>
      <c r="AS84" s="78">
        <f t="shared" si="4"/>
        <v>0.7709473684210526</v>
      </c>
    </row>
    <row r="85" spans="22:45">
      <c r="V85" s="46">
        <v>5</v>
      </c>
      <c r="W85" s="46" t="s">
        <v>145</v>
      </c>
      <c r="X85" s="46" t="str">
        <f t="shared" si="5"/>
        <v>5 Severn Wales /
Severn England</v>
      </c>
      <c r="Y85" s="46">
        <v>32</v>
      </c>
      <c r="Z85" s="46">
        <v>59</v>
      </c>
      <c r="AA85" s="46">
        <v>105</v>
      </c>
      <c r="AB85" s="46">
        <v>167</v>
      </c>
      <c r="AC85" s="46">
        <v>201</v>
      </c>
      <c r="AD85" s="46">
        <v>226</v>
      </c>
      <c r="AE85" s="46">
        <v>206</v>
      </c>
      <c r="AF85" s="46">
        <v>175</v>
      </c>
      <c r="AG85" s="46">
        <v>130</v>
      </c>
      <c r="AH85" s="46">
        <v>74</v>
      </c>
      <c r="AI85" s="46">
        <v>40</v>
      </c>
      <c r="AJ85" s="46">
        <v>25</v>
      </c>
      <c r="AM85" s="55">
        <v>2019</v>
      </c>
      <c r="AN85" s="55" t="s">
        <v>183</v>
      </c>
      <c r="AO85" s="55">
        <v>4</v>
      </c>
      <c r="AP85" s="55">
        <v>11</v>
      </c>
      <c r="AQ85" s="55">
        <v>28517</v>
      </c>
      <c r="AR85" s="55">
        <v>28500</v>
      </c>
      <c r="AS85" s="78">
        <f t="shared" si="4"/>
        <v>1.0005964912280703</v>
      </c>
    </row>
    <row r="86" spans="22:45">
      <c r="V86" s="46">
        <v>6</v>
      </c>
      <c r="W86" s="46" t="s">
        <v>146</v>
      </c>
      <c r="X86" s="46" t="str">
        <f t="shared" si="5"/>
        <v>6 Midlands</v>
      </c>
      <c r="Y86" s="46">
        <v>28</v>
      </c>
      <c r="Z86" s="46">
        <v>55</v>
      </c>
      <c r="AA86" s="46">
        <v>97</v>
      </c>
      <c r="AB86" s="46">
        <v>153</v>
      </c>
      <c r="AC86" s="46">
        <v>191</v>
      </c>
      <c r="AD86" s="46">
        <v>208</v>
      </c>
      <c r="AE86" s="46">
        <v>194</v>
      </c>
      <c r="AF86" s="46">
        <v>163</v>
      </c>
      <c r="AG86" s="46">
        <v>121</v>
      </c>
      <c r="AH86" s="46">
        <v>69</v>
      </c>
      <c r="AI86" s="46">
        <v>35</v>
      </c>
      <c r="AJ86" s="46">
        <v>23</v>
      </c>
      <c r="AM86" s="54">
        <v>2019</v>
      </c>
      <c r="AN86" s="54" t="s">
        <v>183</v>
      </c>
      <c r="AO86" s="54">
        <v>4</v>
      </c>
      <c r="AP86" s="54">
        <v>12</v>
      </c>
      <c r="AQ86" s="54">
        <v>30326</v>
      </c>
      <c r="AR86" s="55">
        <v>28500</v>
      </c>
      <c r="AS86" s="78">
        <f t="shared" si="4"/>
        <v>1.0640701754385964</v>
      </c>
    </row>
    <row r="87" spans="22:45">
      <c r="V87" s="46">
        <v>7</v>
      </c>
      <c r="W87" s="46" t="s">
        <v>147</v>
      </c>
      <c r="X87" s="46" t="str">
        <f t="shared" si="5"/>
        <v>7 West Pennines Wales /
West Pennines England</v>
      </c>
      <c r="Y87" s="46">
        <v>24</v>
      </c>
      <c r="Z87" s="46">
        <v>51</v>
      </c>
      <c r="AA87" s="46">
        <v>95</v>
      </c>
      <c r="AB87" s="46">
        <v>152</v>
      </c>
      <c r="AC87" s="46">
        <v>191</v>
      </c>
      <c r="AD87" s="46">
        <v>203</v>
      </c>
      <c r="AE87" s="46">
        <v>186</v>
      </c>
      <c r="AF87" s="46">
        <v>152</v>
      </c>
      <c r="AG87" s="46">
        <v>115</v>
      </c>
      <c r="AH87" s="46">
        <v>65</v>
      </c>
      <c r="AI87" s="46">
        <v>31</v>
      </c>
      <c r="AJ87" s="46">
        <v>20</v>
      </c>
      <c r="AM87" s="55">
        <v>2019</v>
      </c>
      <c r="AN87" s="55" t="s">
        <v>183</v>
      </c>
      <c r="AO87" s="55">
        <v>4</v>
      </c>
      <c r="AP87" s="55">
        <v>13</v>
      </c>
      <c r="AQ87" s="55">
        <v>31297</v>
      </c>
      <c r="AR87" s="55">
        <v>28500</v>
      </c>
      <c r="AS87" s="78">
        <f t="shared" si="4"/>
        <v>1.098140350877193</v>
      </c>
    </row>
    <row r="88" spans="22:45">
      <c r="V88" s="46">
        <v>8</v>
      </c>
      <c r="W88" s="46" t="s">
        <v>148</v>
      </c>
      <c r="X88" s="46" t="str">
        <f t="shared" si="5"/>
        <v>8 North West England /
South West Scotland</v>
      </c>
      <c r="Y88" s="46">
        <v>23</v>
      </c>
      <c r="Z88" s="46">
        <v>51</v>
      </c>
      <c r="AA88" s="46">
        <v>95</v>
      </c>
      <c r="AB88" s="46">
        <v>157</v>
      </c>
      <c r="AC88" s="46">
        <v>200</v>
      </c>
      <c r="AD88" s="46">
        <v>203</v>
      </c>
      <c r="AE88" s="46">
        <v>194</v>
      </c>
      <c r="AF88" s="46">
        <v>156</v>
      </c>
      <c r="AG88" s="46">
        <v>113</v>
      </c>
      <c r="AH88" s="46">
        <v>62</v>
      </c>
      <c r="AI88" s="46">
        <v>30</v>
      </c>
      <c r="AJ88" s="46">
        <v>19</v>
      </c>
      <c r="AM88" s="54">
        <v>2019</v>
      </c>
      <c r="AN88" s="54" t="s">
        <v>183</v>
      </c>
      <c r="AO88" s="54">
        <v>4</v>
      </c>
      <c r="AP88" s="54">
        <v>14</v>
      </c>
      <c r="AQ88" s="54">
        <v>15802.5</v>
      </c>
      <c r="AR88" s="55">
        <v>28500</v>
      </c>
      <c r="AS88" s="78">
        <f t="shared" si="4"/>
        <v>0.55447368421052634</v>
      </c>
    </row>
    <row r="89" spans="22:45">
      <c r="V89" s="46">
        <v>9</v>
      </c>
      <c r="W89" s="46" t="s">
        <v>149</v>
      </c>
      <c r="X89" s="46" t="str">
        <f t="shared" si="5"/>
        <v>9 Borders Scotland /
Borders England</v>
      </c>
      <c r="Y89" s="46">
        <v>23</v>
      </c>
      <c r="Z89" s="46">
        <v>50</v>
      </c>
      <c r="AA89" s="46">
        <v>92</v>
      </c>
      <c r="AB89" s="46">
        <v>151</v>
      </c>
      <c r="AC89" s="46">
        <v>200</v>
      </c>
      <c r="AD89" s="46">
        <v>196</v>
      </c>
      <c r="AE89" s="46">
        <v>187</v>
      </c>
      <c r="AF89" s="46">
        <v>153</v>
      </c>
      <c r="AG89" s="46">
        <v>111</v>
      </c>
      <c r="AH89" s="46">
        <v>61</v>
      </c>
      <c r="AI89" s="46">
        <v>30</v>
      </c>
      <c r="AJ89" s="46">
        <v>18</v>
      </c>
      <c r="AM89" s="55">
        <v>2019</v>
      </c>
      <c r="AN89" s="55" t="s">
        <v>183</v>
      </c>
      <c r="AO89" s="55">
        <v>4</v>
      </c>
      <c r="AP89" s="55">
        <v>15</v>
      </c>
      <c r="AQ89" s="55">
        <v>8094</v>
      </c>
      <c r="AR89" s="55">
        <v>28500</v>
      </c>
      <c r="AS89" s="78">
        <f t="shared" si="4"/>
        <v>0.28399999999999997</v>
      </c>
    </row>
    <row r="90" spans="22:45">
      <c r="V90" s="46">
        <v>10</v>
      </c>
      <c r="W90" s="46" t="s">
        <v>150</v>
      </c>
      <c r="X90" s="46" t="str">
        <f t="shared" si="5"/>
        <v>10 North East England</v>
      </c>
      <c r="Y90" s="46">
        <v>25</v>
      </c>
      <c r="Z90" s="46">
        <v>51</v>
      </c>
      <c r="AA90" s="46">
        <v>95</v>
      </c>
      <c r="AB90" s="46">
        <v>152</v>
      </c>
      <c r="AC90" s="46">
        <v>196</v>
      </c>
      <c r="AD90" s="46">
        <v>198</v>
      </c>
      <c r="AE90" s="46">
        <v>190</v>
      </c>
      <c r="AF90" s="46">
        <v>156</v>
      </c>
      <c r="AG90" s="46">
        <v>115</v>
      </c>
      <c r="AH90" s="46">
        <v>64</v>
      </c>
      <c r="AI90" s="46">
        <v>32</v>
      </c>
      <c r="AJ90" s="46">
        <v>20</v>
      </c>
      <c r="AM90" s="54">
        <v>2019</v>
      </c>
      <c r="AN90" s="54" t="s">
        <v>183</v>
      </c>
      <c r="AO90" s="54">
        <v>4</v>
      </c>
      <c r="AP90" s="54">
        <v>16</v>
      </c>
      <c r="AQ90" s="54">
        <v>0</v>
      </c>
      <c r="AR90" s="55">
        <v>28500</v>
      </c>
      <c r="AS90" s="78">
        <f t="shared" si="4"/>
        <v>0</v>
      </c>
    </row>
    <row r="91" spans="22:45">
      <c r="V91" s="46">
        <v>11</v>
      </c>
      <c r="W91" s="46" t="s">
        <v>151</v>
      </c>
      <c r="X91" s="46" t="str">
        <f t="shared" si="5"/>
        <v>11 East Pennines</v>
      </c>
      <c r="Y91" s="46">
        <v>26</v>
      </c>
      <c r="Z91" s="46">
        <v>54</v>
      </c>
      <c r="AA91" s="46">
        <v>96</v>
      </c>
      <c r="AB91" s="46">
        <v>150</v>
      </c>
      <c r="AC91" s="46">
        <v>192</v>
      </c>
      <c r="AD91" s="46">
        <v>200</v>
      </c>
      <c r="AE91" s="46">
        <v>189</v>
      </c>
      <c r="AF91" s="46">
        <v>157</v>
      </c>
      <c r="AG91" s="46">
        <v>115</v>
      </c>
      <c r="AH91" s="46">
        <v>66</v>
      </c>
      <c r="AI91" s="46">
        <v>33</v>
      </c>
      <c r="AJ91" s="46">
        <v>21</v>
      </c>
      <c r="AM91" s="55">
        <v>2019</v>
      </c>
      <c r="AN91" s="55" t="s">
        <v>183</v>
      </c>
      <c r="AO91" s="55">
        <v>4</v>
      </c>
      <c r="AP91" s="55">
        <v>17</v>
      </c>
      <c r="AQ91" s="55">
        <v>0</v>
      </c>
      <c r="AR91" s="55">
        <v>28500</v>
      </c>
      <c r="AS91" s="78">
        <f t="shared" si="4"/>
        <v>0</v>
      </c>
    </row>
    <row r="92" spans="22:45">
      <c r="V92" s="46">
        <v>12</v>
      </c>
      <c r="W92" s="46" t="s">
        <v>152</v>
      </c>
      <c r="X92" s="46" t="str">
        <f t="shared" si="5"/>
        <v>12 East Anglia</v>
      </c>
      <c r="Y92" s="46">
        <v>30</v>
      </c>
      <c r="Z92" s="46">
        <v>58</v>
      </c>
      <c r="AA92" s="46">
        <v>101</v>
      </c>
      <c r="AB92" s="46">
        <v>165</v>
      </c>
      <c r="AC92" s="46">
        <v>203</v>
      </c>
      <c r="AD92" s="46">
        <v>220</v>
      </c>
      <c r="AE92" s="46">
        <v>206</v>
      </c>
      <c r="AF92" s="46">
        <v>173</v>
      </c>
      <c r="AG92" s="46">
        <v>128</v>
      </c>
      <c r="AH92" s="46">
        <v>74</v>
      </c>
      <c r="AI92" s="46">
        <v>39</v>
      </c>
      <c r="AJ92" s="46">
        <v>24</v>
      </c>
      <c r="AM92" s="54">
        <v>2019</v>
      </c>
      <c r="AN92" s="54" t="s">
        <v>183</v>
      </c>
      <c r="AO92" s="54">
        <v>4</v>
      </c>
      <c r="AP92" s="54">
        <v>18</v>
      </c>
      <c r="AQ92" s="54">
        <v>0</v>
      </c>
      <c r="AR92" s="55">
        <v>28500</v>
      </c>
      <c r="AS92" s="78">
        <f t="shared" si="4"/>
        <v>0</v>
      </c>
    </row>
    <row r="93" spans="22:45">
      <c r="V93" s="46">
        <v>13</v>
      </c>
      <c r="W93" s="46" t="s">
        <v>153</v>
      </c>
      <c r="X93" s="46" t="str">
        <f t="shared" si="5"/>
        <v>13 Wales</v>
      </c>
      <c r="Y93" s="46">
        <v>29</v>
      </c>
      <c r="Z93" s="46">
        <v>57</v>
      </c>
      <c r="AA93" s="46">
        <v>104</v>
      </c>
      <c r="AB93" s="46">
        <v>164</v>
      </c>
      <c r="AC93" s="46">
        <v>205</v>
      </c>
      <c r="AD93" s="46">
        <v>220</v>
      </c>
      <c r="AE93" s="46">
        <v>199</v>
      </c>
      <c r="AF93" s="46">
        <v>167</v>
      </c>
      <c r="AG93" s="46">
        <v>120</v>
      </c>
      <c r="AH93" s="46">
        <v>68</v>
      </c>
      <c r="AI93" s="46">
        <v>35</v>
      </c>
      <c r="AJ93" s="46">
        <v>22</v>
      </c>
      <c r="AM93" s="55">
        <v>2019</v>
      </c>
      <c r="AN93" s="55" t="s">
        <v>183</v>
      </c>
      <c r="AO93" s="55">
        <v>4</v>
      </c>
      <c r="AP93" s="55">
        <v>19</v>
      </c>
      <c r="AQ93" s="55">
        <v>0</v>
      </c>
      <c r="AR93" s="55">
        <v>28500</v>
      </c>
      <c r="AS93" s="78">
        <f t="shared" si="4"/>
        <v>0</v>
      </c>
    </row>
    <row r="94" spans="22:45">
      <c r="V94" s="46">
        <v>14</v>
      </c>
      <c r="W94" s="46" t="s">
        <v>154</v>
      </c>
      <c r="X94" s="46" t="str">
        <f t="shared" si="5"/>
        <v>14 West Scotland</v>
      </c>
      <c r="Y94" s="46">
        <v>19</v>
      </c>
      <c r="Z94" s="46">
        <v>46</v>
      </c>
      <c r="AA94" s="46">
        <v>88</v>
      </c>
      <c r="AB94" s="46">
        <v>148</v>
      </c>
      <c r="AC94" s="46">
        <v>196</v>
      </c>
      <c r="AD94" s="46">
        <v>193</v>
      </c>
      <c r="AE94" s="46">
        <v>185</v>
      </c>
      <c r="AF94" s="46">
        <v>150</v>
      </c>
      <c r="AG94" s="46">
        <v>101</v>
      </c>
      <c r="AH94" s="46">
        <v>55</v>
      </c>
      <c r="AI94" s="46">
        <v>25</v>
      </c>
      <c r="AJ94" s="46">
        <v>15</v>
      </c>
      <c r="AM94" s="54">
        <v>2019</v>
      </c>
      <c r="AN94" s="54" t="s">
        <v>183</v>
      </c>
      <c r="AO94" s="54">
        <v>4</v>
      </c>
      <c r="AP94" s="54">
        <v>20</v>
      </c>
      <c r="AQ94" s="54">
        <v>0</v>
      </c>
      <c r="AR94" s="55">
        <v>28500</v>
      </c>
      <c r="AS94" s="78">
        <f t="shared" si="4"/>
        <v>0</v>
      </c>
    </row>
    <row r="95" spans="22:45">
      <c r="V95" s="46">
        <v>15</v>
      </c>
      <c r="W95" s="46" t="s">
        <v>155</v>
      </c>
      <c r="X95" s="46" t="str">
        <f t="shared" si="5"/>
        <v>15 East Scotland</v>
      </c>
      <c r="Y95" s="46">
        <v>21</v>
      </c>
      <c r="Z95" s="46">
        <v>46</v>
      </c>
      <c r="AA95" s="46">
        <v>89</v>
      </c>
      <c r="AB95" s="46">
        <v>146</v>
      </c>
      <c r="AC95" s="46">
        <v>198</v>
      </c>
      <c r="AD95" s="46">
        <v>191</v>
      </c>
      <c r="AE95" s="46">
        <v>183</v>
      </c>
      <c r="AF95" s="46">
        <v>150</v>
      </c>
      <c r="AG95" s="46">
        <v>106</v>
      </c>
      <c r="AH95" s="46">
        <v>57</v>
      </c>
      <c r="AI95" s="46">
        <v>27</v>
      </c>
      <c r="AJ95" s="46">
        <v>15</v>
      </c>
      <c r="AM95" s="55">
        <v>2019</v>
      </c>
      <c r="AN95" s="55" t="s">
        <v>183</v>
      </c>
      <c r="AO95" s="55">
        <v>4</v>
      </c>
      <c r="AP95" s="55">
        <v>21</v>
      </c>
      <c r="AQ95" s="55">
        <v>0</v>
      </c>
      <c r="AR95" s="55">
        <v>28500</v>
      </c>
      <c r="AS95" s="78">
        <f t="shared" si="4"/>
        <v>0</v>
      </c>
    </row>
    <row r="96" spans="22:45">
      <c r="V96" s="46">
        <v>16</v>
      </c>
      <c r="W96" s="46" t="s">
        <v>156</v>
      </c>
      <c r="X96" s="46" t="str">
        <f t="shared" si="5"/>
        <v>16 North East Scotland</v>
      </c>
      <c r="Y96" s="46">
        <v>19</v>
      </c>
      <c r="Z96" s="46">
        <v>45</v>
      </c>
      <c r="AA96" s="46">
        <v>89</v>
      </c>
      <c r="AB96" s="46">
        <v>143</v>
      </c>
      <c r="AC96" s="46">
        <v>194</v>
      </c>
      <c r="AD96" s="46">
        <v>188</v>
      </c>
      <c r="AE96" s="46">
        <v>177</v>
      </c>
      <c r="AF96" s="46">
        <v>144</v>
      </c>
      <c r="AG96" s="46">
        <v>101</v>
      </c>
      <c r="AH96" s="46">
        <v>54</v>
      </c>
      <c r="AI96" s="46">
        <v>25</v>
      </c>
      <c r="AJ96" s="46">
        <v>14</v>
      </c>
      <c r="AM96" s="54">
        <v>2019</v>
      </c>
      <c r="AN96" s="54" t="s">
        <v>183</v>
      </c>
      <c r="AO96" s="54">
        <v>4</v>
      </c>
      <c r="AP96" s="54">
        <v>22</v>
      </c>
      <c r="AQ96" s="54">
        <v>0</v>
      </c>
      <c r="AR96" s="55">
        <v>28500</v>
      </c>
      <c r="AS96" s="78">
        <f t="shared" si="4"/>
        <v>0</v>
      </c>
    </row>
    <row r="97" spans="22:45">
      <c r="V97" s="46">
        <v>17</v>
      </c>
      <c r="W97" s="46" t="s">
        <v>157</v>
      </c>
      <c r="X97" s="46" t="str">
        <f t="shared" si="5"/>
        <v>17 Highland</v>
      </c>
      <c r="Y97" s="46">
        <v>17</v>
      </c>
      <c r="Z97" s="46">
        <v>43</v>
      </c>
      <c r="AA97" s="46">
        <v>85</v>
      </c>
      <c r="AB97" s="46">
        <v>145</v>
      </c>
      <c r="AC97" s="46">
        <v>189</v>
      </c>
      <c r="AD97" s="46">
        <v>185</v>
      </c>
      <c r="AE97" s="46">
        <v>170</v>
      </c>
      <c r="AF97" s="46">
        <v>139</v>
      </c>
      <c r="AG97" s="46">
        <v>98</v>
      </c>
      <c r="AH97" s="46">
        <v>51</v>
      </c>
      <c r="AI97" s="46">
        <v>22</v>
      </c>
      <c r="AJ97" s="46">
        <v>12</v>
      </c>
      <c r="AM97" s="55">
        <v>2019</v>
      </c>
      <c r="AN97" s="55" t="s">
        <v>183</v>
      </c>
      <c r="AO97" s="55">
        <v>4</v>
      </c>
      <c r="AP97" s="55">
        <v>23</v>
      </c>
      <c r="AQ97" s="55">
        <v>0</v>
      </c>
      <c r="AR97" s="55">
        <v>28500</v>
      </c>
      <c r="AS97" s="78">
        <f t="shared" si="4"/>
        <v>0</v>
      </c>
    </row>
    <row r="98" spans="22:45">
      <c r="V98" s="46">
        <v>18</v>
      </c>
      <c r="W98" s="46" t="s">
        <v>158</v>
      </c>
      <c r="X98" s="46" t="str">
        <f t="shared" si="5"/>
        <v>18 Western Isles</v>
      </c>
      <c r="Y98" s="46">
        <v>16</v>
      </c>
      <c r="Z98" s="46">
        <v>41</v>
      </c>
      <c r="AA98" s="46">
        <v>87</v>
      </c>
      <c r="AB98" s="46">
        <v>155</v>
      </c>
      <c r="AC98" s="46">
        <v>205</v>
      </c>
      <c r="AD98" s="46">
        <v>206</v>
      </c>
      <c r="AE98" s="46">
        <v>185</v>
      </c>
      <c r="AF98" s="46">
        <v>148</v>
      </c>
      <c r="AG98" s="46">
        <v>101</v>
      </c>
      <c r="AH98" s="46">
        <v>51</v>
      </c>
      <c r="AI98" s="46">
        <v>21</v>
      </c>
      <c r="AJ98" s="46">
        <v>11</v>
      </c>
      <c r="AM98" s="54">
        <v>2019</v>
      </c>
      <c r="AN98" s="54" t="s">
        <v>183</v>
      </c>
      <c r="AO98" s="54">
        <v>5</v>
      </c>
      <c r="AP98" s="54">
        <v>24</v>
      </c>
      <c r="AQ98" s="54">
        <v>0</v>
      </c>
      <c r="AR98" s="55">
        <v>28500</v>
      </c>
      <c r="AS98" s="78">
        <f t="shared" si="4"/>
        <v>0</v>
      </c>
    </row>
    <row r="99" spans="22:45">
      <c r="V99" s="46">
        <v>19</v>
      </c>
      <c r="W99" s="46" t="s">
        <v>159</v>
      </c>
      <c r="X99" s="46" t="str">
        <f t="shared" si="5"/>
        <v>19 Orkney</v>
      </c>
      <c r="Y99" s="46">
        <v>14</v>
      </c>
      <c r="Z99" s="46">
        <v>39</v>
      </c>
      <c r="AA99" s="46">
        <v>84</v>
      </c>
      <c r="AB99" s="46">
        <v>143</v>
      </c>
      <c r="AC99" s="46">
        <v>205</v>
      </c>
      <c r="AD99" s="46">
        <v>201</v>
      </c>
      <c r="AE99" s="46">
        <v>178</v>
      </c>
      <c r="AF99" s="46">
        <v>145</v>
      </c>
      <c r="AG99" s="46">
        <v>100</v>
      </c>
      <c r="AH99" s="46">
        <v>50</v>
      </c>
      <c r="AI99" s="46">
        <v>19</v>
      </c>
      <c r="AJ99" s="46">
        <v>9</v>
      </c>
      <c r="AM99" s="55">
        <v>2019</v>
      </c>
      <c r="AN99" s="55" t="s">
        <v>183</v>
      </c>
      <c r="AO99" s="55">
        <v>5</v>
      </c>
      <c r="AP99" s="55">
        <v>1</v>
      </c>
      <c r="AQ99" s="55">
        <v>0</v>
      </c>
      <c r="AR99" s="55">
        <v>28500</v>
      </c>
      <c r="AS99" s="78">
        <f t="shared" si="4"/>
        <v>0</v>
      </c>
    </row>
    <row r="100" spans="22:45">
      <c r="V100" s="46">
        <v>20</v>
      </c>
      <c r="W100" s="46" t="s">
        <v>160</v>
      </c>
      <c r="X100" s="46" t="str">
        <f t="shared" si="5"/>
        <v>20 Shetland</v>
      </c>
      <c r="Y100" s="46">
        <v>12</v>
      </c>
      <c r="Z100" s="46">
        <v>34</v>
      </c>
      <c r="AA100" s="46">
        <v>79</v>
      </c>
      <c r="AB100" s="46">
        <v>135</v>
      </c>
      <c r="AC100" s="46">
        <v>196</v>
      </c>
      <c r="AD100" s="46">
        <v>190</v>
      </c>
      <c r="AE100" s="46">
        <v>168</v>
      </c>
      <c r="AF100" s="46">
        <v>144</v>
      </c>
      <c r="AG100" s="46">
        <v>90</v>
      </c>
      <c r="AH100" s="46">
        <v>46</v>
      </c>
      <c r="AI100" s="46">
        <v>16</v>
      </c>
      <c r="AJ100" s="46">
        <v>7</v>
      </c>
      <c r="AM100" s="54">
        <v>2019</v>
      </c>
      <c r="AN100" s="54" t="s">
        <v>183</v>
      </c>
      <c r="AO100" s="54">
        <v>5</v>
      </c>
      <c r="AP100" s="54">
        <v>2</v>
      </c>
      <c r="AQ100" s="54">
        <v>0</v>
      </c>
      <c r="AR100" s="55">
        <v>28500</v>
      </c>
      <c r="AS100" s="78">
        <f t="shared" si="4"/>
        <v>0</v>
      </c>
    </row>
    <row r="101" spans="22:45">
      <c r="V101" s="46">
        <v>21</v>
      </c>
      <c r="W101" s="46" t="s">
        <v>161</v>
      </c>
      <c r="X101" s="46" t="str">
        <f t="shared" si="5"/>
        <v>21 Northern Ireland</v>
      </c>
      <c r="Y101" s="46">
        <v>24</v>
      </c>
      <c r="Z101" s="46">
        <v>52</v>
      </c>
      <c r="AA101" s="46">
        <v>96</v>
      </c>
      <c r="AB101" s="46">
        <v>155</v>
      </c>
      <c r="AC101" s="46">
        <v>201</v>
      </c>
      <c r="AD101" s="46">
        <v>198</v>
      </c>
      <c r="AE101" s="46">
        <v>183</v>
      </c>
      <c r="AF101" s="46">
        <v>150</v>
      </c>
      <c r="AG101" s="46">
        <v>107</v>
      </c>
      <c r="AH101" s="46">
        <v>61</v>
      </c>
      <c r="AI101" s="46">
        <v>30</v>
      </c>
      <c r="AJ101" s="46">
        <v>18</v>
      </c>
      <c r="AM101" s="55">
        <v>2019</v>
      </c>
      <c r="AN101" s="55" t="s">
        <v>183</v>
      </c>
      <c r="AO101" s="55">
        <v>5</v>
      </c>
      <c r="AP101" s="55">
        <v>3</v>
      </c>
      <c r="AQ101" s="55">
        <v>0</v>
      </c>
      <c r="AR101" s="55">
        <v>28500</v>
      </c>
      <c r="AS101" s="78">
        <f t="shared" si="4"/>
        <v>0</v>
      </c>
    </row>
    <row r="102" spans="22:45">
      <c r="V102" s="46"/>
      <c r="W102" s="46"/>
      <c r="X102" s="46"/>
      <c r="Y102" s="46"/>
      <c r="Z102" s="46"/>
      <c r="AA102" s="46" t="s">
        <v>162</v>
      </c>
      <c r="AB102" s="46"/>
      <c r="AC102" s="46"/>
      <c r="AD102" s="46"/>
      <c r="AE102" s="46"/>
      <c r="AF102" s="46"/>
      <c r="AG102" s="46"/>
      <c r="AH102" s="46"/>
      <c r="AI102" s="46"/>
      <c r="AJ102" s="46"/>
      <c r="AM102" s="54">
        <v>2019</v>
      </c>
      <c r="AN102" s="54" t="s">
        <v>183</v>
      </c>
      <c r="AO102" s="54">
        <v>5</v>
      </c>
      <c r="AP102" s="54">
        <v>4</v>
      </c>
      <c r="AQ102" s="54">
        <v>0</v>
      </c>
      <c r="AR102" s="55">
        <v>28500</v>
      </c>
      <c r="AS102" s="78">
        <f t="shared" si="4"/>
        <v>0</v>
      </c>
    </row>
    <row r="103" spans="22:45">
      <c r="V103" s="46" t="s">
        <v>163</v>
      </c>
      <c r="W103" s="46"/>
      <c r="X103" s="46"/>
      <c r="Y103" s="46">
        <v>-20.7</v>
      </c>
      <c r="Z103" s="46">
        <v>-12.8</v>
      </c>
      <c r="AA103" s="46">
        <v>-1.8</v>
      </c>
      <c r="AB103" s="46">
        <v>9.8000000000000007</v>
      </c>
      <c r="AC103" s="46">
        <v>18.8</v>
      </c>
      <c r="AD103" s="46">
        <v>23.1</v>
      </c>
      <c r="AE103" s="46">
        <v>21.2</v>
      </c>
      <c r="AF103" s="46">
        <v>13.7</v>
      </c>
      <c r="AG103" s="46">
        <v>2.9</v>
      </c>
      <c r="AH103" s="46">
        <v>-8.6999999999999993</v>
      </c>
      <c r="AI103" s="46">
        <v>-18.399999999999999</v>
      </c>
      <c r="AJ103" s="46">
        <v>-23</v>
      </c>
      <c r="AM103" s="55">
        <v>2019</v>
      </c>
      <c r="AN103" s="55" t="s">
        <v>183</v>
      </c>
      <c r="AO103" s="55">
        <v>5</v>
      </c>
      <c r="AP103" s="55">
        <v>5</v>
      </c>
      <c r="AQ103" s="55">
        <v>0</v>
      </c>
      <c r="AR103" s="55">
        <v>28500</v>
      </c>
      <c r="AS103" s="78">
        <f t="shared" si="4"/>
        <v>0</v>
      </c>
    </row>
    <row r="104" spans="22:45">
      <c r="AM104" s="54">
        <v>2019</v>
      </c>
      <c r="AN104" s="54" t="s">
        <v>183</v>
      </c>
      <c r="AO104" s="54">
        <v>5</v>
      </c>
      <c r="AP104" s="54">
        <v>6</v>
      </c>
      <c r="AQ104" s="54">
        <v>0</v>
      </c>
      <c r="AR104" s="55">
        <v>28500</v>
      </c>
      <c r="AS104" s="78">
        <f t="shared" si="4"/>
        <v>0</v>
      </c>
    </row>
    <row r="105" spans="22:45">
      <c r="AM105" s="55">
        <v>2019</v>
      </c>
      <c r="AN105" s="55" t="s">
        <v>183</v>
      </c>
      <c r="AO105" s="55">
        <v>5</v>
      </c>
      <c r="AP105" s="55">
        <v>7</v>
      </c>
      <c r="AQ105" s="55">
        <v>0</v>
      </c>
      <c r="AR105" s="55">
        <v>28500</v>
      </c>
      <c r="AS105" s="78">
        <f t="shared" si="4"/>
        <v>0</v>
      </c>
    </row>
    <row r="106" spans="22:45">
      <c r="V106" s="46" t="s">
        <v>133</v>
      </c>
      <c r="W106" s="46"/>
      <c r="X106" s="46"/>
      <c r="Y106" s="46"/>
      <c r="Z106" s="46"/>
      <c r="AA106" s="46"/>
      <c r="AB106" s="46"/>
      <c r="AC106" s="46"/>
      <c r="AD106" s="46"/>
      <c r="AM106" s="54">
        <v>2019</v>
      </c>
      <c r="AN106" s="54" t="s">
        <v>183</v>
      </c>
      <c r="AO106" s="54">
        <v>5</v>
      </c>
      <c r="AP106" s="54">
        <v>8</v>
      </c>
      <c r="AQ106" s="54">
        <v>0</v>
      </c>
      <c r="AR106" s="55">
        <v>28500</v>
      </c>
      <c r="AS106" s="78">
        <f t="shared" si="4"/>
        <v>0</v>
      </c>
    </row>
    <row r="107" spans="22:45">
      <c r="V107" s="46" t="s">
        <v>164</v>
      </c>
      <c r="W107" s="46"/>
      <c r="X107" s="46"/>
      <c r="Y107" s="46"/>
      <c r="Z107" s="46"/>
      <c r="AA107" s="46"/>
      <c r="AB107" s="46"/>
      <c r="AC107" s="46"/>
      <c r="AD107" s="46"/>
      <c r="AM107" s="55">
        <v>2019</v>
      </c>
      <c r="AN107" s="55" t="s">
        <v>183</v>
      </c>
      <c r="AO107" s="55">
        <v>5</v>
      </c>
      <c r="AP107" s="55">
        <v>9</v>
      </c>
      <c r="AQ107" s="55">
        <v>289.5</v>
      </c>
      <c r="AR107" s="55">
        <v>28500</v>
      </c>
      <c r="AS107" s="78">
        <f t="shared" si="4"/>
        <v>1.0157894736842105E-2</v>
      </c>
    </row>
    <row r="108" spans="22:45">
      <c r="V108" s="46" t="s">
        <v>165</v>
      </c>
      <c r="W108" s="46"/>
      <c r="X108" s="46"/>
      <c r="Y108" s="46"/>
      <c r="Z108" s="46" t="s">
        <v>166</v>
      </c>
      <c r="AA108" s="46"/>
      <c r="AB108" s="46"/>
      <c r="AC108" s="46"/>
      <c r="AD108" s="46"/>
      <c r="AM108" s="54">
        <v>2019</v>
      </c>
      <c r="AN108" s="54" t="s">
        <v>183</v>
      </c>
      <c r="AO108" s="54">
        <v>5</v>
      </c>
      <c r="AP108" s="54">
        <v>10</v>
      </c>
      <c r="AQ108" s="54">
        <v>1153</v>
      </c>
      <c r="AR108" s="55">
        <v>28500</v>
      </c>
      <c r="AS108" s="78">
        <f t="shared" si="4"/>
        <v>4.045614035087719E-2</v>
      </c>
    </row>
    <row r="109" spans="22:45">
      <c r="V109" s="46" t="s">
        <v>167</v>
      </c>
      <c r="W109" s="46"/>
      <c r="X109" s="46"/>
      <c r="Y109" s="46"/>
      <c r="Z109" s="46"/>
      <c r="AA109" s="46"/>
      <c r="AB109" s="46"/>
      <c r="AC109" s="46"/>
      <c r="AD109" s="46"/>
      <c r="AM109" s="55">
        <v>2019</v>
      </c>
      <c r="AN109" s="55" t="s">
        <v>183</v>
      </c>
      <c r="AO109" s="55">
        <v>5</v>
      </c>
      <c r="AP109" s="55">
        <v>11</v>
      </c>
      <c r="AQ109" s="55">
        <v>796.5</v>
      </c>
      <c r="AR109" s="55">
        <v>28500</v>
      </c>
      <c r="AS109" s="78">
        <f t="shared" si="4"/>
        <v>2.794736842105263E-2</v>
      </c>
    </row>
    <row r="110" spans="22:45">
      <c r="V110" s="46" t="s">
        <v>168</v>
      </c>
      <c r="W110" s="46"/>
      <c r="X110" s="46"/>
      <c r="Y110" s="46"/>
      <c r="Z110" s="46"/>
      <c r="AA110" s="46"/>
      <c r="AB110" s="46"/>
      <c r="AC110" s="46"/>
      <c r="AD110" s="46"/>
      <c r="AM110" s="54">
        <v>2019</v>
      </c>
      <c r="AN110" s="54" t="s">
        <v>183</v>
      </c>
      <c r="AO110" s="54">
        <v>5</v>
      </c>
      <c r="AP110" s="54">
        <v>12</v>
      </c>
      <c r="AQ110" s="54">
        <v>1107</v>
      </c>
      <c r="AR110" s="55">
        <v>28500</v>
      </c>
      <c r="AS110" s="78">
        <f t="shared" si="4"/>
        <v>3.8842105263157893E-2</v>
      </c>
    </row>
    <row r="111" spans="22:45">
      <c r="V111" s="46" t="s">
        <v>169</v>
      </c>
      <c r="W111" s="46"/>
      <c r="X111" s="46"/>
      <c r="Y111" s="46"/>
      <c r="Z111" s="46"/>
      <c r="AA111" s="46"/>
      <c r="AB111" s="46"/>
      <c r="AC111" s="46"/>
      <c r="AD111" s="46"/>
      <c r="AM111" s="55">
        <v>2019</v>
      </c>
      <c r="AN111" s="55" t="s">
        <v>183</v>
      </c>
      <c r="AO111" s="55">
        <v>5</v>
      </c>
      <c r="AP111" s="55">
        <v>13</v>
      </c>
      <c r="AQ111" s="55">
        <v>1140</v>
      </c>
      <c r="AR111" s="55">
        <v>28500</v>
      </c>
      <c r="AS111" s="78">
        <f t="shared" si="4"/>
        <v>0.04</v>
      </c>
    </row>
    <row r="112" spans="22:45">
      <c r="V112" s="46" t="s">
        <v>170</v>
      </c>
      <c r="W112" s="46"/>
      <c r="X112" s="46"/>
      <c r="Y112" s="46"/>
      <c r="Z112" s="46"/>
      <c r="AA112" s="46"/>
      <c r="AB112" s="46"/>
      <c r="AC112" s="46"/>
      <c r="AD112" s="46"/>
      <c r="AM112" s="54">
        <v>2019</v>
      </c>
      <c r="AN112" s="54" t="s">
        <v>183</v>
      </c>
      <c r="AO112" s="54">
        <v>5</v>
      </c>
      <c r="AP112" s="54">
        <v>14</v>
      </c>
      <c r="AQ112" s="54">
        <v>656.5</v>
      </c>
      <c r="AR112" s="55">
        <v>28500</v>
      </c>
      <c r="AS112" s="78">
        <f t="shared" si="4"/>
        <v>2.3035087719298245E-2</v>
      </c>
    </row>
    <row r="113" spans="22:45">
      <c r="V113" s="46" t="s">
        <v>171</v>
      </c>
      <c r="W113" s="46"/>
      <c r="X113" s="46"/>
      <c r="Y113" s="46"/>
      <c r="Z113" s="46"/>
      <c r="AA113" s="46"/>
      <c r="AB113" s="46"/>
      <c r="AC113" s="46"/>
      <c r="AD113" s="46"/>
      <c r="AM113" s="55">
        <v>2019</v>
      </c>
      <c r="AN113" s="55" t="s">
        <v>183</v>
      </c>
      <c r="AO113" s="55">
        <v>5</v>
      </c>
      <c r="AP113" s="55">
        <v>15</v>
      </c>
      <c r="AQ113" s="55">
        <v>313.5</v>
      </c>
      <c r="AR113" s="55">
        <v>28500</v>
      </c>
      <c r="AS113" s="78">
        <f t="shared" si="4"/>
        <v>1.0999999999999999E-2</v>
      </c>
    </row>
    <row r="114" spans="22:45">
      <c r="V114" s="46"/>
      <c r="W114" s="46"/>
      <c r="X114" s="46"/>
      <c r="Y114" s="46" t="s">
        <v>38</v>
      </c>
      <c r="Z114" s="46"/>
      <c r="AA114" s="46"/>
      <c r="AB114" s="46"/>
      <c r="AC114" s="46"/>
      <c r="AD114" s="46"/>
      <c r="AM114" s="54">
        <v>2019</v>
      </c>
      <c r="AN114" s="54" t="s">
        <v>183</v>
      </c>
      <c r="AO114" s="54">
        <v>5</v>
      </c>
      <c r="AP114" s="54">
        <v>16</v>
      </c>
      <c r="AQ114" s="54">
        <v>0</v>
      </c>
      <c r="AR114" s="55">
        <v>28500</v>
      </c>
      <c r="AS114" s="78">
        <f t="shared" si="4"/>
        <v>0</v>
      </c>
    </row>
    <row r="115" spans="22:45">
      <c r="V115" s="50"/>
      <c r="W115" s="50" t="s">
        <v>172</v>
      </c>
      <c r="X115" s="50" t="s">
        <v>173</v>
      </c>
      <c r="Y115" s="46" t="s">
        <v>174</v>
      </c>
      <c r="Z115" s="50" t="s">
        <v>175</v>
      </c>
      <c r="AA115" s="46" t="s">
        <v>176</v>
      </c>
      <c r="AB115" s="50" t="s">
        <v>177</v>
      </c>
      <c r="AC115" s="46" t="s">
        <v>178</v>
      </c>
      <c r="AD115" s="50" t="s">
        <v>179</v>
      </c>
      <c r="AM115" s="55">
        <v>2019</v>
      </c>
      <c r="AN115" s="55" t="s">
        <v>183</v>
      </c>
      <c r="AO115" s="55">
        <v>5</v>
      </c>
      <c r="AP115" s="55">
        <v>17</v>
      </c>
      <c r="AQ115" s="55">
        <v>0</v>
      </c>
      <c r="AR115" s="55">
        <v>28500</v>
      </c>
      <c r="AS115" s="78">
        <f t="shared" si="4"/>
        <v>0</v>
      </c>
    </row>
    <row r="116" spans="22:45">
      <c r="V116" s="50" t="s">
        <v>111</v>
      </c>
      <c r="W116" s="51">
        <v>26.3</v>
      </c>
      <c r="X116" s="51">
        <v>0.16500000000000001</v>
      </c>
      <c r="Y116" s="51">
        <v>0.16500000000000001</v>
      </c>
      <c r="Z116" s="51">
        <v>1.44</v>
      </c>
      <c r="AA116" s="51">
        <v>1.44</v>
      </c>
      <c r="AB116" s="51">
        <v>-2.95</v>
      </c>
      <c r="AC116" s="51">
        <v>-2.95</v>
      </c>
      <c r="AD116" s="51">
        <v>-0.66</v>
      </c>
      <c r="AM116" s="54">
        <v>2019</v>
      </c>
      <c r="AN116" s="54" t="s">
        <v>183</v>
      </c>
      <c r="AO116" s="54">
        <v>5</v>
      </c>
      <c r="AP116" s="54">
        <v>18</v>
      </c>
      <c r="AQ116" s="54">
        <v>0</v>
      </c>
      <c r="AR116" s="55">
        <v>28500</v>
      </c>
      <c r="AS116" s="78">
        <f t="shared" si="4"/>
        <v>0</v>
      </c>
    </row>
    <row r="117" spans="22:45">
      <c r="V117" s="50" t="s">
        <v>112</v>
      </c>
      <c r="W117" s="51">
        <v>-38.5</v>
      </c>
      <c r="X117" s="51">
        <v>-3.68</v>
      </c>
      <c r="Y117" s="51">
        <v>-3.68</v>
      </c>
      <c r="Z117" s="51">
        <v>-2.36</v>
      </c>
      <c r="AA117" s="51">
        <v>-2.36</v>
      </c>
      <c r="AB117" s="51">
        <v>2.89</v>
      </c>
      <c r="AC117" s="51">
        <v>2.89</v>
      </c>
      <c r="AD117" s="51">
        <v>-0.106</v>
      </c>
      <c r="AM117" s="55">
        <v>2019</v>
      </c>
      <c r="AN117" s="55" t="s">
        <v>183</v>
      </c>
      <c r="AO117" s="55">
        <v>5</v>
      </c>
      <c r="AP117" s="55">
        <v>19</v>
      </c>
      <c r="AQ117" s="55">
        <v>0</v>
      </c>
      <c r="AR117" s="55">
        <v>28500</v>
      </c>
      <c r="AS117" s="78">
        <f t="shared" si="4"/>
        <v>0</v>
      </c>
    </row>
    <row r="118" spans="22:45">
      <c r="V118" s="50" t="s">
        <v>113</v>
      </c>
      <c r="W118" s="51">
        <v>14.8</v>
      </c>
      <c r="X118" s="51">
        <v>3</v>
      </c>
      <c r="Y118" s="51">
        <v>3</v>
      </c>
      <c r="Z118" s="51">
        <v>1.07</v>
      </c>
      <c r="AA118" s="51">
        <v>1.07</v>
      </c>
      <c r="AB118" s="51">
        <v>1.17</v>
      </c>
      <c r="AC118" s="51">
        <v>1.17</v>
      </c>
      <c r="AD118" s="51">
        <v>2.93</v>
      </c>
      <c r="AM118" s="54">
        <v>2019</v>
      </c>
      <c r="AN118" s="54" t="s">
        <v>183</v>
      </c>
      <c r="AO118" s="54">
        <v>5</v>
      </c>
      <c r="AP118" s="54">
        <v>20</v>
      </c>
      <c r="AQ118" s="54">
        <v>0</v>
      </c>
      <c r="AR118" s="55">
        <v>28500</v>
      </c>
      <c r="AS118" s="78">
        <f t="shared" si="4"/>
        <v>0</v>
      </c>
    </row>
    <row r="119" spans="22:45">
      <c r="V119" s="50" t="s">
        <v>114</v>
      </c>
      <c r="W119" s="51">
        <v>-16.5</v>
      </c>
      <c r="X119" s="51">
        <v>6.38</v>
      </c>
      <c r="Y119" s="51">
        <v>6.38</v>
      </c>
      <c r="Z119" s="51">
        <v>-0.51400000000000001</v>
      </c>
      <c r="AA119" s="51">
        <v>-0.51400000000000001</v>
      </c>
      <c r="AB119" s="51">
        <v>5.67</v>
      </c>
      <c r="AC119" s="51">
        <v>5.67</v>
      </c>
      <c r="AD119" s="51">
        <v>3.63</v>
      </c>
      <c r="AM119" s="55">
        <v>2019</v>
      </c>
      <c r="AN119" s="55" t="s">
        <v>183</v>
      </c>
      <c r="AO119" s="55">
        <v>5</v>
      </c>
      <c r="AP119" s="55">
        <v>21</v>
      </c>
      <c r="AQ119" s="55">
        <v>0</v>
      </c>
      <c r="AR119" s="55">
        <v>28500</v>
      </c>
      <c r="AS119" s="78">
        <f t="shared" si="4"/>
        <v>0</v>
      </c>
    </row>
    <row r="120" spans="22:45">
      <c r="V120" s="50" t="s">
        <v>115</v>
      </c>
      <c r="W120" s="51">
        <v>27.3</v>
      </c>
      <c r="X120" s="51">
        <v>-4.53</v>
      </c>
      <c r="Y120" s="51">
        <v>-4.53</v>
      </c>
      <c r="Z120" s="51">
        <v>1.89</v>
      </c>
      <c r="AA120" s="51">
        <v>1.89</v>
      </c>
      <c r="AB120" s="51">
        <v>-3.54</v>
      </c>
      <c r="AC120" s="51">
        <v>-3.54</v>
      </c>
      <c r="AD120" s="51">
        <v>-0.374</v>
      </c>
      <c r="AM120" s="54">
        <v>2019</v>
      </c>
      <c r="AN120" s="54" t="s">
        <v>183</v>
      </c>
      <c r="AO120" s="54">
        <v>5</v>
      </c>
      <c r="AP120" s="54">
        <v>22</v>
      </c>
      <c r="AQ120" s="54">
        <v>0</v>
      </c>
      <c r="AR120" s="55">
        <v>28500</v>
      </c>
      <c r="AS120" s="78">
        <f t="shared" si="4"/>
        <v>0</v>
      </c>
    </row>
    <row r="121" spans="22:45">
      <c r="V121" s="50" t="s">
        <v>116</v>
      </c>
      <c r="W121" s="51">
        <v>-11.9</v>
      </c>
      <c r="X121" s="51">
        <v>-0.40500000000000003</v>
      </c>
      <c r="Y121" s="51">
        <v>-0.40500000000000003</v>
      </c>
      <c r="Z121" s="51">
        <v>-1.64</v>
      </c>
      <c r="AA121" s="51">
        <v>-1.64</v>
      </c>
      <c r="AB121" s="51">
        <v>-4.28</v>
      </c>
      <c r="AC121" s="51">
        <v>-4.28</v>
      </c>
      <c r="AD121" s="51">
        <v>-7.4</v>
      </c>
      <c r="AM121" s="55">
        <v>2019</v>
      </c>
      <c r="AN121" s="55" t="s">
        <v>183</v>
      </c>
      <c r="AO121" s="55">
        <v>5</v>
      </c>
      <c r="AP121" s="55">
        <v>23</v>
      </c>
      <c r="AQ121" s="55">
        <v>0</v>
      </c>
      <c r="AR121" s="55">
        <v>28500</v>
      </c>
      <c r="AS121" s="78">
        <f t="shared" si="4"/>
        <v>0</v>
      </c>
    </row>
    <row r="122" spans="22:45">
      <c r="V122" s="50" t="s">
        <v>117</v>
      </c>
      <c r="W122" s="51" t="s">
        <v>180</v>
      </c>
      <c r="X122" s="51">
        <v>-4.38</v>
      </c>
      <c r="Y122" s="51">
        <v>-4.38</v>
      </c>
      <c r="Z122" s="51">
        <v>-0.54200000000000004</v>
      </c>
      <c r="AA122" s="51">
        <v>-0.54200000000000004</v>
      </c>
      <c r="AB122" s="51">
        <v>-2.72</v>
      </c>
      <c r="AC122" s="51">
        <v>-2.72</v>
      </c>
      <c r="AD122" s="51">
        <v>-2.71</v>
      </c>
      <c r="AM122" s="54">
        <v>2019</v>
      </c>
      <c r="AN122" s="54" t="s">
        <v>183</v>
      </c>
      <c r="AO122" s="54">
        <v>6</v>
      </c>
      <c r="AP122" s="54">
        <v>24</v>
      </c>
      <c r="AQ122" s="54">
        <v>0</v>
      </c>
      <c r="AR122" s="55">
        <v>28500</v>
      </c>
      <c r="AS122" s="78">
        <f t="shared" si="4"/>
        <v>0</v>
      </c>
    </row>
    <row r="123" spans="22:45">
      <c r="V123" s="50" t="s">
        <v>118</v>
      </c>
      <c r="W123" s="51">
        <v>8.72E-2</v>
      </c>
      <c r="X123" s="51">
        <v>4.8899999999999997</v>
      </c>
      <c r="Y123" s="51">
        <v>4.8899999999999997</v>
      </c>
      <c r="Z123" s="51">
        <v>-0.75700000000000001</v>
      </c>
      <c r="AA123" s="51">
        <v>-0.75700000000000001</v>
      </c>
      <c r="AB123" s="51">
        <v>-0.25</v>
      </c>
      <c r="AC123" s="51">
        <v>-0.25</v>
      </c>
      <c r="AD123" s="51">
        <v>-0.99099999999999999</v>
      </c>
      <c r="AM123" s="55">
        <v>2019</v>
      </c>
      <c r="AN123" s="55" t="s">
        <v>183</v>
      </c>
      <c r="AO123" s="55">
        <v>6</v>
      </c>
      <c r="AP123" s="55">
        <v>1</v>
      </c>
      <c r="AQ123" s="55">
        <v>0</v>
      </c>
      <c r="AR123" s="55">
        <v>28500</v>
      </c>
      <c r="AS123" s="78">
        <f t="shared" si="4"/>
        <v>0</v>
      </c>
    </row>
    <row r="124" spans="22:45">
      <c r="V124" s="50" t="s">
        <v>119</v>
      </c>
      <c r="W124" s="51">
        <v>-0.191</v>
      </c>
      <c r="X124" s="51">
        <v>-1.99</v>
      </c>
      <c r="Y124" s="51">
        <v>-1.99</v>
      </c>
      <c r="Z124" s="51">
        <v>0.60399999999999998</v>
      </c>
      <c r="AA124" s="51">
        <v>0.60399999999999998</v>
      </c>
      <c r="AB124" s="51">
        <v>3.07</v>
      </c>
      <c r="AC124" s="51">
        <v>3.07</v>
      </c>
      <c r="AD124" s="51">
        <v>4.59</v>
      </c>
      <c r="AM124" s="54">
        <v>2019</v>
      </c>
      <c r="AN124" s="54" t="s">
        <v>183</v>
      </c>
      <c r="AO124" s="54">
        <v>6</v>
      </c>
      <c r="AP124" s="54">
        <v>2</v>
      </c>
      <c r="AQ124" s="54">
        <v>0</v>
      </c>
      <c r="AR124" s="55">
        <v>28500</v>
      </c>
      <c r="AS124" s="78">
        <f t="shared" si="4"/>
        <v>0</v>
      </c>
    </row>
    <row r="125" spans="22:45">
      <c r="AM125" s="55">
        <v>2019</v>
      </c>
      <c r="AN125" s="55" t="s">
        <v>183</v>
      </c>
      <c r="AO125" s="55">
        <v>6</v>
      </c>
      <c r="AP125" s="55">
        <v>3</v>
      </c>
      <c r="AQ125" s="55">
        <v>0</v>
      </c>
      <c r="AR125" s="55">
        <v>28500</v>
      </c>
      <c r="AS125" s="78">
        <f t="shared" si="4"/>
        <v>0</v>
      </c>
    </row>
    <row r="126" spans="22:45">
      <c r="AM126" s="54">
        <v>2019</v>
      </c>
      <c r="AN126" s="54" t="s">
        <v>183</v>
      </c>
      <c r="AO126" s="54">
        <v>6</v>
      </c>
      <c r="AP126" s="54">
        <v>4</v>
      </c>
      <c r="AQ126" s="54">
        <v>0</v>
      </c>
      <c r="AR126" s="55">
        <v>28500</v>
      </c>
      <c r="AS126" s="78">
        <f t="shared" si="4"/>
        <v>0</v>
      </c>
    </row>
    <row r="127" spans="22:45">
      <c r="AM127" s="55">
        <v>2019</v>
      </c>
      <c r="AN127" s="55" t="s">
        <v>183</v>
      </c>
      <c r="AO127" s="55">
        <v>6</v>
      </c>
      <c r="AP127" s="55">
        <v>5</v>
      </c>
      <c r="AQ127" s="55">
        <v>0</v>
      </c>
      <c r="AR127" s="55">
        <v>28500</v>
      </c>
      <c r="AS127" s="78">
        <f t="shared" si="4"/>
        <v>0</v>
      </c>
    </row>
    <row r="128" spans="22:45">
      <c r="AM128" s="54">
        <v>2019</v>
      </c>
      <c r="AN128" s="54" t="s">
        <v>183</v>
      </c>
      <c r="AO128" s="54">
        <v>6</v>
      </c>
      <c r="AP128" s="54">
        <v>6</v>
      </c>
      <c r="AQ128" s="54">
        <v>0</v>
      </c>
      <c r="AR128" s="55">
        <v>28500</v>
      </c>
      <c r="AS128" s="78">
        <f t="shared" si="4"/>
        <v>0</v>
      </c>
    </row>
    <row r="129" spans="39:45">
      <c r="AM129" s="55">
        <v>2019</v>
      </c>
      <c r="AN129" s="55" t="s">
        <v>183</v>
      </c>
      <c r="AO129" s="55">
        <v>6</v>
      </c>
      <c r="AP129" s="55">
        <v>7</v>
      </c>
      <c r="AQ129" s="55">
        <v>0</v>
      </c>
      <c r="AR129" s="55">
        <v>28500</v>
      </c>
      <c r="AS129" s="78">
        <f t="shared" si="4"/>
        <v>0</v>
      </c>
    </row>
    <row r="130" spans="39:45">
      <c r="AM130" s="54">
        <v>2019</v>
      </c>
      <c r="AN130" s="54" t="s">
        <v>183</v>
      </c>
      <c r="AO130" s="54">
        <v>6</v>
      </c>
      <c r="AP130" s="54">
        <v>8</v>
      </c>
      <c r="AQ130" s="54">
        <v>0</v>
      </c>
      <c r="AR130" s="55">
        <v>28500</v>
      </c>
      <c r="AS130" s="78">
        <f t="shared" ref="AS130:AS193" si="6">AQ130/AR130</f>
        <v>0</v>
      </c>
    </row>
    <row r="131" spans="39:45">
      <c r="AM131" s="55">
        <v>2019</v>
      </c>
      <c r="AN131" s="55" t="s">
        <v>183</v>
      </c>
      <c r="AO131" s="55">
        <v>6</v>
      </c>
      <c r="AP131" s="55">
        <v>9</v>
      </c>
      <c r="AQ131" s="55">
        <v>725.5</v>
      </c>
      <c r="AR131" s="55">
        <v>28500</v>
      </c>
      <c r="AS131" s="78">
        <f t="shared" si="6"/>
        <v>2.5456140350877194E-2</v>
      </c>
    </row>
    <row r="132" spans="39:45">
      <c r="AM132" s="54">
        <v>2019</v>
      </c>
      <c r="AN132" s="54" t="s">
        <v>183</v>
      </c>
      <c r="AO132" s="54">
        <v>6</v>
      </c>
      <c r="AP132" s="54">
        <v>10</v>
      </c>
      <c r="AQ132" s="54">
        <v>9233</v>
      </c>
      <c r="AR132" s="55">
        <v>28500</v>
      </c>
      <c r="AS132" s="78">
        <f t="shared" si="6"/>
        <v>0.32396491228070173</v>
      </c>
    </row>
    <row r="133" spans="39:45">
      <c r="AM133" s="55">
        <v>2019</v>
      </c>
      <c r="AN133" s="55" t="s">
        <v>183</v>
      </c>
      <c r="AO133" s="55">
        <v>6</v>
      </c>
      <c r="AP133" s="55">
        <v>11</v>
      </c>
      <c r="AQ133" s="55">
        <v>5505</v>
      </c>
      <c r="AR133" s="55">
        <v>28500</v>
      </c>
      <c r="AS133" s="78">
        <f t="shared" si="6"/>
        <v>0.19315789473684211</v>
      </c>
    </row>
    <row r="134" spans="39:45">
      <c r="AM134" s="54">
        <v>2019</v>
      </c>
      <c r="AN134" s="54" t="s">
        <v>183</v>
      </c>
      <c r="AO134" s="54">
        <v>6</v>
      </c>
      <c r="AP134" s="54">
        <v>12</v>
      </c>
      <c r="AQ134" s="54">
        <v>2848.5</v>
      </c>
      <c r="AR134" s="55">
        <v>28500</v>
      </c>
      <c r="AS134" s="78">
        <f t="shared" si="6"/>
        <v>9.9947368421052632E-2</v>
      </c>
    </row>
    <row r="135" spans="39:45">
      <c r="AM135" s="55">
        <v>2019</v>
      </c>
      <c r="AN135" s="55" t="s">
        <v>183</v>
      </c>
      <c r="AO135" s="55">
        <v>6</v>
      </c>
      <c r="AP135" s="55">
        <v>13</v>
      </c>
      <c r="AQ135" s="55">
        <v>3924.5</v>
      </c>
      <c r="AR135" s="55">
        <v>28500</v>
      </c>
      <c r="AS135" s="78">
        <f t="shared" si="6"/>
        <v>0.13770175438596491</v>
      </c>
    </row>
    <row r="136" spans="39:45">
      <c r="AM136" s="54">
        <v>2019</v>
      </c>
      <c r="AN136" s="54" t="s">
        <v>183</v>
      </c>
      <c r="AO136" s="54">
        <v>6</v>
      </c>
      <c r="AP136" s="54">
        <v>14</v>
      </c>
      <c r="AQ136" s="54">
        <v>6792.5</v>
      </c>
      <c r="AR136" s="55">
        <v>28500</v>
      </c>
      <c r="AS136" s="78">
        <f t="shared" si="6"/>
        <v>0.23833333333333334</v>
      </c>
    </row>
    <row r="137" spans="39:45">
      <c r="AM137" s="55">
        <v>2019</v>
      </c>
      <c r="AN137" s="55" t="s">
        <v>183</v>
      </c>
      <c r="AO137" s="55">
        <v>6</v>
      </c>
      <c r="AP137" s="55">
        <v>15</v>
      </c>
      <c r="AQ137" s="55">
        <v>1750</v>
      </c>
      <c r="AR137" s="55">
        <v>28500</v>
      </c>
      <c r="AS137" s="78">
        <f t="shared" si="6"/>
        <v>6.1403508771929821E-2</v>
      </c>
    </row>
    <row r="138" spans="39:45">
      <c r="AM138" s="54">
        <v>2019</v>
      </c>
      <c r="AN138" s="54" t="s">
        <v>183</v>
      </c>
      <c r="AO138" s="54">
        <v>6</v>
      </c>
      <c r="AP138" s="54">
        <v>16</v>
      </c>
      <c r="AQ138" s="54">
        <v>0</v>
      </c>
      <c r="AR138" s="55">
        <v>28500</v>
      </c>
      <c r="AS138" s="78">
        <f t="shared" si="6"/>
        <v>0</v>
      </c>
    </row>
    <row r="139" spans="39:45">
      <c r="AM139" s="55">
        <v>2019</v>
      </c>
      <c r="AN139" s="55" t="s">
        <v>183</v>
      </c>
      <c r="AO139" s="55">
        <v>6</v>
      </c>
      <c r="AP139" s="55">
        <v>17</v>
      </c>
      <c r="AQ139" s="55">
        <v>0</v>
      </c>
      <c r="AR139" s="55">
        <v>28500</v>
      </c>
      <c r="AS139" s="78">
        <f t="shared" si="6"/>
        <v>0</v>
      </c>
    </row>
    <row r="140" spans="39:45">
      <c r="AM140" s="54">
        <v>2019</v>
      </c>
      <c r="AN140" s="54" t="s">
        <v>183</v>
      </c>
      <c r="AO140" s="54">
        <v>6</v>
      </c>
      <c r="AP140" s="54">
        <v>18</v>
      </c>
      <c r="AQ140" s="54">
        <v>0</v>
      </c>
      <c r="AR140" s="55">
        <v>28500</v>
      </c>
      <c r="AS140" s="78">
        <f t="shared" si="6"/>
        <v>0</v>
      </c>
    </row>
    <row r="141" spans="39:45">
      <c r="AM141" s="55">
        <v>2019</v>
      </c>
      <c r="AN141" s="55" t="s">
        <v>183</v>
      </c>
      <c r="AO141" s="55">
        <v>6</v>
      </c>
      <c r="AP141" s="55">
        <v>19</v>
      </c>
      <c r="AQ141" s="55">
        <v>0</v>
      </c>
      <c r="AR141" s="55">
        <v>28500</v>
      </c>
      <c r="AS141" s="78">
        <f t="shared" si="6"/>
        <v>0</v>
      </c>
    </row>
    <row r="142" spans="39:45">
      <c r="AM142" s="54">
        <v>2019</v>
      </c>
      <c r="AN142" s="54" t="s">
        <v>183</v>
      </c>
      <c r="AO142" s="54">
        <v>6</v>
      </c>
      <c r="AP142" s="54">
        <v>20</v>
      </c>
      <c r="AQ142" s="54">
        <v>0</v>
      </c>
      <c r="AR142" s="55">
        <v>28500</v>
      </c>
      <c r="AS142" s="78">
        <f t="shared" si="6"/>
        <v>0</v>
      </c>
    </row>
    <row r="143" spans="39:45">
      <c r="AM143" s="55">
        <v>2019</v>
      </c>
      <c r="AN143" s="55" t="s">
        <v>183</v>
      </c>
      <c r="AO143" s="55">
        <v>6</v>
      </c>
      <c r="AP143" s="55">
        <v>21</v>
      </c>
      <c r="AQ143" s="55">
        <v>0</v>
      </c>
      <c r="AR143" s="55">
        <v>28500</v>
      </c>
      <c r="AS143" s="78">
        <f t="shared" si="6"/>
        <v>0</v>
      </c>
    </row>
    <row r="144" spans="39:45">
      <c r="AM144" s="54">
        <v>2019</v>
      </c>
      <c r="AN144" s="54" t="s">
        <v>183</v>
      </c>
      <c r="AO144" s="54">
        <v>6</v>
      </c>
      <c r="AP144" s="54">
        <v>22</v>
      </c>
      <c r="AQ144" s="54">
        <v>0</v>
      </c>
      <c r="AR144" s="55">
        <v>28500</v>
      </c>
      <c r="AS144" s="78">
        <f t="shared" si="6"/>
        <v>0</v>
      </c>
    </row>
    <row r="145" spans="39:45">
      <c r="AM145" s="55">
        <v>2019</v>
      </c>
      <c r="AN145" s="55" t="s">
        <v>183</v>
      </c>
      <c r="AO145" s="55">
        <v>6</v>
      </c>
      <c r="AP145" s="55">
        <v>23</v>
      </c>
      <c r="AQ145" s="55">
        <v>0</v>
      </c>
      <c r="AR145" s="55">
        <v>28500</v>
      </c>
      <c r="AS145" s="78">
        <f t="shared" si="6"/>
        <v>0</v>
      </c>
    </row>
    <row r="146" spans="39:45">
      <c r="AM146" s="54">
        <v>2019</v>
      </c>
      <c r="AN146" s="54" t="s">
        <v>183</v>
      </c>
      <c r="AO146" s="54">
        <v>7</v>
      </c>
      <c r="AP146" s="54">
        <v>24</v>
      </c>
      <c r="AQ146" s="54">
        <v>0</v>
      </c>
      <c r="AR146" s="55">
        <v>28500</v>
      </c>
      <c r="AS146" s="78">
        <f t="shared" si="6"/>
        <v>0</v>
      </c>
    </row>
    <row r="147" spans="39:45">
      <c r="AM147" s="55">
        <v>2019</v>
      </c>
      <c r="AN147" s="55" t="s">
        <v>183</v>
      </c>
      <c r="AO147" s="55">
        <v>7</v>
      </c>
      <c r="AP147" s="55">
        <v>1</v>
      </c>
      <c r="AQ147" s="55">
        <v>0</v>
      </c>
      <c r="AR147" s="55">
        <v>28500</v>
      </c>
      <c r="AS147" s="78">
        <f t="shared" si="6"/>
        <v>0</v>
      </c>
    </row>
    <row r="148" spans="39:45">
      <c r="AM148" s="54">
        <v>2019</v>
      </c>
      <c r="AN148" s="54" t="s">
        <v>183</v>
      </c>
      <c r="AO148" s="54">
        <v>7</v>
      </c>
      <c r="AP148" s="54">
        <v>2</v>
      </c>
      <c r="AQ148" s="54">
        <v>0</v>
      </c>
      <c r="AR148" s="55">
        <v>28500</v>
      </c>
      <c r="AS148" s="78">
        <f t="shared" si="6"/>
        <v>0</v>
      </c>
    </row>
    <row r="149" spans="39:45">
      <c r="AM149" s="55">
        <v>2019</v>
      </c>
      <c r="AN149" s="55" t="s">
        <v>183</v>
      </c>
      <c r="AO149" s="55">
        <v>7</v>
      </c>
      <c r="AP149" s="55">
        <v>3</v>
      </c>
      <c r="AQ149" s="55">
        <v>0</v>
      </c>
      <c r="AR149" s="55">
        <v>28500</v>
      </c>
      <c r="AS149" s="78">
        <f t="shared" si="6"/>
        <v>0</v>
      </c>
    </row>
    <row r="150" spans="39:45">
      <c r="AM150" s="54">
        <v>2019</v>
      </c>
      <c r="AN150" s="54" t="s">
        <v>183</v>
      </c>
      <c r="AO150" s="54">
        <v>7</v>
      </c>
      <c r="AP150" s="54">
        <v>4</v>
      </c>
      <c r="AQ150" s="54">
        <v>0</v>
      </c>
      <c r="AR150" s="55">
        <v>28500</v>
      </c>
      <c r="AS150" s="78">
        <f t="shared" si="6"/>
        <v>0</v>
      </c>
    </row>
    <row r="151" spans="39:45">
      <c r="AM151" s="55">
        <v>2019</v>
      </c>
      <c r="AN151" s="55" t="s">
        <v>183</v>
      </c>
      <c r="AO151" s="55">
        <v>7</v>
      </c>
      <c r="AP151" s="55">
        <v>5</v>
      </c>
      <c r="AQ151" s="55">
        <v>0</v>
      </c>
      <c r="AR151" s="55">
        <v>28500</v>
      </c>
      <c r="AS151" s="78">
        <f t="shared" si="6"/>
        <v>0</v>
      </c>
    </row>
    <row r="152" spans="39:45">
      <c r="AM152" s="54">
        <v>2019</v>
      </c>
      <c r="AN152" s="54" t="s">
        <v>183</v>
      </c>
      <c r="AO152" s="54">
        <v>7</v>
      </c>
      <c r="AP152" s="54">
        <v>6</v>
      </c>
      <c r="AQ152" s="54">
        <v>0</v>
      </c>
      <c r="AR152" s="55">
        <v>28500</v>
      </c>
      <c r="AS152" s="78">
        <f t="shared" si="6"/>
        <v>0</v>
      </c>
    </row>
    <row r="153" spans="39:45">
      <c r="AM153" s="55">
        <v>2019</v>
      </c>
      <c r="AN153" s="55" t="s">
        <v>183</v>
      </c>
      <c r="AO153" s="55">
        <v>7</v>
      </c>
      <c r="AP153" s="55">
        <v>7</v>
      </c>
      <c r="AQ153" s="55">
        <v>0</v>
      </c>
      <c r="AR153" s="55">
        <v>28500</v>
      </c>
      <c r="AS153" s="78">
        <f t="shared" si="6"/>
        <v>0</v>
      </c>
    </row>
    <row r="154" spans="39:45">
      <c r="AM154" s="54">
        <v>2019</v>
      </c>
      <c r="AN154" s="54" t="s">
        <v>183</v>
      </c>
      <c r="AO154" s="54">
        <v>7</v>
      </c>
      <c r="AP154" s="54">
        <v>8</v>
      </c>
      <c r="AQ154" s="54">
        <v>0</v>
      </c>
      <c r="AR154" s="55">
        <v>28500</v>
      </c>
      <c r="AS154" s="78">
        <f t="shared" si="6"/>
        <v>0</v>
      </c>
    </row>
    <row r="155" spans="39:45">
      <c r="AM155" s="55">
        <v>2019</v>
      </c>
      <c r="AN155" s="55" t="s">
        <v>183</v>
      </c>
      <c r="AO155" s="55">
        <v>7</v>
      </c>
      <c r="AP155" s="55">
        <v>9</v>
      </c>
      <c r="AQ155" s="55">
        <v>686</v>
      </c>
      <c r="AR155" s="55">
        <v>28500</v>
      </c>
      <c r="AS155" s="78">
        <f t="shared" si="6"/>
        <v>2.4070175438596492E-2</v>
      </c>
    </row>
    <row r="156" spans="39:45">
      <c r="AM156" s="54">
        <v>2019</v>
      </c>
      <c r="AN156" s="54" t="s">
        <v>183</v>
      </c>
      <c r="AO156" s="54">
        <v>7</v>
      </c>
      <c r="AP156" s="54">
        <v>10</v>
      </c>
      <c r="AQ156" s="54">
        <v>4100.5</v>
      </c>
      <c r="AR156" s="55">
        <v>28500</v>
      </c>
      <c r="AS156" s="78">
        <f t="shared" si="6"/>
        <v>0.14387719298245613</v>
      </c>
    </row>
    <row r="157" spans="39:45">
      <c r="AM157" s="55">
        <v>2019</v>
      </c>
      <c r="AN157" s="55" t="s">
        <v>183</v>
      </c>
      <c r="AO157" s="55">
        <v>7</v>
      </c>
      <c r="AP157" s="55">
        <v>11</v>
      </c>
      <c r="AQ157" s="55">
        <v>1446</v>
      </c>
      <c r="AR157" s="55">
        <v>28500</v>
      </c>
      <c r="AS157" s="78">
        <f t="shared" si="6"/>
        <v>5.0736842105263157E-2</v>
      </c>
    </row>
    <row r="158" spans="39:45">
      <c r="AM158" s="54">
        <v>2019</v>
      </c>
      <c r="AN158" s="54" t="s">
        <v>183</v>
      </c>
      <c r="AO158" s="54">
        <v>7</v>
      </c>
      <c r="AP158" s="54">
        <v>12</v>
      </c>
      <c r="AQ158" s="54">
        <v>1331</v>
      </c>
      <c r="AR158" s="55">
        <v>28500</v>
      </c>
      <c r="AS158" s="78">
        <f t="shared" si="6"/>
        <v>4.6701754385964911E-2</v>
      </c>
    </row>
    <row r="159" spans="39:45">
      <c r="AM159" s="55">
        <v>2019</v>
      </c>
      <c r="AN159" s="55" t="s">
        <v>183</v>
      </c>
      <c r="AO159" s="55">
        <v>7</v>
      </c>
      <c r="AP159" s="55">
        <v>13</v>
      </c>
      <c r="AQ159" s="55">
        <v>1046</v>
      </c>
      <c r="AR159" s="55">
        <v>28500</v>
      </c>
      <c r="AS159" s="78">
        <f t="shared" si="6"/>
        <v>3.6701754385964909E-2</v>
      </c>
    </row>
    <row r="160" spans="39:45">
      <c r="AM160" s="54">
        <v>2019</v>
      </c>
      <c r="AN160" s="54" t="s">
        <v>183</v>
      </c>
      <c r="AO160" s="54">
        <v>7</v>
      </c>
      <c r="AP160" s="54">
        <v>14</v>
      </c>
      <c r="AQ160" s="54">
        <v>483</v>
      </c>
      <c r="AR160" s="55">
        <v>28500</v>
      </c>
      <c r="AS160" s="78">
        <f t="shared" si="6"/>
        <v>1.6947368421052631E-2</v>
      </c>
    </row>
    <row r="161" spans="39:45">
      <c r="AM161" s="55">
        <v>2019</v>
      </c>
      <c r="AN161" s="55" t="s">
        <v>183</v>
      </c>
      <c r="AO161" s="55">
        <v>7</v>
      </c>
      <c r="AP161" s="55">
        <v>15</v>
      </c>
      <c r="AQ161" s="55">
        <v>303.5</v>
      </c>
      <c r="AR161" s="55">
        <v>28500</v>
      </c>
      <c r="AS161" s="78">
        <f t="shared" si="6"/>
        <v>1.0649122807017544E-2</v>
      </c>
    </row>
    <row r="162" spans="39:45">
      <c r="AM162" s="54">
        <v>2019</v>
      </c>
      <c r="AN162" s="54" t="s">
        <v>183</v>
      </c>
      <c r="AO162" s="54">
        <v>7</v>
      </c>
      <c r="AP162" s="54">
        <v>16</v>
      </c>
      <c r="AQ162" s="54">
        <v>0</v>
      </c>
      <c r="AR162" s="55">
        <v>28500</v>
      </c>
      <c r="AS162" s="78">
        <f t="shared" si="6"/>
        <v>0</v>
      </c>
    </row>
    <row r="163" spans="39:45">
      <c r="AM163" s="55">
        <v>2019</v>
      </c>
      <c r="AN163" s="55" t="s">
        <v>183</v>
      </c>
      <c r="AO163" s="55">
        <v>7</v>
      </c>
      <c r="AP163" s="55">
        <v>17</v>
      </c>
      <c r="AQ163" s="55">
        <v>0</v>
      </c>
      <c r="AR163" s="55">
        <v>28500</v>
      </c>
      <c r="AS163" s="78">
        <f t="shared" si="6"/>
        <v>0</v>
      </c>
    </row>
    <row r="164" spans="39:45">
      <c r="AM164" s="54">
        <v>2019</v>
      </c>
      <c r="AN164" s="54" t="s">
        <v>183</v>
      </c>
      <c r="AO164" s="54">
        <v>7</v>
      </c>
      <c r="AP164" s="54">
        <v>18</v>
      </c>
      <c r="AQ164" s="54">
        <v>0</v>
      </c>
      <c r="AR164" s="55">
        <v>28500</v>
      </c>
      <c r="AS164" s="78">
        <f t="shared" si="6"/>
        <v>0</v>
      </c>
    </row>
    <row r="165" spans="39:45">
      <c r="AM165" s="55">
        <v>2019</v>
      </c>
      <c r="AN165" s="55" t="s">
        <v>183</v>
      </c>
      <c r="AO165" s="55">
        <v>7</v>
      </c>
      <c r="AP165" s="55">
        <v>19</v>
      </c>
      <c r="AQ165" s="55">
        <v>0</v>
      </c>
      <c r="AR165" s="55">
        <v>28500</v>
      </c>
      <c r="AS165" s="78">
        <f t="shared" si="6"/>
        <v>0</v>
      </c>
    </row>
    <row r="166" spans="39:45">
      <c r="AM166" s="54">
        <v>2019</v>
      </c>
      <c r="AN166" s="54" t="s">
        <v>183</v>
      </c>
      <c r="AO166" s="54">
        <v>7</v>
      </c>
      <c r="AP166" s="54">
        <v>20</v>
      </c>
      <c r="AQ166" s="54">
        <v>0</v>
      </c>
      <c r="AR166" s="55">
        <v>28500</v>
      </c>
      <c r="AS166" s="78">
        <f t="shared" si="6"/>
        <v>0</v>
      </c>
    </row>
    <row r="167" spans="39:45">
      <c r="AM167" s="55">
        <v>2019</v>
      </c>
      <c r="AN167" s="55" t="s">
        <v>183</v>
      </c>
      <c r="AO167" s="55">
        <v>7</v>
      </c>
      <c r="AP167" s="55">
        <v>21</v>
      </c>
      <c r="AQ167" s="55">
        <v>0</v>
      </c>
      <c r="AR167" s="55">
        <v>28500</v>
      </c>
      <c r="AS167" s="78">
        <f t="shared" si="6"/>
        <v>0</v>
      </c>
    </row>
    <row r="168" spans="39:45">
      <c r="AM168" s="54">
        <v>2019</v>
      </c>
      <c r="AN168" s="54" t="s">
        <v>183</v>
      </c>
      <c r="AO168" s="54">
        <v>7</v>
      </c>
      <c r="AP168" s="54">
        <v>22</v>
      </c>
      <c r="AQ168" s="54">
        <v>0</v>
      </c>
      <c r="AR168" s="55">
        <v>28500</v>
      </c>
      <c r="AS168" s="78">
        <f t="shared" si="6"/>
        <v>0</v>
      </c>
    </row>
    <row r="169" spans="39:45">
      <c r="AM169" s="55">
        <v>2019</v>
      </c>
      <c r="AN169" s="55" t="s">
        <v>183</v>
      </c>
      <c r="AO169" s="55">
        <v>7</v>
      </c>
      <c r="AP169" s="55">
        <v>23</v>
      </c>
      <c r="AQ169" s="55">
        <v>0</v>
      </c>
      <c r="AR169" s="55">
        <v>28500</v>
      </c>
      <c r="AS169" s="78">
        <f t="shared" si="6"/>
        <v>0</v>
      </c>
    </row>
    <row r="170" spans="39:45">
      <c r="AM170" s="54">
        <v>2019</v>
      </c>
      <c r="AN170" s="54" t="s">
        <v>183</v>
      </c>
      <c r="AO170" s="54">
        <v>8</v>
      </c>
      <c r="AP170" s="54">
        <v>24</v>
      </c>
      <c r="AQ170" s="54">
        <v>0</v>
      </c>
      <c r="AR170" s="55">
        <v>28500</v>
      </c>
      <c r="AS170" s="78">
        <f t="shared" si="6"/>
        <v>0</v>
      </c>
    </row>
    <row r="171" spans="39:45">
      <c r="AM171" s="55">
        <v>2019</v>
      </c>
      <c r="AN171" s="55" t="s">
        <v>183</v>
      </c>
      <c r="AO171" s="55">
        <v>8</v>
      </c>
      <c r="AP171" s="55">
        <v>1</v>
      </c>
      <c r="AQ171" s="55">
        <v>0</v>
      </c>
      <c r="AR171" s="55">
        <v>28500</v>
      </c>
      <c r="AS171" s="78">
        <f t="shared" si="6"/>
        <v>0</v>
      </c>
    </row>
    <row r="172" spans="39:45">
      <c r="AM172" s="54">
        <v>2019</v>
      </c>
      <c r="AN172" s="54" t="s">
        <v>183</v>
      </c>
      <c r="AO172" s="54">
        <v>8</v>
      </c>
      <c r="AP172" s="54">
        <v>2</v>
      </c>
      <c r="AQ172" s="54">
        <v>0</v>
      </c>
      <c r="AR172" s="55">
        <v>28500</v>
      </c>
      <c r="AS172" s="78">
        <f t="shared" si="6"/>
        <v>0</v>
      </c>
    </row>
    <row r="173" spans="39:45">
      <c r="AM173" s="55">
        <v>2019</v>
      </c>
      <c r="AN173" s="55" t="s">
        <v>183</v>
      </c>
      <c r="AO173" s="55">
        <v>8</v>
      </c>
      <c r="AP173" s="55">
        <v>3</v>
      </c>
      <c r="AQ173" s="55">
        <v>0</v>
      </c>
      <c r="AR173" s="55">
        <v>28500</v>
      </c>
      <c r="AS173" s="78">
        <f t="shared" si="6"/>
        <v>0</v>
      </c>
    </row>
    <row r="174" spans="39:45">
      <c r="AM174" s="54">
        <v>2019</v>
      </c>
      <c r="AN174" s="54" t="s">
        <v>183</v>
      </c>
      <c r="AO174" s="54">
        <v>8</v>
      </c>
      <c r="AP174" s="54">
        <v>4</v>
      </c>
      <c r="AQ174" s="54">
        <v>0</v>
      </c>
      <c r="AR174" s="55">
        <v>28500</v>
      </c>
      <c r="AS174" s="78">
        <f t="shared" si="6"/>
        <v>0</v>
      </c>
    </row>
    <row r="175" spans="39:45">
      <c r="AM175" s="55">
        <v>2019</v>
      </c>
      <c r="AN175" s="55" t="s">
        <v>183</v>
      </c>
      <c r="AO175" s="55">
        <v>8</v>
      </c>
      <c r="AP175" s="55">
        <v>5</v>
      </c>
      <c r="AQ175" s="55">
        <v>0</v>
      </c>
      <c r="AR175" s="55">
        <v>28500</v>
      </c>
      <c r="AS175" s="78">
        <f t="shared" si="6"/>
        <v>0</v>
      </c>
    </row>
    <row r="176" spans="39:45">
      <c r="AM176" s="54">
        <v>2019</v>
      </c>
      <c r="AN176" s="54" t="s">
        <v>183</v>
      </c>
      <c r="AO176" s="54">
        <v>8</v>
      </c>
      <c r="AP176" s="54">
        <v>6</v>
      </c>
      <c r="AQ176" s="54">
        <v>0</v>
      </c>
      <c r="AR176" s="55">
        <v>28500</v>
      </c>
      <c r="AS176" s="78">
        <f t="shared" si="6"/>
        <v>0</v>
      </c>
    </row>
    <row r="177" spans="39:45">
      <c r="AM177" s="55">
        <v>2019</v>
      </c>
      <c r="AN177" s="55" t="s">
        <v>183</v>
      </c>
      <c r="AO177" s="55">
        <v>8</v>
      </c>
      <c r="AP177" s="55">
        <v>7</v>
      </c>
      <c r="AQ177" s="55">
        <v>0</v>
      </c>
      <c r="AR177" s="55">
        <v>28500</v>
      </c>
      <c r="AS177" s="78">
        <f t="shared" si="6"/>
        <v>0</v>
      </c>
    </row>
    <row r="178" spans="39:45">
      <c r="AM178" s="54">
        <v>2019</v>
      </c>
      <c r="AN178" s="54" t="s">
        <v>183</v>
      </c>
      <c r="AO178" s="54">
        <v>8</v>
      </c>
      <c r="AP178" s="54">
        <v>8</v>
      </c>
      <c r="AQ178" s="54">
        <v>0</v>
      </c>
      <c r="AR178" s="55">
        <v>28500</v>
      </c>
      <c r="AS178" s="78">
        <f t="shared" si="6"/>
        <v>0</v>
      </c>
    </row>
    <row r="179" spans="39:45">
      <c r="AM179" s="55">
        <v>2019</v>
      </c>
      <c r="AN179" s="55" t="s">
        <v>183</v>
      </c>
      <c r="AO179" s="55">
        <v>8</v>
      </c>
      <c r="AP179" s="55">
        <v>9</v>
      </c>
      <c r="AQ179" s="55">
        <v>12277</v>
      </c>
      <c r="AR179" s="55">
        <v>28500</v>
      </c>
      <c r="AS179" s="78">
        <f t="shared" si="6"/>
        <v>0.43077192982456142</v>
      </c>
    </row>
    <row r="180" spans="39:45">
      <c r="AM180" s="54">
        <v>2019</v>
      </c>
      <c r="AN180" s="54" t="s">
        <v>183</v>
      </c>
      <c r="AO180" s="54">
        <v>8</v>
      </c>
      <c r="AP180" s="54">
        <v>10</v>
      </c>
      <c r="AQ180" s="54">
        <v>23775.5</v>
      </c>
      <c r="AR180" s="55">
        <v>28500</v>
      </c>
      <c r="AS180" s="78">
        <f t="shared" si="6"/>
        <v>0.83422807017543865</v>
      </c>
    </row>
    <row r="181" spans="39:45">
      <c r="AM181" s="55">
        <v>2019</v>
      </c>
      <c r="AN181" s="55" t="s">
        <v>183</v>
      </c>
      <c r="AO181" s="55">
        <v>8</v>
      </c>
      <c r="AP181" s="55">
        <v>11</v>
      </c>
      <c r="AQ181" s="55">
        <v>27861</v>
      </c>
      <c r="AR181" s="55">
        <v>28500</v>
      </c>
      <c r="AS181" s="78">
        <f t="shared" si="6"/>
        <v>0.9775789473684211</v>
      </c>
    </row>
    <row r="182" spans="39:45">
      <c r="AM182" s="54">
        <v>2019</v>
      </c>
      <c r="AN182" s="54" t="s">
        <v>183</v>
      </c>
      <c r="AO182" s="54">
        <v>8</v>
      </c>
      <c r="AP182" s="54">
        <v>12</v>
      </c>
      <c r="AQ182" s="54">
        <v>30658</v>
      </c>
      <c r="AR182" s="55">
        <v>28500</v>
      </c>
      <c r="AS182" s="78">
        <f t="shared" si="6"/>
        <v>1.0757192982456141</v>
      </c>
    </row>
    <row r="183" spans="39:45">
      <c r="AM183" s="55">
        <v>2019</v>
      </c>
      <c r="AN183" s="55" t="s">
        <v>183</v>
      </c>
      <c r="AO183" s="55">
        <v>8</v>
      </c>
      <c r="AP183" s="55">
        <v>13</v>
      </c>
      <c r="AQ183" s="55">
        <v>26342</v>
      </c>
      <c r="AR183" s="55">
        <v>28500</v>
      </c>
      <c r="AS183" s="78">
        <f t="shared" si="6"/>
        <v>0.92428070175438592</v>
      </c>
    </row>
    <row r="184" spans="39:45">
      <c r="AM184" s="54">
        <v>2019</v>
      </c>
      <c r="AN184" s="54" t="s">
        <v>183</v>
      </c>
      <c r="AO184" s="54">
        <v>8</v>
      </c>
      <c r="AP184" s="54">
        <v>14</v>
      </c>
      <c r="AQ184" s="54">
        <v>20208</v>
      </c>
      <c r="AR184" s="55">
        <v>28500</v>
      </c>
      <c r="AS184" s="78">
        <f t="shared" si="6"/>
        <v>0.70905263157894738</v>
      </c>
    </row>
    <row r="185" spans="39:45">
      <c r="AM185" s="55">
        <v>2019</v>
      </c>
      <c r="AN185" s="55" t="s">
        <v>183</v>
      </c>
      <c r="AO185" s="55">
        <v>8</v>
      </c>
      <c r="AP185" s="55">
        <v>15</v>
      </c>
      <c r="AQ185" s="55">
        <v>11196.5</v>
      </c>
      <c r="AR185" s="55">
        <v>28500</v>
      </c>
      <c r="AS185" s="78">
        <f t="shared" si="6"/>
        <v>0.39285964912280702</v>
      </c>
    </row>
    <row r="186" spans="39:45">
      <c r="AM186" s="54">
        <v>2019</v>
      </c>
      <c r="AN186" s="54" t="s">
        <v>183</v>
      </c>
      <c r="AO186" s="54">
        <v>8</v>
      </c>
      <c r="AP186" s="54">
        <v>16</v>
      </c>
      <c r="AQ186" s="54">
        <v>0</v>
      </c>
      <c r="AR186" s="55">
        <v>28500</v>
      </c>
      <c r="AS186" s="78">
        <f t="shared" si="6"/>
        <v>0</v>
      </c>
    </row>
    <row r="187" spans="39:45">
      <c r="AM187" s="55">
        <v>2019</v>
      </c>
      <c r="AN187" s="55" t="s">
        <v>183</v>
      </c>
      <c r="AO187" s="55">
        <v>8</v>
      </c>
      <c r="AP187" s="55">
        <v>17</v>
      </c>
      <c r="AQ187" s="55">
        <v>0</v>
      </c>
      <c r="AR187" s="55">
        <v>28500</v>
      </c>
      <c r="AS187" s="78">
        <f t="shared" si="6"/>
        <v>0</v>
      </c>
    </row>
    <row r="188" spans="39:45">
      <c r="AM188" s="54">
        <v>2019</v>
      </c>
      <c r="AN188" s="54" t="s">
        <v>183</v>
      </c>
      <c r="AO188" s="54">
        <v>8</v>
      </c>
      <c r="AP188" s="54">
        <v>18</v>
      </c>
      <c r="AQ188" s="54">
        <v>0</v>
      </c>
      <c r="AR188" s="55">
        <v>28500</v>
      </c>
      <c r="AS188" s="78">
        <f t="shared" si="6"/>
        <v>0</v>
      </c>
    </row>
    <row r="189" spans="39:45">
      <c r="AM189" s="55">
        <v>2019</v>
      </c>
      <c r="AN189" s="55" t="s">
        <v>183</v>
      </c>
      <c r="AO189" s="55">
        <v>8</v>
      </c>
      <c r="AP189" s="55">
        <v>19</v>
      </c>
      <c r="AQ189" s="55">
        <v>0</v>
      </c>
      <c r="AR189" s="55">
        <v>28500</v>
      </c>
      <c r="AS189" s="78">
        <f t="shared" si="6"/>
        <v>0</v>
      </c>
    </row>
    <row r="190" spans="39:45">
      <c r="AM190" s="54">
        <v>2019</v>
      </c>
      <c r="AN190" s="54" t="s">
        <v>183</v>
      </c>
      <c r="AO190" s="54">
        <v>8</v>
      </c>
      <c r="AP190" s="54">
        <v>20</v>
      </c>
      <c r="AQ190" s="54">
        <v>0</v>
      </c>
      <c r="AR190" s="55">
        <v>28500</v>
      </c>
      <c r="AS190" s="78">
        <f t="shared" si="6"/>
        <v>0</v>
      </c>
    </row>
    <row r="191" spans="39:45">
      <c r="AM191" s="55">
        <v>2019</v>
      </c>
      <c r="AN191" s="55" t="s">
        <v>183</v>
      </c>
      <c r="AO191" s="55">
        <v>8</v>
      </c>
      <c r="AP191" s="55">
        <v>21</v>
      </c>
      <c r="AQ191" s="55">
        <v>0</v>
      </c>
      <c r="AR191" s="55">
        <v>28500</v>
      </c>
      <c r="AS191" s="78">
        <f t="shared" si="6"/>
        <v>0</v>
      </c>
    </row>
    <row r="192" spans="39:45">
      <c r="AM192" s="54">
        <v>2019</v>
      </c>
      <c r="AN192" s="54" t="s">
        <v>183</v>
      </c>
      <c r="AO192" s="54">
        <v>8</v>
      </c>
      <c r="AP192" s="54">
        <v>22</v>
      </c>
      <c r="AQ192" s="54">
        <v>0</v>
      </c>
      <c r="AR192" s="55">
        <v>28500</v>
      </c>
      <c r="AS192" s="78">
        <f t="shared" si="6"/>
        <v>0</v>
      </c>
    </row>
    <row r="193" spans="39:45">
      <c r="AM193" s="55">
        <v>2019</v>
      </c>
      <c r="AN193" s="55" t="s">
        <v>183</v>
      </c>
      <c r="AO193" s="55">
        <v>8</v>
      </c>
      <c r="AP193" s="55">
        <v>23</v>
      </c>
      <c r="AQ193" s="55">
        <v>0</v>
      </c>
      <c r="AR193" s="55">
        <v>28500</v>
      </c>
      <c r="AS193" s="78">
        <f t="shared" si="6"/>
        <v>0</v>
      </c>
    </row>
    <row r="194" spans="39:45">
      <c r="AM194" s="54">
        <v>2019</v>
      </c>
      <c r="AN194" s="54" t="s">
        <v>183</v>
      </c>
      <c r="AO194" s="54">
        <v>9</v>
      </c>
      <c r="AP194" s="54">
        <v>24</v>
      </c>
      <c r="AQ194" s="54">
        <v>0</v>
      </c>
      <c r="AR194" s="55">
        <v>28500</v>
      </c>
      <c r="AS194" s="78">
        <f t="shared" ref="AS194:AS257" si="7">AQ194/AR194</f>
        <v>0</v>
      </c>
    </row>
    <row r="195" spans="39:45">
      <c r="AM195" s="55">
        <v>2019</v>
      </c>
      <c r="AN195" s="55" t="s">
        <v>183</v>
      </c>
      <c r="AO195" s="55">
        <v>9</v>
      </c>
      <c r="AP195" s="55">
        <v>1</v>
      </c>
      <c r="AQ195" s="55">
        <v>0</v>
      </c>
      <c r="AR195" s="55">
        <v>28500</v>
      </c>
      <c r="AS195" s="78">
        <f t="shared" si="7"/>
        <v>0</v>
      </c>
    </row>
    <row r="196" spans="39:45">
      <c r="AM196" s="54">
        <v>2019</v>
      </c>
      <c r="AN196" s="54" t="s">
        <v>183</v>
      </c>
      <c r="AO196" s="54">
        <v>9</v>
      </c>
      <c r="AP196" s="54">
        <v>2</v>
      </c>
      <c r="AQ196" s="54">
        <v>0</v>
      </c>
      <c r="AR196" s="55">
        <v>28500</v>
      </c>
      <c r="AS196" s="78">
        <f t="shared" si="7"/>
        <v>0</v>
      </c>
    </row>
    <row r="197" spans="39:45">
      <c r="AM197" s="55">
        <v>2019</v>
      </c>
      <c r="AN197" s="55" t="s">
        <v>183</v>
      </c>
      <c r="AO197" s="55">
        <v>9</v>
      </c>
      <c r="AP197" s="55">
        <v>3</v>
      </c>
      <c r="AQ197" s="55">
        <v>0</v>
      </c>
      <c r="AR197" s="55">
        <v>28500</v>
      </c>
      <c r="AS197" s="78">
        <f t="shared" si="7"/>
        <v>0</v>
      </c>
    </row>
    <row r="198" spans="39:45">
      <c r="AM198" s="54">
        <v>2019</v>
      </c>
      <c r="AN198" s="54" t="s">
        <v>183</v>
      </c>
      <c r="AO198" s="54">
        <v>9</v>
      </c>
      <c r="AP198" s="54">
        <v>4</v>
      </c>
      <c r="AQ198" s="54">
        <v>0</v>
      </c>
      <c r="AR198" s="55">
        <v>28500</v>
      </c>
      <c r="AS198" s="78">
        <f t="shared" si="7"/>
        <v>0</v>
      </c>
    </row>
    <row r="199" spans="39:45">
      <c r="AM199" s="55">
        <v>2019</v>
      </c>
      <c r="AN199" s="55" t="s">
        <v>183</v>
      </c>
      <c r="AO199" s="55">
        <v>9</v>
      </c>
      <c r="AP199" s="55">
        <v>5</v>
      </c>
      <c r="AQ199" s="55">
        <v>0</v>
      </c>
      <c r="AR199" s="55">
        <v>28500</v>
      </c>
      <c r="AS199" s="78">
        <f t="shared" si="7"/>
        <v>0</v>
      </c>
    </row>
    <row r="200" spans="39:45">
      <c r="AM200" s="54">
        <v>2019</v>
      </c>
      <c r="AN200" s="54" t="s">
        <v>183</v>
      </c>
      <c r="AO200" s="54">
        <v>9</v>
      </c>
      <c r="AP200" s="54">
        <v>6</v>
      </c>
      <c r="AQ200" s="54">
        <v>0</v>
      </c>
      <c r="AR200" s="55">
        <v>28500</v>
      </c>
      <c r="AS200" s="78">
        <f t="shared" si="7"/>
        <v>0</v>
      </c>
    </row>
    <row r="201" spans="39:45">
      <c r="AM201" s="55">
        <v>2019</v>
      </c>
      <c r="AN201" s="55" t="s">
        <v>183</v>
      </c>
      <c r="AO201" s="55">
        <v>9</v>
      </c>
      <c r="AP201" s="55">
        <v>7</v>
      </c>
      <c r="AQ201" s="55">
        <v>0</v>
      </c>
      <c r="AR201" s="55">
        <v>28500</v>
      </c>
      <c r="AS201" s="78">
        <f t="shared" si="7"/>
        <v>0</v>
      </c>
    </row>
    <row r="202" spans="39:45">
      <c r="AM202" s="54">
        <v>2019</v>
      </c>
      <c r="AN202" s="54" t="s">
        <v>183</v>
      </c>
      <c r="AO202" s="54">
        <v>9</v>
      </c>
      <c r="AP202" s="54">
        <v>8</v>
      </c>
      <c r="AQ202" s="54">
        <v>0</v>
      </c>
      <c r="AR202" s="55">
        <v>28500</v>
      </c>
      <c r="AS202" s="78">
        <f t="shared" si="7"/>
        <v>0</v>
      </c>
    </row>
    <row r="203" spans="39:45">
      <c r="AM203" s="55">
        <v>2019</v>
      </c>
      <c r="AN203" s="55" t="s">
        <v>183</v>
      </c>
      <c r="AO203" s="55">
        <v>9</v>
      </c>
      <c r="AP203" s="55">
        <v>9</v>
      </c>
      <c r="AQ203" s="55">
        <v>2418.5</v>
      </c>
      <c r="AR203" s="55">
        <v>28500</v>
      </c>
      <c r="AS203" s="78">
        <f t="shared" si="7"/>
        <v>8.4859649122807024E-2</v>
      </c>
    </row>
    <row r="204" spans="39:45">
      <c r="AM204" s="54">
        <v>2019</v>
      </c>
      <c r="AN204" s="54" t="s">
        <v>183</v>
      </c>
      <c r="AO204" s="54">
        <v>9</v>
      </c>
      <c r="AP204" s="54">
        <v>10</v>
      </c>
      <c r="AQ204" s="54">
        <v>7597.5</v>
      </c>
      <c r="AR204" s="55">
        <v>28500</v>
      </c>
      <c r="AS204" s="78">
        <f t="shared" si="7"/>
        <v>0.26657894736842103</v>
      </c>
    </row>
    <row r="205" spans="39:45">
      <c r="AM205" s="55">
        <v>2019</v>
      </c>
      <c r="AN205" s="55" t="s">
        <v>183</v>
      </c>
      <c r="AO205" s="55">
        <v>9</v>
      </c>
      <c r="AP205" s="55">
        <v>11</v>
      </c>
      <c r="AQ205" s="55">
        <v>10830</v>
      </c>
      <c r="AR205" s="55">
        <v>28500</v>
      </c>
      <c r="AS205" s="78">
        <f t="shared" si="7"/>
        <v>0.38</v>
      </c>
    </row>
    <row r="206" spans="39:45">
      <c r="AM206" s="54">
        <v>2019</v>
      </c>
      <c r="AN206" s="54" t="s">
        <v>183</v>
      </c>
      <c r="AO206" s="54">
        <v>9</v>
      </c>
      <c r="AP206" s="54">
        <v>12</v>
      </c>
      <c r="AQ206" s="54">
        <v>13338.5</v>
      </c>
      <c r="AR206" s="55">
        <v>28500</v>
      </c>
      <c r="AS206" s="78">
        <f t="shared" si="7"/>
        <v>0.46801754385964911</v>
      </c>
    </row>
    <row r="207" spans="39:45">
      <c r="AM207" s="55">
        <v>2019</v>
      </c>
      <c r="AN207" s="55" t="s">
        <v>183</v>
      </c>
      <c r="AO207" s="55">
        <v>9</v>
      </c>
      <c r="AP207" s="55">
        <v>13</v>
      </c>
      <c r="AQ207" s="55">
        <v>24271</v>
      </c>
      <c r="AR207" s="55">
        <v>28500</v>
      </c>
      <c r="AS207" s="78">
        <f t="shared" si="7"/>
        <v>0.85161403508771927</v>
      </c>
    </row>
    <row r="208" spans="39:45">
      <c r="AM208" s="54">
        <v>2019</v>
      </c>
      <c r="AN208" s="54" t="s">
        <v>183</v>
      </c>
      <c r="AO208" s="54">
        <v>9</v>
      </c>
      <c r="AP208" s="54">
        <v>14</v>
      </c>
      <c r="AQ208" s="54">
        <v>12912</v>
      </c>
      <c r="AR208" s="55">
        <v>28500</v>
      </c>
      <c r="AS208" s="78">
        <f t="shared" si="7"/>
        <v>0.45305263157894737</v>
      </c>
    </row>
    <row r="209" spans="39:45">
      <c r="AM209" s="55">
        <v>2019</v>
      </c>
      <c r="AN209" s="55" t="s">
        <v>183</v>
      </c>
      <c r="AO209" s="55">
        <v>9</v>
      </c>
      <c r="AP209" s="55">
        <v>15</v>
      </c>
      <c r="AQ209" s="55">
        <v>3746.5</v>
      </c>
      <c r="AR209" s="55">
        <v>28500</v>
      </c>
      <c r="AS209" s="78">
        <f t="shared" si="7"/>
        <v>0.13145614035087719</v>
      </c>
    </row>
    <row r="210" spans="39:45">
      <c r="AM210" s="54">
        <v>2019</v>
      </c>
      <c r="AN210" s="54" t="s">
        <v>183</v>
      </c>
      <c r="AO210" s="54">
        <v>9</v>
      </c>
      <c r="AP210" s="54">
        <v>16</v>
      </c>
      <c r="AQ210" s="54">
        <v>0</v>
      </c>
      <c r="AR210" s="55">
        <v>28500</v>
      </c>
      <c r="AS210" s="78">
        <f t="shared" si="7"/>
        <v>0</v>
      </c>
    </row>
    <row r="211" spans="39:45">
      <c r="AM211" s="55">
        <v>2019</v>
      </c>
      <c r="AN211" s="55" t="s">
        <v>183</v>
      </c>
      <c r="AO211" s="55">
        <v>9</v>
      </c>
      <c r="AP211" s="55">
        <v>17</v>
      </c>
      <c r="AQ211" s="55">
        <v>0</v>
      </c>
      <c r="AR211" s="55">
        <v>28500</v>
      </c>
      <c r="AS211" s="78">
        <f t="shared" si="7"/>
        <v>0</v>
      </c>
    </row>
    <row r="212" spans="39:45">
      <c r="AM212" s="54">
        <v>2019</v>
      </c>
      <c r="AN212" s="54" t="s">
        <v>183</v>
      </c>
      <c r="AO212" s="54">
        <v>9</v>
      </c>
      <c r="AP212" s="54">
        <v>18</v>
      </c>
      <c r="AQ212" s="54">
        <v>0</v>
      </c>
      <c r="AR212" s="55">
        <v>28500</v>
      </c>
      <c r="AS212" s="78">
        <f t="shared" si="7"/>
        <v>0</v>
      </c>
    </row>
    <row r="213" spans="39:45">
      <c r="AM213" s="55">
        <v>2019</v>
      </c>
      <c r="AN213" s="55" t="s">
        <v>183</v>
      </c>
      <c r="AO213" s="55">
        <v>9</v>
      </c>
      <c r="AP213" s="55">
        <v>19</v>
      </c>
      <c r="AQ213" s="55">
        <v>0</v>
      </c>
      <c r="AR213" s="55">
        <v>28500</v>
      </c>
      <c r="AS213" s="78">
        <f t="shared" si="7"/>
        <v>0</v>
      </c>
    </row>
    <row r="214" spans="39:45">
      <c r="AM214" s="54">
        <v>2019</v>
      </c>
      <c r="AN214" s="54" t="s">
        <v>183</v>
      </c>
      <c r="AO214" s="54">
        <v>9</v>
      </c>
      <c r="AP214" s="54">
        <v>20</v>
      </c>
      <c r="AQ214" s="54">
        <v>0</v>
      </c>
      <c r="AR214" s="55">
        <v>28500</v>
      </c>
      <c r="AS214" s="78">
        <f t="shared" si="7"/>
        <v>0</v>
      </c>
    </row>
    <row r="215" spans="39:45">
      <c r="AM215" s="55">
        <v>2019</v>
      </c>
      <c r="AN215" s="55" t="s">
        <v>183</v>
      </c>
      <c r="AO215" s="55">
        <v>9</v>
      </c>
      <c r="AP215" s="55">
        <v>21</v>
      </c>
      <c r="AQ215" s="55">
        <v>0</v>
      </c>
      <c r="AR215" s="55">
        <v>28500</v>
      </c>
      <c r="AS215" s="78">
        <f t="shared" si="7"/>
        <v>0</v>
      </c>
    </row>
    <row r="216" spans="39:45">
      <c r="AM216" s="54">
        <v>2019</v>
      </c>
      <c r="AN216" s="54" t="s">
        <v>183</v>
      </c>
      <c r="AO216" s="54">
        <v>9</v>
      </c>
      <c r="AP216" s="54">
        <v>22</v>
      </c>
      <c r="AQ216" s="54">
        <v>0</v>
      </c>
      <c r="AR216" s="55">
        <v>28500</v>
      </c>
      <c r="AS216" s="78">
        <f t="shared" si="7"/>
        <v>0</v>
      </c>
    </row>
    <row r="217" spans="39:45">
      <c r="AM217" s="55">
        <v>2019</v>
      </c>
      <c r="AN217" s="55" t="s">
        <v>183</v>
      </c>
      <c r="AO217" s="55">
        <v>9</v>
      </c>
      <c r="AP217" s="55">
        <v>23</v>
      </c>
      <c r="AQ217" s="55">
        <v>0</v>
      </c>
      <c r="AR217" s="55">
        <v>28500</v>
      </c>
      <c r="AS217" s="78">
        <f t="shared" si="7"/>
        <v>0</v>
      </c>
    </row>
    <row r="218" spans="39:45">
      <c r="AM218" s="54">
        <v>2019</v>
      </c>
      <c r="AN218" s="54" t="s">
        <v>183</v>
      </c>
      <c r="AO218" s="54">
        <v>10</v>
      </c>
      <c r="AP218" s="54">
        <v>24</v>
      </c>
      <c r="AQ218" s="54">
        <v>0</v>
      </c>
      <c r="AR218" s="55">
        <v>28500</v>
      </c>
      <c r="AS218" s="78">
        <f t="shared" si="7"/>
        <v>0</v>
      </c>
    </row>
    <row r="219" spans="39:45">
      <c r="AM219" s="55">
        <v>2019</v>
      </c>
      <c r="AN219" s="55" t="s">
        <v>183</v>
      </c>
      <c r="AO219" s="55">
        <v>10</v>
      </c>
      <c r="AP219" s="55">
        <v>1</v>
      </c>
      <c r="AQ219" s="55">
        <v>0</v>
      </c>
      <c r="AR219" s="55">
        <v>28500</v>
      </c>
      <c r="AS219" s="78">
        <f t="shared" si="7"/>
        <v>0</v>
      </c>
    </row>
    <row r="220" spans="39:45">
      <c r="AM220" s="54">
        <v>2019</v>
      </c>
      <c r="AN220" s="54" t="s">
        <v>183</v>
      </c>
      <c r="AO220" s="54">
        <v>10</v>
      </c>
      <c r="AP220" s="54">
        <v>2</v>
      </c>
      <c r="AQ220" s="54">
        <v>0</v>
      </c>
      <c r="AR220" s="55">
        <v>28500</v>
      </c>
      <c r="AS220" s="78">
        <f t="shared" si="7"/>
        <v>0</v>
      </c>
    </row>
    <row r="221" spans="39:45">
      <c r="AM221" s="55">
        <v>2019</v>
      </c>
      <c r="AN221" s="55" t="s">
        <v>183</v>
      </c>
      <c r="AO221" s="55">
        <v>10</v>
      </c>
      <c r="AP221" s="55">
        <v>3</v>
      </c>
      <c r="AQ221" s="55">
        <v>0</v>
      </c>
      <c r="AR221" s="55">
        <v>28500</v>
      </c>
      <c r="AS221" s="78">
        <f t="shared" si="7"/>
        <v>0</v>
      </c>
    </row>
    <row r="222" spans="39:45">
      <c r="AM222" s="54">
        <v>2019</v>
      </c>
      <c r="AN222" s="54" t="s">
        <v>183</v>
      </c>
      <c r="AO222" s="54">
        <v>10</v>
      </c>
      <c r="AP222" s="54">
        <v>4</v>
      </c>
      <c r="AQ222" s="54">
        <v>0</v>
      </c>
      <c r="AR222" s="55">
        <v>28500</v>
      </c>
      <c r="AS222" s="78">
        <f t="shared" si="7"/>
        <v>0</v>
      </c>
    </row>
    <row r="223" spans="39:45">
      <c r="AM223" s="55">
        <v>2019</v>
      </c>
      <c r="AN223" s="55" t="s">
        <v>183</v>
      </c>
      <c r="AO223" s="55">
        <v>10</v>
      </c>
      <c r="AP223" s="55">
        <v>5</v>
      </c>
      <c r="AQ223" s="55">
        <v>0</v>
      </c>
      <c r="AR223" s="55">
        <v>28500</v>
      </c>
      <c r="AS223" s="78">
        <f t="shared" si="7"/>
        <v>0</v>
      </c>
    </row>
    <row r="224" spans="39:45">
      <c r="AM224" s="54">
        <v>2019</v>
      </c>
      <c r="AN224" s="54" t="s">
        <v>183</v>
      </c>
      <c r="AO224" s="54">
        <v>10</v>
      </c>
      <c r="AP224" s="54">
        <v>6</v>
      </c>
      <c r="AQ224" s="54">
        <v>0</v>
      </c>
      <c r="AR224" s="55">
        <v>28500</v>
      </c>
      <c r="AS224" s="78">
        <f t="shared" si="7"/>
        <v>0</v>
      </c>
    </row>
    <row r="225" spans="39:45">
      <c r="AM225" s="55">
        <v>2019</v>
      </c>
      <c r="AN225" s="55" t="s">
        <v>183</v>
      </c>
      <c r="AO225" s="55">
        <v>10</v>
      </c>
      <c r="AP225" s="55">
        <v>7</v>
      </c>
      <c r="AQ225" s="55">
        <v>0</v>
      </c>
      <c r="AR225" s="55">
        <v>28500</v>
      </c>
      <c r="AS225" s="78">
        <f t="shared" si="7"/>
        <v>0</v>
      </c>
    </row>
    <row r="226" spans="39:45">
      <c r="AM226" s="54">
        <v>2019</v>
      </c>
      <c r="AN226" s="54" t="s">
        <v>183</v>
      </c>
      <c r="AO226" s="54">
        <v>10</v>
      </c>
      <c r="AP226" s="54">
        <v>8</v>
      </c>
      <c r="AQ226" s="54">
        <v>0</v>
      </c>
      <c r="AR226" s="55">
        <v>28500</v>
      </c>
      <c r="AS226" s="78">
        <f t="shared" si="7"/>
        <v>0</v>
      </c>
    </row>
    <row r="227" spans="39:45">
      <c r="AM227" s="55">
        <v>2019</v>
      </c>
      <c r="AN227" s="55" t="s">
        <v>183</v>
      </c>
      <c r="AO227" s="55">
        <v>10</v>
      </c>
      <c r="AP227" s="55">
        <v>9</v>
      </c>
      <c r="AQ227" s="55">
        <v>2087</v>
      </c>
      <c r="AR227" s="55">
        <v>28500</v>
      </c>
      <c r="AS227" s="78">
        <f t="shared" si="7"/>
        <v>7.32280701754386E-2</v>
      </c>
    </row>
    <row r="228" spans="39:45">
      <c r="AM228" s="54">
        <v>2019</v>
      </c>
      <c r="AN228" s="54" t="s">
        <v>183</v>
      </c>
      <c r="AO228" s="54">
        <v>10</v>
      </c>
      <c r="AP228" s="54">
        <v>10</v>
      </c>
      <c r="AQ228" s="54">
        <v>1155.5</v>
      </c>
      <c r="AR228" s="55">
        <v>28500</v>
      </c>
      <c r="AS228" s="78">
        <f t="shared" si="7"/>
        <v>4.0543859649122806E-2</v>
      </c>
    </row>
    <row r="229" spans="39:45">
      <c r="AM229" s="55">
        <v>2019</v>
      </c>
      <c r="AN229" s="55" t="s">
        <v>183</v>
      </c>
      <c r="AO229" s="55">
        <v>10</v>
      </c>
      <c r="AP229" s="55">
        <v>11</v>
      </c>
      <c r="AQ229" s="55">
        <v>2512.5</v>
      </c>
      <c r="AR229" s="55">
        <v>28500</v>
      </c>
      <c r="AS229" s="78">
        <f t="shared" si="7"/>
        <v>8.8157894736842102E-2</v>
      </c>
    </row>
    <row r="230" spans="39:45">
      <c r="AM230" s="54">
        <v>2019</v>
      </c>
      <c r="AN230" s="54" t="s">
        <v>183</v>
      </c>
      <c r="AO230" s="54">
        <v>10</v>
      </c>
      <c r="AP230" s="54">
        <v>12</v>
      </c>
      <c r="AQ230" s="54">
        <v>2501.5</v>
      </c>
      <c r="AR230" s="55">
        <v>28500</v>
      </c>
      <c r="AS230" s="78">
        <f t="shared" si="7"/>
        <v>8.7771929824561404E-2</v>
      </c>
    </row>
    <row r="231" spans="39:45">
      <c r="AM231" s="55">
        <v>2019</v>
      </c>
      <c r="AN231" s="55" t="s">
        <v>183</v>
      </c>
      <c r="AO231" s="55">
        <v>10</v>
      </c>
      <c r="AP231" s="55">
        <v>13</v>
      </c>
      <c r="AQ231" s="55">
        <v>2731.5</v>
      </c>
      <c r="AR231" s="55">
        <v>28500</v>
      </c>
      <c r="AS231" s="78">
        <f t="shared" si="7"/>
        <v>9.5842105263157895E-2</v>
      </c>
    </row>
    <row r="232" spans="39:45">
      <c r="AM232" s="54">
        <v>2019</v>
      </c>
      <c r="AN232" s="54" t="s">
        <v>183</v>
      </c>
      <c r="AO232" s="54">
        <v>10</v>
      </c>
      <c r="AP232" s="54">
        <v>14</v>
      </c>
      <c r="AQ232" s="54">
        <v>1322</v>
      </c>
      <c r="AR232" s="55">
        <v>28500</v>
      </c>
      <c r="AS232" s="78">
        <f t="shared" si="7"/>
        <v>4.6385964912280704E-2</v>
      </c>
    </row>
    <row r="233" spans="39:45">
      <c r="AM233" s="55">
        <v>2019</v>
      </c>
      <c r="AN233" s="55" t="s">
        <v>183</v>
      </c>
      <c r="AO233" s="55">
        <v>10</v>
      </c>
      <c r="AP233" s="55">
        <v>15</v>
      </c>
      <c r="AQ233" s="55">
        <v>593</v>
      </c>
      <c r="AR233" s="55">
        <v>28500</v>
      </c>
      <c r="AS233" s="78">
        <f t="shared" si="7"/>
        <v>2.0807017543859649E-2</v>
      </c>
    </row>
    <row r="234" spans="39:45">
      <c r="AM234" s="54">
        <v>2019</v>
      </c>
      <c r="AN234" s="54" t="s">
        <v>183</v>
      </c>
      <c r="AO234" s="54">
        <v>10</v>
      </c>
      <c r="AP234" s="54">
        <v>16</v>
      </c>
      <c r="AQ234" s="54">
        <v>0</v>
      </c>
      <c r="AR234" s="55">
        <v>28500</v>
      </c>
      <c r="AS234" s="78">
        <f t="shared" si="7"/>
        <v>0</v>
      </c>
    </row>
    <row r="235" spans="39:45">
      <c r="AM235" s="55">
        <v>2019</v>
      </c>
      <c r="AN235" s="55" t="s">
        <v>183</v>
      </c>
      <c r="AO235" s="55">
        <v>10</v>
      </c>
      <c r="AP235" s="55">
        <v>17</v>
      </c>
      <c r="AQ235" s="55">
        <v>0</v>
      </c>
      <c r="AR235" s="55">
        <v>28500</v>
      </c>
      <c r="AS235" s="78">
        <f t="shared" si="7"/>
        <v>0</v>
      </c>
    </row>
    <row r="236" spans="39:45">
      <c r="AM236" s="54">
        <v>2019</v>
      </c>
      <c r="AN236" s="54" t="s">
        <v>183</v>
      </c>
      <c r="AO236" s="54">
        <v>10</v>
      </c>
      <c r="AP236" s="54">
        <v>18</v>
      </c>
      <c r="AQ236" s="54">
        <v>0</v>
      </c>
      <c r="AR236" s="55">
        <v>28500</v>
      </c>
      <c r="AS236" s="78">
        <f t="shared" si="7"/>
        <v>0</v>
      </c>
    </row>
    <row r="237" spans="39:45">
      <c r="AM237" s="55">
        <v>2019</v>
      </c>
      <c r="AN237" s="55" t="s">
        <v>183</v>
      </c>
      <c r="AO237" s="55">
        <v>10</v>
      </c>
      <c r="AP237" s="55">
        <v>19</v>
      </c>
      <c r="AQ237" s="55">
        <v>0</v>
      </c>
      <c r="AR237" s="55">
        <v>28500</v>
      </c>
      <c r="AS237" s="78">
        <f t="shared" si="7"/>
        <v>0</v>
      </c>
    </row>
    <row r="238" spans="39:45">
      <c r="AM238" s="54">
        <v>2019</v>
      </c>
      <c r="AN238" s="54" t="s">
        <v>183</v>
      </c>
      <c r="AO238" s="54">
        <v>10</v>
      </c>
      <c r="AP238" s="54">
        <v>20</v>
      </c>
      <c r="AQ238" s="54">
        <v>0</v>
      </c>
      <c r="AR238" s="55">
        <v>28500</v>
      </c>
      <c r="AS238" s="78">
        <f t="shared" si="7"/>
        <v>0</v>
      </c>
    </row>
    <row r="239" spans="39:45">
      <c r="AM239" s="55">
        <v>2019</v>
      </c>
      <c r="AN239" s="55" t="s">
        <v>183</v>
      </c>
      <c r="AO239" s="55">
        <v>10</v>
      </c>
      <c r="AP239" s="55">
        <v>21</v>
      </c>
      <c r="AQ239" s="55">
        <v>0</v>
      </c>
      <c r="AR239" s="55">
        <v>28500</v>
      </c>
      <c r="AS239" s="78">
        <f t="shared" si="7"/>
        <v>0</v>
      </c>
    </row>
    <row r="240" spans="39:45">
      <c r="AM240" s="54">
        <v>2019</v>
      </c>
      <c r="AN240" s="54" t="s">
        <v>183</v>
      </c>
      <c r="AO240" s="54">
        <v>10</v>
      </c>
      <c r="AP240" s="54">
        <v>22</v>
      </c>
      <c r="AQ240" s="54">
        <v>0</v>
      </c>
      <c r="AR240" s="55">
        <v>28500</v>
      </c>
      <c r="AS240" s="78">
        <f t="shared" si="7"/>
        <v>0</v>
      </c>
    </row>
    <row r="241" spans="39:45">
      <c r="AM241" s="55">
        <v>2019</v>
      </c>
      <c r="AN241" s="55" t="s">
        <v>183</v>
      </c>
      <c r="AO241" s="55">
        <v>10</v>
      </c>
      <c r="AP241" s="55">
        <v>23</v>
      </c>
      <c r="AQ241" s="55">
        <v>0</v>
      </c>
      <c r="AR241" s="55">
        <v>28500</v>
      </c>
      <c r="AS241" s="78">
        <f t="shared" si="7"/>
        <v>0</v>
      </c>
    </row>
    <row r="242" spans="39:45">
      <c r="AM242" s="54">
        <v>2019</v>
      </c>
      <c r="AN242" s="54" t="s">
        <v>183</v>
      </c>
      <c r="AO242" s="54">
        <v>11</v>
      </c>
      <c r="AP242" s="54">
        <v>24</v>
      </c>
      <c r="AQ242" s="54">
        <v>0</v>
      </c>
      <c r="AR242" s="55">
        <v>28500</v>
      </c>
      <c r="AS242" s="78">
        <f t="shared" si="7"/>
        <v>0</v>
      </c>
    </row>
    <row r="243" spans="39:45">
      <c r="AM243" s="55">
        <v>2019</v>
      </c>
      <c r="AN243" s="55" t="s">
        <v>183</v>
      </c>
      <c r="AO243" s="55">
        <v>11</v>
      </c>
      <c r="AP243" s="55">
        <v>1</v>
      </c>
      <c r="AQ243" s="55">
        <v>0</v>
      </c>
      <c r="AR243" s="55">
        <v>28500</v>
      </c>
      <c r="AS243" s="78">
        <f t="shared" si="7"/>
        <v>0</v>
      </c>
    </row>
    <row r="244" spans="39:45">
      <c r="AM244" s="54">
        <v>2019</v>
      </c>
      <c r="AN244" s="54" t="s">
        <v>183</v>
      </c>
      <c r="AO244" s="54">
        <v>11</v>
      </c>
      <c r="AP244" s="54">
        <v>2</v>
      </c>
      <c r="AQ244" s="54">
        <v>0</v>
      </c>
      <c r="AR244" s="55">
        <v>28500</v>
      </c>
      <c r="AS244" s="78">
        <f t="shared" si="7"/>
        <v>0</v>
      </c>
    </row>
    <row r="245" spans="39:45">
      <c r="AM245" s="55">
        <v>2019</v>
      </c>
      <c r="AN245" s="55" t="s">
        <v>183</v>
      </c>
      <c r="AO245" s="55">
        <v>11</v>
      </c>
      <c r="AP245" s="55">
        <v>3</v>
      </c>
      <c r="AQ245" s="55">
        <v>0</v>
      </c>
      <c r="AR245" s="55">
        <v>28500</v>
      </c>
      <c r="AS245" s="78">
        <f t="shared" si="7"/>
        <v>0</v>
      </c>
    </row>
    <row r="246" spans="39:45">
      <c r="AM246" s="54">
        <v>2019</v>
      </c>
      <c r="AN246" s="54" t="s">
        <v>183</v>
      </c>
      <c r="AO246" s="54">
        <v>11</v>
      </c>
      <c r="AP246" s="54">
        <v>4</v>
      </c>
      <c r="AQ246" s="54">
        <v>0</v>
      </c>
      <c r="AR246" s="55">
        <v>28500</v>
      </c>
      <c r="AS246" s="78">
        <f t="shared" si="7"/>
        <v>0</v>
      </c>
    </row>
    <row r="247" spans="39:45">
      <c r="AM247" s="55">
        <v>2019</v>
      </c>
      <c r="AN247" s="55" t="s">
        <v>183</v>
      </c>
      <c r="AO247" s="55">
        <v>11</v>
      </c>
      <c r="AP247" s="55">
        <v>5</v>
      </c>
      <c r="AQ247" s="55">
        <v>0</v>
      </c>
      <c r="AR247" s="55">
        <v>28500</v>
      </c>
      <c r="AS247" s="78">
        <f t="shared" si="7"/>
        <v>0</v>
      </c>
    </row>
    <row r="248" spans="39:45">
      <c r="AM248" s="54">
        <v>2019</v>
      </c>
      <c r="AN248" s="54" t="s">
        <v>183</v>
      </c>
      <c r="AO248" s="54">
        <v>11</v>
      </c>
      <c r="AP248" s="54">
        <v>6</v>
      </c>
      <c r="AQ248" s="54">
        <v>0</v>
      </c>
      <c r="AR248" s="55">
        <v>28500</v>
      </c>
      <c r="AS248" s="78">
        <f t="shared" si="7"/>
        <v>0</v>
      </c>
    </row>
    <row r="249" spans="39:45">
      <c r="AM249" s="55">
        <v>2019</v>
      </c>
      <c r="AN249" s="55" t="s">
        <v>183</v>
      </c>
      <c r="AO249" s="55">
        <v>11</v>
      </c>
      <c r="AP249" s="55">
        <v>7</v>
      </c>
      <c r="AQ249" s="55">
        <v>0</v>
      </c>
      <c r="AR249" s="55">
        <v>28500</v>
      </c>
      <c r="AS249" s="78">
        <f t="shared" si="7"/>
        <v>0</v>
      </c>
    </row>
    <row r="250" spans="39:45">
      <c r="AM250" s="54">
        <v>2019</v>
      </c>
      <c r="AN250" s="54" t="s">
        <v>183</v>
      </c>
      <c r="AO250" s="54">
        <v>11</v>
      </c>
      <c r="AP250" s="54">
        <v>8</v>
      </c>
      <c r="AQ250" s="54">
        <v>0</v>
      </c>
      <c r="AR250" s="55">
        <v>28500</v>
      </c>
      <c r="AS250" s="78">
        <f t="shared" si="7"/>
        <v>0</v>
      </c>
    </row>
    <row r="251" spans="39:45">
      <c r="AM251" s="55">
        <v>2019</v>
      </c>
      <c r="AN251" s="55" t="s">
        <v>183</v>
      </c>
      <c r="AO251" s="55">
        <v>11</v>
      </c>
      <c r="AP251" s="55">
        <v>9</v>
      </c>
      <c r="AQ251" s="55">
        <v>4827</v>
      </c>
      <c r="AR251" s="55">
        <v>28500</v>
      </c>
      <c r="AS251" s="78">
        <f t="shared" si="7"/>
        <v>0.16936842105263158</v>
      </c>
    </row>
    <row r="252" spans="39:45">
      <c r="AM252" s="54">
        <v>2019</v>
      </c>
      <c r="AN252" s="54" t="s">
        <v>183</v>
      </c>
      <c r="AO252" s="54">
        <v>11</v>
      </c>
      <c r="AP252" s="54">
        <v>10</v>
      </c>
      <c r="AQ252" s="54">
        <v>4698.5</v>
      </c>
      <c r="AR252" s="55">
        <v>28500</v>
      </c>
      <c r="AS252" s="78">
        <f t="shared" si="7"/>
        <v>0.16485964912280701</v>
      </c>
    </row>
    <row r="253" spans="39:45">
      <c r="AM253" s="55">
        <v>2019</v>
      </c>
      <c r="AN253" s="55" t="s">
        <v>183</v>
      </c>
      <c r="AO253" s="55">
        <v>11</v>
      </c>
      <c r="AP253" s="55">
        <v>11</v>
      </c>
      <c r="AQ253" s="55">
        <v>7069.5</v>
      </c>
      <c r="AR253" s="55">
        <v>28500</v>
      </c>
      <c r="AS253" s="78">
        <f t="shared" si="7"/>
        <v>0.24805263157894736</v>
      </c>
    </row>
    <row r="254" spans="39:45">
      <c r="AM254" s="54">
        <v>2019</v>
      </c>
      <c r="AN254" s="54" t="s">
        <v>183</v>
      </c>
      <c r="AO254" s="54">
        <v>11</v>
      </c>
      <c r="AP254" s="54">
        <v>12</v>
      </c>
      <c r="AQ254" s="54">
        <v>16368.5</v>
      </c>
      <c r="AR254" s="55">
        <v>28500</v>
      </c>
      <c r="AS254" s="78">
        <f t="shared" si="7"/>
        <v>0.57433333333333336</v>
      </c>
    </row>
    <row r="255" spans="39:45">
      <c r="AM255" s="55">
        <v>2019</v>
      </c>
      <c r="AN255" s="55" t="s">
        <v>183</v>
      </c>
      <c r="AO255" s="55">
        <v>11</v>
      </c>
      <c r="AP255" s="55">
        <v>13</v>
      </c>
      <c r="AQ255" s="55">
        <v>11639</v>
      </c>
      <c r="AR255" s="55">
        <v>28500</v>
      </c>
      <c r="AS255" s="78">
        <f t="shared" si="7"/>
        <v>0.40838596491228069</v>
      </c>
    </row>
    <row r="256" spans="39:45">
      <c r="AM256" s="54">
        <v>2019</v>
      </c>
      <c r="AN256" s="54" t="s">
        <v>183</v>
      </c>
      <c r="AO256" s="54">
        <v>11</v>
      </c>
      <c r="AP256" s="54">
        <v>14</v>
      </c>
      <c r="AQ256" s="54">
        <v>9785.5</v>
      </c>
      <c r="AR256" s="55">
        <v>28500</v>
      </c>
      <c r="AS256" s="78">
        <f t="shared" si="7"/>
        <v>0.34335087719298246</v>
      </c>
    </row>
    <row r="257" spans="39:45">
      <c r="AM257" s="55">
        <v>2019</v>
      </c>
      <c r="AN257" s="55" t="s">
        <v>183</v>
      </c>
      <c r="AO257" s="55">
        <v>11</v>
      </c>
      <c r="AP257" s="55">
        <v>15</v>
      </c>
      <c r="AQ257" s="55">
        <v>337.5</v>
      </c>
      <c r="AR257" s="55">
        <v>28500</v>
      </c>
      <c r="AS257" s="78">
        <f t="shared" si="7"/>
        <v>1.1842105263157895E-2</v>
      </c>
    </row>
    <row r="258" spans="39:45">
      <c r="AM258" s="54">
        <v>2019</v>
      </c>
      <c r="AN258" s="54" t="s">
        <v>183</v>
      </c>
      <c r="AO258" s="54">
        <v>11</v>
      </c>
      <c r="AP258" s="54">
        <v>16</v>
      </c>
      <c r="AQ258" s="54">
        <v>0</v>
      </c>
      <c r="AR258" s="55">
        <v>28500</v>
      </c>
      <c r="AS258" s="78">
        <f t="shared" ref="AS258:AS321" si="8">AQ258/AR258</f>
        <v>0</v>
      </c>
    </row>
    <row r="259" spans="39:45">
      <c r="AM259" s="55">
        <v>2019</v>
      </c>
      <c r="AN259" s="55" t="s">
        <v>183</v>
      </c>
      <c r="AO259" s="55">
        <v>11</v>
      </c>
      <c r="AP259" s="55">
        <v>17</v>
      </c>
      <c r="AQ259" s="55">
        <v>0</v>
      </c>
      <c r="AR259" s="55">
        <v>28500</v>
      </c>
      <c r="AS259" s="78">
        <f t="shared" si="8"/>
        <v>0</v>
      </c>
    </row>
    <row r="260" spans="39:45">
      <c r="AM260" s="54">
        <v>2019</v>
      </c>
      <c r="AN260" s="54" t="s">
        <v>183</v>
      </c>
      <c r="AO260" s="54">
        <v>11</v>
      </c>
      <c r="AP260" s="54">
        <v>18</v>
      </c>
      <c r="AQ260" s="54">
        <v>0</v>
      </c>
      <c r="AR260" s="55">
        <v>28500</v>
      </c>
      <c r="AS260" s="78">
        <f t="shared" si="8"/>
        <v>0</v>
      </c>
    </row>
    <row r="261" spans="39:45">
      <c r="AM261" s="55">
        <v>2019</v>
      </c>
      <c r="AN261" s="55" t="s">
        <v>183</v>
      </c>
      <c r="AO261" s="55">
        <v>11</v>
      </c>
      <c r="AP261" s="55">
        <v>19</v>
      </c>
      <c r="AQ261" s="55">
        <v>0</v>
      </c>
      <c r="AR261" s="55">
        <v>28500</v>
      </c>
      <c r="AS261" s="78">
        <f t="shared" si="8"/>
        <v>0</v>
      </c>
    </row>
    <row r="262" spans="39:45">
      <c r="AM262" s="54">
        <v>2019</v>
      </c>
      <c r="AN262" s="54" t="s">
        <v>183</v>
      </c>
      <c r="AO262" s="54">
        <v>11</v>
      </c>
      <c r="AP262" s="54">
        <v>20</v>
      </c>
      <c r="AQ262" s="54">
        <v>0</v>
      </c>
      <c r="AR262" s="55">
        <v>28500</v>
      </c>
      <c r="AS262" s="78">
        <f t="shared" si="8"/>
        <v>0</v>
      </c>
    </row>
    <row r="263" spans="39:45">
      <c r="AM263" s="55">
        <v>2019</v>
      </c>
      <c r="AN263" s="55" t="s">
        <v>183</v>
      </c>
      <c r="AO263" s="55">
        <v>11</v>
      </c>
      <c r="AP263" s="55">
        <v>21</v>
      </c>
      <c r="AQ263" s="55">
        <v>0</v>
      </c>
      <c r="AR263" s="55">
        <v>28500</v>
      </c>
      <c r="AS263" s="78">
        <f t="shared" si="8"/>
        <v>0</v>
      </c>
    </row>
    <row r="264" spans="39:45">
      <c r="AM264" s="54">
        <v>2019</v>
      </c>
      <c r="AN264" s="54" t="s">
        <v>183</v>
      </c>
      <c r="AO264" s="54">
        <v>11</v>
      </c>
      <c r="AP264" s="54">
        <v>22</v>
      </c>
      <c r="AQ264" s="54">
        <v>0</v>
      </c>
      <c r="AR264" s="55">
        <v>28500</v>
      </c>
      <c r="AS264" s="78">
        <f t="shared" si="8"/>
        <v>0</v>
      </c>
    </row>
    <row r="265" spans="39:45">
      <c r="AM265" s="55">
        <v>2019</v>
      </c>
      <c r="AN265" s="55" t="s">
        <v>183</v>
      </c>
      <c r="AO265" s="55">
        <v>11</v>
      </c>
      <c r="AP265" s="55">
        <v>23</v>
      </c>
      <c r="AQ265" s="55">
        <v>0</v>
      </c>
      <c r="AR265" s="55">
        <v>28500</v>
      </c>
      <c r="AS265" s="78">
        <f t="shared" si="8"/>
        <v>0</v>
      </c>
    </row>
    <row r="266" spans="39:45">
      <c r="AM266" s="54">
        <v>2019</v>
      </c>
      <c r="AN266" s="54" t="s">
        <v>183</v>
      </c>
      <c r="AO266" s="54">
        <v>12</v>
      </c>
      <c r="AP266" s="54">
        <v>24</v>
      </c>
      <c r="AQ266" s="54">
        <v>0</v>
      </c>
      <c r="AR266" s="55">
        <v>28500</v>
      </c>
      <c r="AS266" s="78">
        <f t="shared" si="8"/>
        <v>0</v>
      </c>
    </row>
    <row r="267" spans="39:45">
      <c r="AM267" s="55">
        <v>2019</v>
      </c>
      <c r="AN267" s="55" t="s">
        <v>183</v>
      </c>
      <c r="AO267" s="55">
        <v>12</v>
      </c>
      <c r="AP267" s="55">
        <v>1</v>
      </c>
      <c r="AQ267" s="55">
        <v>0</v>
      </c>
      <c r="AR267" s="55">
        <v>28500</v>
      </c>
      <c r="AS267" s="78">
        <f t="shared" si="8"/>
        <v>0</v>
      </c>
    </row>
    <row r="268" spans="39:45">
      <c r="AM268" s="54">
        <v>2019</v>
      </c>
      <c r="AN268" s="54" t="s">
        <v>183</v>
      </c>
      <c r="AO268" s="54">
        <v>12</v>
      </c>
      <c r="AP268" s="54">
        <v>2</v>
      </c>
      <c r="AQ268" s="54">
        <v>0</v>
      </c>
      <c r="AR268" s="55">
        <v>28500</v>
      </c>
      <c r="AS268" s="78">
        <f t="shared" si="8"/>
        <v>0</v>
      </c>
    </row>
    <row r="269" spans="39:45">
      <c r="AM269" s="55">
        <v>2019</v>
      </c>
      <c r="AN269" s="55" t="s">
        <v>183</v>
      </c>
      <c r="AO269" s="55">
        <v>12</v>
      </c>
      <c r="AP269" s="55">
        <v>3</v>
      </c>
      <c r="AQ269" s="55">
        <v>0</v>
      </c>
      <c r="AR269" s="55">
        <v>28500</v>
      </c>
      <c r="AS269" s="78">
        <f t="shared" si="8"/>
        <v>0</v>
      </c>
    </row>
    <row r="270" spans="39:45">
      <c r="AM270" s="54">
        <v>2019</v>
      </c>
      <c r="AN270" s="54" t="s">
        <v>183</v>
      </c>
      <c r="AO270" s="54">
        <v>12</v>
      </c>
      <c r="AP270" s="54">
        <v>4</v>
      </c>
      <c r="AQ270" s="54">
        <v>0</v>
      </c>
      <c r="AR270" s="55">
        <v>28500</v>
      </c>
      <c r="AS270" s="78">
        <f t="shared" si="8"/>
        <v>0</v>
      </c>
    </row>
    <row r="271" spans="39:45">
      <c r="AM271" s="55">
        <v>2019</v>
      </c>
      <c r="AN271" s="55" t="s">
        <v>183</v>
      </c>
      <c r="AO271" s="55">
        <v>12</v>
      </c>
      <c r="AP271" s="55">
        <v>5</v>
      </c>
      <c r="AQ271" s="55">
        <v>0</v>
      </c>
      <c r="AR271" s="55">
        <v>28500</v>
      </c>
      <c r="AS271" s="78">
        <f t="shared" si="8"/>
        <v>0</v>
      </c>
    </row>
    <row r="272" spans="39:45">
      <c r="AM272" s="54">
        <v>2019</v>
      </c>
      <c r="AN272" s="54" t="s">
        <v>183</v>
      </c>
      <c r="AO272" s="54">
        <v>12</v>
      </c>
      <c r="AP272" s="54">
        <v>6</v>
      </c>
      <c r="AQ272" s="54">
        <v>0</v>
      </c>
      <c r="AR272" s="55">
        <v>28500</v>
      </c>
      <c r="AS272" s="78">
        <f t="shared" si="8"/>
        <v>0</v>
      </c>
    </row>
    <row r="273" spans="39:45">
      <c r="AM273" s="55">
        <v>2019</v>
      </c>
      <c r="AN273" s="55" t="s">
        <v>183</v>
      </c>
      <c r="AO273" s="55">
        <v>12</v>
      </c>
      <c r="AP273" s="55">
        <v>7</v>
      </c>
      <c r="AQ273" s="55">
        <v>0</v>
      </c>
      <c r="AR273" s="55">
        <v>28500</v>
      </c>
      <c r="AS273" s="78">
        <f t="shared" si="8"/>
        <v>0</v>
      </c>
    </row>
    <row r="274" spans="39:45">
      <c r="AM274" s="54">
        <v>2019</v>
      </c>
      <c r="AN274" s="54" t="s">
        <v>183</v>
      </c>
      <c r="AO274" s="54">
        <v>12</v>
      </c>
      <c r="AP274" s="54">
        <v>8</v>
      </c>
      <c r="AQ274" s="54">
        <v>0</v>
      </c>
      <c r="AR274" s="55">
        <v>28500</v>
      </c>
      <c r="AS274" s="78">
        <f t="shared" si="8"/>
        <v>0</v>
      </c>
    </row>
    <row r="275" spans="39:45">
      <c r="AM275" s="55">
        <v>2019</v>
      </c>
      <c r="AN275" s="55" t="s">
        <v>183</v>
      </c>
      <c r="AO275" s="55">
        <v>12</v>
      </c>
      <c r="AP275" s="55">
        <v>9</v>
      </c>
      <c r="AQ275" s="55">
        <v>614</v>
      </c>
      <c r="AR275" s="55">
        <v>28500</v>
      </c>
      <c r="AS275" s="78">
        <f t="shared" si="8"/>
        <v>2.1543859649122806E-2</v>
      </c>
    </row>
    <row r="276" spans="39:45">
      <c r="AM276" s="54">
        <v>2019</v>
      </c>
      <c r="AN276" s="54" t="s">
        <v>183</v>
      </c>
      <c r="AO276" s="54">
        <v>12</v>
      </c>
      <c r="AP276" s="54">
        <v>10</v>
      </c>
      <c r="AQ276" s="54">
        <v>1441</v>
      </c>
      <c r="AR276" s="55">
        <v>28500</v>
      </c>
      <c r="AS276" s="78">
        <f t="shared" si="8"/>
        <v>5.0561403508771932E-2</v>
      </c>
    </row>
    <row r="277" spans="39:45">
      <c r="AM277" s="55">
        <v>2019</v>
      </c>
      <c r="AN277" s="55" t="s">
        <v>183</v>
      </c>
      <c r="AO277" s="55">
        <v>12</v>
      </c>
      <c r="AP277" s="55">
        <v>11</v>
      </c>
      <c r="AQ277" s="55">
        <v>2179</v>
      </c>
      <c r="AR277" s="55">
        <v>28500</v>
      </c>
      <c r="AS277" s="78">
        <f t="shared" si="8"/>
        <v>7.6456140350877194E-2</v>
      </c>
    </row>
    <row r="278" spans="39:45">
      <c r="AM278" s="54">
        <v>2019</v>
      </c>
      <c r="AN278" s="54" t="s">
        <v>183</v>
      </c>
      <c r="AO278" s="54">
        <v>12</v>
      </c>
      <c r="AP278" s="54">
        <v>12</v>
      </c>
      <c r="AQ278" s="54">
        <v>1654</v>
      </c>
      <c r="AR278" s="55">
        <v>28500</v>
      </c>
      <c r="AS278" s="78">
        <f t="shared" si="8"/>
        <v>5.8035087719298245E-2</v>
      </c>
    </row>
    <row r="279" spans="39:45">
      <c r="AM279" s="55">
        <v>2019</v>
      </c>
      <c r="AN279" s="55" t="s">
        <v>183</v>
      </c>
      <c r="AO279" s="55">
        <v>12</v>
      </c>
      <c r="AP279" s="55">
        <v>13</v>
      </c>
      <c r="AQ279" s="55">
        <v>2135.5</v>
      </c>
      <c r="AR279" s="55">
        <v>28500</v>
      </c>
      <c r="AS279" s="78">
        <f t="shared" si="8"/>
        <v>7.4929824561403513E-2</v>
      </c>
    </row>
    <row r="280" spans="39:45">
      <c r="AM280" s="54">
        <v>2019</v>
      </c>
      <c r="AN280" s="54" t="s">
        <v>183</v>
      </c>
      <c r="AO280" s="54">
        <v>12</v>
      </c>
      <c r="AP280" s="54">
        <v>14</v>
      </c>
      <c r="AQ280" s="54">
        <v>2409</v>
      </c>
      <c r="AR280" s="55">
        <v>28500</v>
      </c>
      <c r="AS280" s="78">
        <f t="shared" si="8"/>
        <v>8.4526315789473686E-2</v>
      </c>
    </row>
    <row r="281" spans="39:45">
      <c r="AM281" s="55">
        <v>2019</v>
      </c>
      <c r="AN281" s="55" t="s">
        <v>183</v>
      </c>
      <c r="AO281" s="55">
        <v>12</v>
      </c>
      <c r="AP281" s="55">
        <v>15</v>
      </c>
      <c r="AQ281" s="55">
        <v>1027.5</v>
      </c>
      <c r="AR281" s="55">
        <v>28500</v>
      </c>
      <c r="AS281" s="78">
        <f t="shared" si="8"/>
        <v>3.6052631578947371E-2</v>
      </c>
    </row>
    <row r="282" spans="39:45">
      <c r="AM282" s="54">
        <v>2019</v>
      </c>
      <c r="AN282" s="54" t="s">
        <v>183</v>
      </c>
      <c r="AO282" s="54">
        <v>12</v>
      </c>
      <c r="AP282" s="54">
        <v>16</v>
      </c>
      <c r="AQ282" s="54">
        <v>0</v>
      </c>
      <c r="AR282" s="55">
        <v>28500</v>
      </c>
      <c r="AS282" s="78">
        <f t="shared" si="8"/>
        <v>0</v>
      </c>
    </row>
    <row r="283" spans="39:45">
      <c r="AM283" s="55">
        <v>2019</v>
      </c>
      <c r="AN283" s="55" t="s">
        <v>183</v>
      </c>
      <c r="AO283" s="55">
        <v>12</v>
      </c>
      <c r="AP283" s="55">
        <v>17</v>
      </c>
      <c r="AQ283" s="55">
        <v>0</v>
      </c>
      <c r="AR283" s="55">
        <v>28500</v>
      </c>
      <c r="AS283" s="78">
        <f t="shared" si="8"/>
        <v>0</v>
      </c>
    </row>
    <row r="284" spans="39:45">
      <c r="AM284" s="54">
        <v>2019</v>
      </c>
      <c r="AN284" s="54" t="s">
        <v>183</v>
      </c>
      <c r="AO284" s="54">
        <v>12</v>
      </c>
      <c r="AP284" s="54">
        <v>18</v>
      </c>
      <c r="AQ284" s="54">
        <v>0</v>
      </c>
      <c r="AR284" s="55">
        <v>28500</v>
      </c>
      <c r="AS284" s="78">
        <f t="shared" si="8"/>
        <v>0</v>
      </c>
    </row>
    <row r="285" spans="39:45">
      <c r="AM285" s="55">
        <v>2019</v>
      </c>
      <c r="AN285" s="55" t="s">
        <v>183</v>
      </c>
      <c r="AO285" s="55">
        <v>12</v>
      </c>
      <c r="AP285" s="55">
        <v>19</v>
      </c>
      <c r="AQ285" s="55">
        <v>0</v>
      </c>
      <c r="AR285" s="55">
        <v>28500</v>
      </c>
      <c r="AS285" s="78">
        <f t="shared" si="8"/>
        <v>0</v>
      </c>
    </row>
    <row r="286" spans="39:45">
      <c r="AM286" s="54">
        <v>2019</v>
      </c>
      <c r="AN286" s="54" t="s">
        <v>183</v>
      </c>
      <c r="AO286" s="54">
        <v>12</v>
      </c>
      <c r="AP286" s="54">
        <v>20</v>
      </c>
      <c r="AQ286" s="54">
        <v>0</v>
      </c>
      <c r="AR286" s="55">
        <v>28500</v>
      </c>
      <c r="AS286" s="78">
        <f t="shared" si="8"/>
        <v>0</v>
      </c>
    </row>
    <row r="287" spans="39:45">
      <c r="AM287" s="55">
        <v>2019</v>
      </c>
      <c r="AN287" s="55" t="s">
        <v>183</v>
      </c>
      <c r="AO287" s="55">
        <v>12</v>
      </c>
      <c r="AP287" s="55">
        <v>21</v>
      </c>
      <c r="AQ287" s="55">
        <v>0</v>
      </c>
      <c r="AR287" s="55">
        <v>28500</v>
      </c>
      <c r="AS287" s="78">
        <f t="shared" si="8"/>
        <v>0</v>
      </c>
    </row>
    <row r="288" spans="39:45">
      <c r="AM288" s="54">
        <v>2019</v>
      </c>
      <c r="AN288" s="54" t="s">
        <v>183</v>
      </c>
      <c r="AO288" s="54">
        <v>12</v>
      </c>
      <c r="AP288" s="54">
        <v>22</v>
      </c>
      <c r="AQ288" s="54">
        <v>0</v>
      </c>
      <c r="AR288" s="55">
        <v>28500</v>
      </c>
      <c r="AS288" s="78">
        <f t="shared" si="8"/>
        <v>0</v>
      </c>
    </row>
    <row r="289" spans="39:45">
      <c r="AM289" s="55">
        <v>2019</v>
      </c>
      <c r="AN289" s="55" t="s">
        <v>183</v>
      </c>
      <c r="AO289" s="55">
        <v>12</v>
      </c>
      <c r="AP289" s="55">
        <v>23</v>
      </c>
      <c r="AQ289" s="55">
        <v>0</v>
      </c>
      <c r="AR289" s="55">
        <v>28500</v>
      </c>
      <c r="AS289" s="78">
        <f t="shared" si="8"/>
        <v>0</v>
      </c>
    </row>
    <row r="290" spans="39:45">
      <c r="AM290" s="54">
        <v>2019</v>
      </c>
      <c r="AN290" s="54" t="s">
        <v>183</v>
      </c>
      <c r="AO290" s="54">
        <v>13</v>
      </c>
      <c r="AP290" s="54">
        <v>24</v>
      </c>
      <c r="AQ290" s="54">
        <v>0</v>
      </c>
      <c r="AR290" s="55">
        <v>28500</v>
      </c>
      <c r="AS290" s="78">
        <f t="shared" si="8"/>
        <v>0</v>
      </c>
    </row>
    <row r="291" spans="39:45">
      <c r="AM291" s="55">
        <v>2019</v>
      </c>
      <c r="AN291" s="55" t="s">
        <v>183</v>
      </c>
      <c r="AO291" s="55">
        <v>13</v>
      </c>
      <c r="AP291" s="55">
        <v>1</v>
      </c>
      <c r="AQ291" s="55">
        <v>0</v>
      </c>
      <c r="AR291" s="55">
        <v>28500</v>
      </c>
      <c r="AS291" s="78">
        <f t="shared" si="8"/>
        <v>0</v>
      </c>
    </row>
    <row r="292" spans="39:45">
      <c r="AM292" s="54">
        <v>2019</v>
      </c>
      <c r="AN292" s="54" t="s">
        <v>183</v>
      </c>
      <c r="AO292" s="54">
        <v>13</v>
      </c>
      <c r="AP292" s="54">
        <v>2</v>
      </c>
      <c r="AQ292" s="54">
        <v>0</v>
      </c>
      <c r="AR292" s="55">
        <v>28500</v>
      </c>
      <c r="AS292" s="78">
        <f t="shared" si="8"/>
        <v>0</v>
      </c>
    </row>
    <row r="293" spans="39:45">
      <c r="AM293" s="55">
        <v>2019</v>
      </c>
      <c r="AN293" s="55" t="s">
        <v>183</v>
      </c>
      <c r="AO293" s="55">
        <v>13</v>
      </c>
      <c r="AP293" s="55">
        <v>3</v>
      </c>
      <c r="AQ293" s="55">
        <v>0</v>
      </c>
      <c r="AR293" s="55">
        <v>28500</v>
      </c>
      <c r="AS293" s="78">
        <f t="shared" si="8"/>
        <v>0</v>
      </c>
    </row>
    <row r="294" spans="39:45">
      <c r="AM294" s="54">
        <v>2019</v>
      </c>
      <c r="AN294" s="54" t="s">
        <v>183</v>
      </c>
      <c r="AO294" s="54">
        <v>13</v>
      </c>
      <c r="AP294" s="54">
        <v>4</v>
      </c>
      <c r="AQ294" s="54">
        <v>0</v>
      </c>
      <c r="AR294" s="55">
        <v>28500</v>
      </c>
      <c r="AS294" s="78">
        <f t="shared" si="8"/>
        <v>0</v>
      </c>
    </row>
    <row r="295" spans="39:45">
      <c r="AM295" s="55">
        <v>2019</v>
      </c>
      <c r="AN295" s="55" t="s">
        <v>183</v>
      </c>
      <c r="AO295" s="55">
        <v>13</v>
      </c>
      <c r="AP295" s="55">
        <v>5</v>
      </c>
      <c r="AQ295" s="55">
        <v>0</v>
      </c>
      <c r="AR295" s="55">
        <v>28500</v>
      </c>
      <c r="AS295" s="78">
        <f t="shared" si="8"/>
        <v>0</v>
      </c>
    </row>
    <row r="296" spans="39:45">
      <c r="AM296" s="54">
        <v>2019</v>
      </c>
      <c r="AN296" s="54" t="s">
        <v>183</v>
      </c>
      <c r="AO296" s="54">
        <v>13</v>
      </c>
      <c r="AP296" s="54">
        <v>6</v>
      </c>
      <c r="AQ296" s="54">
        <v>0</v>
      </c>
      <c r="AR296" s="55">
        <v>28500</v>
      </c>
      <c r="AS296" s="78">
        <f t="shared" si="8"/>
        <v>0</v>
      </c>
    </row>
    <row r="297" spans="39:45">
      <c r="AM297" s="55">
        <v>2019</v>
      </c>
      <c r="AN297" s="55" t="s">
        <v>183</v>
      </c>
      <c r="AO297" s="55">
        <v>13</v>
      </c>
      <c r="AP297" s="55">
        <v>7</v>
      </c>
      <c r="AQ297" s="55">
        <v>0</v>
      </c>
      <c r="AR297" s="55">
        <v>28500</v>
      </c>
      <c r="AS297" s="78">
        <f t="shared" si="8"/>
        <v>0</v>
      </c>
    </row>
    <row r="298" spans="39:45">
      <c r="AM298" s="54">
        <v>2019</v>
      </c>
      <c r="AN298" s="54" t="s">
        <v>183</v>
      </c>
      <c r="AO298" s="54">
        <v>13</v>
      </c>
      <c r="AP298" s="54">
        <v>8</v>
      </c>
      <c r="AQ298" s="54">
        <v>0</v>
      </c>
      <c r="AR298" s="55">
        <v>28500</v>
      </c>
      <c r="AS298" s="78">
        <f t="shared" si="8"/>
        <v>0</v>
      </c>
    </row>
    <row r="299" spans="39:45">
      <c r="AM299" s="55">
        <v>2019</v>
      </c>
      <c r="AN299" s="55" t="s">
        <v>183</v>
      </c>
      <c r="AO299" s="55">
        <v>13</v>
      </c>
      <c r="AP299" s="55">
        <v>9</v>
      </c>
      <c r="AQ299" s="55">
        <v>609.5</v>
      </c>
      <c r="AR299" s="55">
        <v>28500</v>
      </c>
      <c r="AS299" s="78">
        <f t="shared" si="8"/>
        <v>2.1385964912280703E-2</v>
      </c>
    </row>
    <row r="300" spans="39:45">
      <c r="AM300" s="54">
        <v>2019</v>
      </c>
      <c r="AN300" s="54" t="s">
        <v>183</v>
      </c>
      <c r="AO300" s="54">
        <v>13</v>
      </c>
      <c r="AP300" s="54">
        <v>10</v>
      </c>
      <c r="AQ300" s="54">
        <v>1045</v>
      </c>
      <c r="AR300" s="55">
        <v>28500</v>
      </c>
      <c r="AS300" s="78">
        <f t="shared" si="8"/>
        <v>3.6666666666666667E-2</v>
      </c>
    </row>
    <row r="301" spans="39:45">
      <c r="AM301" s="55">
        <v>2019</v>
      </c>
      <c r="AN301" s="55" t="s">
        <v>183</v>
      </c>
      <c r="AO301" s="55">
        <v>13</v>
      </c>
      <c r="AP301" s="55">
        <v>11</v>
      </c>
      <c r="AQ301" s="55">
        <v>24019</v>
      </c>
      <c r="AR301" s="55">
        <v>28500</v>
      </c>
      <c r="AS301" s="78">
        <f t="shared" si="8"/>
        <v>0.84277192982456139</v>
      </c>
    </row>
    <row r="302" spans="39:45">
      <c r="AM302" s="54">
        <v>2019</v>
      </c>
      <c r="AN302" s="54" t="s">
        <v>183</v>
      </c>
      <c r="AO302" s="54">
        <v>13</v>
      </c>
      <c r="AP302" s="54">
        <v>12</v>
      </c>
      <c r="AQ302" s="54">
        <v>16720</v>
      </c>
      <c r="AR302" s="55">
        <v>28500</v>
      </c>
      <c r="AS302" s="78">
        <f t="shared" si="8"/>
        <v>0.58666666666666667</v>
      </c>
    </row>
    <row r="303" spans="39:45">
      <c r="AM303" s="55">
        <v>2019</v>
      </c>
      <c r="AN303" s="55" t="s">
        <v>183</v>
      </c>
      <c r="AO303" s="55">
        <v>13</v>
      </c>
      <c r="AP303" s="55">
        <v>13</v>
      </c>
      <c r="AQ303" s="55">
        <v>9997.5</v>
      </c>
      <c r="AR303" s="55">
        <v>28500</v>
      </c>
      <c r="AS303" s="78">
        <f t="shared" si="8"/>
        <v>0.35078947368421054</v>
      </c>
    </row>
    <row r="304" spans="39:45">
      <c r="AM304" s="54">
        <v>2019</v>
      </c>
      <c r="AN304" s="54" t="s">
        <v>183</v>
      </c>
      <c r="AO304" s="54">
        <v>13</v>
      </c>
      <c r="AP304" s="54">
        <v>14</v>
      </c>
      <c r="AQ304" s="54">
        <v>11892.5</v>
      </c>
      <c r="AR304" s="55">
        <v>28500</v>
      </c>
      <c r="AS304" s="78">
        <f t="shared" si="8"/>
        <v>0.41728070175438597</v>
      </c>
    </row>
    <row r="305" spans="39:45">
      <c r="AM305" s="55">
        <v>2019</v>
      </c>
      <c r="AN305" s="55" t="s">
        <v>183</v>
      </c>
      <c r="AO305" s="55">
        <v>13</v>
      </c>
      <c r="AP305" s="55">
        <v>15</v>
      </c>
      <c r="AQ305" s="55">
        <v>4325</v>
      </c>
      <c r="AR305" s="55">
        <v>28500</v>
      </c>
      <c r="AS305" s="78">
        <f t="shared" si="8"/>
        <v>0.15175438596491228</v>
      </c>
    </row>
    <row r="306" spans="39:45">
      <c r="AM306" s="54">
        <v>2019</v>
      </c>
      <c r="AN306" s="54" t="s">
        <v>183</v>
      </c>
      <c r="AO306" s="54">
        <v>13</v>
      </c>
      <c r="AP306" s="54">
        <v>16</v>
      </c>
      <c r="AQ306" s="54">
        <v>0</v>
      </c>
      <c r="AR306" s="55">
        <v>28500</v>
      </c>
      <c r="AS306" s="78">
        <f t="shared" si="8"/>
        <v>0</v>
      </c>
    </row>
    <row r="307" spans="39:45">
      <c r="AM307" s="55">
        <v>2019</v>
      </c>
      <c r="AN307" s="55" t="s">
        <v>183</v>
      </c>
      <c r="AO307" s="55">
        <v>13</v>
      </c>
      <c r="AP307" s="55">
        <v>17</v>
      </c>
      <c r="AQ307" s="55">
        <v>0</v>
      </c>
      <c r="AR307" s="55">
        <v>28500</v>
      </c>
      <c r="AS307" s="78">
        <f t="shared" si="8"/>
        <v>0</v>
      </c>
    </row>
    <row r="308" spans="39:45">
      <c r="AM308" s="54">
        <v>2019</v>
      </c>
      <c r="AN308" s="54" t="s">
        <v>183</v>
      </c>
      <c r="AO308" s="54">
        <v>13</v>
      </c>
      <c r="AP308" s="54">
        <v>18</v>
      </c>
      <c r="AQ308" s="54">
        <v>0</v>
      </c>
      <c r="AR308" s="55">
        <v>28500</v>
      </c>
      <c r="AS308" s="78">
        <f t="shared" si="8"/>
        <v>0</v>
      </c>
    </row>
    <row r="309" spans="39:45">
      <c r="AM309" s="55">
        <v>2019</v>
      </c>
      <c r="AN309" s="55" t="s">
        <v>183</v>
      </c>
      <c r="AO309" s="55">
        <v>13</v>
      </c>
      <c r="AP309" s="55">
        <v>19</v>
      </c>
      <c r="AQ309" s="55">
        <v>0</v>
      </c>
      <c r="AR309" s="55">
        <v>28500</v>
      </c>
      <c r="AS309" s="78">
        <f t="shared" si="8"/>
        <v>0</v>
      </c>
    </row>
    <row r="310" spans="39:45">
      <c r="AM310" s="54">
        <v>2019</v>
      </c>
      <c r="AN310" s="54" t="s">
        <v>183</v>
      </c>
      <c r="AO310" s="54">
        <v>13</v>
      </c>
      <c r="AP310" s="54">
        <v>20</v>
      </c>
      <c r="AQ310" s="54">
        <v>0</v>
      </c>
      <c r="AR310" s="55">
        <v>28500</v>
      </c>
      <c r="AS310" s="78">
        <f t="shared" si="8"/>
        <v>0</v>
      </c>
    </row>
    <row r="311" spans="39:45">
      <c r="AM311" s="55">
        <v>2019</v>
      </c>
      <c r="AN311" s="55" t="s">
        <v>183</v>
      </c>
      <c r="AO311" s="55">
        <v>13</v>
      </c>
      <c r="AP311" s="55">
        <v>21</v>
      </c>
      <c r="AQ311" s="55">
        <v>0</v>
      </c>
      <c r="AR311" s="55">
        <v>28500</v>
      </c>
      <c r="AS311" s="78">
        <f t="shared" si="8"/>
        <v>0</v>
      </c>
    </row>
    <row r="312" spans="39:45">
      <c r="AM312" s="54">
        <v>2019</v>
      </c>
      <c r="AN312" s="54" t="s">
        <v>183</v>
      </c>
      <c r="AO312" s="54">
        <v>13</v>
      </c>
      <c r="AP312" s="54">
        <v>22</v>
      </c>
      <c r="AQ312" s="54">
        <v>0</v>
      </c>
      <c r="AR312" s="55">
        <v>28500</v>
      </c>
      <c r="AS312" s="78">
        <f t="shared" si="8"/>
        <v>0</v>
      </c>
    </row>
    <row r="313" spans="39:45">
      <c r="AM313" s="55">
        <v>2019</v>
      </c>
      <c r="AN313" s="55" t="s">
        <v>183</v>
      </c>
      <c r="AO313" s="55">
        <v>13</v>
      </c>
      <c r="AP313" s="55">
        <v>23</v>
      </c>
      <c r="AQ313" s="55">
        <v>0</v>
      </c>
      <c r="AR313" s="55">
        <v>28500</v>
      </c>
      <c r="AS313" s="78">
        <f t="shared" si="8"/>
        <v>0</v>
      </c>
    </row>
    <row r="314" spans="39:45">
      <c r="AM314" s="54">
        <v>2019</v>
      </c>
      <c r="AN314" s="54" t="s">
        <v>183</v>
      </c>
      <c r="AO314" s="54">
        <v>14</v>
      </c>
      <c r="AP314" s="54">
        <v>24</v>
      </c>
      <c r="AQ314" s="54">
        <v>0</v>
      </c>
      <c r="AR314" s="55">
        <v>28500</v>
      </c>
      <c r="AS314" s="78">
        <f t="shared" si="8"/>
        <v>0</v>
      </c>
    </row>
    <row r="315" spans="39:45">
      <c r="AM315" s="55">
        <v>2019</v>
      </c>
      <c r="AN315" s="55" t="s">
        <v>183</v>
      </c>
      <c r="AO315" s="55">
        <v>14</v>
      </c>
      <c r="AP315" s="55">
        <v>1</v>
      </c>
      <c r="AQ315" s="55">
        <v>0</v>
      </c>
      <c r="AR315" s="55">
        <v>28500</v>
      </c>
      <c r="AS315" s="78">
        <f t="shared" si="8"/>
        <v>0</v>
      </c>
    </row>
    <row r="316" spans="39:45">
      <c r="AM316" s="54">
        <v>2019</v>
      </c>
      <c r="AN316" s="54" t="s">
        <v>183</v>
      </c>
      <c r="AO316" s="54">
        <v>14</v>
      </c>
      <c r="AP316" s="54">
        <v>2</v>
      </c>
      <c r="AQ316" s="54">
        <v>0</v>
      </c>
      <c r="AR316" s="55">
        <v>28500</v>
      </c>
      <c r="AS316" s="78">
        <f t="shared" si="8"/>
        <v>0</v>
      </c>
    </row>
    <row r="317" spans="39:45">
      <c r="AM317" s="55">
        <v>2019</v>
      </c>
      <c r="AN317" s="55" t="s">
        <v>183</v>
      </c>
      <c r="AO317" s="55">
        <v>14</v>
      </c>
      <c r="AP317" s="55">
        <v>3</v>
      </c>
      <c r="AQ317" s="55">
        <v>0</v>
      </c>
      <c r="AR317" s="55">
        <v>28500</v>
      </c>
      <c r="AS317" s="78">
        <f t="shared" si="8"/>
        <v>0</v>
      </c>
    </row>
    <row r="318" spans="39:45">
      <c r="AM318" s="54">
        <v>2019</v>
      </c>
      <c r="AN318" s="54" t="s">
        <v>183</v>
      </c>
      <c r="AO318" s="54">
        <v>14</v>
      </c>
      <c r="AP318" s="54">
        <v>4</v>
      </c>
      <c r="AQ318" s="54">
        <v>0</v>
      </c>
      <c r="AR318" s="55">
        <v>28500</v>
      </c>
      <c r="AS318" s="78">
        <f t="shared" si="8"/>
        <v>0</v>
      </c>
    </row>
    <row r="319" spans="39:45">
      <c r="AM319" s="55">
        <v>2019</v>
      </c>
      <c r="AN319" s="55" t="s">
        <v>183</v>
      </c>
      <c r="AO319" s="55">
        <v>14</v>
      </c>
      <c r="AP319" s="55">
        <v>5</v>
      </c>
      <c r="AQ319" s="55">
        <v>0</v>
      </c>
      <c r="AR319" s="55">
        <v>28500</v>
      </c>
      <c r="AS319" s="78">
        <f t="shared" si="8"/>
        <v>0</v>
      </c>
    </row>
    <row r="320" spans="39:45">
      <c r="AM320" s="54">
        <v>2019</v>
      </c>
      <c r="AN320" s="54" t="s">
        <v>183</v>
      </c>
      <c r="AO320" s="54">
        <v>14</v>
      </c>
      <c r="AP320" s="54">
        <v>6</v>
      </c>
      <c r="AQ320" s="54">
        <v>0</v>
      </c>
      <c r="AR320" s="55">
        <v>28500</v>
      </c>
      <c r="AS320" s="78">
        <f t="shared" si="8"/>
        <v>0</v>
      </c>
    </row>
    <row r="321" spans="39:45">
      <c r="AM321" s="55">
        <v>2019</v>
      </c>
      <c r="AN321" s="55" t="s">
        <v>183</v>
      </c>
      <c r="AO321" s="55">
        <v>14</v>
      </c>
      <c r="AP321" s="55">
        <v>7</v>
      </c>
      <c r="AQ321" s="55">
        <v>0</v>
      </c>
      <c r="AR321" s="55">
        <v>28500</v>
      </c>
      <c r="AS321" s="78">
        <f t="shared" si="8"/>
        <v>0</v>
      </c>
    </row>
    <row r="322" spans="39:45">
      <c r="AM322" s="54">
        <v>2019</v>
      </c>
      <c r="AN322" s="54" t="s">
        <v>183</v>
      </c>
      <c r="AO322" s="54">
        <v>14</v>
      </c>
      <c r="AP322" s="54">
        <v>8</v>
      </c>
      <c r="AQ322" s="54">
        <v>0</v>
      </c>
      <c r="AR322" s="55">
        <v>28500</v>
      </c>
      <c r="AS322" s="78">
        <f t="shared" ref="AS322:AS385" si="9">AQ322/AR322</f>
        <v>0</v>
      </c>
    </row>
    <row r="323" spans="39:45">
      <c r="AM323" s="55">
        <v>2019</v>
      </c>
      <c r="AN323" s="55" t="s">
        <v>183</v>
      </c>
      <c r="AO323" s="55">
        <v>14</v>
      </c>
      <c r="AP323" s="55">
        <v>9</v>
      </c>
      <c r="AQ323" s="55">
        <v>15668.5</v>
      </c>
      <c r="AR323" s="55">
        <v>28500</v>
      </c>
      <c r="AS323" s="78">
        <f t="shared" si="9"/>
        <v>0.54977192982456136</v>
      </c>
    </row>
    <row r="324" spans="39:45">
      <c r="AM324" s="54">
        <v>2019</v>
      </c>
      <c r="AN324" s="54" t="s">
        <v>183</v>
      </c>
      <c r="AO324" s="54">
        <v>14</v>
      </c>
      <c r="AP324" s="54">
        <v>10</v>
      </c>
      <c r="AQ324" s="54">
        <v>22869.5</v>
      </c>
      <c r="AR324" s="55">
        <v>28500</v>
      </c>
      <c r="AS324" s="78">
        <f t="shared" si="9"/>
        <v>0.80243859649122806</v>
      </c>
    </row>
    <row r="325" spans="39:45">
      <c r="AM325" s="55">
        <v>2019</v>
      </c>
      <c r="AN325" s="55" t="s">
        <v>183</v>
      </c>
      <c r="AO325" s="55">
        <v>14</v>
      </c>
      <c r="AP325" s="55">
        <v>11</v>
      </c>
      <c r="AQ325" s="55">
        <v>2304.5</v>
      </c>
      <c r="AR325" s="55">
        <v>28500</v>
      </c>
      <c r="AS325" s="78">
        <f t="shared" si="9"/>
        <v>8.085964912280702E-2</v>
      </c>
    </row>
    <row r="326" spans="39:45">
      <c r="AM326" s="54">
        <v>2019</v>
      </c>
      <c r="AN326" s="54" t="s">
        <v>183</v>
      </c>
      <c r="AO326" s="54">
        <v>14</v>
      </c>
      <c r="AP326" s="54">
        <v>12</v>
      </c>
      <c r="AQ326" s="54">
        <v>1552</v>
      </c>
      <c r="AR326" s="55">
        <v>28500</v>
      </c>
      <c r="AS326" s="78">
        <f t="shared" si="9"/>
        <v>5.4456140350877195E-2</v>
      </c>
    </row>
    <row r="327" spans="39:45">
      <c r="AM327" s="55">
        <v>2019</v>
      </c>
      <c r="AN327" s="55" t="s">
        <v>183</v>
      </c>
      <c r="AO327" s="55">
        <v>14</v>
      </c>
      <c r="AP327" s="55">
        <v>13</v>
      </c>
      <c r="AQ327" s="55">
        <v>1226</v>
      </c>
      <c r="AR327" s="55">
        <v>28500</v>
      </c>
      <c r="AS327" s="78">
        <f t="shared" si="9"/>
        <v>4.3017543859649121E-2</v>
      </c>
    </row>
    <row r="328" spans="39:45">
      <c r="AM328" s="54">
        <v>2019</v>
      </c>
      <c r="AN328" s="54" t="s">
        <v>183</v>
      </c>
      <c r="AO328" s="54">
        <v>14</v>
      </c>
      <c r="AP328" s="54">
        <v>14</v>
      </c>
      <c r="AQ328" s="54">
        <v>1808.5</v>
      </c>
      <c r="AR328" s="55">
        <v>28500</v>
      </c>
      <c r="AS328" s="78">
        <f t="shared" si="9"/>
        <v>6.3456140350877197E-2</v>
      </c>
    </row>
    <row r="329" spans="39:45">
      <c r="AM329" s="55">
        <v>2019</v>
      </c>
      <c r="AN329" s="55" t="s">
        <v>183</v>
      </c>
      <c r="AO329" s="55">
        <v>14</v>
      </c>
      <c r="AP329" s="55">
        <v>15</v>
      </c>
      <c r="AQ329" s="55">
        <v>2287.5</v>
      </c>
      <c r="AR329" s="55">
        <v>28500</v>
      </c>
      <c r="AS329" s="78">
        <f t="shared" si="9"/>
        <v>8.0263157894736842E-2</v>
      </c>
    </row>
    <row r="330" spans="39:45">
      <c r="AM330" s="54">
        <v>2019</v>
      </c>
      <c r="AN330" s="54" t="s">
        <v>183</v>
      </c>
      <c r="AO330" s="54">
        <v>14</v>
      </c>
      <c r="AP330" s="54">
        <v>16</v>
      </c>
      <c r="AQ330" s="54">
        <v>0</v>
      </c>
      <c r="AR330" s="55">
        <v>28500</v>
      </c>
      <c r="AS330" s="78">
        <f t="shared" si="9"/>
        <v>0</v>
      </c>
    </row>
    <row r="331" spans="39:45">
      <c r="AM331" s="55">
        <v>2019</v>
      </c>
      <c r="AN331" s="55" t="s">
        <v>183</v>
      </c>
      <c r="AO331" s="55">
        <v>14</v>
      </c>
      <c r="AP331" s="55">
        <v>17</v>
      </c>
      <c r="AQ331" s="55">
        <v>0</v>
      </c>
      <c r="AR331" s="55">
        <v>28500</v>
      </c>
      <c r="AS331" s="78">
        <f t="shared" si="9"/>
        <v>0</v>
      </c>
    </row>
    <row r="332" spans="39:45">
      <c r="AM332" s="54">
        <v>2019</v>
      </c>
      <c r="AN332" s="54" t="s">
        <v>183</v>
      </c>
      <c r="AO332" s="54">
        <v>14</v>
      </c>
      <c r="AP332" s="54">
        <v>18</v>
      </c>
      <c r="AQ332" s="54">
        <v>0</v>
      </c>
      <c r="AR332" s="55">
        <v>28500</v>
      </c>
      <c r="AS332" s="78">
        <f t="shared" si="9"/>
        <v>0</v>
      </c>
    </row>
    <row r="333" spans="39:45">
      <c r="AM333" s="55">
        <v>2019</v>
      </c>
      <c r="AN333" s="55" t="s">
        <v>183</v>
      </c>
      <c r="AO333" s="55">
        <v>14</v>
      </c>
      <c r="AP333" s="55">
        <v>19</v>
      </c>
      <c r="AQ333" s="55">
        <v>0</v>
      </c>
      <c r="AR333" s="55">
        <v>28500</v>
      </c>
      <c r="AS333" s="78">
        <f t="shared" si="9"/>
        <v>0</v>
      </c>
    </row>
    <row r="334" spans="39:45">
      <c r="AM334" s="54">
        <v>2019</v>
      </c>
      <c r="AN334" s="54" t="s">
        <v>183</v>
      </c>
      <c r="AO334" s="54">
        <v>14</v>
      </c>
      <c r="AP334" s="54">
        <v>20</v>
      </c>
      <c r="AQ334" s="54">
        <v>0</v>
      </c>
      <c r="AR334" s="55">
        <v>28500</v>
      </c>
      <c r="AS334" s="78">
        <f t="shared" si="9"/>
        <v>0</v>
      </c>
    </row>
    <row r="335" spans="39:45">
      <c r="AM335" s="55">
        <v>2019</v>
      </c>
      <c r="AN335" s="55" t="s">
        <v>183</v>
      </c>
      <c r="AO335" s="55">
        <v>14</v>
      </c>
      <c r="AP335" s="55">
        <v>21</v>
      </c>
      <c r="AQ335" s="55">
        <v>0</v>
      </c>
      <c r="AR335" s="55">
        <v>28500</v>
      </c>
      <c r="AS335" s="78">
        <f t="shared" si="9"/>
        <v>0</v>
      </c>
    </row>
    <row r="336" spans="39:45">
      <c r="AM336" s="54">
        <v>2019</v>
      </c>
      <c r="AN336" s="54" t="s">
        <v>183</v>
      </c>
      <c r="AO336" s="54">
        <v>14</v>
      </c>
      <c r="AP336" s="54">
        <v>22</v>
      </c>
      <c r="AQ336" s="54">
        <v>0</v>
      </c>
      <c r="AR336" s="55">
        <v>28500</v>
      </c>
      <c r="AS336" s="78">
        <f t="shared" si="9"/>
        <v>0</v>
      </c>
    </row>
    <row r="337" spans="39:45">
      <c r="AM337" s="55">
        <v>2019</v>
      </c>
      <c r="AN337" s="55" t="s">
        <v>183</v>
      </c>
      <c r="AO337" s="55">
        <v>14</v>
      </c>
      <c r="AP337" s="55">
        <v>23</v>
      </c>
      <c r="AQ337" s="55">
        <v>0</v>
      </c>
      <c r="AR337" s="55">
        <v>28500</v>
      </c>
      <c r="AS337" s="78">
        <f t="shared" si="9"/>
        <v>0</v>
      </c>
    </row>
    <row r="338" spans="39:45">
      <c r="AM338" s="54">
        <v>2019</v>
      </c>
      <c r="AN338" s="54" t="s">
        <v>183</v>
      </c>
      <c r="AO338" s="54">
        <v>15</v>
      </c>
      <c r="AP338" s="54">
        <v>24</v>
      </c>
      <c r="AQ338" s="54">
        <v>0</v>
      </c>
      <c r="AR338" s="55">
        <v>28500</v>
      </c>
      <c r="AS338" s="78">
        <f t="shared" si="9"/>
        <v>0</v>
      </c>
    </row>
    <row r="339" spans="39:45">
      <c r="AM339" s="55">
        <v>2019</v>
      </c>
      <c r="AN339" s="55" t="s">
        <v>183</v>
      </c>
      <c r="AO339" s="55">
        <v>15</v>
      </c>
      <c r="AP339" s="55">
        <v>1</v>
      </c>
      <c r="AQ339" s="55">
        <v>0</v>
      </c>
      <c r="AR339" s="55">
        <v>28500</v>
      </c>
      <c r="AS339" s="78">
        <f t="shared" si="9"/>
        <v>0</v>
      </c>
    </row>
    <row r="340" spans="39:45">
      <c r="AM340" s="54">
        <v>2019</v>
      </c>
      <c r="AN340" s="54" t="s">
        <v>183</v>
      </c>
      <c r="AO340" s="54">
        <v>15</v>
      </c>
      <c r="AP340" s="54">
        <v>2</v>
      </c>
      <c r="AQ340" s="54">
        <v>0</v>
      </c>
      <c r="AR340" s="55">
        <v>28500</v>
      </c>
      <c r="AS340" s="78">
        <f t="shared" si="9"/>
        <v>0</v>
      </c>
    </row>
    <row r="341" spans="39:45">
      <c r="AM341" s="55">
        <v>2019</v>
      </c>
      <c r="AN341" s="55" t="s">
        <v>183</v>
      </c>
      <c r="AO341" s="55">
        <v>15</v>
      </c>
      <c r="AP341" s="55">
        <v>3</v>
      </c>
      <c r="AQ341" s="55">
        <v>0</v>
      </c>
      <c r="AR341" s="55">
        <v>28500</v>
      </c>
      <c r="AS341" s="78">
        <f t="shared" si="9"/>
        <v>0</v>
      </c>
    </row>
    <row r="342" spans="39:45">
      <c r="AM342" s="54">
        <v>2019</v>
      </c>
      <c r="AN342" s="54" t="s">
        <v>183</v>
      </c>
      <c r="AO342" s="54">
        <v>15</v>
      </c>
      <c r="AP342" s="54">
        <v>4</v>
      </c>
      <c r="AQ342" s="54">
        <v>0</v>
      </c>
      <c r="AR342" s="55">
        <v>28500</v>
      </c>
      <c r="AS342" s="78">
        <f t="shared" si="9"/>
        <v>0</v>
      </c>
    </row>
    <row r="343" spans="39:45">
      <c r="AM343" s="55">
        <v>2019</v>
      </c>
      <c r="AN343" s="55" t="s">
        <v>183</v>
      </c>
      <c r="AO343" s="55">
        <v>15</v>
      </c>
      <c r="AP343" s="55">
        <v>5</v>
      </c>
      <c r="AQ343" s="55">
        <v>0</v>
      </c>
      <c r="AR343" s="55">
        <v>28500</v>
      </c>
      <c r="AS343" s="78">
        <f t="shared" si="9"/>
        <v>0</v>
      </c>
    </row>
    <row r="344" spans="39:45">
      <c r="AM344" s="54">
        <v>2019</v>
      </c>
      <c r="AN344" s="54" t="s">
        <v>183</v>
      </c>
      <c r="AO344" s="54">
        <v>15</v>
      </c>
      <c r="AP344" s="54">
        <v>6</v>
      </c>
      <c r="AQ344" s="54">
        <v>0</v>
      </c>
      <c r="AR344" s="55">
        <v>28500</v>
      </c>
      <c r="AS344" s="78">
        <f t="shared" si="9"/>
        <v>0</v>
      </c>
    </row>
    <row r="345" spans="39:45">
      <c r="AM345" s="55">
        <v>2019</v>
      </c>
      <c r="AN345" s="55" t="s">
        <v>183</v>
      </c>
      <c r="AO345" s="55">
        <v>15</v>
      </c>
      <c r="AP345" s="55">
        <v>7</v>
      </c>
      <c r="AQ345" s="55">
        <v>0</v>
      </c>
      <c r="AR345" s="55">
        <v>28500</v>
      </c>
      <c r="AS345" s="78">
        <f t="shared" si="9"/>
        <v>0</v>
      </c>
    </row>
    <row r="346" spans="39:45">
      <c r="AM346" s="54">
        <v>2019</v>
      </c>
      <c r="AN346" s="54" t="s">
        <v>183</v>
      </c>
      <c r="AO346" s="54">
        <v>15</v>
      </c>
      <c r="AP346" s="54">
        <v>8</v>
      </c>
      <c r="AQ346" s="54">
        <v>0</v>
      </c>
      <c r="AR346" s="55">
        <v>28500</v>
      </c>
      <c r="AS346" s="78">
        <f t="shared" si="9"/>
        <v>0</v>
      </c>
    </row>
    <row r="347" spans="39:45">
      <c r="AM347" s="55">
        <v>2019</v>
      </c>
      <c r="AN347" s="55" t="s">
        <v>183</v>
      </c>
      <c r="AO347" s="55">
        <v>15</v>
      </c>
      <c r="AP347" s="55">
        <v>9</v>
      </c>
      <c r="AQ347" s="55">
        <v>5110.5</v>
      </c>
      <c r="AR347" s="55">
        <v>28500</v>
      </c>
      <c r="AS347" s="78">
        <f t="shared" si="9"/>
        <v>0.17931578947368421</v>
      </c>
    </row>
    <row r="348" spans="39:45">
      <c r="AM348" s="54">
        <v>2019</v>
      </c>
      <c r="AN348" s="54" t="s">
        <v>183</v>
      </c>
      <c r="AO348" s="54">
        <v>15</v>
      </c>
      <c r="AP348" s="54">
        <v>10</v>
      </c>
      <c r="AQ348" s="54">
        <v>3079</v>
      </c>
      <c r="AR348" s="55">
        <v>28500</v>
      </c>
      <c r="AS348" s="78">
        <f t="shared" si="9"/>
        <v>0.10803508771929825</v>
      </c>
    </row>
    <row r="349" spans="39:45">
      <c r="AM349" s="55">
        <v>2019</v>
      </c>
      <c r="AN349" s="55" t="s">
        <v>183</v>
      </c>
      <c r="AO349" s="55">
        <v>15</v>
      </c>
      <c r="AP349" s="55">
        <v>11</v>
      </c>
      <c r="AQ349" s="55">
        <v>5163</v>
      </c>
      <c r="AR349" s="55">
        <v>28500</v>
      </c>
      <c r="AS349" s="78">
        <f t="shared" si="9"/>
        <v>0.1811578947368421</v>
      </c>
    </row>
    <row r="350" spans="39:45">
      <c r="AM350" s="54">
        <v>2019</v>
      </c>
      <c r="AN350" s="54" t="s">
        <v>183</v>
      </c>
      <c r="AO350" s="54">
        <v>15</v>
      </c>
      <c r="AP350" s="54">
        <v>12</v>
      </c>
      <c r="AQ350" s="54">
        <v>9122</v>
      </c>
      <c r="AR350" s="55">
        <v>28500</v>
      </c>
      <c r="AS350" s="78">
        <f t="shared" si="9"/>
        <v>0.3200701754385965</v>
      </c>
    </row>
    <row r="351" spans="39:45">
      <c r="AM351" s="55">
        <v>2019</v>
      </c>
      <c r="AN351" s="55" t="s">
        <v>183</v>
      </c>
      <c r="AO351" s="55">
        <v>15</v>
      </c>
      <c r="AP351" s="55">
        <v>13</v>
      </c>
      <c r="AQ351" s="55">
        <v>4767</v>
      </c>
      <c r="AR351" s="55">
        <v>28500</v>
      </c>
      <c r="AS351" s="78">
        <f t="shared" si="9"/>
        <v>0.16726315789473684</v>
      </c>
    </row>
    <row r="352" spans="39:45">
      <c r="AM352" s="54">
        <v>2019</v>
      </c>
      <c r="AN352" s="54" t="s">
        <v>183</v>
      </c>
      <c r="AO352" s="54">
        <v>15</v>
      </c>
      <c r="AP352" s="54">
        <v>14</v>
      </c>
      <c r="AQ352" s="54">
        <v>2077.5</v>
      </c>
      <c r="AR352" s="55">
        <v>28500</v>
      </c>
      <c r="AS352" s="78">
        <f t="shared" si="9"/>
        <v>7.2894736842105262E-2</v>
      </c>
    </row>
    <row r="353" spans="39:45">
      <c r="AM353" s="55">
        <v>2019</v>
      </c>
      <c r="AN353" s="55" t="s">
        <v>183</v>
      </c>
      <c r="AO353" s="55">
        <v>15</v>
      </c>
      <c r="AP353" s="55">
        <v>15</v>
      </c>
      <c r="AQ353" s="55">
        <v>144</v>
      </c>
      <c r="AR353" s="55">
        <v>28500</v>
      </c>
      <c r="AS353" s="78">
        <f t="shared" si="9"/>
        <v>5.0526315789473685E-3</v>
      </c>
    </row>
    <row r="354" spans="39:45">
      <c r="AM354" s="54">
        <v>2019</v>
      </c>
      <c r="AN354" s="54" t="s">
        <v>183</v>
      </c>
      <c r="AO354" s="54">
        <v>15</v>
      </c>
      <c r="AP354" s="54">
        <v>16</v>
      </c>
      <c r="AQ354" s="54">
        <v>0</v>
      </c>
      <c r="AR354" s="55">
        <v>28500</v>
      </c>
      <c r="AS354" s="78">
        <f t="shared" si="9"/>
        <v>0</v>
      </c>
    </row>
    <row r="355" spans="39:45">
      <c r="AM355" s="55">
        <v>2019</v>
      </c>
      <c r="AN355" s="55" t="s">
        <v>183</v>
      </c>
      <c r="AO355" s="55">
        <v>15</v>
      </c>
      <c r="AP355" s="55">
        <v>17</v>
      </c>
      <c r="AQ355" s="55">
        <v>0</v>
      </c>
      <c r="AR355" s="55">
        <v>28500</v>
      </c>
      <c r="AS355" s="78">
        <f t="shared" si="9"/>
        <v>0</v>
      </c>
    </row>
    <row r="356" spans="39:45">
      <c r="AM356" s="54">
        <v>2019</v>
      </c>
      <c r="AN356" s="54" t="s">
        <v>183</v>
      </c>
      <c r="AO356" s="54">
        <v>15</v>
      </c>
      <c r="AP356" s="54">
        <v>18</v>
      </c>
      <c r="AQ356" s="54">
        <v>0</v>
      </c>
      <c r="AR356" s="55">
        <v>28500</v>
      </c>
      <c r="AS356" s="78">
        <f t="shared" si="9"/>
        <v>0</v>
      </c>
    </row>
    <row r="357" spans="39:45">
      <c r="AM357" s="55">
        <v>2019</v>
      </c>
      <c r="AN357" s="55" t="s">
        <v>183</v>
      </c>
      <c r="AO357" s="55">
        <v>15</v>
      </c>
      <c r="AP357" s="55">
        <v>19</v>
      </c>
      <c r="AQ357" s="55">
        <v>0</v>
      </c>
      <c r="AR357" s="55">
        <v>28500</v>
      </c>
      <c r="AS357" s="78">
        <f t="shared" si="9"/>
        <v>0</v>
      </c>
    </row>
    <row r="358" spans="39:45">
      <c r="AM358" s="54">
        <v>2019</v>
      </c>
      <c r="AN358" s="54" t="s">
        <v>183</v>
      </c>
      <c r="AO358" s="54">
        <v>15</v>
      </c>
      <c r="AP358" s="54">
        <v>20</v>
      </c>
      <c r="AQ358" s="54">
        <v>0</v>
      </c>
      <c r="AR358" s="55">
        <v>28500</v>
      </c>
      <c r="AS358" s="78">
        <f t="shared" si="9"/>
        <v>0</v>
      </c>
    </row>
    <row r="359" spans="39:45">
      <c r="AM359" s="55">
        <v>2019</v>
      </c>
      <c r="AN359" s="55" t="s">
        <v>183</v>
      </c>
      <c r="AO359" s="55">
        <v>15</v>
      </c>
      <c r="AP359" s="55">
        <v>21</v>
      </c>
      <c r="AQ359" s="55">
        <v>0</v>
      </c>
      <c r="AR359" s="55">
        <v>28500</v>
      </c>
      <c r="AS359" s="78">
        <f t="shared" si="9"/>
        <v>0</v>
      </c>
    </row>
    <row r="360" spans="39:45">
      <c r="AM360" s="54">
        <v>2019</v>
      </c>
      <c r="AN360" s="54" t="s">
        <v>183</v>
      </c>
      <c r="AO360" s="54">
        <v>15</v>
      </c>
      <c r="AP360" s="54">
        <v>22</v>
      </c>
      <c r="AQ360" s="54">
        <v>0</v>
      </c>
      <c r="AR360" s="55">
        <v>28500</v>
      </c>
      <c r="AS360" s="78">
        <f t="shared" si="9"/>
        <v>0</v>
      </c>
    </row>
    <row r="361" spans="39:45">
      <c r="AM361" s="55">
        <v>2019</v>
      </c>
      <c r="AN361" s="55" t="s">
        <v>183</v>
      </c>
      <c r="AO361" s="55">
        <v>15</v>
      </c>
      <c r="AP361" s="55">
        <v>23</v>
      </c>
      <c r="AQ361" s="55">
        <v>0</v>
      </c>
      <c r="AR361" s="55">
        <v>28500</v>
      </c>
      <c r="AS361" s="78">
        <f t="shared" si="9"/>
        <v>0</v>
      </c>
    </row>
    <row r="362" spans="39:45">
      <c r="AM362" s="54">
        <v>2019</v>
      </c>
      <c r="AN362" s="54" t="s">
        <v>183</v>
      </c>
      <c r="AO362" s="54">
        <v>16</v>
      </c>
      <c r="AP362" s="54">
        <v>24</v>
      </c>
      <c r="AQ362" s="54">
        <v>0</v>
      </c>
      <c r="AR362" s="55">
        <v>28500</v>
      </c>
      <c r="AS362" s="78">
        <f t="shared" si="9"/>
        <v>0</v>
      </c>
    </row>
    <row r="363" spans="39:45">
      <c r="AM363" s="55">
        <v>2019</v>
      </c>
      <c r="AN363" s="55" t="s">
        <v>183</v>
      </c>
      <c r="AO363" s="55">
        <v>16</v>
      </c>
      <c r="AP363" s="55">
        <v>1</v>
      </c>
      <c r="AQ363" s="55">
        <v>0</v>
      </c>
      <c r="AR363" s="55">
        <v>28500</v>
      </c>
      <c r="AS363" s="78">
        <f t="shared" si="9"/>
        <v>0</v>
      </c>
    </row>
    <row r="364" spans="39:45">
      <c r="AM364" s="54">
        <v>2019</v>
      </c>
      <c r="AN364" s="54" t="s">
        <v>183</v>
      </c>
      <c r="AO364" s="54">
        <v>16</v>
      </c>
      <c r="AP364" s="54">
        <v>2</v>
      </c>
      <c r="AQ364" s="54">
        <v>0</v>
      </c>
      <c r="AR364" s="55">
        <v>28500</v>
      </c>
      <c r="AS364" s="78">
        <f t="shared" si="9"/>
        <v>0</v>
      </c>
    </row>
    <row r="365" spans="39:45">
      <c r="AM365" s="55">
        <v>2019</v>
      </c>
      <c r="AN365" s="55" t="s">
        <v>183</v>
      </c>
      <c r="AO365" s="55">
        <v>16</v>
      </c>
      <c r="AP365" s="55">
        <v>3</v>
      </c>
      <c r="AQ365" s="55">
        <v>0</v>
      </c>
      <c r="AR365" s="55">
        <v>28500</v>
      </c>
      <c r="AS365" s="78">
        <f t="shared" si="9"/>
        <v>0</v>
      </c>
    </row>
    <row r="366" spans="39:45">
      <c r="AM366" s="54">
        <v>2019</v>
      </c>
      <c r="AN366" s="54" t="s">
        <v>183</v>
      </c>
      <c r="AO366" s="54">
        <v>16</v>
      </c>
      <c r="AP366" s="54">
        <v>4</v>
      </c>
      <c r="AQ366" s="54">
        <v>0</v>
      </c>
      <c r="AR366" s="55">
        <v>28500</v>
      </c>
      <c r="AS366" s="78">
        <f t="shared" si="9"/>
        <v>0</v>
      </c>
    </row>
    <row r="367" spans="39:45">
      <c r="AM367" s="55">
        <v>2019</v>
      </c>
      <c r="AN367" s="55" t="s">
        <v>183</v>
      </c>
      <c r="AO367" s="55">
        <v>16</v>
      </c>
      <c r="AP367" s="55">
        <v>5</v>
      </c>
      <c r="AQ367" s="55">
        <v>0</v>
      </c>
      <c r="AR367" s="55">
        <v>28500</v>
      </c>
      <c r="AS367" s="78">
        <f t="shared" si="9"/>
        <v>0</v>
      </c>
    </row>
    <row r="368" spans="39:45">
      <c r="AM368" s="54">
        <v>2019</v>
      </c>
      <c r="AN368" s="54" t="s">
        <v>183</v>
      </c>
      <c r="AO368" s="54">
        <v>16</v>
      </c>
      <c r="AP368" s="54">
        <v>6</v>
      </c>
      <c r="AQ368" s="54">
        <v>0</v>
      </c>
      <c r="AR368" s="55">
        <v>28500</v>
      </c>
      <c r="AS368" s="78">
        <f t="shared" si="9"/>
        <v>0</v>
      </c>
    </row>
    <row r="369" spans="39:45">
      <c r="AM369" s="55">
        <v>2019</v>
      </c>
      <c r="AN369" s="55" t="s">
        <v>183</v>
      </c>
      <c r="AO369" s="55">
        <v>16</v>
      </c>
      <c r="AP369" s="55">
        <v>7</v>
      </c>
      <c r="AQ369" s="55">
        <v>0</v>
      </c>
      <c r="AR369" s="55">
        <v>28500</v>
      </c>
      <c r="AS369" s="78">
        <f t="shared" si="9"/>
        <v>0</v>
      </c>
    </row>
    <row r="370" spans="39:45">
      <c r="AM370" s="54">
        <v>2019</v>
      </c>
      <c r="AN370" s="54" t="s">
        <v>183</v>
      </c>
      <c r="AO370" s="54">
        <v>16</v>
      </c>
      <c r="AP370" s="54">
        <v>8</v>
      </c>
      <c r="AQ370" s="54">
        <v>0</v>
      </c>
      <c r="AR370" s="55">
        <v>28500</v>
      </c>
      <c r="AS370" s="78">
        <f t="shared" si="9"/>
        <v>0</v>
      </c>
    </row>
    <row r="371" spans="39:45">
      <c r="AM371" s="55">
        <v>2019</v>
      </c>
      <c r="AN371" s="55" t="s">
        <v>183</v>
      </c>
      <c r="AO371" s="55">
        <v>16</v>
      </c>
      <c r="AP371" s="55">
        <v>9</v>
      </c>
      <c r="AQ371" s="55">
        <v>1783.5</v>
      </c>
      <c r="AR371" s="55">
        <v>28500</v>
      </c>
      <c r="AS371" s="78">
        <f t="shared" si="9"/>
        <v>6.2578947368421053E-2</v>
      </c>
    </row>
    <row r="372" spans="39:45">
      <c r="AM372" s="54">
        <v>2019</v>
      </c>
      <c r="AN372" s="54" t="s">
        <v>183</v>
      </c>
      <c r="AO372" s="54">
        <v>16</v>
      </c>
      <c r="AP372" s="54">
        <v>10</v>
      </c>
      <c r="AQ372" s="54">
        <v>334.5</v>
      </c>
      <c r="AR372" s="55">
        <v>28500</v>
      </c>
      <c r="AS372" s="78">
        <f t="shared" si="9"/>
        <v>1.1736842105263158E-2</v>
      </c>
    </row>
    <row r="373" spans="39:45">
      <c r="AM373" s="55">
        <v>2019</v>
      </c>
      <c r="AN373" s="55" t="s">
        <v>183</v>
      </c>
      <c r="AO373" s="55">
        <v>16</v>
      </c>
      <c r="AP373" s="55">
        <v>11</v>
      </c>
      <c r="AQ373" s="55">
        <v>2219</v>
      </c>
      <c r="AR373" s="55">
        <v>28500</v>
      </c>
      <c r="AS373" s="78">
        <f t="shared" si="9"/>
        <v>7.7859649122807018E-2</v>
      </c>
    </row>
    <row r="374" spans="39:45">
      <c r="AM374" s="54">
        <v>2019</v>
      </c>
      <c r="AN374" s="54" t="s">
        <v>183</v>
      </c>
      <c r="AO374" s="54">
        <v>16</v>
      </c>
      <c r="AP374" s="54">
        <v>12</v>
      </c>
      <c r="AQ374" s="54">
        <v>1012.5</v>
      </c>
      <c r="AR374" s="55">
        <v>28500</v>
      </c>
      <c r="AS374" s="78">
        <f t="shared" si="9"/>
        <v>3.5526315789473684E-2</v>
      </c>
    </row>
    <row r="375" spans="39:45">
      <c r="AM375" s="55">
        <v>2019</v>
      </c>
      <c r="AN375" s="55" t="s">
        <v>183</v>
      </c>
      <c r="AO375" s="55">
        <v>16</v>
      </c>
      <c r="AP375" s="55">
        <v>13</v>
      </c>
      <c r="AQ375" s="55">
        <v>840.5</v>
      </c>
      <c r="AR375" s="55">
        <v>28500</v>
      </c>
      <c r="AS375" s="78">
        <f t="shared" si="9"/>
        <v>2.949122807017544E-2</v>
      </c>
    </row>
    <row r="376" spans="39:45">
      <c r="AM376" s="54">
        <v>2019</v>
      </c>
      <c r="AN376" s="54" t="s">
        <v>183</v>
      </c>
      <c r="AO376" s="54">
        <v>16</v>
      </c>
      <c r="AP376" s="54">
        <v>14</v>
      </c>
      <c r="AQ376" s="54">
        <v>1149.5</v>
      </c>
      <c r="AR376" s="55">
        <v>28500</v>
      </c>
      <c r="AS376" s="78">
        <f t="shared" si="9"/>
        <v>4.0333333333333332E-2</v>
      </c>
    </row>
    <row r="377" spans="39:45">
      <c r="AM377" s="55">
        <v>2019</v>
      </c>
      <c r="AN377" s="55" t="s">
        <v>183</v>
      </c>
      <c r="AO377" s="55">
        <v>16</v>
      </c>
      <c r="AP377" s="55">
        <v>15</v>
      </c>
      <c r="AQ377" s="55">
        <v>1144</v>
      </c>
      <c r="AR377" s="55">
        <v>28500</v>
      </c>
      <c r="AS377" s="78">
        <f t="shared" si="9"/>
        <v>4.0140350877192983E-2</v>
      </c>
    </row>
    <row r="378" spans="39:45">
      <c r="AM378" s="54">
        <v>2019</v>
      </c>
      <c r="AN378" s="54" t="s">
        <v>183</v>
      </c>
      <c r="AO378" s="54">
        <v>16</v>
      </c>
      <c r="AP378" s="54">
        <v>16</v>
      </c>
      <c r="AQ378" s="54">
        <v>0</v>
      </c>
      <c r="AR378" s="55">
        <v>28500</v>
      </c>
      <c r="AS378" s="78">
        <f t="shared" si="9"/>
        <v>0</v>
      </c>
    </row>
    <row r="379" spans="39:45">
      <c r="AM379" s="55">
        <v>2019</v>
      </c>
      <c r="AN379" s="55" t="s">
        <v>183</v>
      </c>
      <c r="AO379" s="55">
        <v>16</v>
      </c>
      <c r="AP379" s="55">
        <v>17</v>
      </c>
      <c r="AQ379" s="55">
        <v>0</v>
      </c>
      <c r="AR379" s="55">
        <v>28500</v>
      </c>
      <c r="AS379" s="78">
        <f t="shared" si="9"/>
        <v>0</v>
      </c>
    </row>
    <row r="380" spans="39:45">
      <c r="AM380" s="54">
        <v>2019</v>
      </c>
      <c r="AN380" s="54" t="s">
        <v>183</v>
      </c>
      <c r="AO380" s="54">
        <v>16</v>
      </c>
      <c r="AP380" s="54">
        <v>18</v>
      </c>
      <c r="AQ380" s="54">
        <v>0</v>
      </c>
      <c r="AR380" s="55">
        <v>28500</v>
      </c>
      <c r="AS380" s="78">
        <f t="shared" si="9"/>
        <v>0</v>
      </c>
    </row>
    <row r="381" spans="39:45">
      <c r="AM381" s="55">
        <v>2019</v>
      </c>
      <c r="AN381" s="55" t="s">
        <v>183</v>
      </c>
      <c r="AO381" s="55">
        <v>16</v>
      </c>
      <c r="AP381" s="55">
        <v>19</v>
      </c>
      <c r="AQ381" s="55">
        <v>0</v>
      </c>
      <c r="AR381" s="55">
        <v>28500</v>
      </c>
      <c r="AS381" s="78">
        <f t="shared" si="9"/>
        <v>0</v>
      </c>
    </row>
    <row r="382" spans="39:45">
      <c r="AM382" s="54">
        <v>2019</v>
      </c>
      <c r="AN382" s="54" t="s">
        <v>183</v>
      </c>
      <c r="AO382" s="54">
        <v>16</v>
      </c>
      <c r="AP382" s="54">
        <v>20</v>
      </c>
      <c r="AQ382" s="54">
        <v>0</v>
      </c>
      <c r="AR382" s="55">
        <v>28500</v>
      </c>
      <c r="AS382" s="78">
        <f t="shared" si="9"/>
        <v>0</v>
      </c>
    </row>
    <row r="383" spans="39:45">
      <c r="AM383" s="55">
        <v>2019</v>
      </c>
      <c r="AN383" s="55" t="s">
        <v>183</v>
      </c>
      <c r="AO383" s="55">
        <v>16</v>
      </c>
      <c r="AP383" s="55">
        <v>21</v>
      </c>
      <c r="AQ383" s="55">
        <v>0</v>
      </c>
      <c r="AR383" s="55">
        <v>28500</v>
      </c>
      <c r="AS383" s="78">
        <f t="shared" si="9"/>
        <v>0</v>
      </c>
    </row>
    <row r="384" spans="39:45">
      <c r="AM384" s="54">
        <v>2019</v>
      </c>
      <c r="AN384" s="54" t="s">
        <v>183</v>
      </c>
      <c r="AO384" s="54">
        <v>16</v>
      </c>
      <c r="AP384" s="54">
        <v>22</v>
      </c>
      <c r="AQ384" s="54">
        <v>0</v>
      </c>
      <c r="AR384" s="55">
        <v>28500</v>
      </c>
      <c r="AS384" s="78">
        <f t="shared" si="9"/>
        <v>0</v>
      </c>
    </row>
    <row r="385" spans="39:45">
      <c r="AM385" s="55">
        <v>2019</v>
      </c>
      <c r="AN385" s="55" t="s">
        <v>183</v>
      </c>
      <c r="AO385" s="55">
        <v>16</v>
      </c>
      <c r="AP385" s="55">
        <v>23</v>
      </c>
      <c r="AQ385" s="55">
        <v>0</v>
      </c>
      <c r="AR385" s="55">
        <v>28500</v>
      </c>
      <c r="AS385" s="78">
        <f t="shared" si="9"/>
        <v>0</v>
      </c>
    </row>
    <row r="386" spans="39:45">
      <c r="AM386" s="54">
        <v>2019</v>
      </c>
      <c r="AN386" s="54" t="s">
        <v>183</v>
      </c>
      <c r="AO386" s="54">
        <v>17</v>
      </c>
      <c r="AP386" s="54">
        <v>24</v>
      </c>
      <c r="AQ386" s="54">
        <v>0</v>
      </c>
      <c r="AR386" s="55">
        <v>28500</v>
      </c>
      <c r="AS386" s="78">
        <f t="shared" ref="AS386:AS449" si="10">AQ386/AR386</f>
        <v>0</v>
      </c>
    </row>
    <row r="387" spans="39:45">
      <c r="AM387" s="55">
        <v>2019</v>
      </c>
      <c r="AN387" s="55" t="s">
        <v>183</v>
      </c>
      <c r="AO387" s="55">
        <v>17</v>
      </c>
      <c r="AP387" s="55">
        <v>1</v>
      </c>
      <c r="AQ387" s="55">
        <v>0</v>
      </c>
      <c r="AR387" s="55">
        <v>28500</v>
      </c>
      <c r="AS387" s="78">
        <f t="shared" si="10"/>
        <v>0</v>
      </c>
    </row>
    <row r="388" spans="39:45">
      <c r="AM388" s="54">
        <v>2019</v>
      </c>
      <c r="AN388" s="54" t="s">
        <v>183</v>
      </c>
      <c r="AO388" s="54">
        <v>17</v>
      </c>
      <c r="AP388" s="54">
        <v>2</v>
      </c>
      <c r="AQ388" s="54">
        <v>0</v>
      </c>
      <c r="AR388" s="55">
        <v>28500</v>
      </c>
      <c r="AS388" s="78">
        <f t="shared" si="10"/>
        <v>0</v>
      </c>
    </row>
    <row r="389" spans="39:45">
      <c r="AM389" s="55">
        <v>2019</v>
      </c>
      <c r="AN389" s="55" t="s">
        <v>183</v>
      </c>
      <c r="AO389" s="55">
        <v>17</v>
      </c>
      <c r="AP389" s="55">
        <v>3</v>
      </c>
      <c r="AQ389" s="55">
        <v>0</v>
      </c>
      <c r="AR389" s="55">
        <v>28500</v>
      </c>
      <c r="AS389" s="78">
        <f t="shared" si="10"/>
        <v>0</v>
      </c>
    </row>
    <row r="390" spans="39:45">
      <c r="AM390" s="54">
        <v>2019</v>
      </c>
      <c r="AN390" s="54" t="s">
        <v>183</v>
      </c>
      <c r="AO390" s="54">
        <v>17</v>
      </c>
      <c r="AP390" s="54">
        <v>4</v>
      </c>
      <c r="AQ390" s="54">
        <v>0</v>
      </c>
      <c r="AR390" s="55">
        <v>28500</v>
      </c>
      <c r="AS390" s="78">
        <f t="shared" si="10"/>
        <v>0</v>
      </c>
    </row>
    <row r="391" spans="39:45">
      <c r="AM391" s="55">
        <v>2019</v>
      </c>
      <c r="AN391" s="55" t="s">
        <v>183</v>
      </c>
      <c r="AO391" s="55">
        <v>17</v>
      </c>
      <c r="AP391" s="55">
        <v>5</v>
      </c>
      <c r="AQ391" s="55">
        <v>0</v>
      </c>
      <c r="AR391" s="55">
        <v>28500</v>
      </c>
      <c r="AS391" s="78">
        <f t="shared" si="10"/>
        <v>0</v>
      </c>
    </row>
    <row r="392" spans="39:45">
      <c r="AM392" s="54">
        <v>2019</v>
      </c>
      <c r="AN392" s="54" t="s">
        <v>183</v>
      </c>
      <c r="AO392" s="54">
        <v>17</v>
      </c>
      <c r="AP392" s="54">
        <v>6</v>
      </c>
      <c r="AQ392" s="54">
        <v>0</v>
      </c>
      <c r="AR392" s="55">
        <v>28500</v>
      </c>
      <c r="AS392" s="78">
        <f t="shared" si="10"/>
        <v>0</v>
      </c>
    </row>
    <row r="393" spans="39:45">
      <c r="AM393" s="55">
        <v>2019</v>
      </c>
      <c r="AN393" s="55" t="s">
        <v>183</v>
      </c>
      <c r="AO393" s="55">
        <v>17</v>
      </c>
      <c r="AP393" s="55">
        <v>7</v>
      </c>
      <c r="AQ393" s="55">
        <v>0</v>
      </c>
      <c r="AR393" s="55">
        <v>28500</v>
      </c>
      <c r="AS393" s="78">
        <f t="shared" si="10"/>
        <v>0</v>
      </c>
    </row>
    <row r="394" spans="39:45">
      <c r="AM394" s="54">
        <v>2019</v>
      </c>
      <c r="AN394" s="54" t="s">
        <v>183</v>
      </c>
      <c r="AO394" s="54">
        <v>17</v>
      </c>
      <c r="AP394" s="54">
        <v>8</v>
      </c>
      <c r="AQ394" s="54">
        <v>0</v>
      </c>
      <c r="AR394" s="55">
        <v>28500</v>
      </c>
      <c r="AS394" s="78">
        <f t="shared" si="10"/>
        <v>0</v>
      </c>
    </row>
    <row r="395" spans="39:45">
      <c r="AM395" s="55">
        <v>2019</v>
      </c>
      <c r="AN395" s="55" t="s">
        <v>183</v>
      </c>
      <c r="AO395" s="55">
        <v>17</v>
      </c>
      <c r="AP395" s="55">
        <v>9</v>
      </c>
      <c r="AQ395" s="55">
        <v>1726</v>
      </c>
      <c r="AR395" s="55">
        <v>28500</v>
      </c>
      <c r="AS395" s="78">
        <f t="shared" si="10"/>
        <v>6.0561403508771927E-2</v>
      </c>
    </row>
    <row r="396" spans="39:45">
      <c r="AM396" s="54">
        <v>2019</v>
      </c>
      <c r="AN396" s="54" t="s">
        <v>183</v>
      </c>
      <c r="AO396" s="54">
        <v>17</v>
      </c>
      <c r="AP396" s="54">
        <v>10</v>
      </c>
      <c r="AQ396" s="54">
        <v>27815.5</v>
      </c>
      <c r="AR396" s="55">
        <v>28500</v>
      </c>
      <c r="AS396" s="78">
        <f t="shared" si="10"/>
        <v>0.97598245614035084</v>
      </c>
    </row>
    <row r="397" spans="39:45">
      <c r="AM397" s="55">
        <v>2019</v>
      </c>
      <c r="AN397" s="55" t="s">
        <v>183</v>
      </c>
      <c r="AO397" s="55">
        <v>17</v>
      </c>
      <c r="AP397" s="55">
        <v>11</v>
      </c>
      <c r="AQ397" s="55">
        <v>32509</v>
      </c>
      <c r="AR397" s="55">
        <v>28500</v>
      </c>
      <c r="AS397" s="78">
        <f t="shared" si="10"/>
        <v>1.1406666666666667</v>
      </c>
    </row>
    <row r="398" spans="39:45">
      <c r="AM398" s="54">
        <v>2019</v>
      </c>
      <c r="AN398" s="54" t="s">
        <v>183</v>
      </c>
      <c r="AO398" s="54">
        <v>17</v>
      </c>
      <c r="AP398" s="54">
        <v>12</v>
      </c>
      <c r="AQ398" s="54">
        <v>34905.5</v>
      </c>
      <c r="AR398" s="55">
        <v>28500</v>
      </c>
      <c r="AS398" s="78">
        <f t="shared" si="10"/>
        <v>1.2247543859649124</v>
      </c>
    </row>
    <row r="399" spans="39:45">
      <c r="AM399" s="55">
        <v>2019</v>
      </c>
      <c r="AN399" s="55" t="s">
        <v>183</v>
      </c>
      <c r="AO399" s="55">
        <v>17</v>
      </c>
      <c r="AP399" s="55">
        <v>13</v>
      </c>
      <c r="AQ399" s="55">
        <v>33206.5</v>
      </c>
      <c r="AR399" s="55">
        <v>28500</v>
      </c>
      <c r="AS399" s="78">
        <f t="shared" si="10"/>
        <v>1.1651403508771929</v>
      </c>
    </row>
    <row r="400" spans="39:45">
      <c r="AM400" s="54">
        <v>2019</v>
      </c>
      <c r="AN400" s="54" t="s">
        <v>183</v>
      </c>
      <c r="AO400" s="54">
        <v>17</v>
      </c>
      <c r="AP400" s="54">
        <v>14</v>
      </c>
      <c r="AQ400" s="54">
        <v>25869</v>
      </c>
      <c r="AR400" s="55">
        <v>28500</v>
      </c>
      <c r="AS400" s="78">
        <f t="shared" si="10"/>
        <v>0.90768421052631576</v>
      </c>
    </row>
    <row r="401" spans="39:45">
      <c r="AM401" s="55">
        <v>2019</v>
      </c>
      <c r="AN401" s="55" t="s">
        <v>183</v>
      </c>
      <c r="AO401" s="55">
        <v>17</v>
      </c>
      <c r="AP401" s="55">
        <v>15</v>
      </c>
      <c r="AQ401" s="55">
        <v>17851</v>
      </c>
      <c r="AR401" s="55">
        <v>28500</v>
      </c>
      <c r="AS401" s="78">
        <f t="shared" si="10"/>
        <v>0.62635087719298244</v>
      </c>
    </row>
    <row r="402" spans="39:45">
      <c r="AM402" s="54">
        <v>2019</v>
      </c>
      <c r="AN402" s="54" t="s">
        <v>183</v>
      </c>
      <c r="AO402" s="54">
        <v>17</v>
      </c>
      <c r="AP402" s="54">
        <v>16</v>
      </c>
      <c r="AQ402" s="54">
        <v>0</v>
      </c>
      <c r="AR402" s="55">
        <v>28500</v>
      </c>
      <c r="AS402" s="78">
        <f t="shared" si="10"/>
        <v>0</v>
      </c>
    </row>
    <row r="403" spans="39:45">
      <c r="AM403" s="55">
        <v>2019</v>
      </c>
      <c r="AN403" s="55" t="s">
        <v>183</v>
      </c>
      <c r="AO403" s="55">
        <v>17</v>
      </c>
      <c r="AP403" s="55">
        <v>17</v>
      </c>
      <c r="AQ403" s="55">
        <v>0</v>
      </c>
      <c r="AR403" s="55">
        <v>28500</v>
      </c>
      <c r="AS403" s="78">
        <f t="shared" si="10"/>
        <v>0</v>
      </c>
    </row>
    <row r="404" spans="39:45">
      <c r="AM404" s="54">
        <v>2019</v>
      </c>
      <c r="AN404" s="54" t="s">
        <v>183</v>
      </c>
      <c r="AO404" s="54">
        <v>17</v>
      </c>
      <c r="AP404" s="54">
        <v>18</v>
      </c>
      <c r="AQ404" s="54">
        <v>0</v>
      </c>
      <c r="AR404" s="55">
        <v>28500</v>
      </c>
      <c r="AS404" s="78">
        <f t="shared" si="10"/>
        <v>0</v>
      </c>
    </row>
    <row r="405" spans="39:45">
      <c r="AM405" s="55">
        <v>2019</v>
      </c>
      <c r="AN405" s="55" t="s">
        <v>183</v>
      </c>
      <c r="AO405" s="55">
        <v>17</v>
      </c>
      <c r="AP405" s="55">
        <v>19</v>
      </c>
      <c r="AQ405" s="55">
        <v>0</v>
      </c>
      <c r="AR405" s="55">
        <v>28500</v>
      </c>
      <c r="AS405" s="78">
        <f t="shared" si="10"/>
        <v>0</v>
      </c>
    </row>
    <row r="406" spans="39:45">
      <c r="AM406" s="54">
        <v>2019</v>
      </c>
      <c r="AN406" s="54" t="s">
        <v>183</v>
      </c>
      <c r="AO406" s="54">
        <v>17</v>
      </c>
      <c r="AP406" s="54">
        <v>20</v>
      </c>
      <c r="AQ406" s="54">
        <v>0</v>
      </c>
      <c r="AR406" s="55">
        <v>28500</v>
      </c>
      <c r="AS406" s="78">
        <f t="shared" si="10"/>
        <v>0</v>
      </c>
    </row>
    <row r="407" spans="39:45">
      <c r="AM407" s="55">
        <v>2019</v>
      </c>
      <c r="AN407" s="55" t="s">
        <v>183</v>
      </c>
      <c r="AO407" s="55">
        <v>17</v>
      </c>
      <c r="AP407" s="55">
        <v>21</v>
      </c>
      <c r="AQ407" s="55">
        <v>0</v>
      </c>
      <c r="AR407" s="55">
        <v>28500</v>
      </c>
      <c r="AS407" s="78">
        <f t="shared" si="10"/>
        <v>0</v>
      </c>
    </row>
    <row r="408" spans="39:45">
      <c r="AM408" s="54">
        <v>2019</v>
      </c>
      <c r="AN408" s="54" t="s">
        <v>183</v>
      </c>
      <c r="AO408" s="54">
        <v>17</v>
      </c>
      <c r="AP408" s="54">
        <v>22</v>
      </c>
      <c r="AQ408" s="54">
        <v>0</v>
      </c>
      <c r="AR408" s="55">
        <v>28500</v>
      </c>
      <c r="AS408" s="78">
        <f t="shared" si="10"/>
        <v>0</v>
      </c>
    </row>
    <row r="409" spans="39:45">
      <c r="AM409" s="55">
        <v>2019</v>
      </c>
      <c r="AN409" s="55" t="s">
        <v>183</v>
      </c>
      <c r="AO409" s="55">
        <v>17</v>
      </c>
      <c r="AP409" s="55">
        <v>23</v>
      </c>
      <c r="AQ409" s="55">
        <v>0</v>
      </c>
      <c r="AR409" s="55">
        <v>28500</v>
      </c>
      <c r="AS409" s="78">
        <f t="shared" si="10"/>
        <v>0</v>
      </c>
    </row>
    <row r="410" spans="39:45">
      <c r="AM410" s="54">
        <v>2019</v>
      </c>
      <c r="AN410" s="54" t="s">
        <v>183</v>
      </c>
      <c r="AO410" s="54">
        <v>18</v>
      </c>
      <c r="AP410" s="54">
        <v>24</v>
      </c>
      <c r="AQ410" s="54">
        <v>0</v>
      </c>
      <c r="AR410" s="55">
        <v>28500</v>
      </c>
      <c r="AS410" s="78">
        <f t="shared" si="10"/>
        <v>0</v>
      </c>
    </row>
    <row r="411" spans="39:45">
      <c r="AM411" s="55">
        <v>2019</v>
      </c>
      <c r="AN411" s="55" t="s">
        <v>183</v>
      </c>
      <c r="AO411" s="55">
        <v>18</v>
      </c>
      <c r="AP411" s="55">
        <v>1</v>
      </c>
      <c r="AQ411" s="55">
        <v>0</v>
      </c>
      <c r="AR411" s="55">
        <v>28500</v>
      </c>
      <c r="AS411" s="78">
        <f t="shared" si="10"/>
        <v>0</v>
      </c>
    </row>
    <row r="412" spans="39:45">
      <c r="AM412" s="54">
        <v>2019</v>
      </c>
      <c r="AN412" s="54" t="s">
        <v>183</v>
      </c>
      <c r="AO412" s="54">
        <v>18</v>
      </c>
      <c r="AP412" s="54">
        <v>2</v>
      </c>
      <c r="AQ412" s="54">
        <v>0</v>
      </c>
      <c r="AR412" s="55">
        <v>28500</v>
      </c>
      <c r="AS412" s="78">
        <f t="shared" si="10"/>
        <v>0</v>
      </c>
    </row>
    <row r="413" spans="39:45">
      <c r="AM413" s="55">
        <v>2019</v>
      </c>
      <c r="AN413" s="55" t="s">
        <v>183</v>
      </c>
      <c r="AO413" s="55">
        <v>18</v>
      </c>
      <c r="AP413" s="55">
        <v>3</v>
      </c>
      <c r="AQ413" s="55">
        <v>0</v>
      </c>
      <c r="AR413" s="55">
        <v>28500</v>
      </c>
      <c r="AS413" s="78">
        <f t="shared" si="10"/>
        <v>0</v>
      </c>
    </row>
    <row r="414" spans="39:45">
      <c r="AM414" s="54">
        <v>2019</v>
      </c>
      <c r="AN414" s="54" t="s">
        <v>183</v>
      </c>
      <c r="AO414" s="54">
        <v>18</v>
      </c>
      <c r="AP414" s="54">
        <v>4</v>
      </c>
      <c r="AQ414" s="54">
        <v>0</v>
      </c>
      <c r="AR414" s="55">
        <v>28500</v>
      </c>
      <c r="AS414" s="78">
        <f t="shared" si="10"/>
        <v>0</v>
      </c>
    </row>
    <row r="415" spans="39:45">
      <c r="AM415" s="55">
        <v>2019</v>
      </c>
      <c r="AN415" s="55" t="s">
        <v>183</v>
      </c>
      <c r="AO415" s="55">
        <v>18</v>
      </c>
      <c r="AP415" s="55">
        <v>5</v>
      </c>
      <c r="AQ415" s="55">
        <v>0</v>
      </c>
      <c r="AR415" s="55">
        <v>28500</v>
      </c>
      <c r="AS415" s="78">
        <f t="shared" si="10"/>
        <v>0</v>
      </c>
    </row>
    <row r="416" spans="39:45">
      <c r="AM416" s="54">
        <v>2019</v>
      </c>
      <c r="AN416" s="54" t="s">
        <v>183</v>
      </c>
      <c r="AO416" s="54">
        <v>18</v>
      </c>
      <c r="AP416" s="54">
        <v>6</v>
      </c>
      <c r="AQ416" s="54">
        <v>0</v>
      </c>
      <c r="AR416" s="55">
        <v>28500</v>
      </c>
      <c r="AS416" s="78">
        <f t="shared" si="10"/>
        <v>0</v>
      </c>
    </row>
    <row r="417" spans="39:45">
      <c r="AM417" s="55">
        <v>2019</v>
      </c>
      <c r="AN417" s="55" t="s">
        <v>183</v>
      </c>
      <c r="AO417" s="55">
        <v>18</v>
      </c>
      <c r="AP417" s="55">
        <v>7</v>
      </c>
      <c r="AQ417" s="55">
        <v>0</v>
      </c>
      <c r="AR417" s="55">
        <v>28500</v>
      </c>
      <c r="AS417" s="78">
        <f t="shared" si="10"/>
        <v>0</v>
      </c>
    </row>
    <row r="418" spans="39:45">
      <c r="AM418" s="54">
        <v>2019</v>
      </c>
      <c r="AN418" s="54" t="s">
        <v>183</v>
      </c>
      <c r="AO418" s="54">
        <v>18</v>
      </c>
      <c r="AP418" s="54">
        <v>8</v>
      </c>
      <c r="AQ418" s="54">
        <v>0</v>
      </c>
      <c r="AR418" s="55">
        <v>28500</v>
      </c>
      <c r="AS418" s="78">
        <f t="shared" si="10"/>
        <v>0</v>
      </c>
    </row>
    <row r="419" spans="39:45">
      <c r="AM419" s="55">
        <v>2019</v>
      </c>
      <c r="AN419" s="55" t="s">
        <v>183</v>
      </c>
      <c r="AO419" s="55">
        <v>18</v>
      </c>
      <c r="AP419" s="55">
        <v>9</v>
      </c>
      <c r="AQ419" s="55">
        <v>4603.5</v>
      </c>
      <c r="AR419" s="55">
        <v>28500</v>
      </c>
      <c r="AS419" s="78">
        <f t="shared" si="10"/>
        <v>0.16152631578947368</v>
      </c>
    </row>
    <row r="420" spans="39:45">
      <c r="AM420" s="54">
        <v>2019</v>
      </c>
      <c r="AN420" s="54" t="s">
        <v>183</v>
      </c>
      <c r="AO420" s="54">
        <v>18</v>
      </c>
      <c r="AP420" s="54">
        <v>10</v>
      </c>
      <c r="AQ420" s="54">
        <v>23873.5</v>
      </c>
      <c r="AR420" s="55">
        <v>28500</v>
      </c>
      <c r="AS420" s="78">
        <f t="shared" si="10"/>
        <v>0.83766666666666667</v>
      </c>
    </row>
    <row r="421" spans="39:45">
      <c r="AM421" s="55">
        <v>2019</v>
      </c>
      <c r="AN421" s="55" t="s">
        <v>183</v>
      </c>
      <c r="AO421" s="55">
        <v>18</v>
      </c>
      <c r="AP421" s="55">
        <v>11</v>
      </c>
      <c r="AQ421" s="55">
        <v>27623</v>
      </c>
      <c r="AR421" s="55">
        <v>28500</v>
      </c>
      <c r="AS421" s="78">
        <f t="shared" si="10"/>
        <v>0.96922807017543855</v>
      </c>
    </row>
    <row r="422" spans="39:45">
      <c r="AM422" s="54">
        <v>2019</v>
      </c>
      <c r="AN422" s="54" t="s">
        <v>183</v>
      </c>
      <c r="AO422" s="54">
        <v>18</v>
      </c>
      <c r="AP422" s="54">
        <v>12</v>
      </c>
      <c r="AQ422" s="54">
        <v>30037</v>
      </c>
      <c r="AR422" s="55">
        <v>28500</v>
      </c>
      <c r="AS422" s="78">
        <f t="shared" si="10"/>
        <v>1.0539298245614035</v>
      </c>
    </row>
    <row r="423" spans="39:45">
      <c r="AM423" s="55">
        <v>2019</v>
      </c>
      <c r="AN423" s="55" t="s">
        <v>183</v>
      </c>
      <c r="AO423" s="55">
        <v>18</v>
      </c>
      <c r="AP423" s="55">
        <v>13</v>
      </c>
      <c r="AQ423" s="55">
        <v>22149.5</v>
      </c>
      <c r="AR423" s="55">
        <v>28500</v>
      </c>
      <c r="AS423" s="78">
        <f t="shared" si="10"/>
        <v>0.77717543859649119</v>
      </c>
    </row>
    <row r="424" spans="39:45">
      <c r="AM424" s="54">
        <v>2019</v>
      </c>
      <c r="AN424" s="54" t="s">
        <v>183</v>
      </c>
      <c r="AO424" s="54">
        <v>18</v>
      </c>
      <c r="AP424" s="54">
        <v>14</v>
      </c>
      <c r="AQ424" s="54">
        <v>20435.5</v>
      </c>
      <c r="AR424" s="55">
        <v>28500</v>
      </c>
      <c r="AS424" s="78">
        <f t="shared" si="10"/>
        <v>0.71703508771929825</v>
      </c>
    </row>
    <row r="425" spans="39:45">
      <c r="AM425" s="55">
        <v>2019</v>
      </c>
      <c r="AN425" s="55" t="s">
        <v>183</v>
      </c>
      <c r="AO425" s="55">
        <v>18</v>
      </c>
      <c r="AP425" s="55">
        <v>15</v>
      </c>
      <c r="AQ425" s="55">
        <v>2940.5</v>
      </c>
      <c r="AR425" s="55">
        <v>28500</v>
      </c>
      <c r="AS425" s="78">
        <f t="shared" si="10"/>
        <v>0.10317543859649123</v>
      </c>
    </row>
    <row r="426" spans="39:45">
      <c r="AM426" s="54">
        <v>2019</v>
      </c>
      <c r="AN426" s="54" t="s">
        <v>183</v>
      </c>
      <c r="AO426" s="54">
        <v>18</v>
      </c>
      <c r="AP426" s="54">
        <v>16</v>
      </c>
      <c r="AQ426" s="54">
        <v>0</v>
      </c>
      <c r="AR426" s="55">
        <v>28500</v>
      </c>
      <c r="AS426" s="78">
        <f t="shared" si="10"/>
        <v>0</v>
      </c>
    </row>
    <row r="427" spans="39:45">
      <c r="AM427" s="55">
        <v>2019</v>
      </c>
      <c r="AN427" s="55" t="s">
        <v>183</v>
      </c>
      <c r="AO427" s="55">
        <v>18</v>
      </c>
      <c r="AP427" s="55">
        <v>17</v>
      </c>
      <c r="AQ427" s="55">
        <v>0</v>
      </c>
      <c r="AR427" s="55">
        <v>28500</v>
      </c>
      <c r="AS427" s="78">
        <f t="shared" si="10"/>
        <v>0</v>
      </c>
    </row>
    <row r="428" spans="39:45">
      <c r="AM428" s="54">
        <v>2019</v>
      </c>
      <c r="AN428" s="54" t="s">
        <v>183</v>
      </c>
      <c r="AO428" s="54">
        <v>18</v>
      </c>
      <c r="AP428" s="54">
        <v>18</v>
      </c>
      <c r="AQ428" s="54">
        <v>0</v>
      </c>
      <c r="AR428" s="55">
        <v>28500</v>
      </c>
      <c r="AS428" s="78">
        <f t="shared" si="10"/>
        <v>0</v>
      </c>
    </row>
    <row r="429" spans="39:45">
      <c r="AM429" s="55">
        <v>2019</v>
      </c>
      <c r="AN429" s="55" t="s">
        <v>183</v>
      </c>
      <c r="AO429" s="55">
        <v>18</v>
      </c>
      <c r="AP429" s="55">
        <v>19</v>
      </c>
      <c r="AQ429" s="55">
        <v>0</v>
      </c>
      <c r="AR429" s="55">
        <v>28500</v>
      </c>
      <c r="AS429" s="78">
        <f t="shared" si="10"/>
        <v>0</v>
      </c>
    </row>
    <row r="430" spans="39:45">
      <c r="AM430" s="54">
        <v>2019</v>
      </c>
      <c r="AN430" s="54" t="s">
        <v>183</v>
      </c>
      <c r="AO430" s="54">
        <v>18</v>
      </c>
      <c r="AP430" s="54">
        <v>20</v>
      </c>
      <c r="AQ430" s="54">
        <v>0</v>
      </c>
      <c r="AR430" s="55">
        <v>28500</v>
      </c>
      <c r="AS430" s="78">
        <f t="shared" si="10"/>
        <v>0</v>
      </c>
    </row>
    <row r="431" spans="39:45">
      <c r="AM431" s="55">
        <v>2019</v>
      </c>
      <c r="AN431" s="55" t="s">
        <v>183</v>
      </c>
      <c r="AO431" s="55">
        <v>18</v>
      </c>
      <c r="AP431" s="55">
        <v>21</v>
      </c>
      <c r="AQ431" s="55">
        <v>0</v>
      </c>
      <c r="AR431" s="55">
        <v>28500</v>
      </c>
      <c r="AS431" s="78">
        <f t="shared" si="10"/>
        <v>0</v>
      </c>
    </row>
    <row r="432" spans="39:45">
      <c r="AM432" s="54">
        <v>2019</v>
      </c>
      <c r="AN432" s="54" t="s">
        <v>183</v>
      </c>
      <c r="AO432" s="54">
        <v>18</v>
      </c>
      <c r="AP432" s="54">
        <v>22</v>
      </c>
      <c r="AQ432" s="54">
        <v>0</v>
      </c>
      <c r="AR432" s="55">
        <v>28500</v>
      </c>
      <c r="AS432" s="78">
        <f t="shared" si="10"/>
        <v>0</v>
      </c>
    </row>
    <row r="433" spans="39:45">
      <c r="AM433" s="55">
        <v>2019</v>
      </c>
      <c r="AN433" s="55" t="s">
        <v>183</v>
      </c>
      <c r="AO433" s="55">
        <v>18</v>
      </c>
      <c r="AP433" s="55">
        <v>23</v>
      </c>
      <c r="AQ433" s="55">
        <v>0</v>
      </c>
      <c r="AR433" s="55">
        <v>28500</v>
      </c>
      <c r="AS433" s="78">
        <f t="shared" si="10"/>
        <v>0</v>
      </c>
    </row>
    <row r="434" spans="39:45">
      <c r="AM434" s="54">
        <v>2019</v>
      </c>
      <c r="AN434" s="54" t="s">
        <v>183</v>
      </c>
      <c r="AO434" s="54">
        <v>19</v>
      </c>
      <c r="AP434" s="54">
        <v>24</v>
      </c>
      <c r="AQ434" s="54">
        <v>0</v>
      </c>
      <c r="AR434" s="55">
        <v>28500</v>
      </c>
      <c r="AS434" s="78">
        <f t="shared" si="10"/>
        <v>0</v>
      </c>
    </row>
    <row r="435" spans="39:45">
      <c r="AM435" s="55">
        <v>2019</v>
      </c>
      <c r="AN435" s="55" t="s">
        <v>183</v>
      </c>
      <c r="AO435" s="55">
        <v>19</v>
      </c>
      <c r="AP435" s="55">
        <v>1</v>
      </c>
      <c r="AQ435" s="55">
        <v>0</v>
      </c>
      <c r="AR435" s="55">
        <v>28500</v>
      </c>
      <c r="AS435" s="78">
        <f t="shared" si="10"/>
        <v>0</v>
      </c>
    </row>
    <row r="436" spans="39:45">
      <c r="AM436" s="54">
        <v>2019</v>
      </c>
      <c r="AN436" s="54" t="s">
        <v>183</v>
      </c>
      <c r="AO436" s="54">
        <v>19</v>
      </c>
      <c r="AP436" s="54">
        <v>2</v>
      </c>
      <c r="AQ436" s="54">
        <v>0</v>
      </c>
      <c r="AR436" s="55">
        <v>28500</v>
      </c>
      <c r="AS436" s="78">
        <f t="shared" si="10"/>
        <v>0</v>
      </c>
    </row>
    <row r="437" spans="39:45">
      <c r="AM437" s="55">
        <v>2019</v>
      </c>
      <c r="AN437" s="55" t="s">
        <v>183</v>
      </c>
      <c r="AO437" s="55">
        <v>19</v>
      </c>
      <c r="AP437" s="55">
        <v>3</v>
      </c>
      <c r="AQ437" s="55">
        <v>0</v>
      </c>
      <c r="AR437" s="55">
        <v>28500</v>
      </c>
      <c r="AS437" s="78">
        <f t="shared" si="10"/>
        <v>0</v>
      </c>
    </row>
    <row r="438" spans="39:45">
      <c r="AM438" s="54">
        <v>2019</v>
      </c>
      <c r="AN438" s="54" t="s">
        <v>183</v>
      </c>
      <c r="AO438" s="54">
        <v>19</v>
      </c>
      <c r="AP438" s="54">
        <v>4</v>
      </c>
      <c r="AQ438" s="54">
        <v>0</v>
      </c>
      <c r="AR438" s="55">
        <v>28500</v>
      </c>
      <c r="AS438" s="78">
        <f t="shared" si="10"/>
        <v>0</v>
      </c>
    </row>
    <row r="439" spans="39:45">
      <c r="AM439" s="55">
        <v>2019</v>
      </c>
      <c r="AN439" s="55" t="s">
        <v>183</v>
      </c>
      <c r="AO439" s="55">
        <v>19</v>
      </c>
      <c r="AP439" s="55">
        <v>5</v>
      </c>
      <c r="AQ439" s="55">
        <v>0</v>
      </c>
      <c r="AR439" s="55">
        <v>28500</v>
      </c>
      <c r="AS439" s="78">
        <f t="shared" si="10"/>
        <v>0</v>
      </c>
    </row>
    <row r="440" spans="39:45">
      <c r="AM440" s="54">
        <v>2019</v>
      </c>
      <c r="AN440" s="54" t="s">
        <v>183</v>
      </c>
      <c r="AO440" s="54">
        <v>19</v>
      </c>
      <c r="AP440" s="54">
        <v>6</v>
      </c>
      <c r="AQ440" s="54">
        <v>0</v>
      </c>
      <c r="AR440" s="55">
        <v>28500</v>
      </c>
      <c r="AS440" s="78">
        <f t="shared" si="10"/>
        <v>0</v>
      </c>
    </row>
    <row r="441" spans="39:45">
      <c r="AM441" s="55">
        <v>2019</v>
      </c>
      <c r="AN441" s="55" t="s">
        <v>183</v>
      </c>
      <c r="AO441" s="55">
        <v>19</v>
      </c>
      <c r="AP441" s="55">
        <v>7</v>
      </c>
      <c r="AQ441" s="55">
        <v>0</v>
      </c>
      <c r="AR441" s="55">
        <v>28500</v>
      </c>
      <c r="AS441" s="78">
        <f t="shared" si="10"/>
        <v>0</v>
      </c>
    </row>
    <row r="442" spans="39:45">
      <c r="AM442" s="54">
        <v>2019</v>
      </c>
      <c r="AN442" s="54" t="s">
        <v>183</v>
      </c>
      <c r="AO442" s="54">
        <v>19</v>
      </c>
      <c r="AP442" s="54">
        <v>8</v>
      </c>
      <c r="AQ442" s="54">
        <v>0</v>
      </c>
      <c r="AR442" s="55">
        <v>28500</v>
      </c>
      <c r="AS442" s="78">
        <f t="shared" si="10"/>
        <v>0</v>
      </c>
    </row>
    <row r="443" spans="39:45">
      <c r="AM443" s="55">
        <v>2019</v>
      </c>
      <c r="AN443" s="55" t="s">
        <v>183</v>
      </c>
      <c r="AO443" s="55">
        <v>19</v>
      </c>
      <c r="AP443" s="55">
        <v>9</v>
      </c>
      <c r="AQ443" s="55">
        <v>4093.5</v>
      </c>
      <c r="AR443" s="55">
        <v>28500</v>
      </c>
      <c r="AS443" s="78">
        <f t="shared" si="10"/>
        <v>0.14363157894736842</v>
      </c>
    </row>
    <row r="444" spans="39:45">
      <c r="AM444" s="54">
        <v>2019</v>
      </c>
      <c r="AN444" s="54" t="s">
        <v>183</v>
      </c>
      <c r="AO444" s="54">
        <v>19</v>
      </c>
      <c r="AP444" s="54">
        <v>10</v>
      </c>
      <c r="AQ444" s="54">
        <v>2052.5</v>
      </c>
      <c r="AR444" s="55">
        <v>28500</v>
      </c>
      <c r="AS444" s="78">
        <f t="shared" si="10"/>
        <v>7.2017543859649119E-2</v>
      </c>
    </row>
    <row r="445" spans="39:45">
      <c r="AM445" s="55">
        <v>2019</v>
      </c>
      <c r="AN445" s="55" t="s">
        <v>183</v>
      </c>
      <c r="AO445" s="55">
        <v>19</v>
      </c>
      <c r="AP445" s="55">
        <v>11</v>
      </c>
      <c r="AQ445" s="55">
        <v>3420.5</v>
      </c>
      <c r="AR445" s="55">
        <v>28500</v>
      </c>
      <c r="AS445" s="78">
        <f t="shared" si="10"/>
        <v>0.12001754385964912</v>
      </c>
    </row>
    <row r="446" spans="39:45">
      <c r="AM446" s="54">
        <v>2019</v>
      </c>
      <c r="AN446" s="54" t="s">
        <v>183</v>
      </c>
      <c r="AO446" s="54">
        <v>19</v>
      </c>
      <c r="AP446" s="54">
        <v>12</v>
      </c>
      <c r="AQ446" s="54">
        <v>2353</v>
      </c>
      <c r="AR446" s="55">
        <v>28500</v>
      </c>
      <c r="AS446" s="78">
        <f t="shared" si="10"/>
        <v>8.2561403508771933E-2</v>
      </c>
    </row>
    <row r="447" spans="39:45">
      <c r="AM447" s="55">
        <v>2019</v>
      </c>
      <c r="AN447" s="55" t="s">
        <v>183</v>
      </c>
      <c r="AO447" s="55">
        <v>19</v>
      </c>
      <c r="AP447" s="55">
        <v>13</v>
      </c>
      <c r="AQ447" s="55">
        <v>1472</v>
      </c>
      <c r="AR447" s="55">
        <v>28500</v>
      </c>
      <c r="AS447" s="78">
        <f t="shared" si="10"/>
        <v>5.1649122807017542E-2</v>
      </c>
    </row>
    <row r="448" spans="39:45">
      <c r="AM448" s="54">
        <v>2019</v>
      </c>
      <c r="AN448" s="54" t="s">
        <v>183</v>
      </c>
      <c r="AO448" s="54">
        <v>19</v>
      </c>
      <c r="AP448" s="54">
        <v>14</v>
      </c>
      <c r="AQ448" s="54">
        <v>2465.5</v>
      </c>
      <c r="AR448" s="55">
        <v>28500</v>
      </c>
      <c r="AS448" s="78">
        <f t="shared" si="10"/>
        <v>8.6508771929824563E-2</v>
      </c>
    </row>
    <row r="449" spans="39:45">
      <c r="AM449" s="55">
        <v>2019</v>
      </c>
      <c r="AN449" s="55" t="s">
        <v>183</v>
      </c>
      <c r="AO449" s="55">
        <v>19</v>
      </c>
      <c r="AP449" s="55">
        <v>15</v>
      </c>
      <c r="AQ449" s="55">
        <v>6839.5</v>
      </c>
      <c r="AR449" s="55">
        <v>28500</v>
      </c>
      <c r="AS449" s="78">
        <f t="shared" si="10"/>
        <v>0.23998245614035088</v>
      </c>
    </row>
    <row r="450" spans="39:45">
      <c r="AM450" s="54">
        <v>2019</v>
      </c>
      <c r="AN450" s="54" t="s">
        <v>183</v>
      </c>
      <c r="AO450" s="54">
        <v>19</v>
      </c>
      <c r="AP450" s="54">
        <v>16</v>
      </c>
      <c r="AQ450" s="54">
        <v>0</v>
      </c>
      <c r="AR450" s="55">
        <v>28500</v>
      </c>
      <c r="AS450" s="78">
        <f t="shared" ref="AS450:AS513" si="11">AQ450/AR450</f>
        <v>0</v>
      </c>
    </row>
    <row r="451" spans="39:45">
      <c r="AM451" s="55">
        <v>2019</v>
      </c>
      <c r="AN451" s="55" t="s">
        <v>183</v>
      </c>
      <c r="AO451" s="55">
        <v>19</v>
      </c>
      <c r="AP451" s="55">
        <v>17</v>
      </c>
      <c r="AQ451" s="55">
        <v>0</v>
      </c>
      <c r="AR451" s="55">
        <v>28500</v>
      </c>
      <c r="AS451" s="78">
        <f t="shared" si="11"/>
        <v>0</v>
      </c>
    </row>
    <row r="452" spans="39:45">
      <c r="AM452" s="54">
        <v>2019</v>
      </c>
      <c r="AN452" s="54" t="s">
        <v>183</v>
      </c>
      <c r="AO452" s="54">
        <v>19</v>
      </c>
      <c r="AP452" s="54">
        <v>18</v>
      </c>
      <c r="AQ452" s="54">
        <v>0</v>
      </c>
      <c r="AR452" s="55">
        <v>28500</v>
      </c>
      <c r="AS452" s="78">
        <f t="shared" si="11"/>
        <v>0</v>
      </c>
    </row>
    <row r="453" spans="39:45">
      <c r="AM453" s="55">
        <v>2019</v>
      </c>
      <c r="AN453" s="55" t="s">
        <v>183</v>
      </c>
      <c r="AO453" s="55">
        <v>19</v>
      </c>
      <c r="AP453" s="55">
        <v>19</v>
      </c>
      <c r="AQ453" s="55">
        <v>0</v>
      </c>
      <c r="AR453" s="55">
        <v>28500</v>
      </c>
      <c r="AS453" s="78">
        <f t="shared" si="11"/>
        <v>0</v>
      </c>
    </row>
    <row r="454" spans="39:45">
      <c r="AM454" s="54">
        <v>2019</v>
      </c>
      <c r="AN454" s="54" t="s">
        <v>183</v>
      </c>
      <c r="AO454" s="54">
        <v>19</v>
      </c>
      <c r="AP454" s="54">
        <v>20</v>
      </c>
      <c r="AQ454" s="54">
        <v>0</v>
      </c>
      <c r="AR454" s="55">
        <v>28500</v>
      </c>
      <c r="AS454" s="78">
        <f t="shared" si="11"/>
        <v>0</v>
      </c>
    </row>
    <row r="455" spans="39:45">
      <c r="AM455" s="55">
        <v>2019</v>
      </c>
      <c r="AN455" s="55" t="s">
        <v>183</v>
      </c>
      <c r="AO455" s="55">
        <v>19</v>
      </c>
      <c r="AP455" s="55">
        <v>21</v>
      </c>
      <c r="AQ455" s="55">
        <v>0</v>
      </c>
      <c r="AR455" s="55">
        <v>28500</v>
      </c>
      <c r="AS455" s="78">
        <f t="shared" si="11"/>
        <v>0</v>
      </c>
    </row>
    <row r="456" spans="39:45">
      <c r="AM456" s="54">
        <v>2019</v>
      </c>
      <c r="AN456" s="54" t="s">
        <v>183</v>
      </c>
      <c r="AO456" s="54">
        <v>19</v>
      </c>
      <c r="AP456" s="54">
        <v>22</v>
      </c>
      <c r="AQ456" s="54">
        <v>0</v>
      </c>
      <c r="AR456" s="55">
        <v>28500</v>
      </c>
      <c r="AS456" s="78">
        <f t="shared" si="11"/>
        <v>0</v>
      </c>
    </row>
    <row r="457" spans="39:45">
      <c r="AM457" s="55">
        <v>2019</v>
      </c>
      <c r="AN457" s="55" t="s">
        <v>183</v>
      </c>
      <c r="AO457" s="55">
        <v>19</v>
      </c>
      <c r="AP457" s="55">
        <v>23</v>
      </c>
      <c r="AQ457" s="55">
        <v>0</v>
      </c>
      <c r="AR457" s="55">
        <v>28500</v>
      </c>
      <c r="AS457" s="78">
        <f t="shared" si="11"/>
        <v>0</v>
      </c>
    </row>
    <row r="458" spans="39:45">
      <c r="AM458" s="54">
        <v>2019</v>
      </c>
      <c r="AN458" s="54" t="s">
        <v>183</v>
      </c>
      <c r="AO458" s="54">
        <v>20</v>
      </c>
      <c r="AP458" s="54">
        <v>24</v>
      </c>
      <c r="AQ458" s="54">
        <v>0</v>
      </c>
      <c r="AR458" s="55">
        <v>28500</v>
      </c>
      <c r="AS458" s="78">
        <f t="shared" si="11"/>
        <v>0</v>
      </c>
    </row>
    <row r="459" spans="39:45">
      <c r="AM459" s="55">
        <v>2019</v>
      </c>
      <c r="AN459" s="55" t="s">
        <v>183</v>
      </c>
      <c r="AO459" s="55">
        <v>20</v>
      </c>
      <c r="AP459" s="55">
        <v>1</v>
      </c>
      <c r="AQ459" s="55">
        <v>0</v>
      </c>
      <c r="AR459" s="55">
        <v>28500</v>
      </c>
      <c r="AS459" s="78">
        <f t="shared" si="11"/>
        <v>0</v>
      </c>
    </row>
    <row r="460" spans="39:45">
      <c r="AM460" s="54">
        <v>2019</v>
      </c>
      <c r="AN460" s="54" t="s">
        <v>183</v>
      </c>
      <c r="AO460" s="54">
        <v>20</v>
      </c>
      <c r="AP460" s="54">
        <v>2</v>
      </c>
      <c r="AQ460" s="54">
        <v>0</v>
      </c>
      <c r="AR460" s="55">
        <v>28500</v>
      </c>
      <c r="AS460" s="78">
        <f t="shared" si="11"/>
        <v>0</v>
      </c>
    </row>
    <row r="461" spans="39:45">
      <c r="AM461" s="55">
        <v>2019</v>
      </c>
      <c r="AN461" s="55" t="s">
        <v>183</v>
      </c>
      <c r="AO461" s="55">
        <v>20</v>
      </c>
      <c r="AP461" s="55">
        <v>3</v>
      </c>
      <c r="AQ461" s="55">
        <v>0</v>
      </c>
      <c r="AR461" s="55">
        <v>28500</v>
      </c>
      <c r="AS461" s="78">
        <f t="shared" si="11"/>
        <v>0</v>
      </c>
    </row>
    <row r="462" spans="39:45">
      <c r="AM462" s="54">
        <v>2019</v>
      </c>
      <c r="AN462" s="54" t="s">
        <v>183</v>
      </c>
      <c r="AO462" s="54">
        <v>20</v>
      </c>
      <c r="AP462" s="54">
        <v>4</v>
      </c>
      <c r="AQ462" s="54">
        <v>0</v>
      </c>
      <c r="AR462" s="55">
        <v>28500</v>
      </c>
      <c r="AS462" s="78">
        <f t="shared" si="11"/>
        <v>0</v>
      </c>
    </row>
    <row r="463" spans="39:45">
      <c r="AM463" s="55">
        <v>2019</v>
      </c>
      <c r="AN463" s="55" t="s">
        <v>183</v>
      </c>
      <c r="AO463" s="55">
        <v>20</v>
      </c>
      <c r="AP463" s="55">
        <v>5</v>
      </c>
      <c r="AQ463" s="55">
        <v>0</v>
      </c>
      <c r="AR463" s="55">
        <v>28500</v>
      </c>
      <c r="AS463" s="78">
        <f t="shared" si="11"/>
        <v>0</v>
      </c>
    </row>
    <row r="464" spans="39:45">
      <c r="AM464" s="54">
        <v>2019</v>
      </c>
      <c r="AN464" s="54" t="s">
        <v>183</v>
      </c>
      <c r="AO464" s="54">
        <v>20</v>
      </c>
      <c r="AP464" s="54">
        <v>6</v>
      </c>
      <c r="AQ464" s="54">
        <v>0</v>
      </c>
      <c r="AR464" s="55">
        <v>28500</v>
      </c>
      <c r="AS464" s="78">
        <f t="shared" si="11"/>
        <v>0</v>
      </c>
    </row>
    <row r="465" spans="39:45">
      <c r="AM465" s="55">
        <v>2019</v>
      </c>
      <c r="AN465" s="55" t="s">
        <v>183</v>
      </c>
      <c r="AO465" s="55">
        <v>20</v>
      </c>
      <c r="AP465" s="55">
        <v>7</v>
      </c>
      <c r="AQ465" s="55">
        <v>0</v>
      </c>
      <c r="AR465" s="55">
        <v>28500</v>
      </c>
      <c r="AS465" s="78">
        <f t="shared" si="11"/>
        <v>0</v>
      </c>
    </row>
    <row r="466" spans="39:45">
      <c r="AM466" s="54">
        <v>2019</v>
      </c>
      <c r="AN466" s="54" t="s">
        <v>183</v>
      </c>
      <c r="AO466" s="54">
        <v>20</v>
      </c>
      <c r="AP466" s="54">
        <v>8</v>
      </c>
      <c r="AQ466" s="54">
        <v>0</v>
      </c>
      <c r="AR466" s="55">
        <v>28500</v>
      </c>
      <c r="AS466" s="78">
        <f t="shared" si="11"/>
        <v>0</v>
      </c>
    </row>
    <row r="467" spans="39:45">
      <c r="AM467" s="55">
        <v>2019</v>
      </c>
      <c r="AN467" s="55" t="s">
        <v>183</v>
      </c>
      <c r="AO467" s="55">
        <v>20</v>
      </c>
      <c r="AP467" s="55">
        <v>9</v>
      </c>
      <c r="AQ467" s="55">
        <v>18528.5</v>
      </c>
      <c r="AR467" s="55">
        <v>28500</v>
      </c>
      <c r="AS467" s="78">
        <f t="shared" si="11"/>
        <v>0.65012280701754388</v>
      </c>
    </row>
    <row r="468" spans="39:45">
      <c r="AM468" s="54">
        <v>2019</v>
      </c>
      <c r="AN468" s="54" t="s">
        <v>183</v>
      </c>
      <c r="AO468" s="54">
        <v>20</v>
      </c>
      <c r="AP468" s="54">
        <v>10</v>
      </c>
      <c r="AQ468" s="54">
        <v>28105</v>
      </c>
      <c r="AR468" s="55">
        <v>28500</v>
      </c>
      <c r="AS468" s="78">
        <f t="shared" si="11"/>
        <v>0.98614035087719298</v>
      </c>
    </row>
    <row r="469" spans="39:45">
      <c r="AM469" s="55">
        <v>2019</v>
      </c>
      <c r="AN469" s="55" t="s">
        <v>183</v>
      </c>
      <c r="AO469" s="55">
        <v>20</v>
      </c>
      <c r="AP469" s="55">
        <v>11</v>
      </c>
      <c r="AQ469" s="55">
        <v>32541</v>
      </c>
      <c r="AR469" s="55">
        <v>28500</v>
      </c>
      <c r="AS469" s="78">
        <f t="shared" si="11"/>
        <v>1.1417894736842105</v>
      </c>
    </row>
    <row r="470" spans="39:45">
      <c r="AM470" s="54">
        <v>2019</v>
      </c>
      <c r="AN470" s="54" t="s">
        <v>183</v>
      </c>
      <c r="AO470" s="54">
        <v>20</v>
      </c>
      <c r="AP470" s="54">
        <v>12</v>
      </c>
      <c r="AQ470" s="54">
        <v>35012</v>
      </c>
      <c r="AR470" s="55">
        <v>28500</v>
      </c>
      <c r="AS470" s="78">
        <f t="shared" si="11"/>
        <v>1.2284912280701754</v>
      </c>
    </row>
    <row r="471" spans="39:45">
      <c r="AM471" s="55">
        <v>2019</v>
      </c>
      <c r="AN471" s="55" t="s">
        <v>183</v>
      </c>
      <c r="AO471" s="55">
        <v>20</v>
      </c>
      <c r="AP471" s="55">
        <v>13</v>
      </c>
      <c r="AQ471" s="55">
        <v>32997.5</v>
      </c>
      <c r="AR471" s="55">
        <v>28500</v>
      </c>
      <c r="AS471" s="78">
        <f t="shared" si="11"/>
        <v>1.1578070175438597</v>
      </c>
    </row>
    <row r="472" spans="39:45">
      <c r="AM472" s="54">
        <v>2019</v>
      </c>
      <c r="AN472" s="54" t="s">
        <v>183</v>
      </c>
      <c r="AO472" s="54">
        <v>20</v>
      </c>
      <c r="AP472" s="54">
        <v>14</v>
      </c>
      <c r="AQ472" s="54">
        <v>28005</v>
      </c>
      <c r="AR472" s="55">
        <v>28500</v>
      </c>
      <c r="AS472" s="78">
        <f t="shared" si="11"/>
        <v>0.98263157894736841</v>
      </c>
    </row>
    <row r="473" spans="39:45">
      <c r="AM473" s="55">
        <v>2019</v>
      </c>
      <c r="AN473" s="55" t="s">
        <v>183</v>
      </c>
      <c r="AO473" s="55">
        <v>20</v>
      </c>
      <c r="AP473" s="55">
        <v>15</v>
      </c>
      <c r="AQ473" s="55">
        <v>17949</v>
      </c>
      <c r="AR473" s="55">
        <v>28500</v>
      </c>
      <c r="AS473" s="78">
        <f t="shared" si="11"/>
        <v>0.62978947368421057</v>
      </c>
    </row>
    <row r="474" spans="39:45">
      <c r="AM474" s="54">
        <v>2019</v>
      </c>
      <c r="AN474" s="54" t="s">
        <v>183</v>
      </c>
      <c r="AO474" s="54">
        <v>20</v>
      </c>
      <c r="AP474" s="54">
        <v>16</v>
      </c>
      <c r="AQ474" s="54">
        <v>0</v>
      </c>
      <c r="AR474" s="55">
        <v>28500</v>
      </c>
      <c r="AS474" s="78">
        <f t="shared" si="11"/>
        <v>0</v>
      </c>
    </row>
    <row r="475" spans="39:45">
      <c r="AM475" s="55">
        <v>2019</v>
      </c>
      <c r="AN475" s="55" t="s">
        <v>183</v>
      </c>
      <c r="AO475" s="55">
        <v>20</v>
      </c>
      <c r="AP475" s="55">
        <v>17</v>
      </c>
      <c r="AQ475" s="55">
        <v>0</v>
      </c>
      <c r="AR475" s="55">
        <v>28500</v>
      </c>
      <c r="AS475" s="78">
        <f t="shared" si="11"/>
        <v>0</v>
      </c>
    </row>
    <row r="476" spans="39:45">
      <c r="AM476" s="54">
        <v>2019</v>
      </c>
      <c r="AN476" s="54" t="s">
        <v>183</v>
      </c>
      <c r="AO476" s="54">
        <v>20</v>
      </c>
      <c r="AP476" s="54">
        <v>18</v>
      </c>
      <c r="AQ476" s="54">
        <v>0</v>
      </c>
      <c r="AR476" s="55">
        <v>28500</v>
      </c>
      <c r="AS476" s="78">
        <f t="shared" si="11"/>
        <v>0</v>
      </c>
    </row>
    <row r="477" spans="39:45">
      <c r="AM477" s="55">
        <v>2019</v>
      </c>
      <c r="AN477" s="55" t="s">
        <v>183</v>
      </c>
      <c r="AO477" s="55">
        <v>20</v>
      </c>
      <c r="AP477" s="55">
        <v>19</v>
      </c>
      <c r="AQ477" s="55">
        <v>0</v>
      </c>
      <c r="AR477" s="55">
        <v>28500</v>
      </c>
      <c r="AS477" s="78">
        <f t="shared" si="11"/>
        <v>0</v>
      </c>
    </row>
    <row r="478" spans="39:45">
      <c r="AM478" s="54">
        <v>2019</v>
      </c>
      <c r="AN478" s="54" t="s">
        <v>183</v>
      </c>
      <c r="AO478" s="54">
        <v>20</v>
      </c>
      <c r="AP478" s="54">
        <v>20</v>
      </c>
      <c r="AQ478" s="54">
        <v>0</v>
      </c>
      <c r="AR478" s="55">
        <v>28500</v>
      </c>
      <c r="AS478" s="78">
        <f t="shared" si="11"/>
        <v>0</v>
      </c>
    </row>
    <row r="479" spans="39:45">
      <c r="AM479" s="55">
        <v>2019</v>
      </c>
      <c r="AN479" s="55" t="s">
        <v>183</v>
      </c>
      <c r="AO479" s="55">
        <v>20</v>
      </c>
      <c r="AP479" s="55">
        <v>21</v>
      </c>
      <c r="AQ479" s="55">
        <v>0</v>
      </c>
      <c r="AR479" s="55">
        <v>28500</v>
      </c>
      <c r="AS479" s="78">
        <f t="shared" si="11"/>
        <v>0</v>
      </c>
    </row>
    <row r="480" spans="39:45">
      <c r="AM480" s="54">
        <v>2019</v>
      </c>
      <c r="AN480" s="54" t="s">
        <v>183</v>
      </c>
      <c r="AO480" s="54">
        <v>20</v>
      </c>
      <c r="AP480" s="54">
        <v>22</v>
      </c>
      <c r="AQ480" s="54">
        <v>0</v>
      </c>
      <c r="AR480" s="55">
        <v>28500</v>
      </c>
      <c r="AS480" s="78">
        <f t="shared" si="11"/>
        <v>0</v>
      </c>
    </row>
    <row r="481" spans="39:45">
      <c r="AM481" s="55">
        <v>2019</v>
      </c>
      <c r="AN481" s="55" t="s">
        <v>183</v>
      </c>
      <c r="AO481" s="55">
        <v>20</v>
      </c>
      <c r="AP481" s="55">
        <v>23</v>
      </c>
      <c r="AQ481" s="55">
        <v>0</v>
      </c>
      <c r="AR481" s="55">
        <v>28500</v>
      </c>
      <c r="AS481" s="78">
        <f t="shared" si="11"/>
        <v>0</v>
      </c>
    </row>
    <row r="482" spans="39:45">
      <c r="AM482" s="54">
        <v>2019</v>
      </c>
      <c r="AN482" s="54" t="s">
        <v>183</v>
      </c>
      <c r="AO482" s="54">
        <v>21</v>
      </c>
      <c r="AP482" s="54">
        <v>24</v>
      </c>
      <c r="AQ482" s="54">
        <v>0</v>
      </c>
      <c r="AR482" s="55">
        <v>28500</v>
      </c>
      <c r="AS482" s="78">
        <f t="shared" si="11"/>
        <v>0</v>
      </c>
    </row>
    <row r="483" spans="39:45">
      <c r="AM483" s="55">
        <v>2019</v>
      </c>
      <c r="AN483" s="55" t="s">
        <v>183</v>
      </c>
      <c r="AO483" s="55">
        <v>21</v>
      </c>
      <c r="AP483" s="55">
        <v>1</v>
      </c>
      <c r="AQ483" s="55">
        <v>0</v>
      </c>
      <c r="AR483" s="55">
        <v>28500</v>
      </c>
      <c r="AS483" s="78">
        <f t="shared" si="11"/>
        <v>0</v>
      </c>
    </row>
    <row r="484" spans="39:45">
      <c r="AM484" s="54">
        <v>2019</v>
      </c>
      <c r="AN484" s="54" t="s">
        <v>183</v>
      </c>
      <c r="AO484" s="54">
        <v>21</v>
      </c>
      <c r="AP484" s="54">
        <v>2</v>
      </c>
      <c r="AQ484" s="54">
        <v>0</v>
      </c>
      <c r="AR484" s="55">
        <v>28500</v>
      </c>
      <c r="AS484" s="78">
        <f t="shared" si="11"/>
        <v>0</v>
      </c>
    </row>
    <row r="485" spans="39:45">
      <c r="AM485" s="55">
        <v>2019</v>
      </c>
      <c r="AN485" s="55" t="s">
        <v>183</v>
      </c>
      <c r="AO485" s="55">
        <v>21</v>
      </c>
      <c r="AP485" s="55">
        <v>3</v>
      </c>
      <c r="AQ485" s="55">
        <v>0</v>
      </c>
      <c r="AR485" s="55">
        <v>28500</v>
      </c>
      <c r="AS485" s="78">
        <f t="shared" si="11"/>
        <v>0</v>
      </c>
    </row>
    <row r="486" spans="39:45">
      <c r="AM486" s="54">
        <v>2019</v>
      </c>
      <c r="AN486" s="54" t="s">
        <v>183</v>
      </c>
      <c r="AO486" s="54">
        <v>21</v>
      </c>
      <c r="AP486" s="54">
        <v>4</v>
      </c>
      <c r="AQ486" s="54">
        <v>0</v>
      </c>
      <c r="AR486" s="55">
        <v>28500</v>
      </c>
      <c r="AS486" s="78">
        <f t="shared" si="11"/>
        <v>0</v>
      </c>
    </row>
    <row r="487" spans="39:45">
      <c r="AM487" s="55">
        <v>2019</v>
      </c>
      <c r="AN487" s="55" t="s">
        <v>183</v>
      </c>
      <c r="AO487" s="55">
        <v>21</v>
      </c>
      <c r="AP487" s="55">
        <v>5</v>
      </c>
      <c r="AQ487" s="55">
        <v>0</v>
      </c>
      <c r="AR487" s="55">
        <v>28500</v>
      </c>
      <c r="AS487" s="78">
        <f t="shared" si="11"/>
        <v>0</v>
      </c>
    </row>
    <row r="488" spans="39:45">
      <c r="AM488" s="54">
        <v>2019</v>
      </c>
      <c r="AN488" s="54" t="s">
        <v>183</v>
      </c>
      <c r="AO488" s="54">
        <v>21</v>
      </c>
      <c r="AP488" s="54">
        <v>6</v>
      </c>
      <c r="AQ488" s="54">
        <v>0</v>
      </c>
      <c r="AR488" s="55">
        <v>28500</v>
      </c>
      <c r="AS488" s="78">
        <f t="shared" si="11"/>
        <v>0</v>
      </c>
    </row>
    <row r="489" spans="39:45">
      <c r="AM489" s="55">
        <v>2019</v>
      </c>
      <c r="AN489" s="55" t="s">
        <v>183</v>
      </c>
      <c r="AO489" s="55">
        <v>21</v>
      </c>
      <c r="AP489" s="55">
        <v>7</v>
      </c>
      <c r="AQ489" s="55">
        <v>0</v>
      </c>
      <c r="AR489" s="55">
        <v>28500</v>
      </c>
      <c r="AS489" s="78">
        <f t="shared" si="11"/>
        <v>0</v>
      </c>
    </row>
    <row r="490" spans="39:45">
      <c r="AM490" s="54">
        <v>2019</v>
      </c>
      <c r="AN490" s="54" t="s">
        <v>183</v>
      </c>
      <c r="AO490" s="54">
        <v>21</v>
      </c>
      <c r="AP490" s="54">
        <v>8</v>
      </c>
      <c r="AQ490" s="54">
        <v>0</v>
      </c>
      <c r="AR490" s="55">
        <v>28500</v>
      </c>
      <c r="AS490" s="78">
        <f t="shared" si="11"/>
        <v>0</v>
      </c>
    </row>
    <row r="491" spans="39:45">
      <c r="AM491" s="55">
        <v>2019</v>
      </c>
      <c r="AN491" s="55" t="s">
        <v>183</v>
      </c>
      <c r="AO491" s="55">
        <v>21</v>
      </c>
      <c r="AP491" s="55">
        <v>9</v>
      </c>
      <c r="AQ491" s="55">
        <v>10398</v>
      </c>
      <c r="AR491" s="55">
        <v>28500</v>
      </c>
      <c r="AS491" s="78">
        <f t="shared" si="11"/>
        <v>0.36484210526315791</v>
      </c>
    </row>
    <row r="492" spans="39:45">
      <c r="AM492" s="54">
        <v>2019</v>
      </c>
      <c r="AN492" s="54" t="s">
        <v>183</v>
      </c>
      <c r="AO492" s="54">
        <v>21</v>
      </c>
      <c r="AP492" s="54">
        <v>10</v>
      </c>
      <c r="AQ492" s="54">
        <v>9172</v>
      </c>
      <c r="AR492" s="55">
        <v>28500</v>
      </c>
      <c r="AS492" s="78">
        <f t="shared" si="11"/>
        <v>0.32182456140350879</v>
      </c>
    </row>
    <row r="493" spans="39:45">
      <c r="AM493" s="55">
        <v>2019</v>
      </c>
      <c r="AN493" s="55" t="s">
        <v>183</v>
      </c>
      <c r="AO493" s="55">
        <v>21</v>
      </c>
      <c r="AP493" s="55">
        <v>11</v>
      </c>
      <c r="AQ493" s="55">
        <v>24233.5</v>
      </c>
      <c r="AR493" s="55">
        <v>28500</v>
      </c>
      <c r="AS493" s="78">
        <f t="shared" si="11"/>
        <v>0.85029824561403511</v>
      </c>
    </row>
    <row r="494" spans="39:45">
      <c r="AM494" s="54">
        <v>2019</v>
      </c>
      <c r="AN494" s="54" t="s">
        <v>183</v>
      </c>
      <c r="AO494" s="54">
        <v>21</v>
      </c>
      <c r="AP494" s="54">
        <v>12</v>
      </c>
      <c r="AQ494" s="54">
        <v>29716.5</v>
      </c>
      <c r="AR494" s="55">
        <v>28500</v>
      </c>
      <c r="AS494" s="78">
        <f t="shared" si="11"/>
        <v>1.0426842105263159</v>
      </c>
    </row>
    <row r="495" spans="39:45">
      <c r="AM495" s="55">
        <v>2019</v>
      </c>
      <c r="AN495" s="55" t="s">
        <v>183</v>
      </c>
      <c r="AO495" s="55">
        <v>21</v>
      </c>
      <c r="AP495" s="55">
        <v>13</v>
      </c>
      <c r="AQ495" s="55">
        <v>25818</v>
      </c>
      <c r="AR495" s="55">
        <v>28500</v>
      </c>
      <c r="AS495" s="78">
        <f t="shared" si="11"/>
        <v>0.90589473684210531</v>
      </c>
    </row>
    <row r="496" spans="39:45">
      <c r="AM496" s="54">
        <v>2019</v>
      </c>
      <c r="AN496" s="54" t="s">
        <v>183</v>
      </c>
      <c r="AO496" s="54">
        <v>21</v>
      </c>
      <c r="AP496" s="54">
        <v>14</v>
      </c>
      <c r="AQ496" s="54">
        <v>23190.5</v>
      </c>
      <c r="AR496" s="55">
        <v>28500</v>
      </c>
      <c r="AS496" s="78">
        <f t="shared" si="11"/>
        <v>0.81370175438596493</v>
      </c>
    </row>
    <row r="497" spans="39:45">
      <c r="AM497" s="55">
        <v>2019</v>
      </c>
      <c r="AN497" s="55" t="s">
        <v>183</v>
      </c>
      <c r="AO497" s="55">
        <v>21</v>
      </c>
      <c r="AP497" s="55">
        <v>15</v>
      </c>
      <c r="AQ497" s="55">
        <v>10210.5</v>
      </c>
      <c r="AR497" s="55">
        <v>28500</v>
      </c>
      <c r="AS497" s="78">
        <f t="shared" si="11"/>
        <v>0.35826315789473684</v>
      </c>
    </row>
    <row r="498" spans="39:45">
      <c r="AM498" s="54">
        <v>2019</v>
      </c>
      <c r="AN498" s="54" t="s">
        <v>183</v>
      </c>
      <c r="AO498" s="54">
        <v>21</v>
      </c>
      <c r="AP498" s="54">
        <v>16</v>
      </c>
      <c r="AQ498" s="54">
        <v>0</v>
      </c>
      <c r="AR498" s="55">
        <v>28500</v>
      </c>
      <c r="AS498" s="78">
        <f t="shared" si="11"/>
        <v>0</v>
      </c>
    </row>
    <row r="499" spans="39:45">
      <c r="AM499" s="55">
        <v>2019</v>
      </c>
      <c r="AN499" s="55" t="s">
        <v>183</v>
      </c>
      <c r="AO499" s="55">
        <v>21</v>
      </c>
      <c r="AP499" s="55">
        <v>17</v>
      </c>
      <c r="AQ499" s="55">
        <v>0</v>
      </c>
      <c r="AR499" s="55">
        <v>28500</v>
      </c>
      <c r="AS499" s="78">
        <f t="shared" si="11"/>
        <v>0</v>
      </c>
    </row>
    <row r="500" spans="39:45">
      <c r="AM500" s="54">
        <v>2019</v>
      </c>
      <c r="AN500" s="54" t="s">
        <v>183</v>
      </c>
      <c r="AO500" s="54">
        <v>21</v>
      </c>
      <c r="AP500" s="54">
        <v>18</v>
      </c>
      <c r="AQ500" s="54">
        <v>0</v>
      </c>
      <c r="AR500" s="55">
        <v>28500</v>
      </c>
      <c r="AS500" s="78">
        <f t="shared" si="11"/>
        <v>0</v>
      </c>
    </row>
    <row r="501" spans="39:45">
      <c r="AM501" s="55">
        <v>2019</v>
      </c>
      <c r="AN501" s="55" t="s">
        <v>183</v>
      </c>
      <c r="AO501" s="55">
        <v>21</v>
      </c>
      <c r="AP501" s="55">
        <v>19</v>
      </c>
      <c r="AQ501" s="55">
        <v>0</v>
      </c>
      <c r="AR501" s="55">
        <v>28500</v>
      </c>
      <c r="AS501" s="78">
        <f t="shared" si="11"/>
        <v>0</v>
      </c>
    </row>
    <row r="502" spans="39:45">
      <c r="AM502" s="54">
        <v>2019</v>
      </c>
      <c r="AN502" s="54" t="s">
        <v>183</v>
      </c>
      <c r="AO502" s="54">
        <v>21</v>
      </c>
      <c r="AP502" s="54">
        <v>20</v>
      </c>
      <c r="AQ502" s="54">
        <v>0</v>
      </c>
      <c r="AR502" s="55">
        <v>28500</v>
      </c>
      <c r="AS502" s="78">
        <f t="shared" si="11"/>
        <v>0</v>
      </c>
    </row>
    <row r="503" spans="39:45">
      <c r="AM503" s="55">
        <v>2019</v>
      </c>
      <c r="AN503" s="55" t="s">
        <v>183</v>
      </c>
      <c r="AO503" s="55">
        <v>21</v>
      </c>
      <c r="AP503" s="55">
        <v>21</v>
      </c>
      <c r="AQ503" s="55">
        <v>0</v>
      </c>
      <c r="AR503" s="55">
        <v>28500</v>
      </c>
      <c r="AS503" s="78">
        <f t="shared" si="11"/>
        <v>0</v>
      </c>
    </row>
    <row r="504" spans="39:45">
      <c r="AM504" s="54">
        <v>2019</v>
      </c>
      <c r="AN504" s="54" t="s">
        <v>183</v>
      </c>
      <c r="AO504" s="54">
        <v>21</v>
      </c>
      <c r="AP504" s="54">
        <v>22</v>
      </c>
      <c r="AQ504" s="54">
        <v>0</v>
      </c>
      <c r="AR504" s="55">
        <v>28500</v>
      </c>
      <c r="AS504" s="78">
        <f t="shared" si="11"/>
        <v>0</v>
      </c>
    </row>
    <row r="505" spans="39:45">
      <c r="AM505" s="55">
        <v>2019</v>
      </c>
      <c r="AN505" s="55" t="s">
        <v>183</v>
      </c>
      <c r="AO505" s="55">
        <v>21</v>
      </c>
      <c r="AP505" s="55">
        <v>23</v>
      </c>
      <c r="AQ505" s="55">
        <v>0</v>
      </c>
      <c r="AR505" s="55">
        <v>28500</v>
      </c>
      <c r="AS505" s="78">
        <f t="shared" si="11"/>
        <v>0</v>
      </c>
    </row>
    <row r="506" spans="39:45">
      <c r="AM506" s="54">
        <v>2019</v>
      </c>
      <c r="AN506" s="54" t="s">
        <v>183</v>
      </c>
      <c r="AO506" s="54">
        <v>22</v>
      </c>
      <c r="AP506" s="54">
        <v>24</v>
      </c>
      <c r="AQ506" s="54">
        <v>0</v>
      </c>
      <c r="AR506" s="55">
        <v>28500</v>
      </c>
      <c r="AS506" s="78">
        <f t="shared" si="11"/>
        <v>0</v>
      </c>
    </row>
    <row r="507" spans="39:45">
      <c r="AM507" s="55">
        <v>2019</v>
      </c>
      <c r="AN507" s="55" t="s">
        <v>183</v>
      </c>
      <c r="AO507" s="55">
        <v>22</v>
      </c>
      <c r="AP507" s="55">
        <v>1</v>
      </c>
      <c r="AQ507" s="55">
        <v>0</v>
      </c>
      <c r="AR507" s="55">
        <v>28500</v>
      </c>
      <c r="AS507" s="78">
        <f t="shared" si="11"/>
        <v>0</v>
      </c>
    </row>
    <row r="508" spans="39:45">
      <c r="AM508" s="54">
        <v>2019</v>
      </c>
      <c r="AN508" s="54" t="s">
        <v>183</v>
      </c>
      <c r="AO508" s="54">
        <v>22</v>
      </c>
      <c r="AP508" s="54">
        <v>2</v>
      </c>
      <c r="AQ508" s="54">
        <v>0</v>
      </c>
      <c r="AR508" s="55">
        <v>28500</v>
      </c>
      <c r="AS508" s="78">
        <f t="shared" si="11"/>
        <v>0</v>
      </c>
    </row>
    <row r="509" spans="39:45">
      <c r="AM509" s="55">
        <v>2019</v>
      </c>
      <c r="AN509" s="55" t="s">
        <v>183</v>
      </c>
      <c r="AO509" s="55">
        <v>22</v>
      </c>
      <c r="AP509" s="55">
        <v>3</v>
      </c>
      <c r="AQ509" s="55">
        <v>0</v>
      </c>
      <c r="AR509" s="55">
        <v>28500</v>
      </c>
      <c r="AS509" s="78">
        <f t="shared" si="11"/>
        <v>0</v>
      </c>
    </row>
    <row r="510" spans="39:45">
      <c r="AM510" s="54">
        <v>2019</v>
      </c>
      <c r="AN510" s="54" t="s">
        <v>183</v>
      </c>
      <c r="AO510" s="54">
        <v>22</v>
      </c>
      <c r="AP510" s="54">
        <v>4</v>
      </c>
      <c r="AQ510" s="54">
        <v>0</v>
      </c>
      <c r="AR510" s="55">
        <v>28500</v>
      </c>
      <c r="AS510" s="78">
        <f t="shared" si="11"/>
        <v>0</v>
      </c>
    </row>
    <row r="511" spans="39:45">
      <c r="AM511" s="55">
        <v>2019</v>
      </c>
      <c r="AN511" s="55" t="s">
        <v>183</v>
      </c>
      <c r="AO511" s="55">
        <v>22</v>
      </c>
      <c r="AP511" s="55">
        <v>5</v>
      </c>
      <c r="AQ511" s="55">
        <v>0</v>
      </c>
      <c r="AR511" s="55">
        <v>28500</v>
      </c>
      <c r="AS511" s="78">
        <f t="shared" si="11"/>
        <v>0</v>
      </c>
    </row>
    <row r="512" spans="39:45">
      <c r="AM512" s="54">
        <v>2019</v>
      </c>
      <c r="AN512" s="54" t="s">
        <v>183</v>
      </c>
      <c r="AO512" s="54">
        <v>22</v>
      </c>
      <c r="AP512" s="54">
        <v>6</v>
      </c>
      <c r="AQ512" s="54">
        <v>0</v>
      </c>
      <c r="AR512" s="55">
        <v>28500</v>
      </c>
      <c r="AS512" s="78">
        <f t="shared" si="11"/>
        <v>0</v>
      </c>
    </row>
    <row r="513" spans="39:45">
      <c r="AM513" s="55">
        <v>2019</v>
      </c>
      <c r="AN513" s="55" t="s">
        <v>183</v>
      </c>
      <c r="AO513" s="55">
        <v>22</v>
      </c>
      <c r="AP513" s="55">
        <v>7</v>
      </c>
      <c r="AQ513" s="55">
        <v>0</v>
      </c>
      <c r="AR513" s="55">
        <v>28500</v>
      </c>
      <c r="AS513" s="78">
        <f t="shared" si="11"/>
        <v>0</v>
      </c>
    </row>
    <row r="514" spans="39:45">
      <c r="AM514" s="54">
        <v>2019</v>
      </c>
      <c r="AN514" s="54" t="s">
        <v>183</v>
      </c>
      <c r="AO514" s="54">
        <v>22</v>
      </c>
      <c r="AP514" s="54">
        <v>8</v>
      </c>
      <c r="AQ514" s="54">
        <v>0</v>
      </c>
      <c r="AR514" s="55">
        <v>28500</v>
      </c>
      <c r="AS514" s="78">
        <f t="shared" ref="AS514:AS577" si="12">AQ514/AR514</f>
        <v>0</v>
      </c>
    </row>
    <row r="515" spans="39:45">
      <c r="AM515" s="55">
        <v>2019</v>
      </c>
      <c r="AN515" s="55" t="s">
        <v>183</v>
      </c>
      <c r="AO515" s="55">
        <v>22</v>
      </c>
      <c r="AP515" s="55">
        <v>9</v>
      </c>
      <c r="AQ515" s="55">
        <v>17187</v>
      </c>
      <c r="AR515" s="55">
        <v>28500</v>
      </c>
      <c r="AS515" s="78">
        <f t="shared" si="12"/>
        <v>0.6030526315789474</v>
      </c>
    </row>
    <row r="516" spans="39:45">
      <c r="AM516" s="54">
        <v>2019</v>
      </c>
      <c r="AN516" s="54" t="s">
        <v>183</v>
      </c>
      <c r="AO516" s="54">
        <v>22</v>
      </c>
      <c r="AP516" s="54">
        <v>10</v>
      </c>
      <c r="AQ516" s="54">
        <v>28572</v>
      </c>
      <c r="AR516" s="55">
        <v>28500</v>
      </c>
      <c r="AS516" s="78">
        <f t="shared" si="12"/>
        <v>1.0025263157894737</v>
      </c>
    </row>
    <row r="517" spans="39:45">
      <c r="AM517" s="55">
        <v>2019</v>
      </c>
      <c r="AN517" s="55" t="s">
        <v>183</v>
      </c>
      <c r="AO517" s="55">
        <v>22</v>
      </c>
      <c r="AP517" s="55">
        <v>11</v>
      </c>
      <c r="AQ517" s="55">
        <v>31439.5</v>
      </c>
      <c r="AR517" s="55">
        <v>28500</v>
      </c>
      <c r="AS517" s="78">
        <f t="shared" si="12"/>
        <v>1.1031403508771931</v>
      </c>
    </row>
    <row r="518" spans="39:45">
      <c r="AM518" s="54">
        <v>2019</v>
      </c>
      <c r="AN518" s="54" t="s">
        <v>183</v>
      </c>
      <c r="AO518" s="54">
        <v>22</v>
      </c>
      <c r="AP518" s="54">
        <v>12</v>
      </c>
      <c r="AQ518" s="54">
        <v>33534.5</v>
      </c>
      <c r="AR518" s="55">
        <v>28500</v>
      </c>
      <c r="AS518" s="78">
        <f t="shared" si="12"/>
        <v>1.1766491228070175</v>
      </c>
    </row>
    <row r="519" spans="39:45">
      <c r="AM519" s="55">
        <v>2019</v>
      </c>
      <c r="AN519" s="55" t="s">
        <v>183</v>
      </c>
      <c r="AO519" s="55">
        <v>22</v>
      </c>
      <c r="AP519" s="55">
        <v>13</v>
      </c>
      <c r="AQ519" s="55">
        <v>30982.5</v>
      </c>
      <c r="AR519" s="55">
        <v>28500</v>
      </c>
      <c r="AS519" s="78">
        <f t="shared" si="12"/>
        <v>1.0871052631578948</v>
      </c>
    </row>
    <row r="520" spans="39:45">
      <c r="AM520" s="54">
        <v>2019</v>
      </c>
      <c r="AN520" s="54" t="s">
        <v>183</v>
      </c>
      <c r="AO520" s="54">
        <v>22</v>
      </c>
      <c r="AP520" s="54">
        <v>14</v>
      </c>
      <c r="AQ520" s="54">
        <v>28335</v>
      </c>
      <c r="AR520" s="55">
        <v>28500</v>
      </c>
      <c r="AS520" s="78">
        <f t="shared" si="12"/>
        <v>0.99421052631578943</v>
      </c>
    </row>
    <row r="521" spans="39:45">
      <c r="AM521" s="55">
        <v>2019</v>
      </c>
      <c r="AN521" s="55" t="s">
        <v>183</v>
      </c>
      <c r="AO521" s="55">
        <v>22</v>
      </c>
      <c r="AP521" s="55">
        <v>15</v>
      </c>
      <c r="AQ521" s="55">
        <v>757</v>
      </c>
      <c r="AR521" s="55">
        <v>28500</v>
      </c>
      <c r="AS521" s="78">
        <f t="shared" si="12"/>
        <v>2.6561403508771928E-2</v>
      </c>
    </row>
    <row r="522" spans="39:45">
      <c r="AM522" s="54">
        <v>2019</v>
      </c>
      <c r="AN522" s="54" t="s">
        <v>183</v>
      </c>
      <c r="AO522" s="54">
        <v>22</v>
      </c>
      <c r="AP522" s="54">
        <v>16</v>
      </c>
      <c r="AQ522" s="54">
        <v>0</v>
      </c>
      <c r="AR522" s="55">
        <v>28500</v>
      </c>
      <c r="AS522" s="78">
        <f t="shared" si="12"/>
        <v>0</v>
      </c>
    </row>
    <row r="523" spans="39:45">
      <c r="AM523" s="55">
        <v>2019</v>
      </c>
      <c r="AN523" s="55" t="s">
        <v>183</v>
      </c>
      <c r="AO523" s="55">
        <v>22</v>
      </c>
      <c r="AP523" s="55">
        <v>17</v>
      </c>
      <c r="AQ523" s="55">
        <v>0</v>
      </c>
      <c r="AR523" s="55">
        <v>28500</v>
      </c>
      <c r="AS523" s="78">
        <f t="shared" si="12"/>
        <v>0</v>
      </c>
    </row>
    <row r="524" spans="39:45">
      <c r="AM524" s="54">
        <v>2019</v>
      </c>
      <c r="AN524" s="54" t="s">
        <v>183</v>
      </c>
      <c r="AO524" s="54">
        <v>22</v>
      </c>
      <c r="AP524" s="54">
        <v>18</v>
      </c>
      <c r="AQ524" s="54">
        <v>0</v>
      </c>
      <c r="AR524" s="55">
        <v>28500</v>
      </c>
      <c r="AS524" s="78">
        <f t="shared" si="12"/>
        <v>0</v>
      </c>
    </row>
    <row r="525" spans="39:45">
      <c r="AM525" s="55">
        <v>2019</v>
      </c>
      <c r="AN525" s="55" t="s">
        <v>183</v>
      </c>
      <c r="AO525" s="55">
        <v>22</v>
      </c>
      <c r="AP525" s="55">
        <v>19</v>
      </c>
      <c r="AQ525" s="55">
        <v>0</v>
      </c>
      <c r="AR525" s="55">
        <v>28500</v>
      </c>
      <c r="AS525" s="78">
        <f t="shared" si="12"/>
        <v>0</v>
      </c>
    </row>
    <row r="526" spans="39:45">
      <c r="AM526" s="54">
        <v>2019</v>
      </c>
      <c r="AN526" s="54" t="s">
        <v>183</v>
      </c>
      <c r="AO526" s="54">
        <v>22</v>
      </c>
      <c r="AP526" s="54">
        <v>20</v>
      </c>
      <c r="AQ526" s="54">
        <v>0</v>
      </c>
      <c r="AR526" s="55">
        <v>28500</v>
      </c>
      <c r="AS526" s="78">
        <f t="shared" si="12"/>
        <v>0</v>
      </c>
    </row>
    <row r="527" spans="39:45">
      <c r="AM527" s="55">
        <v>2019</v>
      </c>
      <c r="AN527" s="55" t="s">
        <v>183</v>
      </c>
      <c r="AO527" s="55">
        <v>22</v>
      </c>
      <c r="AP527" s="55">
        <v>21</v>
      </c>
      <c r="AQ527" s="55">
        <v>0</v>
      </c>
      <c r="AR527" s="55">
        <v>28500</v>
      </c>
      <c r="AS527" s="78">
        <f t="shared" si="12"/>
        <v>0</v>
      </c>
    </row>
    <row r="528" spans="39:45">
      <c r="AM528" s="54">
        <v>2019</v>
      </c>
      <c r="AN528" s="54" t="s">
        <v>183</v>
      </c>
      <c r="AO528" s="54">
        <v>22</v>
      </c>
      <c r="AP528" s="54">
        <v>22</v>
      </c>
      <c r="AQ528" s="54">
        <v>0</v>
      </c>
      <c r="AR528" s="55">
        <v>28500</v>
      </c>
      <c r="AS528" s="78">
        <f t="shared" si="12"/>
        <v>0</v>
      </c>
    </row>
    <row r="529" spans="39:45">
      <c r="AM529" s="55">
        <v>2019</v>
      </c>
      <c r="AN529" s="55" t="s">
        <v>183</v>
      </c>
      <c r="AO529" s="55">
        <v>22</v>
      </c>
      <c r="AP529" s="55">
        <v>23</v>
      </c>
      <c r="AQ529" s="55">
        <v>0</v>
      </c>
      <c r="AR529" s="55">
        <v>28500</v>
      </c>
      <c r="AS529" s="78">
        <f t="shared" si="12"/>
        <v>0</v>
      </c>
    </row>
    <row r="530" spans="39:45">
      <c r="AM530" s="54">
        <v>2019</v>
      </c>
      <c r="AN530" s="54" t="s">
        <v>183</v>
      </c>
      <c r="AO530" s="54">
        <v>23</v>
      </c>
      <c r="AP530" s="54">
        <v>24</v>
      </c>
      <c r="AQ530" s="54">
        <v>0</v>
      </c>
      <c r="AR530" s="55">
        <v>28500</v>
      </c>
      <c r="AS530" s="78">
        <f t="shared" si="12"/>
        <v>0</v>
      </c>
    </row>
    <row r="531" spans="39:45">
      <c r="AM531" s="55">
        <v>2019</v>
      </c>
      <c r="AN531" s="55" t="s">
        <v>183</v>
      </c>
      <c r="AO531" s="55">
        <v>23</v>
      </c>
      <c r="AP531" s="55">
        <v>1</v>
      </c>
      <c r="AQ531" s="55">
        <v>0</v>
      </c>
      <c r="AR531" s="55">
        <v>28500</v>
      </c>
      <c r="AS531" s="78">
        <f t="shared" si="12"/>
        <v>0</v>
      </c>
    </row>
    <row r="532" spans="39:45">
      <c r="AM532" s="54">
        <v>2019</v>
      </c>
      <c r="AN532" s="54" t="s">
        <v>183</v>
      </c>
      <c r="AO532" s="54">
        <v>23</v>
      </c>
      <c r="AP532" s="54">
        <v>2</v>
      </c>
      <c r="AQ532" s="54">
        <v>0</v>
      </c>
      <c r="AR532" s="55">
        <v>28500</v>
      </c>
      <c r="AS532" s="78">
        <f t="shared" si="12"/>
        <v>0</v>
      </c>
    </row>
    <row r="533" spans="39:45">
      <c r="AM533" s="55">
        <v>2019</v>
      </c>
      <c r="AN533" s="55" t="s">
        <v>183</v>
      </c>
      <c r="AO533" s="55">
        <v>23</v>
      </c>
      <c r="AP533" s="55">
        <v>3</v>
      </c>
      <c r="AQ533" s="55">
        <v>0</v>
      </c>
      <c r="AR533" s="55">
        <v>28500</v>
      </c>
      <c r="AS533" s="78">
        <f t="shared" si="12"/>
        <v>0</v>
      </c>
    </row>
    <row r="534" spans="39:45">
      <c r="AM534" s="54">
        <v>2019</v>
      </c>
      <c r="AN534" s="54" t="s">
        <v>183</v>
      </c>
      <c r="AO534" s="54">
        <v>23</v>
      </c>
      <c r="AP534" s="54">
        <v>4</v>
      </c>
      <c r="AQ534" s="54">
        <v>0</v>
      </c>
      <c r="AR534" s="55">
        <v>28500</v>
      </c>
      <c r="AS534" s="78">
        <f t="shared" si="12"/>
        <v>0</v>
      </c>
    </row>
    <row r="535" spans="39:45">
      <c r="AM535" s="55">
        <v>2019</v>
      </c>
      <c r="AN535" s="55" t="s">
        <v>183</v>
      </c>
      <c r="AO535" s="55">
        <v>23</v>
      </c>
      <c r="AP535" s="55">
        <v>5</v>
      </c>
      <c r="AQ535" s="55">
        <v>0</v>
      </c>
      <c r="AR535" s="55">
        <v>28500</v>
      </c>
      <c r="AS535" s="78">
        <f t="shared" si="12"/>
        <v>0</v>
      </c>
    </row>
    <row r="536" spans="39:45">
      <c r="AM536" s="54">
        <v>2019</v>
      </c>
      <c r="AN536" s="54" t="s">
        <v>183</v>
      </c>
      <c r="AO536" s="54">
        <v>23</v>
      </c>
      <c r="AP536" s="54">
        <v>6</v>
      </c>
      <c r="AQ536" s="54">
        <v>0</v>
      </c>
      <c r="AR536" s="55">
        <v>28500</v>
      </c>
      <c r="AS536" s="78">
        <f t="shared" si="12"/>
        <v>0</v>
      </c>
    </row>
    <row r="537" spans="39:45">
      <c r="AM537" s="55">
        <v>2019</v>
      </c>
      <c r="AN537" s="55" t="s">
        <v>183</v>
      </c>
      <c r="AO537" s="55">
        <v>23</v>
      </c>
      <c r="AP537" s="55">
        <v>7</v>
      </c>
      <c r="AQ537" s="55">
        <v>0</v>
      </c>
      <c r="AR537" s="55">
        <v>28500</v>
      </c>
      <c r="AS537" s="78">
        <f t="shared" si="12"/>
        <v>0</v>
      </c>
    </row>
    <row r="538" spans="39:45">
      <c r="AM538" s="54">
        <v>2019</v>
      </c>
      <c r="AN538" s="54" t="s">
        <v>183</v>
      </c>
      <c r="AO538" s="54">
        <v>23</v>
      </c>
      <c r="AP538" s="54">
        <v>8</v>
      </c>
      <c r="AQ538" s="54">
        <v>0</v>
      </c>
      <c r="AR538" s="55">
        <v>28500</v>
      </c>
      <c r="AS538" s="78">
        <f t="shared" si="12"/>
        <v>0</v>
      </c>
    </row>
    <row r="539" spans="39:45">
      <c r="AM539" s="55">
        <v>2019</v>
      </c>
      <c r="AN539" s="55" t="s">
        <v>183</v>
      </c>
      <c r="AO539" s="55">
        <v>23</v>
      </c>
      <c r="AP539" s="55">
        <v>9</v>
      </c>
      <c r="AQ539" s="55">
        <v>1854</v>
      </c>
      <c r="AR539" s="55">
        <v>28500</v>
      </c>
      <c r="AS539" s="78">
        <f t="shared" si="12"/>
        <v>6.5052631578947362E-2</v>
      </c>
    </row>
    <row r="540" spans="39:45">
      <c r="AM540" s="54">
        <v>2019</v>
      </c>
      <c r="AN540" s="54" t="s">
        <v>183</v>
      </c>
      <c r="AO540" s="54">
        <v>23</v>
      </c>
      <c r="AP540" s="54">
        <v>10</v>
      </c>
      <c r="AQ540" s="54">
        <v>6302.5</v>
      </c>
      <c r="AR540" s="55">
        <v>28500</v>
      </c>
      <c r="AS540" s="78">
        <f t="shared" si="12"/>
        <v>0.22114035087719297</v>
      </c>
    </row>
    <row r="541" spans="39:45">
      <c r="AM541" s="55">
        <v>2019</v>
      </c>
      <c r="AN541" s="55" t="s">
        <v>183</v>
      </c>
      <c r="AO541" s="55">
        <v>23</v>
      </c>
      <c r="AP541" s="55">
        <v>11</v>
      </c>
      <c r="AQ541" s="55">
        <v>1457</v>
      </c>
      <c r="AR541" s="55">
        <v>28500</v>
      </c>
      <c r="AS541" s="78">
        <f t="shared" si="12"/>
        <v>5.1122807017543861E-2</v>
      </c>
    </row>
    <row r="542" spans="39:45">
      <c r="AM542" s="54">
        <v>2019</v>
      </c>
      <c r="AN542" s="54" t="s">
        <v>183</v>
      </c>
      <c r="AO542" s="54">
        <v>23</v>
      </c>
      <c r="AP542" s="54">
        <v>12</v>
      </c>
      <c r="AQ542" s="54">
        <v>2690.5</v>
      </c>
      <c r="AR542" s="55">
        <v>28500</v>
      </c>
      <c r="AS542" s="78">
        <f t="shared" si="12"/>
        <v>9.4403508771929823E-2</v>
      </c>
    </row>
    <row r="543" spans="39:45">
      <c r="AM543" s="55">
        <v>2019</v>
      </c>
      <c r="AN543" s="55" t="s">
        <v>183</v>
      </c>
      <c r="AO543" s="55">
        <v>23</v>
      </c>
      <c r="AP543" s="55">
        <v>13</v>
      </c>
      <c r="AQ543" s="55">
        <v>2136</v>
      </c>
      <c r="AR543" s="55">
        <v>28500</v>
      </c>
      <c r="AS543" s="78">
        <f t="shared" si="12"/>
        <v>7.4947368421052638E-2</v>
      </c>
    </row>
    <row r="544" spans="39:45">
      <c r="AM544" s="54">
        <v>2019</v>
      </c>
      <c r="AN544" s="54" t="s">
        <v>183</v>
      </c>
      <c r="AO544" s="54">
        <v>23</v>
      </c>
      <c r="AP544" s="54">
        <v>14</v>
      </c>
      <c r="AQ544" s="54">
        <v>1979</v>
      </c>
      <c r="AR544" s="55">
        <v>28500</v>
      </c>
      <c r="AS544" s="78">
        <f t="shared" si="12"/>
        <v>6.9438596491228063E-2</v>
      </c>
    </row>
    <row r="545" spans="39:45">
      <c r="AM545" s="55">
        <v>2019</v>
      </c>
      <c r="AN545" s="55" t="s">
        <v>183</v>
      </c>
      <c r="AO545" s="55">
        <v>23</v>
      </c>
      <c r="AP545" s="55">
        <v>15</v>
      </c>
      <c r="AQ545" s="55">
        <v>2674.5</v>
      </c>
      <c r="AR545" s="55">
        <v>28500</v>
      </c>
      <c r="AS545" s="78">
        <f t="shared" si="12"/>
        <v>9.3842105263157893E-2</v>
      </c>
    </row>
    <row r="546" spans="39:45">
      <c r="AM546" s="54">
        <v>2019</v>
      </c>
      <c r="AN546" s="54" t="s">
        <v>183</v>
      </c>
      <c r="AO546" s="54">
        <v>23</v>
      </c>
      <c r="AP546" s="54">
        <v>16</v>
      </c>
      <c r="AQ546" s="54">
        <v>0</v>
      </c>
      <c r="AR546" s="55">
        <v>28500</v>
      </c>
      <c r="AS546" s="78">
        <f t="shared" si="12"/>
        <v>0</v>
      </c>
    </row>
    <row r="547" spans="39:45">
      <c r="AM547" s="55">
        <v>2019</v>
      </c>
      <c r="AN547" s="55" t="s">
        <v>183</v>
      </c>
      <c r="AO547" s="55">
        <v>23</v>
      </c>
      <c r="AP547" s="55">
        <v>17</v>
      </c>
      <c r="AQ547" s="55">
        <v>0</v>
      </c>
      <c r="AR547" s="55">
        <v>28500</v>
      </c>
      <c r="AS547" s="78">
        <f t="shared" si="12"/>
        <v>0</v>
      </c>
    </row>
    <row r="548" spans="39:45">
      <c r="AM548" s="54">
        <v>2019</v>
      </c>
      <c r="AN548" s="54" t="s">
        <v>183</v>
      </c>
      <c r="AO548" s="54">
        <v>23</v>
      </c>
      <c r="AP548" s="54">
        <v>18</v>
      </c>
      <c r="AQ548" s="54">
        <v>0</v>
      </c>
      <c r="AR548" s="55">
        <v>28500</v>
      </c>
      <c r="AS548" s="78">
        <f t="shared" si="12"/>
        <v>0</v>
      </c>
    </row>
    <row r="549" spans="39:45">
      <c r="AM549" s="55">
        <v>2019</v>
      </c>
      <c r="AN549" s="55" t="s">
        <v>183</v>
      </c>
      <c r="AO549" s="55">
        <v>23</v>
      </c>
      <c r="AP549" s="55">
        <v>19</v>
      </c>
      <c r="AQ549" s="55">
        <v>0</v>
      </c>
      <c r="AR549" s="55">
        <v>28500</v>
      </c>
      <c r="AS549" s="78">
        <f t="shared" si="12"/>
        <v>0</v>
      </c>
    </row>
    <row r="550" spans="39:45">
      <c r="AM550" s="54">
        <v>2019</v>
      </c>
      <c r="AN550" s="54" t="s">
        <v>183</v>
      </c>
      <c r="AO550" s="54">
        <v>23</v>
      </c>
      <c r="AP550" s="54">
        <v>20</v>
      </c>
      <c r="AQ550" s="54">
        <v>0</v>
      </c>
      <c r="AR550" s="55">
        <v>28500</v>
      </c>
      <c r="AS550" s="78">
        <f t="shared" si="12"/>
        <v>0</v>
      </c>
    </row>
    <row r="551" spans="39:45">
      <c r="AM551" s="55">
        <v>2019</v>
      </c>
      <c r="AN551" s="55" t="s">
        <v>183</v>
      </c>
      <c r="AO551" s="55">
        <v>23</v>
      </c>
      <c r="AP551" s="55">
        <v>21</v>
      </c>
      <c r="AQ551" s="55">
        <v>0</v>
      </c>
      <c r="AR551" s="55">
        <v>28500</v>
      </c>
      <c r="AS551" s="78">
        <f t="shared" si="12"/>
        <v>0</v>
      </c>
    </row>
    <row r="552" spans="39:45">
      <c r="AM552" s="54">
        <v>2019</v>
      </c>
      <c r="AN552" s="54" t="s">
        <v>183</v>
      </c>
      <c r="AO552" s="54">
        <v>23</v>
      </c>
      <c r="AP552" s="54">
        <v>22</v>
      </c>
      <c r="AQ552" s="54">
        <v>0</v>
      </c>
      <c r="AR552" s="55">
        <v>28500</v>
      </c>
      <c r="AS552" s="78">
        <f t="shared" si="12"/>
        <v>0</v>
      </c>
    </row>
    <row r="553" spans="39:45">
      <c r="AM553" s="55">
        <v>2019</v>
      </c>
      <c r="AN553" s="55" t="s">
        <v>183</v>
      </c>
      <c r="AO553" s="55">
        <v>23</v>
      </c>
      <c r="AP553" s="55">
        <v>23</v>
      </c>
      <c r="AQ553" s="55">
        <v>0</v>
      </c>
      <c r="AR553" s="55">
        <v>28500</v>
      </c>
      <c r="AS553" s="78">
        <f t="shared" si="12"/>
        <v>0</v>
      </c>
    </row>
    <row r="554" spans="39:45">
      <c r="AM554" s="54">
        <v>2019</v>
      </c>
      <c r="AN554" s="54" t="s">
        <v>183</v>
      </c>
      <c r="AO554" s="54">
        <v>24</v>
      </c>
      <c r="AP554" s="54">
        <v>24</v>
      </c>
      <c r="AQ554" s="54">
        <v>0</v>
      </c>
      <c r="AR554" s="55">
        <v>28500</v>
      </c>
      <c r="AS554" s="78">
        <f t="shared" si="12"/>
        <v>0</v>
      </c>
    </row>
    <row r="555" spans="39:45">
      <c r="AM555" s="55">
        <v>2019</v>
      </c>
      <c r="AN555" s="55" t="s">
        <v>183</v>
      </c>
      <c r="AO555" s="55">
        <v>24</v>
      </c>
      <c r="AP555" s="55">
        <v>1</v>
      </c>
      <c r="AQ555" s="55">
        <v>0</v>
      </c>
      <c r="AR555" s="55">
        <v>28500</v>
      </c>
      <c r="AS555" s="78">
        <f t="shared" si="12"/>
        <v>0</v>
      </c>
    </row>
    <row r="556" spans="39:45">
      <c r="AM556" s="54">
        <v>2019</v>
      </c>
      <c r="AN556" s="54" t="s">
        <v>183</v>
      </c>
      <c r="AO556" s="54">
        <v>24</v>
      </c>
      <c r="AP556" s="54">
        <v>2</v>
      </c>
      <c r="AQ556" s="54">
        <v>0</v>
      </c>
      <c r="AR556" s="55">
        <v>28500</v>
      </c>
      <c r="AS556" s="78">
        <f t="shared" si="12"/>
        <v>0</v>
      </c>
    </row>
    <row r="557" spans="39:45">
      <c r="AM557" s="55">
        <v>2019</v>
      </c>
      <c r="AN557" s="55" t="s">
        <v>183</v>
      </c>
      <c r="AO557" s="55">
        <v>24</v>
      </c>
      <c r="AP557" s="55">
        <v>3</v>
      </c>
      <c r="AQ557" s="55">
        <v>0</v>
      </c>
      <c r="AR557" s="55">
        <v>28500</v>
      </c>
      <c r="AS557" s="78">
        <f t="shared" si="12"/>
        <v>0</v>
      </c>
    </row>
    <row r="558" spans="39:45">
      <c r="AM558" s="54">
        <v>2019</v>
      </c>
      <c r="AN558" s="54" t="s">
        <v>183</v>
      </c>
      <c r="AO558" s="54">
        <v>24</v>
      </c>
      <c r="AP558" s="54">
        <v>4</v>
      </c>
      <c r="AQ558" s="54">
        <v>0</v>
      </c>
      <c r="AR558" s="55">
        <v>28500</v>
      </c>
      <c r="AS558" s="78">
        <f t="shared" si="12"/>
        <v>0</v>
      </c>
    </row>
    <row r="559" spans="39:45">
      <c r="AM559" s="55">
        <v>2019</v>
      </c>
      <c r="AN559" s="55" t="s">
        <v>183</v>
      </c>
      <c r="AO559" s="55">
        <v>24</v>
      </c>
      <c r="AP559" s="55">
        <v>5</v>
      </c>
      <c r="AQ559" s="55">
        <v>0</v>
      </c>
      <c r="AR559" s="55">
        <v>28500</v>
      </c>
      <c r="AS559" s="78">
        <f t="shared" si="12"/>
        <v>0</v>
      </c>
    </row>
    <row r="560" spans="39:45">
      <c r="AM560" s="54">
        <v>2019</v>
      </c>
      <c r="AN560" s="54" t="s">
        <v>183</v>
      </c>
      <c r="AO560" s="54">
        <v>24</v>
      </c>
      <c r="AP560" s="54">
        <v>6</v>
      </c>
      <c r="AQ560" s="54">
        <v>0</v>
      </c>
      <c r="AR560" s="55">
        <v>28500</v>
      </c>
      <c r="AS560" s="78">
        <f t="shared" si="12"/>
        <v>0</v>
      </c>
    </row>
    <row r="561" spans="39:45">
      <c r="AM561" s="55">
        <v>2019</v>
      </c>
      <c r="AN561" s="55" t="s">
        <v>183</v>
      </c>
      <c r="AO561" s="55">
        <v>24</v>
      </c>
      <c r="AP561" s="55">
        <v>7</v>
      </c>
      <c r="AQ561" s="55">
        <v>0</v>
      </c>
      <c r="AR561" s="55">
        <v>28500</v>
      </c>
      <c r="AS561" s="78">
        <f t="shared" si="12"/>
        <v>0</v>
      </c>
    </row>
    <row r="562" spans="39:45">
      <c r="AM562" s="54">
        <v>2019</v>
      </c>
      <c r="AN562" s="54" t="s">
        <v>183</v>
      </c>
      <c r="AO562" s="54">
        <v>24</v>
      </c>
      <c r="AP562" s="54">
        <v>8</v>
      </c>
      <c r="AQ562" s="54">
        <v>0</v>
      </c>
      <c r="AR562" s="55">
        <v>28500</v>
      </c>
      <c r="AS562" s="78">
        <f t="shared" si="12"/>
        <v>0</v>
      </c>
    </row>
    <row r="563" spans="39:45">
      <c r="AM563" s="55">
        <v>2019</v>
      </c>
      <c r="AN563" s="55" t="s">
        <v>183</v>
      </c>
      <c r="AO563" s="55">
        <v>24</v>
      </c>
      <c r="AP563" s="55">
        <v>9</v>
      </c>
      <c r="AQ563" s="55">
        <v>2435</v>
      </c>
      <c r="AR563" s="55">
        <v>28500</v>
      </c>
      <c r="AS563" s="78">
        <f t="shared" si="12"/>
        <v>8.5438596491228064E-2</v>
      </c>
    </row>
    <row r="564" spans="39:45">
      <c r="AM564" s="54">
        <v>2019</v>
      </c>
      <c r="AN564" s="54" t="s">
        <v>183</v>
      </c>
      <c r="AO564" s="54">
        <v>24</v>
      </c>
      <c r="AP564" s="54">
        <v>10</v>
      </c>
      <c r="AQ564" s="54">
        <v>2214.5</v>
      </c>
      <c r="AR564" s="55">
        <v>28500</v>
      </c>
      <c r="AS564" s="78">
        <f t="shared" si="12"/>
        <v>7.7701754385964911E-2</v>
      </c>
    </row>
    <row r="565" spans="39:45">
      <c r="AM565" s="55">
        <v>2019</v>
      </c>
      <c r="AN565" s="55" t="s">
        <v>183</v>
      </c>
      <c r="AO565" s="55">
        <v>24</v>
      </c>
      <c r="AP565" s="55">
        <v>11</v>
      </c>
      <c r="AQ565" s="55">
        <v>2012.5</v>
      </c>
      <c r="AR565" s="55">
        <v>28500</v>
      </c>
      <c r="AS565" s="78">
        <f t="shared" si="12"/>
        <v>7.0614035087719296E-2</v>
      </c>
    </row>
    <row r="566" spans="39:45">
      <c r="AM566" s="54">
        <v>2019</v>
      </c>
      <c r="AN566" s="54" t="s">
        <v>183</v>
      </c>
      <c r="AO566" s="54">
        <v>24</v>
      </c>
      <c r="AP566" s="54">
        <v>12</v>
      </c>
      <c r="AQ566" s="54">
        <v>2860.5</v>
      </c>
      <c r="AR566" s="55">
        <v>28500</v>
      </c>
      <c r="AS566" s="78">
        <f t="shared" si="12"/>
        <v>0.10036842105263158</v>
      </c>
    </row>
    <row r="567" spans="39:45">
      <c r="AM567" s="55">
        <v>2019</v>
      </c>
      <c r="AN567" s="55" t="s">
        <v>183</v>
      </c>
      <c r="AO567" s="55">
        <v>24</v>
      </c>
      <c r="AP567" s="55">
        <v>13</v>
      </c>
      <c r="AQ567" s="55">
        <v>1619.5</v>
      </c>
      <c r="AR567" s="55">
        <v>28500</v>
      </c>
      <c r="AS567" s="78">
        <f t="shared" si="12"/>
        <v>5.6824561403508771E-2</v>
      </c>
    </row>
    <row r="568" spans="39:45">
      <c r="AM568" s="54">
        <v>2019</v>
      </c>
      <c r="AN568" s="54" t="s">
        <v>183</v>
      </c>
      <c r="AO568" s="54">
        <v>24</v>
      </c>
      <c r="AP568" s="54">
        <v>14</v>
      </c>
      <c r="AQ568" s="54">
        <v>2100.5</v>
      </c>
      <c r="AR568" s="55">
        <v>28500</v>
      </c>
      <c r="AS568" s="78">
        <f t="shared" si="12"/>
        <v>7.3701754385964907E-2</v>
      </c>
    </row>
    <row r="569" spans="39:45">
      <c r="AM569" s="55">
        <v>2019</v>
      </c>
      <c r="AN569" s="55" t="s">
        <v>183</v>
      </c>
      <c r="AO569" s="55">
        <v>24</v>
      </c>
      <c r="AP569" s="55">
        <v>15</v>
      </c>
      <c r="AQ569" s="55">
        <v>9214.5</v>
      </c>
      <c r="AR569" s="55">
        <v>28500</v>
      </c>
      <c r="AS569" s="78">
        <f t="shared" si="12"/>
        <v>0.32331578947368422</v>
      </c>
    </row>
    <row r="570" spans="39:45">
      <c r="AM570" s="54">
        <v>2019</v>
      </c>
      <c r="AN570" s="54" t="s">
        <v>183</v>
      </c>
      <c r="AO570" s="54">
        <v>24</v>
      </c>
      <c r="AP570" s="54">
        <v>16</v>
      </c>
      <c r="AQ570" s="54">
        <v>0</v>
      </c>
      <c r="AR570" s="55">
        <v>28500</v>
      </c>
      <c r="AS570" s="78">
        <f t="shared" si="12"/>
        <v>0</v>
      </c>
    </row>
    <row r="571" spans="39:45">
      <c r="AM571" s="55">
        <v>2019</v>
      </c>
      <c r="AN571" s="55" t="s">
        <v>183</v>
      </c>
      <c r="AO571" s="55">
        <v>24</v>
      </c>
      <c r="AP571" s="55">
        <v>17</v>
      </c>
      <c r="AQ571" s="55">
        <v>0</v>
      </c>
      <c r="AR571" s="55">
        <v>28500</v>
      </c>
      <c r="AS571" s="78">
        <f t="shared" si="12"/>
        <v>0</v>
      </c>
    </row>
    <row r="572" spans="39:45">
      <c r="AM572" s="54">
        <v>2019</v>
      </c>
      <c r="AN572" s="54" t="s">
        <v>183</v>
      </c>
      <c r="AO572" s="54">
        <v>24</v>
      </c>
      <c r="AP572" s="54">
        <v>18</v>
      </c>
      <c r="AQ572" s="54">
        <v>0</v>
      </c>
      <c r="AR572" s="55">
        <v>28500</v>
      </c>
      <c r="AS572" s="78">
        <f t="shared" si="12"/>
        <v>0</v>
      </c>
    </row>
    <row r="573" spans="39:45">
      <c r="AM573" s="55">
        <v>2019</v>
      </c>
      <c r="AN573" s="55" t="s">
        <v>183</v>
      </c>
      <c r="AO573" s="55">
        <v>24</v>
      </c>
      <c r="AP573" s="55">
        <v>19</v>
      </c>
      <c r="AQ573" s="55">
        <v>0</v>
      </c>
      <c r="AR573" s="55">
        <v>28500</v>
      </c>
      <c r="AS573" s="78">
        <f t="shared" si="12"/>
        <v>0</v>
      </c>
    </row>
    <row r="574" spans="39:45">
      <c r="AM574" s="54">
        <v>2019</v>
      </c>
      <c r="AN574" s="54" t="s">
        <v>183</v>
      </c>
      <c r="AO574" s="54">
        <v>24</v>
      </c>
      <c r="AP574" s="54">
        <v>20</v>
      </c>
      <c r="AQ574" s="54">
        <v>0</v>
      </c>
      <c r="AR574" s="55">
        <v>28500</v>
      </c>
      <c r="AS574" s="78">
        <f t="shared" si="12"/>
        <v>0</v>
      </c>
    </row>
    <row r="575" spans="39:45">
      <c r="AM575" s="55">
        <v>2019</v>
      </c>
      <c r="AN575" s="55" t="s">
        <v>183</v>
      </c>
      <c r="AO575" s="55">
        <v>24</v>
      </c>
      <c r="AP575" s="55">
        <v>21</v>
      </c>
      <c r="AQ575" s="55">
        <v>0</v>
      </c>
      <c r="AR575" s="55">
        <v>28500</v>
      </c>
      <c r="AS575" s="78">
        <f t="shared" si="12"/>
        <v>0</v>
      </c>
    </row>
    <row r="576" spans="39:45">
      <c r="AM576" s="54">
        <v>2019</v>
      </c>
      <c r="AN576" s="54" t="s">
        <v>183</v>
      </c>
      <c r="AO576" s="54">
        <v>24</v>
      </c>
      <c r="AP576" s="54">
        <v>22</v>
      </c>
      <c r="AQ576" s="54">
        <v>0</v>
      </c>
      <c r="AR576" s="55">
        <v>28500</v>
      </c>
      <c r="AS576" s="78">
        <f t="shared" si="12"/>
        <v>0</v>
      </c>
    </row>
    <row r="577" spans="39:45">
      <c r="AM577" s="55">
        <v>2019</v>
      </c>
      <c r="AN577" s="55" t="s">
        <v>183</v>
      </c>
      <c r="AO577" s="55">
        <v>24</v>
      </c>
      <c r="AP577" s="55">
        <v>23</v>
      </c>
      <c r="AQ577" s="55">
        <v>0</v>
      </c>
      <c r="AR577" s="55">
        <v>28500</v>
      </c>
      <c r="AS577" s="78">
        <f t="shared" si="12"/>
        <v>0</v>
      </c>
    </row>
    <row r="578" spans="39:45">
      <c r="AM578" s="54">
        <v>2019</v>
      </c>
      <c r="AN578" s="54" t="s">
        <v>183</v>
      </c>
      <c r="AO578" s="54">
        <v>25</v>
      </c>
      <c r="AP578" s="54">
        <v>24</v>
      </c>
      <c r="AQ578" s="54">
        <v>0</v>
      </c>
      <c r="AR578" s="55">
        <v>28500</v>
      </c>
      <c r="AS578" s="78">
        <f t="shared" ref="AS578:AS641" si="13">AQ578/AR578</f>
        <v>0</v>
      </c>
    </row>
    <row r="579" spans="39:45">
      <c r="AM579" s="55">
        <v>2019</v>
      </c>
      <c r="AN579" s="55" t="s">
        <v>183</v>
      </c>
      <c r="AO579" s="55">
        <v>25</v>
      </c>
      <c r="AP579" s="55">
        <v>1</v>
      </c>
      <c r="AQ579" s="55">
        <v>0</v>
      </c>
      <c r="AR579" s="55">
        <v>28500</v>
      </c>
      <c r="AS579" s="78">
        <f t="shared" si="13"/>
        <v>0</v>
      </c>
    </row>
    <row r="580" spans="39:45">
      <c r="AM580" s="54">
        <v>2019</v>
      </c>
      <c r="AN580" s="54" t="s">
        <v>183</v>
      </c>
      <c r="AO580" s="54">
        <v>25</v>
      </c>
      <c r="AP580" s="54">
        <v>2</v>
      </c>
      <c r="AQ580" s="54">
        <v>0</v>
      </c>
      <c r="AR580" s="55">
        <v>28500</v>
      </c>
      <c r="AS580" s="78">
        <f t="shared" si="13"/>
        <v>0</v>
      </c>
    </row>
    <row r="581" spans="39:45">
      <c r="AM581" s="55">
        <v>2019</v>
      </c>
      <c r="AN581" s="55" t="s">
        <v>183</v>
      </c>
      <c r="AO581" s="55">
        <v>25</v>
      </c>
      <c r="AP581" s="55">
        <v>3</v>
      </c>
      <c r="AQ581" s="55">
        <v>0</v>
      </c>
      <c r="AR581" s="55">
        <v>28500</v>
      </c>
      <c r="AS581" s="78">
        <f t="shared" si="13"/>
        <v>0</v>
      </c>
    </row>
    <row r="582" spans="39:45">
      <c r="AM582" s="54">
        <v>2019</v>
      </c>
      <c r="AN582" s="54" t="s">
        <v>183</v>
      </c>
      <c r="AO582" s="54">
        <v>25</v>
      </c>
      <c r="AP582" s="54">
        <v>4</v>
      </c>
      <c r="AQ582" s="54">
        <v>0</v>
      </c>
      <c r="AR582" s="55">
        <v>28500</v>
      </c>
      <c r="AS582" s="78">
        <f t="shared" si="13"/>
        <v>0</v>
      </c>
    </row>
    <row r="583" spans="39:45">
      <c r="AM583" s="55">
        <v>2019</v>
      </c>
      <c r="AN583" s="55" t="s">
        <v>183</v>
      </c>
      <c r="AO583" s="55">
        <v>25</v>
      </c>
      <c r="AP583" s="55">
        <v>5</v>
      </c>
      <c r="AQ583" s="55">
        <v>0</v>
      </c>
      <c r="AR583" s="55">
        <v>28500</v>
      </c>
      <c r="AS583" s="78">
        <f t="shared" si="13"/>
        <v>0</v>
      </c>
    </row>
    <row r="584" spans="39:45">
      <c r="AM584" s="54">
        <v>2019</v>
      </c>
      <c r="AN584" s="54" t="s">
        <v>183</v>
      </c>
      <c r="AO584" s="54">
        <v>25</v>
      </c>
      <c r="AP584" s="54">
        <v>6</v>
      </c>
      <c r="AQ584" s="54">
        <v>0</v>
      </c>
      <c r="AR584" s="55">
        <v>28500</v>
      </c>
      <c r="AS584" s="78">
        <f t="shared" si="13"/>
        <v>0</v>
      </c>
    </row>
    <row r="585" spans="39:45">
      <c r="AM585" s="55">
        <v>2019</v>
      </c>
      <c r="AN585" s="55" t="s">
        <v>183</v>
      </c>
      <c r="AO585" s="55">
        <v>25</v>
      </c>
      <c r="AP585" s="55">
        <v>7</v>
      </c>
      <c r="AQ585" s="55">
        <v>0</v>
      </c>
      <c r="AR585" s="55">
        <v>28500</v>
      </c>
      <c r="AS585" s="78">
        <f t="shared" si="13"/>
        <v>0</v>
      </c>
    </row>
    <row r="586" spans="39:45">
      <c r="AM586" s="54">
        <v>2019</v>
      </c>
      <c r="AN586" s="54" t="s">
        <v>183</v>
      </c>
      <c r="AO586" s="54">
        <v>25</v>
      </c>
      <c r="AP586" s="54">
        <v>8</v>
      </c>
      <c r="AQ586" s="54">
        <v>0</v>
      </c>
      <c r="AR586" s="55">
        <v>28500</v>
      </c>
      <c r="AS586" s="78">
        <f t="shared" si="13"/>
        <v>0</v>
      </c>
    </row>
    <row r="587" spans="39:45">
      <c r="AM587" s="55">
        <v>2019</v>
      </c>
      <c r="AN587" s="55" t="s">
        <v>183</v>
      </c>
      <c r="AO587" s="55">
        <v>25</v>
      </c>
      <c r="AP587" s="55">
        <v>9</v>
      </c>
      <c r="AQ587" s="55">
        <v>17805.5</v>
      </c>
      <c r="AR587" s="55">
        <v>28500</v>
      </c>
      <c r="AS587" s="78">
        <f t="shared" si="13"/>
        <v>0.62475438596491228</v>
      </c>
    </row>
    <row r="588" spans="39:45">
      <c r="AM588" s="54">
        <v>2019</v>
      </c>
      <c r="AN588" s="54" t="s">
        <v>183</v>
      </c>
      <c r="AO588" s="54">
        <v>25</v>
      </c>
      <c r="AP588" s="54">
        <v>10</v>
      </c>
      <c r="AQ588" s="54">
        <v>2661</v>
      </c>
      <c r="AR588" s="55">
        <v>28500</v>
      </c>
      <c r="AS588" s="78">
        <f t="shared" si="13"/>
        <v>9.3368421052631573E-2</v>
      </c>
    </row>
    <row r="589" spans="39:45">
      <c r="AM589" s="55">
        <v>2019</v>
      </c>
      <c r="AN589" s="55" t="s">
        <v>183</v>
      </c>
      <c r="AO589" s="55">
        <v>25</v>
      </c>
      <c r="AP589" s="55">
        <v>11</v>
      </c>
      <c r="AQ589" s="55">
        <v>5421.5</v>
      </c>
      <c r="AR589" s="55">
        <v>28500</v>
      </c>
      <c r="AS589" s="78">
        <f t="shared" si="13"/>
        <v>0.19022807017543861</v>
      </c>
    </row>
    <row r="590" spans="39:45">
      <c r="AM590" s="54">
        <v>2019</v>
      </c>
      <c r="AN590" s="54" t="s">
        <v>183</v>
      </c>
      <c r="AO590" s="54">
        <v>25</v>
      </c>
      <c r="AP590" s="54">
        <v>12</v>
      </c>
      <c r="AQ590" s="54">
        <v>9425</v>
      </c>
      <c r="AR590" s="55">
        <v>28500</v>
      </c>
      <c r="AS590" s="78">
        <f t="shared" si="13"/>
        <v>0.33070175438596489</v>
      </c>
    </row>
    <row r="591" spans="39:45">
      <c r="AM591" s="55">
        <v>2019</v>
      </c>
      <c r="AN591" s="55" t="s">
        <v>183</v>
      </c>
      <c r="AO591" s="55">
        <v>25</v>
      </c>
      <c r="AP591" s="55">
        <v>13</v>
      </c>
      <c r="AQ591" s="55">
        <v>8061</v>
      </c>
      <c r="AR591" s="55">
        <v>28500</v>
      </c>
      <c r="AS591" s="78">
        <f t="shared" si="13"/>
        <v>0.28284210526315789</v>
      </c>
    </row>
    <row r="592" spans="39:45">
      <c r="AM592" s="54">
        <v>2019</v>
      </c>
      <c r="AN592" s="54" t="s">
        <v>183</v>
      </c>
      <c r="AO592" s="54">
        <v>25</v>
      </c>
      <c r="AP592" s="54">
        <v>14</v>
      </c>
      <c r="AQ592" s="54">
        <v>5916</v>
      </c>
      <c r="AR592" s="55">
        <v>28500</v>
      </c>
      <c r="AS592" s="78">
        <f t="shared" si="13"/>
        <v>0.20757894736842106</v>
      </c>
    </row>
    <row r="593" spans="39:45">
      <c r="AM593" s="55">
        <v>2019</v>
      </c>
      <c r="AN593" s="55" t="s">
        <v>183</v>
      </c>
      <c r="AO593" s="55">
        <v>25</v>
      </c>
      <c r="AP593" s="55">
        <v>15</v>
      </c>
      <c r="AQ593" s="55">
        <v>1813.5</v>
      </c>
      <c r="AR593" s="55">
        <v>28500</v>
      </c>
      <c r="AS593" s="78">
        <f t="shared" si="13"/>
        <v>6.3631578947368428E-2</v>
      </c>
    </row>
    <row r="594" spans="39:45">
      <c r="AM594" s="54">
        <v>2019</v>
      </c>
      <c r="AN594" s="54" t="s">
        <v>183</v>
      </c>
      <c r="AO594" s="54">
        <v>25</v>
      </c>
      <c r="AP594" s="54">
        <v>16</v>
      </c>
      <c r="AQ594" s="54">
        <v>0</v>
      </c>
      <c r="AR594" s="55">
        <v>28500</v>
      </c>
      <c r="AS594" s="78">
        <f t="shared" si="13"/>
        <v>0</v>
      </c>
    </row>
    <row r="595" spans="39:45">
      <c r="AM595" s="55">
        <v>2019</v>
      </c>
      <c r="AN595" s="55" t="s">
        <v>183</v>
      </c>
      <c r="AO595" s="55">
        <v>25</v>
      </c>
      <c r="AP595" s="55">
        <v>17</v>
      </c>
      <c r="AQ595" s="55">
        <v>0</v>
      </c>
      <c r="AR595" s="55">
        <v>28500</v>
      </c>
      <c r="AS595" s="78">
        <f t="shared" si="13"/>
        <v>0</v>
      </c>
    </row>
    <row r="596" spans="39:45">
      <c r="AM596" s="54">
        <v>2019</v>
      </c>
      <c r="AN596" s="54" t="s">
        <v>183</v>
      </c>
      <c r="AO596" s="54">
        <v>25</v>
      </c>
      <c r="AP596" s="54">
        <v>18</v>
      </c>
      <c r="AQ596" s="54">
        <v>0</v>
      </c>
      <c r="AR596" s="55">
        <v>28500</v>
      </c>
      <c r="AS596" s="78">
        <f t="shared" si="13"/>
        <v>0</v>
      </c>
    </row>
    <row r="597" spans="39:45">
      <c r="AM597" s="55">
        <v>2019</v>
      </c>
      <c r="AN597" s="55" t="s">
        <v>183</v>
      </c>
      <c r="AO597" s="55">
        <v>25</v>
      </c>
      <c r="AP597" s="55">
        <v>19</v>
      </c>
      <c r="AQ597" s="55">
        <v>0</v>
      </c>
      <c r="AR597" s="55">
        <v>28500</v>
      </c>
      <c r="AS597" s="78">
        <f t="shared" si="13"/>
        <v>0</v>
      </c>
    </row>
    <row r="598" spans="39:45">
      <c r="AM598" s="54">
        <v>2019</v>
      </c>
      <c r="AN598" s="54" t="s">
        <v>183</v>
      </c>
      <c r="AO598" s="54">
        <v>25</v>
      </c>
      <c r="AP598" s="54">
        <v>20</v>
      </c>
      <c r="AQ598" s="54">
        <v>0</v>
      </c>
      <c r="AR598" s="55">
        <v>28500</v>
      </c>
      <c r="AS598" s="78">
        <f t="shared" si="13"/>
        <v>0</v>
      </c>
    </row>
    <row r="599" spans="39:45">
      <c r="AM599" s="55">
        <v>2019</v>
      </c>
      <c r="AN599" s="55" t="s">
        <v>183</v>
      </c>
      <c r="AO599" s="55">
        <v>25</v>
      </c>
      <c r="AP599" s="55">
        <v>21</v>
      </c>
      <c r="AQ599" s="55">
        <v>0</v>
      </c>
      <c r="AR599" s="55">
        <v>28500</v>
      </c>
      <c r="AS599" s="78">
        <f t="shared" si="13"/>
        <v>0</v>
      </c>
    </row>
    <row r="600" spans="39:45">
      <c r="AM600" s="54">
        <v>2019</v>
      </c>
      <c r="AN600" s="54" t="s">
        <v>183</v>
      </c>
      <c r="AO600" s="54">
        <v>25</v>
      </c>
      <c r="AP600" s="54">
        <v>22</v>
      </c>
      <c r="AQ600" s="54">
        <v>0</v>
      </c>
      <c r="AR600" s="55">
        <v>28500</v>
      </c>
      <c r="AS600" s="78">
        <f t="shared" si="13"/>
        <v>0</v>
      </c>
    </row>
    <row r="601" spans="39:45">
      <c r="AM601" s="55">
        <v>2019</v>
      </c>
      <c r="AN601" s="55" t="s">
        <v>183</v>
      </c>
      <c r="AO601" s="55">
        <v>25</v>
      </c>
      <c r="AP601" s="55">
        <v>23</v>
      </c>
      <c r="AQ601" s="55">
        <v>0</v>
      </c>
      <c r="AR601" s="55">
        <v>28500</v>
      </c>
      <c r="AS601" s="78">
        <f t="shared" si="13"/>
        <v>0</v>
      </c>
    </row>
    <row r="602" spans="39:45">
      <c r="AM602" s="54">
        <v>2019</v>
      </c>
      <c r="AN602" s="54" t="s">
        <v>183</v>
      </c>
      <c r="AO602" s="54">
        <v>26</v>
      </c>
      <c r="AP602" s="54">
        <v>24</v>
      </c>
      <c r="AQ602" s="54">
        <v>0</v>
      </c>
      <c r="AR602" s="55">
        <v>28500</v>
      </c>
      <c r="AS602" s="78">
        <f t="shared" si="13"/>
        <v>0</v>
      </c>
    </row>
    <row r="603" spans="39:45">
      <c r="AM603" s="55">
        <v>2019</v>
      </c>
      <c r="AN603" s="55" t="s">
        <v>183</v>
      </c>
      <c r="AO603" s="55">
        <v>26</v>
      </c>
      <c r="AP603" s="55">
        <v>1</v>
      </c>
      <c r="AQ603" s="55">
        <v>0</v>
      </c>
      <c r="AR603" s="55">
        <v>28500</v>
      </c>
      <c r="AS603" s="78">
        <f t="shared" si="13"/>
        <v>0</v>
      </c>
    </row>
    <row r="604" spans="39:45">
      <c r="AM604" s="54">
        <v>2019</v>
      </c>
      <c r="AN604" s="54" t="s">
        <v>183</v>
      </c>
      <c r="AO604" s="54">
        <v>26</v>
      </c>
      <c r="AP604" s="54">
        <v>2</v>
      </c>
      <c r="AQ604" s="54">
        <v>0</v>
      </c>
      <c r="AR604" s="55">
        <v>28500</v>
      </c>
      <c r="AS604" s="78">
        <f t="shared" si="13"/>
        <v>0</v>
      </c>
    </row>
    <row r="605" spans="39:45">
      <c r="AM605" s="55">
        <v>2019</v>
      </c>
      <c r="AN605" s="55" t="s">
        <v>183</v>
      </c>
      <c r="AO605" s="55">
        <v>26</v>
      </c>
      <c r="AP605" s="55">
        <v>3</v>
      </c>
      <c r="AQ605" s="55">
        <v>0</v>
      </c>
      <c r="AR605" s="55">
        <v>28500</v>
      </c>
      <c r="AS605" s="78">
        <f t="shared" si="13"/>
        <v>0</v>
      </c>
    </row>
    <row r="606" spans="39:45">
      <c r="AM606" s="54">
        <v>2019</v>
      </c>
      <c r="AN606" s="54" t="s">
        <v>183</v>
      </c>
      <c r="AO606" s="54">
        <v>26</v>
      </c>
      <c r="AP606" s="54">
        <v>4</v>
      </c>
      <c r="AQ606" s="54">
        <v>0</v>
      </c>
      <c r="AR606" s="55">
        <v>28500</v>
      </c>
      <c r="AS606" s="78">
        <f t="shared" si="13"/>
        <v>0</v>
      </c>
    </row>
    <row r="607" spans="39:45">
      <c r="AM607" s="55">
        <v>2019</v>
      </c>
      <c r="AN607" s="55" t="s">
        <v>183</v>
      </c>
      <c r="AO607" s="55">
        <v>26</v>
      </c>
      <c r="AP607" s="55">
        <v>5</v>
      </c>
      <c r="AQ607" s="55">
        <v>0</v>
      </c>
      <c r="AR607" s="55">
        <v>28500</v>
      </c>
      <c r="AS607" s="78">
        <f t="shared" si="13"/>
        <v>0</v>
      </c>
    </row>
    <row r="608" spans="39:45">
      <c r="AM608" s="54">
        <v>2019</v>
      </c>
      <c r="AN608" s="54" t="s">
        <v>183</v>
      </c>
      <c r="AO608" s="54">
        <v>26</v>
      </c>
      <c r="AP608" s="54">
        <v>6</v>
      </c>
      <c r="AQ608" s="54">
        <v>0</v>
      </c>
      <c r="AR608" s="55">
        <v>28500</v>
      </c>
      <c r="AS608" s="78">
        <f t="shared" si="13"/>
        <v>0</v>
      </c>
    </row>
    <row r="609" spans="39:45">
      <c r="AM609" s="55">
        <v>2019</v>
      </c>
      <c r="AN609" s="55" t="s">
        <v>183</v>
      </c>
      <c r="AO609" s="55">
        <v>26</v>
      </c>
      <c r="AP609" s="55">
        <v>7</v>
      </c>
      <c r="AQ609" s="55">
        <v>0</v>
      </c>
      <c r="AR609" s="55">
        <v>28500</v>
      </c>
      <c r="AS609" s="78">
        <f t="shared" si="13"/>
        <v>0</v>
      </c>
    </row>
    <row r="610" spans="39:45">
      <c r="AM610" s="54">
        <v>2019</v>
      </c>
      <c r="AN610" s="54" t="s">
        <v>183</v>
      </c>
      <c r="AO610" s="54">
        <v>26</v>
      </c>
      <c r="AP610" s="54">
        <v>8</v>
      </c>
      <c r="AQ610" s="54">
        <v>0</v>
      </c>
      <c r="AR610" s="55">
        <v>28500</v>
      </c>
      <c r="AS610" s="78">
        <f t="shared" si="13"/>
        <v>0</v>
      </c>
    </row>
    <row r="611" spans="39:45">
      <c r="AM611" s="55">
        <v>2019</v>
      </c>
      <c r="AN611" s="55" t="s">
        <v>183</v>
      </c>
      <c r="AO611" s="55">
        <v>26</v>
      </c>
      <c r="AP611" s="55">
        <v>9</v>
      </c>
      <c r="AQ611" s="55">
        <v>1195</v>
      </c>
      <c r="AR611" s="55">
        <v>28500</v>
      </c>
      <c r="AS611" s="78">
        <f t="shared" si="13"/>
        <v>4.1929824561403511E-2</v>
      </c>
    </row>
    <row r="612" spans="39:45">
      <c r="AM612" s="54">
        <v>2019</v>
      </c>
      <c r="AN612" s="54" t="s">
        <v>183</v>
      </c>
      <c r="AO612" s="54">
        <v>26</v>
      </c>
      <c r="AP612" s="54">
        <v>10</v>
      </c>
      <c r="AQ612" s="54">
        <v>6681.5</v>
      </c>
      <c r="AR612" s="55">
        <v>28500</v>
      </c>
      <c r="AS612" s="78">
        <f t="shared" si="13"/>
        <v>0.23443859649122806</v>
      </c>
    </row>
    <row r="613" spans="39:45">
      <c r="AM613" s="55">
        <v>2019</v>
      </c>
      <c r="AN613" s="55" t="s">
        <v>183</v>
      </c>
      <c r="AO613" s="55">
        <v>26</v>
      </c>
      <c r="AP613" s="55">
        <v>11</v>
      </c>
      <c r="AQ613" s="55">
        <v>9961</v>
      </c>
      <c r="AR613" s="55">
        <v>28500</v>
      </c>
      <c r="AS613" s="78">
        <f t="shared" si="13"/>
        <v>0.34950877192982455</v>
      </c>
    </row>
    <row r="614" spans="39:45">
      <c r="AM614" s="54">
        <v>2019</v>
      </c>
      <c r="AN614" s="54" t="s">
        <v>183</v>
      </c>
      <c r="AO614" s="54">
        <v>26</v>
      </c>
      <c r="AP614" s="54">
        <v>12</v>
      </c>
      <c r="AQ614" s="54">
        <v>7351</v>
      </c>
      <c r="AR614" s="55">
        <v>28500</v>
      </c>
      <c r="AS614" s="78">
        <f t="shared" si="13"/>
        <v>0.25792982456140351</v>
      </c>
    </row>
    <row r="615" spans="39:45">
      <c r="AM615" s="55">
        <v>2019</v>
      </c>
      <c r="AN615" s="55" t="s">
        <v>183</v>
      </c>
      <c r="AO615" s="55">
        <v>26</v>
      </c>
      <c r="AP615" s="55">
        <v>13</v>
      </c>
      <c r="AQ615" s="55">
        <v>10991</v>
      </c>
      <c r="AR615" s="55">
        <v>28500</v>
      </c>
      <c r="AS615" s="78">
        <f t="shared" si="13"/>
        <v>0.38564912280701752</v>
      </c>
    </row>
    <row r="616" spans="39:45">
      <c r="AM616" s="54">
        <v>2019</v>
      </c>
      <c r="AN616" s="54" t="s">
        <v>183</v>
      </c>
      <c r="AO616" s="54">
        <v>26</v>
      </c>
      <c r="AP616" s="54">
        <v>14</v>
      </c>
      <c r="AQ616" s="54">
        <v>1042</v>
      </c>
      <c r="AR616" s="55">
        <v>28500</v>
      </c>
      <c r="AS616" s="78">
        <f t="shared" si="13"/>
        <v>3.6561403508771927E-2</v>
      </c>
    </row>
    <row r="617" spans="39:45">
      <c r="AM617" s="55">
        <v>2019</v>
      </c>
      <c r="AN617" s="55" t="s">
        <v>183</v>
      </c>
      <c r="AO617" s="55">
        <v>26</v>
      </c>
      <c r="AP617" s="55">
        <v>15</v>
      </c>
      <c r="AQ617" s="55">
        <v>1929</v>
      </c>
      <c r="AR617" s="55">
        <v>28500</v>
      </c>
      <c r="AS617" s="78">
        <f t="shared" si="13"/>
        <v>6.7684210526315791E-2</v>
      </c>
    </row>
    <row r="618" spans="39:45">
      <c r="AM618" s="54">
        <v>2019</v>
      </c>
      <c r="AN618" s="54" t="s">
        <v>183</v>
      </c>
      <c r="AO618" s="54">
        <v>26</v>
      </c>
      <c r="AP618" s="54">
        <v>16</v>
      </c>
      <c r="AQ618" s="54">
        <v>0</v>
      </c>
      <c r="AR618" s="55">
        <v>28500</v>
      </c>
      <c r="AS618" s="78">
        <f t="shared" si="13"/>
        <v>0</v>
      </c>
    </row>
    <row r="619" spans="39:45">
      <c r="AM619" s="55">
        <v>2019</v>
      </c>
      <c r="AN619" s="55" t="s">
        <v>183</v>
      </c>
      <c r="AO619" s="55">
        <v>26</v>
      </c>
      <c r="AP619" s="55">
        <v>17</v>
      </c>
      <c r="AQ619" s="55">
        <v>0</v>
      </c>
      <c r="AR619" s="55">
        <v>28500</v>
      </c>
      <c r="AS619" s="78">
        <f t="shared" si="13"/>
        <v>0</v>
      </c>
    </row>
    <row r="620" spans="39:45">
      <c r="AM620" s="54">
        <v>2019</v>
      </c>
      <c r="AN620" s="54" t="s">
        <v>183</v>
      </c>
      <c r="AO620" s="54">
        <v>26</v>
      </c>
      <c r="AP620" s="54">
        <v>18</v>
      </c>
      <c r="AQ620" s="54">
        <v>0</v>
      </c>
      <c r="AR620" s="55">
        <v>28500</v>
      </c>
      <c r="AS620" s="78">
        <f t="shared" si="13"/>
        <v>0</v>
      </c>
    </row>
    <row r="621" spans="39:45">
      <c r="AM621" s="55">
        <v>2019</v>
      </c>
      <c r="AN621" s="55" t="s">
        <v>183</v>
      </c>
      <c r="AO621" s="55">
        <v>26</v>
      </c>
      <c r="AP621" s="55">
        <v>19</v>
      </c>
      <c r="AQ621" s="55">
        <v>0</v>
      </c>
      <c r="AR621" s="55">
        <v>28500</v>
      </c>
      <c r="AS621" s="78">
        <f t="shared" si="13"/>
        <v>0</v>
      </c>
    </row>
    <row r="622" spans="39:45">
      <c r="AM622" s="54">
        <v>2019</v>
      </c>
      <c r="AN622" s="54" t="s">
        <v>183</v>
      </c>
      <c r="AO622" s="54">
        <v>26</v>
      </c>
      <c r="AP622" s="54">
        <v>20</v>
      </c>
      <c r="AQ622" s="54">
        <v>0</v>
      </c>
      <c r="AR622" s="55">
        <v>28500</v>
      </c>
      <c r="AS622" s="78">
        <f t="shared" si="13"/>
        <v>0</v>
      </c>
    </row>
    <row r="623" spans="39:45">
      <c r="AM623" s="55">
        <v>2019</v>
      </c>
      <c r="AN623" s="55" t="s">
        <v>183</v>
      </c>
      <c r="AO623" s="55">
        <v>26</v>
      </c>
      <c r="AP623" s="55">
        <v>21</v>
      </c>
      <c r="AQ623" s="55">
        <v>0</v>
      </c>
      <c r="AR623" s="55">
        <v>28500</v>
      </c>
      <c r="AS623" s="78">
        <f t="shared" si="13"/>
        <v>0</v>
      </c>
    </row>
    <row r="624" spans="39:45">
      <c r="AM624" s="54">
        <v>2019</v>
      </c>
      <c r="AN624" s="54" t="s">
        <v>183</v>
      </c>
      <c r="AO624" s="54">
        <v>26</v>
      </c>
      <c r="AP624" s="54">
        <v>22</v>
      </c>
      <c r="AQ624" s="54">
        <v>0</v>
      </c>
      <c r="AR624" s="55">
        <v>28500</v>
      </c>
      <c r="AS624" s="78">
        <f t="shared" si="13"/>
        <v>0</v>
      </c>
    </row>
    <row r="625" spans="39:45">
      <c r="AM625" s="55">
        <v>2019</v>
      </c>
      <c r="AN625" s="55" t="s">
        <v>183</v>
      </c>
      <c r="AO625" s="55">
        <v>26</v>
      </c>
      <c r="AP625" s="55">
        <v>23</v>
      </c>
      <c r="AQ625" s="55">
        <v>0</v>
      </c>
      <c r="AR625" s="55">
        <v>28500</v>
      </c>
      <c r="AS625" s="78">
        <f t="shared" si="13"/>
        <v>0</v>
      </c>
    </row>
    <row r="626" spans="39:45">
      <c r="AM626" s="54">
        <v>2019</v>
      </c>
      <c r="AN626" s="54" t="s">
        <v>183</v>
      </c>
      <c r="AO626" s="54">
        <v>27</v>
      </c>
      <c r="AP626" s="54">
        <v>24</v>
      </c>
      <c r="AQ626" s="54">
        <v>0</v>
      </c>
      <c r="AR626" s="55">
        <v>28500</v>
      </c>
      <c r="AS626" s="78">
        <f t="shared" si="13"/>
        <v>0</v>
      </c>
    </row>
    <row r="627" spans="39:45">
      <c r="AM627" s="55">
        <v>2019</v>
      </c>
      <c r="AN627" s="55" t="s">
        <v>183</v>
      </c>
      <c r="AO627" s="55">
        <v>27</v>
      </c>
      <c r="AP627" s="55">
        <v>1</v>
      </c>
      <c r="AQ627" s="55">
        <v>0</v>
      </c>
      <c r="AR627" s="55">
        <v>28500</v>
      </c>
      <c r="AS627" s="78">
        <f t="shared" si="13"/>
        <v>0</v>
      </c>
    </row>
    <row r="628" spans="39:45">
      <c r="AM628" s="54">
        <v>2019</v>
      </c>
      <c r="AN628" s="54" t="s">
        <v>183</v>
      </c>
      <c r="AO628" s="54">
        <v>27</v>
      </c>
      <c r="AP628" s="54">
        <v>2</v>
      </c>
      <c r="AQ628" s="54">
        <v>0</v>
      </c>
      <c r="AR628" s="55">
        <v>28500</v>
      </c>
      <c r="AS628" s="78">
        <f t="shared" si="13"/>
        <v>0</v>
      </c>
    </row>
    <row r="629" spans="39:45">
      <c r="AM629" s="55">
        <v>2019</v>
      </c>
      <c r="AN629" s="55" t="s">
        <v>183</v>
      </c>
      <c r="AO629" s="55">
        <v>27</v>
      </c>
      <c r="AP629" s="55">
        <v>3</v>
      </c>
      <c r="AQ629" s="55">
        <v>0</v>
      </c>
      <c r="AR629" s="55">
        <v>28500</v>
      </c>
      <c r="AS629" s="78">
        <f t="shared" si="13"/>
        <v>0</v>
      </c>
    </row>
    <row r="630" spans="39:45">
      <c r="AM630" s="54">
        <v>2019</v>
      </c>
      <c r="AN630" s="54" t="s">
        <v>183</v>
      </c>
      <c r="AO630" s="54">
        <v>27</v>
      </c>
      <c r="AP630" s="54">
        <v>4</v>
      </c>
      <c r="AQ630" s="54">
        <v>0</v>
      </c>
      <c r="AR630" s="55">
        <v>28500</v>
      </c>
      <c r="AS630" s="78">
        <f t="shared" si="13"/>
        <v>0</v>
      </c>
    </row>
    <row r="631" spans="39:45">
      <c r="AM631" s="55">
        <v>2019</v>
      </c>
      <c r="AN631" s="55" t="s">
        <v>183</v>
      </c>
      <c r="AO631" s="55">
        <v>27</v>
      </c>
      <c r="AP631" s="55">
        <v>5</v>
      </c>
      <c r="AQ631" s="55">
        <v>0</v>
      </c>
      <c r="AR631" s="55">
        <v>28500</v>
      </c>
      <c r="AS631" s="78">
        <f t="shared" si="13"/>
        <v>0</v>
      </c>
    </row>
    <row r="632" spans="39:45">
      <c r="AM632" s="54">
        <v>2019</v>
      </c>
      <c r="AN632" s="54" t="s">
        <v>183</v>
      </c>
      <c r="AO632" s="54">
        <v>27</v>
      </c>
      <c r="AP632" s="54">
        <v>6</v>
      </c>
      <c r="AQ632" s="54">
        <v>0</v>
      </c>
      <c r="AR632" s="55">
        <v>28500</v>
      </c>
      <c r="AS632" s="78">
        <f t="shared" si="13"/>
        <v>0</v>
      </c>
    </row>
    <row r="633" spans="39:45">
      <c r="AM633" s="55">
        <v>2019</v>
      </c>
      <c r="AN633" s="55" t="s">
        <v>183</v>
      </c>
      <c r="AO633" s="55">
        <v>27</v>
      </c>
      <c r="AP633" s="55">
        <v>7</v>
      </c>
      <c r="AQ633" s="55">
        <v>0</v>
      </c>
      <c r="AR633" s="55">
        <v>28500</v>
      </c>
      <c r="AS633" s="78">
        <f t="shared" si="13"/>
        <v>0</v>
      </c>
    </row>
    <row r="634" spans="39:45">
      <c r="AM634" s="54">
        <v>2019</v>
      </c>
      <c r="AN634" s="54" t="s">
        <v>183</v>
      </c>
      <c r="AO634" s="54">
        <v>27</v>
      </c>
      <c r="AP634" s="54">
        <v>8</v>
      </c>
      <c r="AQ634" s="54">
        <v>15.5</v>
      </c>
      <c r="AR634" s="55">
        <v>28500</v>
      </c>
      <c r="AS634" s="78">
        <f t="shared" si="13"/>
        <v>5.4385964912280699E-4</v>
      </c>
    </row>
    <row r="635" spans="39:45">
      <c r="AM635" s="55">
        <v>2019</v>
      </c>
      <c r="AN635" s="55" t="s">
        <v>183</v>
      </c>
      <c r="AO635" s="55">
        <v>27</v>
      </c>
      <c r="AP635" s="55">
        <v>9</v>
      </c>
      <c r="AQ635" s="55">
        <v>7755</v>
      </c>
      <c r="AR635" s="55">
        <v>28500</v>
      </c>
      <c r="AS635" s="78">
        <f t="shared" si="13"/>
        <v>0.27210526315789474</v>
      </c>
    </row>
    <row r="636" spans="39:45">
      <c r="AM636" s="54">
        <v>2019</v>
      </c>
      <c r="AN636" s="54" t="s">
        <v>183</v>
      </c>
      <c r="AO636" s="54">
        <v>27</v>
      </c>
      <c r="AP636" s="54">
        <v>10</v>
      </c>
      <c r="AQ636" s="54">
        <v>26355.5</v>
      </c>
      <c r="AR636" s="55">
        <v>28500</v>
      </c>
      <c r="AS636" s="78">
        <f t="shared" si="13"/>
        <v>0.92475438596491233</v>
      </c>
    </row>
    <row r="637" spans="39:45">
      <c r="AM637" s="55">
        <v>2019</v>
      </c>
      <c r="AN637" s="55" t="s">
        <v>183</v>
      </c>
      <c r="AO637" s="55">
        <v>27</v>
      </c>
      <c r="AP637" s="55">
        <v>11</v>
      </c>
      <c r="AQ637" s="55">
        <v>6444</v>
      </c>
      <c r="AR637" s="55">
        <v>28500</v>
      </c>
      <c r="AS637" s="78">
        <f t="shared" si="13"/>
        <v>0.22610526315789473</v>
      </c>
    </row>
    <row r="638" spans="39:45">
      <c r="AM638" s="54">
        <v>2019</v>
      </c>
      <c r="AN638" s="54" t="s">
        <v>183</v>
      </c>
      <c r="AO638" s="54">
        <v>27</v>
      </c>
      <c r="AP638" s="54">
        <v>12</v>
      </c>
      <c r="AQ638" s="54">
        <v>1724.5</v>
      </c>
      <c r="AR638" s="55">
        <v>28500</v>
      </c>
      <c r="AS638" s="78">
        <f t="shared" si="13"/>
        <v>6.050877192982456E-2</v>
      </c>
    </row>
    <row r="639" spans="39:45">
      <c r="AM639" s="55">
        <v>2019</v>
      </c>
      <c r="AN639" s="55" t="s">
        <v>183</v>
      </c>
      <c r="AO639" s="55">
        <v>27</v>
      </c>
      <c r="AP639" s="55">
        <v>13</v>
      </c>
      <c r="AQ639" s="55">
        <v>1241.5</v>
      </c>
      <c r="AR639" s="55">
        <v>28500</v>
      </c>
      <c r="AS639" s="78">
        <f t="shared" si="13"/>
        <v>4.3561403508771933E-2</v>
      </c>
    </row>
    <row r="640" spans="39:45">
      <c r="AM640" s="54">
        <v>2019</v>
      </c>
      <c r="AN640" s="54" t="s">
        <v>183</v>
      </c>
      <c r="AO640" s="54">
        <v>27</v>
      </c>
      <c r="AP640" s="54">
        <v>14</v>
      </c>
      <c r="AQ640" s="54">
        <v>689</v>
      </c>
      <c r="AR640" s="55">
        <v>28500</v>
      </c>
      <c r="AS640" s="78">
        <f t="shared" si="13"/>
        <v>2.4175438596491228E-2</v>
      </c>
    </row>
    <row r="641" spans="39:45">
      <c r="AM641" s="55">
        <v>2019</v>
      </c>
      <c r="AN641" s="55" t="s">
        <v>183</v>
      </c>
      <c r="AO641" s="55">
        <v>27</v>
      </c>
      <c r="AP641" s="55">
        <v>15</v>
      </c>
      <c r="AQ641" s="55">
        <v>2828</v>
      </c>
      <c r="AR641" s="55">
        <v>28500</v>
      </c>
      <c r="AS641" s="78">
        <f t="shared" si="13"/>
        <v>9.9228070175438596E-2</v>
      </c>
    </row>
    <row r="642" spans="39:45">
      <c r="AM642" s="54">
        <v>2019</v>
      </c>
      <c r="AN642" s="54" t="s">
        <v>183</v>
      </c>
      <c r="AO642" s="54">
        <v>27</v>
      </c>
      <c r="AP642" s="54">
        <v>16</v>
      </c>
      <c r="AQ642" s="54">
        <v>0</v>
      </c>
      <c r="AR642" s="55">
        <v>28500</v>
      </c>
      <c r="AS642" s="78">
        <f t="shared" ref="AS642:AS705" si="14">AQ642/AR642</f>
        <v>0</v>
      </c>
    </row>
    <row r="643" spans="39:45">
      <c r="AM643" s="55">
        <v>2019</v>
      </c>
      <c r="AN643" s="55" t="s">
        <v>183</v>
      </c>
      <c r="AO643" s="55">
        <v>27</v>
      </c>
      <c r="AP643" s="55">
        <v>17</v>
      </c>
      <c r="AQ643" s="55">
        <v>0</v>
      </c>
      <c r="AR643" s="55">
        <v>28500</v>
      </c>
      <c r="AS643" s="78">
        <f t="shared" si="14"/>
        <v>0</v>
      </c>
    </row>
    <row r="644" spans="39:45">
      <c r="AM644" s="54">
        <v>2019</v>
      </c>
      <c r="AN644" s="54" t="s">
        <v>183</v>
      </c>
      <c r="AO644" s="54">
        <v>27</v>
      </c>
      <c r="AP644" s="54">
        <v>18</v>
      </c>
      <c r="AQ644" s="54">
        <v>0</v>
      </c>
      <c r="AR644" s="55">
        <v>28500</v>
      </c>
      <c r="AS644" s="78">
        <f t="shared" si="14"/>
        <v>0</v>
      </c>
    </row>
    <row r="645" spans="39:45">
      <c r="AM645" s="55">
        <v>2019</v>
      </c>
      <c r="AN645" s="55" t="s">
        <v>183</v>
      </c>
      <c r="AO645" s="55">
        <v>27</v>
      </c>
      <c r="AP645" s="55">
        <v>19</v>
      </c>
      <c r="AQ645" s="55">
        <v>0</v>
      </c>
      <c r="AR645" s="55">
        <v>28500</v>
      </c>
      <c r="AS645" s="78">
        <f t="shared" si="14"/>
        <v>0</v>
      </c>
    </row>
    <row r="646" spans="39:45">
      <c r="AM646" s="54">
        <v>2019</v>
      </c>
      <c r="AN646" s="54" t="s">
        <v>183</v>
      </c>
      <c r="AO646" s="54">
        <v>27</v>
      </c>
      <c r="AP646" s="54">
        <v>20</v>
      </c>
      <c r="AQ646" s="54">
        <v>0</v>
      </c>
      <c r="AR646" s="55">
        <v>28500</v>
      </c>
      <c r="AS646" s="78">
        <f t="shared" si="14"/>
        <v>0</v>
      </c>
    </row>
    <row r="647" spans="39:45">
      <c r="AM647" s="55">
        <v>2019</v>
      </c>
      <c r="AN647" s="55" t="s">
        <v>183</v>
      </c>
      <c r="AO647" s="55">
        <v>27</v>
      </c>
      <c r="AP647" s="55">
        <v>21</v>
      </c>
      <c r="AQ647" s="55">
        <v>0</v>
      </c>
      <c r="AR647" s="55">
        <v>28500</v>
      </c>
      <c r="AS647" s="78">
        <f t="shared" si="14"/>
        <v>0</v>
      </c>
    </row>
    <row r="648" spans="39:45">
      <c r="AM648" s="54">
        <v>2019</v>
      </c>
      <c r="AN648" s="54" t="s">
        <v>183</v>
      </c>
      <c r="AO648" s="54">
        <v>27</v>
      </c>
      <c r="AP648" s="54">
        <v>22</v>
      </c>
      <c r="AQ648" s="54">
        <v>0</v>
      </c>
      <c r="AR648" s="55">
        <v>28500</v>
      </c>
      <c r="AS648" s="78">
        <f t="shared" si="14"/>
        <v>0</v>
      </c>
    </row>
    <row r="649" spans="39:45">
      <c r="AM649" s="55">
        <v>2019</v>
      </c>
      <c r="AN649" s="55" t="s">
        <v>183</v>
      </c>
      <c r="AO649" s="55">
        <v>27</v>
      </c>
      <c r="AP649" s="55">
        <v>23</v>
      </c>
      <c r="AQ649" s="55">
        <v>0</v>
      </c>
      <c r="AR649" s="55">
        <v>28500</v>
      </c>
      <c r="AS649" s="78">
        <f t="shared" si="14"/>
        <v>0</v>
      </c>
    </row>
    <row r="650" spans="39:45">
      <c r="AM650" s="54">
        <v>2019</v>
      </c>
      <c r="AN650" s="54" t="s">
        <v>183</v>
      </c>
      <c r="AO650" s="54">
        <v>28</v>
      </c>
      <c r="AP650" s="54">
        <v>24</v>
      </c>
      <c r="AQ650" s="54">
        <v>0</v>
      </c>
      <c r="AR650" s="55">
        <v>28500</v>
      </c>
      <c r="AS650" s="78">
        <f t="shared" si="14"/>
        <v>0</v>
      </c>
    </row>
    <row r="651" spans="39:45">
      <c r="AM651" s="55">
        <v>2019</v>
      </c>
      <c r="AN651" s="55" t="s">
        <v>183</v>
      </c>
      <c r="AO651" s="55">
        <v>28</v>
      </c>
      <c r="AP651" s="55">
        <v>1</v>
      </c>
      <c r="AQ651" s="55">
        <v>0</v>
      </c>
      <c r="AR651" s="55">
        <v>28500</v>
      </c>
      <c r="AS651" s="78">
        <f t="shared" si="14"/>
        <v>0</v>
      </c>
    </row>
    <row r="652" spans="39:45">
      <c r="AM652" s="54">
        <v>2019</v>
      </c>
      <c r="AN652" s="54" t="s">
        <v>183</v>
      </c>
      <c r="AO652" s="54">
        <v>28</v>
      </c>
      <c r="AP652" s="54">
        <v>2</v>
      </c>
      <c r="AQ652" s="54">
        <v>0</v>
      </c>
      <c r="AR652" s="55">
        <v>28500</v>
      </c>
      <c r="AS652" s="78">
        <f t="shared" si="14"/>
        <v>0</v>
      </c>
    </row>
    <row r="653" spans="39:45">
      <c r="AM653" s="55">
        <v>2019</v>
      </c>
      <c r="AN653" s="55" t="s">
        <v>183</v>
      </c>
      <c r="AO653" s="55">
        <v>28</v>
      </c>
      <c r="AP653" s="55">
        <v>3</v>
      </c>
      <c r="AQ653" s="55">
        <v>0</v>
      </c>
      <c r="AR653" s="55">
        <v>28500</v>
      </c>
      <c r="AS653" s="78">
        <f t="shared" si="14"/>
        <v>0</v>
      </c>
    </row>
    <row r="654" spans="39:45">
      <c r="AM654" s="54">
        <v>2019</v>
      </c>
      <c r="AN654" s="54" t="s">
        <v>183</v>
      </c>
      <c r="AO654" s="54">
        <v>28</v>
      </c>
      <c r="AP654" s="54">
        <v>4</v>
      </c>
      <c r="AQ654" s="54">
        <v>0</v>
      </c>
      <c r="AR654" s="55">
        <v>28500</v>
      </c>
      <c r="AS654" s="78">
        <f t="shared" si="14"/>
        <v>0</v>
      </c>
    </row>
    <row r="655" spans="39:45">
      <c r="AM655" s="55">
        <v>2019</v>
      </c>
      <c r="AN655" s="55" t="s">
        <v>183</v>
      </c>
      <c r="AO655" s="55">
        <v>28</v>
      </c>
      <c r="AP655" s="55">
        <v>5</v>
      </c>
      <c r="AQ655" s="55">
        <v>0</v>
      </c>
      <c r="AR655" s="55">
        <v>28500</v>
      </c>
      <c r="AS655" s="78">
        <f t="shared" si="14"/>
        <v>0</v>
      </c>
    </row>
    <row r="656" spans="39:45">
      <c r="AM656" s="54">
        <v>2019</v>
      </c>
      <c r="AN656" s="54" t="s">
        <v>183</v>
      </c>
      <c r="AO656" s="54">
        <v>28</v>
      </c>
      <c r="AP656" s="54">
        <v>6</v>
      </c>
      <c r="AQ656" s="54">
        <v>0</v>
      </c>
      <c r="AR656" s="55">
        <v>28500</v>
      </c>
      <c r="AS656" s="78">
        <f t="shared" si="14"/>
        <v>0</v>
      </c>
    </row>
    <row r="657" spans="39:45">
      <c r="AM657" s="55">
        <v>2019</v>
      </c>
      <c r="AN657" s="55" t="s">
        <v>183</v>
      </c>
      <c r="AO657" s="55">
        <v>28</v>
      </c>
      <c r="AP657" s="55">
        <v>7</v>
      </c>
      <c r="AQ657" s="55">
        <v>0</v>
      </c>
      <c r="AR657" s="55">
        <v>28500</v>
      </c>
      <c r="AS657" s="78">
        <f t="shared" si="14"/>
        <v>0</v>
      </c>
    </row>
    <row r="658" spans="39:45">
      <c r="AM658" s="54">
        <v>2019</v>
      </c>
      <c r="AN658" s="54" t="s">
        <v>183</v>
      </c>
      <c r="AO658" s="54">
        <v>28</v>
      </c>
      <c r="AP658" s="54">
        <v>8</v>
      </c>
      <c r="AQ658" s="54">
        <v>102.5</v>
      </c>
      <c r="AR658" s="55">
        <v>28500</v>
      </c>
      <c r="AS658" s="78">
        <f t="shared" si="14"/>
        <v>3.5964912280701754E-3</v>
      </c>
    </row>
    <row r="659" spans="39:45">
      <c r="AM659" s="55">
        <v>2019</v>
      </c>
      <c r="AN659" s="55" t="s">
        <v>183</v>
      </c>
      <c r="AO659" s="55">
        <v>28</v>
      </c>
      <c r="AP659" s="55">
        <v>9</v>
      </c>
      <c r="AQ659" s="55">
        <v>18466.5</v>
      </c>
      <c r="AR659" s="55">
        <v>28500</v>
      </c>
      <c r="AS659" s="78">
        <f t="shared" si="14"/>
        <v>0.64794736842105261</v>
      </c>
    </row>
    <row r="660" spans="39:45">
      <c r="AM660" s="54">
        <v>2019</v>
      </c>
      <c r="AN660" s="54" t="s">
        <v>183</v>
      </c>
      <c r="AO660" s="54">
        <v>28</v>
      </c>
      <c r="AP660" s="54">
        <v>10</v>
      </c>
      <c r="AQ660" s="54">
        <v>28462</v>
      </c>
      <c r="AR660" s="55">
        <v>28500</v>
      </c>
      <c r="AS660" s="78">
        <f t="shared" si="14"/>
        <v>0.9986666666666667</v>
      </c>
    </row>
    <row r="661" spans="39:45">
      <c r="AM661" s="55">
        <v>2019</v>
      </c>
      <c r="AN661" s="55" t="s">
        <v>183</v>
      </c>
      <c r="AO661" s="55">
        <v>28</v>
      </c>
      <c r="AP661" s="55">
        <v>11</v>
      </c>
      <c r="AQ661" s="55">
        <v>32330</v>
      </c>
      <c r="AR661" s="55">
        <v>28500</v>
      </c>
      <c r="AS661" s="78">
        <f t="shared" si="14"/>
        <v>1.1343859649122807</v>
      </c>
    </row>
    <row r="662" spans="39:45">
      <c r="AM662" s="54">
        <v>2019</v>
      </c>
      <c r="AN662" s="54" t="s">
        <v>183</v>
      </c>
      <c r="AO662" s="54">
        <v>28</v>
      </c>
      <c r="AP662" s="54">
        <v>12</v>
      </c>
      <c r="AQ662" s="54">
        <v>32462</v>
      </c>
      <c r="AR662" s="55">
        <v>28500</v>
      </c>
      <c r="AS662" s="78">
        <f t="shared" si="14"/>
        <v>1.139017543859649</v>
      </c>
    </row>
    <row r="663" spans="39:45">
      <c r="AM663" s="55">
        <v>2019</v>
      </c>
      <c r="AN663" s="55" t="s">
        <v>183</v>
      </c>
      <c r="AO663" s="55">
        <v>28</v>
      </c>
      <c r="AP663" s="55">
        <v>13</v>
      </c>
      <c r="AQ663" s="55">
        <v>30881</v>
      </c>
      <c r="AR663" s="55">
        <v>28500</v>
      </c>
      <c r="AS663" s="78">
        <f t="shared" si="14"/>
        <v>1.0835438596491227</v>
      </c>
    </row>
    <row r="664" spans="39:45">
      <c r="AM664" s="54">
        <v>2019</v>
      </c>
      <c r="AN664" s="54" t="s">
        <v>183</v>
      </c>
      <c r="AO664" s="54">
        <v>28</v>
      </c>
      <c r="AP664" s="54">
        <v>14</v>
      </c>
      <c r="AQ664" s="54">
        <v>24170.5</v>
      </c>
      <c r="AR664" s="55">
        <v>28500</v>
      </c>
      <c r="AS664" s="78">
        <f t="shared" si="14"/>
        <v>0.84808771929824567</v>
      </c>
    </row>
    <row r="665" spans="39:45">
      <c r="AM665" s="55">
        <v>2019</v>
      </c>
      <c r="AN665" s="55" t="s">
        <v>183</v>
      </c>
      <c r="AO665" s="55">
        <v>28</v>
      </c>
      <c r="AP665" s="55">
        <v>15</v>
      </c>
      <c r="AQ665" s="55">
        <v>18008.5</v>
      </c>
      <c r="AR665" s="55">
        <v>28500</v>
      </c>
      <c r="AS665" s="78">
        <f t="shared" si="14"/>
        <v>0.63187719298245615</v>
      </c>
    </row>
    <row r="666" spans="39:45">
      <c r="AM666" s="54">
        <v>2019</v>
      </c>
      <c r="AN666" s="54" t="s">
        <v>183</v>
      </c>
      <c r="AO666" s="54">
        <v>28</v>
      </c>
      <c r="AP666" s="54">
        <v>16</v>
      </c>
      <c r="AQ666" s="54">
        <v>452.5</v>
      </c>
      <c r="AR666" s="55">
        <v>28500</v>
      </c>
      <c r="AS666" s="78">
        <f t="shared" si="14"/>
        <v>1.5877192982456139E-2</v>
      </c>
    </row>
    <row r="667" spans="39:45">
      <c r="AM667" s="55">
        <v>2019</v>
      </c>
      <c r="AN667" s="55" t="s">
        <v>183</v>
      </c>
      <c r="AO667" s="55">
        <v>28</v>
      </c>
      <c r="AP667" s="55">
        <v>17</v>
      </c>
      <c r="AQ667" s="55">
        <v>0</v>
      </c>
      <c r="AR667" s="55">
        <v>28500</v>
      </c>
      <c r="AS667" s="78">
        <f t="shared" si="14"/>
        <v>0</v>
      </c>
    </row>
    <row r="668" spans="39:45">
      <c r="AM668" s="54">
        <v>2019</v>
      </c>
      <c r="AN668" s="54" t="s">
        <v>183</v>
      </c>
      <c r="AO668" s="54">
        <v>28</v>
      </c>
      <c r="AP668" s="54">
        <v>18</v>
      </c>
      <c r="AQ668" s="54">
        <v>0</v>
      </c>
      <c r="AR668" s="55">
        <v>28500</v>
      </c>
      <c r="AS668" s="78">
        <f t="shared" si="14"/>
        <v>0</v>
      </c>
    </row>
    <row r="669" spans="39:45">
      <c r="AM669" s="55">
        <v>2019</v>
      </c>
      <c r="AN669" s="55" t="s">
        <v>183</v>
      </c>
      <c r="AO669" s="55">
        <v>28</v>
      </c>
      <c r="AP669" s="55">
        <v>19</v>
      </c>
      <c r="AQ669" s="55">
        <v>0</v>
      </c>
      <c r="AR669" s="55">
        <v>28500</v>
      </c>
      <c r="AS669" s="78">
        <f t="shared" si="14"/>
        <v>0</v>
      </c>
    </row>
    <row r="670" spans="39:45">
      <c r="AM670" s="54">
        <v>2019</v>
      </c>
      <c r="AN670" s="54" t="s">
        <v>183</v>
      </c>
      <c r="AO670" s="54">
        <v>28</v>
      </c>
      <c r="AP670" s="54">
        <v>20</v>
      </c>
      <c r="AQ670" s="54">
        <v>0</v>
      </c>
      <c r="AR670" s="55">
        <v>28500</v>
      </c>
      <c r="AS670" s="78">
        <f t="shared" si="14"/>
        <v>0</v>
      </c>
    </row>
    <row r="671" spans="39:45">
      <c r="AM671" s="55">
        <v>2019</v>
      </c>
      <c r="AN671" s="55" t="s">
        <v>183</v>
      </c>
      <c r="AO671" s="55">
        <v>28</v>
      </c>
      <c r="AP671" s="55">
        <v>21</v>
      </c>
      <c r="AQ671" s="55">
        <v>0</v>
      </c>
      <c r="AR671" s="55">
        <v>28500</v>
      </c>
      <c r="AS671" s="78">
        <f t="shared" si="14"/>
        <v>0</v>
      </c>
    </row>
    <row r="672" spans="39:45">
      <c r="AM672" s="54">
        <v>2019</v>
      </c>
      <c r="AN672" s="54" t="s">
        <v>183</v>
      </c>
      <c r="AO672" s="54">
        <v>28</v>
      </c>
      <c r="AP672" s="54">
        <v>22</v>
      </c>
      <c r="AQ672" s="54">
        <v>0</v>
      </c>
      <c r="AR672" s="55">
        <v>28500</v>
      </c>
      <c r="AS672" s="78">
        <f t="shared" si="14"/>
        <v>0</v>
      </c>
    </row>
    <row r="673" spans="39:45">
      <c r="AM673" s="55">
        <v>2019</v>
      </c>
      <c r="AN673" s="55" t="s">
        <v>183</v>
      </c>
      <c r="AO673" s="55">
        <v>28</v>
      </c>
      <c r="AP673" s="55">
        <v>23</v>
      </c>
      <c r="AQ673" s="55">
        <v>0</v>
      </c>
      <c r="AR673" s="55">
        <v>28500</v>
      </c>
      <c r="AS673" s="78">
        <f t="shared" si="14"/>
        <v>0</v>
      </c>
    </row>
    <row r="674" spans="39:45">
      <c r="AM674" s="54">
        <v>2019</v>
      </c>
      <c r="AN674" s="54" t="s">
        <v>183</v>
      </c>
      <c r="AO674" s="54">
        <v>29</v>
      </c>
      <c r="AP674" s="54">
        <v>24</v>
      </c>
      <c r="AQ674" s="54">
        <v>0</v>
      </c>
      <c r="AR674" s="55">
        <v>28500</v>
      </c>
      <c r="AS674" s="78">
        <f t="shared" si="14"/>
        <v>0</v>
      </c>
    </row>
    <row r="675" spans="39:45">
      <c r="AM675" s="55">
        <v>2019</v>
      </c>
      <c r="AN675" s="55" t="s">
        <v>183</v>
      </c>
      <c r="AO675" s="55">
        <v>29</v>
      </c>
      <c r="AP675" s="55">
        <v>1</v>
      </c>
      <c r="AQ675" s="55">
        <v>0</v>
      </c>
      <c r="AR675" s="55">
        <v>28500</v>
      </c>
      <c r="AS675" s="78">
        <f t="shared" si="14"/>
        <v>0</v>
      </c>
    </row>
    <row r="676" spans="39:45">
      <c r="AM676" s="54">
        <v>2019</v>
      </c>
      <c r="AN676" s="54" t="s">
        <v>183</v>
      </c>
      <c r="AO676" s="54">
        <v>29</v>
      </c>
      <c r="AP676" s="54">
        <v>2</v>
      </c>
      <c r="AQ676" s="54">
        <v>0</v>
      </c>
      <c r="AR676" s="55">
        <v>28500</v>
      </c>
      <c r="AS676" s="78">
        <f t="shared" si="14"/>
        <v>0</v>
      </c>
    </row>
    <row r="677" spans="39:45">
      <c r="AM677" s="55">
        <v>2019</v>
      </c>
      <c r="AN677" s="55" t="s">
        <v>183</v>
      </c>
      <c r="AO677" s="55">
        <v>29</v>
      </c>
      <c r="AP677" s="55">
        <v>3</v>
      </c>
      <c r="AQ677" s="55">
        <v>0</v>
      </c>
      <c r="AR677" s="55">
        <v>28500</v>
      </c>
      <c r="AS677" s="78">
        <f t="shared" si="14"/>
        <v>0</v>
      </c>
    </row>
    <row r="678" spans="39:45">
      <c r="AM678" s="54">
        <v>2019</v>
      </c>
      <c r="AN678" s="54" t="s">
        <v>183</v>
      </c>
      <c r="AO678" s="54">
        <v>29</v>
      </c>
      <c r="AP678" s="54">
        <v>4</v>
      </c>
      <c r="AQ678" s="54">
        <v>0</v>
      </c>
      <c r="AR678" s="55">
        <v>28500</v>
      </c>
      <c r="AS678" s="78">
        <f t="shared" si="14"/>
        <v>0</v>
      </c>
    </row>
    <row r="679" spans="39:45">
      <c r="AM679" s="55">
        <v>2019</v>
      </c>
      <c r="AN679" s="55" t="s">
        <v>183</v>
      </c>
      <c r="AO679" s="55">
        <v>29</v>
      </c>
      <c r="AP679" s="55">
        <v>5</v>
      </c>
      <c r="AQ679" s="55">
        <v>0</v>
      </c>
      <c r="AR679" s="55">
        <v>28500</v>
      </c>
      <c r="AS679" s="78">
        <f t="shared" si="14"/>
        <v>0</v>
      </c>
    </row>
    <row r="680" spans="39:45">
      <c r="AM680" s="54">
        <v>2019</v>
      </c>
      <c r="AN680" s="54" t="s">
        <v>183</v>
      </c>
      <c r="AO680" s="54">
        <v>29</v>
      </c>
      <c r="AP680" s="54">
        <v>6</v>
      </c>
      <c r="AQ680" s="54">
        <v>0</v>
      </c>
      <c r="AR680" s="55">
        <v>28500</v>
      </c>
      <c r="AS680" s="78">
        <f t="shared" si="14"/>
        <v>0</v>
      </c>
    </row>
    <row r="681" spans="39:45">
      <c r="AM681" s="55">
        <v>2019</v>
      </c>
      <c r="AN681" s="55" t="s">
        <v>183</v>
      </c>
      <c r="AO681" s="55">
        <v>29</v>
      </c>
      <c r="AP681" s="55">
        <v>7</v>
      </c>
      <c r="AQ681" s="55">
        <v>0</v>
      </c>
      <c r="AR681" s="55">
        <v>28500</v>
      </c>
      <c r="AS681" s="78">
        <f t="shared" si="14"/>
        <v>0</v>
      </c>
    </row>
    <row r="682" spans="39:45">
      <c r="AM682" s="54">
        <v>2019</v>
      </c>
      <c r="AN682" s="54" t="s">
        <v>183</v>
      </c>
      <c r="AO682" s="54">
        <v>29</v>
      </c>
      <c r="AP682" s="54">
        <v>8</v>
      </c>
      <c r="AQ682" s="54">
        <v>127.5</v>
      </c>
      <c r="AR682" s="55">
        <v>28500</v>
      </c>
      <c r="AS682" s="78">
        <f t="shared" si="14"/>
        <v>4.4736842105263155E-3</v>
      </c>
    </row>
    <row r="683" spans="39:45">
      <c r="AM683" s="55">
        <v>2019</v>
      </c>
      <c r="AN683" s="55" t="s">
        <v>183</v>
      </c>
      <c r="AO683" s="55">
        <v>29</v>
      </c>
      <c r="AP683" s="55">
        <v>9</v>
      </c>
      <c r="AQ683" s="55">
        <v>11278</v>
      </c>
      <c r="AR683" s="55">
        <v>28500</v>
      </c>
      <c r="AS683" s="78">
        <f t="shared" si="14"/>
        <v>0.39571929824561403</v>
      </c>
    </row>
    <row r="684" spans="39:45">
      <c r="AM684" s="54">
        <v>2019</v>
      </c>
      <c r="AN684" s="54" t="s">
        <v>183</v>
      </c>
      <c r="AO684" s="54">
        <v>29</v>
      </c>
      <c r="AP684" s="54">
        <v>10</v>
      </c>
      <c r="AQ684" s="54">
        <v>17675</v>
      </c>
      <c r="AR684" s="55">
        <v>28500</v>
      </c>
      <c r="AS684" s="78">
        <f t="shared" si="14"/>
        <v>0.62017543859649127</v>
      </c>
    </row>
    <row r="685" spans="39:45">
      <c r="AM685" s="55">
        <v>2019</v>
      </c>
      <c r="AN685" s="55" t="s">
        <v>183</v>
      </c>
      <c r="AO685" s="55">
        <v>29</v>
      </c>
      <c r="AP685" s="55">
        <v>11</v>
      </c>
      <c r="AQ685" s="55">
        <v>29598.5</v>
      </c>
      <c r="AR685" s="55">
        <v>28500</v>
      </c>
      <c r="AS685" s="78">
        <f t="shared" si="14"/>
        <v>1.0385438596491228</v>
      </c>
    </row>
    <row r="686" spans="39:45">
      <c r="AM686" s="54">
        <v>2019</v>
      </c>
      <c r="AN686" s="54" t="s">
        <v>183</v>
      </c>
      <c r="AO686" s="54">
        <v>29</v>
      </c>
      <c r="AP686" s="54">
        <v>12</v>
      </c>
      <c r="AQ686" s="54">
        <v>18529</v>
      </c>
      <c r="AR686" s="55">
        <v>28500</v>
      </c>
      <c r="AS686" s="78">
        <f t="shared" si="14"/>
        <v>0.65014035087719302</v>
      </c>
    </row>
    <row r="687" spans="39:45">
      <c r="AM687" s="55">
        <v>2019</v>
      </c>
      <c r="AN687" s="55" t="s">
        <v>183</v>
      </c>
      <c r="AO687" s="55">
        <v>29</v>
      </c>
      <c r="AP687" s="55">
        <v>13</v>
      </c>
      <c r="AQ687" s="55">
        <v>12464.5</v>
      </c>
      <c r="AR687" s="55">
        <v>28500</v>
      </c>
      <c r="AS687" s="78">
        <f t="shared" si="14"/>
        <v>0.43735087719298243</v>
      </c>
    </row>
    <row r="688" spans="39:45">
      <c r="AM688" s="54">
        <v>2019</v>
      </c>
      <c r="AN688" s="54" t="s">
        <v>183</v>
      </c>
      <c r="AO688" s="54">
        <v>29</v>
      </c>
      <c r="AP688" s="54">
        <v>14</v>
      </c>
      <c r="AQ688" s="54">
        <v>6332</v>
      </c>
      <c r="AR688" s="55">
        <v>28500</v>
      </c>
      <c r="AS688" s="78">
        <f t="shared" si="14"/>
        <v>0.22217543859649122</v>
      </c>
    </row>
    <row r="689" spans="39:45">
      <c r="AM689" s="55">
        <v>2019</v>
      </c>
      <c r="AN689" s="55" t="s">
        <v>183</v>
      </c>
      <c r="AO689" s="55">
        <v>29</v>
      </c>
      <c r="AP689" s="55">
        <v>15</v>
      </c>
      <c r="AQ689" s="55">
        <v>7252.5</v>
      </c>
      <c r="AR689" s="55">
        <v>28500</v>
      </c>
      <c r="AS689" s="78">
        <f t="shared" si="14"/>
        <v>0.2544736842105263</v>
      </c>
    </row>
    <row r="690" spans="39:45">
      <c r="AM690" s="54">
        <v>2019</v>
      </c>
      <c r="AN690" s="54" t="s">
        <v>183</v>
      </c>
      <c r="AO690" s="54">
        <v>29</v>
      </c>
      <c r="AP690" s="54">
        <v>16</v>
      </c>
      <c r="AQ690" s="54">
        <v>0</v>
      </c>
      <c r="AR690" s="55">
        <v>28500</v>
      </c>
      <c r="AS690" s="78">
        <f t="shared" si="14"/>
        <v>0</v>
      </c>
    </row>
    <row r="691" spans="39:45">
      <c r="AM691" s="55">
        <v>2019</v>
      </c>
      <c r="AN691" s="55" t="s">
        <v>183</v>
      </c>
      <c r="AO691" s="55">
        <v>29</v>
      </c>
      <c r="AP691" s="55">
        <v>17</v>
      </c>
      <c r="AQ691" s="55">
        <v>0</v>
      </c>
      <c r="AR691" s="55">
        <v>28500</v>
      </c>
      <c r="AS691" s="78">
        <f t="shared" si="14"/>
        <v>0</v>
      </c>
    </row>
    <row r="692" spans="39:45">
      <c r="AM692" s="54">
        <v>2019</v>
      </c>
      <c r="AN692" s="54" t="s">
        <v>183</v>
      </c>
      <c r="AO692" s="54">
        <v>29</v>
      </c>
      <c r="AP692" s="54">
        <v>18</v>
      </c>
      <c r="AQ692" s="54">
        <v>0</v>
      </c>
      <c r="AR692" s="55">
        <v>28500</v>
      </c>
      <c r="AS692" s="78">
        <f t="shared" si="14"/>
        <v>0</v>
      </c>
    </row>
    <row r="693" spans="39:45">
      <c r="AM693" s="55">
        <v>2019</v>
      </c>
      <c r="AN693" s="55" t="s">
        <v>183</v>
      </c>
      <c r="AO693" s="55">
        <v>29</v>
      </c>
      <c r="AP693" s="55">
        <v>19</v>
      </c>
      <c r="AQ693" s="55">
        <v>0</v>
      </c>
      <c r="AR693" s="55">
        <v>28500</v>
      </c>
      <c r="AS693" s="78">
        <f t="shared" si="14"/>
        <v>0</v>
      </c>
    </row>
    <row r="694" spans="39:45">
      <c r="AM694" s="54">
        <v>2019</v>
      </c>
      <c r="AN694" s="54" t="s">
        <v>183</v>
      </c>
      <c r="AO694" s="54">
        <v>29</v>
      </c>
      <c r="AP694" s="54">
        <v>20</v>
      </c>
      <c r="AQ694" s="54">
        <v>0</v>
      </c>
      <c r="AR694" s="55">
        <v>28500</v>
      </c>
      <c r="AS694" s="78">
        <f t="shared" si="14"/>
        <v>0</v>
      </c>
    </row>
    <row r="695" spans="39:45">
      <c r="AM695" s="55">
        <v>2019</v>
      </c>
      <c r="AN695" s="55" t="s">
        <v>183</v>
      </c>
      <c r="AO695" s="55">
        <v>29</v>
      </c>
      <c r="AP695" s="55">
        <v>21</v>
      </c>
      <c r="AQ695" s="55">
        <v>0</v>
      </c>
      <c r="AR695" s="55">
        <v>28500</v>
      </c>
      <c r="AS695" s="78">
        <f t="shared" si="14"/>
        <v>0</v>
      </c>
    </row>
    <row r="696" spans="39:45">
      <c r="AM696" s="54">
        <v>2019</v>
      </c>
      <c r="AN696" s="54" t="s">
        <v>183</v>
      </c>
      <c r="AO696" s="54">
        <v>29</v>
      </c>
      <c r="AP696" s="54">
        <v>22</v>
      </c>
      <c r="AQ696" s="54">
        <v>0</v>
      </c>
      <c r="AR696" s="55">
        <v>28500</v>
      </c>
      <c r="AS696" s="78">
        <f t="shared" si="14"/>
        <v>0</v>
      </c>
    </row>
    <row r="697" spans="39:45">
      <c r="AM697" s="55">
        <v>2019</v>
      </c>
      <c r="AN697" s="55" t="s">
        <v>183</v>
      </c>
      <c r="AO697" s="55">
        <v>29</v>
      </c>
      <c r="AP697" s="55">
        <v>23</v>
      </c>
      <c r="AQ697" s="55">
        <v>0</v>
      </c>
      <c r="AR697" s="55">
        <v>28500</v>
      </c>
      <c r="AS697" s="78">
        <f t="shared" si="14"/>
        <v>0</v>
      </c>
    </row>
    <row r="698" spans="39:45">
      <c r="AM698" s="54">
        <v>2019</v>
      </c>
      <c r="AN698" s="54" t="s">
        <v>183</v>
      </c>
      <c r="AO698" s="54">
        <v>30</v>
      </c>
      <c r="AP698" s="54">
        <v>24</v>
      </c>
      <c r="AQ698" s="54">
        <v>0</v>
      </c>
      <c r="AR698" s="55">
        <v>28500</v>
      </c>
      <c r="AS698" s="78">
        <f t="shared" si="14"/>
        <v>0</v>
      </c>
    </row>
    <row r="699" spans="39:45">
      <c r="AM699" s="55">
        <v>2019</v>
      </c>
      <c r="AN699" s="55" t="s">
        <v>183</v>
      </c>
      <c r="AO699" s="55">
        <v>30</v>
      </c>
      <c r="AP699" s="55">
        <v>1</v>
      </c>
      <c r="AQ699" s="55">
        <v>0</v>
      </c>
      <c r="AR699" s="55">
        <v>28500</v>
      </c>
      <c r="AS699" s="78">
        <f t="shared" si="14"/>
        <v>0</v>
      </c>
    </row>
    <row r="700" spans="39:45">
      <c r="AM700" s="54">
        <v>2019</v>
      </c>
      <c r="AN700" s="54" t="s">
        <v>183</v>
      </c>
      <c r="AO700" s="54">
        <v>30</v>
      </c>
      <c r="AP700" s="54">
        <v>2</v>
      </c>
      <c r="AQ700" s="54">
        <v>0</v>
      </c>
      <c r="AR700" s="55">
        <v>28500</v>
      </c>
      <c r="AS700" s="78">
        <f t="shared" si="14"/>
        <v>0</v>
      </c>
    </row>
    <row r="701" spans="39:45">
      <c r="AM701" s="55">
        <v>2019</v>
      </c>
      <c r="AN701" s="55" t="s">
        <v>183</v>
      </c>
      <c r="AO701" s="55">
        <v>30</v>
      </c>
      <c r="AP701" s="55">
        <v>3</v>
      </c>
      <c r="AQ701" s="55">
        <v>0</v>
      </c>
      <c r="AR701" s="55">
        <v>28500</v>
      </c>
      <c r="AS701" s="78">
        <f t="shared" si="14"/>
        <v>0</v>
      </c>
    </row>
    <row r="702" spans="39:45">
      <c r="AM702" s="54">
        <v>2019</v>
      </c>
      <c r="AN702" s="54" t="s">
        <v>183</v>
      </c>
      <c r="AO702" s="54">
        <v>30</v>
      </c>
      <c r="AP702" s="54">
        <v>4</v>
      </c>
      <c r="AQ702" s="54">
        <v>0</v>
      </c>
      <c r="AR702" s="55">
        <v>28500</v>
      </c>
      <c r="AS702" s="78">
        <f t="shared" si="14"/>
        <v>0</v>
      </c>
    </row>
    <row r="703" spans="39:45">
      <c r="AM703" s="55">
        <v>2019</v>
      </c>
      <c r="AN703" s="55" t="s">
        <v>183</v>
      </c>
      <c r="AO703" s="55">
        <v>30</v>
      </c>
      <c r="AP703" s="55">
        <v>5</v>
      </c>
      <c r="AQ703" s="55">
        <v>0</v>
      </c>
      <c r="AR703" s="55">
        <v>28500</v>
      </c>
      <c r="AS703" s="78">
        <f t="shared" si="14"/>
        <v>0</v>
      </c>
    </row>
    <row r="704" spans="39:45">
      <c r="AM704" s="54">
        <v>2019</v>
      </c>
      <c r="AN704" s="54" t="s">
        <v>183</v>
      </c>
      <c r="AO704" s="54">
        <v>30</v>
      </c>
      <c r="AP704" s="54">
        <v>6</v>
      </c>
      <c r="AQ704" s="54">
        <v>0</v>
      </c>
      <c r="AR704" s="55">
        <v>28500</v>
      </c>
      <c r="AS704" s="78">
        <f t="shared" si="14"/>
        <v>0</v>
      </c>
    </row>
    <row r="705" spans="39:45">
      <c r="AM705" s="55">
        <v>2019</v>
      </c>
      <c r="AN705" s="55" t="s">
        <v>183</v>
      </c>
      <c r="AO705" s="55">
        <v>30</v>
      </c>
      <c r="AP705" s="55">
        <v>7</v>
      </c>
      <c r="AQ705" s="55">
        <v>0</v>
      </c>
      <c r="AR705" s="55">
        <v>28500</v>
      </c>
      <c r="AS705" s="78">
        <f t="shared" si="14"/>
        <v>0</v>
      </c>
    </row>
    <row r="706" spans="39:45">
      <c r="AM706" s="54">
        <v>2019</v>
      </c>
      <c r="AN706" s="54" t="s">
        <v>183</v>
      </c>
      <c r="AO706" s="54">
        <v>30</v>
      </c>
      <c r="AP706" s="54">
        <v>8</v>
      </c>
      <c r="AQ706" s="54">
        <v>735.5</v>
      </c>
      <c r="AR706" s="55">
        <v>28500</v>
      </c>
      <c r="AS706" s="78">
        <f t="shared" ref="AS706:AS769" si="15">AQ706/AR706</f>
        <v>2.580701754385965E-2</v>
      </c>
    </row>
    <row r="707" spans="39:45">
      <c r="AM707" s="55">
        <v>2019</v>
      </c>
      <c r="AN707" s="55" t="s">
        <v>183</v>
      </c>
      <c r="AO707" s="55">
        <v>30</v>
      </c>
      <c r="AP707" s="55">
        <v>9</v>
      </c>
      <c r="AQ707" s="55">
        <v>17361</v>
      </c>
      <c r="AR707" s="55">
        <v>28500</v>
      </c>
      <c r="AS707" s="78">
        <f t="shared" si="15"/>
        <v>0.60915789473684212</v>
      </c>
    </row>
    <row r="708" spans="39:45">
      <c r="AM708" s="54">
        <v>2019</v>
      </c>
      <c r="AN708" s="54" t="s">
        <v>183</v>
      </c>
      <c r="AO708" s="54">
        <v>30</v>
      </c>
      <c r="AP708" s="54">
        <v>10</v>
      </c>
      <c r="AQ708" s="54">
        <v>23725.5</v>
      </c>
      <c r="AR708" s="55">
        <v>28500</v>
      </c>
      <c r="AS708" s="78">
        <f t="shared" si="15"/>
        <v>0.83247368421052637</v>
      </c>
    </row>
    <row r="709" spans="39:45">
      <c r="AM709" s="55">
        <v>2019</v>
      </c>
      <c r="AN709" s="55" t="s">
        <v>183</v>
      </c>
      <c r="AO709" s="55">
        <v>30</v>
      </c>
      <c r="AP709" s="55">
        <v>11</v>
      </c>
      <c r="AQ709" s="55">
        <v>30221.5</v>
      </c>
      <c r="AR709" s="55">
        <v>28500</v>
      </c>
      <c r="AS709" s="78">
        <f t="shared" si="15"/>
        <v>1.0604035087719299</v>
      </c>
    </row>
    <row r="710" spans="39:45">
      <c r="AM710" s="54">
        <v>2019</v>
      </c>
      <c r="AN710" s="54" t="s">
        <v>183</v>
      </c>
      <c r="AO710" s="54">
        <v>30</v>
      </c>
      <c r="AP710" s="54">
        <v>12</v>
      </c>
      <c r="AQ710" s="54">
        <v>32360</v>
      </c>
      <c r="AR710" s="55">
        <v>28500</v>
      </c>
      <c r="AS710" s="78">
        <f t="shared" si="15"/>
        <v>1.1354385964912281</v>
      </c>
    </row>
    <row r="711" spans="39:45">
      <c r="AM711" s="55">
        <v>2019</v>
      </c>
      <c r="AN711" s="55" t="s">
        <v>183</v>
      </c>
      <c r="AO711" s="55">
        <v>30</v>
      </c>
      <c r="AP711" s="55">
        <v>13</v>
      </c>
      <c r="AQ711" s="55">
        <v>30768.5</v>
      </c>
      <c r="AR711" s="55">
        <v>28500</v>
      </c>
      <c r="AS711" s="78">
        <f t="shared" si="15"/>
        <v>1.0795964912280702</v>
      </c>
    </row>
    <row r="712" spans="39:45">
      <c r="AM712" s="54">
        <v>2019</v>
      </c>
      <c r="AN712" s="54" t="s">
        <v>183</v>
      </c>
      <c r="AO712" s="54">
        <v>30</v>
      </c>
      <c r="AP712" s="54">
        <v>14</v>
      </c>
      <c r="AQ712" s="54">
        <v>18472</v>
      </c>
      <c r="AR712" s="55">
        <v>28500</v>
      </c>
      <c r="AS712" s="78">
        <f t="shared" si="15"/>
        <v>0.64814035087719302</v>
      </c>
    </row>
    <row r="713" spans="39:45">
      <c r="AM713" s="55">
        <v>2019</v>
      </c>
      <c r="AN713" s="55" t="s">
        <v>183</v>
      </c>
      <c r="AO713" s="55">
        <v>30</v>
      </c>
      <c r="AP713" s="55">
        <v>15</v>
      </c>
      <c r="AQ713" s="55">
        <v>18959</v>
      </c>
      <c r="AR713" s="55">
        <v>28500</v>
      </c>
      <c r="AS713" s="78">
        <f t="shared" si="15"/>
        <v>0.66522807017543861</v>
      </c>
    </row>
    <row r="714" spans="39:45">
      <c r="AM714" s="54">
        <v>2019</v>
      </c>
      <c r="AN714" s="54" t="s">
        <v>183</v>
      </c>
      <c r="AO714" s="54">
        <v>30</v>
      </c>
      <c r="AP714" s="54">
        <v>16</v>
      </c>
      <c r="AQ714" s="54">
        <v>0</v>
      </c>
      <c r="AR714" s="55">
        <v>28500</v>
      </c>
      <c r="AS714" s="78">
        <f t="shared" si="15"/>
        <v>0</v>
      </c>
    </row>
    <row r="715" spans="39:45">
      <c r="AM715" s="55">
        <v>2019</v>
      </c>
      <c r="AN715" s="55" t="s">
        <v>183</v>
      </c>
      <c r="AO715" s="55">
        <v>30</v>
      </c>
      <c r="AP715" s="55">
        <v>17</v>
      </c>
      <c r="AQ715" s="55">
        <v>0</v>
      </c>
      <c r="AR715" s="55">
        <v>28500</v>
      </c>
      <c r="AS715" s="78">
        <f t="shared" si="15"/>
        <v>0</v>
      </c>
    </row>
    <row r="716" spans="39:45">
      <c r="AM716" s="54">
        <v>2019</v>
      </c>
      <c r="AN716" s="54" t="s">
        <v>183</v>
      </c>
      <c r="AO716" s="54">
        <v>30</v>
      </c>
      <c r="AP716" s="54">
        <v>18</v>
      </c>
      <c r="AQ716" s="54">
        <v>0</v>
      </c>
      <c r="AR716" s="55">
        <v>28500</v>
      </c>
      <c r="AS716" s="78">
        <f t="shared" si="15"/>
        <v>0</v>
      </c>
    </row>
    <row r="717" spans="39:45">
      <c r="AM717" s="55">
        <v>2019</v>
      </c>
      <c r="AN717" s="55" t="s">
        <v>183</v>
      </c>
      <c r="AO717" s="55">
        <v>30</v>
      </c>
      <c r="AP717" s="55">
        <v>19</v>
      </c>
      <c r="AQ717" s="55">
        <v>0</v>
      </c>
      <c r="AR717" s="55">
        <v>28500</v>
      </c>
      <c r="AS717" s="78">
        <f t="shared" si="15"/>
        <v>0</v>
      </c>
    </row>
    <row r="718" spans="39:45">
      <c r="AM718" s="54">
        <v>2019</v>
      </c>
      <c r="AN718" s="54" t="s">
        <v>183</v>
      </c>
      <c r="AO718" s="54">
        <v>30</v>
      </c>
      <c r="AP718" s="54">
        <v>20</v>
      </c>
      <c r="AQ718" s="54">
        <v>0</v>
      </c>
      <c r="AR718" s="55">
        <v>28500</v>
      </c>
      <c r="AS718" s="78">
        <f t="shared" si="15"/>
        <v>0</v>
      </c>
    </row>
    <row r="719" spans="39:45">
      <c r="AM719" s="55">
        <v>2019</v>
      </c>
      <c r="AN719" s="55" t="s">
        <v>183</v>
      </c>
      <c r="AO719" s="55">
        <v>30</v>
      </c>
      <c r="AP719" s="55">
        <v>21</v>
      </c>
      <c r="AQ719" s="55">
        <v>0</v>
      </c>
      <c r="AR719" s="55">
        <v>28500</v>
      </c>
      <c r="AS719" s="78">
        <f t="shared" si="15"/>
        <v>0</v>
      </c>
    </row>
    <row r="720" spans="39:45">
      <c r="AM720" s="54">
        <v>2019</v>
      </c>
      <c r="AN720" s="54" t="s">
        <v>183</v>
      </c>
      <c r="AO720" s="54">
        <v>30</v>
      </c>
      <c r="AP720" s="54">
        <v>22</v>
      </c>
      <c r="AQ720" s="54">
        <v>0</v>
      </c>
      <c r="AR720" s="55">
        <v>28500</v>
      </c>
      <c r="AS720" s="78">
        <f t="shared" si="15"/>
        <v>0</v>
      </c>
    </row>
    <row r="721" spans="39:45">
      <c r="AM721" s="55">
        <v>2019</v>
      </c>
      <c r="AN721" s="55" t="s">
        <v>183</v>
      </c>
      <c r="AO721" s="55">
        <v>30</v>
      </c>
      <c r="AP721" s="55">
        <v>23</v>
      </c>
      <c r="AQ721" s="55">
        <v>0</v>
      </c>
      <c r="AR721" s="55">
        <v>28500</v>
      </c>
      <c r="AS721" s="78">
        <f t="shared" si="15"/>
        <v>0</v>
      </c>
    </row>
    <row r="722" spans="39:45">
      <c r="AM722" s="54">
        <v>2019</v>
      </c>
      <c r="AN722" s="54" t="s">
        <v>183</v>
      </c>
      <c r="AO722" s="54">
        <v>31</v>
      </c>
      <c r="AP722" s="54">
        <v>24</v>
      </c>
      <c r="AQ722" s="54">
        <v>0</v>
      </c>
      <c r="AR722" s="55">
        <v>28500</v>
      </c>
      <c r="AS722" s="78">
        <f t="shared" si="15"/>
        <v>0</v>
      </c>
    </row>
    <row r="723" spans="39:45">
      <c r="AM723" s="55">
        <v>2019</v>
      </c>
      <c r="AN723" s="55" t="s">
        <v>183</v>
      </c>
      <c r="AO723" s="55">
        <v>31</v>
      </c>
      <c r="AP723" s="55">
        <v>1</v>
      </c>
      <c r="AQ723" s="55">
        <v>0</v>
      </c>
      <c r="AR723" s="55">
        <v>28500</v>
      </c>
      <c r="AS723" s="78">
        <f t="shared" si="15"/>
        <v>0</v>
      </c>
    </row>
    <row r="724" spans="39:45">
      <c r="AM724" s="54">
        <v>2019</v>
      </c>
      <c r="AN724" s="54" t="s">
        <v>183</v>
      </c>
      <c r="AO724" s="54">
        <v>31</v>
      </c>
      <c r="AP724" s="54">
        <v>2</v>
      </c>
      <c r="AQ724" s="54">
        <v>0</v>
      </c>
      <c r="AR724" s="55">
        <v>28500</v>
      </c>
      <c r="AS724" s="78">
        <f t="shared" si="15"/>
        <v>0</v>
      </c>
    </row>
    <row r="725" spans="39:45">
      <c r="AM725" s="55">
        <v>2019</v>
      </c>
      <c r="AN725" s="55" t="s">
        <v>183</v>
      </c>
      <c r="AO725" s="55">
        <v>31</v>
      </c>
      <c r="AP725" s="55">
        <v>3</v>
      </c>
      <c r="AQ725" s="55">
        <v>0</v>
      </c>
      <c r="AR725" s="55">
        <v>28500</v>
      </c>
      <c r="AS725" s="78">
        <f t="shared" si="15"/>
        <v>0</v>
      </c>
    </row>
    <row r="726" spans="39:45">
      <c r="AM726" s="54">
        <v>2019</v>
      </c>
      <c r="AN726" s="54" t="s">
        <v>183</v>
      </c>
      <c r="AO726" s="54">
        <v>31</v>
      </c>
      <c r="AP726" s="54">
        <v>4</v>
      </c>
      <c r="AQ726" s="54">
        <v>0</v>
      </c>
      <c r="AR726" s="55">
        <v>28500</v>
      </c>
      <c r="AS726" s="78">
        <f t="shared" si="15"/>
        <v>0</v>
      </c>
    </row>
    <row r="727" spans="39:45">
      <c r="AM727" s="55">
        <v>2019</v>
      </c>
      <c r="AN727" s="55" t="s">
        <v>183</v>
      </c>
      <c r="AO727" s="55">
        <v>31</v>
      </c>
      <c r="AP727" s="55">
        <v>5</v>
      </c>
      <c r="AQ727" s="55">
        <v>0</v>
      </c>
      <c r="AR727" s="55">
        <v>28500</v>
      </c>
      <c r="AS727" s="78">
        <f t="shared" si="15"/>
        <v>0</v>
      </c>
    </row>
    <row r="728" spans="39:45">
      <c r="AM728" s="54">
        <v>2019</v>
      </c>
      <c r="AN728" s="54" t="s">
        <v>183</v>
      </c>
      <c r="AO728" s="54">
        <v>31</v>
      </c>
      <c r="AP728" s="54">
        <v>6</v>
      </c>
      <c r="AQ728" s="54">
        <v>0</v>
      </c>
      <c r="AR728" s="55">
        <v>28500</v>
      </c>
      <c r="AS728" s="78">
        <f t="shared" si="15"/>
        <v>0</v>
      </c>
    </row>
    <row r="729" spans="39:45">
      <c r="AM729" s="55">
        <v>2019</v>
      </c>
      <c r="AN729" s="55" t="s">
        <v>183</v>
      </c>
      <c r="AO729" s="55">
        <v>31</v>
      </c>
      <c r="AP729" s="55">
        <v>7</v>
      </c>
      <c r="AQ729" s="55">
        <v>0</v>
      </c>
      <c r="AR729" s="55">
        <v>28500</v>
      </c>
      <c r="AS729" s="78">
        <f t="shared" si="15"/>
        <v>0</v>
      </c>
    </row>
    <row r="730" spans="39:45">
      <c r="AM730" s="54">
        <v>2019</v>
      </c>
      <c r="AN730" s="54" t="s">
        <v>183</v>
      </c>
      <c r="AO730" s="54">
        <v>31</v>
      </c>
      <c r="AP730" s="54">
        <v>8</v>
      </c>
      <c r="AQ730" s="54">
        <v>447</v>
      </c>
      <c r="AR730" s="55">
        <v>28500</v>
      </c>
      <c r="AS730" s="78">
        <f t="shared" si="15"/>
        <v>1.568421052631579E-2</v>
      </c>
    </row>
    <row r="731" spans="39:45">
      <c r="AM731" s="55">
        <v>2019</v>
      </c>
      <c r="AN731" s="55" t="s">
        <v>183</v>
      </c>
      <c r="AO731" s="55">
        <v>31</v>
      </c>
      <c r="AP731" s="55">
        <v>9</v>
      </c>
      <c r="AQ731" s="55">
        <v>13763</v>
      </c>
      <c r="AR731" s="55">
        <v>28500</v>
      </c>
      <c r="AS731" s="78">
        <f t="shared" si="15"/>
        <v>0.4829122807017544</v>
      </c>
    </row>
    <row r="732" spans="39:45">
      <c r="AM732" s="54">
        <v>2019</v>
      </c>
      <c r="AN732" s="54" t="s">
        <v>183</v>
      </c>
      <c r="AO732" s="54">
        <v>31</v>
      </c>
      <c r="AP732" s="54">
        <v>10</v>
      </c>
      <c r="AQ732" s="54">
        <v>23547</v>
      </c>
      <c r="AR732" s="55">
        <v>28500</v>
      </c>
      <c r="AS732" s="78">
        <f t="shared" si="15"/>
        <v>0.82621052631578951</v>
      </c>
    </row>
    <row r="733" spans="39:45">
      <c r="AM733" s="55">
        <v>2019</v>
      </c>
      <c r="AN733" s="55" t="s">
        <v>183</v>
      </c>
      <c r="AO733" s="55">
        <v>31</v>
      </c>
      <c r="AP733" s="55">
        <v>11</v>
      </c>
      <c r="AQ733" s="55">
        <v>29938</v>
      </c>
      <c r="AR733" s="55">
        <v>28500</v>
      </c>
      <c r="AS733" s="78">
        <f t="shared" si="15"/>
        <v>1.0504561403508772</v>
      </c>
    </row>
    <row r="734" spans="39:45">
      <c r="AM734" s="54">
        <v>2019</v>
      </c>
      <c r="AN734" s="54" t="s">
        <v>183</v>
      </c>
      <c r="AO734" s="54">
        <v>31</v>
      </c>
      <c r="AP734" s="54">
        <v>12</v>
      </c>
      <c r="AQ734" s="54">
        <v>5942.5</v>
      </c>
      <c r="AR734" s="55">
        <v>28500</v>
      </c>
      <c r="AS734" s="78">
        <f t="shared" si="15"/>
        <v>0.20850877192982456</v>
      </c>
    </row>
    <row r="735" spans="39:45">
      <c r="AM735" s="55">
        <v>2019</v>
      </c>
      <c r="AN735" s="55" t="s">
        <v>183</v>
      </c>
      <c r="AO735" s="55">
        <v>31</v>
      </c>
      <c r="AP735" s="55">
        <v>13</v>
      </c>
      <c r="AQ735" s="55">
        <v>18784</v>
      </c>
      <c r="AR735" s="55">
        <v>28500</v>
      </c>
      <c r="AS735" s="78">
        <f t="shared" si="15"/>
        <v>0.65908771929824561</v>
      </c>
    </row>
    <row r="736" spans="39:45">
      <c r="AM736" s="54">
        <v>2019</v>
      </c>
      <c r="AN736" s="54" t="s">
        <v>183</v>
      </c>
      <c r="AO736" s="54">
        <v>31</v>
      </c>
      <c r="AP736" s="54">
        <v>14</v>
      </c>
      <c r="AQ736" s="54">
        <v>10062</v>
      </c>
      <c r="AR736" s="55">
        <v>28500</v>
      </c>
      <c r="AS736" s="78">
        <f t="shared" si="15"/>
        <v>0.3530526315789474</v>
      </c>
    </row>
    <row r="737" spans="39:45">
      <c r="AM737" s="55">
        <v>2019</v>
      </c>
      <c r="AN737" s="55" t="s">
        <v>183</v>
      </c>
      <c r="AO737" s="55">
        <v>31</v>
      </c>
      <c r="AP737" s="55">
        <v>15</v>
      </c>
      <c r="AQ737" s="55">
        <v>5015</v>
      </c>
      <c r="AR737" s="55">
        <v>28500</v>
      </c>
      <c r="AS737" s="78">
        <f t="shared" si="15"/>
        <v>0.17596491228070174</v>
      </c>
    </row>
    <row r="738" spans="39:45">
      <c r="AM738" s="54">
        <v>2019</v>
      </c>
      <c r="AN738" s="54" t="s">
        <v>183</v>
      </c>
      <c r="AO738" s="54">
        <v>31</v>
      </c>
      <c r="AP738" s="54">
        <v>16</v>
      </c>
      <c r="AQ738" s="54">
        <v>101.5</v>
      </c>
      <c r="AR738" s="55">
        <v>28500</v>
      </c>
      <c r="AS738" s="78">
        <f t="shared" si="15"/>
        <v>3.5614035087719298E-3</v>
      </c>
    </row>
    <row r="739" spans="39:45">
      <c r="AM739" s="55">
        <v>2019</v>
      </c>
      <c r="AN739" s="55" t="s">
        <v>183</v>
      </c>
      <c r="AO739" s="55">
        <v>31</v>
      </c>
      <c r="AP739" s="55">
        <v>17</v>
      </c>
      <c r="AQ739" s="55">
        <v>0</v>
      </c>
      <c r="AR739" s="55">
        <v>28500</v>
      </c>
      <c r="AS739" s="78">
        <f t="shared" si="15"/>
        <v>0</v>
      </c>
    </row>
    <row r="740" spans="39:45">
      <c r="AM740" s="54">
        <v>2019</v>
      </c>
      <c r="AN740" s="54" t="s">
        <v>183</v>
      </c>
      <c r="AO740" s="54">
        <v>31</v>
      </c>
      <c r="AP740" s="54">
        <v>18</v>
      </c>
      <c r="AQ740" s="54">
        <v>0</v>
      </c>
      <c r="AR740" s="55">
        <v>28500</v>
      </c>
      <c r="AS740" s="78">
        <f t="shared" si="15"/>
        <v>0</v>
      </c>
    </row>
    <row r="741" spans="39:45">
      <c r="AM741" s="55">
        <v>2019</v>
      </c>
      <c r="AN741" s="55" t="s">
        <v>183</v>
      </c>
      <c r="AO741" s="55">
        <v>31</v>
      </c>
      <c r="AP741" s="55">
        <v>19</v>
      </c>
      <c r="AQ741" s="55">
        <v>0</v>
      </c>
      <c r="AR741" s="55">
        <v>28500</v>
      </c>
      <c r="AS741" s="78">
        <f t="shared" si="15"/>
        <v>0</v>
      </c>
    </row>
    <row r="742" spans="39:45">
      <c r="AM742" s="54">
        <v>2019</v>
      </c>
      <c r="AN742" s="54" t="s">
        <v>183</v>
      </c>
      <c r="AO742" s="54">
        <v>31</v>
      </c>
      <c r="AP742" s="54">
        <v>20</v>
      </c>
      <c r="AQ742" s="54">
        <v>0</v>
      </c>
      <c r="AR742" s="55">
        <v>28500</v>
      </c>
      <c r="AS742" s="78">
        <f t="shared" si="15"/>
        <v>0</v>
      </c>
    </row>
    <row r="743" spans="39:45">
      <c r="AM743" s="55">
        <v>2019</v>
      </c>
      <c r="AN743" s="55" t="s">
        <v>183</v>
      </c>
      <c r="AO743" s="55">
        <v>31</v>
      </c>
      <c r="AP743" s="55">
        <v>21</v>
      </c>
      <c r="AQ743" s="55">
        <v>0</v>
      </c>
      <c r="AR743" s="55">
        <v>28500</v>
      </c>
      <c r="AS743" s="78">
        <f t="shared" si="15"/>
        <v>0</v>
      </c>
    </row>
    <row r="744" spans="39:45">
      <c r="AM744" s="54">
        <v>2019</v>
      </c>
      <c r="AN744" s="54" t="s">
        <v>183</v>
      </c>
      <c r="AO744" s="54">
        <v>31</v>
      </c>
      <c r="AP744" s="54">
        <v>22</v>
      </c>
      <c r="AQ744" s="54">
        <v>0</v>
      </c>
      <c r="AR744" s="55">
        <v>28500</v>
      </c>
      <c r="AS744" s="78">
        <f t="shared" si="15"/>
        <v>0</v>
      </c>
    </row>
    <row r="745" spans="39:45">
      <c r="AM745" s="55">
        <v>2019</v>
      </c>
      <c r="AN745" s="55" t="s">
        <v>183</v>
      </c>
      <c r="AO745" s="55">
        <v>31</v>
      </c>
      <c r="AP745" s="55">
        <v>23</v>
      </c>
      <c r="AQ745" s="55">
        <v>0</v>
      </c>
      <c r="AR745" s="55">
        <v>28500</v>
      </c>
      <c r="AS745" s="78">
        <f t="shared" si="15"/>
        <v>0</v>
      </c>
    </row>
    <row r="746" spans="39:45">
      <c r="AM746" s="54">
        <v>2019</v>
      </c>
      <c r="AN746" s="54" t="s">
        <v>184</v>
      </c>
      <c r="AO746" s="54">
        <v>1</v>
      </c>
      <c r="AP746" s="54">
        <v>24</v>
      </c>
      <c r="AQ746" s="54">
        <v>0</v>
      </c>
      <c r="AR746" s="55">
        <v>28500</v>
      </c>
      <c r="AS746" s="78">
        <f t="shared" si="15"/>
        <v>0</v>
      </c>
    </row>
    <row r="747" spans="39:45">
      <c r="AM747" s="55">
        <v>2019</v>
      </c>
      <c r="AN747" s="55" t="s">
        <v>184</v>
      </c>
      <c r="AO747" s="55">
        <v>1</v>
      </c>
      <c r="AP747" s="55">
        <v>1</v>
      </c>
      <c r="AQ747" s="55">
        <v>0</v>
      </c>
      <c r="AR747" s="55">
        <v>28500</v>
      </c>
      <c r="AS747" s="78">
        <f t="shared" si="15"/>
        <v>0</v>
      </c>
    </row>
    <row r="748" spans="39:45">
      <c r="AM748" s="54">
        <v>2019</v>
      </c>
      <c r="AN748" s="54" t="s">
        <v>184</v>
      </c>
      <c r="AO748" s="54">
        <v>1</v>
      </c>
      <c r="AP748" s="54">
        <v>2</v>
      </c>
      <c r="AQ748" s="54">
        <v>0</v>
      </c>
      <c r="AR748" s="55">
        <v>28500</v>
      </c>
      <c r="AS748" s="78">
        <f t="shared" si="15"/>
        <v>0</v>
      </c>
    </row>
    <row r="749" spans="39:45">
      <c r="AM749" s="55">
        <v>2019</v>
      </c>
      <c r="AN749" s="55" t="s">
        <v>184</v>
      </c>
      <c r="AO749" s="55">
        <v>1</v>
      </c>
      <c r="AP749" s="55">
        <v>3</v>
      </c>
      <c r="AQ749" s="55">
        <v>0</v>
      </c>
      <c r="AR749" s="55">
        <v>28500</v>
      </c>
      <c r="AS749" s="78">
        <f t="shared" si="15"/>
        <v>0</v>
      </c>
    </row>
    <row r="750" spans="39:45">
      <c r="AM750" s="54">
        <v>2019</v>
      </c>
      <c r="AN750" s="54" t="s">
        <v>184</v>
      </c>
      <c r="AO750" s="54">
        <v>1</v>
      </c>
      <c r="AP750" s="54">
        <v>4</v>
      </c>
      <c r="AQ750" s="54">
        <v>0</v>
      </c>
      <c r="AR750" s="55">
        <v>28500</v>
      </c>
      <c r="AS750" s="78">
        <f t="shared" si="15"/>
        <v>0</v>
      </c>
    </row>
    <row r="751" spans="39:45">
      <c r="AM751" s="55">
        <v>2019</v>
      </c>
      <c r="AN751" s="55" t="s">
        <v>184</v>
      </c>
      <c r="AO751" s="55">
        <v>1</v>
      </c>
      <c r="AP751" s="55">
        <v>5</v>
      </c>
      <c r="AQ751" s="55">
        <v>0</v>
      </c>
      <c r="AR751" s="55">
        <v>28500</v>
      </c>
      <c r="AS751" s="78">
        <f t="shared" si="15"/>
        <v>0</v>
      </c>
    </row>
    <row r="752" spans="39:45">
      <c r="AM752" s="54">
        <v>2019</v>
      </c>
      <c r="AN752" s="54" t="s">
        <v>184</v>
      </c>
      <c r="AO752" s="54">
        <v>1</v>
      </c>
      <c r="AP752" s="54">
        <v>6</v>
      </c>
      <c r="AQ752" s="54">
        <v>0</v>
      </c>
      <c r="AR752" s="55">
        <v>28500</v>
      </c>
      <c r="AS752" s="78">
        <f t="shared" si="15"/>
        <v>0</v>
      </c>
    </row>
    <row r="753" spans="39:45">
      <c r="AM753" s="55">
        <v>2019</v>
      </c>
      <c r="AN753" s="55" t="s">
        <v>184</v>
      </c>
      <c r="AO753" s="55">
        <v>1</v>
      </c>
      <c r="AP753" s="55">
        <v>7</v>
      </c>
      <c r="AQ753" s="55">
        <v>0</v>
      </c>
      <c r="AR753" s="55">
        <v>28500</v>
      </c>
      <c r="AS753" s="78">
        <f t="shared" si="15"/>
        <v>0</v>
      </c>
    </row>
    <row r="754" spans="39:45">
      <c r="AM754" s="54">
        <v>2019</v>
      </c>
      <c r="AN754" s="54" t="s">
        <v>184</v>
      </c>
      <c r="AO754" s="54">
        <v>1</v>
      </c>
      <c r="AP754" s="54">
        <v>8</v>
      </c>
      <c r="AQ754" s="54">
        <v>0</v>
      </c>
      <c r="AR754" s="55">
        <v>28500</v>
      </c>
      <c r="AS754" s="78">
        <f t="shared" si="15"/>
        <v>0</v>
      </c>
    </row>
    <row r="755" spans="39:45">
      <c r="AM755" s="55">
        <v>2019</v>
      </c>
      <c r="AN755" s="55" t="s">
        <v>184</v>
      </c>
      <c r="AO755" s="55">
        <v>1</v>
      </c>
      <c r="AP755" s="55">
        <v>9</v>
      </c>
      <c r="AQ755" s="55">
        <v>668</v>
      </c>
      <c r="AR755" s="55">
        <v>28500</v>
      </c>
      <c r="AS755" s="78">
        <f t="shared" si="15"/>
        <v>2.3438596491228071E-2</v>
      </c>
    </row>
    <row r="756" spans="39:45">
      <c r="AM756" s="54">
        <v>2019</v>
      </c>
      <c r="AN756" s="54" t="s">
        <v>184</v>
      </c>
      <c r="AO756" s="54">
        <v>1</v>
      </c>
      <c r="AP756" s="54">
        <v>10</v>
      </c>
      <c r="AQ756" s="54">
        <v>975.5</v>
      </c>
      <c r="AR756" s="55">
        <v>28500</v>
      </c>
      <c r="AS756" s="78">
        <f t="shared" si="15"/>
        <v>3.4228070175438594E-2</v>
      </c>
    </row>
    <row r="757" spans="39:45">
      <c r="AM757" s="55">
        <v>2019</v>
      </c>
      <c r="AN757" s="55" t="s">
        <v>184</v>
      </c>
      <c r="AO757" s="55">
        <v>1</v>
      </c>
      <c r="AP757" s="55">
        <v>11</v>
      </c>
      <c r="AQ757" s="55">
        <v>1479</v>
      </c>
      <c r="AR757" s="55">
        <v>28500</v>
      </c>
      <c r="AS757" s="78">
        <f t="shared" si="15"/>
        <v>5.1894736842105264E-2</v>
      </c>
    </row>
    <row r="758" spans="39:45">
      <c r="AM758" s="54">
        <v>2019</v>
      </c>
      <c r="AN758" s="54" t="s">
        <v>184</v>
      </c>
      <c r="AO758" s="54">
        <v>1</v>
      </c>
      <c r="AP758" s="54">
        <v>12</v>
      </c>
      <c r="AQ758" s="54">
        <v>1664.5</v>
      </c>
      <c r="AR758" s="55">
        <v>28500</v>
      </c>
      <c r="AS758" s="78">
        <f t="shared" si="15"/>
        <v>5.8403508771929825E-2</v>
      </c>
    </row>
    <row r="759" spans="39:45">
      <c r="AM759" s="55">
        <v>2019</v>
      </c>
      <c r="AN759" s="55" t="s">
        <v>184</v>
      </c>
      <c r="AO759" s="55">
        <v>1</v>
      </c>
      <c r="AP759" s="55">
        <v>13</v>
      </c>
      <c r="AQ759" s="55">
        <v>1775</v>
      </c>
      <c r="AR759" s="55">
        <v>28500</v>
      </c>
      <c r="AS759" s="78">
        <f t="shared" si="15"/>
        <v>6.2280701754385964E-2</v>
      </c>
    </row>
    <row r="760" spans="39:45">
      <c r="AM760" s="54">
        <v>2019</v>
      </c>
      <c r="AN760" s="54" t="s">
        <v>184</v>
      </c>
      <c r="AO760" s="54">
        <v>1</v>
      </c>
      <c r="AP760" s="54">
        <v>14</v>
      </c>
      <c r="AQ760" s="54">
        <v>1041</v>
      </c>
      <c r="AR760" s="55">
        <v>28500</v>
      </c>
      <c r="AS760" s="78">
        <f t="shared" si="15"/>
        <v>3.6526315789473685E-2</v>
      </c>
    </row>
    <row r="761" spans="39:45">
      <c r="AM761" s="55">
        <v>2019</v>
      </c>
      <c r="AN761" s="55" t="s">
        <v>184</v>
      </c>
      <c r="AO761" s="55">
        <v>1</v>
      </c>
      <c r="AP761" s="55">
        <v>15</v>
      </c>
      <c r="AQ761" s="55">
        <v>5940.5</v>
      </c>
      <c r="AR761" s="55">
        <v>28500</v>
      </c>
      <c r="AS761" s="78">
        <f t="shared" si="15"/>
        <v>0.20843859649122806</v>
      </c>
    </row>
    <row r="762" spans="39:45">
      <c r="AM762" s="54">
        <v>2019</v>
      </c>
      <c r="AN762" s="54" t="s">
        <v>184</v>
      </c>
      <c r="AO762" s="54">
        <v>1</v>
      </c>
      <c r="AP762" s="54">
        <v>16</v>
      </c>
      <c r="AQ762" s="54">
        <v>78</v>
      </c>
      <c r="AR762" s="55">
        <v>28500</v>
      </c>
      <c r="AS762" s="78">
        <f t="shared" si="15"/>
        <v>2.7368421052631577E-3</v>
      </c>
    </row>
    <row r="763" spans="39:45">
      <c r="AM763" s="55">
        <v>2019</v>
      </c>
      <c r="AN763" s="55" t="s">
        <v>184</v>
      </c>
      <c r="AO763" s="55">
        <v>1</v>
      </c>
      <c r="AP763" s="55">
        <v>17</v>
      </c>
      <c r="AQ763" s="55">
        <v>0</v>
      </c>
      <c r="AR763" s="55">
        <v>28500</v>
      </c>
      <c r="AS763" s="78">
        <f t="shared" si="15"/>
        <v>0</v>
      </c>
    </row>
    <row r="764" spans="39:45">
      <c r="AM764" s="54">
        <v>2019</v>
      </c>
      <c r="AN764" s="54" t="s">
        <v>184</v>
      </c>
      <c r="AO764" s="54">
        <v>1</v>
      </c>
      <c r="AP764" s="54">
        <v>18</v>
      </c>
      <c r="AQ764" s="54">
        <v>0</v>
      </c>
      <c r="AR764" s="55">
        <v>28500</v>
      </c>
      <c r="AS764" s="78">
        <f t="shared" si="15"/>
        <v>0</v>
      </c>
    </row>
    <row r="765" spans="39:45">
      <c r="AM765" s="55">
        <v>2019</v>
      </c>
      <c r="AN765" s="55" t="s">
        <v>184</v>
      </c>
      <c r="AO765" s="55">
        <v>1</v>
      </c>
      <c r="AP765" s="55">
        <v>19</v>
      </c>
      <c r="AQ765" s="55">
        <v>0</v>
      </c>
      <c r="AR765" s="55">
        <v>28500</v>
      </c>
      <c r="AS765" s="78">
        <f t="shared" si="15"/>
        <v>0</v>
      </c>
    </row>
    <row r="766" spans="39:45">
      <c r="AM766" s="54">
        <v>2019</v>
      </c>
      <c r="AN766" s="54" t="s">
        <v>184</v>
      </c>
      <c r="AO766" s="54">
        <v>1</v>
      </c>
      <c r="AP766" s="54">
        <v>20</v>
      </c>
      <c r="AQ766" s="54">
        <v>0</v>
      </c>
      <c r="AR766" s="55">
        <v>28500</v>
      </c>
      <c r="AS766" s="78">
        <f t="shared" si="15"/>
        <v>0</v>
      </c>
    </row>
    <row r="767" spans="39:45">
      <c r="AM767" s="55">
        <v>2019</v>
      </c>
      <c r="AN767" s="55" t="s">
        <v>184</v>
      </c>
      <c r="AO767" s="55">
        <v>1</v>
      </c>
      <c r="AP767" s="55">
        <v>21</v>
      </c>
      <c r="AQ767" s="55">
        <v>0</v>
      </c>
      <c r="AR767" s="55">
        <v>28500</v>
      </c>
      <c r="AS767" s="78">
        <f t="shared" si="15"/>
        <v>0</v>
      </c>
    </row>
    <row r="768" spans="39:45">
      <c r="AM768" s="54">
        <v>2019</v>
      </c>
      <c r="AN768" s="54" t="s">
        <v>184</v>
      </c>
      <c r="AO768" s="54">
        <v>1</v>
      </c>
      <c r="AP768" s="54">
        <v>22</v>
      </c>
      <c r="AQ768" s="54">
        <v>0</v>
      </c>
      <c r="AR768" s="55">
        <v>28500</v>
      </c>
      <c r="AS768" s="78">
        <f t="shared" si="15"/>
        <v>0</v>
      </c>
    </row>
    <row r="769" spans="39:45">
      <c r="AM769" s="55">
        <v>2019</v>
      </c>
      <c r="AN769" s="55" t="s">
        <v>184</v>
      </c>
      <c r="AO769" s="55">
        <v>1</v>
      </c>
      <c r="AP769" s="55">
        <v>23</v>
      </c>
      <c r="AQ769" s="55">
        <v>0</v>
      </c>
      <c r="AR769" s="55">
        <v>28500</v>
      </c>
      <c r="AS769" s="78">
        <f t="shared" si="15"/>
        <v>0</v>
      </c>
    </row>
    <row r="770" spans="39:45">
      <c r="AM770" s="54">
        <v>2019</v>
      </c>
      <c r="AN770" s="54" t="s">
        <v>184</v>
      </c>
      <c r="AO770" s="54">
        <v>2</v>
      </c>
      <c r="AP770" s="54">
        <v>24</v>
      </c>
      <c r="AQ770" s="54">
        <v>0</v>
      </c>
      <c r="AR770" s="55">
        <v>28500</v>
      </c>
      <c r="AS770" s="78">
        <f t="shared" ref="AS770:AS833" si="16">AQ770/AR770</f>
        <v>0</v>
      </c>
    </row>
    <row r="771" spans="39:45">
      <c r="AM771" s="55">
        <v>2019</v>
      </c>
      <c r="AN771" s="55" t="s">
        <v>184</v>
      </c>
      <c r="AO771" s="55">
        <v>2</v>
      </c>
      <c r="AP771" s="55">
        <v>1</v>
      </c>
      <c r="AQ771" s="55">
        <v>0</v>
      </c>
      <c r="AR771" s="55">
        <v>28500</v>
      </c>
      <c r="AS771" s="78">
        <f t="shared" si="16"/>
        <v>0</v>
      </c>
    </row>
    <row r="772" spans="39:45">
      <c r="AM772" s="54">
        <v>2019</v>
      </c>
      <c r="AN772" s="54" t="s">
        <v>184</v>
      </c>
      <c r="AO772" s="54">
        <v>2</v>
      </c>
      <c r="AP772" s="54">
        <v>2</v>
      </c>
      <c r="AQ772" s="54">
        <v>0</v>
      </c>
      <c r="AR772" s="55">
        <v>28500</v>
      </c>
      <c r="AS772" s="78">
        <f t="shared" si="16"/>
        <v>0</v>
      </c>
    </row>
    <row r="773" spans="39:45">
      <c r="AM773" s="55">
        <v>2019</v>
      </c>
      <c r="AN773" s="55" t="s">
        <v>184</v>
      </c>
      <c r="AO773" s="55">
        <v>2</v>
      </c>
      <c r="AP773" s="55">
        <v>3</v>
      </c>
      <c r="AQ773" s="55">
        <v>0</v>
      </c>
      <c r="AR773" s="55">
        <v>28500</v>
      </c>
      <c r="AS773" s="78">
        <f t="shared" si="16"/>
        <v>0</v>
      </c>
    </row>
    <row r="774" spans="39:45">
      <c r="AM774" s="54">
        <v>2019</v>
      </c>
      <c r="AN774" s="54" t="s">
        <v>184</v>
      </c>
      <c r="AO774" s="54">
        <v>2</v>
      </c>
      <c r="AP774" s="54">
        <v>4</v>
      </c>
      <c r="AQ774" s="54">
        <v>0</v>
      </c>
      <c r="AR774" s="55">
        <v>28500</v>
      </c>
      <c r="AS774" s="78">
        <f t="shared" si="16"/>
        <v>0</v>
      </c>
    </row>
    <row r="775" spans="39:45">
      <c r="AM775" s="55">
        <v>2019</v>
      </c>
      <c r="AN775" s="55" t="s">
        <v>184</v>
      </c>
      <c r="AO775" s="55">
        <v>2</v>
      </c>
      <c r="AP775" s="55">
        <v>5</v>
      </c>
      <c r="AQ775" s="55">
        <v>0</v>
      </c>
      <c r="AR775" s="55">
        <v>28500</v>
      </c>
      <c r="AS775" s="78">
        <f t="shared" si="16"/>
        <v>0</v>
      </c>
    </row>
    <row r="776" spans="39:45">
      <c r="AM776" s="54">
        <v>2019</v>
      </c>
      <c r="AN776" s="54" t="s">
        <v>184</v>
      </c>
      <c r="AO776" s="54">
        <v>2</v>
      </c>
      <c r="AP776" s="54">
        <v>6</v>
      </c>
      <c r="AQ776" s="54">
        <v>0</v>
      </c>
      <c r="AR776" s="55">
        <v>28500</v>
      </c>
      <c r="AS776" s="78">
        <f t="shared" si="16"/>
        <v>0</v>
      </c>
    </row>
    <row r="777" spans="39:45">
      <c r="AM777" s="55">
        <v>2019</v>
      </c>
      <c r="AN777" s="55" t="s">
        <v>184</v>
      </c>
      <c r="AO777" s="55">
        <v>2</v>
      </c>
      <c r="AP777" s="55">
        <v>7</v>
      </c>
      <c r="AQ777" s="55">
        <v>0</v>
      </c>
      <c r="AR777" s="55">
        <v>28500</v>
      </c>
      <c r="AS777" s="78">
        <f t="shared" si="16"/>
        <v>0</v>
      </c>
    </row>
    <row r="778" spans="39:45">
      <c r="AM778" s="54">
        <v>2019</v>
      </c>
      <c r="AN778" s="54" t="s">
        <v>184</v>
      </c>
      <c r="AO778" s="54">
        <v>2</v>
      </c>
      <c r="AP778" s="54">
        <v>8</v>
      </c>
      <c r="AQ778" s="54">
        <v>16.5</v>
      </c>
      <c r="AR778" s="55">
        <v>28500</v>
      </c>
      <c r="AS778" s="78">
        <f t="shared" si="16"/>
        <v>5.7894736842105268E-4</v>
      </c>
    </row>
    <row r="779" spans="39:45">
      <c r="AM779" s="55">
        <v>2019</v>
      </c>
      <c r="AN779" s="55" t="s">
        <v>184</v>
      </c>
      <c r="AO779" s="55">
        <v>2</v>
      </c>
      <c r="AP779" s="55">
        <v>9</v>
      </c>
      <c r="AQ779" s="55">
        <v>9316.5</v>
      </c>
      <c r="AR779" s="55">
        <v>28500</v>
      </c>
      <c r="AS779" s="78">
        <f t="shared" si="16"/>
        <v>0.32689473684210524</v>
      </c>
    </row>
    <row r="780" spans="39:45">
      <c r="AM780" s="54">
        <v>2019</v>
      </c>
      <c r="AN780" s="54" t="s">
        <v>184</v>
      </c>
      <c r="AO780" s="54">
        <v>2</v>
      </c>
      <c r="AP780" s="54">
        <v>10</v>
      </c>
      <c r="AQ780" s="54">
        <v>15146</v>
      </c>
      <c r="AR780" s="55">
        <v>28500</v>
      </c>
      <c r="AS780" s="78">
        <f t="shared" si="16"/>
        <v>0.53143859649122804</v>
      </c>
    </row>
    <row r="781" spans="39:45">
      <c r="AM781" s="55">
        <v>2019</v>
      </c>
      <c r="AN781" s="55" t="s">
        <v>184</v>
      </c>
      <c r="AO781" s="55">
        <v>2</v>
      </c>
      <c r="AP781" s="55">
        <v>11</v>
      </c>
      <c r="AQ781" s="55">
        <v>10568</v>
      </c>
      <c r="AR781" s="55">
        <v>28500</v>
      </c>
      <c r="AS781" s="78">
        <f t="shared" si="16"/>
        <v>0.37080701754385964</v>
      </c>
    </row>
    <row r="782" spans="39:45">
      <c r="AM782" s="54">
        <v>2019</v>
      </c>
      <c r="AN782" s="54" t="s">
        <v>184</v>
      </c>
      <c r="AO782" s="54">
        <v>2</v>
      </c>
      <c r="AP782" s="54">
        <v>12</v>
      </c>
      <c r="AQ782" s="54">
        <v>2907.5</v>
      </c>
      <c r="AR782" s="55">
        <v>28500</v>
      </c>
      <c r="AS782" s="78">
        <f t="shared" si="16"/>
        <v>0.10201754385964912</v>
      </c>
    </row>
    <row r="783" spans="39:45">
      <c r="AM783" s="55">
        <v>2019</v>
      </c>
      <c r="AN783" s="55" t="s">
        <v>184</v>
      </c>
      <c r="AO783" s="55">
        <v>2</v>
      </c>
      <c r="AP783" s="55">
        <v>13</v>
      </c>
      <c r="AQ783" s="55">
        <v>3065</v>
      </c>
      <c r="AR783" s="55">
        <v>28500</v>
      </c>
      <c r="AS783" s="78">
        <f t="shared" si="16"/>
        <v>0.1075438596491228</v>
      </c>
    </row>
    <row r="784" spans="39:45">
      <c r="AM784" s="54">
        <v>2019</v>
      </c>
      <c r="AN784" s="54" t="s">
        <v>184</v>
      </c>
      <c r="AO784" s="54">
        <v>2</v>
      </c>
      <c r="AP784" s="54">
        <v>14</v>
      </c>
      <c r="AQ784" s="54">
        <v>466.5</v>
      </c>
      <c r="AR784" s="55">
        <v>28500</v>
      </c>
      <c r="AS784" s="78">
        <f t="shared" si="16"/>
        <v>1.6368421052631577E-2</v>
      </c>
    </row>
    <row r="785" spans="39:45">
      <c r="AM785" s="55">
        <v>2019</v>
      </c>
      <c r="AN785" s="55" t="s">
        <v>184</v>
      </c>
      <c r="AO785" s="55">
        <v>2</v>
      </c>
      <c r="AP785" s="55">
        <v>15</v>
      </c>
      <c r="AQ785" s="55">
        <v>5022</v>
      </c>
      <c r="AR785" s="55">
        <v>28500</v>
      </c>
      <c r="AS785" s="78">
        <f t="shared" si="16"/>
        <v>0.17621052631578948</v>
      </c>
    </row>
    <row r="786" spans="39:45">
      <c r="AM786" s="54">
        <v>2019</v>
      </c>
      <c r="AN786" s="54" t="s">
        <v>184</v>
      </c>
      <c r="AO786" s="54">
        <v>2</v>
      </c>
      <c r="AP786" s="54">
        <v>16</v>
      </c>
      <c r="AQ786" s="54">
        <v>0</v>
      </c>
      <c r="AR786" s="55">
        <v>28500</v>
      </c>
      <c r="AS786" s="78">
        <f t="shared" si="16"/>
        <v>0</v>
      </c>
    </row>
    <row r="787" spans="39:45">
      <c r="AM787" s="55">
        <v>2019</v>
      </c>
      <c r="AN787" s="55" t="s">
        <v>184</v>
      </c>
      <c r="AO787" s="55">
        <v>2</v>
      </c>
      <c r="AP787" s="55">
        <v>17</v>
      </c>
      <c r="AQ787" s="55">
        <v>0</v>
      </c>
      <c r="AR787" s="55">
        <v>28500</v>
      </c>
      <c r="AS787" s="78">
        <f t="shared" si="16"/>
        <v>0</v>
      </c>
    </row>
    <row r="788" spans="39:45">
      <c r="AM788" s="54">
        <v>2019</v>
      </c>
      <c r="AN788" s="54" t="s">
        <v>184</v>
      </c>
      <c r="AO788" s="54">
        <v>2</v>
      </c>
      <c r="AP788" s="54">
        <v>18</v>
      </c>
      <c r="AQ788" s="54">
        <v>0</v>
      </c>
      <c r="AR788" s="55">
        <v>28500</v>
      </c>
      <c r="AS788" s="78">
        <f t="shared" si="16"/>
        <v>0</v>
      </c>
    </row>
    <row r="789" spans="39:45">
      <c r="AM789" s="55">
        <v>2019</v>
      </c>
      <c r="AN789" s="55" t="s">
        <v>184</v>
      </c>
      <c r="AO789" s="55">
        <v>2</v>
      </c>
      <c r="AP789" s="55">
        <v>19</v>
      </c>
      <c r="AQ789" s="55">
        <v>0</v>
      </c>
      <c r="AR789" s="55">
        <v>28500</v>
      </c>
      <c r="AS789" s="78">
        <f t="shared" si="16"/>
        <v>0</v>
      </c>
    </row>
    <row r="790" spans="39:45">
      <c r="AM790" s="54">
        <v>2019</v>
      </c>
      <c r="AN790" s="54" t="s">
        <v>184</v>
      </c>
      <c r="AO790" s="54">
        <v>2</v>
      </c>
      <c r="AP790" s="54">
        <v>20</v>
      </c>
      <c r="AQ790" s="54">
        <v>0</v>
      </c>
      <c r="AR790" s="55">
        <v>28500</v>
      </c>
      <c r="AS790" s="78">
        <f t="shared" si="16"/>
        <v>0</v>
      </c>
    </row>
    <row r="791" spans="39:45">
      <c r="AM791" s="55">
        <v>2019</v>
      </c>
      <c r="AN791" s="55" t="s">
        <v>184</v>
      </c>
      <c r="AO791" s="55">
        <v>2</v>
      </c>
      <c r="AP791" s="55">
        <v>21</v>
      </c>
      <c r="AQ791" s="55">
        <v>0</v>
      </c>
      <c r="AR791" s="55">
        <v>28500</v>
      </c>
      <c r="AS791" s="78">
        <f t="shared" si="16"/>
        <v>0</v>
      </c>
    </row>
    <row r="792" spans="39:45">
      <c r="AM792" s="54">
        <v>2019</v>
      </c>
      <c r="AN792" s="54" t="s">
        <v>184</v>
      </c>
      <c r="AO792" s="54">
        <v>2</v>
      </c>
      <c r="AP792" s="54">
        <v>22</v>
      </c>
      <c r="AQ792" s="54">
        <v>0</v>
      </c>
      <c r="AR792" s="55">
        <v>28500</v>
      </c>
      <c r="AS792" s="78">
        <f t="shared" si="16"/>
        <v>0</v>
      </c>
    </row>
    <row r="793" spans="39:45">
      <c r="AM793" s="55">
        <v>2019</v>
      </c>
      <c r="AN793" s="55" t="s">
        <v>184</v>
      </c>
      <c r="AO793" s="55">
        <v>2</v>
      </c>
      <c r="AP793" s="55">
        <v>23</v>
      </c>
      <c r="AQ793" s="55">
        <v>0</v>
      </c>
      <c r="AR793" s="55">
        <v>28500</v>
      </c>
      <c r="AS793" s="78">
        <f t="shared" si="16"/>
        <v>0</v>
      </c>
    </row>
    <row r="794" spans="39:45">
      <c r="AM794" s="54">
        <v>2019</v>
      </c>
      <c r="AN794" s="54" t="s">
        <v>184</v>
      </c>
      <c r="AO794" s="54">
        <v>3</v>
      </c>
      <c r="AP794" s="54">
        <v>24</v>
      </c>
      <c r="AQ794" s="54">
        <v>0</v>
      </c>
      <c r="AR794" s="55">
        <v>28500</v>
      </c>
      <c r="AS794" s="78">
        <f t="shared" si="16"/>
        <v>0</v>
      </c>
    </row>
    <row r="795" spans="39:45">
      <c r="AM795" s="55">
        <v>2019</v>
      </c>
      <c r="AN795" s="55" t="s">
        <v>184</v>
      </c>
      <c r="AO795" s="55">
        <v>3</v>
      </c>
      <c r="AP795" s="55">
        <v>1</v>
      </c>
      <c r="AQ795" s="55">
        <v>0</v>
      </c>
      <c r="AR795" s="55">
        <v>28500</v>
      </c>
      <c r="AS795" s="78">
        <f t="shared" si="16"/>
        <v>0</v>
      </c>
    </row>
    <row r="796" spans="39:45">
      <c r="AM796" s="54">
        <v>2019</v>
      </c>
      <c r="AN796" s="54" t="s">
        <v>184</v>
      </c>
      <c r="AO796" s="54">
        <v>3</v>
      </c>
      <c r="AP796" s="54">
        <v>2</v>
      </c>
      <c r="AQ796" s="54">
        <v>0</v>
      </c>
      <c r="AR796" s="55">
        <v>28500</v>
      </c>
      <c r="AS796" s="78">
        <f t="shared" si="16"/>
        <v>0</v>
      </c>
    </row>
    <row r="797" spans="39:45">
      <c r="AM797" s="55">
        <v>2019</v>
      </c>
      <c r="AN797" s="55" t="s">
        <v>184</v>
      </c>
      <c r="AO797" s="55">
        <v>3</v>
      </c>
      <c r="AP797" s="55">
        <v>3</v>
      </c>
      <c r="AQ797" s="55">
        <v>0</v>
      </c>
      <c r="AR797" s="55">
        <v>28500</v>
      </c>
      <c r="AS797" s="78">
        <f t="shared" si="16"/>
        <v>0</v>
      </c>
    </row>
    <row r="798" spans="39:45">
      <c r="AM798" s="54">
        <v>2019</v>
      </c>
      <c r="AN798" s="54" t="s">
        <v>184</v>
      </c>
      <c r="AO798" s="54">
        <v>3</v>
      </c>
      <c r="AP798" s="54">
        <v>4</v>
      </c>
      <c r="AQ798" s="54">
        <v>0</v>
      </c>
      <c r="AR798" s="55">
        <v>28500</v>
      </c>
      <c r="AS798" s="78">
        <f t="shared" si="16"/>
        <v>0</v>
      </c>
    </row>
    <row r="799" spans="39:45">
      <c r="AM799" s="55">
        <v>2019</v>
      </c>
      <c r="AN799" s="55" t="s">
        <v>184</v>
      </c>
      <c r="AO799" s="55">
        <v>3</v>
      </c>
      <c r="AP799" s="55">
        <v>5</v>
      </c>
      <c r="AQ799" s="55">
        <v>0</v>
      </c>
      <c r="AR799" s="55">
        <v>28500</v>
      </c>
      <c r="AS799" s="78">
        <f t="shared" si="16"/>
        <v>0</v>
      </c>
    </row>
    <row r="800" spans="39:45">
      <c r="AM800" s="54">
        <v>2019</v>
      </c>
      <c r="AN800" s="54" t="s">
        <v>184</v>
      </c>
      <c r="AO800" s="54">
        <v>3</v>
      </c>
      <c r="AP800" s="54">
        <v>6</v>
      </c>
      <c r="AQ800" s="54">
        <v>0</v>
      </c>
      <c r="AR800" s="55">
        <v>28500</v>
      </c>
      <c r="AS800" s="78">
        <f t="shared" si="16"/>
        <v>0</v>
      </c>
    </row>
    <row r="801" spans="39:45">
      <c r="AM801" s="55">
        <v>2019</v>
      </c>
      <c r="AN801" s="55" t="s">
        <v>184</v>
      </c>
      <c r="AO801" s="55">
        <v>3</v>
      </c>
      <c r="AP801" s="55">
        <v>7</v>
      </c>
      <c r="AQ801" s="55">
        <v>0</v>
      </c>
      <c r="AR801" s="55">
        <v>28500</v>
      </c>
      <c r="AS801" s="78">
        <f t="shared" si="16"/>
        <v>0</v>
      </c>
    </row>
    <row r="802" spans="39:45">
      <c r="AM802" s="54">
        <v>2019</v>
      </c>
      <c r="AN802" s="54" t="s">
        <v>184</v>
      </c>
      <c r="AO802" s="54">
        <v>3</v>
      </c>
      <c r="AP802" s="54">
        <v>8</v>
      </c>
      <c r="AQ802" s="54">
        <v>1090</v>
      </c>
      <c r="AR802" s="55">
        <v>28500</v>
      </c>
      <c r="AS802" s="78">
        <f t="shared" si="16"/>
        <v>3.8245614035087722E-2</v>
      </c>
    </row>
    <row r="803" spans="39:45">
      <c r="AM803" s="55">
        <v>2019</v>
      </c>
      <c r="AN803" s="55" t="s">
        <v>184</v>
      </c>
      <c r="AO803" s="55">
        <v>3</v>
      </c>
      <c r="AP803" s="55">
        <v>9</v>
      </c>
      <c r="AQ803" s="55">
        <v>19872</v>
      </c>
      <c r="AR803" s="55">
        <v>28500</v>
      </c>
      <c r="AS803" s="78">
        <f t="shared" si="16"/>
        <v>0.69726315789473681</v>
      </c>
    </row>
    <row r="804" spans="39:45">
      <c r="AM804" s="54">
        <v>2019</v>
      </c>
      <c r="AN804" s="54" t="s">
        <v>184</v>
      </c>
      <c r="AO804" s="54">
        <v>3</v>
      </c>
      <c r="AP804" s="54">
        <v>10</v>
      </c>
      <c r="AQ804" s="54">
        <v>27426</v>
      </c>
      <c r="AR804" s="55">
        <v>28500</v>
      </c>
      <c r="AS804" s="78">
        <f t="shared" si="16"/>
        <v>0.96231578947368424</v>
      </c>
    </row>
    <row r="805" spans="39:45">
      <c r="AM805" s="55">
        <v>2019</v>
      </c>
      <c r="AN805" s="55" t="s">
        <v>184</v>
      </c>
      <c r="AO805" s="55">
        <v>3</v>
      </c>
      <c r="AP805" s="55">
        <v>11</v>
      </c>
      <c r="AQ805" s="55">
        <v>34809.5</v>
      </c>
      <c r="AR805" s="55">
        <v>28500</v>
      </c>
      <c r="AS805" s="78">
        <f t="shared" si="16"/>
        <v>1.2213859649122807</v>
      </c>
    </row>
    <row r="806" spans="39:45">
      <c r="AM806" s="54">
        <v>2019</v>
      </c>
      <c r="AN806" s="54" t="s">
        <v>184</v>
      </c>
      <c r="AO806" s="54">
        <v>3</v>
      </c>
      <c r="AP806" s="54">
        <v>12</v>
      </c>
      <c r="AQ806" s="54">
        <v>33577.5</v>
      </c>
      <c r="AR806" s="55">
        <v>28500</v>
      </c>
      <c r="AS806" s="78">
        <f t="shared" si="16"/>
        <v>1.1781578947368421</v>
      </c>
    </row>
    <row r="807" spans="39:45">
      <c r="AM807" s="55">
        <v>2019</v>
      </c>
      <c r="AN807" s="55" t="s">
        <v>184</v>
      </c>
      <c r="AO807" s="55">
        <v>3</v>
      </c>
      <c r="AP807" s="55">
        <v>13</v>
      </c>
      <c r="AQ807" s="55">
        <v>33712.5</v>
      </c>
      <c r="AR807" s="55">
        <v>28500</v>
      </c>
      <c r="AS807" s="78">
        <f t="shared" si="16"/>
        <v>1.1828947368421052</v>
      </c>
    </row>
    <row r="808" spans="39:45">
      <c r="AM808" s="54">
        <v>2019</v>
      </c>
      <c r="AN808" s="54" t="s">
        <v>184</v>
      </c>
      <c r="AO808" s="54">
        <v>3</v>
      </c>
      <c r="AP808" s="54">
        <v>14</v>
      </c>
      <c r="AQ808" s="54">
        <v>26613.5</v>
      </c>
      <c r="AR808" s="55">
        <v>28500</v>
      </c>
      <c r="AS808" s="78">
        <f t="shared" si="16"/>
        <v>0.93380701754385964</v>
      </c>
    </row>
    <row r="809" spans="39:45">
      <c r="AM809" s="55">
        <v>2019</v>
      </c>
      <c r="AN809" s="55" t="s">
        <v>184</v>
      </c>
      <c r="AO809" s="55">
        <v>3</v>
      </c>
      <c r="AP809" s="55">
        <v>15</v>
      </c>
      <c r="AQ809" s="55">
        <v>21937</v>
      </c>
      <c r="AR809" s="55">
        <v>28500</v>
      </c>
      <c r="AS809" s="78">
        <f t="shared" si="16"/>
        <v>0.76971929824561403</v>
      </c>
    </row>
    <row r="810" spans="39:45">
      <c r="AM810" s="54">
        <v>2019</v>
      </c>
      <c r="AN810" s="54" t="s">
        <v>184</v>
      </c>
      <c r="AO810" s="54">
        <v>3</v>
      </c>
      <c r="AP810" s="54">
        <v>16</v>
      </c>
      <c r="AQ810" s="54">
        <v>603.5</v>
      </c>
      <c r="AR810" s="55">
        <v>28500</v>
      </c>
      <c r="AS810" s="78">
        <f t="shared" si="16"/>
        <v>2.1175438596491229E-2</v>
      </c>
    </row>
    <row r="811" spans="39:45">
      <c r="AM811" s="55">
        <v>2019</v>
      </c>
      <c r="AN811" s="55" t="s">
        <v>184</v>
      </c>
      <c r="AO811" s="55">
        <v>3</v>
      </c>
      <c r="AP811" s="55">
        <v>17</v>
      </c>
      <c r="AQ811" s="55">
        <v>0</v>
      </c>
      <c r="AR811" s="55">
        <v>28500</v>
      </c>
      <c r="AS811" s="78">
        <f t="shared" si="16"/>
        <v>0</v>
      </c>
    </row>
    <row r="812" spans="39:45">
      <c r="AM812" s="54">
        <v>2019</v>
      </c>
      <c r="AN812" s="54" t="s">
        <v>184</v>
      </c>
      <c r="AO812" s="54">
        <v>3</v>
      </c>
      <c r="AP812" s="54">
        <v>18</v>
      </c>
      <c r="AQ812" s="54">
        <v>0</v>
      </c>
      <c r="AR812" s="55">
        <v>28500</v>
      </c>
      <c r="AS812" s="78">
        <f t="shared" si="16"/>
        <v>0</v>
      </c>
    </row>
    <row r="813" spans="39:45">
      <c r="AM813" s="55">
        <v>2019</v>
      </c>
      <c r="AN813" s="55" t="s">
        <v>184</v>
      </c>
      <c r="AO813" s="55">
        <v>3</v>
      </c>
      <c r="AP813" s="55">
        <v>19</v>
      </c>
      <c r="AQ813" s="55">
        <v>0</v>
      </c>
      <c r="AR813" s="55">
        <v>28500</v>
      </c>
      <c r="AS813" s="78">
        <f t="shared" si="16"/>
        <v>0</v>
      </c>
    </row>
    <row r="814" spans="39:45">
      <c r="AM814" s="54">
        <v>2019</v>
      </c>
      <c r="AN814" s="54" t="s">
        <v>184</v>
      </c>
      <c r="AO814" s="54">
        <v>3</v>
      </c>
      <c r="AP814" s="54">
        <v>20</v>
      </c>
      <c r="AQ814" s="54">
        <v>0</v>
      </c>
      <c r="AR814" s="55">
        <v>28500</v>
      </c>
      <c r="AS814" s="78">
        <f t="shared" si="16"/>
        <v>0</v>
      </c>
    </row>
    <row r="815" spans="39:45">
      <c r="AM815" s="55">
        <v>2019</v>
      </c>
      <c r="AN815" s="55" t="s">
        <v>184</v>
      </c>
      <c r="AO815" s="55">
        <v>3</v>
      </c>
      <c r="AP815" s="55">
        <v>21</v>
      </c>
      <c r="AQ815" s="55">
        <v>0</v>
      </c>
      <c r="AR815" s="55">
        <v>28500</v>
      </c>
      <c r="AS815" s="78">
        <f t="shared" si="16"/>
        <v>0</v>
      </c>
    </row>
    <row r="816" spans="39:45">
      <c r="AM816" s="54">
        <v>2019</v>
      </c>
      <c r="AN816" s="54" t="s">
        <v>184</v>
      </c>
      <c r="AO816" s="54">
        <v>3</v>
      </c>
      <c r="AP816" s="54">
        <v>22</v>
      </c>
      <c r="AQ816" s="54">
        <v>0</v>
      </c>
      <c r="AR816" s="55">
        <v>28500</v>
      </c>
      <c r="AS816" s="78">
        <f t="shared" si="16"/>
        <v>0</v>
      </c>
    </row>
    <row r="817" spans="39:45">
      <c r="AM817" s="55">
        <v>2019</v>
      </c>
      <c r="AN817" s="55" t="s">
        <v>184</v>
      </c>
      <c r="AO817" s="55">
        <v>3</v>
      </c>
      <c r="AP817" s="55">
        <v>23</v>
      </c>
      <c r="AQ817" s="55">
        <v>0</v>
      </c>
      <c r="AR817" s="55">
        <v>28500</v>
      </c>
      <c r="AS817" s="78">
        <f t="shared" si="16"/>
        <v>0</v>
      </c>
    </row>
    <row r="818" spans="39:45">
      <c r="AM818" s="54">
        <v>2019</v>
      </c>
      <c r="AN818" s="54" t="s">
        <v>184</v>
      </c>
      <c r="AO818" s="54">
        <v>4</v>
      </c>
      <c r="AP818" s="54">
        <v>24</v>
      </c>
      <c r="AQ818" s="54">
        <v>0</v>
      </c>
      <c r="AR818" s="55">
        <v>28500</v>
      </c>
      <c r="AS818" s="78">
        <f t="shared" si="16"/>
        <v>0</v>
      </c>
    </row>
    <row r="819" spans="39:45">
      <c r="AM819" s="55">
        <v>2019</v>
      </c>
      <c r="AN819" s="55" t="s">
        <v>184</v>
      </c>
      <c r="AO819" s="55">
        <v>4</v>
      </c>
      <c r="AP819" s="55">
        <v>1</v>
      </c>
      <c r="AQ819" s="55">
        <v>0</v>
      </c>
      <c r="AR819" s="55">
        <v>28500</v>
      </c>
      <c r="AS819" s="78">
        <f t="shared" si="16"/>
        <v>0</v>
      </c>
    </row>
    <row r="820" spans="39:45">
      <c r="AM820" s="54">
        <v>2019</v>
      </c>
      <c r="AN820" s="54" t="s">
        <v>184</v>
      </c>
      <c r="AO820" s="54">
        <v>4</v>
      </c>
      <c r="AP820" s="54">
        <v>2</v>
      </c>
      <c r="AQ820" s="54">
        <v>0</v>
      </c>
      <c r="AR820" s="55">
        <v>28500</v>
      </c>
      <c r="AS820" s="78">
        <f t="shared" si="16"/>
        <v>0</v>
      </c>
    </row>
    <row r="821" spans="39:45">
      <c r="AM821" s="55">
        <v>2019</v>
      </c>
      <c r="AN821" s="55" t="s">
        <v>184</v>
      </c>
      <c r="AO821" s="55">
        <v>4</v>
      </c>
      <c r="AP821" s="55">
        <v>3</v>
      </c>
      <c r="AQ821" s="55">
        <v>0</v>
      </c>
      <c r="AR821" s="55">
        <v>28500</v>
      </c>
      <c r="AS821" s="78">
        <f t="shared" si="16"/>
        <v>0</v>
      </c>
    </row>
    <row r="822" spans="39:45">
      <c r="AM822" s="54">
        <v>2019</v>
      </c>
      <c r="AN822" s="54" t="s">
        <v>184</v>
      </c>
      <c r="AO822" s="54">
        <v>4</v>
      </c>
      <c r="AP822" s="54">
        <v>4</v>
      </c>
      <c r="AQ822" s="54">
        <v>0</v>
      </c>
      <c r="AR822" s="55">
        <v>28500</v>
      </c>
      <c r="AS822" s="78">
        <f t="shared" si="16"/>
        <v>0</v>
      </c>
    </row>
    <row r="823" spans="39:45">
      <c r="AM823" s="55">
        <v>2019</v>
      </c>
      <c r="AN823" s="55" t="s">
        <v>184</v>
      </c>
      <c r="AO823" s="55">
        <v>4</v>
      </c>
      <c r="AP823" s="55">
        <v>5</v>
      </c>
      <c r="AQ823" s="55">
        <v>0</v>
      </c>
      <c r="AR823" s="55">
        <v>28500</v>
      </c>
      <c r="AS823" s="78">
        <f t="shared" si="16"/>
        <v>0</v>
      </c>
    </row>
    <row r="824" spans="39:45">
      <c r="AM824" s="54">
        <v>2019</v>
      </c>
      <c r="AN824" s="54" t="s">
        <v>184</v>
      </c>
      <c r="AO824" s="54">
        <v>4</v>
      </c>
      <c r="AP824" s="54">
        <v>6</v>
      </c>
      <c r="AQ824" s="54">
        <v>0</v>
      </c>
      <c r="AR824" s="55">
        <v>28500</v>
      </c>
      <c r="AS824" s="78">
        <f t="shared" si="16"/>
        <v>0</v>
      </c>
    </row>
    <row r="825" spans="39:45">
      <c r="AM825" s="55">
        <v>2019</v>
      </c>
      <c r="AN825" s="55" t="s">
        <v>184</v>
      </c>
      <c r="AO825" s="55">
        <v>4</v>
      </c>
      <c r="AP825" s="55">
        <v>7</v>
      </c>
      <c r="AQ825" s="55">
        <v>0</v>
      </c>
      <c r="AR825" s="55">
        <v>28500</v>
      </c>
      <c r="AS825" s="78">
        <f t="shared" si="16"/>
        <v>0</v>
      </c>
    </row>
    <row r="826" spans="39:45">
      <c r="AM826" s="54">
        <v>2019</v>
      </c>
      <c r="AN826" s="54" t="s">
        <v>184</v>
      </c>
      <c r="AO826" s="54">
        <v>4</v>
      </c>
      <c r="AP826" s="54">
        <v>8</v>
      </c>
      <c r="AQ826" s="54">
        <v>147.5</v>
      </c>
      <c r="AR826" s="55">
        <v>28500</v>
      </c>
      <c r="AS826" s="78">
        <f t="shared" si="16"/>
        <v>5.175438596491228E-3</v>
      </c>
    </row>
    <row r="827" spans="39:45">
      <c r="AM827" s="55">
        <v>2019</v>
      </c>
      <c r="AN827" s="55" t="s">
        <v>184</v>
      </c>
      <c r="AO827" s="55">
        <v>4</v>
      </c>
      <c r="AP827" s="55">
        <v>9</v>
      </c>
      <c r="AQ827" s="55">
        <v>654</v>
      </c>
      <c r="AR827" s="55">
        <v>28500</v>
      </c>
      <c r="AS827" s="78">
        <f t="shared" si="16"/>
        <v>2.2947368421052633E-2</v>
      </c>
    </row>
    <row r="828" spans="39:45">
      <c r="AM828" s="54">
        <v>2019</v>
      </c>
      <c r="AN828" s="54" t="s">
        <v>184</v>
      </c>
      <c r="AO828" s="54">
        <v>4</v>
      </c>
      <c r="AP828" s="54">
        <v>10</v>
      </c>
      <c r="AQ828" s="54">
        <v>2212</v>
      </c>
      <c r="AR828" s="55">
        <v>28500</v>
      </c>
      <c r="AS828" s="78">
        <f t="shared" si="16"/>
        <v>7.7614035087719302E-2</v>
      </c>
    </row>
    <row r="829" spans="39:45">
      <c r="AM829" s="55">
        <v>2019</v>
      </c>
      <c r="AN829" s="55" t="s">
        <v>184</v>
      </c>
      <c r="AO829" s="55">
        <v>4</v>
      </c>
      <c r="AP829" s="55">
        <v>11</v>
      </c>
      <c r="AQ829" s="55">
        <v>1827</v>
      </c>
      <c r="AR829" s="55">
        <v>28500</v>
      </c>
      <c r="AS829" s="78">
        <f t="shared" si="16"/>
        <v>6.4105263157894735E-2</v>
      </c>
    </row>
    <row r="830" spans="39:45">
      <c r="AM830" s="54">
        <v>2019</v>
      </c>
      <c r="AN830" s="54" t="s">
        <v>184</v>
      </c>
      <c r="AO830" s="54">
        <v>4</v>
      </c>
      <c r="AP830" s="54">
        <v>12</v>
      </c>
      <c r="AQ830" s="54">
        <v>4815</v>
      </c>
      <c r="AR830" s="55">
        <v>28500</v>
      </c>
      <c r="AS830" s="78">
        <f t="shared" si="16"/>
        <v>0.16894736842105262</v>
      </c>
    </row>
    <row r="831" spans="39:45">
      <c r="AM831" s="55">
        <v>2019</v>
      </c>
      <c r="AN831" s="55" t="s">
        <v>184</v>
      </c>
      <c r="AO831" s="55">
        <v>4</v>
      </c>
      <c r="AP831" s="55">
        <v>13</v>
      </c>
      <c r="AQ831" s="55">
        <v>1409.5</v>
      </c>
      <c r="AR831" s="55">
        <v>28500</v>
      </c>
      <c r="AS831" s="78">
        <f t="shared" si="16"/>
        <v>4.9456140350877191E-2</v>
      </c>
    </row>
    <row r="832" spans="39:45">
      <c r="AM832" s="54">
        <v>2019</v>
      </c>
      <c r="AN832" s="54" t="s">
        <v>184</v>
      </c>
      <c r="AO832" s="54">
        <v>4</v>
      </c>
      <c r="AP832" s="54">
        <v>14</v>
      </c>
      <c r="AQ832" s="54">
        <v>4801</v>
      </c>
      <c r="AR832" s="55">
        <v>28500</v>
      </c>
      <c r="AS832" s="78">
        <f t="shared" si="16"/>
        <v>0.16845614035087719</v>
      </c>
    </row>
    <row r="833" spans="39:45">
      <c r="AM833" s="55">
        <v>2019</v>
      </c>
      <c r="AN833" s="55" t="s">
        <v>184</v>
      </c>
      <c r="AO833" s="55">
        <v>4</v>
      </c>
      <c r="AP833" s="55">
        <v>15</v>
      </c>
      <c r="AQ833" s="55">
        <v>7288.5</v>
      </c>
      <c r="AR833" s="55">
        <v>28500</v>
      </c>
      <c r="AS833" s="78">
        <f t="shared" si="16"/>
        <v>0.25573684210526315</v>
      </c>
    </row>
    <row r="834" spans="39:45">
      <c r="AM834" s="54">
        <v>2019</v>
      </c>
      <c r="AN834" s="54" t="s">
        <v>184</v>
      </c>
      <c r="AO834" s="54">
        <v>4</v>
      </c>
      <c r="AP834" s="54">
        <v>16</v>
      </c>
      <c r="AQ834" s="54">
        <v>195.5</v>
      </c>
      <c r="AR834" s="55">
        <v>28500</v>
      </c>
      <c r="AS834" s="78">
        <f t="shared" ref="AS834:AS897" si="17">AQ834/AR834</f>
        <v>6.8596491228070178E-3</v>
      </c>
    </row>
    <row r="835" spans="39:45">
      <c r="AM835" s="55">
        <v>2019</v>
      </c>
      <c r="AN835" s="55" t="s">
        <v>184</v>
      </c>
      <c r="AO835" s="55">
        <v>4</v>
      </c>
      <c r="AP835" s="55">
        <v>17</v>
      </c>
      <c r="AQ835" s="55">
        <v>0</v>
      </c>
      <c r="AR835" s="55">
        <v>28500</v>
      </c>
      <c r="AS835" s="78">
        <f t="shared" si="17"/>
        <v>0</v>
      </c>
    </row>
    <row r="836" spans="39:45">
      <c r="AM836" s="54">
        <v>2019</v>
      </c>
      <c r="AN836" s="54" t="s">
        <v>184</v>
      </c>
      <c r="AO836" s="54">
        <v>4</v>
      </c>
      <c r="AP836" s="54">
        <v>18</v>
      </c>
      <c r="AQ836" s="54">
        <v>0</v>
      </c>
      <c r="AR836" s="55">
        <v>28500</v>
      </c>
      <c r="AS836" s="78">
        <f t="shared" si="17"/>
        <v>0</v>
      </c>
    </row>
    <row r="837" spans="39:45">
      <c r="AM837" s="55">
        <v>2019</v>
      </c>
      <c r="AN837" s="55" t="s">
        <v>184</v>
      </c>
      <c r="AO837" s="55">
        <v>4</v>
      </c>
      <c r="AP837" s="55">
        <v>19</v>
      </c>
      <c r="AQ837" s="55">
        <v>0</v>
      </c>
      <c r="AR837" s="55">
        <v>28500</v>
      </c>
      <c r="AS837" s="78">
        <f t="shared" si="17"/>
        <v>0</v>
      </c>
    </row>
    <row r="838" spans="39:45">
      <c r="AM838" s="54">
        <v>2019</v>
      </c>
      <c r="AN838" s="54" t="s">
        <v>184</v>
      </c>
      <c r="AO838" s="54">
        <v>4</v>
      </c>
      <c r="AP838" s="54">
        <v>20</v>
      </c>
      <c r="AQ838" s="54">
        <v>0</v>
      </c>
      <c r="AR838" s="55">
        <v>28500</v>
      </c>
      <c r="AS838" s="78">
        <f t="shared" si="17"/>
        <v>0</v>
      </c>
    </row>
    <row r="839" spans="39:45">
      <c r="AM839" s="55">
        <v>2019</v>
      </c>
      <c r="AN839" s="55" t="s">
        <v>184</v>
      </c>
      <c r="AO839" s="55">
        <v>4</v>
      </c>
      <c r="AP839" s="55">
        <v>21</v>
      </c>
      <c r="AQ839" s="55">
        <v>0</v>
      </c>
      <c r="AR839" s="55">
        <v>28500</v>
      </c>
      <c r="AS839" s="78">
        <f t="shared" si="17"/>
        <v>0</v>
      </c>
    </row>
    <row r="840" spans="39:45">
      <c r="AM840" s="54">
        <v>2019</v>
      </c>
      <c r="AN840" s="54" t="s">
        <v>184</v>
      </c>
      <c r="AO840" s="54">
        <v>4</v>
      </c>
      <c r="AP840" s="54">
        <v>22</v>
      </c>
      <c r="AQ840" s="54">
        <v>0</v>
      </c>
      <c r="AR840" s="55">
        <v>28500</v>
      </c>
      <c r="AS840" s="78">
        <f t="shared" si="17"/>
        <v>0</v>
      </c>
    </row>
    <row r="841" spans="39:45">
      <c r="AM841" s="55">
        <v>2019</v>
      </c>
      <c r="AN841" s="55" t="s">
        <v>184</v>
      </c>
      <c r="AO841" s="55">
        <v>4</v>
      </c>
      <c r="AP841" s="55">
        <v>23</v>
      </c>
      <c r="AQ841" s="55">
        <v>0</v>
      </c>
      <c r="AR841" s="55">
        <v>28500</v>
      </c>
      <c r="AS841" s="78">
        <f t="shared" si="17"/>
        <v>0</v>
      </c>
    </row>
    <row r="842" spans="39:45">
      <c r="AM842" s="54">
        <v>2019</v>
      </c>
      <c r="AN842" s="54" t="s">
        <v>184</v>
      </c>
      <c r="AO842" s="54">
        <v>5</v>
      </c>
      <c r="AP842" s="54">
        <v>24</v>
      </c>
      <c r="AQ842" s="54">
        <v>0</v>
      </c>
      <c r="AR842" s="55">
        <v>28500</v>
      </c>
      <c r="AS842" s="78">
        <f t="shared" si="17"/>
        <v>0</v>
      </c>
    </row>
    <row r="843" spans="39:45">
      <c r="AM843" s="55">
        <v>2019</v>
      </c>
      <c r="AN843" s="55" t="s">
        <v>184</v>
      </c>
      <c r="AO843" s="55">
        <v>5</v>
      </c>
      <c r="AP843" s="55">
        <v>1</v>
      </c>
      <c r="AQ843" s="55">
        <v>0</v>
      </c>
      <c r="AR843" s="55">
        <v>28500</v>
      </c>
      <c r="AS843" s="78">
        <f t="shared" si="17"/>
        <v>0</v>
      </c>
    </row>
    <row r="844" spans="39:45">
      <c r="AM844" s="54">
        <v>2019</v>
      </c>
      <c r="AN844" s="54" t="s">
        <v>184</v>
      </c>
      <c r="AO844" s="54">
        <v>5</v>
      </c>
      <c r="AP844" s="54">
        <v>2</v>
      </c>
      <c r="AQ844" s="54">
        <v>0</v>
      </c>
      <c r="AR844" s="55">
        <v>28500</v>
      </c>
      <c r="AS844" s="78">
        <f t="shared" si="17"/>
        <v>0</v>
      </c>
    </row>
    <row r="845" spans="39:45">
      <c r="AM845" s="55">
        <v>2019</v>
      </c>
      <c r="AN845" s="55" t="s">
        <v>184</v>
      </c>
      <c r="AO845" s="55">
        <v>5</v>
      </c>
      <c r="AP845" s="55">
        <v>3</v>
      </c>
      <c r="AQ845" s="55">
        <v>0</v>
      </c>
      <c r="AR845" s="55">
        <v>28500</v>
      </c>
      <c r="AS845" s="78">
        <f t="shared" si="17"/>
        <v>0</v>
      </c>
    </row>
    <row r="846" spans="39:45">
      <c r="AM846" s="54">
        <v>2019</v>
      </c>
      <c r="AN846" s="54" t="s">
        <v>184</v>
      </c>
      <c r="AO846" s="54">
        <v>5</v>
      </c>
      <c r="AP846" s="54">
        <v>4</v>
      </c>
      <c r="AQ846" s="54">
        <v>0</v>
      </c>
      <c r="AR846" s="55">
        <v>28500</v>
      </c>
      <c r="AS846" s="78">
        <f t="shared" si="17"/>
        <v>0</v>
      </c>
    </row>
    <row r="847" spans="39:45">
      <c r="AM847" s="55">
        <v>2019</v>
      </c>
      <c r="AN847" s="55" t="s">
        <v>184</v>
      </c>
      <c r="AO847" s="55">
        <v>5</v>
      </c>
      <c r="AP847" s="55">
        <v>5</v>
      </c>
      <c r="AQ847" s="55">
        <v>0</v>
      </c>
      <c r="AR847" s="55">
        <v>28500</v>
      </c>
      <c r="AS847" s="78">
        <f t="shared" si="17"/>
        <v>0</v>
      </c>
    </row>
    <row r="848" spans="39:45">
      <c r="AM848" s="54">
        <v>2019</v>
      </c>
      <c r="AN848" s="54" t="s">
        <v>184</v>
      </c>
      <c r="AO848" s="54">
        <v>5</v>
      </c>
      <c r="AP848" s="54">
        <v>6</v>
      </c>
      <c r="AQ848" s="54">
        <v>0</v>
      </c>
      <c r="AR848" s="55">
        <v>28500</v>
      </c>
      <c r="AS848" s="78">
        <f t="shared" si="17"/>
        <v>0</v>
      </c>
    </row>
    <row r="849" spans="39:45">
      <c r="AM849" s="55">
        <v>2019</v>
      </c>
      <c r="AN849" s="55" t="s">
        <v>184</v>
      </c>
      <c r="AO849" s="55">
        <v>5</v>
      </c>
      <c r="AP849" s="55">
        <v>7</v>
      </c>
      <c r="AQ849" s="55">
        <v>0</v>
      </c>
      <c r="AR849" s="55">
        <v>28500</v>
      </c>
      <c r="AS849" s="78">
        <f t="shared" si="17"/>
        <v>0</v>
      </c>
    </row>
    <row r="850" spans="39:45">
      <c r="AM850" s="54">
        <v>2019</v>
      </c>
      <c r="AN850" s="54" t="s">
        <v>184</v>
      </c>
      <c r="AO850" s="54">
        <v>5</v>
      </c>
      <c r="AP850" s="54">
        <v>8</v>
      </c>
      <c r="AQ850" s="54">
        <v>1117.5</v>
      </c>
      <c r="AR850" s="55">
        <v>28500</v>
      </c>
      <c r="AS850" s="78">
        <f t="shared" si="17"/>
        <v>3.9210526315789473E-2</v>
      </c>
    </row>
    <row r="851" spans="39:45">
      <c r="AM851" s="55">
        <v>2019</v>
      </c>
      <c r="AN851" s="55" t="s">
        <v>184</v>
      </c>
      <c r="AO851" s="55">
        <v>5</v>
      </c>
      <c r="AP851" s="55">
        <v>9</v>
      </c>
      <c r="AQ851" s="55">
        <v>1670.5</v>
      </c>
      <c r="AR851" s="55">
        <v>28500</v>
      </c>
      <c r="AS851" s="78">
        <f t="shared" si="17"/>
        <v>5.8614035087719299E-2</v>
      </c>
    </row>
    <row r="852" spans="39:45">
      <c r="AM852" s="54">
        <v>2019</v>
      </c>
      <c r="AN852" s="54" t="s">
        <v>184</v>
      </c>
      <c r="AO852" s="54">
        <v>5</v>
      </c>
      <c r="AP852" s="54">
        <v>10</v>
      </c>
      <c r="AQ852" s="54">
        <v>2844</v>
      </c>
      <c r="AR852" s="55">
        <v>28500</v>
      </c>
      <c r="AS852" s="78">
        <f t="shared" si="17"/>
        <v>9.9789473684210525E-2</v>
      </c>
    </row>
    <row r="853" spans="39:45">
      <c r="AM853" s="55">
        <v>2019</v>
      </c>
      <c r="AN853" s="55" t="s">
        <v>184</v>
      </c>
      <c r="AO853" s="55">
        <v>5</v>
      </c>
      <c r="AP853" s="55">
        <v>11</v>
      </c>
      <c r="AQ853" s="55">
        <v>1958.5</v>
      </c>
      <c r="AR853" s="55">
        <v>28500</v>
      </c>
      <c r="AS853" s="78">
        <f t="shared" si="17"/>
        <v>6.8719298245614041E-2</v>
      </c>
    </row>
    <row r="854" spans="39:45">
      <c r="AM854" s="54">
        <v>2019</v>
      </c>
      <c r="AN854" s="54" t="s">
        <v>184</v>
      </c>
      <c r="AO854" s="54">
        <v>5</v>
      </c>
      <c r="AP854" s="54">
        <v>12</v>
      </c>
      <c r="AQ854" s="54">
        <v>1878.5</v>
      </c>
      <c r="AR854" s="55">
        <v>28500</v>
      </c>
      <c r="AS854" s="78">
        <f t="shared" si="17"/>
        <v>6.591228070175438E-2</v>
      </c>
    </row>
    <row r="855" spans="39:45">
      <c r="AM855" s="55">
        <v>2019</v>
      </c>
      <c r="AN855" s="55" t="s">
        <v>184</v>
      </c>
      <c r="AO855" s="55">
        <v>5</v>
      </c>
      <c r="AP855" s="55">
        <v>13</v>
      </c>
      <c r="AQ855" s="55">
        <v>1582</v>
      </c>
      <c r="AR855" s="55">
        <v>28500</v>
      </c>
      <c r="AS855" s="78">
        <f t="shared" si="17"/>
        <v>5.5508771929824563E-2</v>
      </c>
    </row>
    <row r="856" spans="39:45">
      <c r="AM856" s="54">
        <v>2019</v>
      </c>
      <c r="AN856" s="54" t="s">
        <v>184</v>
      </c>
      <c r="AO856" s="54">
        <v>5</v>
      </c>
      <c r="AP856" s="54">
        <v>14</v>
      </c>
      <c r="AQ856" s="54">
        <v>1476</v>
      </c>
      <c r="AR856" s="55">
        <v>28500</v>
      </c>
      <c r="AS856" s="78">
        <f t="shared" si="17"/>
        <v>5.1789473684210524E-2</v>
      </c>
    </row>
    <row r="857" spans="39:45">
      <c r="AM857" s="55">
        <v>2019</v>
      </c>
      <c r="AN857" s="55" t="s">
        <v>184</v>
      </c>
      <c r="AO857" s="55">
        <v>5</v>
      </c>
      <c r="AP857" s="55">
        <v>15</v>
      </c>
      <c r="AQ857" s="55">
        <v>2481.5</v>
      </c>
      <c r="AR857" s="55">
        <v>28500</v>
      </c>
      <c r="AS857" s="78">
        <f t="shared" si="17"/>
        <v>8.7070175438596492E-2</v>
      </c>
    </row>
    <row r="858" spans="39:45">
      <c r="AM858" s="54">
        <v>2019</v>
      </c>
      <c r="AN858" s="54" t="s">
        <v>184</v>
      </c>
      <c r="AO858" s="54">
        <v>5</v>
      </c>
      <c r="AP858" s="54">
        <v>16</v>
      </c>
      <c r="AQ858" s="54">
        <v>365.5</v>
      </c>
      <c r="AR858" s="55">
        <v>28500</v>
      </c>
      <c r="AS858" s="78">
        <f t="shared" si="17"/>
        <v>1.2824561403508771E-2</v>
      </c>
    </row>
    <row r="859" spans="39:45">
      <c r="AM859" s="55">
        <v>2019</v>
      </c>
      <c r="AN859" s="55" t="s">
        <v>184</v>
      </c>
      <c r="AO859" s="55">
        <v>5</v>
      </c>
      <c r="AP859" s="55">
        <v>17</v>
      </c>
      <c r="AQ859" s="55">
        <v>0</v>
      </c>
      <c r="AR859" s="55">
        <v>28500</v>
      </c>
      <c r="AS859" s="78">
        <f t="shared" si="17"/>
        <v>0</v>
      </c>
    </row>
    <row r="860" spans="39:45">
      <c r="AM860" s="54">
        <v>2019</v>
      </c>
      <c r="AN860" s="54" t="s">
        <v>184</v>
      </c>
      <c r="AO860" s="54">
        <v>5</v>
      </c>
      <c r="AP860" s="54">
        <v>18</v>
      </c>
      <c r="AQ860" s="54">
        <v>0</v>
      </c>
      <c r="AR860" s="55">
        <v>28500</v>
      </c>
      <c r="AS860" s="78">
        <f t="shared" si="17"/>
        <v>0</v>
      </c>
    </row>
    <row r="861" spans="39:45">
      <c r="AM861" s="55">
        <v>2019</v>
      </c>
      <c r="AN861" s="55" t="s">
        <v>184</v>
      </c>
      <c r="AO861" s="55">
        <v>5</v>
      </c>
      <c r="AP861" s="55">
        <v>19</v>
      </c>
      <c r="AQ861" s="55">
        <v>0</v>
      </c>
      <c r="AR861" s="55">
        <v>28500</v>
      </c>
      <c r="AS861" s="78">
        <f t="shared" si="17"/>
        <v>0</v>
      </c>
    </row>
    <row r="862" spans="39:45">
      <c r="AM862" s="54">
        <v>2019</v>
      </c>
      <c r="AN862" s="54" t="s">
        <v>184</v>
      </c>
      <c r="AO862" s="54">
        <v>5</v>
      </c>
      <c r="AP862" s="54">
        <v>20</v>
      </c>
      <c r="AQ862" s="54">
        <v>0</v>
      </c>
      <c r="AR862" s="55">
        <v>28500</v>
      </c>
      <c r="AS862" s="78">
        <f t="shared" si="17"/>
        <v>0</v>
      </c>
    </row>
    <row r="863" spans="39:45">
      <c r="AM863" s="55">
        <v>2019</v>
      </c>
      <c r="AN863" s="55" t="s">
        <v>184</v>
      </c>
      <c r="AO863" s="55">
        <v>5</v>
      </c>
      <c r="AP863" s="55">
        <v>21</v>
      </c>
      <c r="AQ863" s="55">
        <v>0</v>
      </c>
      <c r="AR863" s="55">
        <v>28500</v>
      </c>
      <c r="AS863" s="78">
        <f t="shared" si="17"/>
        <v>0</v>
      </c>
    </row>
    <row r="864" spans="39:45">
      <c r="AM864" s="54">
        <v>2019</v>
      </c>
      <c r="AN864" s="54" t="s">
        <v>184</v>
      </c>
      <c r="AO864" s="54">
        <v>5</v>
      </c>
      <c r="AP864" s="54">
        <v>22</v>
      </c>
      <c r="AQ864" s="54">
        <v>0</v>
      </c>
      <c r="AR864" s="55">
        <v>28500</v>
      </c>
      <c r="AS864" s="78">
        <f t="shared" si="17"/>
        <v>0</v>
      </c>
    </row>
    <row r="865" spans="39:45">
      <c r="AM865" s="55">
        <v>2019</v>
      </c>
      <c r="AN865" s="55" t="s">
        <v>184</v>
      </c>
      <c r="AO865" s="55">
        <v>5</v>
      </c>
      <c r="AP865" s="55">
        <v>23</v>
      </c>
      <c r="AQ865" s="55">
        <v>0</v>
      </c>
      <c r="AR865" s="55">
        <v>28500</v>
      </c>
      <c r="AS865" s="78">
        <f t="shared" si="17"/>
        <v>0</v>
      </c>
    </row>
    <row r="866" spans="39:45">
      <c r="AM866" s="54">
        <v>2019</v>
      </c>
      <c r="AN866" s="54" t="s">
        <v>184</v>
      </c>
      <c r="AO866" s="54">
        <v>6</v>
      </c>
      <c r="AP866" s="54">
        <v>24</v>
      </c>
      <c r="AQ866" s="54">
        <v>0</v>
      </c>
      <c r="AR866" s="55">
        <v>28500</v>
      </c>
      <c r="AS866" s="78">
        <f t="shared" si="17"/>
        <v>0</v>
      </c>
    </row>
    <row r="867" spans="39:45">
      <c r="AM867" s="55">
        <v>2019</v>
      </c>
      <c r="AN867" s="55" t="s">
        <v>184</v>
      </c>
      <c r="AO867" s="55">
        <v>6</v>
      </c>
      <c r="AP867" s="55">
        <v>1</v>
      </c>
      <c r="AQ867" s="55">
        <v>0</v>
      </c>
      <c r="AR867" s="55">
        <v>28500</v>
      </c>
      <c r="AS867" s="78">
        <f t="shared" si="17"/>
        <v>0</v>
      </c>
    </row>
    <row r="868" spans="39:45">
      <c r="AM868" s="54">
        <v>2019</v>
      </c>
      <c r="AN868" s="54" t="s">
        <v>184</v>
      </c>
      <c r="AO868" s="54">
        <v>6</v>
      </c>
      <c r="AP868" s="54">
        <v>2</v>
      </c>
      <c r="AQ868" s="54">
        <v>0</v>
      </c>
      <c r="AR868" s="55">
        <v>28500</v>
      </c>
      <c r="AS868" s="78">
        <f t="shared" si="17"/>
        <v>0</v>
      </c>
    </row>
    <row r="869" spans="39:45">
      <c r="AM869" s="55">
        <v>2019</v>
      </c>
      <c r="AN869" s="55" t="s">
        <v>184</v>
      </c>
      <c r="AO869" s="55">
        <v>6</v>
      </c>
      <c r="AP869" s="55">
        <v>3</v>
      </c>
      <c r="AQ869" s="55">
        <v>0</v>
      </c>
      <c r="AR869" s="55">
        <v>28500</v>
      </c>
      <c r="AS869" s="78">
        <f t="shared" si="17"/>
        <v>0</v>
      </c>
    </row>
    <row r="870" spans="39:45">
      <c r="AM870" s="54">
        <v>2019</v>
      </c>
      <c r="AN870" s="54" t="s">
        <v>184</v>
      </c>
      <c r="AO870" s="54">
        <v>6</v>
      </c>
      <c r="AP870" s="54">
        <v>4</v>
      </c>
      <c r="AQ870" s="54">
        <v>0</v>
      </c>
      <c r="AR870" s="55">
        <v>28500</v>
      </c>
      <c r="AS870" s="78">
        <f t="shared" si="17"/>
        <v>0</v>
      </c>
    </row>
    <row r="871" spans="39:45">
      <c r="AM871" s="55">
        <v>2019</v>
      </c>
      <c r="AN871" s="55" t="s">
        <v>184</v>
      </c>
      <c r="AO871" s="55">
        <v>6</v>
      </c>
      <c r="AP871" s="55">
        <v>5</v>
      </c>
      <c r="AQ871" s="55">
        <v>0</v>
      </c>
      <c r="AR871" s="55">
        <v>28500</v>
      </c>
      <c r="AS871" s="78">
        <f t="shared" si="17"/>
        <v>0</v>
      </c>
    </row>
    <row r="872" spans="39:45">
      <c r="AM872" s="54">
        <v>2019</v>
      </c>
      <c r="AN872" s="54" t="s">
        <v>184</v>
      </c>
      <c r="AO872" s="54">
        <v>6</v>
      </c>
      <c r="AP872" s="54">
        <v>6</v>
      </c>
      <c r="AQ872" s="54">
        <v>0</v>
      </c>
      <c r="AR872" s="55">
        <v>28500</v>
      </c>
      <c r="AS872" s="78">
        <f t="shared" si="17"/>
        <v>0</v>
      </c>
    </row>
    <row r="873" spans="39:45">
      <c r="AM873" s="55">
        <v>2019</v>
      </c>
      <c r="AN873" s="55" t="s">
        <v>184</v>
      </c>
      <c r="AO873" s="55">
        <v>6</v>
      </c>
      <c r="AP873" s="55">
        <v>7</v>
      </c>
      <c r="AQ873" s="55">
        <v>0</v>
      </c>
      <c r="AR873" s="55">
        <v>28500</v>
      </c>
      <c r="AS873" s="78">
        <f t="shared" si="17"/>
        <v>0</v>
      </c>
    </row>
    <row r="874" spans="39:45">
      <c r="AM874" s="54">
        <v>2019</v>
      </c>
      <c r="AN874" s="54" t="s">
        <v>184</v>
      </c>
      <c r="AO874" s="54">
        <v>6</v>
      </c>
      <c r="AP874" s="54">
        <v>8</v>
      </c>
      <c r="AQ874" s="54">
        <v>3020.5</v>
      </c>
      <c r="AR874" s="55">
        <v>28500</v>
      </c>
      <c r="AS874" s="78">
        <f t="shared" si="17"/>
        <v>0.10598245614035087</v>
      </c>
    </row>
    <row r="875" spans="39:45">
      <c r="AM875" s="55">
        <v>2019</v>
      </c>
      <c r="AN875" s="55" t="s">
        <v>184</v>
      </c>
      <c r="AO875" s="55">
        <v>6</v>
      </c>
      <c r="AP875" s="55">
        <v>9</v>
      </c>
      <c r="AQ875" s="55">
        <v>12836</v>
      </c>
      <c r="AR875" s="55">
        <v>28500</v>
      </c>
      <c r="AS875" s="78">
        <f t="shared" si="17"/>
        <v>0.45038596491228072</v>
      </c>
    </row>
    <row r="876" spans="39:45">
      <c r="AM876" s="54">
        <v>2019</v>
      </c>
      <c r="AN876" s="54" t="s">
        <v>184</v>
      </c>
      <c r="AO876" s="54">
        <v>6</v>
      </c>
      <c r="AP876" s="54">
        <v>10</v>
      </c>
      <c r="AQ876" s="54">
        <v>17421</v>
      </c>
      <c r="AR876" s="55">
        <v>28500</v>
      </c>
      <c r="AS876" s="78">
        <f t="shared" si="17"/>
        <v>0.61126315789473684</v>
      </c>
    </row>
    <row r="877" spans="39:45">
      <c r="AM877" s="55">
        <v>2019</v>
      </c>
      <c r="AN877" s="55" t="s">
        <v>184</v>
      </c>
      <c r="AO877" s="55">
        <v>6</v>
      </c>
      <c r="AP877" s="55">
        <v>11</v>
      </c>
      <c r="AQ877" s="55">
        <v>11619.5</v>
      </c>
      <c r="AR877" s="55">
        <v>28500</v>
      </c>
      <c r="AS877" s="78">
        <f t="shared" si="17"/>
        <v>0.4077017543859649</v>
      </c>
    </row>
    <row r="878" spans="39:45">
      <c r="AM878" s="54">
        <v>2019</v>
      </c>
      <c r="AN878" s="54" t="s">
        <v>184</v>
      </c>
      <c r="AO878" s="54">
        <v>6</v>
      </c>
      <c r="AP878" s="54">
        <v>12</v>
      </c>
      <c r="AQ878" s="54">
        <v>8326</v>
      </c>
      <c r="AR878" s="55">
        <v>28500</v>
      </c>
      <c r="AS878" s="78">
        <f t="shared" si="17"/>
        <v>0.29214035087719298</v>
      </c>
    </row>
    <row r="879" spans="39:45">
      <c r="AM879" s="55">
        <v>2019</v>
      </c>
      <c r="AN879" s="55" t="s">
        <v>184</v>
      </c>
      <c r="AO879" s="55">
        <v>6</v>
      </c>
      <c r="AP879" s="55">
        <v>13</v>
      </c>
      <c r="AQ879" s="55">
        <v>12328.5</v>
      </c>
      <c r="AR879" s="55">
        <v>28500</v>
      </c>
      <c r="AS879" s="78">
        <f t="shared" si="17"/>
        <v>0.43257894736842106</v>
      </c>
    </row>
    <row r="880" spans="39:45">
      <c r="AM880" s="54">
        <v>2019</v>
      </c>
      <c r="AN880" s="54" t="s">
        <v>184</v>
      </c>
      <c r="AO880" s="54">
        <v>6</v>
      </c>
      <c r="AP880" s="54">
        <v>14</v>
      </c>
      <c r="AQ880" s="54">
        <v>6214.5</v>
      </c>
      <c r="AR880" s="55">
        <v>28500</v>
      </c>
      <c r="AS880" s="78">
        <f t="shared" si="17"/>
        <v>0.21805263157894736</v>
      </c>
    </row>
    <row r="881" spans="39:45">
      <c r="AM881" s="55">
        <v>2019</v>
      </c>
      <c r="AN881" s="55" t="s">
        <v>184</v>
      </c>
      <c r="AO881" s="55">
        <v>6</v>
      </c>
      <c r="AP881" s="55">
        <v>15</v>
      </c>
      <c r="AQ881" s="55">
        <v>10823</v>
      </c>
      <c r="AR881" s="55">
        <v>28500</v>
      </c>
      <c r="AS881" s="78">
        <f t="shared" si="17"/>
        <v>0.37975438596491229</v>
      </c>
    </row>
    <row r="882" spans="39:45">
      <c r="AM882" s="54">
        <v>2019</v>
      </c>
      <c r="AN882" s="54" t="s">
        <v>184</v>
      </c>
      <c r="AO882" s="54">
        <v>6</v>
      </c>
      <c r="AP882" s="54">
        <v>16</v>
      </c>
      <c r="AQ882" s="54">
        <v>936.5</v>
      </c>
      <c r="AR882" s="55">
        <v>28500</v>
      </c>
      <c r="AS882" s="78">
        <f t="shared" si="17"/>
        <v>3.2859649122807019E-2</v>
      </c>
    </row>
    <row r="883" spans="39:45">
      <c r="AM883" s="55">
        <v>2019</v>
      </c>
      <c r="AN883" s="55" t="s">
        <v>184</v>
      </c>
      <c r="AO883" s="55">
        <v>6</v>
      </c>
      <c r="AP883" s="55">
        <v>17</v>
      </c>
      <c r="AQ883" s="55">
        <v>0</v>
      </c>
      <c r="AR883" s="55">
        <v>28500</v>
      </c>
      <c r="AS883" s="78">
        <f t="shared" si="17"/>
        <v>0</v>
      </c>
    </row>
    <row r="884" spans="39:45">
      <c r="AM884" s="54">
        <v>2019</v>
      </c>
      <c r="AN884" s="54" t="s">
        <v>184</v>
      </c>
      <c r="AO884" s="54">
        <v>6</v>
      </c>
      <c r="AP884" s="54">
        <v>18</v>
      </c>
      <c r="AQ884" s="54">
        <v>0</v>
      </c>
      <c r="AR884" s="55">
        <v>28500</v>
      </c>
      <c r="AS884" s="78">
        <f t="shared" si="17"/>
        <v>0</v>
      </c>
    </row>
    <row r="885" spans="39:45">
      <c r="AM885" s="55">
        <v>2019</v>
      </c>
      <c r="AN885" s="55" t="s">
        <v>184</v>
      </c>
      <c r="AO885" s="55">
        <v>6</v>
      </c>
      <c r="AP885" s="55">
        <v>19</v>
      </c>
      <c r="AQ885" s="55">
        <v>0</v>
      </c>
      <c r="AR885" s="55">
        <v>28500</v>
      </c>
      <c r="AS885" s="78">
        <f t="shared" si="17"/>
        <v>0</v>
      </c>
    </row>
    <row r="886" spans="39:45">
      <c r="AM886" s="54">
        <v>2019</v>
      </c>
      <c r="AN886" s="54" t="s">
        <v>184</v>
      </c>
      <c r="AO886" s="54">
        <v>6</v>
      </c>
      <c r="AP886" s="54">
        <v>20</v>
      </c>
      <c r="AQ886" s="54">
        <v>0</v>
      </c>
      <c r="AR886" s="55">
        <v>28500</v>
      </c>
      <c r="AS886" s="78">
        <f t="shared" si="17"/>
        <v>0</v>
      </c>
    </row>
    <row r="887" spans="39:45">
      <c r="AM887" s="55">
        <v>2019</v>
      </c>
      <c r="AN887" s="55" t="s">
        <v>184</v>
      </c>
      <c r="AO887" s="55">
        <v>6</v>
      </c>
      <c r="AP887" s="55">
        <v>21</v>
      </c>
      <c r="AQ887" s="55">
        <v>0</v>
      </c>
      <c r="AR887" s="55">
        <v>28500</v>
      </c>
      <c r="AS887" s="78">
        <f t="shared" si="17"/>
        <v>0</v>
      </c>
    </row>
    <row r="888" spans="39:45">
      <c r="AM888" s="54">
        <v>2019</v>
      </c>
      <c r="AN888" s="54" t="s">
        <v>184</v>
      </c>
      <c r="AO888" s="54">
        <v>6</v>
      </c>
      <c r="AP888" s="54">
        <v>22</v>
      </c>
      <c r="AQ888" s="54">
        <v>0</v>
      </c>
      <c r="AR888" s="55">
        <v>28500</v>
      </c>
      <c r="AS888" s="78">
        <f t="shared" si="17"/>
        <v>0</v>
      </c>
    </row>
    <row r="889" spans="39:45">
      <c r="AM889" s="55">
        <v>2019</v>
      </c>
      <c r="AN889" s="55" t="s">
        <v>184</v>
      </c>
      <c r="AO889" s="55">
        <v>6</v>
      </c>
      <c r="AP889" s="55">
        <v>23</v>
      </c>
      <c r="AQ889" s="55">
        <v>0</v>
      </c>
      <c r="AR889" s="55">
        <v>28500</v>
      </c>
      <c r="AS889" s="78">
        <f t="shared" si="17"/>
        <v>0</v>
      </c>
    </row>
    <row r="890" spans="39:45">
      <c r="AM890" s="54">
        <v>2019</v>
      </c>
      <c r="AN890" s="54" t="s">
        <v>184</v>
      </c>
      <c r="AO890" s="54">
        <v>7</v>
      </c>
      <c r="AP890" s="54">
        <v>24</v>
      </c>
      <c r="AQ890" s="54">
        <v>0</v>
      </c>
      <c r="AR890" s="55">
        <v>28500</v>
      </c>
      <c r="AS890" s="78">
        <f t="shared" si="17"/>
        <v>0</v>
      </c>
    </row>
    <row r="891" spans="39:45">
      <c r="AM891" s="55">
        <v>2019</v>
      </c>
      <c r="AN891" s="55" t="s">
        <v>184</v>
      </c>
      <c r="AO891" s="55">
        <v>7</v>
      </c>
      <c r="AP891" s="55">
        <v>1</v>
      </c>
      <c r="AQ891" s="55">
        <v>0</v>
      </c>
      <c r="AR891" s="55">
        <v>28500</v>
      </c>
      <c r="AS891" s="78">
        <f t="shared" si="17"/>
        <v>0</v>
      </c>
    </row>
    <row r="892" spans="39:45">
      <c r="AM892" s="54">
        <v>2019</v>
      </c>
      <c r="AN892" s="54" t="s">
        <v>184</v>
      </c>
      <c r="AO892" s="54">
        <v>7</v>
      </c>
      <c r="AP892" s="54">
        <v>2</v>
      </c>
      <c r="AQ892" s="54">
        <v>0</v>
      </c>
      <c r="AR892" s="55">
        <v>28500</v>
      </c>
      <c r="AS892" s="78">
        <f t="shared" si="17"/>
        <v>0</v>
      </c>
    </row>
    <row r="893" spans="39:45">
      <c r="AM893" s="55">
        <v>2019</v>
      </c>
      <c r="AN893" s="55" t="s">
        <v>184</v>
      </c>
      <c r="AO893" s="55">
        <v>7</v>
      </c>
      <c r="AP893" s="55">
        <v>3</v>
      </c>
      <c r="AQ893" s="55">
        <v>0</v>
      </c>
      <c r="AR893" s="55">
        <v>28500</v>
      </c>
      <c r="AS893" s="78">
        <f t="shared" si="17"/>
        <v>0</v>
      </c>
    </row>
    <row r="894" spans="39:45">
      <c r="AM894" s="54">
        <v>2019</v>
      </c>
      <c r="AN894" s="54" t="s">
        <v>184</v>
      </c>
      <c r="AO894" s="54">
        <v>7</v>
      </c>
      <c r="AP894" s="54">
        <v>4</v>
      </c>
      <c r="AQ894" s="54">
        <v>0</v>
      </c>
      <c r="AR894" s="55">
        <v>28500</v>
      </c>
      <c r="AS894" s="78">
        <f t="shared" si="17"/>
        <v>0</v>
      </c>
    </row>
    <row r="895" spans="39:45">
      <c r="AM895" s="55">
        <v>2019</v>
      </c>
      <c r="AN895" s="55" t="s">
        <v>184</v>
      </c>
      <c r="AO895" s="55">
        <v>7</v>
      </c>
      <c r="AP895" s="55">
        <v>5</v>
      </c>
      <c r="AQ895" s="55">
        <v>0</v>
      </c>
      <c r="AR895" s="55">
        <v>28500</v>
      </c>
      <c r="AS895" s="78">
        <f t="shared" si="17"/>
        <v>0</v>
      </c>
    </row>
    <row r="896" spans="39:45">
      <c r="AM896" s="54">
        <v>2019</v>
      </c>
      <c r="AN896" s="54" t="s">
        <v>184</v>
      </c>
      <c r="AO896" s="54">
        <v>7</v>
      </c>
      <c r="AP896" s="54">
        <v>6</v>
      </c>
      <c r="AQ896" s="54">
        <v>0</v>
      </c>
      <c r="AR896" s="55">
        <v>28500</v>
      </c>
      <c r="AS896" s="78">
        <f t="shared" si="17"/>
        <v>0</v>
      </c>
    </row>
    <row r="897" spans="39:45">
      <c r="AM897" s="55">
        <v>2019</v>
      </c>
      <c r="AN897" s="55" t="s">
        <v>184</v>
      </c>
      <c r="AO897" s="55">
        <v>7</v>
      </c>
      <c r="AP897" s="55">
        <v>7</v>
      </c>
      <c r="AQ897" s="55">
        <v>0</v>
      </c>
      <c r="AR897" s="55">
        <v>28500</v>
      </c>
      <c r="AS897" s="78">
        <f t="shared" si="17"/>
        <v>0</v>
      </c>
    </row>
    <row r="898" spans="39:45">
      <c r="AM898" s="54">
        <v>2019</v>
      </c>
      <c r="AN898" s="54" t="s">
        <v>184</v>
      </c>
      <c r="AO898" s="54">
        <v>7</v>
      </c>
      <c r="AP898" s="54">
        <v>8</v>
      </c>
      <c r="AQ898" s="54">
        <v>7936.5</v>
      </c>
      <c r="AR898" s="55">
        <v>28500</v>
      </c>
      <c r="AS898" s="78">
        <f t="shared" ref="AS898:AS961" si="18">AQ898/AR898</f>
        <v>0.27847368421052632</v>
      </c>
    </row>
    <row r="899" spans="39:45">
      <c r="AM899" s="55">
        <v>2019</v>
      </c>
      <c r="AN899" s="55" t="s">
        <v>184</v>
      </c>
      <c r="AO899" s="55">
        <v>7</v>
      </c>
      <c r="AP899" s="55">
        <v>9</v>
      </c>
      <c r="AQ899" s="55">
        <v>21486</v>
      </c>
      <c r="AR899" s="55">
        <v>28500</v>
      </c>
      <c r="AS899" s="78">
        <f t="shared" si="18"/>
        <v>0.75389473684210528</v>
      </c>
    </row>
    <row r="900" spans="39:45">
      <c r="AM900" s="54">
        <v>2019</v>
      </c>
      <c r="AN900" s="54" t="s">
        <v>184</v>
      </c>
      <c r="AO900" s="54">
        <v>7</v>
      </c>
      <c r="AP900" s="54">
        <v>10</v>
      </c>
      <c r="AQ900" s="54">
        <v>20874</v>
      </c>
      <c r="AR900" s="55">
        <v>28500</v>
      </c>
      <c r="AS900" s="78">
        <f t="shared" si="18"/>
        <v>0.73242105263157897</v>
      </c>
    </row>
    <row r="901" spans="39:45">
      <c r="AM901" s="55">
        <v>2019</v>
      </c>
      <c r="AN901" s="55" t="s">
        <v>184</v>
      </c>
      <c r="AO901" s="55">
        <v>7</v>
      </c>
      <c r="AP901" s="55">
        <v>11</v>
      </c>
      <c r="AQ901" s="55">
        <v>21746</v>
      </c>
      <c r="AR901" s="55">
        <v>28500</v>
      </c>
      <c r="AS901" s="78">
        <f t="shared" si="18"/>
        <v>0.76301754385964915</v>
      </c>
    </row>
    <row r="902" spans="39:45">
      <c r="AM902" s="54">
        <v>2019</v>
      </c>
      <c r="AN902" s="54" t="s">
        <v>184</v>
      </c>
      <c r="AO902" s="54">
        <v>7</v>
      </c>
      <c r="AP902" s="54">
        <v>12</v>
      </c>
      <c r="AQ902" s="54">
        <v>29230</v>
      </c>
      <c r="AR902" s="55">
        <v>28500</v>
      </c>
      <c r="AS902" s="78">
        <f t="shared" si="18"/>
        <v>1.0256140350877192</v>
      </c>
    </row>
    <row r="903" spans="39:45">
      <c r="AM903" s="55">
        <v>2019</v>
      </c>
      <c r="AN903" s="55" t="s">
        <v>184</v>
      </c>
      <c r="AO903" s="55">
        <v>7</v>
      </c>
      <c r="AP903" s="55">
        <v>13</v>
      </c>
      <c r="AQ903" s="55">
        <v>32561.5</v>
      </c>
      <c r="AR903" s="55">
        <v>28500</v>
      </c>
      <c r="AS903" s="78">
        <f t="shared" si="18"/>
        <v>1.1425087719298246</v>
      </c>
    </row>
    <row r="904" spans="39:45">
      <c r="AM904" s="54">
        <v>2019</v>
      </c>
      <c r="AN904" s="54" t="s">
        <v>184</v>
      </c>
      <c r="AO904" s="54">
        <v>7</v>
      </c>
      <c r="AP904" s="54">
        <v>14</v>
      </c>
      <c r="AQ904" s="54">
        <v>10110</v>
      </c>
      <c r="AR904" s="55">
        <v>28500</v>
      </c>
      <c r="AS904" s="78">
        <f t="shared" si="18"/>
        <v>0.35473684210526318</v>
      </c>
    </row>
    <row r="905" spans="39:45">
      <c r="AM905" s="55">
        <v>2019</v>
      </c>
      <c r="AN905" s="55" t="s">
        <v>184</v>
      </c>
      <c r="AO905" s="55">
        <v>7</v>
      </c>
      <c r="AP905" s="55">
        <v>15</v>
      </c>
      <c r="AQ905" s="55">
        <v>21993.5</v>
      </c>
      <c r="AR905" s="55">
        <v>28500</v>
      </c>
      <c r="AS905" s="78">
        <f t="shared" si="18"/>
        <v>0.77170175438596489</v>
      </c>
    </row>
    <row r="906" spans="39:45">
      <c r="AM906" s="54">
        <v>2019</v>
      </c>
      <c r="AN906" s="54" t="s">
        <v>184</v>
      </c>
      <c r="AO906" s="54">
        <v>7</v>
      </c>
      <c r="AP906" s="54">
        <v>16</v>
      </c>
      <c r="AQ906" s="54">
        <v>8377</v>
      </c>
      <c r="AR906" s="55">
        <v>28500</v>
      </c>
      <c r="AS906" s="78">
        <f t="shared" si="18"/>
        <v>0.29392982456140349</v>
      </c>
    </row>
    <row r="907" spans="39:45">
      <c r="AM907" s="55">
        <v>2019</v>
      </c>
      <c r="AN907" s="55" t="s">
        <v>184</v>
      </c>
      <c r="AO907" s="55">
        <v>7</v>
      </c>
      <c r="AP907" s="55">
        <v>17</v>
      </c>
      <c r="AQ907" s="55">
        <v>0</v>
      </c>
      <c r="AR907" s="55">
        <v>28500</v>
      </c>
      <c r="AS907" s="78">
        <f t="shared" si="18"/>
        <v>0</v>
      </c>
    </row>
    <row r="908" spans="39:45">
      <c r="AM908" s="54">
        <v>2019</v>
      </c>
      <c r="AN908" s="54" t="s">
        <v>184</v>
      </c>
      <c r="AO908" s="54">
        <v>7</v>
      </c>
      <c r="AP908" s="54">
        <v>18</v>
      </c>
      <c r="AQ908" s="54">
        <v>0</v>
      </c>
      <c r="AR908" s="55">
        <v>28500</v>
      </c>
      <c r="AS908" s="78">
        <f t="shared" si="18"/>
        <v>0</v>
      </c>
    </row>
    <row r="909" spans="39:45">
      <c r="AM909" s="55">
        <v>2019</v>
      </c>
      <c r="AN909" s="55" t="s">
        <v>184</v>
      </c>
      <c r="AO909" s="55">
        <v>7</v>
      </c>
      <c r="AP909" s="55">
        <v>19</v>
      </c>
      <c r="AQ909" s="55">
        <v>0</v>
      </c>
      <c r="AR909" s="55">
        <v>28500</v>
      </c>
      <c r="AS909" s="78">
        <f t="shared" si="18"/>
        <v>0</v>
      </c>
    </row>
    <row r="910" spans="39:45">
      <c r="AM910" s="54">
        <v>2019</v>
      </c>
      <c r="AN910" s="54" t="s">
        <v>184</v>
      </c>
      <c r="AO910" s="54">
        <v>7</v>
      </c>
      <c r="AP910" s="54">
        <v>20</v>
      </c>
      <c r="AQ910" s="54">
        <v>0</v>
      </c>
      <c r="AR910" s="55">
        <v>28500</v>
      </c>
      <c r="AS910" s="78">
        <f t="shared" si="18"/>
        <v>0</v>
      </c>
    </row>
    <row r="911" spans="39:45">
      <c r="AM911" s="55">
        <v>2019</v>
      </c>
      <c r="AN911" s="55" t="s">
        <v>184</v>
      </c>
      <c r="AO911" s="55">
        <v>7</v>
      </c>
      <c r="AP911" s="55">
        <v>21</v>
      </c>
      <c r="AQ911" s="55">
        <v>0</v>
      </c>
      <c r="AR911" s="55">
        <v>28500</v>
      </c>
      <c r="AS911" s="78">
        <f t="shared" si="18"/>
        <v>0</v>
      </c>
    </row>
    <row r="912" spans="39:45">
      <c r="AM912" s="54">
        <v>2019</v>
      </c>
      <c r="AN912" s="54" t="s">
        <v>184</v>
      </c>
      <c r="AO912" s="54">
        <v>7</v>
      </c>
      <c r="AP912" s="54">
        <v>22</v>
      </c>
      <c r="AQ912" s="54">
        <v>0</v>
      </c>
      <c r="AR912" s="55">
        <v>28500</v>
      </c>
      <c r="AS912" s="78">
        <f t="shared" si="18"/>
        <v>0</v>
      </c>
    </row>
    <row r="913" spans="39:45">
      <c r="AM913" s="55">
        <v>2019</v>
      </c>
      <c r="AN913" s="55" t="s">
        <v>184</v>
      </c>
      <c r="AO913" s="55">
        <v>7</v>
      </c>
      <c r="AP913" s="55">
        <v>23</v>
      </c>
      <c r="AQ913" s="55">
        <v>0</v>
      </c>
      <c r="AR913" s="55">
        <v>28500</v>
      </c>
      <c r="AS913" s="78">
        <f t="shared" si="18"/>
        <v>0</v>
      </c>
    </row>
    <row r="914" spans="39:45">
      <c r="AM914" s="54">
        <v>2019</v>
      </c>
      <c r="AN914" s="54" t="s">
        <v>184</v>
      </c>
      <c r="AO914" s="54">
        <v>8</v>
      </c>
      <c r="AP914" s="54">
        <v>24</v>
      </c>
      <c r="AQ914" s="54">
        <v>0</v>
      </c>
      <c r="AR914" s="55">
        <v>28500</v>
      </c>
      <c r="AS914" s="78">
        <f t="shared" si="18"/>
        <v>0</v>
      </c>
    </row>
    <row r="915" spans="39:45">
      <c r="AM915" s="55">
        <v>2019</v>
      </c>
      <c r="AN915" s="55" t="s">
        <v>184</v>
      </c>
      <c r="AO915" s="55">
        <v>8</v>
      </c>
      <c r="AP915" s="55">
        <v>1</v>
      </c>
      <c r="AQ915" s="55">
        <v>0</v>
      </c>
      <c r="AR915" s="55">
        <v>28500</v>
      </c>
      <c r="AS915" s="78">
        <f t="shared" si="18"/>
        <v>0</v>
      </c>
    </row>
    <row r="916" spans="39:45">
      <c r="AM916" s="54">
        <v>2019</v>
      </c>
      <c r="AN916" s="54" t="s">
        <v>184</v>
      </c>
      <c r="AO916" s="54">
        <v>8</v>
      </c>
      <c r="AP916" s="54">
        <v>2</v>
      </c>
      <c r="AQ916" s="54">
        <v>0</v>
      </c>
      <c r="AR916" s="55">
        <v>28500</v>
      </c>
      <c r="AS916" s="78">
        <f t="shared" si="18"/>
        <v>0</v>
      </c>
    </row>
    <row r="917" spans="39:45">
      <c r="AM917" s="55">
        <v>2019</v>
      </c>
      <c r="AN917" s="55" t="s">
        <v>184</v>
      </c>
      <c r="AO917" s="55">
        <v>8</v>
      </c>
      <c r="AP917" s="55">
        <v>3</v>
      </c>
      <c r="AQ917" s="55">
        <v>0</v>
      </c>
      <c r="AR917" s="55">
        <v>28500</v>
      </c>
      <c r="AS917" s="78">
        <f t="shared" si="18"/>
        <v>0</v>
      </c>
    </row>
    <row r="918" spans="39:45">
      <c r="AM918" s="54">
        <v>2019</v>
      </c>
      <c r="AN918" s="54" t="s">
        <v>184</v>
      </c>
      <c r="AO918" s="54">
        <v>8</v>
      </c>
      <c r="AP918" s="54">
        <v>4</v>
      </c>
      <c r="AQ918" s="54">
        <v>0</v>
      </c>
      <c r="AR918" s="55">
        <v>28500</v>
      </c>
      <c r="AS918" s="78">
        <f t="shared" si="18"/>
        <v>0</v>
      </c>
    </row>
    <row r="919" spans="39:45">
      <c r="AM919" s="55">
        <v>2019</v>
      </c>
      <c r="AN919" s="55" t="s">
        <v>184</v>
      </c>
      <c r="AO919" s="55">
        <v>8</v>
      </c>
      <c r="AP919" s="55">
        <v>5</v>
      </c>
      <c r="AQ919" s="55">
        <v>0</v>
      </c>
      <c r="AR919" s="55">
        <v>28500</v>
      </c>
      <c r="AS919" s="78">
        <f t="shared" si="18"/>
        <v>0</v>
      </c>
    </row>
    <row r="920" spans="39:45">
      <c r="AM920" s="54">
        <v>2019</v>
      </c>
      <c r="AN920" s="54" t="s">
        <v>184</v>
      </c>
      <c r="AO920" s="54">
        <v>8</v>
      </c>
      <c r="AP920" s="54">
        <v>6</v>
      </c>
      <c r="AQ920" s="54">
        <v>0</v>
      </c>
      <c r="AR920" s="55">
        <v>28500</v>
      </c>
      <c r="AS920" s="78">
        <f t="shared" si="18"/>
        <v>0</v>
      </c>
    </row>
    <row r="921" spans="39:45">
      <c r="AM921" s="55">
        <v>2019</v>
      </c>
      <c r="AN921" s="55" t="s">
        <v>184</v>
      </c>
      <c r="AO921" s="55">
        <v>8</v>
      </c>
      <c r="AP921" s="55">
        <v>7</v>
      </c>
      <c r="AQ921" s="55">
        <v>0</v>
      </c>
      <c r="AR921" s="55">
        <v>28500</v>
      </c>
      <c r="AS921" s="78">
        <f t="shared" si="18"/>
        <v>0</v>
      </c>
    </row>
    <row r="922" spans="39:45">
      <c r="AM922" s="54">
        <v>2019</v>
      </c>
      <c r="AN922" s="54" t="s">
        <v>184</v>
      </c>
      <c r="AO922" s="54">
        <v>8</v>
      </c>
      <c r="AP922" s="54">
        <v>8</v>
      </c>
      <c r="AQ922" s="54">
        <v>277</v>
      </c>
      <c r="AR922" s="55">
        <v>28500</v>
      </c>
      <c r="AS922" s="78">
        <f t="shared" si="18"/>
        <v>9.7192982456140355E-3</v>
      </c>
    </row>
    <row r="923" spans="39:45">
      <c r="AM923" s="55">
        <v>2019</v>
      </c>
      <c r="AN923" s="55" t="s">
        <v>184</v>
      </c>
      <c r="AO923" s="55">
        <v>8</v>
      </c>
      <c r="AP923" s="55">
        <v>9</v>
      </c>
      <c r="AQ923" s="55">
        <v>707.5</v>
      </c>
      <c r="AR923" s="55">
        <v>28500</v>
      </c>
      <c r="AS923" s="78">
        <f t="shared" si="18"/>
        <v>2.4824561403508773E-2</v>
      </c>
    </row>
    <row r="924" spans="39:45">
      <c r="AM924" s="54">
        <v>2019</v>
      </c>
      <c r="AN924" s="54" t="s">
        <v>184</v>
      </c>
      <c r="AO924" s="54">
        <v>8</v>
      </c>
      <c r="AP924" s="54">
        <v>10</v>
      </c>
      <c r="AQ924" s="54">
        <v>1617.5</v>
      </c>
      <c r="AR924" s="55">
        <v>28500</v>
      </c>
      <c r="AS924" s="78">
        <f t="shared" si="18"/>
        <v>5.6754385964912279E-2</v>
      </c>
    </row>
    <row r="925" spans="39:45">
      <c r="AM925" s="55">
        <v>2019</v>
      </c>
      <c r="AN925" s="55" t="s">
        <v>184</v>
      </c>
      <c r="AO925" s="55">
        <v>8</v>
      </c>
      <c r="AP925" s="55">
        <v>11</v>
      </c>
      <c r="AQ925" s="55">
        <v>2863</v>
      </c>
      <c r="AR925" s="55">
        <v>28500</v>
      </c>
      <c r="AS925" s="78">
        <f t="shared" si="18"/>
        <v>0.10045614035087719</v>
      </c>
    </row>
    <row r="926" spans="39:45">
      <c r="AM926" s="54">
        <v>2019</v>
      </c>
      <c r="AN926" s="54" t="s">
        <v>184</v>
      </c>
      <c r="AO926" s="54">
        <v>8</v>
      </c>
      <c r="AP926" s="54">
        <v>12</v>
      </c>
      <c r="AQ926" s="54">
        <v>4548.5</v>
      </c>
      <c r="AR926" s="55">
        <v>28500</v>
      </c>
      <c r="AS926" s="78">
        <f t="shared" si="18"/>
        <v>0.15959649122807018</v>
      </c>
    </row>
    <row r="927" spans="39:45">
      <c r="AM927" s="55">
        <v>2019</v>
      </c>
      <c r="AN927" s="55" t="s">
        <v>184</v>
      </c>
      <c r="AO927" s="55">
        <v>8</v>
      </c>
      <c r="AP927" s="55">
        <v>13</v>
      </c>
      <c r="AQ927" s="55">
        <v>3203.5</v>
      </c>
      <c r="AR927" s="55">
        <v>28500</v>
      </c>
      <c r="AS927" s="78">
        <f t="shared" si="18"/>
        <v>0.11240350877192982</v>
      </c>
    </row>
    <row r="928" spans="39:45">
      <c r="AM928" s="54">
        <v>2019</v>
      </c>
      <c r="AN928" s="54" t="s">
        <v>184</v>
      </c>
      <c r="AO928" s="54">
        <v>8</v>
      </c>
      <c r="AP928" s="54">
        <v>14</v>
      </c>
      <c r="AQ928" s="54">
        <v>4259.5</v>
      </c>
      <c r="AR928" s="55">
        <v>28500</v>
      </c>
      <c r="AS928" s="78">
        <f t="shared" si="18"/>
        <v>0.1494561403508772</v>
      </c>
    </row>
    <row r="929" spans="39:45">
      <c r="AM929" s="55">
        <v>2019</v>
      </c>
      <c r="AN929" s="55" t="s">
        <v>184</v>
      </c>
      <c r="AO929" s="55">
        <v>8</v>
      </c>
      <c r="AP929" s="55">
        <v>15</v>
      </c>
      <c r="AQ929" s="55">
        <v>3908</v>
      </c>
      <c r="AR929" s="55">
        <v>28500</v>
      </c>
      <c r="AS929" s="78">
        <f t="shared" si="18"/>
        <v>0.13712280701754387</v>
      </c>
    </row>
    <row r="930" spans="39:45">
      <c r="AM930" s="54">
        <v>2019</v>
      </c>
      <c r="AN930" s="54" t="s">
        <v>184</v>
      </c>
      <c r="AO930" s="54">
        <v>8</v>
      </c>
      <c r="AP930" s="54">
        <v>16</v>
      </c>
      <c r="AQ930" s="54">
        <v>95.5</v>
      </c>
      <c r="AR930" s="55">
        <v>28500</v>
      </c>
      <c r="AS930" s="78">
        <f t="shared" si="18"/>
        <v>3.3508771929824563E-3</v>
      </c>
    </row>
    <row r="931" spans="39:45">
      <c r="AM931" s="55">
        <v>2019</v>
      </c>
      <c r="AN931" s="55" t="s">
        <v>184</v>
      </c>
      <c r="AO931" s="55">
        <v>8</v>
      </c>
      <c r="AP931" s="55">
        <v>17</v>
      </c>
      <c r="AQ931" s="55">
        <v>0</v>
      </c>
      <c r="AR931" s="55">
        <v>28500</v>
      </c>
      <c r="AS931" s="78">
        <f t="shared" si="18"/>
        <v>0</v>
      </c>
    </row>
    <row r="932" spans="39:45">
      <c r="AM932" s="54">
        <v>2019</v>
      </c>
      <c r="AN932" s="54" t="s">
        <v>184</v>
      </c>
      <c r="AO932" s="54">
        <v>8</v>
      </c>
      <c r="AP932" s="54">
        <v>18</v>
      </c>
      <c r="AQ932" s="54">
        <v>0</v>
      </c>
      <c r="AR932" s="55">
        <v>28500</v>
      </c>
      <c r="AS932" s="78">
        <f t="shared" si="18"/>
        <v>0</v>
      </c>
    </row>
    <row r="933" spans="39:45">
      <c r="AM933" s="55">
        <v>2019</v>
      </c>
      <c r="AN933" s="55" t="s">
        <v>184</v>
      </c>
      <c r="AO933" s="55">
        <v>8</v>
      </c>
      <c r="AP933" s="55">
        <v>19</v>
      </c>
      <c r="AQ933" s="55">
        <v>0</v>
      </c>
      <c r="AR933" s="55">
        <v>28500</v>
      </c>
      <c r="AS933" s="78">
        <f t="shared" si="18"/>
        <v>0</v>
      </c>
    </row>
    <row r="934" spans="39:45">
      <c r="AM934" s="54">
        <v>2019</v>
      </c>
      <c r="AN934" s="54" t="s">
        <v>184</v>
      </c>
      <c r="AO934" s="54">
        <v>8</v>
      </c>
      <c r="AP934" s="54">
        <v>20</v>
      </c>
      <c r="AQ934" s="54">
        <v>0</v>
      </c>
      <c r="AR934" s="55">
        <v>28500</v>
      </c>
      <c r="AS934" s="78">
        <f t="shared" si="18"/>
        <v>0</v>
      </c>
    </row>
    <row r="935" spans="39:45">
      <c r="AM935" s="55">
        <v>2019</v>
      </c>
      <c r="AN935" s="55" t="s">
        <v>184</v>
      </c>
      <c r="AO935" s="55">
        <v>8</v>
      </c>
      <c r="AP935" s="55">
        <v>21</v>
      </c>
      <c r="AQ935" s="55">
        <v>0</v>
      </c>
      <c r="AR935" s="55">
        <v>28500</v>
      </c>
      <c r="AS935" s="78">
        <f t="shared" si="18"/>
        <v>0</v>
      </c>
    </row>
    <row r="936" spans="39:45">
      <c r="AM936" s="54">
        <v>2019</v>
      </c>
      <c r="AN936" s="54" t="s">
        <v>184</v>
      </c>
      <c r="AO936" s="54">
        <v>8</v>
      </c>
      <c r="AP936" s="54">
        <v>22</v>
      </c>
      <c r="AQ936" s="54">
        <v>0</v>
      </c>
      <c r="AR936" s="55">
        <v>28500</v>
      </c>
      <c r="AS936" s="78">
        <f t="shared" si="18"/>
        <v>0</v>
      </c>
    </row>
    <row r="937" spans="39:45">
      <c r="AM937" s="55">
        <v>2019</v>
      </c>
      <c r="AN937" s="55" t="s">
        <v>184</v>
      </c>
      <c r="AO937" s="55">
        <v>8</v>
      </c>
      <c r="AP937" s="55">
        <v>23</v>
      </c>
      <c r="AQ937" s="55">
        <v>0</v>
      </c>
      <c r="AR937" s="55">
        <v>28500</v>
      </c>
      <c r="AS937" s="78">
        <f t="shared" si="18"/>
        <v>0</v>
      </c>
    </row>
    <row r="938" spans="39:45">
      <c r="AM938" s="54">
        <v>2019</v>
      </c>
      <c r="AN938" s="54" t="s">
        <v>184</v>
      </c>
      <c r="AO938" s="54">
        <v>9</v>
      </c>
      <c r="AP938" s="54">
        <v>24</v>
      </c>
      <c r="AQ938" s="54">
        <v>0</v>
      </c>
      <c r="AR938" s="55">
        <v>28500</v>
      </c>
      <c r="AS938" s="78">
        <f t="shared" si="18"/>
        <v>0</v>
      </c>
    </row>
    <row r="939" spans="39:45">
      <c r="AM939" s="55">
        <v>2019</v>
      </c>
      <c r="AN939" s="55" t="s">
        <v>184</v>
      </c>
      <c r="AO939" s="55">
        <v>9</v>
      </c>
      <c r="AP939" s="55">
        <v>1</v>
      </c>
      <c r="AQ939" s="55">
        <v>0</v>
      </c>
      <c r="AR939" s="55">
        <v>28500</v>
      </c>
      <c r="AS939" s="78">
        <f t="shared" si="18"/>
        <v>0</v>
      </c>
    </row>
    <row r="940" spans="39:45">
      <c r="AM940" s="54">
        <v>2019</v>
      </c>
      <c r="AN940" s="54" t="s">
        <v>184</v>
      </c>
      <c r="AO940" s="54">
        <v>9</v>
      </c>
      <c r="AP940" s="54">
        <v>2</v>
      </c>
      <c r="AQ940" s="54">
        <v>0</v>
      </c>
      <c r="AR940" s="55">
        <v>28500</v>
      </c>
      <c r="AS940" s="78">
        <f t="shared" si="18"/>
        <v>0</v>
      </c>
    </row>
    <row r="941" spans="39:45">
      <c r="AM941" s="55">
        <v>2019</v>
      </c>
      <c r="AN941" s="55" t="s">
        <v>184</v>
      </c>
      <c r="AO941" s="55">
        <v>9</v>
      </c>
      <c r="AP941" s="55">
        <v>3</v>
      </c>
      <c r="AQ941" s="55">
        <v>0</v>
      </c>
      <c r="AR941" s="55">
        <v>28500</v>
      </c>
      <c r="AS941" s="78">
        <f t="shared" si="18"/>
        <v>0</v>
      </c>
    </row>
    <row r="942" spans="39:45">
      <c r="AM942" s="54">
        <v>2019</v>
      </c>
      <c r="AN942" s="54" t="s">
        <v>184</v>
      </c>
      <c r="AO942" s="54">
        <v>9</v>
      </c>
      <c r="AP942" s="54">
        <v>4</v>
      </c>
      <c r="AQ942" s="54">
        <v>0</v>
      </c>
      <c r="AR942" s="55">
        <v>28500</v>
      </c>
      <c r="AS942" s="78">
        <f t="shared" si="18"/>
        <v>0</v>
      </c>
    </row>
    <row r="943" spans="39:45">
      <c r="AM943" s="55">
        <v>2019</v>
      </c>
      <c r="AN943" s="55" t="s">
        <v>184</v>
      </c>
      <c r="AO943" s="55">
        <v>9</v>
      </c>
      <c r="AP943" s="55">
        <v>5</v>
      </c>
      <c r="AQ943" s="55">
        <v>0</v>
      </c>
      <c r="AR943" s="55">
        <v>28500</v>
      </c>
      <c r="AS943" s="78">
        <f t="shared" si="18"/>
        <v>0</v>
      </c>
    </row>
    <row r="944" spans="39:45">
      <c r="AM944" s="54">
        <v>2019</v>
      </c>
      <c r="AN944" s="54" t="s">
        <v>184</v>
      </c>
      <c r="AO944" s="54">
        <v>9</v>
      </c>
      <c r="AP944" s="54">
        <v>6</v>
      </c>
      <c r="AQ944" s="54">
        <v>0</v>
      </c>
      <c r="AR944" s="55">
        <v>28500</v>
      </c>
      <c r="AS944" s="78">
        <f t="shared" si="18"/>
        <v>0</v>
      </c>
    </row>
    <row r="945" spans="39:45">
      <c r="AM945" s="55">
        <v>2019</v>
      </c>
      <c r="AN945" s="55" t="s">
        <v>184</v>
      </c>
      <c r="AO945" s="55">
        <v>9</v>
      </c>
      <c r="AP945" s="55">
        <v>7</v>
      </c>
      <c r="AQ945" s="55">
        <v>0</v>
      </c>
      <c r="AR945" s="55">
        <v>28500</v>
      </c>
      <c r="AS945" s="78">
        <f t="shared" si="18"/>
        <v>0</v>
      </c>
    </row>
    <row r="946" spans="39:45">
      <c r="AM946" s="54">
        <v>2019</v>
      </c>
      <c r="AN946" s="54" t="s">
        <v>184</v>
      </c>
      <c r="AO946" s="54">
        <v>9</v>
      </c>
      <c r="AP946" s="54">
        <v>8</v>
      </c>
      <c r="AQ946" s="54">
        <v>8307</v>
      </c>
      <c r="AR946" s="55">
        <v>28500</v>
      </c>
      <c r="AS946" s="78">
        <f t="shared" si="18"/>
        <v>0.29147368421052633</v>
      </c>
    </row>
    <row r="947" spans="39:45">
      <c r="AM947" s="55">
        <v>2019</v>
      </c>
      <c r="AN947" s="55" t="s">
        <v>184</v>
      </c>
      <c r="AO947" s="55">
        <v>9</v>
      </c>
      <c r="AP947" s="55">
        <v>9</v>
      </c>
      <c r="AQ947" s="55">
        <v>15299</v>
      </c>
      <c r="AR947" s="55">
        <v>28500</v>
      </c>
      <c r="AS947" s="78">
        <f t="shared" si="18"/>
        <v>0.53680701754385962</v>
      </c>
    </row>
    <row r="948" spans="39:45">
      <c r="AM948" s="54">
        <v>2019</v>
      </c>
      <c r="AN948" s="54" t="s">
        <v>184</v>
      </c>
      <c r="AO948" s="54">
        <v>9</v>
      </c>
      <c r="AP948" s="54">
        <v>10</v>
      </c>
      <c r="AQ948" s="54">
        <v>24935</v>
      </c>
      <c r="AR948" s="55">
        <v>28500</v>
      </c>
      <c r="AS948" s="78">
        <f t="shared" si="18"/>
        <v>0.87491228070175442</v>
      </c>
    </row>
    <row r="949" spans="39:45">
      <c r="AM949" s="55">
        <v>2019</v>
      </c>
      <c r="AN949" s="55" t="s">
        <v>184</v>
      </c>
      <c r="AO949" s="55">
        <v>9</v>
      </c>
      <c r="AP949" s="55">
        <v>11</v>
      </c>
      <c r="AQ949" s="55">
        <v>34481</v>
      </c>
      <c r="AR949" s="55">
        <v>28500</v>
      </c>
      <c r="AS949" s="78">
        <f t="shared" si="18"/>
        <v>1.2098596491228071</v>
      </c>
    </row>
    <row r="950" spans="39:45">
      <c r="AM950" s="54">
        <v>2019</v>
      </c>
      <c r="AN950" s="54" t="s">
        <v>184</v>
      </c>
      <c r="AO950" s="54">
        <v>9</v>
      </c>
      <c r="AP950" s="54">
        <v>12</v>
      </c>
      <c r="AQ950" s="54">
        <v>37684.5</v>
      </c>
      <c r="AR950" s="55">
        <v>28500</v>
      </c>
      <c r="AS950" s="78">
        <f t="shared" si="18"/>
        <v>1.3222631578947368</v>
      </c>
    </row>
    <row r="951" spans="39:45">
      <c r="AM951" s="55">
        <v>2019</v>
      </c>
      <c r="AN951" s="55" t="s">
        <v>184</v>
      </c>
      <c r="AO951" s="55">
        <v>9</v>
      </c>
      <c r="AP951" s="55">
        <v>13</v>
      </c>
      <c r="AQ951" s="55">
        <v>23497</v>
      </c>
      <c r="AR951" s="55">
        <v>28500</v>
      </c>
      <c r="AS951" s="78">
        <f t="shared" si="18"/>
        <v>0.82445614035087722</v>
      </c>
    </row>
    <row r="952" spans="39:45">
      <c r="AM952" s="54">
        <v>2019</v>
      </c>
      <c r="AN952" s="54" t="s">
        <v>184</v>
      </c>
      <c r="AO952" s="54">
        <v>9</v>
      </c>
      <c r="AP952" s="54">
        <v>14</v>
      </c>
      <c r="AQ952" s="54">
        <v>21938.5</v>
      </c>
      <c r="AR952" s="55">
        <v>28500</v>
      </c>
      <c r="AS952" s="78">
        <f t="shared" si="18"/>
        <v>0.76977192982456144</v>
      </c>
    </row>
    <row r="953" spans="39:45">
      <c r="AM953" s="55">
        <v>2019</v>
      </c>
      <c r="AN953" s="55" t="s">
        <v>184</v>
      </c>
      <c r="AO953" s="55">
        <v>9</v>
      </c>
      <c r="AP953" s="55">
        <v>15</v>
      </c>
      <c r="AQ953" s="55">
        <v>7263.5</v>
      </c>
      <c r="AR953" s="55">
        <v>28500</v>
      </c>
      <c r="AS953" s="78">
        <f t="shared" si="18"/>
        <v>0.25485964912280701</v>
      </c>
    </row>
    <row r="954" spans="39:45">
      <c r="AM954" s="54">
        <v>2019</v>
      </c>
      <c r="AN954" s="54" t="s">
        <v>184</v>
      </c>
      <c r="AO954" s="54">
        <v>9</v>
      </c>
      <c r="AP954" s="54">
        <v>16</v>
      </c>
      <c r="AQ954" s="54">
        <v>2748.5</v>
      </c>
      <c r="AR954" s="55">
        <v>28500</v>
      </c>
      <c r="AS954" s="78">
        <f t="shared" si="18"/>
        <v>9.6438596491228074E-2</v>
      </c>
    </row>
    <row r="955" spans="39:45">
      <c r="AM955" s="55">
        <v>2019</v>
      </c>
      <c r="AN955" s="55" t="s">
        <v>184</v>
      </c>
      <c r="AO955" s="55">
        <v>9</v>
      </c>
      <c r="AP955" s="55">
        <v>17</v>
      </c>
      <c r="AQ955" s="55">
        <v>0</v>
      </c>
      <c r="AR955" s="55">
        <v>28500</v>
      </c>
      <c r="AS955" s="78">
        <f t="shared" si="18"/>
        <v>0</v>
      </c>
    </row>
    <row r="956" spans="39:45">
      <c r="AM956" s="54">
        <v>2019</v>
      </c>
      <c r="AN956" s="54" t="s">
        <v>184</v>
      </c>
      <c r="AO956" s="54">
        <v>9</v>
      </c>
      <c r="AP956" s="54">
        <v>18</v>
      </c>
      <c r="AQ956" s="54">
        <v>0</v>
      </c>
      <c r="AR956" s="55">
        <v>28500</v>
      </c>
      <c r="AS956" s="78">
        <f t="shared" si="18"/>
        <v>0</v>
      </c>
    </row>
    <row r="957" spans="39:45">
      <c r="AM957" s="55">
        <v>2019</v>
      </c>
      <c r="AN957" s="55" t="s">
        <v>184</v>
      </c>
      <c r="AO957" s="55">
        <v>9</v>
      </c>
      <c r="AP957" s="55">
        <v>19</v>
      </c>
      <c r="AQ957" s="55">
        <v>0</v>
      </c>
      <c r="AR957" s="55">
        <v>28500</v>
      </c>
      <c r="AS957" s="78">
        <f t="shared" si="18"/>
        <v>0</v>
      </c>
    </row>
    <row r="958" spans="39:45">
      <c r="AM958" s="54">
        <v>2019</v>
      </c>
      <c r="AN958" s="54" t="s">
        <v>184</v>
      </c>
      <c r="AO958" s="54">
        <v>9</v>
      </c>
      <c r="AP958" s="54">
        <v>20</v>
      </c>
      <c r="AQ958" s="54">
        <v>0</v>
      </c>
      <c r="AR958" s="55">
        <v>28500</v>
      </c>
      <c r="AS958" s="78">
        <f t="shared" si="18"/>
        <v>0</v>
      </c>
    </row>
    <row r="959" spans="39:45">
      <c r="AM959" s="55">
        <v>2019</v>
      </c>
      <c r="AN959" s="55" t="s">
        <v>184</v>
      </c>
      <c r="AO959" s="55">
        <v>9</v>
      </c>
      <c r="AP959" s="55">
        <v>21</v>
      </c>
      <c r="AQ959" s="55">
        <v>0</v>
      </c>
      <c r="AR959" s="55">
        <v>28500</v>
      </c>
      <c r="AS959" s="78">
        <f t="shared" si="18"/>
        <v>0</v>
      </c>
    </row>
    <row r="960" spans="39:45">
      <c r="AM960" s="54">
        <v>2019</v>
      </c>
      <c r="AN960" s="54" t="s">
        <v>184</v>
      </c>
      <c r="AO960" s="54">
        <v>9</v>
      </c>
      <c r="AP960" s="54">
        <v>22</v>
      </c>
      <c r="AQ960" s="54">
        <v>0</v>
      </c>
      <c r="AR960" s="55">
        <v>28500</v>
      </c>
      <c r="AS960" s="78">
        <f t="shared" si="18"/>
        <v>0</v>
      </c>
    </row>
    <row r="961" spans="39:45">
      <c r="AM961" s="55">
        <v>2019</v>
      </c>
      <c r="AN961" s="55" t="s">
        <v>184</v>
      </c>
      <c r="AO961" s="55">
        <v>9</v>
      </c>
      <c r="AP961" s="55">
        <v>23</v>
      </c>
      <c r="AQ961" s="55">
        <v>0</v>
      </c>
      <c r="AR961" s="55">
        <v>28500</v>
      </c>
      <c r="AS961" s="78">
        <f t="shared" si="18"/>
        <v>0</v>
      </c>
    </row>
    <row r="962" spans="39:45">
      <c r="AM962" s="54">
        <v>2019</v>
      </c>
      <c r="AN962" s="54" t="s">
        <v>184</v>
      </c>
      <c r="AO962" s="54">
        <v>10</v>
      </c>
      <c r="AP962" s="54">
        <v>24</v>
      </c>
      <c r="AQ962" s="54">
        <v>0</v>
      </c>
      <c r="AR962" s="55">
        <v>28500</v>
      </c>
      <c r="AS962" s="78">
        <f t="shared" ref="AS962:AS1025" si="19">AQ962/AR962</f>
        <v>0</v>
      </c>
    </row>
    <row r="963" spans="39:45">
      <c r="AM963" s="55">
        <v>2019</v>
      </c>
      <c r="AN963" s="55" t="s">
        <v>184</v>
      </c>
      <c r="AO963" s="55">
        <v>10</v>
      </c>
      <c r="AP963" s="55">
        <v>1</v>
      </c>
      <c r="AQ963" s="55">
        <v>0</v>
      </c>
      <c r="AR963" s="55">
        <v>28500</v>
      </c>
      <c r="AS963" s="78">
        <f t="shared" si="19"/>
        <v>0</v>
      </c>
    </row>
    <row r="964" spans="39:45">
      <c r="AM964" s="54">
        <v>2019</v>
      </c>
      <c r="AN964" s="54" t="s">
        <v>184</v>
      </c>
      <c r="AO964" s="54">
        <v>10</v>
      </c>
      <c r="AP964" s="54">
        <v>2</v>
      </c>
      <c r="AQ964" s="54">
        <v>0</v>
      </c>
      <c r="AR964" s="55">
        <v>28500</v>
      </c>
      <c r="AS964" s="78">
        <f t="shared" si="19"/>
        <v>0</v>
      </c>
    </row>
    <row r="965" spans="39:45">
      <c r="AM965" s="55">
        <v>2019</v>
      </c>
      <c r="AN965" s="55" t="s">
        <v>184</v>
      </c>
      <c r="AO965" s="55">
        <v>10</v>
      </c>
      <c r="AP965" s="55">
        <v>3</v>
      </c>
      <c r="AQ965" s="55">
        <v>0</v>
      </c>
      <c r="AR965" s="55">
        <v>28500</v>
      </c>
      <c r="AS965" s="78">
        <f t="shared" si="19"/>
        <v>0</v>
      </c>
    </row>
    <row r="966" spans="39:45">
      <c r="AM966" s="54">
        <v>2019</v>
      </c>
      <c r="AN966" s="54" t="s">
        <v>184</v>
      </c>
      <c r="AO966" s="54">
        <v>10</v>
      </c>
      <c r="AP966" s="54">
        <v>4</v>
      </c>
      <c r="AQ966" s="54">
        <v>0</v>
      </c>
      <c r="AR966" s="55">
        <v>28500</v>
      </c>
      <c r="AS966" s="78">
        <f t="shared" si="19"/>
        <v>0</v>
      </c>
    </row>
    <row r="967" spans="39:45">
      <c r="AM967" s="55">
        <v>2019</v>
      </c>
      <c r="AN967" s="55" t="s">
        <v>184</v>
      </c>
      <c r="AO967" s="55">
        <v>10</v>
      </c>
      <c r="AP967" s="55">
        <v>5</v>
      </c>
      <c r="AQ967" s="55">
        <v>0</v>
      </c>
      <c r="AR967" s="55">
        <v>28500</v>
      </c>
      <c r="AS967" s="78">
        <f t="shared" si="19"/>
        <v>0</v>
      </c>
    </row>
    <row r="968" spans="39:45">
      <c r="AM968" s="54">
        <v>2019</v>
      </c>
      <c r="AN968" s="54" t="s">
        <v>184</v>
      </c>
      <c r="AO968" s="54">
        <v>10</v>
      </c>
      <c r="AP968" s="54">
        <v>6</v>
      </c>
      <c r="AQ968" s="54">
        <v>0</v>
      </c>
      <c r="AR968" s="55">
        <v>28500</v>
      </c>
      <c r="AS968" s="78">
        <f t="shared" si="19"/>
        <v>0</v>
      </c>
    </row>
    <row r="969" spans="39:45">
      <c r="AM969" s="55">
        <v>2019</v>
      </c>
      <c r="AN969" s="55" t="s">
        <v>184</v>
      </c>
      <c r="AO969" s="55">
        <v>10</v>
      </c>
      <c r="AP969" s="55">
        <v>7</v>
      </c>
      <c r="AQ969" s="55">
        <v>0</v>
      </c>
      <c r="AR969" s="55">
        <v>28500</v>
      </c>
      <c r="AS969" s="78">
        <f t="shared" si="19"/>
        <v>0</v>
      </c>
    </row>
    <row r="970" spans="39:45">
      <c r="AM970" s="54">
        <v>2019</v>
      </c>
      <c r="AN970" s="54" t="s">
        <v>184</v>
      </c>
      <c r="AO970" s="54">
        <v>10</v>
      </c>
      <c r="AP970" s="54">
        <v>8</v>
      </c>
      <c r="AQ970" s="54">
        <v>0</v>
      </c>
      <c r="AR970" s="55">
        <v>28500</v>
      </c>
      <c r="AS970" s="78">
        <f t="shared" si="19"/>
        <v>0</v>
      </c>
    </row>
    <row r="971" spans="39:45">
      <c r="AM971" s="55">
        <v>2019</v>
      </c>
      <c r="AN971" s="55" t="s">
        <v>184</v>
      </c>
      <c r="AO971" s="55">
        <v>10</v>
      </c>
      <c r="AP971" s="55">
        <v>9</v>
      </c>
      <c r="AQ971" s="55">
        <v>4640.5</v>
      </c>
      <c r="AR971" s="55">
        <v>28500</v>
      </c>
      <c r="AS971" s="78">
        <f t="shared" si="19"/>
        <v>0.16282456140350876</v>
      </c>
    </row>
    <row r="972" spans="39:45">
      <c r="AM972" s="54">
        <v>2019</v>
      </c>
      <c r="AN972" s="54" t="s">
        <v>184</v>
      </c>
      <c r="AO972" s="54">
        <v>10</v>
      </c>
      <c r="AP972" s="54">
        <v>10</v>
      </c>
      <c r="AQ972" s="54">
        <v>2640</v>
      </c>
      <c r="AR972" s="55">
        <v>28500</v>
      </c>
      <c r="AS972" s="78">
        <f t="shared" si="19"/>
        <v>9.2631578947368426E-2</v>
      </c>
    </row>
    <row r="973" spans="39:45">
      <c r="AM973" s="55">
        <v>2019</v>
      </c>
      <c r="AN973" s="55" t="s">
        <v>184</v>
      </c>
      <c r="AO973" s="55">
        <v>10</v>
      </c>
      <c r="AP973" s="55">
        <v>11</v>
      </c>
      <c r="AQ973" s="55">
        <v>4162.5</v>
      </c>
      <c r="AR973" s="55">
        <v>28500</v>
      </c>
      <c r="AS973" s="78">
        <f t="shared" si="19"/>
        <v>0.14605263157894738</v>
      </c>
    </row>
    <row r="974" spans="39:45">
      <c r="AM974" s="54">
        <v>2019</v>
      </c>
      <c r="AN974" s="54" t="s">
        <v>184</v>
      </c>
      <c r="AO974" s="54">
        <v>10</v>
      </c>
      <c r="AP974" s="54">
        <v>12</v>
      </c>
      <c r="AQ974" s="54">
        <v>3439.5</v>
      </c>
      <c r="AR974" s="55">
        <v>28500</v>
      </c>
      <c r="AS974" s="78">
        <f t="shared" si="19"/>
        <v>0.12068421052631578</v>
      </c>
    </row>
    <row r="975" spans="39:45">
      <c r="AM975" s="55">
        <v>2019</v>
      </c>
      <c r="AN975" s="55" t="s">
        <v>184</v>
      </c>
      <c r="AO975" s="55">
        <v>10</v>
      </c>
      <c r="AP975" s="55">
        <v>13</v>
      </c>
      <c r="AQ975" s="55">
        <v>7279.5</v>
      </c>
      <c r="AR975" s="55">
        <v>28500</v>
      </c>
      <c r="AS975" s="78">
        <f t="shared" si="19"/>
        <v>0.25542105263157894</v>
      </c>
    </row>
    <row r="976" spans="39:45">
      <c r="AM976" s="54">
        <v>2019</v>
      </c>
      <c r="AN976" s="54" t="s">
        <v>184</v>
      </c>
      <c r="AO976" s="54">
        <v>10</v>
      </c>
      <c r="AP976" s="54">
        <v>14</v>
      </c>
      <c r="AQ976" s="54">
        <v>9262</v>
      </c>
      <c r="AR976" s="55">
        <v>28500</v>
      </c>
      <c r="AS976" s="78">
        <f t="shared" si="19"/>
        <v>0.32498245614035087</v>
      </c>
    </row>
    <row r="977" spans="39:45">
      <c r="AM977" s="55">
        <v>2019</v>
      </c>
      <c r="AN977" s="55" t="s">
        <v>184</v>
      </c>
      <c r="AO977" s="55">
        <v>10</v>
      </c>
      <c r="AP977" s="55">
        <v>15</v>
      </c>
      <c r="AQ977" s="55">
        <v>11460</v>
      </c>
      <c r="AR977" s="55">
        <v>28500</v>
      </c>
      <c r="AS977" s="78">
        <f t="shared" si="19"/>
        <v>0.40210526315789474</v>
      </c>
    </row>
    <row r="978" spans="39:45">
      <c r="AM978" s="54">
        <v>2019</v>
      </c>
      <c r="AN978" s="54" t="s">
        <v>184</v>
      </c>
      <c r="AO978" s="54">
        <v>10</v>
      </c>
      <c r="AP978" s="54">
        <v>16</v>
      </c>
      <c r="AQ978" s="54">
        <v>429.5</v>
      </c>
      <c r="AR978" s="55">
        <v>28500</v>
      </c>
      <c r="AS978" s="78">
        <f t="shared" si="19"/>
        <v>1.5070175438596491E-2</v>
      </c>
    </row>
    <row r="979" spans="39:45">
      <c r="AM979" s="55">
        <v>2019</v>
      </c>
      <c r="AN979" s="55" t="s">
        <v>184</v>
      </c>
      <c r="AO979" s="55">
        <v>10</v>
      </c>
      <c r="AP979" s="55">
        <v>17</v>
      </c>
      <c r="AQ979" s="55">
        <v>0</v>
      </c>
      <c r="AR979" s="55">
        <v>28500</v>
      </c>
      <c r="AS979" s="78">
        <f t="shared" si="19"/>
        <v>0</v>
      </c>
    </row>
    <row r="980" spans="39:45">
      <c r="AM980" s="54">
        <v>2019</v>
      </c>
      <c r="AN980" s="54" t="s">
        <v>184</v>
      </c>
      <c r="AO980" s="54">
        <v>10</v>
      </c>
      <c r="AP980" s="54">
        <v>18</v>
      </c>
      <c r="AQ980" s="54">
        <v>0</v>
      </c>
      <c r="AR980" s="55">
        <v>28500</v>
      </c>
      <c r="AS980" s="78">
        <f t="shared" si="19"/>
        <v>0</v>
      </c>
    </row>
    <row r="981" spans="39:45">
      <c r="AM981" s="55">
        <v>2019</v>
      </c>
      <c r="AN981" s="55" t="s">
        <v>184</v>
      </c>
      <c r="AO981" s="55">
        <v>10</v>
      </c>
      <c r="AP981" s="55">
        <v>19</v>
      </c>
      <c r="AQ981" s="55">
        <v>0</v>
      </c>
      <c r="AR981" s="55">
        <v>28500</v>
      </c>
      <c r="AS981" s="78">
        <f t="shared" si="19"/>
        <v>0</v>
      </c>
    </row>
    <row r="982" spans="39:45">
      <c r="AM982" s="54">
        <v>2019</v>
      </c>
      <c r="AN982" s="54" t="s">
        <v>184</v>
      </c>
      <c r="AO982" s="54">
        <v>10</v>
      </c>
      <c r="AP982" s="54">
        <v>20</v>
      </c>
      <c r="AQ982" s="54">
        <v>0</v>
      </c>
      <c r="AR982" s="55">
        <v>28500</v>
      </c>
      <c r="AS982" s="78">
        <f t="shared" si="19"/>
        <v>0</v>
      </c>
    </row>
    <row r="983" spans="39:45">
      <c r="AM983" s="55">
        <v>2019</v>
      </c>
      <c r="AN983" s="55" t="s">
        <v>184</v>
      </c>
      <c r="AO983" s="55">
        <v>10</v>
      </c>
      <c r="AP983" s="55">
        <v>21</v>
      </c>
      <c r="AQ983" s="55">
        <v>0</v>
      </c>
      <c r="AR983" s="55">
        <v>28500</v>
      </c>
      <c r="AS983" s="78">
        <f t="shared" si="19"/>
        <v>0</v>
      </c>
    </row>
    <row r="984" spans="39:45">
      <c r="AM984" s="54">
        <v>2019</v>
      </c>
      <c r="AN984" s="54" t="s">
        <v>184</v>
      </c>
      <c r="AO984" s="54">
        <v>10</v>
      </c>
      <c r="AP984" s="54">
        <v>22</v>
      </c>
      <c r="AQ984" s="54">
        <v>0</v>
      </c>
      <c r="AR984" s="55">
        <v>28500</v>
      </c>
      <c r="AS984" s="78">
        <f t="shared" si="19"/>
        <v>0</v>
      </c>
    </row>
    <row r="985" spans="39:45">
      <c r="AM985" s="55">
        <v>2019</v>
      </c>
      <c r="AN985" s="55" t="s">
        <v>184</v>
      </c>
      <c r="AO985" s="55">
        <v>10</v>
      </c>
      <c r="AP985" s="55">
        <v>23</v>
      </c>
      <c r="AQ985" s="55">
        <v>0</v>
      </c>
      <c r="AR985" s="55">
        <v>28500</v>
      </c>
      <c r="AS985" s="78">
        <f t="shared" si="19"/>
        <v>0</v>
      </c>
    </row>
    <row r="986" spans="39:45">
      <c r="AM986" s="54">
        <v>2019</v>
      </c>
      <c r="AN986" s="54" t="s">
        <v>184</v>
      </c>
      <c r="AO986" s="54">
        <v>11</v>
      </c>
      <c r="AP986" s="54">
        <v>24</v>
      </c>
      <c r="AQ986" s="54">
        <v>0</v>
      </c>
      <c r="AR986" s="55">
        <v>28500</v>
      </c>
      <c r="AS986" s="78">
        <f t="shared" si="19"/>
        <v>0</v>
      </c>
    </row>
    <row r="987" spans="39:45">
      <c r="AM987" s="55">
        <v>2019</v>
      </c>
      <c r="AN987" s="55" t="s">
        <v>184</v>
      </c>
      <c r="AO987" s="55">
        <v>11</v>
      </c>
      <c r="AP987" s="55">
        <v>1</v>
      </c>
      <c r="AQ987" s="55">
        <v>0</v>
      </c>
      <c r="AR987" s="55">
        <v>28500</v>
      </c>
      <c r="AS987" s="78">
        <f t="shared" si="19"/>
        <v>0</v>
      </c>
    </row>
    <row r="988" spans="39:45">
      <c r="AM988" s="54">
        <v>2019</v>
      </c>
      <c r="AN988" s="54" t="s">
        <v>184</v>
      </c>
      <c r="AO988" s="54">
        <v>11</v>
      </c>
      <c r="AP988" s="54">
        <v>2</v>
      </c>
      <c r="AQ988" s="54">
        <v>0</v>
      </c>
      <c r="AR988" s="55">
        <v>28500</v>
      </c>
      <c r="AS988" s="78">
        <f t="shared" si="19"/>
        <v>0</v>
      </c>
    </row>
    <row r="989" spans="39:45">
      <c r="AM989" s="55">
        <v>2019</v>
      </c>
      <c r="AN989" s="55" t="s">
        <v>184</v>
      </c>
      <c r="AO989" s="55">
        <v>11</v>
      </c>
      <c r="AP989" s="55">
        <v>3</v>
      </c>
      <c r="AQ989" s="55">
        <v>0</v>
      </c>
      <c r="AR989" s="55">
        <v>28500</v>
      </c>
      <c r="AS989" s="78">
        <f t="shared" si="19"/>
        <v>0</v>
      </c>
    </row>
    <row r="990" spans="39:45">
      <c r="AM990" s="54">
        <v>2019</v>
      </c>
      <c r="AN990" s="54" t="s">
        <v>184</v>
      </c>
      <c r="AO990" s="54">
        <v>11</v>
      </c>
      <c r="AP990" s="54">
        <v>4</v>
      </c>
      <c r="AQ990" s="54">
        <v>0</v>
      </c>
      <c r="AR990" s="55">
        <v>28500</v>
      </c>
      <c r="AS990" s="78">
        <f t="shared" si="19"/>
        <v>0</v>
      </c>
    </row>
    <row r="991" spans="39:45">
      <c r="AM991" s="55">
        <v>2019</v>
      </c>
      <c r="AN991" s="55" t="s">
        <v>184</v>
      </c>
      <c r="AO991" s="55">
        <v>11</v>
      </c>
      <c r="AP991" s="55">
        <v>5</v>
      </c>
      <c r="AQ991" s="55">
        <v>0</v>
      </c>
      <c r="AR991" s="55">
        <v>28500</v>
      </c>
      <c r="AS991" s="78">
        <f t="shared" si="19"/>
        <v>0</v>
      </c>
    </row>
    <row r="992" spans="39:45">
      <c r="AM992" s="54">
        <v>2019</v>
      </c>
      <c r="AN992" s="54" t="s">
        <v>184</v>
      </c>
      <c r="AO992" s="54">
        <v>11</v>
      </c>
      <c r="AP992" s="54">
        <v>6</v>
      </c>
      <c r="AQ992" s="54">
        <v>0</v>
      </c>
      <c r="AR992" s="55">
        <v>28500</v>
      </c>
      <c r="AS992" s="78">
        <f t="shared" si="19"/>
        <v>0</v>
      </c>
    </row>
    <row r="993" spans="39:45">
      <c r="AM993" s="55">
        <v>2019</v>
      </c>
      <c r="AN993" s="55" t="s">
        <v>184</v>
      </c>
      <c r="AO993" s="55">
        <v>11</v>
      </c>
      <c r="AP993" s="55">
        <v>7</v>
      </c>
      <c r="AQ993" s="55">
        <v>0</v>
      </c>
      <c r="AR993" s="55">
        <v>28500</v>
      </c>
      <c r="AS993" s="78">
        <f t="shared" si="19"/>
        <v>0</v>
      </c>
    </row>
    <row r="994" spans="39:45">
      <c r="AM994" s="54">
        <v>2019</v>
      </c>
      <c r="AN994" s="54" t="s">
        <v>184</v>
      </c>
      <c r="AO994" s="54">
        <v>11</v>
      </c>
      <c r="AP994" s="54">
        <v>8</v>
      </c>
      <c r="AQ994" s="54">
        <v>3368</v>
      </c>
      <c r="AR994" s="55">
        <v>28500</v>
      </c>
      <c r="AS994" s="78">
        <f t="shared" si="19"/>
        <v>0.11817543859649123</v>
      </c>
    </row>
    <row r="995" spans="39:45">
      <c r="AM995" s="55">
        <v>2019</v>
      </c>
      <c r="AN995" s="55" t="s">
        <v>184</v>
      </c>
      <c r="AO995" s="55">
        <v>11</v>
      </c>
      <c r="AP995" s="55">
        <v>9</v>
      </c>
      <c r="AQ995" s="55">
        <v>10043.5</v>
      </c>
      <c r="AR995" s="55">
        <v>28500</v>
      </c>
      <c r="AS995" s="78">
        <f t="shared" si="19"/>
        <v>0.35240350877192983</v>
      </c>
    </row>
    <row r="996" spans="39:45">
      <c r="AM996" s="54">
        <v>2019</v>
      </c>
      <c r="AN996" s="54" t="s">
        <v>184</v>
      </c>
      <c r="AO996" s="54">
        <v>11</v>
      </c>
      <c r="AP996" s="54">
        <v>10</v>
      </c>
      <c r="AQ996" s="54">
        <v>29517</v>
      </c>
      <c r="AR996" s="55">
        <v>28500</v>
      </c>
      <c r="AS996" s="78">
        <f t="shared" si="19"/>
        <v>1.0356842105263158</v>
      </c>
    </row>
    <row r="997" spans="39:45">
      <c r="AM997" s="55">
        <v>2019</v>
      </c>
      <c r="AN997" s="55" t="s">
        <v>184</v>
      </c>
      <c r="AO997" s="55">
        <v>11</v>
      </c>
      <c r="AP997" s="55">
        <v>11</v>
      </c>
      <c r="AQ997" s="55">
        <v>32818.5</v>
      </c>
      <c r="AR997" s="55">
        <v>28500</v>
      </c>
      <c r="AS997" s="78">
        <f t="shared" si="19"/>
        <v>1.1515263157894737</v>
      </c>
    </row>
    <row r="998" spans="39:45">
      <c r="AM998" s="54">
        <v>2019</v>
      </c>
      <c r="AN998" s="54" t="s">
        <v>184</v>
      </c>
      <c r="AO998" s="54">
        <v>11</v>
      </c>
      <c r="AP998" s="54">
        <v>12</v>
      </c>
      <c r="AQ998" s="54">
        <v>19994.5</v>
      </c>
      <c r="AR998" s="55">
        <v>28500</v>
      </c>
      <c r="AS998" s="78">
        <f t="shared" si="19"/>
        <v>0.70156140350877194</v>
      </c>
    </row>
    <row r="999" spans="39:45">
      <c r="AM999" s="55">
        <v>2019</v>
      </c>
      <c r="AN999" s="55" t="s">
        <v>184</v>
      </c>
      <c r="AO999" s="55">
        <v>11</v>
      </c>
      <c r="AP999" s="55">
        <v>13</v>
      </c>
      <c r="AQ999" s="55">
        <v>14059</v>
      </c>
      <c r="AR999" s="55">
        <v>28500</v>
      </c>
      <c r="AS999" s="78">
        <f t="shared" si="19"/>
        <v>0.49329824561403507</v>
      </c>
    </row>
    <row r="1000" spans="39:45">
      <c r="AM1000" s="54">
        <v>2019</v>
      </c>
      <c r="AN1000" s="54" t="s">
        <v>184</v>
      </c>
      <c r="AO1000" s="54">
        <v>11</v>
      </c>
      <c r="AP1000" s="54">
        <v>14</v>
      </c>
      <c r="AQ1000" s="54">
        <v>10003</v>
      </c>
      <c r="AR1000" s="55">
        <v>28500</v>
      </c>
      <c r="AS1000" s="78">
        <f t="shared" si="19"/>
        <v>0.3509824561403509</v>
      </c>
    </row>
    <row r="1001" spans="39:45">
      <c r="AM1001" s="55">
        <v>2019</v>
      </c>
      <c r="AN1001" s="55" t="s">
        <v>184</v>
      </c>
      <c r="AO1001" s="55">
        <v>11</v>
      </c>
      <c r="AP1001" s="55">
        <v>15</v>
      </c>
      <c r="AQ1001" s="55">
        <v>4257.5</v>
      </c>
      <c r="AR1001" s="55">
        <v>28500</v>
      </c>
      <c r="AS1001" s="78">
        <f t="shared" si="19"/>
        <v>0.14938596491228071</v>
      </c>
    </row>
    <row r="1002" spans="39:45">
      <c r="AM1002" s="54">
        <v>2019</v>
      </c>
      <c r="AN1002" s="54" t="s">
        <v>184</v>
      </c>
      <c r="AO1002" s="54">
        <v>11</v>
      </c>
      <c r="AP1002" s="54">
        <v>16</v>
      </c>
      <c r="AQ1002" s="54">
        <v>97</v>
      </c>
      <c r="AR1002" s="55">
        <v>28500</v>
      </c>
      <c r="AS1002" s="78">
        <f t="shared" si="19"/>
        <v>3.4035087719298247E-3</v>
      </c>
    </row>
    <row r="1003" spans="39:45">
      <c r="AM1003" s="55">
        <v>2019</v>
      </c>
      <c r="AN1003" s="55" t="s">
        <v>184</v>
      </c>
      <c r="AO1003" s="55">
        <v>11</v>
      </c>
      <c r="AP1003" s="55">
        <v>17</v>
      </c>
      <c r="AQ1003" s="55">
        <v>0</v>
      </c>
      <c r="AR1003" s="55">
        <v>28500</v>
      </c>
      <c r="AS1003" s="78">
        <f t="shared" si="19"/>
        <v>0</v>
      </c>
    </row>
    <row r="1004" spans="39:45">
      <c r="AM1004" s="54">
        <v>2019</v>
      </c>
      <c r="AN1004" s="54" t="s">
        <v>184</v>
      </c>
      <c r="AO1004" s="54">
        <v>11</v>
      </c>
      <c r="AP1004" s="54">
        <v>18</v>
      </c>
      <c r="AQ1004" s="54">
        <v>0</v>
      </c>
      <c r="AR1004" s="55">
        <v>28500</v>
      </c>
      <c r="AS1004" s="78">
        <f t="shared" si="19"/>
        <v>0</v>
      </c>
    </row>
    <row r="1005" spans="39:45">
      <c r="AM1005" s="55">
        <v>2019</v>
      </c>
      <c r="AN1005" s="55" t="s">
        <v>184</v>
      </c>
      <c r="AO1005" s="55">
        <v>11</v>
      </c>
      <c r="AP1005" s="55">
        <v>19</v>
      </c>
      <c r="AQ1005" s="55">
        <v>0</v>
      </c>
      <c r="AR1005" s="55">
        <v>28500</v>
      </c>
      <c r="AS1005" s="78">
        <f t="shared" si="19"/>
        <v>0</v>
      </c>
    </row>
    <row r="1006" spans="39:45">
      <c r="AM1006" s="54">
        <v>2019</v>
      </c>
      <c r="AN1006" s="54" t="s">
        <v>184</v>
      </c>
      <c r="AO1006" s="54">
        <v>11</v>
      </c>
      <c r="AP1006" s="54">
        <v>20</v>
      </c>
      <c r="AQ1006" s="54">
        <v>0</v>
      </c>
      <c r="AR1006" s="55">
        <v>28500</v>
      </c>
      <c r="AS1006" s="78">
        <f t="shared" si="19"/>
        <v>0</v>
      </c>
    </row>
    <row r="1007" spans="39:45">
      <c r="AM1007" s="55">
        <v>2019</v>
      </c>
      <c r="AN1007" s="55" t="s">
        <v>184</v>
      </c>
      <c r="AO1007" s="55">
        <v>11</v>
      </c>
      <c r="AP1007" s="55">
        <v>21</v>
      </c>
      <c r="AQ1007" s="55">
        <v>0</v>
      </c>
      <c r="AR1007" s="55">
        <v>28500</v>
      </c>
      <c r="AS1007" s="78">
        <f t="shared" si="19"/>
        <v>0</v>
      </c>
    </row>
    <row r="1008" spans="39:45">
      <c r="AM1008" s="54">
        <v>2019</v>
      </c>
      <c r="AN1008" s="54" t="s">
        <v>184</v>
      </c>
      <c r="AO1008" s="54">
        <v>11</v>
      </c>
      <c r="AP1008" s="54">
        <v>22</v>
      </c>
      <c r="AQ1008" s="54">
        <v>0</v>
      </c>
      <c r="AR1008" s="55">
        <v>28500</v>
      </c>
      <c r="AS1008" s="78">
        <f t="shared" si="19"/>
        <v>0</v>
      </c>
    </row>
    <row r="1009" spans="39:45">
      <c r="AM1009" s="55">
        <v>2019</v>
      </c>
      <c r="AN1009" s="55" t="s">
        <v>184</v>
      </c>
      <c r="AO1009" s="55">
        <v>11</v>
      </c>
      <c r="AP1009" s="55">
        <v>23</v>
      </c>
      <c r="AQ1009" s="55">
        <v>0</v>
      </c>
      <c r="AR1009" s="55">
        <v>28500</v>
      </c>
      <c r="AS1009" s="78">
        <f t="shared" si="19"/>
        <v>0</v>
      </c>
    </row>
    <row r="1010" spans="39:45">
      <c r="AM1010" s="54">
        <v>2019</v>
      </c>
      <c r="AN1010" s="54" t="s">
        <v>184</v>
      </c>
      <c r="AO1010" s="54">
        <v>12</v>
      </c>
      <c r="AP1010" s="54">
        <v>24</v>
      </c>
      <c r="AQ1010" s="54">
        <v>0</v>
      </c>
      <c r="AR1010" s="55">
        <v>28500</v>
      </c>
      <c r="AS1010" s="78">
        <f t="shared" si="19"/>
        <v>0</v>
      </c>
    </row>
    <row r="1011" spans="39:45">
      <c r="AM1011" s="55">
        <v>2019</v>
      </c>
      <c r="AN1011" s="55" t="s">
        <v>184</v>
      </c>
      <c r="AO1011" s="55">
        <v>12</v>
      </c>
      <c r="AP1011" s="55">
        <v>1</v>
      </c>
      <c r="AQ1011" s="55">
        <v>0</v>
      </c>
      <c r="AR1011" s="55">
        <v>28500</v>
      </c>
      <c r="AS1011" s="78">
        <f t="shared" si="19"/>
        <v>0</v>
      </c>
    </row>
    <row r="1012" spans="39:45">
      <c r="AM1012" s="54">
        <v>2019</v>
      </c>
      <c r="AN1012" s="54" t="s">
        <v>184</v>
      </c>
      <c r="AO1012" s="54">
        <v>12</v>
      </c>
      <c r="AP1012" s="54">
        <v>2</v>
      </c>
      <c r="AQ1012" s="54">
        <v>0</v>
      </c>
      <c r="AR1012" s="55">
        <v>28500</v>
      </c>
      <c r="AS1012" s="78">
        <f t="shared" si="19"/>
        <v>0</v>
      </c>
    </row>
    <row r="1013" spans="39:45">
      <c r="AM1013" s="55">
        <v>2019</v>
      </c>
      <c r="AN1013" s="55" t="s">
        <v>184</v>
      </c>
      <c r="AO1013" s="55">
        <v>12</v>
      </c>
      <c r="AP1013" s="55">
        <v>3</v>
      </c>
      <c r="AQ1013" s="55">
        <v>0</v>
      </c>
      <c r="AR1013" s="55">
        <v>28500</v>
      </c>
      <c r="AS1013" s="78">
        <f t="shared" si="19"/>
        <v>0</v>
      </c>
    </row>
    <row r="1014" spans="39:45">
      <c r="AM1014" s="54">
        <v>2019</v>
      </c>
      <c r="AN1014" s="54" t="s">
        <v>184</v>
      </c>
      <c r="AO1014" s="54">
        <v>12</v>
      </c>
      <c r="AP1014" s="54">
        <v>4</v>
      </c>
      <c r="AQ1014" s="54">
        <v>0</v>
      </c>
      <c r="AR1014" s="55">
        <v>28500</v>
      </c>
      <c r="AS1014" s="78">
        <f t="shared" si="19"/>
        <v>0</v>
      </c>
    </row>
    <row r="1015" spans="39:45">
      <c r="AM1015" s="55">
        <v>2019</v>
      </c>
      <c r="AN1015" s="55" t="s">
        <v>184</v>
      </c>
      <c r="AO1015" s="55">
        <v>12</v>
      </c>
      <c r="AP1015" s="55">
        <v>5</v>
      </c>
      <c r="AQ1015" s="55">
        <v>0</v>
      </c>
      <c r="AR1015" s="55">
        <v>28500</v>
      </c>
      <c r="AS1015" s="78">
        <f t="shared" si="19"/>
        <v>0</v>
      </c>
    </row>
    <row r="1016" spans="39:45">
      <c r="AM1016" s="54">
        <v>2019</v>
      </c>
      <c r="AN1016" s="54" t="s">
        <v>184</v>
      </c>
      <c r="AO1016" s="54">
        <v>12</v>
      </c>
      <c r="AP1016" s="54">
        <v>6</v>
      </c>
      <c r="AQ1016" s="54">
        <v>0</v>
      </c>
      <c r="AR1016" s="55">
        <v>28500</v>
      </c>
      <c r="AS1016" s="78">
        <f t="shared" si="19"/>
        <v>0</v>
      </c>
    </row>
    <row r="1017" spans="39:45">
      <c r="AM1017" s="55">
        <v>2019</v>
      </c>
      <c r="AN1017" s="55" t="s">
        <v>184</v>
      </c>
      <c r="AO1017" s="55">
        <v>12</v>
      </c>
      <c r="AP1017" s="55">
        <v>7</v>
      </c>
      <c r="AQ1017" s="55">
        <v>0</v>
      </c>
      <c r="AR1017" s="55">
        <v>28500</v>
      </c>
      <c r="AS1017" s="78">
        <f t="shared" si="19"/>
        <v>0</v>
      </c>
    </row>
    <row r="1018" spans="39:45">
      <c r="AM1018" s="54">
        <v>2019</v>
      </c>
      <c r="AN1018" s="54" t="s">
        <v>184</v>
      </c>
      <c r="AO1018" s="54">
        <v>12</v>
      </c>
      <c r="AP1018" s="54">
        <v>8</v>
      </c>
      <c r="AQ1018" s="54">
        <v>4879.5</v>
      </c>
      <c r="AR1018" s="55">
        <v>28500</v>
      </c>
      <c r="AS1018" s="78">
        <f t="shared" si="19"/>
        <v>0.17121052631578948</v>
      </c>
    </row>
    <row r="1019" spans="39:45">
      <c r="AM1019" s="55">
        <v>2019</v>
      </c>
      <c r="AN1019" s="55" t="s">
        <v>184</v>
      </c>
      <c r="AO1019" s="55">
        <v>12</v>
      </c>
      <c r="AP1019" s="55">
        <v>9</v>
      </c>
      <c r="AQ1019" s="55">
        <v>18567</v>
      </c>
      <c r="AR1019" s="55">
        <v>28500</v>
      </c>
      <c r="AS1019" s="78">
        <f t="shared" si="19"/>
        <v>0.65147368421052632</v>
      </c>
    </row>
    <row r="1020" spans="39:45">
      <c r="AM1020" s="54">
        <v>2019</v>
      </c>
      <c r="AN1020" s="54" t="s">
        <v>184</v>
      </c>
      <c r="AO1020" s="54">
        <v>12</v>
      </c>
      <c r="AP1020" s="54">
        <v>10</v>
      </c>
      <c r="AQ1020" s="54">
        <v>25721</v>
      </c>
      <c r="AR1020" s="55">
        <v>28500</v>
      </c>
      <c r="AS1020" s="78">
        <f t="shared" si="19"/>
        <v>0.90249122807017546</v>
      </c>
    </row>
    <row r="1021" spans="39:45">
      <c r="AM1021" s="55">
        <v>2019</v>
      </c>
      <c r="AN1021" s="55" t="s">
        <v>184</v>
      </c>
      <c r="AO1021" s="55">
        <v>12</v>
      </c>
      <c r="AP1021" s="55">
        <v>11</v>
      </c>
      <c r="AQ1021" s="55">
        <v>18347</v>
      </c>
      <c r="AR1021" s="55">
        <v>28500</v>
      </c>
      <c r="AS1021" s="78">
        <f t="shared" si="19"/>
        <v>0.6437543859649123</v>
      </c>
    </row>
    <row r="1022" spans="39:45">
      <c r="AM1022" s="54">
        <v>2019</v>
      </c>
      <c r="AN1022" s="54" t="s">
        <v>184</v>
      </c>
      <c r="AO1022" s="54">
        <v>12</v>
      </c>
      <c r="AP1022" s="54">
        <v>12</v>
      </c>
      <c r="AQ1022" s="54">
        <v>19408</v>
      </c>
      <c r="AR1022" s="55">
        <v>28500</v>
      </c>
      <c r="AS1022" s="78">
        <f t="shared" si="19"/>
        <v>0.68098245614035091</v>
      </c>
    </row>
    <row r="1023" spans="39:45">
      <c r="AM1023" s="55">
        <v>2019</v>
      </c>
      <c r="AN1023" s="55" t="s">
        <v>184</v>
      </c>
      <c r="AO1023" s="55">
        <v>12</v>
      </c>
      <c r="AP1023" s="55">
        <v>13</v>
      </c>
      <c r="AQ1023" s="55">
        <v>12748.5</v>
      </c>
      <c r="AR1023" s="55">
        <v>28500</v>
      </c>
      <c r="AS1023" s="78">
        <f t="shared" si="19"/>
        <v>0.44731578947368422</v>
      </c>
    </row>
    <row r="1024" spans="39:45">
      <c r="AM1024" s="54">
        <v>2019</v>
      </c>
      <c r="AN1024" s="54" t="s">
        <v>184</v>
      </c>
      <c r="AO1024" s="54">
        <v>12</v>
      </c>
      <c r="AP1024" s="54">
        <v>14</v>
      </c>
      <c r="AQ1024" s="54">
        <v>23032</v>
      </c>
      <c r="AR1024" s="55">
        <v>28500</v>
      </c>
      <c r="AS1024" s="78">
        <f t="shared" si="19"/>
        <v>0.80814035087719294</v>
      </c>
    </row>
    <row r="1025" spans="39:45">
      <c r="AM1025" s="55">
        <v>2019</v>
      </c>
      <c r="AN1025" s="55" t="s">
        <v>184</v>
      </c>
      <c r="AO1025" s="55">
        <v>12</v>
      </c>
      <c r="AP1025" s="55">
        <v>15</v>
      </c>
      <c r="AQ1025" s="55">
        <v>11093.5</v>
      </c>
      <c r="AR1025" s="55">
        <v>28500</v>
      </c>
      <c r="AS1025" s="78">
        <f t="shared" si="19"/>
        <v>0.38924561403508773</v>
      </c>
    </row>
    <row r="1026" spans="39:45">
      <c r="AM1026" s="54">
        <v>2019</v>
      </c>
      <c r="AN1026" s="54" t="s">
        <v>184</v>
      </c>
      <c r="AO1026" s="54">
        <v>12</v>
      </c>
      <c r="AP1026" s="54">
        <v>16</v>
      </c>
      <c r="AQ1026" s="54">
        <v>542.5</v>
      </c>
      <c r="AR1026" s="55">
        <v>28500</v>
      </c>
      <c r="AS1026" s="78">
        <f t="shared" ref="AS1026:AS1089" si="20">AQ1026/AR1026</f>
        <v>1.9035087719298245E-2</v>
      </c>
    </row>
    <row r="1027" spans="39:45">
      <c r="AM1027" s="55">
        <v>2019</v>
      </c>
      <c r="AN1027" s="55" t="s">
        <v>184</v>
      </c>
      <c r="AO1027" s="55">
        <v>12</v>
      </c>
      <c r="AP1027" s="55">
        <v>17</v>
      </c>
      <c r="AQ1027" s="55">
        <v>0</v>
      </c>
      <c r="AR1027" s="55">
        <v>28500</v>
      </c>
      <c r="AS1027" s="78">
        <f t="shared" si="20"/>
        <v>0</v>
      </c>
    </row>
    <row r="1028" spans="39:45">
      <c r="AM1028" s="54">
        <v>2019</v>
      </c>
      <c r="AN1028" s="54" t="s">
        <v>184</v>
      </c>
      <c r="AO1028" s="54">
        <v>12</v>
      </c>
      <c r="AP1028" s="54">
        <v>18</v>
      </c>
      <c r="AQ1028" s="54">
        <v>0</v>
      </c>
      <c r="AR1028" s="55">
        <v>28500</v>
      </c>
      <c r="AS1028" s="78">
        <f t="shared" si="20"/>
        <v>0</v>
      </c>
    </row>
    <row r="1029" spans="39:45">
      <c r="AM1029" s="55">
        <v>2019</v>
      </c>
      <c r="AN1029" s="55" t="s">
        <v>184</v>
      </c>
      <c r="AO1029" s="55">
        <v>12</v>
      </c>
      <c r="AP1029" s="55">
        <v>19</v>
      </c>
      <c r="AQ1029" s="55">
        <v>0</v>
      </c>
      <c r="AR1029" s="55">
        <v>28500</v>
      </c>
      <c r="AS1029" s="78">
        <f t="shared" si="20"/>
        <v>0</v>
      </c>
    </row>
    <row r="1030" spans="39:45">
      <c r="AM1030" s="54">
        <v>2019</v>
      </c>
      <c r="AN1030" s="54" t="s">
        <v>184</v>
      </c>
      <c r="AO1030" s="54">
        <v>12</v>
      </c>
      <c r="AP1030" s="54">
        <v>20</v>
      </c>
      <c r="AQ1030" s="54">
        <v>0</v>
      </c>
      <c r="AR1030" s="55">
        <v>28500</v>
      </c>
      <c r="AS1030" s="78">
        <f t="shared" si="20"/>
        <v>0</v>
      </c>
    </row>
    <row r="1031" spans="39:45">
      <c r="AM1031" s="55">
        <v>2019</v>
      </c>
      <c r="AN1031" s="55" t="s">
        <v>184</v>
      </c>
      <c r="AO1031" s="55">
        <v>12</v>
      </c>
      <c r="AP1031" s="55">
        <v>21</v>
      </c>
      <c r="AQ1031" s="55">
        <v>0</v>
      </c>
      <c r="AR1031" s="55">
        <v>28500</v>
      </c>
      <c r="AS1031" s="78">
        <f t="shared" si="20"/>
        <v>0</v>
      </c>
    </row>
    <row r="1032" spans="39:45">
      <c r="AM1032" s="54">
        <v>2019</v>
      </c>
      <c r="AN1032" s="54" t="s">
        <v>184</v>
      </c>
      <c r="AO1032" s="54">
        <v>12</v>
      </c>
      <c r="AP1032" s="54">
        <v>22</v>
      </c>
      <c r="AQ1032" s="54">
        <v>0</v>
      </c>
      <c r="AR1032" s="55">
        <v>28500</v>
      </c>
      <c r="AS1032" s="78">
        <f t="shared" si="20"/>
        <v>0</v>
      </c>
    </row>
    <row r="1033" spans="39:45">
      <c r="AM1033" s="55">
        <v>2019</v>
      </c>
      <c r="AN1033" s="55" t="s">
        <v>184</v>
      </c>
      <c r="AO1033" s="55">
        <v>12</v>
      </c>
      <c r="AP1033" s="55">
        <v>23</v>
      </c>
      <c r="AQ1033" s="55">
        <v>0</v>
      </c>
      <c r="AR1033" s="55">
        <v>28500</v>
      </c>
      <c r="AS1033" s="78">
        <f t="shared" si="20"/>
        <v>0</v>
      </c>
    </row>
    <row r="1034" spans="39:45">
      <c r="AM1034" s="54">
        <v>2019</v>
      </c>
      <c r="AN1034" s="54" t="s">
        <v>184</v>
      </c>
      <c r="AO1034" s="54">
        <v>13</v>
      </c>
      <c r="AP1034" s="54">
        <v>24</v>
      </c>
      <c r="AQ1034" s="54">
        <v>0</v>
      </c>
      <c r="AR1034" s="55">
        <v>28500</v>
      </c>
      <c r="AS1034" s="78">
        <f t="shared" si="20"/>
        <v>0</v>
      </c>
    </row>
    <row r="1035" spans="39:45">
      <c r="AM1035" s="55">
        <v>2019</v>
      </c>
      <c r="AN1035" s="55" t="s">
        <v>184</v>
      </c>
      <c r="AO1035" s="55">
        <v>13</v>
      </c>
      <c r="AP1035" s="55">
        <v>1</v>
      </c>
      <c r="AQ1035" s="55">
        <v>0</v>
      </c>
      <c r="AR1035" s="55">
        <v>28500</v>
      </c>
      <c r="AS1035" s="78">
        <f t="shared" si="20"/>
        <v>0</v>
      </c>
    </row>
    <row r="1036" spans="39:45">
      <c r="AM1036" s="54">
        <v>2019</v>
      </c>
      <c r="AN1036" s="54" t="s">
        <v>184</v>
      </c>
      <c r="AO1036" s="54">
        <v>13</v>
      </c>
      <c r="AP1036" s="54">
        <v>2</v>
      </c>
      <c r="AQ1036" s="54">
        <v>0</v>
      </c>
      <c r="AR1036" s="55">
        <v>28500</v>
      </c>
      <c r="AS1036" s="78">
        <f t="shared" si="20"/>
        <v>0</v>
      </c>
    </row>
    <row r="1037" spans="39:45">
      <c r="AM1037" s="55">
        <v>2019</v>
      </c>
      <c r="AN1037" s="55" t="s">
        <v>184</v>
      </c>
      <c r="AO1037" s="55">
        <v>13</v>
      </c>
      <c r="AP1037" s="55">
        <v>3</v>
      </c>
      <c r="AQ1037" s="55">
        <v>0</v>
      </c>
      <c r="AR1037" s="55">
        <v>28500</v>
      </c>
      <c r="AS1037" s="78">
        <f t="shared" si="20"/>
        <v>0</v>
      </c>
    </row>
    <row r="1038" spans="39:45">
      <c r="AM1038" s="54">
        <v>2019</v>
      </c>
      <c r="AN1038" s="54" t="s">
        <v>184</v>
      </c>
      <c r="AO1038" s="54">
        <v>13</v>
      </c>
      <c r="AP1038" s="54">
        <v>4</v>
      </c>
      <c r="AQ1038" s="54">
        <v>0</v>
      </c>
      <c r="AR1038" s="55">
        <v>28500</v>
      </c>
      <c r="AS1038" s="78">
        <f t="shared" si="20"/>
        <v>0</v>
      </c>
    </row>
    <row r="1039" spans="39:45">
      <c r="AM1039" s="55">
        <v>2019</v>
      </c>
      <c r="AN1039" s="55" t="s">
        <v>184</v>
      </c>
      <c r="AO1039" s="55">
        <v>13</v>
      </c>
      <c r="AP1039" s="55">
        <v>5</v>
      </c>
      <c r="AQ1039" s="55">
        <v>0</v>
      </c>
      <c r="AR1039" s="55">
        <v>28500</v>
      </c>
      <c r="AS1039" s="78">
        <f t="shared" si="20"/>
        <v>0</v>
      </c>
    </row>
    <row r="1040" spans="39:45">
      <c r="AM1040" s="54">
        <v>2019</v>
      </c>
      <c r="AN1040" s="54" t="s">
        <v>184</v>
      </c>
      <c r="AO1040" s="54">
        <v>13</v>
      </c>
      <c r="AP1040" s="54">
        <v>6</v>
      </c>
      <c r="AQ1040" s="54">
        <v>0</v>
      </c>
      <c r="AR1040" s="55">
        <v>28500</v>
      </c>
      <c r="AS1040" s="78">
        <f t="shared" si="20"/>
        <v>0</v>
      </c>
    </row>
    <row r="1041" spans="39:45">
      <c r="AM1041" s="55">
        <v>2019</v>
      </c>
      <c r="AN1041" s="55" t="s">
        <v>184</v>
      </c>
      <c r="AO1041" s="55">
        <v>13</v>
      </c>
      <c r="AP1041" s="55">
        <v>7</v>
      </c>
      <c r="AQ1041" s="55">
        <v>0</v>
      </c>
      <c r="AR1041" s="55">
        <v>28500</v>
      </c>
      <c r="AS1041" s="78">
        <f t="shared" si="20"/>
        <v>0</v>
      </c>
    </row>
    <row r="1042" spans="39:45">
      <c r="AM1042" s="54">
        <v>2019</v>
      </c>
      <c r="AN1042" s="54" t="s">
        <v>184</v>
      </c>
      <c r="AO1042" s="54">
        <v>13</v>
      </c>
      <c r="AP1042" s="54">
        <v>8</v>
      </c>
      <c r="AQ1042" s="54">
        <v>1887.5</v>
      </c>
      <c r="AR1042" s="55">
        <v>28500</v>
      </c>
      <c r="AS1042" s="78">
        <f t="shared" si="20"/>
        <v>6.6228070175438594E-2</v>
      </c>
    </row>
    <row r="1043" spans="39:45">
      <c r="AM1043" s="55">
        <v>2019</v>
      </c>
      <c r="AN1043" s="55" t="s">
        <v>184</v>
      </c>
      <c r="AO1043" s="55">
        <v>13</v>
      </c>
      <c r="AP1043" s="55">
        <v>9</v>
      </c>
      <c r="AQ1043" s="55">
        <v>6306</v>
      </c>
      <c r="AR1043" s="55">
        <v>28500</v>
      </c>
      <c r="AS1043" s="78">
        <f t="shared" si="20"/>
        <v>0.22126315789473683</v>
      </c>
    </row>
    <row r="1044" spans="39:45">
      <c r="AM1044" s="54">
        <v>2019</v>
      </c>
      <c r="AN1044" s="54" t="s">
        <v>184</v>
      </c>
      <c r="AO1044" s="54">
        <v>13</v>
      </c>
      <c r="AP1044" s="54">
        <v>10</v>
      </c>
      <c r="AQ1044" s="54">
        <v>8123.5</v>
      </c>
      <c r="AR1044" s="55">
        <v>28500</v>
      </c>
      <c r="AS1044" s="78">
        <f t="shared" si="20"/>
        <v>0.28503508771929825</v>
      </c>
    </row>
    <row r="1045" spans="39:45">
      <c r="AM1045" s="55">
        <v>2019</v>
      </c>
      <c r="AN1045" s="55" t="s">
        <v>184</v>
      </c>
      <c r="AO1045" s="55">
        <v>13</v>
      </c>
      <c r="AP1045" s="55">
        <v>11</v>
      </c>
      <c r="AQ1045" s="55">
        <v>17844.5</v>
      </c>
      <c r="AR1045" s="55">
        <v>28500</v>
      </c>
      <c r="AS1045" s="78">
        <f t="shared" si="20"/>
        <v>0.62612280701754386</v>
      </c>
    </row>
    <row r="1046" spans="39:45">
      <c r="AM1046" s="54">
        <v>2019</v>
      </c>
      <c r="AN1046" s="54" t="s">
        <v>184</v>
      </c>
      <c r="AO1046" s="54">
        <v>13</v>
      </c>
      <c r="AP1046" s="54">
        <v>12</v>
      </c>
      <c r="AQ1046" s="54">
        <v>22274</v>
      </c>
      <c r="AR1046" s="55">
        <v>28500</v>
      </c>
      <c r="AS1046" s="78">
        <f t="shared" si="20"/>
        <v>0.78154385964912276</v>
      </c>
    </row>
    <row r="1047" spans="39:45">
      <c r="AM1047" s="55">
        <v>2019</v>
      </c>
      <c r="AN1047" s="55" t="s">
        <v>184</v>
      </c>
      <c r="AO1047" s="55">
        <v>13</v>
      </c>
      <c r="AP1047" s="55">
        <v>13</v>
      </c>
      <c r="AQ1047" s="55">
        <v>23671.5</v>
      </c>
      <c r="AR1047" s="55">
        <v>28500</v>
      </c>
      <c r="AS1047" s="78">
        <f t="shared" si="20"/>
        <v>0.83057894736842108</v>
      </c>
    </row>
    <row r="1048" spans="39:45">
      <c r="AM1048" s="54">
        <v>2019</v>
      </c>
      <c r="AN1048" s="54" t="s">
        <v>184</v>
      </c>
      <c r="AO1048" s="54">
        <v>13</v>
      </c>
      <c r="AP1048" s="54">
        <v>14</v>
      </c>
      <c r="AQ1048" s="54">
        <v>28995.5</v>
      </c>
      <c r="AR1048" s="55">
        <v>28500</v>
      </c>
      <c r="AS1048" s="78">
        <f t="shared" si="20"/>
        <v>1.0173859649122807</v>
      </c>
    </row>
    <row r="1049" spans="39:45">
      <c r="AM1049" s="55">
        <v>2019</v>
      </c>
      <c r="AN1049" s="55" t="s">
        <v>184</v>
      </c>
      <c r="AO1049" s="55">
        <v>13</v>
      </c>
      <c r="AP1049" s="55">
        <v>15</v>
      </c>
      <c r="AQ1049" s="55">
        <v>17192</v>
      </c>
      <c r="AR1049" s="55">
        <v>28500</v>
      </c>
      <c r="AS1049" s="78">
        <f t="shared" si="20"/>
        <v>0.60322807017543856</v>
      </c>
    </row>
    <row r="1050" spans="39:45">
      <c r="AM1050" s="54">
        <v>2019</v>
      </c>
      <c r="AN1050" s="54" t="s">
        <v>184</v>
      </c>
      <c r="AO1050" s="54">
        <v>13</v>
      </c>
      <c r="AP1050" s="54">
        <v>16</v>
      </c>
      <c r="AQ1050" s="54">
        <v>10489.5</v>
      </c>
      <c r="AR1050" s="55">
        <v>28500</v>
      </c>
      <c r="AS1050" s="78">
        <f t="shared" si="20"/>
        <v>0.36805263157894735</v>
      </c>
    </row>
    <row r="1051" spans="39:45">
      <c r="AM1051" s="55">
        <v>2019</v>
      </c>
      <c r="AN1051" s="55" t="s">
        <v>184</v>
      </c>
      <c r="AO1051" s="55">
        <v>13</v>
      </c>
      <c r="AP1051" s="55">
        <v>17</v>
      </c>
      <c r="AQ1051" s="55">
        <v>0</v>
      </c>
      <c r="AR1051" s="55">
        <v>28500</v>
      </c>
      <c r="AS1051" s="78">
        <f t="shared" si="20"/>
        <v>0</v>
      </c>
    </row>
    <row r="1052" spans="39:45">
      <c r="AM1052" s="54">
        <v>2019</v>
      </c>
      <c r="AN1052" s="54" t="s">
        <v>184</v>
      </c>
      <c r="AO1052" s="54">
        <v>13</v>
      </c>
      <c r="AP1052" s="54">
        <v>18</v>
      </c>
      <c r="AQ1052" s="54">
        <v>0</v>
      </c>
      <c r="AR1052" s="55">
        <v>28500</v>
      </c>
      <c r="AS1052" s="78">
        <f t="shared" si="20"/>
        <v>0</v>
      </c>
    </row>
    <row r="1053" spans="39:45">
      <c r="AM1053" s="55">
        <v>2019</v>
      </c>
      <c r="AN1053" s="55" t="s">
        <v>184</v>
      </c>
      <c r="AO1053" s="55">
        <v>13</v>
      </c>
      <c r="AP1053" s="55">
        <v>19</v>
      </c>
      <c r="AQ1053" s="55">
        <v>0</v>
      </c>
      <c r="AR1053" s="55">
        <v>28500</v>
      </c>
      <c r="AS1053" s="78">
        <f t="shared" si="20"/>
        <v>0</v>
      </c>
    </row>
    <row r="1054" spans="39:45">
      <c r="AM1054" s="54">
        <v>2019</v>
      </c>
      <c r="AN1054" s="54" t="s">
        <v>184</v>
      </c>
      <c r="AO1054" s="54">
        <v>13</v>
      </c>
      <c r="AP1054" s="54">
        <v>20</v>
      </c>
      <c r="AQ1054" s="54">
        <v>0</v>
      </c>
      <c r="AR1054" s="55">
        <v>28500</v>
      </c>
      <c r="AS1054" s="78">
        <f t="shared" si="20"/>
        <v>0</v>
      </c>
    </row>
    <row r="1055" spans="39:45">
      <c r="AM1055" s="55">
        <v>2019</v>
      </c>
      <c r="AN1055" s="55" t="s">
        <v>184</v>
      </c>
      <c r="AO1055" s="55">
        <v>13</v>
      </c>
      <c r="AP1055" s="55">
        <v>21</v>
      </c>
      <c r="AQ1055" s="55">
        <v>0</v>
      </c>
      <c r="AR1055" s="55">
        <v>28500</v>
      </c>
      <c r="AS1055" s="78">
        <f t="shared" si="20"/>
        <v>0</v>
      </c>
    </row>
    <row r="1056" spans="39:45">
      <c r="AM1056" s="54">
        <v>2019</v>
      </c>
      <c r="AN1056" s="54" t="s">
        <v>184</v>
      </c>
      <c r="AO1056" s="54">
        <v>13</v>
      </c>
      <c r="AP1056" s="54">
        <v>22</v>
      </c>
      <c r="AQ1056" s="54">
        <v>0</v>
      </c>
      <c r="AR1056" s="55">
        <v>28500</v>
      </c>
      <c r="AS1056" s="78">
        <f t="shared" si="20"/>
        <v>0</v>
      </c>
    </row>
    <row r="1057" spans="39:45">
      <c r="AM1057" s="55">
        <v>2019</v>
      </c>
      <c r="AN1057" s="55" t="s">
        <v>184</v>
      </c>
      <c r="AO1057" s="55">
        <v>13</v>
      </c>
      <c r="AP1057" s="55">
        <v>23</v>
      </c>
      <c r="AQ1057" s="55">
        <v>0</v>
      </c>
      <c r="AR1057" s="55">
        <v>28500</v>
      </c>
      <c r="AS1057" s="78">
        <f t="shared" si="20"/>
        <v>0</v>
      </c>
    </row>
    <row r="1058" spans="39:45">
      <c r="AM1058" s="54">
        <v>2019</v>
      </c>
      <c r="AN1058" s="54" t="s">
        <v>184</v>
      </c>
      <c r="AO1058" s="54">
        <v>14</v>
      </c>
      <c r="AP1058" s="54">
        <v>24</v>
      </c>
      <c r="AQ1058" s="54">
        <v>0</v>
      </c>
      <c r="AR1058" s="55">
        <v>28500</v>
      </c>
      <c r="AS1058" s="78">
        <f t="shared" si="20"/>
        <v>0</v>
      </c>
    </row>
    <row r="1059" spans="39:45">
      <c r="AM1059" s="55">
        <v>2019</v>
      </c>
      <c r="AN1059" s="55" t="s">
        <v>184</v>
      </c>
      <c r="AO1059" s="55">
        <v>14</v>
      </c>
      <c r="AP1059" s="55">
        <v>1</v>
      </c>
      <c r="AQ1059" s="55">
        <v>0</v>
      </c>
      <c r="AR1059" s="55">
        <v>28500</v>
      </c>
      <c r="AS1059" s="78">
        <f t="shared" si="20"/>
        <v>0</v>
      </c>
    </row>
    <row r="1060" spans="39:45">
      <c r="AM1060" s="54">
        <v>2019</v>
      </c>
      <c r="AN1060" s="54" t="s">
        <v>184</v>
      </c>
      <c r="AO1060" s="54">
        <v>14</v>
      </c>
      <c r="AP1060" s="54">
        <v>2</v>
      </c>
      <c r="AQ1060" s="54">
        <v>0</v>
      </c>
      <c r="AR1060" s="55">
        <v>28500</v>
      </c>
      <c r="AS1060" s="78">
        <f t="shared" si="20"/>
        <v>0</v>
      </c>
    </row>
    <row r="1061" spans="39:45">
      <c r="AM1061" s="55">
        <v>2019</v>
      </c>
      <c r="AN1061" s="55" t="s">
        <v>184</v>
      </c>
      <c r="AO1061" s="55">
        <v>14</v>
      </c>
      <c r="AP1061" s="55">
        <v>3</v>
      </c>
      <c r="AQ1061" s="55">
        <v>0</v>
      </c>
      <c r="AR1061" s="55">
        <v>28500</v>
      </c>
      <c r="AS1061" s="78">
        <f t="shared" si="20"/>
        <v>0</v>
      </c>
    </row>
    <row r="1062" spans="39:45">
      <c r="AM1062" s="54">
        <v>2019</v>
      </c>
      <c r="AN1062" s="54" t="s">
        <v>184</v>
      </c>
      <c r="AO1062" s="54">
        <v>14</v>
      </c>
      <c r="AP1062" s="54">
        <v>4</v>
      </c>
      <c r="AQ1062" s="54">
        <v>0</v>
      </c>
      <c r="AR1062" s="55">
        <v>28500</v>
      </c>
      <c r="AS1062" s="78">
        <f t="shared" si="20"/>
        <v>0</v>
      </c>
    </row>
    <row r="1063" spans="39:45">
      <c r="AM1063" s="55">
        <v>2019</v>
      </c>
      <c r="AN1063" s="55" t="s">
        <v>184</v>
      </c>
      <c r="AO1063" s="55">
        <v>14</v>
      </c>
      <c r="AP1063" s="55">
        <v>5</v>
      </c>
      <c r="AQ1063" s="55">
        <v>0</v>
      </c>
      <c r="AR1063" s="55">
        <v>28500</v>
      </c>
      <c r="AS1063" s="78">
        <f t="shared" si="20"/>
        <v>0</v>
      </c>
    </row>
    <row r="1064" spans="39:45">
      <c r="AM1064" s="54">
        <v>2019</v>
      </c>
      <c r="AN1064" s="54" t="s">
        <v>184</v>
      </c>
      <c r="AO1064" s="54">
        <v>14</v>
      </c>
      <c r="AP1064" s="54">
        <v>6</v>
      </c>
      <c r="AQ1064" s="54">
        <v>0</v>
      </c>
      <c r="AR1064" s="55">
        <v>28500</v>
      </c>
      <c r="AS1064" s="78">
        <f t="shared" si="20"/>
        <v>0</v>
      </c>
    </row>
    <row r="1065" spans="39:45">
      <c r="AM1065" s="55">
        <v>2019</v>
      </c>
      <c r="AN1065" s="55" t="s">
        <v>184</v>
      </c>
      <c r="AO1065" s="55">
        <v>14</v>
      </c>
      <c r="AP1065" s="55">
        <v>7</v>
      </c>
      <c r="AQ1065" s="55">
        <v>0</v>
      </c>
      <c r="AR1065" s="55">
        <v>28500</v>
      </c>
      <c r="AS1065" s="78">
        <f t="shared" si="20"/>
        <v>0</v>
      </c>
    </row>
    <row r="1066" spans="39:45">
      <c r="AM1066" s="54">
        <v>2019</v>
      </c>
      <c r="AN1066" s="54" t="s">
        <v>184</v>
      </c>
      <c r="AO1066" s="54">
        <v>14</v>
      </c>
      <c r="AP1066" s="54">
        <v>8</v>
      </c>
      <c r="AQ1066" s="54">
        <v>9601.5</v>
      </c>
      <c r="AR1066" s="55">
        <v>28500</v>
      </c>
      <c r="AS1066" s="78">
        <f t="shared" si="20"/>
        <v>0.33689473684210525</v>
      </c>
    </row>
    <row r="1067" spans="39:45">
      <c r="AM1067" s="55">
        <v>2019</v>
      </c>
      <c r="AN1067" s="55" t="s">
        <v>184</v>
      </c>
      <c r="AO1067" s="55">
        <v>14</v>
      </c>
      <c r="AP1067" s="55">
        <v>9</v>
      </c>
      <c r="AQ1067" s="55">
        <v>21163.5</v>
      </c>
      <c r="AR1067" s="55">
        <v>28500</v>
      </c>
      <c r="AS1067" s="78">
        <f t="shared" si="20"/>
        <v>0.74257894736842101</v>
      </c>
    </row>
    <row r="1068" spans="39:45">
      <c r="AM1068" s="54">
        <v>2019</v>
      </c>
      <c r="AN1068" s="54" t="s">
        <v>184</v>
      </c>
      <c r="AO1068" s="54">
        <v>14</v>
      </c>
      <c r="AP1068" s="54">
        <v>10</v>
      </c>
      <c r="AQ1068" s="54">
        <v>31213</v>
      </c>
      <c r="AR1068" s="55">
        <v>28500</v>
      </c>
      <c r="AS1068" s="78">
        <f t="shared" si="20"/>
        <v>1.0951929824561404</v>
      </c>
    </row>
    <row r="1069" spans="39:45">
      <c r="AM1069" s="55">
        <v>2019</v>
      </c>
      <c r="AN1069" s="55" t="s">
        <v>184</v>
      </c>
      <c r="AO1069" s="55">
        <v>14</v>
      </c>
      <c r="AP1069" s="55">
        <v>11</v>
      </c>
      <c r="AQ1069" s="55">
        <v>36127</v>
      </c>
      <c r="AR1069" s="55">
        <v>28500</v>
      </c>
      <c r="AS1069" s="78">
        <f t="shared" si="20"/>
        <v>1.2676140350877192</v>
      </c>
    </row>
    <row r="1070" spans="39:45">
      <c r="AM1070" s="54">
        <v>2019</v>
      </c>
      <c r="AN1070" s="54" t="s">
        <v>184</v>
      </c>
      <c r="AO1070" s="54">
        <v>14</v>
      </c>
      <c r="AP1070" s="54">
        <v>12</v>
      </c>
      <c r="AQ1070" s="54">
        <v>37817</v>
      </c>
      <c r="AR1070" s="55">
        <v>28500</v>
      </c>
      <c r="AS1070" s="78">
        <f t="shared" si="20"/>
        <v>1.3269122807017544</v>
      </c>
    </row>
    <row r="1071" spans="39:45">
      <c r="AM1071" s="55">
        <v>2019</v>
      </c>
      <c r="AN1071" s="55" t="s">
        <v>184</v>
      </c>
      <c r="AO1071" s="55">
        <v>14</v>
      </c>
      <c r="AP1071" s="55">
        <v>13</v>
      </c>
      <c r="AQ1071" s="55">
        <v>36360</v>
      </c>
      <c r="AR1071" s="55">
        <v>28500</v>
      </c>
      <c r="AS1071" s="78">
        <f t="shared" si="20"/>
        <v>1.2757894736842106</v>
      </c>
    </row>
    <row r="1072" spans="39:45">
      <c r="AM1072" s="54">
        <v>2019</v>
      </c>
      <c r="AN1072" s="54" t="s">
        <v>184</v>
      </c>
      <c r="AO1072" s="54">
        <v>14</v>
      </c>
      <c r="AP1072" s="54">
        <v>14</v>
      </c>
      <c r="AQ1072" s="54">
        <v>30371.5</v>
      </c>
      <c r="AR1072" s="55">
        <v>28500</v>
      </c>
      <c r="AS1072" s="78">
        <f t="shared" si="20"/>
        <v>1.0656666666666668</v>
      </c>
    </row>
    <row r="1073" spans="39:45">
      <c r="AM1073" s="55">
        <v>2019</v>
      </c>
      <c r="AN1073" s="55" t="s">
        <v>184</v>
      </c>
      <c r="AO1073" s="55">
        <v>14</v>
      </c>
      <c r="AP1073" s="55">
        <v>15</v>
      </c>
      <c r="AQ1073" s="55">
        <v>23408.5</v>
      </c>
      <c r="AR1073" s="55">
        <v>28500</v>
      </c>
      <c r="AS1073" s="78">
        <f t="shared" si="20"/>
        <v>0.8213508771929825</v>
      </c>
    </row>
    <row r="1074" spans="39:45">
      <c r="AM1074" s="54">
        <v>2019</v>
      </c>
      <c r="AN1074" s="54" t="s">
        <v>184</v>
      </c>
      <c r="AO1074" s="54">
        <v>14</v>
      </c>
      <c r="AP1074" s="54">
        <v>16</v>
      </c>
      <c r="AQ1074" s="54">
        <v>10835.5</v>
      </c>
      <c r="AR1074" s="55">
        <v>28500</v>
      </c>
      <c r="AS1074" s="78">
        <f t="shared" si="20"/>
        <v>0.38019298245614036</v>
      </c>
    </row>
    <row r="1075" spans="39:45">
      <c r="AM1075" s="55">
        <v>2019</v>
      </c>
      <c r="AN1075" s="55" t="s">
        <v>184</v>
      </c>
      <c r="AO1075" s="55">
        <v>14</v>
      </c>
      <c r="AP1075" s="55">
        <v>17</v>
      </c>
      <c r="AQ1075" s="55">
        <v>0</v>
      </c>
      <c r="AR1075" s="55">
        <v>28500</v>
      </c>
      <c r="AS1075" s="78">
        <f t="shared" si="20"/>
        <v>0</v>
      </c>
    </row>
    <row r="1076" spans="39:45">
      <c r="AM1076" s="54">
        <v>2019</v>
      </c>
      <c r="AN1076" s="54" t="s">
        <v>184</v>
      </c>
      <c r="AO1076" s="54">
        <v>14</v>
      </c>
      <c r="AP1076" s="54">
        <v>18</v>
      </c>
      <c r="AQ1076" s="54">
        <v>0</v>
      </c>
      <c r="AR1076" s="55">
        <v>28500</v>
      </c>
      <c r="AS1076" s="78">
        <f t="shared" si="20"/>
        <v>0</v>
      </c>
    </row>
    <row r="1077" spans="39:45">
      <c r="AM1077" s="55">
        <v>2019</v>
      </c>
      <c r="AN1077" s="55" t="s">
        <v>184</v>
      </c>
      <c r="AO1077" s="55">
        <v>14</v>
      </c>
      <c r="AP1077" s="55">
        <v>19</v>
      </c>
      <c r="AQ1077" s="55">
        <v>0</v>
      </c>
      <c r="AR1077" s="55">
        <v>28500</v>
      </c>
      <c r="AS1077" s="78">
        <f t="shared" si="20"/>
        <v>0</v>
      </c>
    </row>
    <row r="1078" spans="39:45">
      <c r="AM1078" s="54">
        <v>2019</v>
      </c>
      <c r="AN1078" s="54" t="s">
        <v>184</v>
      </c>
      <c r="AO1078" s="54">
        <v>14</v>
      </c>
      <c r="AP1078" s="54">
        <v>20</v>
      </c>
      <c r="AQ1078" s="54">
        <v>0</v>
      </c>
      <c r="AR1078" s="55">
        <v>28500</v>
      </c>
      <c r="AS1078" s="78">
        <f t="shared" si="20"/>
        <v>0</v>
      </c>
    </row>
    <row r="1079" spans="39:45">
      <c r="AM1079" s="55">
        <v>2019</v>
      </c>
      <c r="AN1079" s="55" t="s">
        <v>184</v>
      </c>
      <c r="AO1079" s="55">
        <v>14</v>
      </c>
      <c r="AP1079" s="55">
        <v>21</v>
      </c>
      <c r="AQ1079" s="55">
        <v>0</v>
      </c>
      <c r="AR1079" s="55">
        <v>28500</v>
      </c>
      <c r="AS1079" s="78">
        <f t="shared" si="20"/>
        <v>0</v>
      </c>
    </row>
    <row r="1080" spans="39:45">
      <c r="AM1080" s="54">
        <v>2019</v>
      </c>
      <c r="AN1080" s="54" t="s">
        <v>184</v>
      </c>
      <c r="AO1080" s="54">
        <v>14</v>
      </c>
      <c r="AP1080" s="54">
        <v>22</v>
      </c>
      <c r="AQ1080" s="54">
        <v>0</v>
      </c>
      <c r="AR1080" s="55">
        <v>28500</v>
      </c>
      <c r="AS1080" s="78">
        <f t="shared" si="20"/>
        <v>0</v>
      </c>
    </row>
    <row r="1081" spans="39:45">
      <c r="AM1081" s="55">
        <v>2019</v>
      </c>
      <c r="AN1081" s="55" t="s">
        <v>184</v>
      </c>
      <c r="AO1081" s="55">
        <v>14</v>
      </c>
      <c r="AP1081" s="55">
        <v>23</v>
      </c>
      <c r="AQ1081" s="55">
        <v>0</v>
      </c>
      <c r="AR1081" s="55">
        <v>28500</v>
      </c>
      <c r="AS1081" s="78">
        <f t="shared" si="20"/>
        <v>0</v>
      </c>
    </row>
    <row r="1082" spans="39:45">
      <c r="AM1082" s="54">
        <v>2019</v>
      </c>
      <c r="AN1082" s="54" t="s">
        <v>184</v>
      </c>
      <c r="AO1082" s="54">
        <v>15</v>
      </c>
      <c r="AP1082" s="54">
        <v>24</v>
      </c>
      <c r="AQ1082" s="54">
        <v>0</v>
      </c>
      <c r="AR1082" s="55">
        <v>28500</v>
      </c>
      <c r="AS1082" s="78">
        <f t="shared" si="20"/>
        <v>0</v>
      </c>
    </row>
    <row r="1083" spans="39:45">
      <c r="AM1083" s="55">
        <v>2019</v>
      </c>
      <c r="AN1083" s="55" t="s">
        <v>184</v>
      </c>
      <c r="AO1083" s="55">
        <v>15</v>
      </c>
      <c r="AP1083" s="55">
        <v>1</v>
      </c>
      <c r="AQ1083" s="55">
        <v>0</v>
      </c>
      <c r="AR1083" s="55">
        <v>28500</v>
      </c>
      <c r="AS1083" s="78">
        <f t="shared" si="20"/>
        <v>0</v>
      </c>
    </row>
    <row r="1084" spans="39:45">
      <c r="AM1084" s="54">
        <v>2019</v>
      </c>
      <c r="AN1084" s="54" t="s">
        <v>184</v>
      </c>
      <c r="AO1084" s="54">
        <v>15</v>
      </c>
      <c r="AP1084" s="54">
        <v>2</v>
      </c>
      <c r="AQ1084" s="54">
        <v>0</v>
      </c>
      <c r="AR1084" s="55">
        <v>28500</v>
      </c>
      <c r="AS1084" s="78">
        <f t="shared" si="20"/>
        <v>0</v>
      </c>
    </row>
    <row r="1085" spans="39:45">
      <c r="AM1085" s="55">
        <v>2019</v>
      </c>
      <c r="AN1085" s="55" t="s">
        <v>184</v>
      </c>
      <c r="AO1085" s="55">
        <v>15</v>
      </c>
      <c r="AP1085" s="55">
        <v>3</v>
      </c>
      <c r="AQ1085" s="55">
        <v>0</v>
      </c>
      <c r="AR1085" s="55">
        <v>28500</v>
      </c>
      <c r="AS1085" s="78">
        <f t="shared" si="20"/>
        <v>0</v>
      </c>
    </row>
    <row r="1086" spans="39:45">
      <c r="AM1086" s="54">
        <v>2019</v>
      </c>
      <c r="AN1086" s="54" t="s">
        <v>184</v>
      </c>
      <c r="AO1086" s="54">
        <v>15</v>
      </c>
      <c r="AP1086" s="54">
        <v>4</v>
      </c>
      <c r="AQ1086" s="54">
        <v>0</v>
      </c>
      <c r="AR1086" s="55">
        <v>28500</v>
      </c>
      <c r="AS1086" s="78">
        <f t="shared" si="20"/>
        <v>0</v>
      </c>
    </row>
    <row r="1087" spans="39:45">
      <c r="AM1087" s="55">
        <v>2019</v>
      </c>
      <c r="AN1087" s="55" t="s">
        <v>184</v>
      </c>
      <c r="AO1087" s="55">
        <v>15</v>
      </c>
      <c r="AP1087" s="55">
        <v>5</v>
      </c>
      <c r="AQ1087" s="55">
        <v>0</v>
      </c>
      <c r="AR1087" s="55">
        <v>28500</v>
      </c>
      <c r="AS1087" s="78">
        <f t="shared" si="20"/>
        <v>0</v>
      </c>
    </row>
    <row r="1088" spans="39:45">
      <c r="AM1088" s="54">
        <v>2019</v>
      </c>
      <c r="AN1088" s="54" t="s">
        <v>184</v>
      </c>
      <c r="AO1088" s="54">
        <v>15</v>
      </c>
      <c r="AP1088" s="54">
        <v>6</v>
      </c>
      <c r="AQ1088" s="54">
        <v>0</v>
      </c>
      <c r="AR1088" s="55">
        <v>28500</v>
      </c>
      <c r="AS1088" s="78">
        <f t="shared" si="20"/>
        <v>0</v>
      </c>
    </row>
    <row r="1089" spans="39:45">
      <c r="AM1089" s="55">
        <v>2019</v>
      </c>
      <c r="AN1089" s="55" t="s">
        <v>184</v>
      </c>
      <c r="AO1089" s="55">
        <v>15</v>
      </c>
      <c r="AP1089" s="55">
        <v>7</v>
      </c>
      <c r="AQ1089" s="55">
        <v>0</v>
      </c>
      <c r="AR1089" s="55">
        <v>28500</v>
      </c>
      <c r="AS1089" s="78">
        <f t="shared" si="20"/>
        <v>0</v>
      </c>
    </row>
    <row r="1090" spans="39:45">
      <c r="AM1090" s="54">
        <v>2019</v>
      </c>
      <c r="AN1090" s="54" t="s">
        <v>184</v>
      </c>
      <c r="AO1090" s="54">
        <v>15</v>
      </c>
      <c r="AP1090" s="54">
        <v>8</v>
      </c>
      <c r="AQ1090" s="54">
        <v>10940.5</v>
      </c>
      <c r="AR1090" s="55">
        <v>28500</v>
      </c>
      <c r="AS1090" s="78">
        <f t="shared" ref="AS1090:AS1153" si="21">AQ1090/AR1090</f>
        <v>0.38387719298245615</v>
      </c>
    </row>
    <row r="1091" spans="39:45">
      <c r="AM1091" s="55">
        <v>2019</v>
      </c>
      <c r="AN1091" s="55" t="s">
        <v>184</v>
      </c>
      <c r="AO1091" s="55">
        <v>15</v>
      </c>
      <c r="AP1091" s="55">
        <v>9</v>
      </c>
      <c r="AQ1091" s="55">
        <v>21967.5</v>
      </c>
      <c r="AR1091" s="55">
        <v>28500</v>
      </c>
      <c r="AS1091" s="78">
        <f t="shared" si="21"/>
        <v>0.77078947368421058</v>
      </c>
    </row>
    <row r="1092" spans="39:45">
      <c r="AM1092" s="54">
        <v>2019</v>
      </c>
      <c r="AN1092" s="54" t="s">
        <v>184</v>
      </c>
      <c r="AO1092" s="54">
        <v>15</v>
      </c>
      <c r="AP1092" s="54">
        <v>10</v>
      </c>
      <c r="AQ1092" s="54">
        <v>32228.5</v>
      </c>
      <c r="AR1092" s="55">
        <v>28500</v>
      </c>
      <c r="AS1092" s="78">
        <f t="shared" si="21"/>
        <v>1.1308245614035088</v>
      </c>
    </row>
    <row r="1093" spans="39:45">
      <c r="AM1093" s="55">
        <v>2019</v>
      </c>
      <c r="AN1093" s="55" t="s">
        <v>184</v>
      </c>
      <c r="AO1093" s="55">
        <v>15</v>
      </c>
      <c r="AP1093" s="55">
        <v>11</v>
      </c>
      <c r="AQ1093" s="55">
        <v>37039</v>
      </c>
      <c r="AR1093" s="55">
        <v>28500</v>
      </c>
      <c r="AS1093" s="78">
        <f t="shared" si="21"/>
        <v>1.2996140350877192</v>
      </c>
    </row>
    <row r="1094" spans="39:45">
      <c r="AM1094" s="54">
        <v>2019</v>
      </c>
      <c r="AN1094" s="54" t="s">
        <v>184</v>
      </c>
      <c r="AO1094" s="54">
        <v>15</v>
      </c>
      <c r="AP1094" s="54">
        <v>12</v>
      </c>
      <c r="AQ1094" s="54">
        <v>38862.5</v>
      </c>
      <c r="AR1094" s="55">
        <v>28500</v>
      </c>
      <c r="AS1094" s="78">
        <f t="shared" si="21"/>
        <v>1.3635964912280703</v>
      </c>
    </row>
    <row r="1095" spans="39:45">
      <c r="AM1095" s="55">
        <v>2019</v>
      </c>
      <c r="AN1095" s="55" t="s">
        <v>184</v>
      </c>
      <c r="AO1095" s="55">
        <v>15</v>
      </c>
      <c r="AP1095" s="55">
        <v>13</v>
      </c>
      <c r="AQ1095" s="55">
        <v>37244.5</v>
      </c>
      <c r="AR1095" s="55">
        <v>28500</v>
      </c>
      <c r="AS1095" s="78">
        <f t="shared" si="21"/>
        <v>1.3068245614035088</v>
      </c>
    </row>
    <row r="1096" spans="39:45">
      <c r="AM1096" s="54">
        <v>2019</v>
      </c>
      <c r="AN1096" s="54" t="s">
        <v>184</v>
      </c>
      <c r="AO1096" s="54">
        <v>15</v>
      </c>
      <c r="AP1096" s="54">
        <v>14</v>
      </c>
      <c r="AQ1096" s="54">
        <v>30595</v>
      </c>
      <c r="AR1096" s="55">
        <v>28500</v>
      </c>
      <c r="AS1096" s="78">
        <f t="shared" si="21"/>
        <v>1.0735087719298246</v>
      </c>
    </row>
    <row r="1097" spans="39:45">
      <c r="AM1097" s="55">
        <v>2019</v>
      </c>
      <c r="AN1097" s="55" t="s">
        <v>184</v>
      </c>
      <c r="AO1097" s="55">
        <v>15</v>
      </c>
      <c r="AP1097" s="55">
        <v>15</v>
      </c>
      <c r="AQ1097" s="55">
        <v>23274</v>
      </c>
      <c r="AR1097" s="55">
        <v>28500</v>
      </c>
      <c r="AS1097" s="78">
        <f t="shared" si="21"/>
        <v>0.81663157894736838</v>
      </c>
    </row>
    <row r="1098" spans="39:45">
      <c r="AM1098" s="54">
        <v>2019</v>
      </c>
      <c r="AN1098" s="54" t="s">
        <v>184</v>
      </c>
      <c r="AO1098" s="54">
        <v>15</v>
      </c>
      <c r="AP1098" s="54">
        <v>16</v>
      </c>
      <c r="AQ1098" s="54">
        <v>11442.5</v>
      </c>
      <c r="AR1098" s="55">
        <v>28500</v>
      </c>
      <c r="AS1098" s="78">
        <f t="shared" si="21"/>
        <v>0.40149122807017545</v>
      </c>
    </row>
    <row r="1099" spans="39:45">
      <c r="AM1099" s="55">
        <v>2019</v>
      </c>
      <c r="AN1099" s="55" t="s">
        <v>184</v>
      </c>
      <c r="AO1099" s="55">
        <v>15</v>
      </c>
      <c r="AP1099" s="55">
        <v>17</v>
      </c>
      <c r="AQ1099" s="55">
        <v>0</v>
      </c>
      <c r="AR1099" s="55">
        <v>28500</v>
      </c>
      <c r="AS1099" s="78">
        <f t="shared" si="21"/>
        <v>0</v>
      </c>
    </row>
    <row r="1100" spans="39:45">
      <c r="AM1100" s="54">
        <v>2019</v>
      </c>
      <c r="AN1100" s="54" t="s">
        <v>184</v>
      </c>
      <c r="AO1100" s="54">
        <v>15</v>
      </c>
      <c r="AP1100" s="54">
        <v>18</v>
      </c>
      <c r="AQ1100" s="54">
        <v>0</v>
      </c>
      <c r="AR1100" s="55">
        <v>28500</v>
      </c>
      <c r="AS1100" s="78">
        <f t="shared" si="21"/>
        <v>0</v>
      </c>
    </row>
    <row r="1101" spans="39:45">
      <c r="AM1101" s="55">
        <v>2019</v>
      </c>
      <c r="AN1101" s="55" t="s">
        <v>184</v>
      </c>
      <c r="AO1101" s="55">
        <v>15</v>
      </c>
      <c r="AP1101" s="55">
        <v>19</v>
      </c>
      <c r="AQ1101" s="55">
        <v>0</v>
      </c>
      <c r="AR1101" s="55">
        <v>28500</v>
      </c>
      <c r="AS1101" s="78">
        <f t="shared" si="21"/>
        <v>0</v>
      </c>
    </row>
    <row r="1102" spans="39:45">
      <c r="AM1102" s="54">
        <v>2019</v>
      </c>
      <c r="AN1102" s="54" t="s">
        <v>184</v>
      </c>
      <c r="AO1102" s="54">
        <v>15</v>
      </c>
      <c r="AP1102" s="54">
        <v>20</v>
      </c>
      <c r="AQ1102" s="54">
        <v>0</v>
      </c>
      <c r="AR1102" s="55">
        <v>28500</v>
      </c>
      <c r="AS1102" s="78">
        <f t="shared" si="21"/>
        <v>0</v>
      </c>
    </row>
    <row r="1103" spans="39:45">
      <c r="AM1103" s="55">
        <v>2019</v>
      </c>
      <c r="AN1103" s="55" t="s">
        <v>184</v>
      </c>
      <c r="AO1103" s="55">
        <v>15</v>
      </c>
      <c r="AP1103" s="55">
        <v>21</v>
      </c>
      <c r="AQ1103" s="55">
        <v>0</v>
      </c>
      <c r="AR1103" s="55">
        <v>28500</v>
      </c>
      <c r="AS1103" s="78">
        <f t="shared" si="21"/>
        <v>0</v>
      </c>
    </row>
    <row r="1104" spans="39:45">
      <c r="AM1104" s="54">
        <v>2019</v>
      </c>
      <c r="AN1104" s="54" t="s">
        <v>184</v>
      </c>
      <c r="AO1104" s="54">
        <v>15</v>
      </c>
      <c r="AP1104" s="54">
        <v>22</v>
      </c>
      <c r="AQ1104" s="54">
        <v>0</v>
      </c>
      <c r="AR1104" s="55">
        <v>28500</v>
      </c>
      <c r="AS1104" s="78">
        <f t="shared" si="21"/>
        <v>0</v>
      </c>
    </row>
    <row r="1105" spans="39:45">
      <c r="AM1105" s="55">
        <v>2019</v>
      </c>
      <c r="AN1105" s="55" t="s">
        <v>184</v>
      </c>
      <c r="AO1105" s="55">
        <v>15</v>
      </c>
      <c r="AP1105" s="55">
        <v>23</v>
      </c>
      <c r="AQ1105" s="55">
        <v>0</v>
      </c>
      <c r="AR1105" s="55">
        <v>28500</v>
      </c>
      <c r="AS1105" s="78">
        <f t="shared" si="21"/>
        <v>0</v>
      </c>
    </row>
    <row r="1106" spans="39:45">
      <c r="AM1106" s="54">
        <v>2019</v>
      </c>
      <c r="AN1106" s="54" t="s">
        <v>184</v>
      </c>
      <c r="AO1106" s="54">
        <v>16</v>
      </c>
      <c r="AP1106" s="54">
        <v>24</v>
      </c>
      <c r="AQ1106" s="54">
        <v>0</v>
      </c>
      <c r="AR1106" s="55">
        <v>28500</v>
      </c>
      <c r="AS1106" s="78">
        <f t="shared" si="21"/>
        <v>0</v>
      </c>
    </row>
    <row r="1107" spans="39:45">
      <c r="AM1107" s="55">
        <v>2019</v>
      </c>
      <c r="AN1107" s="55" t="s">
        <v>184</v>
      </c>
      <c r="AO1107" s="55">
        <v>16</v>
      </c>
      <c r="AP1107" s="55">
        <v>1</v>
      </c>
      <c r="AQ1107" s="55">
        <v>0</v>
      </c>
      <c r="AR1107" s="55">
        <v>28500</v>
      </c>
      <c r="AS1107" s="78">
        <f t="shared" si="21"/>
        <v>0</v>
      </c>
    </row>
    <row r="1108" spans="39:45">
      <c r="AM1108" s="54">
        <v>2019</v>
      </c>
      <c r="AN1108" s="54" t="s">
        <v>184</v>
      </c>
      <c r="AO1108" s="54">
        <v>16</v>
      </c>
      <c r="AP1108" s="54">
        <v>2</v>
      </c>
      <c r="AQ1108" s="54">
        <v>0</v>
      </c>
      <c r="AR1108" s="55">
        <v>28500</v>
      </c>
      <c r="AS1108" s="78">
        <f t="shared" si="21"/>
        <v>0</v>
      </c>
    </row>
    <row r="1109" spans="39:45">
      <c r="AM1109" s="55">
        <v>2019</v>
      </c>
      <c r="AN1109" s="55" t="s">
        <v>184</v>
      </c>
      <c r="AO1109" s="55">
        <v>16</v>
      </c>
      <c r="AP1109" s="55">
        <v>3</v>
      </c>
      <c r="AQ1109" s="55">
        <v>0</v>
      </c>
      <c r="AR1109" s="55">
        <v>28500</v>
      </c>
      <c r="AS1109" s="78">
        <f t="shared" si="21"/>
        <v>0</v>
      </c>
    </row>
    <row r="1110" spans="39:45">
      <c r="AM1110" s="54">
        <v>2019</v>
      </c>
      <c r="AN1110" s="54" t="s">
        <v>184</v>
      </c>
      <c r="AO1110" s="54">
        <v>16</v>
      </c>
      <c r="AP1110" s="54">
        <v>4</v>
      </c>
      <c r="AQ1110" s="54">
        <v>0</v>
      </c>
      <c r="AR1110" s="55">
        <v>28500</v>
      </c>
      <c r="AS1110" s="78">
        <f t="shared" si="21"/>
        <v>0</v>
      </c>
    </row>
    <row r="1111" spans="39:45">
      <c r="AM1111" s="55">
        <v>2019</v>
      </c>
      <c r="AN1111" s="55" t="s">
        <v>184</v>
      </c>
      <c r="AO1111" s="55">
        <v>16</v>
      </c>
      <c r="AP1111" s="55">
        <v>5</v>
      </c>
      <c r="AQ1111" s="55">
        <v>0</v>
      </c>
      <c r="AR1111" s="55">
        <v>28500</v>
      </c>
      <c r="AS1111" s="78">
        <f t="shared" si="21"/>
        <v>0</v>
      </c>
    </row>
    <row r="1112" spans="39:45">
      <c r="AM1112" s="54">
        <v>2019</v>
      </c>
      <c r="AN1112" s="54" t="s">
        <v>184</v>
      </c>
      <c r="AO1112" s="54">
        <v>16</v>
      </c>
      <c r="AP1112" s="54">
        <v>6</v>
      </c>
      <c r="AQ1112" s="54">
        <v>0</v>
      </c>
      <c r="AR1112" s="55">
        <v>28500</v>
      </c>
      <c r="AS1112" s="78">
        <f t="shared" si="21"/>
        <v>0</v>
      </c>
    </row>
    <row r="1113" spans="39:45">
      <c r="AM1113" s="55">
        <v>2019</v>
      </c>
      <c r="AN1113" s="55" t="s">
        <v>184</v>
      </c>
      <c r="AO1113" s="55">
        <v>16</v>
      </c>
      <c r="AP1113" s="55">
        <v>7</v>
      </c>
      <c r="AQ1113" s="55">
        <v>0</v>
      </c>
      <c r="AR1113" s="55">
        <v>28500</v>
      </c>
      <c r="AS1113" s="78">
        <f t="shared" si="21"/>
        <v>0</v>
      </c>
    </row>
    <row r="1114" spans="39:45">
      <c r="AM1114" s="54">
        <v>2019</v>
      </c>
      <c r="AN1114" s="54" t="s">
        <v>184</v>
      </c>
      <c r="AO1114" s="54">
        <v>16</v>
      </c>
      <c r="AP1114" s="54">
        <v>8</v>
      </c>
      <c r="AQ1114" s="54">
        <v>278.5</v>
      </c>
      <c r="AR1114" s="55">
        <v>28500</v>
      </c>
      <c r="AS1114" s="78">
        <f t="shared" si="21"/>
        <v>9.7719298245614039E-3</v>
      </c>
    </row>
    <row r="1115" spans="39:45">
      <c r="AM1115" s="55">
        <v>2019</v>
      </c>
      <c r="AN1115" s="55" t="s">
        <v>184</v>
      </c>
      <c r="AO1115" s="55">
        <v>16</v>
      </c>
      <c r="AP1115" s="55">
        <v>9</v>
      </c>
      <c r="AQ1115" s="55">
        <v>3157.5</v>
      </c>
      <c r="AR1115" s="55">
        <v>28500</v>
      </c>
      <c r="AS1115" s="78">
        <f t="shared" si="21"/>
        <v>0.11078947368421052</v>
      </c>
    </row>
    <row r="1116" spans="39:45">
      <c r="AM1116" s="54">
        <v>2019</v>
      </c>
      <c r="AN1116" s="54" t="s">
        <v>184</v>
      </c>
      <c r="AO1116" s="54">
        <v>16</v>
      </c>
      <c r="AP1116" s="54">
        <v>10</v>
      </c>
      <c r="AQ1116" s="54">
        <v>3380</v>
      </c>
      <c r="AR1116" s="55">
        <v>28500</v>
      </c>
      <c r="AS1116" s="78">
        <f t="shared" si="21"/>
        <v>0.11859649122807017</v>
      </c>
    </row>
    <row r="1117" spans="39:45">
      <c r="AM1117" s="55">
        <v>2019</v>
      </c>
      <c r="AN1117" s="55" t="s">
        <v>184</v>
      </c>
      <c r="AO1117" s="55">
        <v>16</v>
      </c>
      <c r="AP1117" s="55">
        <v>11</v>
      </c>
      <c r="AQ1117" s="55">
        <v>4725.5</v>
      </c>
      <c r="AR1117" s="55">
        <v>28500</v>
      </c>
      <c r="AS1117" s="78">
        <f t="shared" si="21"/>
        <v>0.16580701754385965</v>
      </c>
    </row>
    <row r="1118" spans="39:45">
      <c r="AM1118" s="54">
        <v>2019</v>
      </c>
      <c r="AN1118" s="54" t="s">
        <v>184</v>
      </c>
      <c r="AO1118" s="54">
        <v>16</v>
      </c>
      <c r="AP1118" s="54">
        <v>12</v>
      </c>
      <c r="AQ1118" s="54">
        <v>4209.5</v>
      </c>
      <c r="AR1118" s="55">
        <v>28500</v>
      </c>
      <c r="AS1118" s="78">
        <f t="shared" si="21"/>
        <v>0.14770175438596492</v>
      </c>
    </row>
    <row r="1119" spans="39:45">
      <c r="AM1119" s="55">
        <v>2019</v>
      </c>
      <c r="AN1119" s="55" t="s">
        <v>184</v>
      </c>
      <c r="AO1119" s="55">
        <v>16</v>
      </c>
      <c r="AP1119" s="55">
        <v>13</v>
      </c>
      <c r="AQ1119" s="55">
        <v>4508</v>
      </c>
      <c r="AR1119" s="55">
        <v>28500</v>
      </c>
      <c r="AS1119" s="78">
        <f t="shared" si="21"/>
        <v>0.15817543859649122</v>
      </c>
    </row>
    <row r="1120" spans="39:45">
      <c r="AM1120" s="54">
        <v>2019</v>
      </c>
      <c r="AN1120" s="54" t="s">
        <v>184</v>
      </c>
      <c r="AO1120" s="54">
        <v>16</v>
      </c>
      <c r="AP1120" s="54">
        <v>14</v>
      </c>
      <c r="AQ1120" s="54">
        <v>2548</v>
      </c>
      <c r="AR1120" s="55">
        <v>28500</v>
      </c>
      <c r="AS1120" s="78">
        <f t="shared" si="21"/>
        <v>8.9403508771929818E-2</v>
      </c>
    </row>
    <row r="1121" spans="39:45">
      <c r="AM1121" s="55">
        <v>2019</v>
      </c>
      <c r="AN1121" s="55" t="s">
        <v>184</v>
      </c>
      <c r="AO1121" s="55">
        <v>16</v>
      </c>
      <c r="AP1121" s="55">
        <v>15</v>
      </c>
      <c r="AQ1121" s="55">
        <v>3293</v>
      </c>
      <c r="AR1121" s="55">
        <v>28500</v>
      </c>
      <c r="AS1121" s="78">
        <f t="shared" si="21"/>
        <v>0.11554385964912281</v>
      </c>
    </row>
    <row r="1122" spans="39:45">
      <c r="AM1122" s="54">
        <v>2019</v>
      </c>
      <c r="AN1122" s="54" t="s">
        <v>184</v>
      </c>
      <c r="AO1122" s="54">
        <v>16</v>
      </c>
      <c r="AP1122" s="54">
        <v>16</v>
      </c>
      <c r="AQ1122" s="54">
        <v>1664.5</v>
      </c>
      <c r="AR1122" s="55">
        <v>28500</v>
      </c>
      <c r="AS1122" s="78">
        <f t="shared" si="21"/>
        <v>5.8403508771929825E-2</v>
      </c>
    </row>
    <row r="1123" spans="39:45">
      <c r="AM1123" s="55">
        <v>2019</v>
      </c>
      <c r="AN1123" s="55" t="s">
        <v>184</v>
      </c>
      <c r="AO1123" s="55">
        <v>16</v>
      </c>
      <c r="AP1123" s="55">
        <v>17</v>
      </c>
      <c r="AQ1123" s="55">
        <v>0</v>
      </c>
      <c r="AR1123" s="55">
        <v>28500</v>
      </c>
      <c r="AS1123" s="78">
        <f t="shared" si="21"/>
        <v>0</v>
      </c>
    </row>
    <row r="1124" spans="39:45">
      <c r="AM1124" s="54">
        <v>2019</v>
      </c>
      <c r="AN1124" s="54" t="s">
        <v>184</v>
      </c>
      <c r="AO1124" s="54">
        <v>16</v>
      </c>
      <c r="AP1124" s="54">
        <v>18</v>
      </c>
      <c r="AQ1124" s="54">
        <v>0</v>
      </c>
      <c r="AR1124" s="55">
        <v>28500</v>
      </c>
      <c r="AS1124" s="78">
        <f t="shared" si="21"/>
        <v>0</v>
      </c>
    </row>
    <row r="1125" spans="39:45">
      <c r="AM1125" s="55">
        <v>2019</v>
      </c>
      <c r="AN1125" s="55" t="s">
        <v>184</v>
      </c>
      <c r="AO1125" s="55">
        <v>16</v>
      </c>
      <c r="AP1125" s="55">
        <v>19</v>
      </c>
      <c r="AQ1125" s="55">
        <v>0</v>
      </c>
      <c r="AR1125" s="55">
        <v>28500</v>
      </c>
      <c r="AS1125" s="78">
        <f t="shared" si="21"/>
        <v>0</v>
      </c>
    </row>
    <row r="1126" spans="39:45">
      <c r="AM1126" s="54">
        <v>2019</v>
      </c>
      <c r="AN1126" s="54" t="s">
        <v>184</v>
      </c>
      <c r="AO1126" s="54">
        <v>16</v>
      </c>
      <c r="AP1126" s="54">
        <v>20</v>
      </c>
      <c r="AQ1126" s="54">
        <v>0</v>
      </c>
      <c r="AR1126" s="55">
        <v>28500</v>
      </c>
      <c r="AS1126" s="78">
        <f t="shared" si="21"/>
        <v>0</v>
      </c>
    </row>
    <row r="1127" spans="39:45">
      <c r="AM1127" s="55">
        <v>2019</v>
      </c>
      <c r="AN1127" s="55" t="s">
        <v>184</v>
      </c>
      <c r="AO1127" s="55">
        <v>16</v>
      </c>
      <c r="AP1127" s="55">
        <v>21</v>
      </c>
      <c r="AQ1127" s="55">
        <v>0</v>
      </c>
      <c r="AR1127" s="55">
        <v>28500</v>
      </c>
      <c r="AS1127" s="78">
        <f t="shared" si="21"/>
        <v>0</v>
      </c>
    </row>
    <row r="1128" spans="39:45">
      <c r="AM1128" s="54">
        <v>2019</v>
      </c>
      <c r="AN1128" s="54" t="s">
        <v>184</v>
      </c>
      <c r="AO1128" s="54">
        <v>16</v>
      </c>
      <c r="AP1128" s="54">
        <v>22</v>
      </c>
      <c r="AQ1128" s="54">
        <v>0</v>
      </c>
      <c r="AR1128" s="55">
        <v>28500</v>
      </c>
      <c r="AS1128" s="78">
        <f t="shared" si="21"/>
        <v>0</v>
      </c>
    </row>
    <row r="1129" spans="39:45">
      <c r="AM1129" s="55">
        <v>2019</v>
      </c>
      <c r="AN1129" s="55" t="s">
        <v>184</v>
      </c>
      <c r="AO1129" s="55">
        <v>16</v>
      </c>
      <c r="AP1129" s="55">
        <v>23</v>
      </c>
      <c r="AQ1129" s="55">
        <v>0</v>
      </c>
      <c r="AR1129" s="55">
        <v>28500</v>
      </c>
      <c r="AS1129" s="78">
        <f t="shared" si="21"/>
        <v>0</v>
      </c>
    </row>
    <row r="1130" spans="39:45">
      <c r="AM1130" s="54">
        <v>2019</v>
      </c>
      <c r="AN1130" s="54" t="s">
        <v>184</v>
      </c>
      <c r="AO1130" s="54">
        <v>17</v>
      </c>
      <c r="AP1130" s="54">
        <v>24</v>
      </c>
      <c r="AQ1130" s="54">
        <v>0</v>
      </c>
      <c r="AR1130" s="55">
        <v>28500</v>
      </c>
      <c r="AS1130" s="78">
        <f t="shared" si="21"/>
        <v>0</v>
      </c>
    </row>
    <row r="1131" spans="39:45">
      <c r="AM1131" s="55">
        <v>2019</v>
      </c>
      <c r="AN1131" s="55" t="s">
        <v>184</v>
      </c>
      <c r="AO1131" s="55">
        <v>17</v>
      </c>
      <c r="AP1131" s="55">
        <v>1</v>
      </c>
      <c r="AQ1131" s="55">
        <v>0</v>
      </c>
      <c r="AR1131" s="55">
        <v>28500</v>
      </c>
      <c r="AS1131" s="78">
        <f t="shared" si="21"/>
        <v>0</v>
      </c>
    </row>
    <row r="1132" spans="39:45">
      <c r="AM1132" s="54">
        <v>2019</v>
      </c>
      <c r="AN1132" s="54" t="s">
        <v>184</v>
      </c>
      <c r="AO1132" s="54">
        <v>17</v>
      </c>
      <c r="AP1132" s="54">
        <v>2</v>
      </c>
      <c r="AQ1132" s="54">
        <v>0</v>
      </c>
      <c r="AR1132" s="55">
        <v>28500</v>
      </c>
      <c r="AS1132" s="78">
        <f t="shared" si="21"/>
        <v>0</v>
      </c>
    </row>
    <row r="1133" spans="39:45">
      <c r="AM1133" s="55">
        <v>2019</v>
      </c>
      <c r="AN1133" s="55" t="s">
        <v>184</v>
      </c>
      <c r="AO1133" s="55">
        <v>17</v>
      </c>
      <c r="AP1133" s="55">
        <v>3</v>
      </c>
      <c r="AQ1133" s="55">
        <v>0</v>
      </c>
      <c r="AR1133" s="55">
        <v>28500</v>
      </c>
      <c r="AS1133" s="78">
        <f t="shared" si="21"/>
        <v>0</v>
      </c>
    </row>
    <row r="1134" spans="39:45">
      <c r="AM1134" s="54">
        <v>2019</v>
      </c>
      <c r="AN1134" s="54" t="s">
        <v>184</v>
      </c>
      <c r="AO1134" s="54">
        <v>17</v>
      </c>
      <c r="AP1134" s="54">
        <v>4</v>
      </c>
      <c r="AQ1134" s="54">
        <v>0</v>
      </c>
      <c r="AR1134" s="55">
        <v>28500</v>
      </c>
      <c r="AS1134" s="78">
        <f t="shared" si="21"/>
        <v>0</v>
      </c>
    </row>
    <row r="1135" spans="39:45">
      <c r="AM1135" s="55">
        <v>2019</v>
      </c>
      <c r="AN1135" s="55" t="s">
        <v>184</v>
      </c>
      <c r="AO1135" s="55">
        <v>17</v>
      </c>
      <c r="AP1135" s="55">
        <v>5</v>
      </c>
      <c r="AQ1135" s="55">
        <v>0</v>
      </c>
      <c r="AR1135" s="55">
        <v>28500</v>
      </c>
      <c r="AS1135" s="78">
        <f t="shared" si="21"/>
        <v>0</v>
      </c>
    </row>
    <row r="1136" spans="39:45">
      <c r="AM1136" s="54">
        <v>2019</v>
      </c>
      <c r="AN1136" s="54" t="s">
        <v>184</v>
      </c>
      <c r="AO1136" s="54">
        <v>17</v>
      </c>
      <c r="AP1136" s="54">
        <v>6</v>
      </c>
      <c r="AQ1136" s="54">
        <v>0</v>
      </c>
      <c r="AR1136" s="55">
        <v>28500</v>
      </c>
      <c r="AS1136" s="78">
        <f t="shared" si="21"/>
        <v>0</v>
      </c>
    </row>
    <row r="1137" spans="39:45">
      <c r="AM1137" s="55">
        <v>2019</v>
      </c>
      <c r="AN1137" s="55" t="s">
        <v>184</v>
      </c>
      <c r="AO1137" s="55">
        <v>17</v>
      </c>
      <c r="AP1137" s="55">
        <v>7</v>
      </c>
      <c r="AQ1137" s="55">
        <v>0</v>
      </c>
      <c r="AR1137" s="55">
        <v>28500</v>
      </c>
      <c r="AS1137" s="78">
        <f t="shared" si="21"/>
        <v>0</v>
      </c>
    </row>
    <row r="1138" spans="39:45">
      <c r="AM1138" s="54">
        <v>2019</v>
      </c>
      <c r="AN1138" s="54" t="s">
        <v>184</v>
      </c>
      <c r="AO1138" s="54">
        <v>17</v>
      </c>
      <c r="AP1138" s="54">
        <v>8</v>
      </c>
      <c r="AQ1138" s="54">
        <v>11133</v>
      </c>
      <c r="AR1138" s="55">
        <v>28500</v>
      </c>
      <c r="AS1138" s="78">
        <f t="shared" si="21"/>
        <v>0.39063157894736844</v>
      </c>
    </row>
    <row r="1139" spans="39:45">
      <c r="AM1139" s="55">
        <v>2019</v>
      </c>
      <c r="AN1139" s="55" t="s">
        <v>184</v>
      </c>
      <c r="AO1139" s="55">
        <v>17</v>
      </c>
      <c r="AP1139" s="55">
        <v>9</v>
      </c>
      <c r="AQ1139" s="55">
        <v>15497.5</v>
      </c>
      <c r="AR1139" s="55">
        <v>28500</v>
      </c>
      <c r="AS1139" s="78">
        <f t="shared" si="21"/>
        <v>0.54377192982456135</v>
      </c>
    </row>
    <row r="1140" spans="39:45">
      <c r="AM1140" s="54">
        <v>2019</v>
      </c>
      <c r="AN1140" s="54" t="s">
        <v>184</v>
      </c>
      <c r="AO1140" s="54">
        <v>17</v>
      </c>
      <c r="AP1140" s="54">
        <v>10</v>
      </c>
      <c r="AQ1140" s="54">
        <v>31007</v>
      </c>
      <c r="AR1140" s="55">
        <v>28500</v>
      </c>
      <c r="AS1140" s="78">
        <f t="shared" si="21"/>
        <v>1.0879649122807018</v>
      </c>
    </row>
    <row r="1141" spans="39:45">
      <c r="AM1141" s="55">
        <v>2019</v>
      </c>
      <c r="AN1141" s="55" t="s">
        <v>184</v>
      </c>
      <c r="AO1141" s="55">
        <v>17</v>
      </c>
      <c r="AP1141" s="55">
        <v>11</v>
      </c>
      <c r="AQ1141" s="55">
        <v>37353.5</v>
      </c>
      <c r="AR1141" s="55">
        <v>28500</v>
      </c>
      <c r="AS1141" s="78">
        <f t="shared" si="21"/>
        <v>1.3106491228070176</v>
      </c>
    </row>
    <row r="1142" spans="39:45">
      <c r="AM1142" s="54">
        <v>2019</v>
      </c>
      <c r="AN1142" s="54" t="s">
        <v>184</v>
      </c>
      <c r="AO1142" s="54">
        <v>17</v>
      </c>
      <c r="AP1142" s="54">
        <v>12</v>
      </c>
      <c r="AQ1142" s="54">
        <v>39148.5</v>
      </c>
      <c r="AR1142" s="55">
        <v>28500</v>
      </c>
      <c r="AS1142" s="78">
        <f t="shared" si="21"/>
        <v>1.3736315789473683</v>
      </c>
    </row>
    <row r="1143" spans="39:45">
      <c r="AM1143" s="55">
        <v>2019</v>
      </c>
      <c r="AN1143" s="55" t="s">
        <v>184</v>
      </c>
      <c r="AO1143" s="55">
        <v>17</v>
      </c>
      <c r="AP1143" s="55">
        <v>13</v>
      </c>
      <c r="AQ1143" s="55">
        <v>37249.5</v>
      </c>
      <c r="AR1143" s="55">
        <v>28500</v>
      </c>
      <c r="AS1143" s="78">
        <f t="shared" si="21"/>
        <v>1.3069999999999999</v>
      </c>
    </row>
    <row r="1144" spans="39:45">
      <c r="AM1144" s="54">
        <v>2019</v>
      </c>
      <c r="AN1144" s="54" t="s">
        <v>184</v>
      </c>
      <c r="AO1144" s="54">
        <v>17</v>
      </c>
      <c r="AP1144" s="54">
        <v>14</v>
      </c>
      <c r="AQ1144" s="54">
        <v>28920.5</v>
      </c>
      <c r="AR1144" s="55">
        <v>28500</v>
      </c>
      <c r="AS1144" s="78">
        <f t="shared" si="21"/>
        <v>1.0147543859649122</v>
      </c>
    </row>
    <row r="1145" spans="39:45">
      <c r="AM1145" s="55">
        <v>2019</v>
      </c>
      <c r="AN1145" s="55" t="s">
        <v>184</v>
      </c>
      <c r="AO1145" s="55">
        <v>17</v>
      </c>
      <c r="AP1145" s="55">
        <v>15</v>
      </c>
      <c r="AQ1145" s="55">
        <v>22537</v>
      </c>
      <c r="AR1145" s="55">
        <v>28500</v>
      </c>
      <c r="AS1145" s="78">
        <f t="shared" si="21"/>
        <v>0.79077192982456135</v>
      </c>
    </row>
    <row r="1146" spans="39:45">
      <c r="AM1146" s="54">
        <v>2019</v>
      </c>
      <c r="AN1146" s="54" t="s">
        <v>184</v>
      </c>
      <c r="AO1146" s="54">
        <v>17</v>
      </c>
      <c r="AP1146" s="54">
        <v>16</v>
      </c>
      <c r="AQ1146" s="54">
        <v>3797</v>
      </c>
      <c r="AR1146" s="55">
        <v>28500</v>
      </c>
      <c r="AS1146" s="78">
        <f t="shared" si="21"/>
        <v>0.13322807017543858</v>
      </c>
    </row>
    <row r="1147" spans="39:45">
      <c r="AM1147" s="55">
        <v>2019</v>
      </c>
      <c r="AN1147" s="55" t="s">
        <v>184</v>
      </c>
      <c r="AO1147" s="55">
        <v>17</v>
      </c>
      <c r="AP1147" s="55">
        <v>17</v>
      </c>
      <c r="AQ1147" s="55">
        <v>0</v>
      </c>
      <c r="AR1147" s="55">
        <v>28500</v>
      </c>
      <c r="AS1147" s="78">
        <f t="shared" si="21"/>
        <v>0</v>
      </c>
    </row>
    <row r="1148" spans="39:45">
      <c r="AM1148" s="54">
        <v>2019</v>
      </c>
      <c r="AN1148" s="54" t="s">
        <v>184</v>
      </c>
      <c r="AO1148" s="54">
        <v>17</v>
      </c>
      <c r="AP1148" s="54">
        <v>18</v>
      </c>
      <c r="AQ1148" s="54">
        <v>0</v>
      </c>
      <c r="AR1148" s="55">
        <v>28500</v>
      </c>
      <c r="AS1148" s="78">
        <f t="shared" si="21"/>
        <v>0</v>
      </c>
    </row>
    <row r="1149" spans="39:45">
      <c r="AM1149" s="55">
        <v>2019</v>
      </c>
      <c r="AN1149" s="55" t="s">
        <v>184</v>
      </c>
      <c r="AO1149" s="55">
        <v>17</v>
      </c>
      <c r="AP1149" s="55">
        <v>19</v>
      </c>
      <c r="AQ1149" s="55">
        <v>0</v>
      </c>
      <c r="AR1149" s="55">
        <v>28500</v>
      </c>
      <c r="AS1149" s="78">
        <f t="shared" si="21"/>
        <v>0</v>
      </c>
    </row>
    <row r="1150" spans="39:45">
      <c r="AM1150" s="54">
        <v>2019</v>
      </c>
      <c r="AN1150" s="54" t="s">
        <v>184</v>
      </c>
      <c r="AO1150" s="54">
        <v>17</v>
      </c>
      <c r="AP1150" s="54">
        <v>20</v>
      </c>
      <c r="AQ1150" s="54">
        <v>0</v>
      </c>
      <c r="AR1150" s="55">
        <v>28500</v>
      </c>
      <c r="AS1150" s="78">
        <f t="shared" si="21"/>
        <v>0</v>
      </c>
    </row>
    <row r="1151" spans="39:45">
      <c r="AM1151" s="55">
        <v>2019</v>
      </c>
      <c r="AN1151" s="55" t="s">
        <v>184</v>
      </c>
      <c r="AO1151" s="55">
        <v>17</v>
      </c>
      <c r="AP1151" s="55">
        <v>21</v>
      </c>
      <c r="AQ1151" s="55">
        <v>0</v>
      </c>
      <c r="AR1151" s="55">
        <v>28500</v>
      </c>
      <c r="AS1151" s="78">
        <f t="shared" si="21"/>
        <v>0</v>
      </c>
    </row>
    <row r="1152" spans="39:45">
      <c r="AM1152" s="54">
        <v>2019</v>
      </c>
      <c r="AN1152" s="54" t="s">
        <v>184</v>
      </c>
      <c r="AO1152" s="54">
        <v>17</v>
      </c>
      <c r="AP1152" s="54">
        <v>22</v>
      </c>
      <c r="AQ1152" s="54">
        <v>0</v>
      </c>
      <c r="AR1152" s="55">
        <v>28500</v>
      </c>
      <c r="AS1152" s="78">
        <f t="shared" si="21"/>
        <v>0</v>
      </c>
    </row>
    <row r="1153" spans="39:45">
      <c r="AM1153" s="55">
        <v>2019</v>
      </c>
      <c r="AN1153" s="55" t="s">
        <v>184</v>
      </c>
      <c r="AO1153" s="55">
        <v>17</v>
      </c>
      <c r="AP1153" s="55">
        <v>23</v>
      </c>
      <c r="AQ1153" s="55">
        <v>0</v>
      </c>
      <c r="AR1153" s="55">
        <v>28500</v>
      </c>
      <c r="AS1153" s="78">
        <f t="shared" si="21"/>
        <v>0</v>
      </c>
    </row>
    <row r="1154" spans="39:45">
      <c r="AM1154" s="54">
        <v>2019</v>
      </c>
      <c r="AN1154" s="54" t="s">
        <v>184</v>
      </c>
      <c r="AO1154" s="54">
        <v>18</v>
      </c>
      <c r="AP1154" s="54">
        <v>24</v>
      </c>
      <c r="AQ1154" s="54">
        <v>0</v>
      </c>
      <c r="AR1154" s="55">
        <v>28500</v>
      </c>
      <c r="AS1154" s="78">
        <f t="shared" ref="AS1154:AS1217" si="22">AQ1154/AR1154</f>
        <v>0</v>
      </c>
    </row>
    <row r="1155" spans="39:45">
      <c r="AM1155" s="55">
        <v>2019</v>
      </c>
      <c r="AN1155" s="55" t="s">
        <v>184</v>
      </c>
      <c r="AO1155" s="55">
        <v>18</v>
      </c>
      <c r="AP1155" s="55">
        <v>1</v>
      </c>
      <c r="AQ1155" s="55">
        <v>0</v>
      </c>
      <c r="AR1155" s="55">
        <v>28500</v>
      </c>
      <c r="AS1155" s="78">
        <f t="shared" si="22"/>
        <v>0</v>
      </c>
    </row>
    <row r="1156" spans="39:45">
      <c r="AM1156" s="54">
        <v>2019</v>
      </c>
      <c r="AN1156" s="54" t="s">
        <v>184</v>
      </c>
      <c r="AO1156" s="54">
        <v>18</v>
      </c>
      <c r="AP1156" s="54">
        <v>2</v>
      </c>
      <c r="AQ1156" s="54">
        <v>0</v>
      </c>
      <c r="AR1156" s="55">
        <v>28500</v>
      </c>
      <c r="AS1156" s="78">
        <f t="shared" si="22"/>
        <v>0</v>
      </c>
    </row>
    <row r="1157" spans="39:45">
      <c r="AM1157" s="55">
        <v>2019</v>
      </c>
      <c r="AN1157" s="55" t="s">
        <v>184</v>
      </c>
      <c r="AO1157" s="55">
        <v>18</v>
      </c>
      <c r="AP1157" s="55">
        <v>3</v>
      </c>
      <c r="AQ1157" s="55">
        <v>0</v>
      </c>
      <c r="AR1157" s="55">
        <v>28500</v>
      </c>
      <c r="AS1157" s="78">
        <f t="shared" si="22"/>
        <v>0</v>
      </c>
    </row>
    <row r="1158" spans="39:45">
      <c r="AM1158" s="54">
        <v>2019</v>
      </c>
      <c r="AN1158" s="54" t="s">
        <v>184</v>
      </c>
      <c r="AO1158" s="54">
        <v>18</v>
      </c>
      <c r="AP1158" s="54">
        <v>4</v>
      </c>
      <c r="AQ1158" s="54">
        <v>0</v>
      </c>
      <c r="AR1158" s="55">
        <v>28500</v>
      </c>
      <c r="AS1158" s="78">
        <f t="shared" si="22"/>
        <v>0</v>
      </c>
    </row>
    <row r="1159" spans="39:45">
      <c r="AM1159" s="55">
        <v>2019</v>
      </c>
      <c r="AN1159" s="55" t="s">
        <v>184</v>
      </c>
      <c r="AO1159" s="55">
        <v>18</v>
      </c>
      <c r="AP1159" s="55">
        <v>5</v>
      </c>
      <c r="AQ1159" s="55">
        <v>0</v>
      </c>
      <c r="AR1159" s="55">
        <v>28500</v>
      </c>
      <c r="AS1159" s="78">
        <f t="shared" si="22"/>
        <v>0</v>
      </c>
    </row>
    <row r="1160" spans="39:45">
      <c r="AM1160" s="54">
        <v>2019</v>
      </c>
      <c r="AN1160" s="54" t="s">
        <v>184</v>
      </c>
      <c r="AO1160" s="54">
        <v>18</v>
      </c>
      <c r="AP1160" s="54">
        <v>6</v>
      </c>
      <c r="AQ1160" s="54">
        <v>0</v>
      </c>
      <c r="AR1160" s="55">
        <v>28500</v>
      </c>
      <c r="AS1160" s="78">
        <f t="shared" si="22"/>
        <v>0</v>
      </c>
    </row>
    <row r="1161" spans="39:45">
      <c r="AM1161" s="55">
        <v>2019</v>
      </c>
      <c r="AN1161" s="55" t="s">
        <v>184</v>
      </c>
      <c r="AO1161" s="55">
        <v>18</v>
      </c>
      <c r="AP1161" s="55">
        <v>7</v>
      </c>
      <c r="AQ1161" s="55">
        <v>0</v>
      </c>
      <c r="AR1161" s="55">
        <v>28500</v>
      </c>
      <c r="AS1161" s="78">
        <f t="shared" si="22"/>
        <v>0</v>
      </c>
    </row>
    <row r="1162" spans="39:45">
      <c r="AM1162" s="54">
        <v>2019</v>
      </c>
      <c r="AN1162" s="54" t="s">
        <v>184</v>
      </c>
      <c r="AO1162" s="54">
        <v>18</v>
      </c>
      <c r="AP1162" s="54">
        <v>8</v>
      </c>
      <c r="AQ1162" s="54">
        <v>518.5</v>
      </c>
      <c r="AR1162" s="55">
        <v>28500</v>
      </c>
      <c r="AS1162" s="78">
        <f t="shared" si="22"/>
        <v>1.8192982456140351E-2</v>
      </c>
    </row>
    <row r="1163" spans="39:45">
      <c r="AM1163" s="55">
        <v>2019</v>
      </c>
      <c r="AN1163" s="55" t="s">
        <v>184</v>
      </c>
      <c r="AO1163" s="55">
        <v>18</v>
      </c>
      <c r="AP1163" s="55">
        <v>9</v>
      </c>
      <c r="AQ1163" s="55">
        <v>1618.5</v>
      </c>
      <c r="AR1163" s="55">
        <v>28500</v>
      </c>
      <c r="AS1163" s="78">
        <f t="shared" si="22"/>
        <v>5.6789473684210529E-2</v>
      </c>
    </row>
    <row r="1164" spans="39:45">
      <c r="AM1164" s="54">
        <v>2019</v>
      </c>
      <c r="AN1164" s="54" t="s">
        <v>184</v>
      </c>
      <c r="AO1164" s="54">
        <v>18</v>
      </c>
      <c r="AP1164" s="54">
        <v>10</v>
      </c>
      <c r="AQ1164" s="54">
        <v>2167</v>
      </c>
      <c r="AR1164" s="55">
        <v>28500</v>
      </c>
      <c r="AS1164" s="78">
        <f t="shared" si="22"/>
        <v>7.6035087719298247E-2</v>
      </c>
    </row>
    <row r="1165" spans="39:45">
      <c r="AM1165" s="55">
        <v>2019</v>
      </c>
      <c r="AN1165" s="55" t="s">
        <v>184</v>
      </c>
      <c r="AO1165" s="55">
        <v>18</v>
      </c>
      <c r="AP1165" s="55">
        <v>11</v>
      </c>
      <c r="AQ1165" s="55">
        <v>3346</v>
      </c>
      <c r="AR1165" s="55">
        <v>28500</v>
      </c>
      <c r="AS1165" s="78">
        <f t="shared" si="22"/>
        <v>0.11740350877192983</v>
      </c>
    </row>
    <row r="1166" spans="39:45">
      <c r="AM1166" s="54">
        <v>2019</v>
      </c>
      <c r="AN1166" s="54" t="s">
        <v>184</v>
      </c>
      <c r="AO1166" s="54">
        <v>18</v>
      </c>
      <c r="AP1166" s="54">
        <v>12</v>
      </c>
      <c r="AQ1166" s="54">
        <v>4641.5</v>
      </c>
      <c r="AR1166" s="55">
        <v>28500</v>
      </c>
      <c r="AS1166" s="78">
        <f t="shared" si="22"/>
        <v>0.16285964912280701</v>
      </c>
    </row>
    <row r="1167" spans="39:45">
      <c r="AM1167" s="55">
        <v>2019</v>
      </c>
      <c r="AN1167" s="55" t="s">
        <v>184</v>
      </c>
      <c r="AO1167" s="55">
        <v>18</v>
      </c>
      <c r="AP1167" s="55">
        <v>13</v>
      </c>
      <c r="AQ1167" s="55">
        <v>3311.5</v>
      </c>
      <c r="AR1167" s="55">
        <v>28500</v>
      </c>
      <c r="AS1167" s="78">
        <f t="shared" si="22"/>
        <v>0.11619298245614035</v>
      </c>
    </row>
    <row r="1168" spans="39:45">
      <c r="AM1168" s="54">
        <v>2019</v>
      </c>
      <c r="AN1168" s="54" t="s">
        <v>184</v>
      </c>
      <c r="AO1168" s="54">
        <v>18</v>
      </c>
      <c r="AP1168" s="54">
        <v>14</v>
      </c>
      <c r="AQ1168" s="54">
        <v>2093.5</v>
      </c>
      <c r="AR1168" s="55">
        <v>28500</v>
      </c>
      <c r="AS1168" s="78">
        <f t="shared" si="22"/>
        <v>7.3456140350877192E-2</v>
      </c>
    </row>
    <row r="1169" spans="39:45">
      <c r="AM1169" s="55">
        <v>2019</v>
      </c>
      <c r="AN1169" s="55" t="s">
        <v>184</v>
      </c>
      <c r="AO1169" s="55">
        <v>18</v>
      </c>
      <c r="AP1169" s="55">
        <v>15</v>
      </c>
      <c r="AQ1169" s="55">
        <v>1686.5</v>
      </c>
      <c r="AR1169" s="55">
        <v>28500</v>
      </c>
      <c r="AS1169" s="78">
        <f t="shared" si="22"/>
        <v>5.9175438596491228E-2</v>
      </c>
    </row>
    <row r="1170" spans="39:45">
      <c r="AM1170" s="54">
        <v>2019</v>
      </c>
      <c r="AN1170" s="54" t="s">
        <v>184</v>
      </c>
      <c r="AO1170" s="54">
        <v>18</v>
      </c>
      <c r="AP1170" s="54">
        <v>16</v>
      </c>
      <c r="AQ1170" s="54">
        <v>7258</v>
      </c>
      <c r="AR1170" s="55">
        <v>28500</v>
      </c>
      <c r="AS1170" s="78">
        <f t="shared" si="22"/>
        <v>0.25466666666666665</v>
      </c>
    </row>
    <row r="1171" spans="39:45">
      <c r="AM1171" s="55">
        <v>2019</v>
      </c>
      <c r="AN1171" s="55" t="s">
        <v>184</v>
      </c>
      <c r="AO1171" s="55">
        <v>18</v>
      </c>
      <c r="AP1171" s="55">
        <v>17</v>
      </c>
      <c r="AQ1171" s="55">
        <v>0</v>
      </c>
      <c r="AR1171" s="55">
        <v>28500</v>
      </c>
      <c r="AS1171" s="78">
        <f t="shared" si="22"/>
        <v>0</v>
      </c>
    </row>
    <row r="1172" spans="39:45">
      <c r="AM1172" s="54">
        <v>2019</v>
      </c>
      <c r="AN1172" s="54" t="s">
        <v>184</v>
      </c>
      <c r="AO1172" s="54">
        <v>18</v>
      </c>
      <c r="AP1172" s="54">
        <v>18</v>
      </c>
      <c r="AQ1172" s="54">
        <v>0</v>
      </c>
      <c r="AR1172" s="55">
        <v>28500</v>
      </c>
      <c r="AS1172" s="78">
        <f t="shared" si="22"/>
        <v>0</v>
      </c>
    </row>
    <row r="1173" spans="39:45">
      <c r="AM1173" s="55">
        <v>2019</v>
      </c>
      <c r="AN1173" s="55" t="s">
        <v>184</v>
      </c>
      <c r="AO1173" s="55">
        <v>18</v>
      </c>
      <c r="AP1173" s="55">
        <v>19</v>
      </c>
      <c r="AQ1173" s="55">
        <v>0</v>
      </c>
      <c r="AR1173" s="55">
        <v>28500</v>
      </c>
      <c r="AS1173" s="78">
        <f t="shared" si="22"/>
        <v>0</v>
      </c>
    </row>
    <row r="1174" spans="39:45">
      <c r="AM1174" s="54">
        <v>2019</v>
      </c>
      <c r="AN1174" s="54" t="s">
        <v>184</v>
      </c>
      <c r="AO1174" s="54">
        <v>18</v>
      </c>
      <c r="AP1174" s="54">
        <v>20</v>
      </c>
      <c r="AQ1174" s="54">
        <v>0</v>
      </c>
      <c r="AR1174" s="55">
        <v>28500</v>
      </c>
      <c r="AS1174" s="78">
        <f t="shared" si="22"/>
        <v>0</v>
      </c>
    </row>
    <row r="1175" spans="39:45">
      <c r="AM1175" s="55">
        <v>2019</v>
      </c>
      <c r="AN1175" s="55" t="s">
        <v>184</v>
      </c>
      <c r="AO1175" s="55">
        <v>18</v>
      </c>
      <c r="AP1175" s="55">
        <v>21</v>
      </c>
      <c r="AQ1175" s="55">
        <v>0</v>
      </c>
      <c r="AR1175" s="55">
        <v>28500</v>
      </c>
      <c r="AS1175" s="78">
        <f t="shared" si="22"/>
        <v>0</v>
      </c>
    </row>
    <row r="1176" spans="39:45">
      <c r="AM1176" s="54">
        <v>2019</v>
      </c>
      <c r="AN1176" s="54" t="s">
        <v>184</v>
      </c>
      <c r="AO1176" s="54">
        <v>18</v>
      </c>
      <c r="AP1176" s="54">
        <v>22</v>
      </c>
      <c r="AQ1176" s="54">
        <v>0</v>
      </c>
      <c r="AR1176" s="55">
        <v>28500</v>
      </c>
      <c r="AS1176" s="78">
        <f t="shared" si="22"/>
        <v>0</v>
      </c>
    </row>
    <row r="1177" spans="39:45">
      <c r="AM1177" s="55">
        <v>2019</v>
      </c>
      <c r="AN1177" s="55" t="s">
        <v>184</v>
      </c>
      <c r="AO1177" s="55">
        <v>18</v>
      </c>
      <c r="AP1177" s="55">
        <v>23</v>
      </c>
      <c r="AQ1177" s="55">
        <v>0</v>
      </c>
      <c r="AR1177" s="55">
        <v>28500</v>
      </c>
      <c r="AS1177" s="78">
        <f t="shared" si="22"/>
        <v>0</v>
      </c>
    </row>
    <row r="1178" spans="39:45">
      <c r="AM1178" s="54">
        <v>2019</v>
      </c>
      <c r="AN1178" s="54" t="s">
        <v>184</v>
      </c>
      <c r="AO1178" s="54">
        <v>19</v>
      </c>
      <c r="AP1178" s="54">
        <v>24</v>
      </c>
      <c r="AQ1178" s="54">
        <v>0</v>
      </c>
      <c r="AR1178" s="55">
        <v>28500</v>
      </c>
      <c r="AS1178" s="78">
        <f t="shared" si="22"/>
        <v>0</v>
      </c>
    </row>
    <row r="1179" spans="39:45">
      <c r="AM1179" s="55">
        <v>2019</v>
      </c>
      <c r="AN1179" s="55" t="s">
        <v>184</v>
      </c>
      <c r="AO1179" s="55">
        <v>19</v>
      </c>
      <c r="AP1179" s="55">
        <v>1</v>
      </c>
      <c r="AQ1179" s="55">
        <v>0</v>
      </c>
      <c r="AR1179" s="55">
        <v>28500</v>
      </c>
      <c r="AS1179" s="78">
        <f t="shared" si="22"/>
        <v>0</v>
      </c>
    </row>
    <row r="1180" spans="39:45">
      <c r="AM1180" s="54">
        <v>2019</v>
      </c>
      <c r="AN1180" s="54" t="s">
        <v>184</v>
      </c>
      <c r="AO1180" s="54">
        <v>19</v>
      </c>
      <c r="AP1180" s="54">
        <v>2</v>
      </c>
      <c r="AQ1180" s="54">
        <v>0</v>
      </c>
      <c r="AR1180" s="55">
        <v>28500</v>
      </c>
      <c r="AS1180" s="78">
        <f t="shared" si="22"/>
        <v>0</v>
      </c>
    </row>
    <row r="1181" spans="39:45">
      <c r="AM1181" s="55">
        <v>2019</v>
      </c>
      <c r="AN1181" s="55" t="s">
        <v>184</v>
      </c>
      <c r="AO1181" s="55">
        <v>19</v>
      </c>
      <c r="AP1181" s="55">
        <v>3</v>
      </c>
      <c r="AQ1181" s="55">
        <v>0</v>
      </c>
      <c r="AR1181" s="55">
        <v>28500</v>
      </c>
      <c r="AS1181" s="78">
        <f t="shared" si="22"/>
        <v>0</v>
      </c>
    </row>
    <row r="1182" spans="39:45">
      <c r="AM1182" s="54">
        <v>2019</v>
      </c>
      <c r="AN1182" s="54" t="s">
        <v>184</v>
      </c>
      <c r="AO1182" s="54">
        <v>19</v>
      </c>
      <c r="AP1182" s="54">
        <v>4</v>
      </c>
      <c r="AQ1182" s="54">
        <v>0</v>
      </c>
      <c r="AR1182" s="55">
        <v>28500</v>
      </c>
      <c r="AS1182" s="78">
        <f t="shared" si="22"/>
        <v>0</v>
      </c>
    </row>
    <row r="1183" spans="39:45">
      <c r="AM1183" s="55">
        <v>2019</v>
      </c>
      <c r="AN1183" s="55" t="s">
        <v>184</v>
      </c>
      <c r="AO1183" s="55">
        <v>19</v>
      </c>
      <c r="AP1183" s="55">
        <v>5</v>
      </c>
      <c r="AQ1183" s="55">
        <v>0</v>
      </c>
      <c r="AR1183" s="55">
        <v>28500</v>
      </c>
      <c r="AS1183" s="78">
        <f t="shared" si="22"/>
        <v>0</v>
      </c>
    </row>
    <row r="1184" spans="39:45">
      <c r="AM1184" s="54">
        <v>2019</v>
      </c>
      <c r="AN1184" s="54" t="s">
        <v>184</v>
      </c>
      <c r="AO1184" s="54">
        <v>19</v>
      </c>
      <c r="AP1184" s="54">
        <v>6</v>
      </c>
      <c r="AQ1184" s="54">
        <v>0</v>
      </c>
      <c r="AR1184" s="55">
        <v>28500</v>
      </c>
      <c r="AS1184" s="78">
        <f t="shared" si="22"/>
        <v>0</v>
      </c>
    </row>
    <row r="1185" spans="39:45">
      <c r="AM1185" s="55">
        <v>2019</v>
      </c>
      <c r="AN1185" s="55" t="s">
        <v>184</v>
      </c>
      <c r="AO1185" s="55">
        <v>19</v>
      </c>
      <c r="AP1185" s="55">
        <v>7</v>
      </c>
      <c r="AQ1185" s="55">
        <v>0</v>
      </c>
      <c r="AR1185" s="55">
        <v>28500</v>
      </c>
      <c r="AS1185" s="78">
        <f t="shared" si="22"/>
        <v>0</v>
      </c>
    </row>
    <row r="1186" spans="39:45">
      <c r="AM1186" s="54">
        <v>2019</v>
      </c>
      <c r="AN1186" s="54" t="s">
        <v>184</v>
      </c>
      <c r="AO1186" s="54">
        <v>19</v>
      </c>
      <c r="AP1186" s="54">
        <v>8</v>
      </c>
      <c r="AQ1186" s="54">
        <v>12188.5</v>
      </c>
      <c r="AR1186" s="55">
        <v>28500</v>
      </c>
      <c r="AS1186" s="78">
        <f t="shared" si="22"/>
        <v>0.42766666666666664</v>
      </c>
    </row>
    <row r="1187" spans="39:45">
      <c r="AM1187" s="55">
        <v>2019</v>
      </c>
      <c r="AN1187" s="55" t="s">
        <v>184</v>
      </c>
      <c r="AO1187" s="55">
        <v>19</v>
      </c>
      <c r="AP1187" s="55">
        <v>9</v>
      </c>
      <c r="AQ1187" s="55">
        <v>22967</v>
      </c>
      <c r="AR1187" s="55">
        <v>28500</v>
      </c>
      <c r="AS1187" s="78">
        <f t="shared" si="22"/>
        <v>0.80585964912280705</v>
      </c>
    </row>
    <row r="1188" spans="39:45">
      <c r="AM1188" s="54">
        <v>2019</v>
      </c>
      <c r="AN1188" s="54" t="s">
        <v>184</v>
      </c>
      <c r="AO1188" s="54">
        <v>19</v>
      </c>
      <c r="AP1188" s="54">
        <v>10</v>
      </c>
      <c r="AQ1188" s="54">
        <v>31636</v>
      </c>
      <c r="AR1188" s="55">
        <v>28500</v>
      </c>
      <c r="AS1188" s="78">
        <f t="shared" si="22"/>
        <v>1.1100350877192982</v>
      </c>
    </row>
    <row r="1189" spans="39:45">
      <c r="AM1189" s="55">
        <v>2019</v>
      </c>
      <c r="AN1189" s="55" t="s">
        <v>184</v>
      </c>
      <c r="AO1189" s="55">
        <v>19</v>
      </c>
      <c r="AP1189" s="55">
        <v>11</v>
      </c>
      <c r="AQ1189" s="55">
        <v>32863</v>
      </c>
      <c r="AR1189" s="55">
        <v>28500</v>
      </c>
      <c r="AS1189" s="78">
        <f t="shared" si="22"/>
        <v>1.1530877192982456</v>
      </c>
    </row>
    <row r="1190" spans="39:45">
      <c r="AM1190" s="54">
        <v>2019</v>
      </c>
      <c r="AN1190" s="54" t="s">
        <v>184</v>
      </c>
      <c r="AO1190" s="54">
        <v>19</v>
      </c>
      <c r="AP1190" s="54">
        <v>12</v>
      </c>
      <c r="AQ1190" s="54">
        <v>24475.5</v>
      </c>
      <c r="AR1190" s="55">
        <v>28500</v>
      </c>
      <c r="AS1190" s="78">
        <f t="shared" si="22"/>
        <v>0.85878947368421055</v>
      </c>
    </row>
    <row r="1191" spans="39:45">
      <c r="AM1191" s="55">
        <v>2019</v>
      </c>
      <c r="AN1191" s="55" t="s">
        <v>184</v>
      </c>
      <c r="AO1191" s="55">
        <v>19</v>
      </c>
      <c r="AP1191" s="55">
        <v>13</v>
      </c>
      <c r="AQ1191" s="55">
        <v>18740.5</v>
      </c>
      <c r="AR1191" s="55">
        <v>28500</v>
      </c>
      <c r="AS1191" s="78">
        <f t="shared" si="22"/>
        <v>0.6575614035087719</v>
      </c>
    </row>
    <row r="1192" spans="39:45">
      <c r="AM1192" s="54">
        <v>2019</v>
      </c>
      <c r="AN1192" s="54" t="s">
        <v>184</v>
      </c>
      <c r="AO1192" s="54">
        <v>19</v>
      </c>
      <c r="AP1192" s="54">
        <v>14</v>
      </c>
      <c r="AQ1192" s="54">
        <v>13648</v>
      </c>
      <c r="AR1192" s="55">
        <v>28500</v>
      </c>
      <c r="AS1192" s="78">
        <f t="shared" si="22"/>
        <v>0.47887719298245612</v>
      </c>
    </row>
    <row r="1193" spans="39:45">
      <c r="AM1193" s="55">
        <v>2019</v>
      </c>
      <c r="AN1193" s="55" t="s">
        <v>184</v>
      </c>
      <c r="AO1193" s="55">
        <v>19</v>
      </c>
      <c r="AP1193" s="55">
        <v>15</v>
      </c>
      <c r="AQ1193" s="55">
        <v>19021</v>
      </c>
      <c r="AR1193" s="55">
        <v>28500</v>
      </c>
      <c r="AS1193" s="78">
        <f t="shared" si="22"/>
        <v>0.66740350877192978</v>
      </c>
    </row>
    <row r="1194" spans="39:45">
      <c r="AM1194" s="54">
        <v>2019</v>
      </c>
      <c r="AN1194" s="54" t="s">
        <v>184</v>
      </c>
      <c r="AO1194" s="54">
        <v>19</v>
      </c>
      <c r="AP1194" s="54">
        <v>16</v>
      </c>
      <c r="AQ1194" s="54">
        <v>3375.5</v>
      </c>
      <c r="AR1194" s="55">
        <v>28500</v>
      </c>
      <c r="AS1194" s="78">
        <f t="shared" si="22"/>
        <v>0.11843859649122807</v>
      </c>
    </row>
    <row r="1195" spans="39:45">
      <c r="AM1195" s="55">
        <v>2019</v>
      </c>
      <c r="AN1195" s="55" t="s">
        <v>184</v>
      </c>
      <c r="AO1195" s="55">
        <v>19</v>
      </c>
      <c r="AP1195" s="55">
        <v>17</v>
      </c>
      <c r="AQ1195" s="55">
        <v>0</v>
      </c>
      <c r="AR1195" s="55">
        <v>28500</v>
      </c>
      <c r="AS1195" s="78">
        <f t="shared" si="22"/>
        <v>0</v>
      </c>
    </row>
    <row r="1196" spans="39:45">
      <c r="AM1196" s="54">
        <v>2019</v>
      </c>
      <c r="AN1196" s="54" t="s">
        <v>184</v>
      </c>
      <c r="AO1196" s="54">
        <v>19</v>
      </c>
      <c r="AP1196" s="54">
        <v>18</v>
      </c>
      <c r="AQ1196" s="54">
        <v>0</v>
      </c>
      <c r="AR1196" s="55">
        <v>28500</v>
      </c>
      <c r="AS1196" s="78">
        <f t="shared" si="22"/>
        <v>0</v>
      </c>
    </row>
    <row r="1197" spans="39:45">
      <c r="AM1197" s="55">
        <v>2019</v>
      </c>
      <c r="AN1197" s="55" t="s">
        <v>184</v>
      </c>
      <c r="AO1197" s="55">
        <v>19</v>
      </c>
      <c r="AP1197" s="55">
        <v>19</v>
      </c>
      <c r="AQ1197" s="55">
        <v>0</v>
      </c>
      <c r="AR1197" s="55">
        <v>28500</v>
      </c>
      <c r="AS1197" s="78">
        <f t="shared" si="22"/>
        <v>0</v>
      </c>
    </row>
    <row r="1198" spans="39:45">
      <c r="AM1198" s="54">
        <v>2019</v>
      </c>
      <c r="AN1198" s="54" t="s">
        <v>184</v>
      </c>
      <c r="AO1198" s="54">
        <v>19</v>
      </c>
      <c r="AP1198" s="54">
        <v>20</v>
      </c>
      <c r="AQ1198" s="54">
        <v>0</v>
      </c>
      <c r="AR1198" s="55">
        <v>28500</v>
      </c>
      <c r="AS1198" s="78">
        <f t="shared" si="22"/>
        <v>0</v>
      </c>
    </row>
    <row r="1199" spans="39:45">
      <c r="AM1199" s="55">
        <v>2019</v>
      </c>
      <c r="AN1199" s="55" t="s">
        <v>184</v>
      </c>
      <c r="AO1199" s="55">
        <v>19</v>
      </c>
      <c r="AP1199" s="55">
        <v>21</v>
      </c>
      <c r="AQ1199" s="55">
        <v>0</v>
      </c>
      <c r="AR1199" s="55">
        <v>28500</v>
      </c>
      <c r="AS1199" s="78">
        <f t="shared" si="22"/>
        <v>0</v>
      </c>
    </row>
    <row r="1200" spans="39:45">
      <c r="AM1200" s="54">
        <v>2019</v>
      </c>
      <c r="AN1200" s="54" t="s">
        <v>184</v>
      </c>
      <c r="AO1200" s="54">
        <v>19</v>
      </c>
      <c r="AP1200" s="54">
        <v>22</v>
      </c>
      <c r="AQ1200" s="54">
        <v>0</v>
      </c>
      <c r="AR1200" s="55">
        <v>28500</v>
      </c>
      <c r="AS1200" s="78">
        <f t="shared" si="22"/>
        <v>0</v>
      </c>
    </row>
    <row r="1201" spans="39:45">
      <c r="AM1201" s="55">
        <v>2019</v>
      </c>
      <c r="AN1201" s="55" t="s">
        <v>184</v>
      </c>
      <c r="AO1201" s="55">
        <v>19</v>
      </c>
      <c r="AP1201" s="55">
        <v>23</v>
      </c>
      <c r="AQ1201" s="55">
        <v>0</v>
      </c>
      <c r="AR1201" s="55">
        <v>28500</v>
      </c>
      <c r="AS1201" s="78">
        <f t="shared" si="22"/>
        <v>0</v>
      </c>
    </row>
    <row r="1202" spans="39:45">
      <c r="AM1202" s="54">
        <v>2019</v>
      </c>
      <c r="AN1202" s="54" t="s">
        <v>184</v>
      </c>
      <c r="AO1202" s="54">
        <v>20</v>
      </c>
      <c r="AP1202" s="54">
        <v>24</v>
      </c>
      <c r="AQ1202" s="54">
        <v>0</v>
      </c>
      <c r="AR1202" s="55">
        <v>28500</v>
      </c>
      <c r="AS1202" s="78">
        <f t="shared" si="22"/>
        <v>0</v>
      </c>
    </row>
    <row r="1203" spans="39:45">
      <c r="AM1203" s="55">
        <v>2019</v>
      </c>
      <c r="AN1203" s="55" t="s">
        <v>184</v>
      </c>
      <c r="AO1203" s="55">
        <v>20</v>
      </c>
      <c r="AP1203" s="55">
        <v>1</v>
      </c>
      <c r="AQ1203" s="55">
        <v>0</v>
      </c>
      <c r="AR1203" s="55">
        <v>28500</v>
      </c>
      <c r="AS1203" s="78">
        <f t="shared" si="22"/>
        <v>0</v>
      </c>
    </row>
    <row r="1204" spans="39:45">
      <c r="AM1204" s="54">
        <v>2019</v>
      </c>
      <c r="AN1204" s="54" t="s">
        <v>184</v>
      </c>
      <c r="AO1204" s="54">
        <v>20</v>
      </c>
      <c r="AP1204" s="54">
        <v>2</v>
      </c>
      <c r="AQ1204" s="54">
        <v>0</v>
      </c>
      <c r="AR1204" s="55">
        <v>28500</v>
      </c>
      <c r="AS1204" s="78">
        <f t="shared" si="22"/>
        <v>0</v>
      </c>
    </row>
    <row r="1205" spans="39:45">
      <c r="AM1205" s="55">
        <v>2019</v>
      </c>
      <c r="AN1205" s="55" t="s">
        <v>184</v>
      </c>
      <c r="AO1205" s="55">
        <v>20</v>
      </c>
      <c r="AP1205" s="55">
        <v>3</v>
      </c>
      <c r="AQ1205" s="55">
        <v>0</v>
      </c>
      <c r="AR1205" s="55">
        <v>28500</v>
      </c>
      <c r="AS1205" s="78">
        <f t="shared" si="22"/>
        <v>0</v>
      </c>
    </row>
    <row r="1206" spans="39:45">
      <c r="AM1206" s="54">
        <v>2019</v>
      </c>
      <c r="AN1206" s="54" t="s">
        <v>184</v>
      </c>
      <c r="AO1206" s="54">
        <v>20</v>
      </c>
      <c r="AP1206" s="54">
        <v>4</v>
      </c>
      <c r="AQ1206" s="54">
        <v>0</v>
      </c>
      <c r="AR1206" s="55">
        <v>28500</v>
      </c>
      <c r="AS1206" s="78">
        <f t="shared" si="22"/>
        <v>0</v>
      </c>
    </row>
    <row r="1207" spans="39:45">
      <c r="AM1207" s="55">
        <v>2019</v>
      </c>
      <c r="AN1207" s="55" t="s">
        <v>184</v>
      </c>
      <c r="AO1207" s="55">
        <v>20</v>
      </c>
      <c r="AP1207" s="55">
        <v>5</v>
      </c>
      <c r="AQ1207" s="55">
        <v>0</v>
      </c>
      <c r="AR1207" s="55">
        <v>28500</v>
      </c>
      <c r="AS1207" s="78">
        <f t="shared" si="22"/>
        <v>0</v>
      </c>
    </row>
    <row r="1208" spans="39:45">
      <c r="AM1208" s="54">
        <v>2019</v>
      </c>
      <c r="AN1208" s="54" t="s">
        <v>184</v>
      </c>
      <c r="AO1208" s="54">
        <v>20</v>
      </c>
      <c r="AP1208" s="54">
        <v>6</v>
      </c>
      <c r="AQ1208" s="54">
        <v>0</v>
      </c>
      <c r="AR1208" s="55">
        <v>28500</v>
      </c>
      <c r="AS1208" s="78">
        <f t="shared" si="22"/>
        <v>0</v>
      </c>
    </row>
    <row r="1209" spans="39:45">
      <c r="AM1209" s="55">
        <v>2019</v>
      </c>
      <c r="AN1209" s="55" t="s">
        <v>184</v>
      </c>
      <c r="AO1209" s="55">
        <v>20</v>
      </c>
      <c r="AP1209" s="55">
        <v>7</v>
      </c>
      <c r="AQ1209" s="55">
        <v>0</v>
      </c>
      <c r="AR1209" s="55">
        <v>28500</v>
      </c>
      <c r="AS1209" s="78">
        <f t="shared" si="22"/>
        <v>0</v>
      </c>
    </row>
    <row r="1210" spans="39:45">
      <c r="AM1210" s="54">
        <v>2019</v>
      </c>
      <c r="AN1210" s="54" t="s">
        <v>184</v>
      </c>
      <c r="AO1210" s="54">
        <v>20</v>
      </c>
      <c r="AP1210" s="54">
        <v>8</v>
      </c>
      <c r="AQ1210" s="54">
        <v>7484</v>
      </c>
      <c r="AR1210" s="55">
        <v>28500</v>
      </c>
      <c r="AS1210" s="78">
        <f t="shared" si="22"/>
        <v>0.26259649122807016</v>
      </c>
    </row>
    <row r="1211" spans="39:45">
      <c r="AM1211" s="55">
        <v>2019</v>
      </c>
      <c r="AN1211" s="55" t="s">
        <v>184</v>
      </c>
      <c r="AO1211" s="55">
        <v>20</v>
      </c>
      <c r="AP1211" s="55">
        <v>9</v>
      </c>
      <c r="AQ1211" s="55">
        <v>21983</v>
      </c>
      <c r="AR1211" s="55">
        <v>28500</v>
      </c>
      <c r="AS1211" s="78">
        <f t="shared" si="22"/>
        <v>0.77133333333333332</v>
      </c>
    </row>
    <row r="1212" spans="39:45">
      <c r="AM1212" s="54">
        <v>2019</v>
      </c>
      <c r="AN1212" s="54" t="s">
        <v>184</v>
      </c>
      <c r="AO1212" s="54">
        <v>20</v>
      </c>
      <c r="AP1212" s="54">
        <v>10</v>
      </c>
      <c r="AQ1212" s="54">
        <v>30576</v>
      </c>
      <c r="AR1212" s="55">
        <v>28500</v>
      </c>
      <c r="AS1212" s="78">
        <f t="shared" si="22"/>
        <v>1.0728421052631578</v>
      </c>
    </row>
    <row r="1213" spans="39:45">
      <c r="AM1213" s="55">
        <v>2019</v>
      </c>
      <c r="AN1213" s="55" t="s">
        <v>184</v>
      </c>
      <c r="AO1213" s="55">
        <v>20</v>
      </c>
      <c r="AP1213" s="55">
        <v>11</v>
      </c>
      <c r="AQ1213" s="55">
        <v>28062.5</v>
      </c>
      <c r="AR1213" s="55">
        <v>28500</v>
      </c>
      <c r="AS1213" s="78">
        <f t="shared" si="22"/>
        <v>0.98464912280701755</v>
      </c>
    </row>
    <row r="1214" spans="39:45">
      <c r="AM1214" s="54">
        <v>2019</v>
      </c>
      <c r="AN1214" s="54" t="s">
        <v>184</v>
      </c>
      <c r="AO1214" s="54">
        <v>20</v>
      </c>
      <c r="AP1214" s="54">
        <v>12</v>
      </c>
      <c r="AQ1214" s="54">
        <v>10363</v>
      </c>
      <c r="AR1214" s="55">
        <v>28500</v>
      </c>
      <c r="AS1214" s="78">
        <f t="shared" si="22"/>
        <v>0.36361403508771928</v>
      </c>
    </row>
    <row r="1215" spans="39:45">
      <c r="AM1215" s="55">
        <v>2019</v>
      </c>
      <c r="AN1215" s="55" t="s">
        <v>184</v>
      </c>
      <c r="AO1215" s="55">
        <v>20</v>
      </c>
      <c r="AP1215" s="55">
        <v>13</v>
      </c>
      <c r="AQ1215" s="55">
        <v>20085</v>
      </c>
      <c r="AR1215" s="55">
        <v>28500</v>
      </c>
      <c r="AS1215" s="78">
        <f t="shared" si="22"/>
        <v>0.70473684210526311</v>
      </c>
    </row>
    <row r="1216" spans="39:45">
      <c r="AM1216" s="54">
        <v>2019</v>
      </c>
      <c r="AN1216" s="54" t="s">
        <v>184</v>
      </c>
      <c r="AO1216" s="54">
        <v>20</v>
      </c>
      <c r="AP1216" s="54">
        <v>14</v>
      </c>
      <c r="AQ1216" s="54">
        <v>25847</v>
      </c>
      <c r="AR1216" s="55">
        <v>28500</v>
      </c>
      <c r="AS1216" s="78">
        <f t="shared" si="22"/>
        <v>0.90691228070175434</v>
      </c>
    </row>
    <row r="1217" spans="39:45">
      <c r="AM1217" s="55">
        <v>2019</v>
      </c>
      <c r="AN1217" s="55" t="s">
        <v>184</v>
      </c>
      <c r="AO1217" s="55">
        <v>20</v>
      </c>
      <c r="AP1217" s="55">
        <v>15</v>
      </c>
      <c r="AQ1217" s="55">
        <v>20363.5</v>
      </c>
      <c r="AR1217" s="55">
        <v>28500</v>
      </c>
      <c r="AS1217" s="78">
        <f t="shared" si="22"/>
        <v>0.71450877192982454</v>
      </c>
    </row>
    <row r="1218" spans="39:45">
      <c r="AM1218" s="54">
        <v>2019</v>
      </c>
      <c r="AN1218" s="54" t="s">
        <v>184</v>
      </c>
      <c r="AO1218" s="54">
        <v>20</v>
      </c>
      <c r="AP1218" s="54">
        <v>16</v>
      </c>
      <c r="AQ1218" s="54">
        <v>12527</v>
      </c>
      <c r="AR1218" s="55">
        <v>28500</v>
      </c>
      <c r="AS1218" s="78">
        <f t="shared" ref="AS1218:AS1281" si="23">AQ1218/AR1218</f>
        <v>0.43954385964912279</v>
      </c>
    </row>
    <row r="1219" spans="39:45">
      <c r="AM1219" s="55">
        <v>2019</v>
      </c>
      <c r="AN1219" s="55" t="s">
        <v>184</v>
      </c>
      <c r="AO1219" s="55">
        <v>20</v>
      </c>
      <c r="AP1219" s="55">
        <v>17</v>
      </c>
      <c r="AQ1219" s="55">
        <v>0</v>
      </c>
      <c r="AR1219" s="55">
        <v>28500</v>
      </c>
      <c r="AS1219" s="78">
        <f t="shared" si="23"/>
        <v>0</v>
      </c>
    </row>
    <row r="1220" spans="39:45">
      <c r="AM1220" s="54">
        <v>2019</v>
      </c>
      <c r="AN1220" s="54" t="s">
        <v>184</v>
      </c>
      <c r="AO1220" s="54">
        <v>20</v>
      </c>
      <c r="AP1220" s="54">
        <v>18</v>
      </c>
      <c r="AQ1220" s="54">
        <v>0</v>
      </c>
      <c r="AR1220" s="55">
        <v>28500</v>
      </c>
      <c r="AS1220" s="78">
        <f t="shared" si="23"/>
        <v>0</v>
      </c>
    </row>
    <row r="1221" spans="39:45">
      <c r="AM1221" s="55">
        <v>2019</v>
      </c>
      <c r="AN1221" s="55" t="s">
        <v>184</v>
      </c>
      <c r="AO1221" s="55">
        <v>20</v>
      </c>
      <c r="AP1221" s="55">
        <v>19</v>
      </c>
      <c r="AQ1221" s="55">
        <v>0</v>
      </c>
      <c r="AR1221" s="55">
        <v>28500</v>
      </c>
      <c r="AS1221" s="78">
        <f t="shared" si="23"/>
        <v>0</v>
      </c>
    </row>
    <row r="1222" spans="39:45">
      <c r="AM1222" s="54">
        <v>2019</v>
      </c>
      <c r="AN1222" s="54" t="s">
        <v>184</v>
      </c>
      <c r="AO1222" s="54">
        <v>20</v>
      </c>
      <c r="AP1222" s="54">
        <v>20</v>
      </c>
      <c r="AQ1222" s="54">
        <v>0</v>
      </c>
      <c r="AR1222" s="55">
        <v>28500</v>
      </c>
      <c r="AS1222" s="78">
        <f t="shared" si="23"/>
        <v>0</v>
      </c>
    </row>
    <row r="1223" spans="39:45">
      <c r="AM1223" s="55">
        <v>2019</v>
      </c>
      <c r="AN1223" s="55" t="s">
        <v>184</v>
      </c>
      <c r="AO1223" s="55">
        <v>20</v>
      </c>
      <c r="AP1223" s="55">
        <v>21</v>
      </c>
      <c r="AQ1223" s="55">
        <v>0</v>
      </c>
      <c r="AR1223" s="55">
        <v>28500</v>
      </c>
      <c r="AS1223" s="78">
        <f t="shared" si="23"/>
        <v>0</v>
      </c>
    </row>
    <row r="1224" spans="39:45">
      <c r="AM1224" s="54">
        <v>2019</v>
      </c>
      <c r="AN1224" s="54" t="s">
        <v>184</v>
      </c>
      <c r="AO1224" s="54">
        <v>20</v>
      </c>
      <c r="AP1224" s="54">
        <v>22</v>
      </c>
      <c r="AQ1224" s="54">
        <v>0</v>
      </c>
      <c r="AR1224" s="55">
        <v>28500</v>
      </c>
      <c r="AS1224" s="78">
        <f t="shared" si="23"/>
        <v>0</v>
      </c>
    </row>
    <row r="1225" spans="39:45">
      <c r="AM1225" s="55">
        <v>2019</v>
      </c>
      <c r="AN1225" s="55" t="s">
        <v>184</v>
      </c>
      <c r="AO1225" s="55">
        <v>20</v>
      </c>
      <c r="AP1225" s="55">
        <v>23</v>
      </c>
      <c r="AQ1225" s="55">
        <v>0</v>
      </c>
      <c r="AR1225" s="55">
        <v>28500</v>
      </c>
      <c r="AS1225" s="78">
        <f t="shared" si="23"/>
        <v>0</v>
      </c>
    </row>
    <row r="1226" spans="39:45">
      <c r="AM1226" s="54">
        <v>2019</v>
      </c>
      <c r="AN1226" s="54" t="s">
        <v>184</v>
      </c>
      <c r="AO1226" s="54">
        <v>21</v>
      </c>
      <c r="AP1226" s="54">
        <v>24</v>
      </c>
      <c r="AQ1226" s="54">
        <v>0</v>
      </c>
      <c r="AR1226" s="55">
        <v>28500</v>
      </c>
      <c r="AS1226" s="78">
        <f t="shared" si="23"/>
        <v>0</v>
      </c>
    </row>
    <row r="1227" spans="39:45">
      <c r="AM1227" s="55">
        <v>2019</v>
      </c>
      <c r="AN1227" s="55" t="s">
        <v>184</v>
      </c>
      <c r="AO1227" s="55">
        <v>21</v>
      </c>
      <c r="AP1227" s="55">
        <v>1</v>
      </c>
      <c r="AQ1227" s="55">
        <v>0</v>
      </c>
      <c r="AR1227" s="55">
        <v>28500</v>
      </c>
      <c r="AS1227" s="78">
        <f t="shared" si="23"/>
        <v>0</v>
      </c>
    </row>
    <row r="1228" spans="39:45">
      <c r="AM1228" s="54">
        <v>2019</v>
      </c>
      <c r="AN1228" s="54" t="s">
        <v>184</v>
      </c>
      <c r="AO1228" s="54">
        <v>21</v>
      </c>
      <c r="AP1228" s="54">
        <v>2</v>
      </c>
      <c r="AQ1228" s="54">
        <v>0</v>
      </c>
      <c r="AR1228" s="55">
        <v>28500</v>
      </c>
      <c r="AS1228" s="78">
        <f t="shared" si="23"/>
        <v>0</v>
      </c>
    </row>
    <row r="1229" spans="39:45">
      <c r="AM1229" s="55">
        <v>2019</v>
      </c>
      <c r="AN1229" s="55" t="s">
        <v>184</v>
      </c>
      <c r="AO1229" s="55">
        <v>21</v>
      </c>
      <c r="AP1229" s="55">
        <v>3</v>
      </c>
      <c r="AQ1229" s="55">
        <v>0</v>
      </c>
      <c r="AR1229" s="55">
        <v>28500</v>
      </c>
      <c r="AS1229" s="78">
        <f t="shared" si="23"/>
        <v>0</v>
      </c>
    </row>
    <row r="1230" spans="39:45">
      <c r="AM1230" s="54">
        <v>2019</v>
      </c>
      <c r="AN1230" s="54" t="s">
        <v>184</v>
      </c>
      <c r="AO1230" s="54">
        <v>21</v>
      </c>
      <c r="AP1230" s="54">
        <v>4</v>
      </c>
      <c r="AQ1230" s="54">
        <v>0</v>
      </c>
      <c r="AR1230" s="55">
        <v>28500</v>
      </c>
      <c r="AS1230" s="78">
        <f t="shared" si="23"/>
        <v>0</v>
      </c>
    </row>
    <row r="1231" spans="39:45">
      <c r="AM1231" s="55">
        <v>2019</v>
      </c>
      <c r="AN1231" s="55" t="s">
        <v>184</v>
      </c>
      <c r="AO1231" s="55">
        <v>21</v>
      </c>
      <c r="AP1231" s="55">
        <v>5</v>
      </c>
      <c r="AQ1231" s="55">
        <v>0</v>
      </c>
      <c r="AR1231" s="55">
        <v>28500</v>
      </c>
      <c r="AS1231" s="78">
        <f t="shared" si="23"/>
        <v>0</v>
      </c>
    </row>
    <row r="1232" spans="39:45">
      <c r="AM1232" s="54">
        <v>2019</v>
      </c>
      <c r="AN1232" s="54" t="s">
        <v>184</v>
      </c>
      <c r="AO1232" s="54">
        <v>21</v>
      </c>
      <c r="AP1232" s="54">
        <v>6</v>
      </c>
      <c r="AQ1232" s="54">
        <v>0</v>
      </c>
      <c r="AR1232" s="55">
        <v>28500</v>
      </c>
      <c r="AS1232" s="78">
        <f t="shared" si="23"/>
        <v>0</v>
      </c>
    </row>
    <row r="1233" spans="39:45">
      <c r="AM1233" s="55">
        <v>2019</v>
      </c>
      <c r="AN1233" s="55" t="s">
        <v>184</v>
      </c>
      <c r="AO1233" s="55">
        <v>21</v>
      </c>
      <c r="AP1233" s="55">
        <v>7</v>
      </c>
      <c r="AQ1233" s="55">
        <v>0</v>
      </c>
      <c r="AR1233" s="55">
        <v>28500</v>
      </c>
      <c r="AS1233" s="78">
        <f t="shared" si="23"/>
        <v>0</v>
      </c>
    </row>
    <row r="1234" spans="39:45">
      <c r="AM1234" s="54">
        <v>2019</v>
      </c>
      <c r="AN1234" s="54" t="s">
        <v>184</v>
      </c>
      <c r="AO1234" s="54">
        <v>21</v>
      </c>
      <c r="AP1234" s="54">
        <v>8</v>
      </c>
      <c r="AQ1234" s="54">
        <v>4334.5</v>
      </c>
      <c r="AR1234" s="55">
        <v>28500</v>
      </c>
      <c r="AS1234" s="78">
        <f t="shared" si="23"/>
        <v>0.1520877192982456</v>
      </c>
    </row>
    <row r="1235" spans="39:45">
      <c r="AM1235" s="55">
        <v>2019</v>
      </c>
      <c r="AN1235" s="55" t="s">
        <v>184</v>
      </c>
      <c r="AO1235" s="55">
        <v>21</v>
      </c>
      <c r="AP1235" s="55">
        <v>9</v>
      </c>
      <c r="AQ1235" s="55">
        <v>4803</v>
      </c>
      <c r="AR1235" s="55">
        <v>28500</v>
      </c>
      <c r="AS1235" s="78">
        <f t="shared" si="23"/>
        <v>0.16852631578947369</v>
      </c>
    </row>
    <row r="1236" spans="39:45">
      <c r="AM1236" s="54">
        <v>2019</v>
      </c>
      <c r="AN1236" s="54" t="s">
        <v>184</v>
      </c>
      <c r="AO1236" s="54">
        <v>21</v>
      </c>
      <c r="AP1236" s="54">
        <v>10</v>
      </c>
      <c r="AQ1236" s="54">
        <v>3782</v>
      </c>
      <c r="AR1236" s="55">
        <v>28500</v>
      </c>
      <c r="AS1236" s="78">
        <f t="shared" si="23"/>
        <v>0.1327017543859649</v>
      </c>
    </row>
    <row r="1237" spans="39:45">
      <c r="AM1237" s="55">
        <v>2019</v>
      </c>
      <c r="AN1237" s="55" t="s">
        <v>184</v>
      </c>
      <c r="AO1237" s="55">
        <v>21</v>
      </c>
      <c r="AP1237" s="55">
        <v>11</v>
      </c>
      <c r="AQ1237" s="55">
        <v>21926</v>
      </c>
      <c r="AR1237" s="55">
        <v>28500</v>
      </c>
      <c r="AS1237" s="78">
        <f t="shared" si="23"/>
        <v>0.76933333333333331</v>
      </c>
    </row>
    <row r="1238" spans="39:45">
      <c r="AM1238" s="54">
        <v>2019</v>
      </c>
      <c r="AN1238" s="54" t="s">
        <v>184</v>
      </c>
      <c r="AO1238" s="54">
        <v>21</v>
      </c>
      <c r="AP1238" s="54">
        <v>12</v>
      </c>
      <c r="AQ1238" s="54">
        <v>33182</v>
      </c>
      <c r="AR1238" s="55">
        <v>28500</v>
      </c>
      <c r="AS1238" s="78">
        <f t="shared" si="23"/>
        <v>1.1642807017543859</v>
      </c>
    </row>
    <row r="1239" spans="39:45">
      <c r="AM1239" s="55">
        <v>2019</v>
      </c>
      <c r="AN1239" s="55" t="s">
        <v>184</v>
      </c>
      <c r="AO1239" s="55">
        <v>21</v>
      </c>
      <c r="AP1239" s="55">
        <v>13</v>
      </c>
      <c r="AQ1239" s="55">
        <v>34824.5</v>
      </c>
      <c r="AR1239" s="55">
        <v>28500</v>
      </c>
      <c r="AS1239" s="78">
        <f t="shared" si="23"/>
        <v>1.2219122807017544</v>
      </c>
    </row>
    <row r="1240" spans="39:45">
      <c r="AM1240" s="54">
        <v>2019</v>
      </c>
      <c r="AN1240" s="54" t="s">
        <v>184</v>
      </c>
      <c r="AO1240" s="54">
        <v>21</v>
      </c>
      <c r="AP1240" s="54">
        <v>14</v>
      </c>
      <c r="AQ1240" s="54">
        <v>28513.5</v>
      </c>
      <c r="AR1240" s="55">
        <v>28500</v>
      </c>
      <c r="AS1240" s="78">
        <f t="shared" si="23"/>
        <v>1.0004736842105264</v>
      </c>
    </row>
    <row r="1241" spans="39:45">
      <c r="AM1241" s="55">
        <v>2019</v>
      </c>
      <c r="AN1241" s="55" t="s">
        <v>184</v>
      </c>
      <c r="AO1241" s="55">
        <v>21</v>
      </c>
      <c r="AP1241" s="55">
        <v>15</v>
      </c>
      <c r="AQ1241" s="55">
        <v>22150.5</v>
      </c>
      <c r="AR1241" s="55">
        <v>28500</v>
      </c>
      <c r="AS1241" s="78">
        <f t="shared" si="23"/>
        <v>0.77721052631578946</v>
      </c>
    </row>
    <row r="1242" spans="39:45">
      <c r="AM1242" s="54">
        <v>2019</v>
      </c>
      <c r="AN1242" s="54" t="s">
        <v>184</v>
      </c>
      <c r="AO1242" s="54">
        <v>21</v>
      </c>
      <c r="AP1242" s="54">
        <v>16</v>
      </c>
      <c r="AQ1242" s="54">
        <v>12060</v>
      </c>
      <c r="AR1242" s="55">
        <v>28500</v>
      </c>
      <c r="AS1242" s="78">
        <f t="shared" si="23"/>
        <v>0.42315789473684212</v>
      </c>
    </row>
    <row r="1243" spans="39:45">
      <c r="AM1243" s="55">
        <v>2019</v>
      </c>
      <c r="AN1243" s="55" t="s">
        <v>184</v>
      </c>
      <c r="AO1243" s="55">
        <v>21</v>
      </c>
      <c r="AP1243" s="55">
        <v>17</v>
      </c>
      <c r="AQ1243" s="55">
        <v>0</v>
      </c>
      <c r="AR1243" s="55">
        <v>28500</v>
      </c>
      <c r="AS1243" s="78">
        <f t="shared" si="23"/>
        <v>0</v>
      </c>
    </row>
    <row r="1244" spans="39:45">
      <c r="AM1244" s="54">
        <v>2019</v>
      </c>
      <c r="AN1244" s="54" t="s">
        <v>184</v>
      </c>
      <c r="AO1244" s="54">
        <v>21</v>
      </c>
      <c r="AP1244" s="54">
        <v>18</v>
      </c>
      <c r="AQ1244" s="54">
        <v>0</v>
      </c>
      <c r="AR1244" s="55">
        <v>28500</v>
      </c>
      <c r="AS1244" s="78">
        <f t="shared" si="23"/>
        <v>0</v>
      </c>
    </row>
    <row r="1245" spans="39:45">
      <c r="AM1245" s="55">
        <v>2019</v>
      </c>
      <c r="AN1245" s="55" t="s">
        <v>184</v>
      </c>
      <c r="AO1245" s="55">
        <v>21</v>
      </c>
      <c r="AP1245" s="55">
        <v>19</v>
      </c>
      <c r="AQ1245" s="55">
        <v>0</v>
      </c>
      <c r="AR1245" s="55">
        <v>28500</v>
      </c>
      <c r="AS1245" s="78">
        <f t="shared" si="23"/>
        <v>0</v>
      </c>
    </row>
    <row r="1246" spans="39:45">
      <c r="AM1246" s="54">
        <v>2019</v>
      </c>
      <c r="AN1246" s="54" t="s">
        <v>184</v>
      </c>
      <c r="AO1246" s="54">
        <v>21</v>
      </c>
      <c r="AP1246" s="54">
        <v>20</v>
      </c>
      <c r="AQ1246" s="54">
        <v>0</v>
      </c>
      <c r="AR1246" s="55">
        <v>28500</v>
      </c>
      <c r="AS1246" s="78">
        <f t="shared" si="23"/>
        <v>0</v>
      </c>
    </row>
    <row r="1247" spans="39:45">
      <c r="AM1247" s="55">
        <v>2019</v>
      </c>
      <c r="AN1247" s="55" t="s">
        <v>184</v>
      </c>
      <c r="AO1247" s="55">
        <v>21</v>
      </c>
      <c r="AP1247" s="55">
        <v>21</v>
      </c>
      <c r="AQ1247" s="55">
        <v>0</v>
      </c>
      <c r="AR1247" s="55">
        <v>28500</v>
      </c>
      <c r="AS1247" s="78">
        <f t="shared" si="23"/>
        <v>0</v>
      </c>
    </row>
    <row r="1248" spans="39:45">
      <c r="AM1248" s="54">
        <v>2019</v>
      </c>
      <c r="AN1248" s="54" t="s">
        <v>184</v>
      </c>
      <c r="AO1248" s="54">
        <v>21</v>
      </c>
      <c r="AP1248" s="54">
        <v>22</v>
      </c>
      <c r="AQ1248" s="54">
        <v>0</v>
      </c>
      <c r="AR1248" s="55">
        <v>28500</v>
      </c>
      <c r="AS1248" s="78">
        <f t="shared" si="23"/>
        <v>0</v>
      </c>
    </row>
    <row r="1249" spans="39:45">
      <c r="AM1249" s="55">
        <v>2019</v>
      </c>
      <c r="AN1249" s="55" t="s">
        <v>184</v>
      </c>
      <c r="AO1249" s="55">
        <v>21</v>
      </c>
      <c r="AP1249" s="55">
        <v>23</v>
      </c>
      <c r="AQ1249" s="55">
        <v>0</v>
      </c>
      <c r="AR1249" s="55">
        <v>28500</v>
      </c>
      <c r="AS1249" s="78">
        <f t="shared" si="23"/>
        <v>0</v>
      </c>
    </row>
    <row r="1250" spans="39:45">
      <c r="AM1250" s="54">
        <v>2019</v>
      </c>
      <c r="AN1250" s="54" t="s">
        <v>184</v>
      </c>
      <c r="AO1250" s="54">
        <v>22</v>
      </c>
      <c r="AP1250" s="54">
        <v>24</v>
      </c>
      <c r="AQ1250" s="54">
        <v>0</v>
      </c>
      <c r="AR1250" s="55">
        <v>28500</v>
      </c>
      <c r="AS1250" s="78">
        <f t="shared" si="23"/>
        <v>0</v>
      </c>
    </row>
    <row r="1251" spans="39:45">
      <c r="AM1251" s="55">
        <v>2019</v>
      </c>
      <c r="AN1251" s="55" t="s">
        <v>184</v>
      </c>
      <c r="AO1251" s="55">
        <v>22</v>
      </c>
      <c r="AP1251" s="55">
        <v>1</v>
      </c>
      <c r="AQ1251" s="55">
        <v>0</v>
      </c>
      <c r="AR1251" s="55">
        <v>28500</v>
      </c>
      <c r="AS1251" s="78">
        <f t="shared" si="23"/>
        <v>0</v>
      </c>
    </row>
    <row r="1252" spans="39:45">
      <c r="AM1252" s="54">
        <v>2019</v>
      </c>
      <c r="AN1252" s="54" t="s">
        <v>184</v>
      </c>
      <c r="AO1252" s="54">
        <v>22</v>
      </c>
      <c r="AP1252" s="54">
        <v>2</v>
      </c>
      <c r="AQ1252" s="54">
        <v>0</v>
      </c>
      <c r="AR1252" s="55">
        <v>28500</v>
      </c>
      <c r="AS1252" s="78">
        <f t="shared" si="23"/>
        <v>0</v>
      </c>
    </row>
    <row r="1253" spans="39:45">
      <c r="AM1253" s="55">
        <v>2019</v>
      </c>
      <c r="AN1253" s="55" t="s">
        <v>184</v>
      </c>
      <c r="AO1253" s="55">
        <v>22</v>
      </c>
      <c r="AP1253" s="55">
        <v>3</v>
      </c>
      <c r="AQ1253" s="55">
        <v>0</v>
      </c>
      <c r="AR1253" s="55">
        <v>28500</v>
      </c>
      <c r="AS1253" s="78">
        <f t="shared" si="23"/>
        <v>0</v>
      </c>
    </row>
    <row r="1254" spans="39:45">
      <c r="AM1254" s="54">
        <v>2019</v>
      </c>
      <c r="AN1254" s="54" t="s">
        <v>184</v>
      </c>
      <c r="AO1254" s="54">
        <v>22</v>
      </c>
      <c r="AP1254" s="54">
        <v>4</v>
      </c>
      <c r="AQ1254" s="54">
        <v>0</v>
      </c>
      <c r="AR1254" s="55">
        <v>28500</v>
      </c>
      <c r="AS1254" s="78">
        <f t="shared" si="23"/>
        <v>0</v>
      </c>
    </row>
    <row r="1255" spans="39:45">
      <c r="AM1255" s="55">
        <v>2019</v>
      </c>
      <c r="AN1255" s="55" t="s">
        <v>184</v>
      </c>
      <c r="AO1255" s="55">
        <v>22</v>
      </c>
      <c r="AP1255" s="55">
        <v>5</v>
      </c>
      <c r="AQ1255" s="55">
        <v>0</v>
      </c>
      <c r="AR1255" s="55">
        <v>28500</v>
      </c>
      <c r="AS1255" s="78">
        <f t="shared" si="23"/>
        <v>0</v>
      </c>
    </row>
    <row r="1256" spans="39:45">
      <c r="AM1256" s="54">
        <v>2019</v>
      </c>
      <c r="AN1256" s="54" t="s">
        <v>184</v>
      </c>
      <c r="AO1256" s="54">
        <v>22</v>
      </c>
      <c r="AP1256" s="54">
        <v>6</v>
      </c>
      <c r="AQ1256" s="54">
        <v>0</v>
      </c>
      <c r="AR1256" s="55">
        <v>28500</v>
      </c>
      <c r="AS1256" s="78">
        <f t="shared" si="23"/>
        <v>0</v>
      </c>
    </row>
    <row r="1257" spans="39:45">
      <c r="AM1257" s="55">
        <v>2019</v>
      </c>
      <c r="AN1257" s="55" t="s">
        <v>184</v>
      </c>
      <c r="AO1257" s="55">
        <v>22</v>
      </c>
      <c r="AP1257" s="55">
        <v>7</v>
      </c>
      <c r="AQ1257" s="55">
        <v>0</v>
      </c>
      <c r="AR1257" s="55">
        <v>28500</v>
      </c>
      <c r="AS1257" s="78">
        <f t="shared" si="23"/>
        <v>0</v>
      </c>
    </row>
    <row r="1258" spans="39:45">
      <c r="AM1258" s="54">
        <v>2019</v>
      </c>
      <c r="AN1258" s="54" t="s">
        <v>184</v>
      </c>
      <c r="AO1258" s="54">
        <v>22</v>
      </c>
      <c r="AP1258" s="54">
        <v>8</v>
      </c>
      <c r="AQ1258" s="54">
        <v>6676</v>
      </c>
      <c r="AR1258" s="55">
        <v>28500</v>
      </c>
      <c r="AS1258" s="78">
        <f t="shared" si="23"/>
        <v>0.23424561403508773</v>
      </c>
    </row>
    <row r="1259" spans="39:45">
      <c r="AM1259" s="55">
        <v>2019</v>
      </c>
      <c r="AN1259" s="55" t="s">
        <v>184</v>
      </c>
      <c r="AO1259" s="55">
        <v>22</v>
      </c>
      <c r="AP1259" s="55">
        <v>9</v>
      </c>
      <c r="AQ1259" s="55">
        <v>13345</v>
      </c>
      <c r="AR1259" s="55">
        <v>28500</v>
      </c>
      <c r="AS1259" s="78">
        <f t="shared" si="23"/>
        <v>0.46824561403508774</v>
      </c>
    </row>
    <row r="1260" spans="39:45">
      <c r="AM1260" s="54">
        <v>2019</v>
      </c>
      <c r="AN1260" s="54" t="s">
        <v>184</v>
      </c>
      <c r="AO1260" s="54">
        <v>22</v>
      </c>
      <c r="AP1260" s="54">
        <v>10</v>
      </c>
      <c r="AQ1260" s="54">
        <v>23626</v>
      </c>
      <c r="AR1260" s="55">
        <v>28500</v>
      </c>
      <c r="AS1260" s="78">
        <f t="shared" si="23"/>
        <v>0.82898245614035093</v>
      </c>
    </row>
    <row r="1261" spans="39:45">
      <c r="AM1261" s="55">
        <v>2019</v>
      </c>
      <c r="AN1261" s="55" t="s">
        <v>184</v>
      </c>
      <c r="AO1261" s="55">
        <v>22</v>
      </c>
      <c r="AP1261" s="55">
        <v>11</v>
      </c>
      <c r="AQ1261" s="55">
        <v>27544.5</v>
      </c>
      <c r="AR1261" s="55">
        <v>28500</v>
      </c>
      <c r="AS1261" s="78">
        <f t="shared" si="23"/>
        <v>0.96647368421052626</v>
      </c>
    </row>
    <row r="1262" spans="39:45">
      <c r="AM1262" s="54">
        <v>2019</v>
      </c>
      <c r="AN1262" s="54" t="s">
        <v>184</v>
      </c>
      <c r="AO1262" s="54">
        <v>22</v>
      </c>
      <c r="AP1262" s="54">
        <v>12</v>
      </c>
      <c r="AQ1262" s="54">
        <v>33545.5</v>
      </c>
      <c r="AR1262" s="55">
        <v>28500</v>
      </c>
      <c r="AS1262" s="78">
        <f t="shared" si="23"/>
        <v>1.1770350877192983</v>
      </c>
    </row>
    <row r="1263" spans="39:45">
      <c r="AM1263" s="55">
        <v>2019</v>
      </c>
      <c r="AN1263" s="55" t="s">
        <v>184</v>
      </c>
      <c r="AO1263" s="55">
        <v>22</v>
      </c>
      <c r="AP1263" s="55">
        <v>13</v>
      </c>
      <c r="AQ1263" s="55">
        <v>30326.5</v>
      </c>
      <c r="AR1263" s="55">
        <v>28500</v>
      </c>
      <c r="AS1263" s="78">
        <f t="shared" si="23"/>
        <v>1.0640877192982456</v>
      </c>
    </row>
    <row r="1264" spans="39:45">
      <c r="AM1264" s="54">
        <v>2019</v>
      </c>
      <c r="AN1264" s="54" t="s">
        <v>184</v>
      </c>
      <c r="AO1264" s="54">
        <v>22</v>
      </c>
      <c r="AP1264" s="54">
        <v>14</v>
      </c>
      <c r="AQ1264" s="54">
        <v>30676</v>
      </c>
      <c r="AR1264" s="55">
        <v>28500</v>
      </c>
      <c r="AS1264" s="78">
        <f t="shared" si="23"/>
        <v>1.0763508771929824</v>
      </c>
    </row>
    <row r="1265" spans="39:45">
      <c r="AM1265" s="55">
        <v>2019</v>
      </c>
      <c r="AN1265" s="55" t="s">
        <v>184</v>
      </c>
      <c r="AO1265" s="55">
        <v>22</v>
      </c>
      <c r="AP1265" s="55">
        <v>15</v>
      </c>
      <c r="AQ1265" s="55">
        <v>22565</v>
      </c>
      <c r="AR1265" s="55">
        <v>28500</v>
      </c>
      <c r="AS1265" s="78">
        <f t="shared" si="23"/>
        <v>0.79175438596491232</v>
      </c>
    </row>
    <row r="1266" spans="39:45">
      <c r="AM1266" s="54">
        <v>2019</v>
      </c>
      <c r="AN1266" s="54" t="s">
        <v>184</v>
      </c>
      <c r="AO1266" s="54">
        <v>22</v>
      </c>
      <c r="AP1266" s="54">
        <v>16</v>
      </c>
      <c r="AQ1266" s="54">
        <v>12377.5</v>
      </c>
      <c r="AR1266" s="55">
        <v>28500</v>
      </c>
      <c r="AS1266" s="78">
        <f t="shared" si="23"/>
        <v>0.43429824561403507</v>
      </c>
    </row>
    <row r="1267" spans="39:45">
      <c r="AM1267" s="55">
        <v>2019</v>
      </c>
      <c r="AN1267" s="55" t="s">
        <v>184</v>
      </c>
      <c r="AO1267" s="55">
        <v>22</v>
      </c>
      <c r="AP1267" s="55">
        <v>17</v>
      </c>
      <c r="AQ1267" s="55">
        <v>0</v>
      </c>
      <c r="AR1267" s="55">
        <v>28500</v>
      </c>
      <c r="AS1267" s="78">
        <f t="shared" si="23"/>
        <v>0</v>
      </c>
    </row>
    <row r="1268" spans="39:45">
      <c r="AM1268" s="54">
        <v>2019</v>
      </c>
      <c r="AN1268" s="54" t="s">
        <v>184</v>
      </c>
      <c r="AO1268" s="54">
        <v>22</v>
      </c>
      <c r="AP1268" s="54">
        <v>18</v>
      </c>
      <c r="AQ1268" s="54">
        <v>0</v>
      </c>
      <c r="AR1268" s="55">
        <v>28500</v>
      </c>
      <c r="AS1268" s="78">
        <f t="shared" si="23"/>
        <v>0</v>
      </c>
    </row>
    <row r="1269" spans="39:45">
      <c r="AM1269" s="55">
        <v>2019</v>
      </c>
      <c r="AN1269" s="55" t="s">
        <v>184</v>
      </c>
      <c r="AO1269" s="55">
        <v>22</v>
      </c>
      <c r="AP1269" s="55">
        <v>19</v>
      </c>
      <c r="AQ1269" s="55">
        <v>0</v>
      </c>
      <c r="AR1269" s="55">
        <v>28500</v>
      </c>
      <c r="AS1269" s="78">
        <f t="shared" si="23"/>
        <v>0</v>
      </c>
    </row>
    <row r="1270" spans="39:45">
      <c r="AM1270" s="54">
        <v>2019</v>
      </c>
      <c r="AN1270" s="54" t="s">
        <v>184</v>
      </c>
      <c r="AO1270" s="54">
        <v>22</v>
      </c>
      <c r="AP1270" s="54">
        <v>20</v>
      </c>
      <c r="AQ1270" s="54">
        <v>0</v>
      </c>
      <c r="AR1270" s="55">
        <v>28500</v>
      </c>
      <c r="AS1270" s="78">
        <f t="shared" si="23"/>
        <v>0</v>
      </c>
    </row>
    <row r="1271" spans="39:45">
      <c r="AM1271" s="55">
        <v>2019</v>
      </c>
      <c r="AN1271" s="55" t="s">
        <v>184</v>
      </c>
      <c r="AO1271" s="55">
        <v>22</v>
      </c>
      <c r="AP1271" s="55">
        <v>21</v>
      </c>
      <c r="AQ1271" s="55">
        <v>0</v>
      </c>
      <c r="AR1271" s="55">
        <v>28500</v>
      </c>
      <c r="AS1271" s="78">
        <f t="shared" si="23"/>
        <v>0</v>
      </c>
    </row>
    <row r="1272" spans="39:45">
      <c r="AM1272" s="54">
        <v>2019</v>
      </c>
      <c r="AN1272" s="54" t="s">
        <v>184</v>
      </c>
      <c r="AO1272" s="54">
        <v>22</v>
      </c>
      <c r="AP1272" s="54">
        <v>22</v>
      </c>
      <c r="AQ1272" s="54">
        <v>0</v>
      </c>
      <c r="AR1272" s="55">
        <v>28500</v>
      </c>
      <c r="AS1272" s="78">
        <f t="shared" si="23"/>
        <v>0</v>
      </c>
    </row>
    <row r="1273" spans="39:45">
      <c r="AM1273" s="55">
        <v>2019</v>
      </c>
      <c r="AN1273" s="55" t="s">
        <v>184</v>
      </c>
      <c r="AO1273" s="55">
        <v>22</v>
      </c>
      <c r="AP1273" s="55">
        <v>23</v>
      </c>
      <c r="AQ1273" s="55">
        <v>0</v>
      </c>
      <c r="AR1273" s="55">
        <v>28500</v>
      </c>
      <c r="AS1273" s="78">
        <f t="shared" si="23"/>
        <v>0</v>
      </c>
    </row>
    <row r="1274" spans="39:45">
      <c r="AM1274" s="54">
        <v>2019</v>
      </c>
      <c r="AN1274" s="54" t="s">
        <v>184</v>
      </c>
      <c r="AO1274" s="54">
        <v>23</v>
      </c>
      <c r="AP1274" s="54">
        <v>24</v>
      </c>
      <c r="AQ1274" s="54">
        <v>0</v>
      </c>
      <c r="AR1274" s="55">
        <v>28500</v>
      </c>
      <c r="AS1274" s="78">
        <f t="shared" si="23"/>
        <v>0</v>
      </c>
    </row>
    <row r="1275" spans="39:45">
      <c r="AM1275" s="55">
        <v>2019</v>
      </c>
      <c r="AN1275" s="55" t="s">
        <v>184</v>
      </c>
      <c r="AO1275" s="55">
        <v>23</v>
      </c>
      <c r="AP1275" s="55">
        <v>1</v>
      </c>
      <c r="AQ1275" s="55">
        <v>0</v>
      </c>
      <c r="AR1275" s="55">
        <v>28500</v>
      </c>
      <c r="AS1275" s="78">
        <f t="shared" si="23"/>
        <v>0</v>
      </c>
    </row>
    <row r="1276" spans="39:45">
      <c r="AM1276" s="54">
        <v>2019</v>
      </c>
      <c r="AN1276" s="54" t="s">
        <v>184</v>
      </c>
      <c r="AO1276" s="54">
        <v>23</v>
      </c>
      <c r="AP1276" s="54">
        <v>2</v>
      </c>
      <c r="AQ1276" s="54">
        <v>0</v>
      </c>
      <c r="AR1276" s="55">
        <v>28500</v>
      </c>
      <c r="AS1276" s="78">
        <f t="shared" si="23"/>
        <v>0</v>
      </c>
    </row>
    <row r="1277" spans="39:45">
      <c r="AM1277" s="55">
        <v>2019</v>
      </c>
      <c r="AN1277" s="55" t="s">
        <v>184</v>
      </c>
      <c r="AO1277" s="55">
        <v>23</v>
      </c>
      <c r="AP1277" s="55">
        <v>3</v>
      </c>
      <c r="AQ1277" s="55">
        <v>0</v>
      </c>
      <c r="AR1277" s="55">
        <v>28500</v>
      </c>
      <c r="AS1277" s="78">
        <f t="shared" si="23"/>
        <v>0</v>
      </c>
    </row>
    <row r="1278" spans="39:45">
      <c r="AM1278" s="54">
        <v>2019</v>
      </c>
      <c r="AN1278" s="54" t="s">
        <v>184</v>
      </c>
      <c r="AO1278" s="54">
        <v>23</v>
      </c>
      <c r="AP1278" s="54">
        <v>4</v>
      </c>
      <c r="AQ1278" s="54">
        <v>0</v>
      </c>
      <c r="AR1278" s="55">
        <v>28500</v>
      </c>
      <c r="AS1278" s="78">
        <f t="shared" si="23"/>
        <v>0</v>
      </c>
    </row>
    <row r="1279" spans="39:45">
      <c r="AM1279" s="55">
        <v>2019</v>
      </c>
      <c r="AN1279" s="55" t="s">
        <v>184</v>
      </c>
      <c r="AO1279" s="55">
        <v>23</v>
      </c>
      <c r="AP1279" s="55">
        <v>5</v>
      </c>
      <c r="AQ1279" s="55">
        <v>0</v>
      </c>
      <c r="AR1279" s="55">
        <v>28500</v>
      </c>
      <c r="AS1279" s="78">
        <f t="shared" si="23"/>
        <v>0</v>
      </c>
    </row>
    <row r="1280" spans="39:45">
      <c r="AM1280" s="54">
        <v>2019</v>
      </c>
      <c r="AN1280" s="54" t="s">
        <v>184</v>
      </c>
      <c r="AO1280" s="54">
        <v>23</v>
      </c>
      <c r="AP1280" s="54">
        <v>6</v>
      </c>
      <c r="AQ1280" s="54">
        <v>0</v>
      </c>
      <c r="AR1280" s="55">
        <v>28500</v>
      </c>
      <c r="AS1280" s="78">
        <f t="shared" si="23"/>
        <v>0</v>
      </c>
    </row>
    <row r="1281" spans="39:45">
      <c r="AM1281" s="55">
        <v>2019</v>
      </c>
      <c r="AN1281" s="55" t="s">
        <v>184</v>
      </c>
      <c r="AO1281" s="55">
        <v>23</v>
      </c>
      <c r="AP1281" s="55">
        <v>7</v>
      </c>
      <c r="AQ1281" s="55">
        <v>0</v>
      </c>
      <c r="AR1281" s="55">
        <v>28500</v>
      </c>
      <c r="AS1281" s="78">
        <f t="shared" si="23"/>
        <v>0</v>
      </c>
    </row>
    <row r="1282" spans="39:45">
      <c r="AM1282" s="54">
        <v>2019</v>
      </c>
      <c r="AN1282" s="54" t="s">
        <v>184</v>
      </c>
      <c r="AO1282" s="54">
        <v>23</v>
      </c>
      <c r="AP1282" s="54">
        <v>8</v>
      </c>
      <c r="AQ1282" s="54">
        <v>10751</v>
      </c>
      <c r="AR1282" s="55">
        <v>28500</v>
      </c>
      <c r="AS1282" s="78">
        <f t="shared" ref="AS1282:AS1345" si="24">AQ1282/AR1282</f>
        <v>0.37722807017543858</v>
      </c>
    </row>
    <row r="1283" spans="39:45">
      <c r="AM1283" s="55">
        <v>2019</v>
      </c>
      <c r="AN1283" s="55" t="s">
        <v>184</v>
      </c>
      <c r="AO1283" s="55">
        <v>23</v>
      </c>
      <c r="AP1283" s="55">
        <v>9</v>
      </c>
      <c r="AQ1283" s="55">
        <v>21876</v>
      </c>
      <c r="AR1283" s="55">
        <v>28500</v>
      </c>
      <c r="AS1283" s="78">
        <f t="shared" si="24"/>
        <v>0.76757894736842103</v>
      </c>
    </row>
    <row r="1284" spans="39:45">
      <c r="AM1284" s="54">
        <v>2019</v>
      </c>
      <c r="AN1284" s="54" t="s">
        <v>184</v>
      </c>
      <c r="AO1284" s="54">
        <v>23</v>
      </c>
      <c r="AP1284" s="54">
        <v>10</v>
      </c>
      <c r="AQ1284" s="54">
        <v>30457.5</v>
      </c>
      <c r="AR1284" s="55">
        <v>28500</v>
      </c>
      <c r="AS1284" s="78">
        <f t="shared" si="24"/>
        <v>1.0686842105263157</v>
      </c>
    </row>
    <row r="1285" spans="39:45">
      <c r="AM1285" s="55">
        <v>2019</v>
      </c>
      <c r="AN1285" s="55" t="s">
        <v>184</v>
      </c>
      <c r="AO1285" s="55">
        <v>23</v>
      </c>
      <c r="AP1285" s="55">
        <v>11</v>
      </c>
      <c r="AQ1285" s="55">
        <v>35196</v>
      </c>
      <c r="AR1285" s="55">
        <v>28500</v>
      </c>
      <c r="AS1285" s="78">
        <f t="shared" si="24"/>
        <v>1.2349473684210526</v>
      </c>
    </row>
    <row r="1286" spans="39:45">
      <c r="AM1286" s="54">
        <v>2019</v>
      </c>
      <c r="AN1286" s="54" t="s">
        <v>184</v>
      </c>
      <c r="AO1286" s="54">
        <v>23</v>
      </c>
      <c r="AP1286" s="54">
        <v>12</v>
      </c>
      <c r="AQ1286" s="54">
        <v>38722</v>
      </c>
      <c r="AR1286" s="55">
        <v>28500</v>
      </c>
      <c r="AS1286" s="78">
        <f t="shared" si="24"/>
        <v>1.3586666666666667</v>
      </c>
    </row>
    <row r="1287" spans="39:45">
      <c r="AM1287" s="55">
        <v>2019</v>
      </c>
      <c r="AN1287" s="55" t="s">
        <v>184</v>
      </c>
      <c r="AO1287" s="55">
        <v>23</v>
      </c>
      <c r="AP1287" s="55">
        <v>13</v>
      </c>
      <c r="AQ1287" s="55">
        <v>35573</v>
      </c>
      <c r="AR1287" s="55">
        <v>28500</v>
      </c>
      <c r="AS1287" s="78">
        <f t="shared" si="24"/>
        <v>1.2481754385964912</v>
      </c>
    </row>
    <row r="1288" spans="39:45">
      <c r="AM1288" s="54">
        <v>2019</v>
      </c>
      <c r="AN1288" s="54" t="s">
        <v>184</v>
      </c>
      <c r="AO1288" s="54">
        <v>23</v>
      </c>
      <c r="AP1288" s="54">
        <v>14</v>
      </c>
      <c r="AQ1288" s="54">
        <v>31503.5</v>
      </c>
      <c r="AR1288" s="55">
        <v>28500</v>
      </c>
      <c r="AS1288" s="78">
        <f t="shared" si="24"/>
        <v>1.1053859649122808</v>
      </c>
    </row>
    <row r="1289" spans="39:45">
      <c r="AM1289" s="55">
        <v>2019</v>
      </c>
      <c r="AN1289" s="55" t="s">
        <v>184</v>
      </c>
      <c r="AO1289" s="55">
        <v>23</v>
      </c>
      <c r="AP1289" s="55">
        <v>15</v>
      </c>
      <c r="AQ1289" s="55">
        <v>23240.5</v>
      </c>
      <c r="AR1289" s="55">
        <v>28500</v>
      </c>
      <c r="AS1289" s="78">
        <f t="shared" si="24"/>
        <v>0.81545614035087721</v>
      </c>
    </row>
    <row r="1290" spans="39:45">
      <c r="AM1290" s="54">
        <v>2019</v>
      </c>
      <c r="AN1290" s="54" t="s">
        <v>184</v>
      </c>
      <c r="AO1290" s="54">
        <v>23</v>
      </c>
      <c r="AP1290" s="54">
        <v>16</v>
      </c>
      <c r="AQ1290" s="54">
        <v>13123</v>
      </c>
      <c r="AR1290" s="55">
        <v>28500</v>
      </c>
      <c r="AS1290" s="78">
        <f t="shared" si="24"/>
        <v>0.46045614035087717</v>
      </c>
    </row>
    <row r="1291" spans="39:45">
      <c r="AM1291" s="55">
        <v>2019</v>
      </c>
      <c r="AN1291" s="55" t="s">
        <v>184</v>
      </c>
      <c r="AO1291" s="55">
        <v>23</v>
      </c>
      <c r="AP1291" s="55">
        <v>17</v>
      </c>
      <c r="AQ1291" s="55">
        <v>0</v>
      </c>
      <c r="AR1291" s="55">
        <v>28500</v>
      </c>
      <c r="AS1291" s="78">
        <f t="shared" si="24"/>
        <v>0</v>
      </c>
    </row>
    <row r="1292" spans="39:45">
      <c r="AM1292" s="54">
        <v>2019</v>
      </c>
      <c r="AN1292" s="54" t="s">
        <v>184</v>
      </c>
      <c r="AO1292" s="54">
        <v>23</v>
      </c>
      <c r="AP1292" s="54">
        <v>18</v>
      </c>
      <c r="AQ1292" s="54">
        <v>0</v>
      </c>
      <c r="AR1292" s="55">
        <v>28500</v>
      </c>
      <c r="AS1292" s="78">
        <f t="shared" si="24"/>
        <v>0</v>
      </c>
    </row>
    <row r="1293" spans="39:45">
      <c r="AM1293" s="55">
        <v>2019</v>
      </c>
      <c r="AN1293" s="55" t="s">
        <v>184</v>
      </c>
      <c r="AO1293" s="55">
        <v>23</v>
      </c>
      <c r="AP1293" s="55">
        <v>19</v>
      </c>
      <c r="AQ1293" s="55">
        <v>0</v>
      </c>
      <c r="AR1293" s="55">
        <v>28500</v>
      </c>
      <c r="AS1293" s="78">
        <f t="shared" si="24"/>
        <v>0</v>
      </c>
    </row>
    <row r="1294" spans="39:45">
      <c r="AM1294" s="54">
        <v>2019</v>
      </c>
      <c r="AN1294" s="54" t="s">
        <v>184</v>
      </c>
      <c r="AO1294" s="54">
        <v>23</v>
      </c>
      <c r="AP1294" s="54">
        <v>20</v>
      </c>
      <c r="AQ1294" s="54">
        <v>0</v>
      </c>
      <c r="AR1294" s="55">
        <v>28500</v>
      </c>
      <c r="AS1294" s="78">
        <f t="shared" si="24"/>
        <v>0</v>
      </c>
    </row>
    <row r="1295" spans="39:45">
      <c r="AM1295" s="55">
        <v>2019</v>
      </c>
      <c r="AN1295" s="55" t="s">
        <v>184</v>
      </c>
      <c r="AO1295" s="55">
        <v>23</v>
      </c>
      <c r="AP1295" s="55">
        <v>21</v>
      </c>
      <c r="AQ1295" s="55">
        <v>0</v>
      </c>
      <c r="AR1295" s="55">
        <v>28500</v>
      </c>
      <c r="AS1295" s="78">
        <f t="shared" si="24"/>
        <v>0</v>
      </c>
    </row>
    <row r="1296" spans="39:45">
      <c r="AM1296" s="54">
        <v>2019</v>
      </c>
      <c r="AN1296" s="54" t="s">
        <v>184</v>
      </c>
      <c r="AO1296" s="54">
        <v>23</v>
      </c>
      <c r="AP1296" s="54">
        <v>22</v>
      </c>
      <c r="AQ1296" s="54">
        <v>0</v>
      </c>
      <c r="AR1296" s="55">
        <v>28500</v>
      </c>
      <c r="AS1296" s="78">
        <f t="shared" si="24"/>
        <v>0</v>
      </c>
    </row>
    <row r="1297" spans="39:45">
      <c r="AM1297" s="55">
        <v>2019</v>
      </c>
      <c r="AN1297" s="55" t="s">
        <v>184</v>
      </c>
      <c r="AO1297" s="55">
        <v>23</v>
      </c>
      <c r="AP1297" s="55">
        <v>23</v>
      </c>
      <c r="AQ1297" s="55">
        <v>0</v>
      </c>
      <c r="AR1297" s="55">
        <v>28500</v>
      </c>
      <c r="AS1297" s="78">
        <f t="shared" si="24"/>
        <v>0</v>
      </c>
    </row>
    <row r="1298" spans="39:45">
      <c r="AM1298" s="54">
        <v>2019</v>
      </c>
      <c r="AN1298" s="54" t="s">
        <v>184</v>
      </c>
      <c r="AO1298" s="54">
        <v>24</v>
      </c>
      <c r="AP1298" s="54">
        <v>24</v>
      </c>
      <c r="AQ1298" s="54">
        <v>0</v>
      </c>
      <c r="AR1298" s="55">
        <v>28500</v>
      </c>
      <c r="AS1298" s="78">
        <f t="shared" si="24"/>
        <v>0</v>
      </c>
    </row>
    <row r="1299" spans="39:45">
      <c r="AM1299" s="55">
        <v>2019</v>
      </c>
      <c r="AN1299" s="55" t="s">
        <v>184</v>
      </c>
      <c r="AO1299" s="55">
        <v>24</v>
      </c>
      <c r="AP1299" s="55">
        <v>1</v>
      </c>
      <c r="AQ1299" s="55">
        <v>0</v>
      </c>
      <c r="AR1299" s="55">
        <v>28500</v>
      </c>
      <c r="AS1299" s="78">
        <f t="shared" si="24"/>
        <v>0</v>
      </c>
    </row>
    <row r="1300" spans="39:45">
      <c r="AM1300" s="54">
        <v>2019</v>
      </c>
      <c r="AN1300" s="54" t="s">
        <v>184</v>
      </c>
      <c r="AO1300" s="54">
        <v>24</v>
      </c>
      <c r="AP1300" s="54">
        <v>2</v>
      </c>
      <c r="AQ1300" s="54">
        <v>0</v>
      </c>
      <c r="AR1300" s="55">
        <v>28500</v>
      </c>
      <c r="AS1300" s="78">
        <f t="shared" si="24"/>
        <v>0</v>
      </c>
    </row>
    <row r="1301" spans="39:45">
      <c r="AM1301" s="55">
        <v>2019</v>
      </c>
      <c r="AN1301" s="55" t="s">
        <v>184</v>
      </c>
      <c r="AO1301" s="55">
        <v>24</v>
      </c>
      <c r="AP1301" s="55">
        <v>3</v>
      </c>
      <c r="AQ1301" s="55">
        <v>0</v>
      </c>
      <c r="AR1301" s="55">
        <v>28500</v>
      </c>
      <c r="AS1301" s="78">
        <f t="shared" si="24"/>
        <v>0</v>
      </c>
    </row>
    <row r="1302" spans="39:45">
      <c r="AM1302" s="54">
        <v>2019</v>
      </c>
      <c r="AN1302" s="54" t="s">
        <v>184</v>
      </c>
      <c r="AO1302" s="54">
        <v>24</v>
      </c>
      <c r="AP1302" s="54">
        <v>4</v>
      </c>
      <c r="AQ1302" s="54">
        <v>0</v>
      </c>
      <c r="AR1302" s="55">
        <v>28500</v>
      </c>
      <c r="AS1302" s="78">
        <f t="shared" si="24"/>
        <v>0</v>
      </c>
    </row>
    <row r="1303" spans="39:45">
      <c r="AM1303" s="55">
        <v>2019</v>
      </c>
      <c r="AN1303" s="55" t="s">
        <v>184</v>
      </c>
      <c r="AO1303" s="55">
        <v>24</v>
      </c>
      <c r="AP1303" s="55">
        <v>5</v>
      </c>
      <c r="AQ1303" s="55">
        <v>0</v>
      </c>
      <c r="AR1303" s="55">
        <v>28500</v>
      </c>
      <c r="AS1303" s="78">
        <f t="shared" si="24"/>
        <v>0</v>
      </c>
    </row>
    <row r="1304" spans="39:45">
      <c r="AM1304" s="54">
        <v>2019</v>
      </c>
      <c r="AN1304" s="54" t="s">
        <v>184</v>
      </c>
      <c r="AO1304" s="54">
        <v>24</v>
      </c>
      <c r="AP1304" s="54">
        <v>6</v>
      </c>
      <c r="AQ1304" s="54">
        <v>0</v>
      </c>
      <c r="AR1304" s="55">
        <v>28500</v>
      </c>
      <c r="AS1304" s="78">
        <f t="shared" si="24"/>
        <v>0</v>
      </c>
    </row>
    <row r="1305" spans="39:45">
      <c r="AM1305" s="55">
        <v>2019</v>
      </c>
      <c r="AN1305" s="55" t="s">
        <v>184</v>
      </c>
      <c r="AO1305" s="55">
        <v>24</v>
      </c>
      <c r="AP1305" s="55">
        <v>7</v>
      </c>
      <c r="AQ1305" s="55">
        <v>0</v>
      </c>
      <c r="AR1305" s="55">
        <v>28500</v>
      </c>
      <c r="AS1305" s="78">
        <f t="shared" si="24"/>
        <v>0</v>
      </c>
    </row>
    <row r="1306" spans="39:45">
      <c r="AM1306" s="54">
        <v>2019</v>
      </c>
      <c r="AN1306" s="54" t="s">
        <v>184</v>
      </c>
      <c r="AO1306" s="54">
        <v>24</v>
      </c>
      <c r="AP1306" s="54">
        <v>8</v>
      </c>
      <c r="AQ1306" s="54">
        <v>14262.5</v>
      </c>
      <c r="AR1306" s="55">
        <v>28500</v>
      </c>
      <c r="AS1306" s="78">
        <f t="shared" si="24"/>
        <v>0.50043859649122802</v>
      </c>
    </row>
    <row r="1307" spans="39:45">
      <c r="AM1307" s="55">
        <v>2019</v>
      </c>
      <c r="AN1307" s="55" t="s">
        <v>184</v>
      </c>
      <c r="AO1307" s="55">
        <v>24</v>
      </c>
      <c r="AP1307" s="55">
        <v>9</v>
      </c>
      <c r="AQ1307" s="55">
        <v>23213</v>
      </c>
      <c r="AR1307" s="55">
        <v>28500</v>
      </c>
      <c r="AS1307" s="78">
        <f t="shared" si="24"/>
        <v>0.81449122807017549</v>
      </c>
    </row>
    <row r="1308" spans="39:45">
      <c r="AM1308" s="54">
        <v>2019</v>
      </c>
      <c r="AN1308" s="54" t="s">
        <v>184</v>
      </c>
      <c r="AO1308" s="54">
        <v>24</v>
      </c>
      <c r="AP1308" s="54">
        <v>10</v>
      </c>
      <c r="AQ1308" s="54">
        <v>30897.5</v>
      </c>
      <c r="AR1308" s="55">
        <v>28500</v>
      </c>
      <c r="AS1308" s="78">
        <f t="shared" si="24"/>
        <v>1.0841228070175439</v>
      </c>
    </row>
    <row r="1309" spans="39:45">
      <c r="AM1309" s="55">
        <v>2019</v>
      </c>
      <c r="AN1309" s="55" t="s">
        <v>184</v>
      </c>
      <c r="AO1309" s="55">
        <v>24</v>
      </c>
      <c r="AP1309" s="55">
        <v>11</v>
      </c>
      <c r="AQ1309" s="55">
        <v>36515</v>
      </c>
      <c r="AR1309" s="55">
        <v>28500</v>
      </c>
      <c r="AS1309" s="78">
        <f t="shared" si="24"/>
        <v>1.2812280701754386</v>
      </c>
    </row>
    <row r="1310" spans="39:45">
      <c r="AM1310" s="54">
        <v>2019</v>
      </c>
      <c r="AN1310" s="54" t="s">
        <v>184</v>
      </c>
      <c r="AO1310" s="54">
        <v>24</v>
      </c>
      <c r="AP1310" s="54">
        <v>12</v>
      </c>
      <c r="AQ1310" s="54">
        <v>39388.5</v>
      </c>
      <c r="AR1310" s="55">
        <v>28500</v>
      </c>
      <c r="AS1310" s="78">
        <f t="shared" si="24"/>
        <v>1.3820526315789474</v>
      </c>
    </row>
    <row r="1311" spans="39:45">
      <c r="AM1311" s="55">
        <v>2019</v>
      </c>
      <c r="AN1311" s="55" t="s">
        <v>184</v>
      </c>
      <c r="AO1311" s="55">
        <v>24</v>
      </c>
      <c r="AP1311" s="55">
        <v>13</v>
      </c>
      <c r="AQ1311" s="55">
        <v>36804</v>
      </c>
      <c r="AR1311" s="55">
        <v>28500</v>
      </c>
      <c r="AS1311" s="78">
        <f t="shared" si="24"/>
        <v>1.2913684210526315</v>
      </c>
    </row>
    <row r="1312" spans="39:45">
      <c r="AM1312" s="54">
        <v>2019</v>
      </c>
      <c r="AN1312" s="54" t="s">
        <v>184</v>
      </c>
      <c r="AO1312" s="54">
        <v>24</v>
      </c>
      <c r="AP1312" s="54">
        <v>14</v>
      </c>
      <c r="AQ1312" s="54">
        <v>32785.5</v>
      </c>
      <c r="AR1312" s="55">
        <v>28500</v>
      </c>
      <c r="AS1312" s="78">
        <f t="shared" si="24"/>
        <v>1.1503684210526315</v>
      </c>
    </row>
    <row r="1313" spans="39:45">
      <c r="AM1313" s="55">
        <v>2019</v>
      </c>
      <c r="AN1313" s="55" t="s">
        <v>184</v>
      </c>
      <c r="AO1313" s="55">
        <v>24</v>
      </c>
      <c r="AP1313" s="55">
        <v>15</v>
      </c>
      <c r="AQ1313" s="55">
        <v>24947.5</v>
      </c>
      <c r="AR1313" s="55">
        <v>28500</v>
      </c>
      <c r="AS1313" s="78">
        <f t="shared" si="24"/>
        <v>0.87535087719298244</v>
      </c>
    </row>
    <row r="1314" spans="39:45">
      <c r="AM1314" s="54">
        <v>2019</v>
      </c>
      <c r="AN1314" s="54" t="s">
        <v>184</v>
      </c>
      <c r="AO1314" s="54">
        <v>24</v>
      </c>
      <c r="AP1314" s="54">
        <v>16</v>
      </c>
      <c r="AQ1314" s="54">
        <v>14685</v>
      </c>
      <c r="AR1314" s="55">
        <v>28500</v>
      </c>
      <c r="AS1314" s="78">
        <f t="shared" si="24"/>
        <v>0.51526315789473687</v>
      </c>
    </row>
    <row r="1315" spans="39:45">
      <c r="AM1315" s="55">
        <v>2019</v>
      </c>
      <c r="AN1315" s="55" t="s">
        <v>184</v>
      </c>
      <c r="AO1315" s="55">
        <v>24</v>
      </c>
      <c r="AP1315" s="55">
        <v>17</v>
      </c>
      <c r="AQ1315" s="55">
        <v>0</v>
      </c>
      <c r="AR1315" s="55">
        <v>28500</v>
      </c>
      <c r="AS1315" s="78">
        <f t="shared" si="24"/>
        <v>0</v>
      </c>
    </row>
    <row r="1316" spans="39:45">
      <c r="AM1316" s="54">
        <v>2019</v>
      </c>
      <c r="AN1316" s="54" t="s">
        <v>184</v>
      </c>
      <c r="AO1316" s="54">
        <v>24</v>
      </c>
      <c r="AP1316" s="54">
        <v>18</v>
      </c>
      <c r="AQ1316" s="54">
        <v>0</v>
      </c>
      <c r="AR1316" s="55">
        <v>28500</v>
      </c>
      <c r="AS1316" s="78">
        <f t="shared" si="24"/>
        <v>0</v>
      </c>
    </row>
    <row r="1317" spans="39:45">
      <c r="AM1317" s="55">
        <v>2019</v>
      </c>
      <c r="AN1317" s="55" t="s">
        <v>184</v>
      </c>
      <c r="AO1317" s="55">
        <v>24</v>
      </c>
      <c r="AP1317" s="55">
        <v>19</v>
      </c>
      <c r="AQ1317" s="55">
        <v>0</v>
      </c>
      <c r="AR1317" s="55">
        <v>28500</v>
      </c>
      <c r="AS1317" s="78">
        <f t="shared" si="24"/>
        <v>0</v>
      </c>
    </row>
    <row r="1318" spans="39:45">
      <c r="AM1318" s="54">
        <v>2019</v>
      </c>
      <c r="AN1318" s="54" t="s">
        <v>184</v>
      </c>
      <c r="AO1318" s="54">
        <v>24</v>
      </c>
      <c r="AP1318" s="54">
        <v>20</v>
      </c>
      <c r="AQ1318" s="54">
        <v>0</v>
      </c>
      <c r="AR1318" s="55">
        <v>28500</v>
      </c>
      <c r="AS1318" s="78">
        <f t="shared" si="24"/>
        <v>0</v>
      </c>
    </row>
    <row r="1319" spans="39:45">
      <c r="AM1319" s="55">
        <v>2019</v>
      </c>
      <c r="AN1319" s="55" t="s">
        <v>184</v>
      </c>
      <c r="AO1319" s="55">
        <v>24</v>
      </c>
      <c r="AP1319" s="55">
        <v>21</v>
      </c>
      <c r="AQ1319" s="55">
        <v>0</v>
      </c>
      <c r="AR1319" s="55">
        <v>28500</v>
      </c>
      <c r="AS1319" s="78">
        <f t="shared" si="24"/>
        <v>0</v>
      </c>
    </row>
    <row r="1320" spans="39:45">
      <c r="AM1320" s="54">
        <v>2019</v>
      </c>
      <c r="AN1320" s="54" t="s">
        <v>184</v>
      </c>
      <c r="AO1320" s="54">
        <v>24</v>
      </c>
      <c r="AP1320" s="54">
        <v>22</v>
      </c>
      <c r="AQ1320" s="54">
        <v>0</v>
      </c>
      <c r="AR1320" s="55">
        <v>28500</v>
      </c>
      <c r="AS1320" s="78">
        <f t="shared" si="24"/>
        <v>0</v>
      </c>
    </row>
    <row r="1321" spans="39:45">
      <c r="AM1321" s="55">
        <v>2019</v>
      </c>
      <c r="AN1321" s="55" t="s">
        <v>184</v>
      </c>
      <c r="AO1321" s="55">
        <v>24</v>
      </c>
      <c r="AP1321" s="55">
        <v>23</v>
      </c>
      <c r="AQ1321" s="55">
        <v>0</v>
      </c>
      <c r="AR1321" s="55">
        <v>28500</v>
      </c>
      <c r="AS1321" s="78">
        <f t="shared" si="24"/>
        <v>0</v>
      </c>
    </row>
    <row r="1322" spans="39:45">
      <c r="AM1322" s="54">
        <v>2019</v>
      </c>
      <c r="AN1322" s="54" t="s">
        <v>184</v>
      </c>
      <c r="AO1322" s="54">
        <v>25</v>
      </c>
      <c r="AP1322" s="54">
        <v>24</v>
      </c>
      <c r="AQ1322" s="54">
        <v>0</v>
      </c>
      <c r="AR1322" s="55">
        <v>28500</v>
      </c>
      <c r="AS1322" s="78">
        <f t="shared" si="24"/>
        <v>0</v>
      </c>
    </row>
    <row r="1323" spans="39:45">
      <c r="AM1323" s="55">
        <v>2019</v>
      </c>
      <c r="AN1323" s="55" t="s">
        <v>184</v>
      </c>
      <c r="AO1323" s="55">
        <v>25</v>
      </c>
      <c r="AP1323" s="55">
        <v>1</v>
      </c>
      <c r="AQ1323" s="55">
        <v>0</v>
      </c>
      <c r="AR1323" s="55">
        <v>28500</v>
      </c>
      <c r="AS1323" s="78">
        <f t="shared" si="24"/>
        <v>0</v>
      </c>
    </row>
    <row r="1324" spans="39:45">
      <c r="AM1324" s="54">
        <v>2019</v>
      </c>
      <c r="AN1324" s="54" t="s">
        <v>184</v>
      </c>
      <c r="AO1324" s="54">
        <v>25</v>
      </c>
      <c r="AP1324" s="54">
        <v>2</v>
      </c>
      <c r="AQ1324" s="54">
        <v>0</v>
      </c>
      <c r="AR1324" s="55">
        <v>28500</v>
      </c>
      <c r="AS1324" s="78">
        <f t="shared" si="24"/>
        <v>0</v>
      </c>
    </row>
    <row r="1325" spans="39:45">
      <c r="AM1325" s="55">
        <v>2019</v>
      </c>
      <c r="AN1325" s="55" t="s">
        <v>184</v>
      </c>
      <c r="AO1325" s="55">
        <v>25</v>
      </c>
      <c r="AP1325" s="55">
        <v>3</v>
      </c>
      <c r="AQ1325" s="55">
        <v>0</v>
      </c>
      <c r="AR1325" s="55">
        <v>28500</v>
      </c>
      <c r="AS1325" s="78">
        <f t="shared" si="24"/>
        <v>0</v>
      </c>
    </row>
    <row r="1326" spans="39:45">
      <c r="AM1326" s="54">
        <v>2019</v>
      </c>
      <c r="AN1326" s="54" t="s">
        <v>184</v>
      </c>
      <c r="AO1326" s="54">
        <v>25</v>
      </c>
      <c r="AP1326" s="54">
        <v>4</v>
      </c>
      <c r="AQ1326" s="54">
        <v>0</v>
      </c>
      <c r="AR1326" s="55">
        <v>28500</v>
      </c>
      <c r="AS1326" s="78">
        <f t="shared" si="24"/>
        <v>0</v>
      </c>
    </row>
    <row r="1327" spans="39:45">
      <c r="AM1327" s="55">
        <v>2019</v>
      </c>
      <c r="AN1327" s="55" t="s">
        <v>184</v>
      </c>
      <c r="AO1327" s="55">
        <v>25</v>
      </c>
      <c r="AP1327" s="55">
        <v>5</v>
      </c>
      <c r="AQ1327" s="55">
        <v>0</v>
      </c>
      <c r="AR1327" s="55">
        <v>28500</v>
      </c>
      <c r="AS1327" s="78">
        <f t="shared" si="24"/>
        <v>0</v>
      </c>
    </row>
    <row r="1328" spans="39:45">
      <c r="AM1328" s="54">
        <v>2019</v>
      </c>
      <c r="AN1328" s="54" t="s">
        <v>184</v>
      </c>
      <c r="AO1328" s="54">
        <v>25</v>
      </c>
      <c r="AP1328" s="54">
        <v>6</v>
      </c>
      <c r="AQ1328" s="54">
        <v>0</v>
      </c>
      <c r="AR1328" s="55">
        <v>28500</v>
      </c>
      <c r="AS1328" s="78">
        <f t="shared" si="24"/>
        <v>0</v>
      </c>
    </row>
    <row r="1329" spans="39:45">
      <c r="AM1329" s="55">
        <v>2019</v>
      </c>
      <c r="AN1329" s="55" t="s">
        <v>184</v>
      </c>
      <c r="AO1329" s="55">
        <v>25</v>
      </c>
      <c r="AP1329" s="55">
        <v>7</v>
      </c>
      <c r="AQ1329" s="55">
        <v>0</v>
      </c>
      <c r="AR1329" s="55">
        <v>28500</v>
      </c>
      <c r="AS1329" s="78">
        <f t="shared" si="24"/>
        <v>0</v>
      </c>
    </row>
    <row r="1330" spans="39:45">
      <c r="AM1330" s="54">
        <v>2019</v>
      </c>
      <c r="AN1330" s="54" t="s">
        <v>184</v>
      </c>
      <c r="AO1330" s="54">
        <v>25</v>
      </c>
      <c r="AP1330" s="54">
        <v>8</v>
      </c>
      <c r="AQ1330" s="54">
        <v>14015</v>
      </c>
      <c r="AR1330" s="55">
        <v>28500</v>
      </c>
      <c r="AS1330" s="78">
        <f t="shared" si="24"/>
        <v>0.49175438596491228</v>
      </c>
    </row>
    <row r="1331" spans="39:45">
      <c r="AM1331" s="55">
        <v>2019</v>
      </c>
      <c r="AN1331" s="55" t="s">
        <v>184</v>
      </c>
      <c r="AO1331" s="55">
        <v>25</v>
      </c>
      <c r="AP1331" s="55">
        <v>9</v>
      </c>
      <c r="AQ1331" s="55">
        <v>24363</v>
      </c>
      <c r="AR1331" s="55">
        <v>28500</v>
      </c>
      <c r="AS1331" s="78">
        <f t="shared" si="24"/>
        <v>0.85484210526315785</v>
      </c>
    </row>
    <row r="1332" spans="39:45">
      <c r="AM1332" s="54">
        <v>2019</v>
      </c>
      <c r="AN1332" s="54" t="s">
        <v>184</v>
      </c>
      <c r="AO1332" s="54">
        <v>25</v>
      </c>
      <c r="AP1332" s="54">
        <v>10</v>
      </c>
      <c r="AQ1332" s="54">
        <v>31438.5</v>
      </c>
      <c r="AR1332" s="55">
        <v>28500</v>
      </c>
      <c r="AS1332" s="78">
        <f t="shared" si="24"/>
        <v>1.1031052631578948</v>
      </c>
    </row>
    <row r="1333" spans="39:45">
      <c r="AM1333" s="55">
        <v>2019</v>
      </c>
      <c r="AN1333" s="55" t="s">
        <v>184</v>
      </c>
      <c r="AO1333" s="55">
        <v>25</v>
      </c>
      <c r="AP1333" s="55">
        <v>11</v>
      </c>
      <c r="AQ1333" s="55">
        <v>35468</v>
      </c>
      <c r="AR1333" s="55">
        <v>28500</v>
      </c>
      <c r="AS1333" s="78">
        <f t="shared" si="24"/>
        <v>1.2444912280701754</v>
      </c>
    </row>
    <row r="1334" spans="39:45">
      <c r="AM1334" s="54">
        <v>2019</v>
      </c>
      <c r="AN1334" s="54" t="s">
        <v>184</v>
      </c>
      <c r="AO1334" s="54">
        <v>25</v>
      </c>
      <c r="AP1334" s="54">
        <v>12</v>
      </c>
      <c r="AQ1334" s="54">
        <v>36195</v>
      </c>
      <c r="AR1334" s="55">
        <v>28500</v>
      </c>
      <c r="AS1334" s="78">
        <f t="shared" si="24"/>
        <v>1.27</v>
      </c>
    </row>
    <row r="1335" spans="39:45">
      <c r="AM1335" s="55">
        <v>2019</v>
      </c>
      <c r="AN1335" s="55" t="s">
        <v>184</v>
      </c>
      <c r="AO1335" s="55">
        <v>25</v>
      </c>
      <c r="AP1335" s="55">
        <v>13</v>
      </c>
      <c r="AQ1335" s="55">
        <v>35316</v>
      </c>
      <c r="AR1335" s="55">
        <v>28500</v>
      </c>
      <c r="AS1335" s="78">
        <f t="shared" si="24"/>
        <v>1.239157894736842</v>
      </c>
    </row>
    <row r="1336" spans="39:45">
      <c r="AM1336" s="54">
        <v>2019</v>
      </c>
      <c r="AN1336" s="54" t="s">
        <v>184</v>
      </c>
      <c r="AO1336" s="54">
        <v>25</v>
      </c>
      <c r="AP1336" s="54">
        <v>14</v>
      </c>
      <c r="AQ1336" s="54">
        <v>31424</v>
      </c>
      <c r="AR1336" s="55">
        <v>28500</v>
      </c>
      <c r="AS1336" s="78">
        <f t="shared" si="24"/>
        <v>1.1025964912280701</v>
      </c>
    </row>
    <row r="1337" spans="39:45">
      <c r="AM1337" s="55">
        <v>2019</v>
      </c>
      <c r="AN1337" s="55" t="s">
        <v>184</v>
      </c>
      <c r="AO1337" s="55">
        <v>25</v>
      </c>
      <c r="AP1337" s="55">
        <v>15</v>
      </c>
      <c r="AQ1337" s="55">
        <v>23730</v>
      </c>
      <c r="AR1337" s="55">
        <v>28500</v>
      </c>
      <c r="AS1337" s="78">
        <f t="shared" si="24"/>
        <v>0.83263157894736839</v>
      </c>
    </row>
    <row r="1338" spans="39:45">
      <c r="AM1338" s="54">
        <v>2019</v>
      </c>
      <c r="AN1338" s="54" t="s">
        <v>184</v>
      </c>
      <c r="AO1338" s="54">
        <v>25</v>
      </c>
      <c r="AP1338" s="54">
        <v>16</v>
      </c>
      <c r="AQ1338" s="54">
        <v>13677</v>
      </c>
      <c r="AR1338" s="55">
        <v>28500</v>
      </c>
      <c r="AS1338" s="78">
        <f t="shared" si="24"/>
        <v>0.47989473684210526</v>
      </c>
    </row>
    <row r="1339" spans="39:45">
      <c r="AM1339" s="55">
        <v>2019</v>
      </c>
      <c r="AN1339" s="55" t="s">
        <v>184</v>
      </c>
      <c r="AO1339" s="55">
        <v>25</v>
      </c>
      <c r="AP1339" s="55">
        <v>17</v>
      </c>
      <c r="AQ1339" s="55">
        <v>0</v>
      </c>
      <c r="AR1339" s="55">
        <v>28500</v>
      </c>
      <c r="AS1339" s="78">
        <f t="shared" si="24"/>
        <v>0</v>
      </c>
    </row>
    <row r="1340" spans="39:45">
      <c r="AM1340" s="54">
        <v>2019</v>
      </c>
      <c r="AN1340" s="54" t="s">
        <v>184</v>
      </c>
      <c r="AO1340" s="54">
        <v>25</v>
      </c>
      <c r="AP1340" s="54">
        <v>18</v>
      </c>
      <c r="AQ1340" s="54">
        <v>0</v>
      </c>
      <c r="AR1340" s="55">
        <v>28500</v>
      </c>
      <c r="AS1340" s="78">
        <f t="shared" si="24"/>
        <v>0</v>
      </c>
    </row>
    <row r="1341" spans="39:45">
      <c r="AM1341" s="55">
        <v>2019</v>
      </c>
      <c r="AN1341" s="55" t="s">
        <v>184</v>
      </c>
      <c r="AO1341" s="55">
        <v>25</v>
      </c>
      <c r="AP1341" s="55">
        <v>19</v>
      </c>
      <c r="AQ1341" s="55">
        <v>0</v>
      </c>
      <c r="AR1341" s="55">
        <v>28500</v>
      </c>
      <c r="AS1341" s="78">
        <f t="shared" si="24"/>
        <v>0</v>
      </c>
    </row>
    <row r="1342" spans="39:45">
      <c r="AM1342" s="54">
        <v>2019</v>
      </c>
      <c r="AN1342" s="54" t="s">
        <v>184</v>
      </c>
      <c r="AO1342" s="54">
        <v>25</v>
      </c>
      <c r="AP1342" s="54">
        <v>20</v>
      </c>
      <c r="AQ1342" s="54">
        <v>0</v>
      </c>
      <c r="AR1342" s="55">
        <v>28500</v>
      </c>
      <c r="AS1342" s="78">
        <f t="shared" si="24"/>
        <v>0</v>
      </c>
    </row>
    <row r="1343" spans="39:45">
      <c r="AM1343" s="55">
        <v>2019</v>
      </c>
      <c r="AN1343" s="55" t="s">
        <v>184</v>
      </c>
      <c r="AO1343" s="55">
        <v>25</v>
      </c>
      <c r="AP1343" s="55">
        <v>21</v>
      </c>
      <c r="AQ1343" s="55">
        <v>0</v>
      </c>
      <c r="AR1343" s="55">
        <v>28500</v>
      </c>
      <c r="AS1343" s="78">
        <f t="shared" si="24"/>
        <v>0</v>
      </c>
    </row>
    <row r="1344" spans="39:45">
      <c r="AM1344" s="54">
        <v>2019</v>
      </c>
      <c r="AN1344" s="54" t="s">
        <v>184</v>
      </c>
      <c r="AO1344" s="54">
        <v>25</v>
      </c>
      <c r="AP1344" s="54">
        <v>22</v>
      </c>
      <c r="AQ1344" s="54">
        <v>0</v>
      </c>
      <c r="AR1344" s="55">
        <v>28500</v>
      </c>
      <c r="AS1344" s="78">
        <f t="shared" si="24"/>
        <v>0</v>
      </c>
    </row>
    <row r="1345" spans="39:45">
      <c r="AM1345" s="55">
        <v>2019</v>
      </c>
      <c r="AN1345" s="55" t="s">
        <v>184</v>
      </c>
      <c r="AO1345" s="55">
        <v>25</v>
      </c>
      <c r="AP1345" s="55">
        <v>23</v>
      </c>
      <c r="AQ1345" s="55">
        <v>0</v>
      </c>
      <c r="AR1345" s="55">
        <v>28500</v>
      </c>
      <c r="AS1345" s="78">
        <f t="shared" si="24"/>
        <v>0</v>
      </c>
    </row>
    <row r="1346" spans="39:45">
      <c r="AM1346" s="54">
        <v>2019</v>
      </c>
      <c r="AN1346" s="54" t="s">
        <v>184</v>
      </c>
      <c r="AO1346" s="54">
        <v>26</v>
      </c>
      <c r="AP1346" s="54">
        <v>24</v>
      </c>
      <c r="AQ1346" s="54">
        <v>0</v>
      </c>
      <c r="AR1346" s="55">
        <v>28500</v>
      </c>
      <c r="AS1346" s="78">
        <f t="shared" ref="AS1346:AS1409" si="25">AQ1346/AR1346</f>
        <v>0</v>
      </c>
    </row>
    <row r="1347" spans="39:45">
      <c r="AM1347" s="55">
        <v>2019</v>
      </c>
      <c r="AN1347" s="55" t="s">
        <v>184</v>
      </c>
      <c r="AO1347" s="55">
        <v>26</v>
      </c>
      <c r="AP1347" s="55">
        <v>1</v>
      </c>
      <c r="AQ1347" s="55">
        <v>0</v>
      </c>
      <c r="AR1347" s="55">
        <v>28500</v>
      </c>
      <c r="AS1347" s="78">
        <f t="shared" si="25"/>
        <v>0</v>
      </c>
    </row>
    <row r="1348" spans="39:45">
      <c r="AM1348" s="54">
        <v>2019</v>
      </c>
      <c r="AN1348" s="54" t="s">
        <v>184</v>
      </c>
      <c r="AO1348" s="54">
        <v>26</v>
      </c>
      <c r="AP1348" s="54">
        <v>2</v>
      </c>
      <c r="AQ1348" s="54">
        <v>0</v>
      </c>
      <c r="AR1348" s="55">
        <v>28500</v>
      </c>
      <c r="AS1348" s="78">
        <f t="shared" si="25"/>
        <v>0</v>
      </c>
    </row>
    <row r="1349" spans="39:45">
      <c r="AM1349" s="55">
        <v>2019</v>
      </c>
      <c r="AN1349" s="55" t="s">
        <v>184</v>
      </c>
      <c r="AO1349" s="55">
        <v>26</v>
      </c>
      <c r="AP1349" s="55">
        <v>3</v>
      </c>
      <c r="AQ1349" s="55">
        <v>0</v>
      </c>
      <c r="AR1349" s="55">
        <v>28500</v>
      </c>
      <c r="AS1349" s="78">
        <f t="shared" si="25"/>
        <v>0</v>
      </c>
    </row>
    <row r="1350" spans="39:45">
      <c r="AM1350" s="54">
        <v>2019</v>
      </c>
      <c r="AN1350" s="54" t="s">
        <v>184</v>
      </c>
      <c r="AO1350" s="54">
        <v>26</v>
      </c>
      <c r="AP1350" s="54">
        <v>4</v>
      </c>
      <c r="AQ1350" s="54">
        <v>0</v>
      </c>
      <c r="AR1350" s="55">
        <v>28500</v>
      </c>
      <c r="AS1350" s="78">
        <f t="shared" si="25"/>
        <v>0</v>
      </c>
    </row>
    <row r="1351" spans="39:45">
      <c r="AM1351" s="55">
        <v>2019</v>
      </c>
      <c r="AN1351" s="55" t="s">
        <v>184</v>
      </c>
      <c r="AO1351" s="55">
        <v>26</v>
      </c>
      <c r="AP1351" s="55">
        <v>5</v>
      </c>
      <c r="AQ1351" s="55">
        <v>0</v>
      </c>
      <c r="AR1351" s="55">
        <v>28500</v>
      </c>
      <c r="AS1351" s="78">
        <f t="shared" si="25"/>
        <v>0</v>
      </c>
    </row>
    <row r="1352" spans="39:45">
      <c r="AM1352" s="54">
        <v>2019</v>
      </c>
      <c r="AN1352" s="54" t="s">
        <v>184</v>
      </c>
      <c r="AO1352" s="54">
        <v>26</v>
      </c>
      <c r="AP1352" s="54">
        <v>6</v>
      </c>
      <c r="AQ1352" s="54">
        <v>0</v>
      </c>
      <c r="AR1352" s="55">
        <v>28500</v>
      </c>
      <c r="AS1352" s="78">
        <f t="shared" si="25"/>
        <v>0</v>
      </c>
    </row>
    <row r="1353" spans="39:45">
      <c r="AM1353" s="55">
        <v>2019</v>
      </c>
      <c r="AN1353" s="55" t="s">
        <v>184</v>
      </c>
      <c r="AO1353" s="55">
        <v>26</v>
      </c>
      <c r="AP1353" s="55">
        <v>7</v>
      </c>
      <c r="AQ1353" s="55">
        <v>0</v>
      </c>
      <c r="AR1353" s="55">
        <v>28500</v>
      </c>
      <c r="AS1353" s="78">
        <f t="shared" si="25"/>
        <v>0</v>
      </c>
    </row>
    <row r="1354" spans="39:45">
      <c r="AM1354" s="54">
        <v>2019</v>
      </c>
      <c r="AN1354" s="54" t="s">
        <v>184</v>
      </c>
      <c r="AO1354" s="54">
        <v>26</v>
      </c>
      <c r="AP1354" s="54">
        <v>8</v>
      </c>
      <c r="AQ1354" s="54">
        <v>14108</v>
      </c>
      <c r="AR1354" s="55">
        <v>28500</v>
      </c>
      <c r="AS1354" s="78">
        <f t="shared" si="25"/>
        <v>0.49501754385964913</v>
      </c>
    </row>
    <row r="1355" spans="39:45">
      <c r="AM1355" s="55">
        <v>2019</v>
      </c>
      <c r="AN1355" s="55" t="s">
        <v>184</v>
      </c>
      <c r="AO1355" s="55">
        <v>26</v>
      </c>
      <c r="AP1355" s="55">
        <v>9</v>
      </c>
      <c r="AQ1355" s="55">
        <v>24638.5</v>
      </c>
      <c r="AR1355" s="55">
        <v>28500</v>
      </c>
      <c r="AS1355" s="78">
        <f t="shared" si="25"/>
        <v>0.86450877192982456</v>
      </c>
    </row>
    <row r="1356" spans="39:45">
      <c r="AM1356" s="54">
        <v>2019</v>
      </c>
      <c r="AN1356" s="54" t="s">
        <v>184</v>
      </c>
      <c r="AO1356" s="54">
        <v>26</v>
      </c>
      <c r="AP1356" s="54">
        <v>10</v>
      </c>
      <c r="AQ1356" s="54">
        <v>32023</v>
      </c>
      <c r="AR1356" s="55">
        <v>28500</v>
      </c>
      <c r="AS1356" s="78">
        <f t="shared" si="25"/>
        <v>1.1236140350877193</v>
      </c>
    </row>
    <row r="1357" spans="39:45">
      <c r="AM1357" s="55">
        <v>2019</v>
      </c>
      <c r="AN1357" s="55" t="s">
        <v>184</v>
      </c>
      <c r="AO1357" s="55">
        <v>26</v>
      </c>
      <c r="AP1357" s="55">
        <v>11</v>
      </c>
      <c r="AQ1357" s="55">
        <v>35938</v>
      </c>
      <c r="AR1357" s="55">
        <v>28500</v>
      </c>
      <c r="AS1357" s="78">
        <f t="shared" si="25"/>
        <v>1.2609824561403509</v>
      </c>
    </row>
    <row r="1358" spans="39:45">
      <c r="AM1358" s="54">
        <v>2019</v>
      </c>
      <c r="AN1358" s="54" t="s">
        <v>184</v>
      </c>
      <c r="AO1358" s="54">
        <v>26</v>
      </c>
      <c r="AP1358" s="54">
        <v>12</v>
      </c>
      <c r="AQ1358" s="54">
        <v>36512</v>
      </c>
      <c r="AR1358" s="55">
        <v>28500</v>
      </c>
      <c r="AS1358" s="78">
        <f t="shared" si="25"/>
        <v>1.2811228070175438</v>
      </c>
    </row>
    <row r="1359" spans="39:45">
      <c r="AM1359" s="55">
        <v>2019</v>
      </c>
      <c r="AN1359" s="55" t="s">
        <v>184</v>
      </c>
      <c r="AO1359" s="55">
        <v>26</v>
      </c>
      <c r="AP1359" s="55">
        <v>13</v>
      </c>
      <c r="AQ1359" s="55">
        <v>35869</v>
      </c>
      <c r="AR1359" s="55">
        <v>28500</v>
      </c>
      <c r="AS1359" s="78">
        <f t="shared" si="25"/>
        <v>1.258561403508772</v>
      </c>
    </row>
    <row r="1360" spans="39:45">
      <c r="AM1360" s="54">
        <v>2019</v>
      </c>
      <c r="AN1360" s="54" t="s">
        <v>184</v>
      </c>
      <c r="AO1360" s="54">
        <v>26</v>
      </c>
      <c r="AP1360" s="54">
        <v>14</v>
      </c>
      <c r="AQ1360" s="54">
        <v>31841.5</v>
      </c>
      <c r="AR1360" s="55">
        <v>28500</v>
      </c>
      <c r="AS1360" s="78">
        <f t="shared" si="25"/>
        <v>1.1172456140350877</v>
      </c>
    </row>
    <row r="1361" spans="39:45">
      <c r="AM1361" s="55">
        <v>2019</v>
      </c>
      <c r="AN1361" s="55" t="s">
        <v>184</v>
      </c>
      <c r="AO1361" s="55">
        <v>26</v>
      </c>
      <c r="AP1361" s="55">
        <v>15</v>
      </c>
      <c r="AQ1361" s="55">
        <v>24278.5</v>
      </c>
      <c r="AR1361" s="55">
        <v>28500</v>
      </c>
      <c r="AS1361" s="78">
        <f t="shared" si="25"/>
        <v>0.85187719298245612</v>
      </c>
    </row>
    <row r="1362" spans="39:45">
      <c r="AM1362" s="54">
        <v>2019</v>
      </c>
      <c r="AN1362" s="54" t="s">
        <v>184</v>
      </c>
      <c r="AO1362" s="54">
        <v>26</v>
      </c>
      <c r="AP1362" s="54">
        <v>16</v>
      </c>
      <c r="AQ1362" s="54">
        <v>14565</v>
      </c>
      <c r="AR1362" s="55">
        <v>28500</v>
      </c>
      <c r="AS1362" s="78">
        <f t="shared" si="25"/>
        <v>0.51105263157894731</v>
      </c>
    </row>
    <row r="1363" spans="39:45">
      <c r="AM1363" s="55">
        <v>2019</v>
      </c>
      <c r="AN1363" s="55" t="s">
        <v>184</v>
      </c>
      <c r="AO1363" s="55">
        <v>26</v>
      </c>
      <c r="AP1363" s="55">
        <v>17</v>
      </c>
      <c r="AQ1363" s="55">
        <v>179.5</v>
      </c>
      <c r="AR1363" s="55">
        <v>28500</v>
      </c>
      <c r="AS1363" s="78">
        <f t="shared" si="25"/>
        <v>6.2982456140350876E-3</v>
      </c>
    </row>
    <row r="1364" spans="39:45">
      <c r="AM1364" s="54">
        <v>2019</v>
      </c>
      <c r="AN1364" s="54" t="s">
        <v>184</v>
      </c>
      <c r="AO1364" s="54">
        <v>26</v>
      </c>
      <c r="AP1364" s="54">
        <v>18</v>
      </c>
      <c r="AQ1364" s="54">
        <v>0</v>
      </c>
      <c r="AR1364" s="55">
        <v>28500</v>
      </c>
      <c r="AS1364" s="78">
        <f t="shared" si="25"/>
        <v>0</v>
      </c>
    </row>
    <row r="1365" spans="39:45">
      <c r="AM1365" s="55">
        <v>2019</v>
      </c>
      <c r="AN1365" s="55" t="s">
        <v>184</v>
      </c>
      <c r="AO1365" s="55">
        <v>26</v>
      </c>
      <c r="AP1365" s="55">
        <v>19</v>
      </c>
      <c r="AQ1365" s="55">
        <v>0</v>
      </c>
      <c r="AR1365" s="55">
        <v>28500</v>
      </c>
      <c r="AS1365" s="78">
        <f t="shared" si="25"/>
        <v>0</v>
      </c>
    </row>
    <row r="1366" spans="39:45">
      <c r="AM1366" s="54">
        <v>2019</v>
      </c>
      <c r="AN1366" s="54" t="s">
        <v>184</v>
      </c>
      <c r="AO1366" s="54">
        <v>26</v>
      </c>
      <c r="AP1366" s="54">
        <v>20</v>
      </c>
      <c r="AQ1366" s="54">
        <v>0</v>
      </c>
      <c r="AR1366" s="55">
        <v>28500</v>
      </c>
      <c r="AS1366" s="78">
        <f t="shared" si="25"/>
        <v>0</v>
      </c>
    </row>
    <row r="1367" spans="39:45">
      <c r="AM1367" s="55">
        <v>2019</v>
      </c>
      <c r="AN1367" s="55" t="s">
        <v>184</v>
      </c>
      <c r="AO1367" s="55">
        <v>26</v>
      </c>
      <c r="AP1367" s="55">
        <v>21</v>
      </c>
      <c r="AQ1367" s="55">
        <v>0</v>
      </c>
      <c r="AR1367" s="55">
        <v>28500</v>
      </c>
      <c r="AS1367" s="78">
        <f t="shared" si="25"/>
        <v>0</v>
      </c>
    </row>
    <row r="1368" spans="39:45">
      <c r="AM1368" s="54">
        <v>2019</v>
      </c>
      <c r="AN1368" s="54" t="s">
        <v>184</v>
      </c>
      <c r="AO1368" s="54">
        <v>26</v>
      </c>
      <c r="AP1368" s="54">
        <v>22</v>
      </c>
      <c r="AQ1368" s="54">
        <v>0</v>
      </c>
      <c r="AR1368" s="55">
        <v>28500</v>
      </c>
      <c r="AS1368" s="78">
        <f t="shared" si="25"/>
        <v>0</v>
      </c>
    </row>
    <row r="1369" spans="39:45">
      <c r="AM1369" s="55">
        <v>2019</v>
      </c>
      <c r="AN1369" s="55" t="s">
        <v>184</v>
      </c>
      <c r="AO1369" s="55">
        <v>26</v>
      </c>
      <c r="AP1369" s="55">
        <v>23</v>
      </c>
      <c r="AQ1369" s="55">
        <v>0</v>
      </c>
      <c r="AR1369" s="55">
        <v>28500</v>
      </c>
      <c r="AS1369" s="78">
        <f t="shared" si="25"/>
        <v>0</v>
      </c>
    </row>
    <row r="1370" spans="39:45">
      <c r="AM1370" s="54">
        <v>2019</v>
      </c>
      <c r="AN1370" s="54" t="s">
        <v>184</v>
      </c>
      <c r="AO1370" s="54">
        <v>27</v>
      </c>
      <c r="AP1370" s="54">
        <v>24</v>
      </c>
      <c r="AQ1370" s="54">
        <v>0</v>
      </c>
      <c r="AR1370" s="55">
        <v>28500</v>
      </c>
      <c r="AS1370" s="78">
        <f t="shared" si="25"/>
        <v>0</v>
      </c>
    </row>
    <row r="1371" spans="39:45">
      <c r="AM1371" s="55">
        <v>2019</v>
      </c>
      <c r="AN1371" s="55" t="s">
        <v>184</v>
      </c>
      <c r="AO1371" s="55">
        <v>27</v>
      </c>
      <c r="AP1371" s="55">
        <v>1</v>
      </c>
      <c r="AQ1371" s="55">
        <v>0</v>
      </c>
      <c r="AR1371" s="55">
        <v>28500</v>
      </c>
      <c r="AS1371" s="78">
        <f t="shared" si="25"/>
        <v>0</v>
      </c>
    </row>
    <row r="1372" spans="39:45">
      <c r="AM1372" s="54">
        <v>2019</v>
      </c>
      <c r="AN1372" s="54" t="s">
        <v>184</v>
      </c>
      <c r="AO1372" s="54">
        <v>27</v>
      </c>
      <c r="AP1372" s="54">
        <v>2</v>
      </c>
      <c r="AQ1372" s="54">
        <v>0</v>
      </c>
      <c r="AR1372" s="55">
        <v>28500</v>
      </c>
      <c r="AS1372" s="78">
        <f t="shared" si="25"/>
        <v>0</v>
      </c>
    </row>
    <row r="1373" spans="39:45">
      <c r="AM1373" s="55">
        <v>2019</v>
      </c>
      <c r="AN1373" s="55" t="s">
        <v>184</v>
      </c>
      <c r="AO1373" s="55">
        <v>27</v>
      </c>
      <c r="AP1373" s="55">
        <v>3</v>
      </c>
      <c r="AQ1373" s="55">
        <v>0</v>
      </c>
      <c r="AR1373" s="55">
        <v>28500</v>
      </c>
      <c r="AS1373" s="78">
        <f t="shared" si="25"/>
        <v>0</v>
      </c>
    </row>
    <row r="1374" spans="39:45">
      <c r="AM1374" s="54">
        <v>2019</v>
      </c>
      <c r="AN1374" s="54" t="s">
        <v>184</v>
      </c>
      <c r="AO1374" s="54">
        <v>27</v>
      </c>
      <c r="AP1374" s="54">
        <v>4</v>
      </c>
      <c r="AQ1374" s="54">
        <v>0</v>
      </c>
      <c r="AR1374" s="55">
        <v>28500</v>
      </c>
      <c r="AS1374" s="78">
        <f t="shared" si="25"/>
        <v>0</v>
      </c>
    </row>
    <row r="1375" spans="39:45">
      <c r="AM1375" s="55">
        <v>2019</v>
      </c>
      <c r="AN1375" s="55" t="s">
        <v>184</v>
      </c>
      <c r="AO1375" s="55">
        <v>27</v>
      </c>
      <c r="AP1375" s="55">
        <v>5</v>
      </c>
      <c r="AQ1375" s="55">
        <v>0</v>
      </c>
      <c r="AR1375" s="55">
        <v>28500</v>
      </c>
      <c r="AS1375" s="78">
        <f t="shared" si="25"/>
        <v>0</v>
      </c>
    </row>
    <row r="1376" spans="39:45">
      <c r="AM1376" s="54">
        <v>2019</v>
      </c>
      <c r="AN1376" s="54" t="s">
        <v>184</v>
      </c>
      <c r="AO1376" s="54">
        <v>27</v>
      </c>
      <c r="AP1376" s="54">
        <v>6</v>
      </c>
      <c r="AQ1376" s="54">
        <v>0</v>
      </c>
      <c r="AR1376" s="55">
        <v>28500</v>
      </c>
      <c r="AS1376" s="78">
        <f t="shared" si="25"/>
        <v>0</v>
      </c>
    </row>
    <row r="1377" spans="39:45">
      <c r="AM1377" s="55">
        <v>2019</v>
      </c>
      <c r="AN1377" s="55" t="s">
        <v>184</v>
      </c>
      <c r="AO1377" s="55">
        <v>27</v>
      </c>
      <c r="AP1377" s="55">
        <v>7</v>
      </c>
      <c r="AQ1377" s="55">
        <v>0</v>
      </c>
      <c r="AR1377" s="55">
        <v>28500</v>
      </c>
      <c r="AS1377" s="78">
        <f t="shared" si="25"/>
        <v>0</v>
      </c>
    </row>
    <row r="1378" spans="39:45">
      <c r="AM1378" s="54">
        <v>2019</v>
      </c>
      <c r="AN1378" s="54" t="s">
        <v>184</v>
      </c>
      <c r="AO1378" s="54">
        <v>27</v>
      </c>
      <c r="AP1378" s="54">
        <v>8</v>
      </c>
      <c r="AQ1378" s="54">
        <v>13766.5</v>
      </c>
      <c r="AR1378" s="55">
        <v>28500</v>
      </c>
      <c r="AS1378" s="78">
        <f t="shared" si="25"/>
        <v>0.48303508771929826</v>
      </c>
    </row>
    <row r="1379" spans="39:45">
      <c r="AM1379" s="55">
        <v>2019</v>
      </c>
      <c r="AN1379" s="55" t="s">
        <v>184</v>
      </c>
      <c r="AO1379" s="55">
        <v>27</v>
      </c>
      <c r="AP1379" s="55">
        <v>9</v>
      </c>
      <c r="AQ1379" s="55">
        <v>24474.5</v>
      </c>
      <c r="AR1379" s="55">
        <v>28500</v>
      </c>
      <c r="AS1379" s="78">
        <f t="shared" si="25"/>
        <v>0.85875438596491227</v>
      </c>
    </row>
    <row r="1380" spans="39:45">
      <c r="AM1380" s="54">
        <v>2019</v>
      </c>
      <c r="AN1380" s="54" t="s">
        <v>184</v>
      </c>
      <c r="AO1380" s="54">
        <v>27</v>
      </c>
      <c r="AP1380" s="54">
        <v>10</v>
      </c>
      <c r="AQ1380" s="54">
        <v>31294.5</v>
      </c>
      <c r="AR1380" s="55">
        <v>28500</v>
      </c>
      <c r="AS1380" s="78">
        <f t="shared" si="25"/>
        <v>1.0980526315789474</v>
      </c>
    </row>
    <row r="1381" spans="39:45">
      <c r="AM1381" s="55">
        <v>2019</v>
      </c>
      <c r="AN1381" s="55" t="s">
        <v>184</v>
      </c>
      <c r="AO1381" s="55">
        <v>27</v>
      </c>
      <c r="AP1381" s="55">
        <v>11</v>
      </c>
      <c r="AQ1381" s="55">
        <v>35279</v>
      </c>
      <c r="AR1381" s="55">
        <v>28500</v>
      </c>
      <c r="AS1381" s="78">
        <f t="shared" si="25"/>
        <v>1.2378596491228071</v>
      </c>
    </row>
    <row r="1382" spans="39:45">
      <c r="AM1382" s="54">
        <v>2019</v>
      </c>
      <c r="AN1382" s="54" t="s">
        <v>184</v>
      </c>
      <c r="AO1382" s="54">
        <v>27</v>
      </c>
      <c r="AP1382" s="54">
        <v>12</v>
      </c>
      <c r="AQ1382" s="54">
        <v>36219.5</v>
      </c>
      <c r="AR1382" s="55">
        <v>28500</v>
      </c>
      <c r="AS1382" s="78">
        <f t="shared" si="25"/>
        <v>1.270859649122807</v>
      </c>
    </row>
    <row r="1383" spans="39:45">
      <c r="AM1383" s="55">
        <v>2019</v>
      </c>
      <c r="AN1383" s="55" t="s">
        <v>184</v>
      </c>
      <c r="AO1383" s="55">
        <v>27</v>
      </c>
      <c r="AP1383" s="55">
        <v>13</v>
      </c>
      <c r="AQ1383" s="55">
        <v>35746.5</v>
      </c>
      <c r="AR1383" s="55">
        <v>28500</v>
      </c>
      <c r="AS1383" s="78">
        <f t="shared" si="25"/>
        <v>1.2542631578947367</v>
      </c>
    </row>
    <row r="1384" spans="39:45">
      <c r="AM1384" s="54">
        <v>2019</v>
      </c>
      <c r="AN1384" s="54" t="s">
        <v>184</v>
      </c>
      <c r="AO1384" s="54">
        <v>27</v>
      </c>
      <c r="AP1384" s="54">
        <v>14</v>
      </c>
      <c r="AQ1384" s="54">
        <v>32049.5</v>
      </c>
      <c r="AR1384" s="55">
        <v>28500</v>
      </c>
      <c r="AS1384" s="78">
        <f t="shared" si="25"/>
        <v>1.1245438596491228</v>
      </c>
    </row>
    <row r="1385" spans="39:45">
      <c r="AM1385" s="55">
        <v>2019</v>
      </c>
      <c r="AN1385" s="55" t="s">
        <v>184</v>
      </c>
      <c r="AO1385" s="55">
        <v>27</v>
      </c>
      <c r="AP1385" s="55">
        <v>15</v>
      </c>
      <c r="AQ1385" s="55">
        <v>24193</v>
      </c>
      <c r="AR1385" s="55">
        <v>28500</v>
      </c>
      <c r="AS1385" s="78">
        <f t="shared" si="25"/>
        <v>0.84887719298245612</v>
      </c>
    </row>
    <row r="1386" spans="39:45">
      <c r="AM1386" s="54">
        <v>2019</v>
      </c>
      <c r="AN1386" s="54" t="s">
        <v>184</v>
      </c>
      <c r="AO1386" s="54">
        <v>27</v>
      </c>
      <c r="AP1386" s="54">
        <v>16</v>
      </c>
      <c r="AQ1386" s="54">
        <v>14188</v>
      </c>
      <c r="AR1386" s="55">
        <v>28500</v>
      </c>
      <c r="AS1386" s="78">
        <f t="shared" si="25"/>
        <v>0.49782456140350878</v>
      </c>
    </row>
    <row r="1387" spans="39:45">
      <c r="AM1387" s="55">
        <v>2019</v>
      </c>
      <c r="AN1387" s="55" t="s">
        <v>184</v>
      </c>
      <c r="AO1387" s="55">
        <v>27</v>
      </c>
      <c r="AP1387" s="55">
        <v>17</v>
      </c>
      <c r="AQ1387" s="55">
        <v>115.5</v>
      </c>
      <c r="AR1387" s="55">
        <v>28500</v>
      </c>
      <c r="AS1387" s="78">
        <f t="shared" si="25"/>
        <v>4.0526315789473685E-3</v>
      </c>
    </row>
    <row r="1388" spans="39:45">
      <c r="AM1388" s="54">
        <v>2019</v>
      </c>
      <c r="AN1388" s="54" t="s">
        <v>184</v>
      </c>
      <c r="AO1388" s="54">
        <v>27</v>
      </c>
      <c r="AP1388" s="54">
        <v>18</v>
      </c>
      <c r="AQ1388" s="54">
        <v>0</v>
      </c>
      <c r="AR1388" s="55">
        <v>28500</v>
      </c>
      <c r="AS1388" s="78">
        <f t="shared" si="25"/>
        <v>0</v>
      </c>
    </row>
    <row r="1389" spans="39:45">
      <c r="AM1389" s="55">
        <v>2019</v>
      </c>
      <c r="AN1389" s="55" t="s">
        <v>184</v>
      </c>
      <c r="AO1389" s="55">
        <v>27</v>
      </c>
      <c r="AP1389" s="55">
        <v>19</v>
      </c>
      <c r="AQ1389" s="55">
        <v>0</v>
      </c>
      <c r="AR1389" s="55">
        <v>28500</v>
      </c>
      <c r="AS1389" s="78">
        <f t="shared" si="25"/>
        <v>0</v>
      </c>
    </row>
    <row r="1390" spans="39:45">
      <c r="AM1390" s="54">
        <v>2019</v>
      </c>
      <c r="AN1390" s="54" t="s">
        <v>184</v>
      </c>
      <c r="AO1390" s="54">
        <v>27</v>
      </c>
      <c r="AP1390" s="54">
        <v>20</v>
      </c>
      <c r="AQ1390" s="54">
        <v>0</v>
      </c>
      <c r="AR1390" s="55">
        <v>28500</v>
      </c>
      <c r="AS1390" s="78">
        <f t="shared" si="25"/>
        <v>0</v>
      </c>
    </row>
    <row r="1391" spans="39:45">
      <c r="AM1391" s="55">
        <v>2019</v>
      </c>
      <c r="AN1391" s="55" t="s">
        <v>184</v>
      </c>
      <c r="AO1391" s="55">
        <v>27</v>
      </c>
      <c r="AP1391" s="55">
        <v>21</v>
      </c>
      <c r="AQ1391" s="55">
        <v>0</v>
      </c>
      <c r="AR1391" s="55">
        <v>28500</v>
      </c>
      <c r="AS1391" s="78">
        <f t="shared" si="25"/>
        <v>0</v>
      </c>
    </row>
    <row r="1392" spans="39:45">
      <c r="AM1392" s="54">
        <v>2019</v>
      </c>
      <c r="AN1392" s="54" t="s">
        <v>184</v>
      </c>
      <c r="AO1392" s="54">
        <v>27</v>
      </c>
      <c r="AP1392" s="54">
        <v>22</v>
      </c>
      <c r="AQ1392" s="54">
        <v>0</v>
      </c>
      <c r="AR1392" s="55">
        <v>28500</v>
      </c>
      <c r="AS1392" s="78">
        <f t="shared" si="25"/>
        <v>0</v>
      </c>
    </row>
    <row r="1393" spans="39:45">
      <c r="AM1393" s="55">
        <v>2019</v>
      </c>
      <c r="AN1393" s="55" t="s">
        <v>184</v>
      </c>
      <c r="AO1393" s="55">
        <v>27</v>
      </c>
      <c r="AP1393" s="55">
        <v>23</v>
      </c>
      <c r="AQ1393" s="55">
        <v>0</v>
      </c>
      <c r="AR1393" s="55">
        <v>28500</v>
      </c>
      <c r="AS1393" s="78">
        <f t="shared" si="25"/>
        <v>0</v>
      </c>
    </row>
    <row r="1394" spans="39:45">
      <c r="AM1394" s="54">
        <v>2019</v>
      </c>
      <c r="AN1394" s="54" t="s">
        <v>184</v>
      </c>
      <c r="AO1394" s="54">
        <v>28</v>
      </c>
      <c r="AP1394" s="54">
        <v>24</v>
      </c>
      <c r="AQ1394" s="54">
        <v>0</v>
      </c>
      <c r="AR1394" s="55">
        <v>28500</v>
      </c>
      <c r="AS1394" s="78">
        <f t="shared" si="25"/>
        <v>0</v>
      </c>
    </row>
    <row r="1395" spans="39:45">
      <c r="AM1395" s="55">
        <v>2019</v>
      </c>
      <c r="AN1395" s="55" t="s">
        <v>184</v>
      </c>
      <c r="AO1395" s="55">
        <v>28</v>
      </c>
      <c r="AP1395" s="55">
        <v>1</v>
      </c>
      <c r="AQ1395" s="55">
        <v>0</v>
      </c>
      <c r="AR1395" s="55">
        <v>28500</v>
      </c>
      <c r="AS1395" s="78">
        <f t="shared" si="25"/>
        <v>0</v>
      </c>
    </row>
    <row r="1396" spans="39:45">
      <c r="AM1396" s="54">
        <v>2019</v>
      </c>
      <c r="AN1396" s="54" t="s">
        <v>184</v>
      </c>
      <c r="AO1396" s="54">
        <v>28</v>
      </c>
      <c r="AP1396" s="54">
        <v>2</v>
      </c>
      <c r="AQ1396" s="54">
        <v>0</v>
      </c>
      <c r="AR1396" s="55">
        <v>28500</v>
      </c>
      <c r="AS1396" s="78">
        <f t="shared" si="25"/>
        <v>0</v>
      </c>
    </row>
    <row r="1397" spans="39:45">
      <c r="AM1397" s="55">
        <v>2019</v>
      </c>
      <c r="AN1397" s="55" t="s">
        <v>184</v>
      </c>
      <c r="AO1397" s="55">
        <v>28</v>
      </c>
      <c r="AP1397" s="55">
        <v>3</v>
      </c>
      <c r="AQ1397" s="55">
        <v>0</v>
      </c>
      <c r="AR1397" s="55">
        <v>28500</v>
      </c>
      <c r="AS1397" s="78">
        <f t="shared" si="25"/>
        <v>0</v>
      </c>
    </row>
    <row r="1398" spans="39:45">
      <c r="AM1398" s="54">
        <v>2019</v>
      </c>
      <c r="AN1398" s="54" t="s">
        <v>184</v>
      </c>
      <c r="AO1398" s="54">
        <v>28</v>
      </c>
      <c r="AP1398" s="54">
        <v>4</v>
      </c>
      <c r="AQ1398" s="54">
        <v>0</v>
      </c>
      <c r="AR1398" s="55">
        <v>28500</v>
      </c>
      <c r="AS1398" s="78">
        <f t="shared" si="25"/>
        <v>0</v>
      </c>
    </row>
    <row r="1399" spans="39:45">
      <c r="AM1399" s="55">
        <v>2019</v>
      </c>
      <c r="AN1399" s="55" t="s">
        <v>184</v>
      </c>
      <c r="AO1399" s="55">
        <v>28</v>
      </c>
      <c r="AP1399" s="55">
        <v>5</v>
      </c>
      <c r="AQ1399" s="55">
        <v>0</v>
      </c>
      <c r="AR1399" s="55">
        <v>28500</v>
      </c>
      <c r="AS1399" s="78">
        <f t="shared" si="25"/>
        <v>0</v>
      </c>
    </row>
    <row r="1400" spans="39:45">
      <c r="AM1400" s="54">
        <v>2019</v>
      </c>
      <c r="AN1400" s="54" t="s">
        <v>184</v>
      </c>
      <c r="AO1400" s="54">
        <v>28</v>
      </c>
      <c r="AP1400" s="54">
        <v>6</v>
      </c>
      <c r="AQ1400" s="54">
        <v>0</v>
      </c>
      <c r="AR1400" s="55">
        <v>28500</v>
      </c>
      <c r="AS1400" s="78">
        <f t="shared" si="25"/>
        <v>0</v>
      </c>
    </row>
    <row r="1401" spans="39:45">
      <c r="AM1401" s="55">
        <v>2019</v>
      </c>
      <c r="AN1401" s="55" t="s">
        <v>184</v>
      </c>
      <c r="AO1401" s="55">
        <v>28</v>
      </c>
      <c r="AP1401" s="55">
        <v>7</v>
      </c>
      <c r="AQ1401" s="55">
        <v>0</v>
      </c>
      <c r="AR1401" s="55">
        <v>28500</v>
      </c>
      <c r="AS1401" s="78">
        <f t="shared" si="25"/>
        <v>0</v>
      </c>
    </row>
    <row r="1402" spans="39:45">
      <c r="AM1402" s="54">
        <v>2019</v>
      </c>
      <c r="AN1402" s="54" t="s">
        <v>184</v>
      </c>
      <c r="AO1402" s="54">
        <v>28</v>
      </c>
      <c r="AP1402" s="54">
        <v>8</v>
      </c>
      <c r="AQ1402" s="54">
        <v>10856</v>
      </c>
      <c r="AR1402" s="55">
        <v>28500</v>
      </c>
      <c r="AS1402" s="78">
        <f t="shared" si="25"/>
        <v>0.38091228070175437</v>
      </c>
    </row>
    <row r="1403" spans="39:45">
      <c r="AM1403" s="55">
        <v>2019</v>
      </c>
      <c r="AN1403" s="55" t="s">
        <v>184</v>
      </c>
      <c r="AO1403" s="55">
        <v>28</v>
      </c>
      <c r="AP1403" s="55">
        <v>9</v>
      </c>
      <c r="AQ1403" s="55">
        <v>3546</v>
      </c>
      <c r="AR1403" s="55">
        <v>28500</v>
      </c>
      <c r="AS1403" s="78">
        <f t="shared" si="25"/>
        <v>0.12442105263157895</v>
      </c>
    </row>
    <row r="1404" spans="39:45">
      <c r="AM1404" s="54">
        <v>2019</v>
      </c>
      <c r="AN1404" s="54" t="s">
        <v>184</v>
      </c>
      <c r="AO1404" s="54">
        <v>28</v>
      </c>
      <c r="AP1404" s="54">
        <v>10</v>
      </c>
      <c r="AQ1404" s="54">
        <v>4051.5</v>
      </c>
      <c r="AR1404" s="55">
        <v>28500</v>
      </c>
      <c r="AS1404" s="78">
        <f t="shared" si="25"/>
        <v>0.14215789473684209</v>
      </c>
    </row>
    <row r="1405" spans="39:45">
      <c r="AM1405" s="55">
        <v>2019</v>
      </c>
      <c r="AN1405" s="55" t="s">
        <v>184</v>
      </c>
      <c r="AO1405" s="55">
        <v>28</v>
      </c>
      <c r="AP1405" s="55">
        <v>11</v>
      </c>
      <c r="AQ1405" s="55">
        <v>2460.5</v>
      </c>
      <c r="AR1405" s="55">
        <v>28500</v>
      </c>
      <c r="AS1405" s="78">
        <f t="shared" si="25"/>
        <v>8.6333333333333331E-2</v>
      </c>
    </row>
    <row r="1406" spans="39:45">
      <c r="AM1406" s="54">
        <v>2019</v>
      </c>
      <c r="AN1406" s="54" t="s">
        <v>184</v>
      </c>
      <c r="AO1406" s="54">
        <v>28</v>
      </c>
      <c r="AP1406" s="54">
        <v>12</v>
      </c>
      <c r="AQ1406" s="54">
        <v>1385.5</v>
      </c>
      <c r="AR1406" s="55">
        <v>28500</v>
      </c>
      <c r="AS1406" s="78">
        <f t="shared" si="25"/>
        <v>4.8614035087719297E-2</v>
      </c>
    </row>
    <row r="1407" spans="39:45">
      <c r="AM1407" s="55">
        <v>2019</v>
      </c>
      <c r="AN1407" s="55" t="s">
        <v>184</v>
      </c>
      <c r="AO1407" s="55">
        <v>28</v>
      </c>
      <c r="AP1407" s="55">
        <v>13</v>
      </c>
      <c r="AQ1407" s="55">
        <v>3013</v>
      </c>
      <c r="AR1407" s="55">
        <v>28500</v>
      </c>
      <c r="AS1407" s="78">
        <f t="shared" si="25"/>
        <v>0.10571929824561403</v>
      </c>
    </row>
    <row r="1408" spans="39:45">
      <c r="AM1408" s="54">
        <v>2019</v>
      </c>
      <c r="AN1408" s="54" t="s">
        <v>184</v>
      </c>
      <c r="AO1408" s="54">
        <v>28</v>
      </c>
      <c r="AP1408" s="54">
        <v>14</v>
      </c>
      <c r="AQ1408" s="54">
        <v>7020.5</v>
      </c>
      <c r="AR1408" s="55">
        <v>28500</v>
      </c>
      <c r="AS1408" s="78">
        <f t="shared" si="25"/>
        <v>0.24633333333333332</v>
      </c>
    </row>
    <row r="1409" spans="39:45">
      <c r="AM1409" s="55">
        <v>2019</v>
      </c>
      <c r="AN1409" s="55" t="s">
        <v>184</v>
      </c>
      <c r="AO1409" s="55">
        <v>28</v>
      </c>
      <c r="AP1409" s="55">
        <v>15</v>
      </c>
      <c r="AQ1409" s="55">
        <v>539</v>
      </c>
      <c r="AR1409" s="55">
        <v>28500</v>
      </c>
      <c r="AS1409" s="78">
        <f t="shared" si="25"/>
        <v>1.8912280701754387E-2</v>
      </c>
    </row>
    <row r="1410" spans="39:45">
      <c r="AM1410" s="54">
        <v>2019</v>
      </c>
      <c r="AN1410" s="54" t="s">
        <v>184</v>
      </c>
      <c r="AO1410" s="54">
        <v>28</v>
      </c>
      <c r="AP1410" s="54">
        <v>16</v>
      </c>
      <c r="AQ1410" s="54">
        <v>1210</v>
      </c>
      <c r="AR1410" s="55">
        <v>28500</v>
      </c>
      <c r="AS1410" s="78">
        <f t="shared" ref="AS1410:AS1473" si="26">AQ1410/AR1410</f>
        <v>4.2456140350877192E-2</v>
      </c>
    </row>
    <row r="1411" spans="39:45">
      <c r="AM1411" s="55">
        <v>2019</v>
      </c>
      <c r="AN1411" s="55" t="s">
        <v>184</v>
      </c>
      <c r="AO1411" s="55">
        <v>28</v>
      </c>
      <c r="AP1411" s="55">
        <v>17</v>
      </c>
      <c r="AQ1411" s="55">
        <v>13.5</v>
      </c>
      <c r="AR1411" s="55">
        <v>28500</v>
      </c>
      <c r="AS1411" s="78">
        <f t="shared" si="26"/>
        <v>4.7368421052631577E-4</v>
      </c>
    </row>
    <row r="1412" spans="39:45">
      <c r="AM1412" s="54">
        <v>2019</v>
      </c>
      <c r="AN1412" s="54" t="s">
        <v>184</v>
      </c>
      <c r="AO1412" s="54">
        <v>28</v>
      </c>
      <c r="AP1412" s="54">
        <v>18</v>
      </c>
      <c r="AQ1412" s="54">
        <v>0</v>
      </c>
      <c r="AR1412" s="55">
        <v>28500</v>
      </c>
      <c r="AS1412" s="78">
        <f t="shared" si="26"/>
        <v>0</v>
      </c>
    </row>
    <row r="1413" spans="39:45">
      <c r="AM1413" s="55">
        <v>2019</v>
      </c>
      <c r="AN1413" s="55" t="s">
        <v>184</v>
      </c>
      <c r="AO1413" s="55">
        <v>28</v>
      </c>
      <c r="AP1413" s="55">
        <v>19</v>
      </c>
      <c r="AQ1413" s="55">
        <v>0</v>
      </c>
      <c r="AR1413" s="55">
        <v>28500</v>
      </c>
      <c r="AS1413" s="78">
        <f t="shared" si="26"/>
        <v>0</v>
      </c>
    </row>
    <row r="1414" spans="39:45">
      <c r="AM1414" s="54">
        <v>2019</v>
      </c>
      <c r="AN1414" s="54" t="s">
        <v>184</v>
      </c>
      <c r="AO1414" s="54">
        <v>28</v>
      </c>
      <c r="AP1414" s="54">
        <v>20</v>
      </c>
      <c r="AQ1414" s="54">
        <v>0</v>
      </c>
      <c r="AR1414" s="55">
        <v>28500</v>
      </c>
      <c r="AS1414" s="78">
        <f t="shared" si="26"/>
        <v>0</v>
      </c>
    </row>
    <row r="1415" spans="39:45">
      <c r="AM1415" s="55">
        <v>2019</v>
      </c>
      <c r="AN1415" s="55" t="s">
        <v>184</v>
      </c>
      <c r="AO1415" s="55">
        <v>28</v>
      </c>
      <c r="AP1415" s="55">
        <v>21</v>
      </c>
      <c r="AQ1415" s="55">
        <v>0</v>
      </c>
      <c r="AR1415" s="55">
        <v>28500</v>
      </c>
      <c r="AS1415" s="78">
        <f t="shared" si="26"/>
        <v>0</v>
      </c>
    </row>
    <row r="1416" spans="39:45">
      <c r="AM1416" s="54">
        <v>2019</v>
      </c>
      <c r="AN1416" s="54" t="s">
        <v>184</v>
      </c>
      <c r="AO1416" s="54">
        <v>28</v>
      </c>
      <c r="AP1416" s="54">
        <v>22</v>
      </c>
      <c r="AQ1416" s="54">
        <v>0</v>
      </c>
      <c r="AR1416" s="55">
        <v>28500</v>
      </c>
      <c r="AS1416" s="78">
        <f t="shared" si="26"/>
        <v>0</v>
      </c>
    </row>
    <row r="1417" spans="39:45">
      <c r="AM1417" s="55">
        <v>2019</v>
      </c>
      <c r="AN1417" s="55" t="s">
        <v>184</v>
      </c>
      <c r="AO1417" s="55">
        <v>28</v>
      </c>
      <c r="AP1417" s="55">
        <v>23</v>
      </c>
      <c r="AQ1417" s="55">
        <v>0</v>
      </c>
      <c r="AR1417" s="55">
        <v>28500</v>
      </c>
      <c r="AS1417" s="78">
        <f t="shared" si="26"/>
        <v>0</v>
      </c>
    </row>
    <row r="1418" spans="39:45">
      <c r="AM1418" s="54">
        <v>2019</v>
      </c>
      <c r="AN1418" s="54" t="s">
        <v>185</v>
      </c>
      <c r="AO1418" s="54">
        <v>1</v>
      </c>
      <c r="AP1418" s="54">
        <v>24</v>
      </c>
      <c r="AQ1418" s="54">
        <v>0</v>
      </c>
      <c r="AR1418" s="55">
        <v>28500</v>
      </c>
      <c r="AS1418" s="78">
        <f t="shared" si="26"/>
        <v>0</v>
      </c>
    </row>
    <row r="1419" spans="39:45">
      <c r="AM1419" s="55">
        <v>2019</v>
      </c>
      <c r="AN1419" s="55" t="s">
        <v>185</v>
      </c>
      <c r="AO1419" s="55">
        <v>1</v>
      </c>
      <c r="AP1419" s="55">
        <v>1</v>
      </c>
      <c r="AQ1419" s="55">
        <v>0</v>
      </c>
      <c r="AR1419" s="55">
        <v>28500</v>
      </c>
      <c r="AS1419" s="78">
        <f t="shared" si="26"/>
        <v>0</v>
      </c>
    </row>
    <row r="1420" spans="39:45">
      <c r="AM1420" s="54">
        <v>2019</v>
      </c>
      <c r="AN1420" s="54" t="s">
        <v>185</v>
      </c>
      <c r="AO1420" s="54">
        <v>1</v>
      </c>
      <c r="AP1420" s="54">
        <v>2</v>
      </c>
      <c r="AQ1420" s="54">
        <v>0</v>
      </c>
      <c r="AR1420" s="55">
        <v>28500</v>
      </c>
      <c r="AS1420" s="78">
        <f t="shared" si="26"/>
        <v>0</v>
      </c>
    </row>
    <row r="1421" spans="39:45">
      <c r="AM1421" s="55">
        <v>2019</v>
      </c>
      <c r="AN1421" s="55" t="s">
        <v>185</v>
      </c>
      <c r="AO1421" s="55">
        <v>1</v>
      </c>
      <c r="AP1421" s="55">
        <v>3</v>
      </c>
      <c r="AQ1421" s="55">
        <v>0</v>
      </c>
      <c r="AR1421" s="55">
        <v>28500</v>
      </c>
      <c r="AS1421" s="78">
        <f t="shared" si="26"/>
        <v>0</v>
      </c>
    </row>
    <row r="1422" spans="39:45">
      <c r="AM1422" s="54">
        <v>2019</v>
      </c>
      <c r="AN1422" s="54" t="s">
        <v>185</v>
      </c>
      <c r="AO1422" s="54">
        <v>1</v>
      </c>
      <c r="AP1422" s="54">
        <v>4</v>
      </c>
      <c r="AQ1422" s="54">
        <v>0</v>
      </c>
      <c r="AR1422" s="55">
        <v>28500</v>
      </c>
      <c r="AS1422" s="78">
        <f t="shared" si="26"/>
        <v>0</v>
      </c>
    </row>
    <row r="1423" spans="39:45">
      <c r="AM1423" s="55">
        <v>2019</v>
      </c>
      <c r="AN1423" s="55" t="s">
        <v>185</v>
      </c>
      <c r="AO1423" s="55">
        <v>1</v>
      </c>
      <c r="AP1423" s="55">
        <v>5</v>
      </c>
      <c r="AQ1423" s="55">
        <v>0</v>
      </c>
      <c r="AR1423" s="55">
        <v>28500</v>
      </c>
      <c r="AS1423" s="78">
        <f t="shared" si="26"/>
        <v>0</v>
      </c>
    </row>
    <row r="1424" spans="39:45">
      <c r="AM1424" s="54">
        <v>2019</v>
      </c>
      <c r="AN1424" s="54" t="s">
        <v>185</v>
      </c>
      <c r="AO1424" s="54">
        <v>1</v>
      </c>
      <c r="AP1424" s="54">
        <v>6</v>
      </c>
      <c r="AQ1424" s="54">
        <v>0</v>
      </c>
      <c r="AR1424" s="55">
        <v>28500</v>
      </c>
      <c r="AS1424" s="78">
        <f t="shared" si="26"/>
        <v>0</v>
      </c>
    </row>
    <row r="1425" spans="39:45">
      <c r="AM1425" s="55">
        <v>2019</v>
      </c>
      <c r="AN1425" s="55" t="s">
        <v>185</v>
      </c>
      <c r="AO1425" s="55">
        <v>1</v>
      </c>
      <c r="AP1425" s="55">
        <v>7</v>
      </c>
      <c r="AQ1425" s="55">
        <v>0</v>
      </c>
      <c r="AR1425" s="55">
        <v>28500</v>
      </c>
      <c r="AS1425" s="78">
        <f t="shared" si="26"/>
        <v>0</v>
      </c>
    </row>
    <row r="1426" spans="39:45">
      <c r="AM1426" s="54">
        <v>2019</v>
      </c>
      <c r="AN1426" s="54" t="s">
        <v>185</v>
      </c>
      <c r="AO1426" s="54">
        <v>1</v>
      </c>
      <c r="AP1426" s="54">
        <v>8</v>
      </c>
      <c r="AQ1426" s="54">
        <v>1333</v>
      </c>
      <c r="AR1426" s="55">
        <v>28500</v>
      </c>
      <c r="AS1426" s="78">
        <f t="shared" si="26"/>
        <v>4.6771929824561402E-2</v>
      </c>
    </row>
    <row r="1427" spans="39:45">
      <c r="AM1427" s="55">
        <v>2019</v>
      </c>
      <c r="AN1427" s="55" t="s">
        <v>185</v>
      </c>
      <c r="AO1427" s="55">
        <v>1</v>
      </c>
      <c r="AP1427" s="55">
        <v>9</v>
      </c>
      <c r="AQ1427" s="55">
        <v>1992.5</v>
      </c>
      <c r="AR1427" s="55">
        <v>28500</v>
      </c>
      <c r="AS1427" s="78">
        <f t="shared" si="26"/>
        <v>6.9912280701754384E-2</v>
      </c>
    </row>
    <row r="1428" spans="39:45">
      <c r="AM1428" s="54">
        <v>2019</v>
      </c>
      <c r="AN1428" s="54" t="s">
        <v>185</v>
      </c>
      <c r="AO1428" s="54">
        <v>1</v>
      </c>
      <c r="AP1428" s="54">
        <v>10</v>
      </c>
      <c r="AQ1428" s="54">
        <v>2826</v>
      </c>
      <c r="AR1428" s="55">
        <v>28500</v>
      </c>
      <c r="AS1428" s="78">
        <f t="shared" si="26"/>
        <v>9.9157894736842112E-2</v>
      </c>
    </row>
    <row r="1429" spans="39:45">
      <c r="AM1429" s="55">
        <v>2019</v>
      </c>
      <c r="AN1429" s="55" t="s">
        <v>185</v>
      </c>
      <c r="AO1429" s="55">
        <v>1</v>
      </c>
      <c r="AP1429" s="55">
        <v>11</v>
      </c>
      <c r="AQ1429" s="55">
        <v>3363.5</v>
      </c>
      <c r="AR1429" s="55">
        <v>28500</v>
      </c>
      <c r="AS1429" s="78">
        <f t="shared" si="26"/>
        <v>0.11801754385964912</v>
      </c>
    </row>
    <row r="1430" spans="39:45">
      <c r="AM1430" s="54">
        <v>2019</v>
      </c>
      <c r="AN1430" s="54" t="s">
        <v>185</v>
      </c>
      <c r="AO1430" s="54">
        <v>1</v>
      </c>
      <c r="AP1430" s="54">
        <v>12</v>
      </c>
      <c r="AQ1430" s="54">
        <v>1537.5</v>
      </c>
      <c r="AR1430" s="55">
        <v>28500</v>
      </c>
      <c r="AS1430" s="78">
        <f t="shared" si="26"/>
        <v>5.3947368421052633E-2</v>
      </c>
    </row>
    <row r="1431" spans="39:45">
      <c r="AM1431" s="55">
        <v>2019</v>
      </c>
      <c r="AN1431" s="55" t="s">
        <v>185</v>
      </c>
      <c r="AO1431" s="55">
        <v>1</v>
      </c>
      <c r="AP1431" s="55">
        <v>13</v>
      </c>
      <c r="AQ1431" s="55">
        <v>13205.5</v>
      </c>
      <c r="AR1431" s="55">
        <v>28500</v>
      </c>
      <c r="AS1431" s="78">
        <f t="shared" si="26"/>
        <v>0.46335087719298246</v>
      </c>
    </row>
    <row r="1432" spans="39:45">
      <c r="AM1432" s="54">
        <v>2019</v>
      </c>
      <c r="AN1432" s="54" t="s">
        <v>185</v>
      </c>
      <c r="AO1432" s="54">
        <v>1</v>
      </c>
      <c r="AP1432" s="54">
        <v>14</v>
      </c>
      <c r="AQ1432" s="54">
        <v>4077</v>
      </c>
      <c r="AR1432" s="55">
        <v>28500</v>
      </c>
      <c r="AS1432" s="78">
        <f t="shared" si="26"/>
        <v>0.14305263157894738</v>
      </c>
    </row>
    <row r="1433" spans="39:45">
      <c r="AM1433" s="55">
        <v>2019</v>
      </c>
      <c r="AN1433" s="55" t="s">
        <v>185</v>
      </c>
      <c r="AO1433" s="55">
        <v>1</v>
      </c>
      <c r="AP1433" s="55">
        <v>15</v>
      </c>
      <c r="AQ1433" s="55">
        <v>2342.5</v>
      </c>
      <c r="AR1433" s="55">
        <v>28500</v>
      </c>
      <c r="AS1433" s="78">
        <f t="shared" si="26"/>
        <v>8.2192982456140345E-2</v>
      </c>
    </row>
    <row r="1434" spans="39:45">
      <c r="AM1434" s="54">
        <v>2019</v>
      </c>
      <c r="AN1434" s="54" t="s">
        <v>185</v>
      </c>
      <c r="AO1434" s="54">
        <v>1</v>
      </c>
      <c r="AP1434" s="54">
        <v>16</v>
      </c>
      <c r="AQ1434" s="54">
        <v>1316.5</v>
      </c>
      <c r="AR1434" s="55">
        <v>28500</v>
      </c>
      <c r="AS1434" s="78">
        <f t="shared" si="26"/>
        <v>4.6192982456140348E-2</v>
      </c>
    </row>
    <row r="1435" spans="39:45">
      <c r="AM1435" s="55">
        <v>2019</v>
      </c>
      <c r="AN1435" s="55" t="s">
        <v>185</v>
      </c>
      <c r="AO1435" s="55">
        <v>1</v>
      </c>
      <c r="AP1435" s="55">
        <v>17</v>
      </c>
      <c r="AQ1435" s="55">
        <v>0</v>
      </c>
      <c r="AR1435" s="55">
        <v>28500</v>
      </c>
      <c r="AS1435" s="78">
        <f t="shared" si="26"/>
        <v>0</v>
      </c>
    </row>
    <row r="1436" spans="39:45">
      <c r="AM1436" s="54">
        <v>2019</v>
      </c>
      <c r="AN1436" s="54" t="s">
        <v>185</v>
      </c>
      <c r="AO1436" s="54">
        <v>1</v>
      </c>
      <c r="AP1436" s="54">
        <v>18</v>
      </c>
      <c r="AQ1436" s="54">
        <v>0</v>
      </c>
      <c r="AR1436" s="55">
        <v>28500</v>
      </c>
      <c r="AS1436" s="78">
        <f t="shared" si="26"/>
        <v>0</v>
      </c>
    </row>
    <row r="1437" spans="39:45">
      <c r="AM1437" s="55">
        <v>2019</v>
      </c>
      <c r="AN1437" s="55" t="s">
        <v>185</v>
      </c>
      <c r="AO1437" s="55">
        <v>1</v>
      </c>
      <c r="AP1437" s="55">
        <v>19</v>
      </c>
      <c r="AQ1437" s="55">
        <v>0</v>
      </c>
      <c r="AR1437" s="55">
        <v>28500</v>
      </c>
      <c r="AS1437" s="78">
        <f t="shared" si="26"/>
        <v>0</v>
      </c>
    </row>
    <row r="1438" spans="39:45">
      <c r="AM1438" s="54">
        <v>2019</v>
      </c>
      <c r="AN1438" s="54" t="s">
        <v>185</v>
      </c>
      <c r="AO1438" s="54">
        <v>1</v>
      </c>
      <c r="AP1438" s="54">
        <v>20</v>
      </c>
      <c r="AQ1438" s="54">
        <v>0</v>
      </c>
      <c r="AR1438" s="55">
        <v>28500</v>
      </c>
      <c r="AS1438" s="78">
        <f t="shared" si="26"/>
        <v>0</v>
      </c>
    </row>
    <row r="1439" spans="39:45">
      <c r="AM1439" s="55">
        <v>2019</v>
      </c>
      <c r="AN1439" s="55" t="s">
        <v>185</v>
      </c>
      <c r="AO1439" s="55">
        <v>1</v>
      </c>
      <c r="AP1439" s="55">
        <v>21</v>
      </c>
      <c r="AQ1439" s="55">
        <v>0</v>
      </c>
      <c r="AR1439" s="55">
        <v>28500</v>
      </c>
      <c r="AS1439" s="78">
        <f t="shared" si="26"/>
        <v>0</v>
      </c>
    </row>
    <row r="1440" spans="39:45">
      <c r="AM1440" s="54">
        <v>2019</v>
      </c>
      <c r="AN1440" s="54" t="s">
        <v>185</v>
      </c>
      <c r="AO1440" s="54">
        <v>1</v>
      </c>
      <c r="AP1440" s="54">
        <v>22</v>
      </c>
      <c r="AQ1440" s="54">
        <v>0</v>
      </c>
      <c r="AR1440" s="55">
        <v>28500</v>
      </c>
      <c r="AS1440" s="78">
        <f t="shared" si="26"/>
        <v>0</v>
      </c>
    </row>
    <row r="1441" spans="39:45">
      <c r="AM1441" s="55">
        <v>2019</v>
      </c>
      <c r="AN1441" s="55" t="s">
        <v>185</v>
      </c>
      <c r="AO1441" s="55">
        <v>1</v>
      </c>
      <c r="AP1441" s="55">
        <v>23</v>
      </c>
      <c r="AQ1441" s="55">
        <v>0</v>
      </c>
      <c r="AR1441" s="55">
        <v>28500</v>
      </c>
      <c r="AS1441" s="78">
        <f t="shared" si="26"/>
        <v>0</v>
      </c>
    </row>
    <row r="1442" spans="39:45">
      <c r="AM1442" s="54">
        <v>2019</v>
      </c>
      <c r="AN1442" s="54" t="s">
        <v>185</v>
      </c>
      <c r="AO1442" s="54">
        <v>2</v>
      </c>
      <c r="AP1442" s="54">
        <v>24</v>
      </c>
      <c r="AQ1442" s="54">
        <v>0</v>
      </c>
      <c r="AR1442" s="55">
        <v>28500</v>
      </c>
      <c r="AS1442" s="78">
        <f t="shared" si="26"/>
        <v>0</v>
      </c>
    </row>
    <row r="1443" spans="39:45">
      <c r="AM1443" s="55">
        <v>2019</v>
      </c>
      <c r="AN1443" s="55" t="s">
        <v>185</v>
      </c>
      <c r="AO1443" s="55">
        <v>2</v>
      </c>
      <c r="AP1443" s="55">
        <v>1</v>
      </c>
      <c r="AQ1443" s="55">
        <v>0</v>
      </c>
      <c r="AR1443" s="55">
        <v>28500</v>
      </c>
      <c r="AS1443" s="78">
        <f t="shared" si="26"/>
        <v>0</v>
      </c>
    </row>
    <row r="1444" spans="39:45">
      <c r="AM1444" s="54">
        <v>2019</v>
      </c>
      <c r="AN1444" s="54" t="s">
        <v>185</v>
      </c>
      <c r="AO1444" s="54">
        <v>2</v>
      </c>
      <c r="AP1444" s="54">
        <v>2</v>
      </c>
      <c r="AQ1444" s="54">
        <v>0</v>
      </c>
      <c r="AR1444" s="55">
        <v>28500</v>
      </c>
      <c r="AS1444" s="78">
        <f t="shared" si="26"/>
        <v>0</v>
      </c>
    </row>
    <row r="1445" spans="39:45">
      <c r="AM1445" s="55">
        <v>2019</v>
      </c>
      <c r="AN1445" s="55" t="s">
        <v>185</v>
      </c>
      <c r="AO1445" s="55">
        <v>2</v>
      </c>
      <c r="AP1445" s="55">
        <v>3</v>
      </c>
      <c r="AQ1445" s="55">
        <v>0</v>
      </c>
      <c r="AR1445" s="55">
        <v>28500</v>
      </c>
      <c r="AS1445" s="78">
        <f t="shared" si="26"/>
        <v>0</v>
      </c>
    </row>
    <row r="1446" spans="39:45">
      <c r="AM1446" s="54">
        <v>2019</v>
      </c>
      <c r="AN1446" s="54" t="s">
        <v>185</v>
      </c>
      <c r="AO1446" s="54">
        <v>2</v>
      </c>
      <c r="AP1446" s="54">
        <v>4</v>
      </c>
      <c r="AQ1446" s="54">
        <v>0</v>
      </c>
      <c r="AR1446" s="55">
        <v>28500</v>
      </c>
      <c r="AS1446" s="78">
        <f t="shared" si="26"/>
        <v>0</v>
      </c>
    </row>
    <row r="1447" spans="39:45">
      <c r="AM1447" s="55">
        <v>2019</v>
      </c>
      <c r="AN1447" s="55" t="s">
        <v>185</v>
      </c>
      <c r="AO1447" s="55">
        <v>2</v>
      </c>
      <c r="AP1447" s="55">
        <v>5</v>
      </c>
      <c r="AQ1447" s="55">
        <v>0</v>
      </c>
      <c r="AR1447" s="55">
        <v>28500</v>
      </c>
      <c r="AS1447" s="78">
        <f t="shared" si="26"/>
        <v>0</v>
      </c>
    </row>
    <row r="1448" spans="39:45">
      <c r="AM1448" s="54">
        <v>2019</v>
      </c>
      <c r="AN1448" s="54" t="s">
        <v>185</v>
      </c>
      <c r="AO1448" s="54">
        <v>2</v>
      </c>
      <c r="AP1448" s="54">
        <v>6</v>
      </c>
      <c r="AQ1448" s="54">
        <v>0</v>
      </c>
      <c r="AR1448" s="55">
        <v>28500</v>
      </c>
      <c r="AS1448" s="78">
        <f t="shared" si="26"/>
        <v>0</v>
      </c>
    </row>
    <row r="1449" spans="39:45">
      <c r="AM1449" s="55">
        <v>2019</v>
      </c>
      <c r="AN1449" s="55" t="s">
        <v>185</v>
      </c>
      <c r="AO1449" s="55">
        <v>2</v>
      </c>
      <c r="AP1449" s="55">
        <v>7</v>
      </c>
      <c r="AQ1449" s="55">
        <v>293</v>
      </c>
      <c r="AR1449" s="55">
        <v>28500</v>
      </c>
      <c r="AS1449" s="78">
        <f t="shared" si="26"/>
        <v>1.0280701754385965E-2</v>
      </c>
    </row>
    <row r="1450" spans="39:45">
      <c r="AM1450" s="54">
        <v>2019</v>
      </c>
      <c r="AN1450" s="54" t="s">
        <v>185</v>
      </c>
      <c r="AO1450" s="54">
        <v>2</v>
      </c>
      <c r="AP1450" s="54">
        <v>8</v>
      </c>
      <c r="AQ1450" s="54">
        <v>3322</v>
      </c>
      <c r="AR1450" s="55">
        <v>28500</v>
      </c>
      <c r="AS1450" s="78">
        <f t="shared" si="26"/>
        <v>0.11656140350877194</v>
      </c>
    </row>
    <row r="1451" spans="39:45">
      <c r="AM1451" s="55">
        <v>2019</v>
      </c>
      <c r="AN1451" s="55" t="s">
        <v>185</v>
      </c>
      <c r="AO1451" s="55">
        <v>2</v>
      </c>
      <c r="AP1451" s="55">
        <v>9</v>
      </c>
      <c r="AQ1451" s="55">
        <v>3612</v>
      </c>
      <c r="AR1451" s="55">
        <v>28500</v>
      </c>
      <c r="AS1451" s="78">
        <f t="shared" si="26"/>
        <v>0.12673684210526315</v>
      </c>
    </row>
    <row r="1452" spans="39:45">
      <c r="AM1452" s="54">
        <v>2019</v>
      </c>
      <c r="AN1452" s="54" t="s">
        <v>185</v>
      </c>
      <c r="AO1452" s="54">
        <v>2</v>
      </c>
      <c r="AP1452" s="54">
        <v>10</v>
      </c>
      <c r="AQ1452" s="54">
        <v>3195</v>
      </c>
      <c r="AR1452" s="55">
        <v>28500</v>
      </c>
      <c r="AS1452" s="78">
        <f t="shared" si="26"/>
        <v>0.11210526315789474</v>
      </c>
    </row>
    <row r="1453" spans="39:45">
      <c r="AM1453" s="55">
        <v>2019</v>
      </c>
      <c r="AN1453" s="55" t="s">
        <v>185</v>
      </c>
      <c r="AO1453" s="55">
        <v>2</v>
      </c>
      <c r="AP1453" s="55">
        <v>11</v>
      </c>
      <c r="AQ1453" s="55">
        <v>3807</v>
      </c>
      <c r="AR1453" s="55">
        <v>28500</v>
      </c>
      <c r="AS1453" s="78">
        <f t="shared" si="26"/>
        <v>0.13357894736842105</v>
      </c>
    </row>
    <row r="1454" spans="39:45">
      <c r="AM1454" s="54">
        <v>2019</v>
      </c>
      <c r="AN1454" s="54" t="s">
        <v>185</v>
      </c>
      <c r="AO1454" s="54">
        <v>2</v>
      </c>
      <c r="AP1454" s="54">
        <v>12</v>
      </c>
      <c r="AQ1454" s="54">
        <v>6166</v>
      </c>
      <c r="AR1454" s="55">
        <v>28500</v>
      </c>
      <c r="AS1454" s="78">
        <f t="shared" si="26"/>
        <v>0.21635087719298246</v>
      </c>
    </row>
    <row r="1455" spans="39:45">
      <c r="AM1455" s="55">
        <v>2019</v>
      </c>
      <c r="AN1455" s="55" t="s">
        <v>185</v>
      </c>
      <c r="AO1455" s="55">
        <v>2</v>
      </c>
      <c r="AP1455" s="55">
        <v>13</v>
      </c>
      <c r="AQ1455" s="55">
        <v>11519.5</v>
      </c>
      <c r="AR1455" s="55">
        <v>28500</v>
      </c>
      <c r="AS1455" s="78">
        <f t="shared" si="26"/>
        <v>0.40419298245614033</v>
      </c>
    </row>
    <row r="1456" spans="39:45">
      <c r="AM1456" s="54">
        <v>2019</v>
      </c>
      <c r="AN1456" s="54" t="s">
        <v>185</v>
      </c>
      <c r="AO1456" s="54">
        <v>2</v>
      </c>
      <c r="AP1456" s="54">
        <v>14</v>
      </c>
      <c r="AQ1456" s="54">
        <v>23203.5</v>
      </c>
      <c r="AR1456" s="55">
        <v>28500</v>
      </c>
      <c r="AS1456" s="78">
        <f t="shared" si="26"/>
        <v>0.81415789473684208</v>
      </c>
    </row>
    <row r="1457" spans="39:45">
      <c r="AM1457" s="55">
        <v>2019</v>
      </c>
      <c r="AN1457" s="55" t="s">
        <v>185</v>
      </c>
      <c r="AO1457" s="55">
        <v>2</v>
      </c>
      <c r="AP1457" s="55">
        <v>15</v>
      </c>
      <c r="AQ1457" s="55">
        <v>11260</v>
      </c>
      <c r="AR1457" s="55">
        <v>28500</v>
      </c>
      <c r="AS1457" s="78">
        <f t="shared" si="26"/>
        <v>0.3950877192982456</v>
      </c>
    </row>
    <row r="1458" spans="39:45">
      <c r="AM1458" s="54">
        <v>2019</v>
      </c>
      <c r="AN1458" s="54" t="s">
        <v>185</v>
      </c>
      <c r="AO1458" s="54">
        <v>2</v>
      </c>
      <c r="AP1458" s="54">
        <v>16</v>
      </c>
      <c r="AQ1458" s="54">
        <v>1670</v>
      </c>
      <c r="AR1458" s="55">
        <v>28500</v>
      </c>
      <c r="AS1458" s="78">
        <f t="shared" si="26"/>
        <v>5.8596491228070174E-2</v>
      </c>
    </row>
    <row r="1459" spans="39:45">
      <c r="AM1459" s="55">
        <v>2019</v>
      </c>
      <c r="AN1459" s="55" t="s">
        <v>185</v>
      </c>
      <c r="AO1459" s="55">
        <v>2</v>
      </c>
      <c r="AP1459" s="55">
        <v>17</v>
      </c>
      <c r="AQ1459" s="55">
        <v>0</v>
      </c>
      <c r="AR1459" s="55">
        <v>28500</v>
      </c>
      <c r="AS1459" s="78">
        <f t="shared" si="26"/>
        <v>0</v>
      </c>
    </row>
    <row r="1460" spans="39:45">
      <c r="AM1460" s="54">
        <v>2019</v>
      </c>
      <c r="AN1460" s="54" t="s">
        <v>185</v>
      </c>
      <c r="AO1460" s="54">
        <v>2</v>
      </c>
      <c r="AP1460" s="54">
        <v>18</v>
      </c>
      <c r="AQ1460" s="54">
        <v>0</v>
      </c>
      <c r="AR1460" s="55">
        <v>28500</v>
      </c>
      <c r="AS1460" s="78">
        <f t="shared" si="26"/>
        <v>0</v>
      </c>
    </row>
    <row r="1461" spans="39:45">
      <c r="AM1461" s="55">
        <v>2019</v>
      </c>
      <c r="AN1461" s="55" t="s">
        <v>185</v>
      </c>
      <c r="AO1461" s="55">
        <v>2</v>
      </c>
      <c r="AP1461" s="55">
        <v>19</v>
      </c>
      <c r="AQ1461" s="55">
        <v>0</v>
      </c>
      <c r="AR1461" s="55">
        <v>28500</v>
      </c>
      <c r="AS1461" s="78">
        <f t="shared" si="26"/>
        <v>0</v>
      </c>
    </row>
    <row r="1462" spans="39:45">
      <c r="AM1462" s="54">
        <v>2019</v>
      </c>
      <c r="AN1462" s="54" t="s">
        <v>185</v>
      </c>
      <c r="AO1462" s="54">
        <v>2</v>
      </c>
      <c r="AP1462" s="54">
        <v>20</v>
      </c>
      <c r="AQ1462" s="54">
        <v>0</v>
      </c>
      <c r="AR1462" s="55">
        <v>28500</v>
      </c>
      <c r="AS1462" s="78">
        <f t="shared" si="26"/>
        <v>0</v>
      </c>
    </row>
    <row r="1463" spans="39:45">
      <c r="AM1463" s="55">
        <v>2019</v>
      </c>
      <c r="AN1463" s="55" t="s">
        <v>185</v>
      </c>
      <c r="AO1463" s="55">
        <v>2</v>
      </c>
      <c r="AP1463" s="55">
        <v>21</v>
      </c>
      <c r="AQ1463" s="55">
        <v>0</v>
      </c>
      <c r="AR1463" s="55">
        <v>28500</v>
      </c>
      <c r="AS1463" s="78">
        <f t="shared" si="26"/>
        <v>0</v>
      </c>
    </row>
    <row r="1464" spans="39:45">
      <c r="AM1464" s="54">
        <v>2019</v>
      </c>
      <c r="AN1464" s="54" t="s">
        <v>185</v>
      </c>
      <c r="AO1464" s="54">
        <v>2</v>
      </c>
      <c r="AP1464" s="54">
        <v>22</v>
      </c>
      <c r="AQ1464" s="54">
        <v>0</v>
      </c>
      <c r="AR1464" s="55">
        <v>28500</v>
      </c>
      <c r="AS1464" s="78">
        <f t="shared" si="26"/>
        <v>0</v>
      </c>
    </row>
    <row r="1465" spans="39:45">
      <c r="AM1465" s="55">
        <v>2019</v>
      </c>
      <c r="AN1465" s="55" t="s">
        <v>185</v>
      </c>
      <c r="AO1465" s="55">
        <v>2</v>
      </c>
      <c r="AP1465" s="55">
        <v>23</v>
      </c>
      <c r="AQ1465" s="55">
        <v>0</v>
      </c>
      <c r="AR1465" s="55">
        <v>28500</v>
      </c>
      <c r="AS1465" s="78">
        <f t="shared" si="26"/>
        <v>0</v>
      </c>
    </row>
    <row r="1466" spans="39:45">
      <c r="AM1466" s="54">
        <v>2019</v>
      </c>
      <c r="AN1466" s="54" t="s">
        <v>185</v>
      </c>
      <c r="AO1466" s="54">
        <v>3</v>
      </c>
      <c r="AP1466" s="54">
        <v>24</v>
      </c>
      <c r="AQ1466" s="54">
        <v>0</v>
      </c>
      <c r="AR1466" s="55">
        <v>28500</v>
      </c>
      <c r="AS1466" s="78">
        <f t="shared" si="26"/>
        <v>0</v>
      </c>
    </row>
    <row r="1467" spans="39:45">
      <c r="AM1467" s="55">
        <v>2019</v>
      </c>
      <c r="AN1467" s="55" t="s">
        <v>185</v>
      </c>
      <c r="AO1467" s="55">
        <v>3</v>
      </c>
      <c r="AP1467" s="55">
        <v>1</v>
      </c>
      <c r="AQ1467" s="55">
        <v>0</v>
      </c>
      <c r="AR1467" s="55">
        <v>28500</v>
      </c>
      <c r="AS1467" s="78">
        <f t="shared" si="26"/>
        <v>0</v>
      </c>
    </row>
    <row r="1468" spans="39:45">
      <c r="AM1468" s="54">
        <v>2019</v>
      </c>
      <c r="AN1468" s="54" t="s">
        <v>185</v>
      </c>
      <c r="AO1468" s="54">
        <v>3</v>
      </c>
      <c r="AP1468" s="54">
        <v>2</v>
      </c>
      <c r="AQ1468" s="54">
        <v>0</v>
      </c>
      <c r="AR1468" s="55">
        <v>28500</v>
      </c>
      <c r="AS1468" s="78">
        <f t="shared" si="26"/>
        <v>0</v>
      </c>
    </row>
    <row r="1469" spans="39:45">
      <c r="AM1469" s="55">
        <v>2019</v>
      </c>
      <c r="AN1469" s="55" t="s">
        <v>185</v>
      </c>
      <c r="AO1469" s="55">
        <v>3</v>
      </c>
      <c r="AP1469" s="55">
        <v>3</v>
      </c>
      <c r="AQ1469" s="55">
        <v>0</v>
      </c>
      <c r="AR1469" s="55">
        <v>28500</v>
      </c>
      <c r="AS1469" s="78">
        <f t="shared" si="26"/>
        <v>0</v>
      </c>
    </row>
    <row r="1470" spans="39:45">
      <c r="AM1470" s="54">
        <v>2019</v>
      </c>
      <c r="AN1470" s="54" t="s">
        <v>185</v>
      </c>
      <c r="AO1470" s="54">
        <v>3</v>
      </c>
      <c r="AP1470" s="54">
        <v>4</v>
      </c>
      <c r="AQ1470" s="54">
        <v>0</v>
      </c>
      <c r="AR1470" s="55">
        <v>28500</v>
      </c>
      <c r="AS1470" s="78">
        <f t="shared" si="26"/>
        <v>0</v>
      </c>
    </row>
    <row r="1471" spans="39:45">
      <c r="AM1471" s="55">
        <v>2019</v>
      </c>
      <c r="AN1471" s="55" t="s">
        <v>185</v>
      </c>
      <c r="AO1471" s="55">
        <v>3</v>
      </c>
      <c r="AP1471" s="55">
        <v>5</v>
      </c>
      <c r="AQ1471" s="55">
        <v>0</v>
      </c>
      <c r="AR1471" s="55">
        <v>28500</v>
      </c>
      <c r="AS1471" s="78">
        <f t="shared" si="26"/>
        <v>0</v>
      </c>
    </row>
    <row r="1472" spans="39:45">
      <c r="AM1472" s="54">
        <v>2019</v>
      </c>
      <c r="AN1472" s="54" t="s">
        <v>185</v>
      </c>
      <c r="AO1472" s="54">
        <v>3</v>
      </c>
      <c r="AP1472" s="54">
        <v>6</v>
      </c>
      <c r="AQ1472" s="54">
        <v>0</v>
      </c>
      <c r="AR1472" s="55">
        <v>28500</v>
      </c>
      <c r="AS1472" s="78">
        <f t="shared" si="26"/>
        <v>0</v>
      </c>
    </row>
    <row r="1473" spans="39:45">
      <c r="AM1473" s="55">
        <v>2019</v>
      </c>
      <c r="AN1473" s="55" t="s">
        <v>185</v>
      </c>
      <c r="AO1473" s="55">
        <v>3</v>
      </c>
      <c r="AP1473" s="55">
        <v>7</v>
      </c>
      <c r="AQ1473" s="55">
        <v>51.5</v>
      </c>
      <c r="AR1473" s="55">
        <v>28500</v>
      </c>
      <c r="AS1473" s="78">
        <f t="shared" si="26"/>
        <v>1.8070175438596491E-3</v>
      </c>
    </row>
    <row r="1474" spans="39:45">
      <c r="AM1474" s="54">
        <v>2019</v>
      </c>
      <c r="AN1474" s="54" t="s">
        <v>185</v>
      </c>
      <c r="AO1474" s="54">
        <v>3</v>
      </c>
      <c r="AP1474" s="54">
        <v>8</v>
      </c>
      <c r="AQ1474" s="54">
        <v>605.5</v>
      </c>
      <c r="AR1474" s="55">
        <v>28500</v>
      </c>
      <c r="AS1474" s="78">
        <f t="shared" ref="AS1474:AS1537" si="27">AQ1474/AR1474</f>
        <v>2.124561403508772E-2</v>
      </c>
    </row>
    <row r="1475" spans="39:45">
      <c r="AM1475" s="55">
        <v>2019</v>
      </c>
      <c r="AN1475" s="55" t="s">
        <v>185</v>
      </c>
      <c r="AO1475" s="55">
        <v>3</v>
      </c>
      <c r="AP1475" s="55">
        <v>9</v>
      </c>
      <c r="AQ1475" s="55">
        <v>1862</v>
      </c>
      <c r="AR1475" s="55">
        <v>28500</v>
      </c>
      <c r="AS1475" s="78">
        <f t="shared" si="27"/>
        <v>6.5333333333333327E-2</v>
      </c>
    </row>
    <row r="1476" spans="39:45">
      <c r="AM1476" s="54">
        <v>2019</v>
      </c>
      <c r="AN1476" s="54" t="s">
        <v>185</v>
      </c>
      <c r="AO1476" s="54">
        <v>3</v>
      </c>
      <c r="AP1476" s="54">
        <v>10</v>
      </c>
      <c r="AQ1476" s="54">
        <v>2383.5</v>
      </c>
      <c r="AR1476" s="55">
        <v>28500</v>
      </c>
      <c r="AS1476" s="78">
        <f t="shared" si="27"/>
        <v>8.3631578947368418E-2</v>
      </c>
    </row>
    <row r="1477" spans="39:45">
      <c r="AM1477" s="55">
        <v>2019</v>
      </c>
      <c r="AN1477" s="55" t="s">
        <v>185</v>
      </c>
      <c r="AO1477" s="55">
        <v>3</v>
      </c>
      <c r="AP1477" s="55">
        <v>11</v>
      </c>
      <c r="AQ1477" s="55">
        <v>2918.5</v>
      </c>
      <c r="AR1477" s="55">
        <v>28500</v>
      </c>
      <c r="AS1477" s="78">
        <f t="shared" si="27"/>
        <v>0.10240350877192983</v>
      </c>
    </row>
    <row r="1478" spans="39:45">
      <c r="AM1478" s="54">
        <v>2019</v>
      </c>
      <c r="AN1478" s="54" t="s">
        <v>185</v>
      </c>
      <c r="AO1478" s="54">
        <v>3</v>
      </c>
      <c r="AP1478" s="54">
        <v>12</v>
      </c>
      <c r="AQ1478" s="54">
        <v>1174.5</v>
      </c>
      <c r="AR1478" s="55">
        <v>28500</v>
      </c>
      <c r="AS1478" s="78">
        <f t="shared" si="27"/>
        <v>4.1210526315789475E-2</v>
      </c>
    </row>
    <row r="1479" spans="39:45">
      <c r="AM1479" s="55">
        <v>2019</v>
      </c>
      <c r="AN1479" s="55" t="s">
        <v>185</v>
      </c>
      <c r="AO1479" s="55">
        <v>3</v>
      </c>
      <c r="AP1479" s="55">
        <v>13</v>
      </c>
      <c r="AQ1479" s="55">
        <v>2418.5</v>
      </c>
      <c r="AR1479" s="55">
        <v>28500</v>
      </c>
      <c r="AS1479" s="78">
        <f t="shared" si="27"/>
        <v>8.4859649122807024E-2</v>
      </c>
    </row>
    <row r="1480" spans="39:45">
      <c r="AM1480" s="54">
        <v>2019</v>
      </c>
      <c r="AN1480" s="54" t="s">
        <v>185</v>
      </c>
      <c r="AO1480" s="54">
        <v>3</v>
      </c>
      <c r="AP1480" s="54">
        <v>14</v>
      </c>
      <c r="AQ1480" s="54">
        <v>4189</v>
      </c>
      <c r="AR1480" s="55">
        <v>28500</v>
      </c>
      <c r="AS1480" s="78">
        <f t="shared" si="27"/>
        <v>0.14698245614035088</v>
      </c>
    </row>
    <row r="1481" spans="39:45">
      <c r="AM1481" s="55">
        <v>2019</v>
      </c>
      <c r="AN1481" s="55" t="s">
        <v>185</v>
      </c>
      <c r="AO1481" s="55">
        <v>3</v>
      </c>
      <c r="AP1481" s="55">
        <v>15</v>
      </c>
      <c r="AQ1481" s="55">
        <v>5390</v>
      </c>
      <c r="AR1481" s="55">
        <v>28500</v>
      </c>
      <c r="AS1481" s="78">
        <f t="shared" si="27"/>
        <v>0.18912280701754386</v>
      </c>
    </row>
    <row r="1482" spans="39:45">
      <c r="AM1482" s="54">
        <v>2019</v>
      </c>
      <c r="AN1482" s="54" t="s">
        <v>185</v>
      </c>
      <c r="AO1482" s="54">
        <v>3</v>
      </c>
      <c r="AP1482" s="54">
        <v>16</v>
      </c>
      <c r="AQ1482" s="54">
        <v>632.5</v>
      </c>
      <c r="AR1482" s="55">
        <v>28500</v>
      </c>
      <c r="AS1482" s="78">
        <f t="shared" si="27"/>
        <v>2.2192982456140351E-2</v>
      </c>
    </row>
    <row r="1483" spans="39:45">
      <c r="AM1483" s="55">
        <v>2019</v>
      </c>
      <c r="AN1483" s="55" t="s">
        <v>185</v>
      </c>
      <c r="AO1483" s="55">
        <v>3</v>
      </c>
      <c r="AP1483" s="55">
        <v>17</v>
      </c>
      <c r="AQ1483" s="55">
        <v>0</v>
      </c>
      <c r="AR1483" s="55">
        <v>28500</v>
      </c>
      <c r="AS1483" s="78">
        <f t="shared" si="27"/>
        <v>0</v>
      </c>
    </row>
    <row r="1484" spans="39:45">
      <c r="AM1484" s="54">
        <v>2019</v>
      </c>
      <c r="AN1484" s="54" t="s">
        <v>185</v>
      </c>
      <c r="AO1484" s="54">
        <v>3</v>
      </c>
      <c r="AP1484" s="54">
        <v>18</v>
      </c>
      <c r="AQ1484" s="54">
        <v>0</v>
      </c>
      <c r="AR1484" s="55">
        <v>28500</v>
      </c>
      <c r="AS1484" s="78">
        <f t="shared" si="27"/>
        <v>0</v>
      </c>
    </row>
    <row r="1485" spans="39:45">
      <c r="AM1485" s="55">
        <v>2019</v>
      </c>
      <c r="AN1485" s="55" t="s">
        <v>185</v>
      </c>
      <c r="AO1485" s="55">
        <v>3</v>
      </c>
      <c r="AP1485" s="55">
        <v>19</v>
      </c>
      <c r="AQ1485" s="55">
        <v>0</v>
      </c>
      <c r="AR1485" s="55">
        <v>28500</v>
      </c>
      <c r="AS1485" s="78">
        <f t="shared" si="27"/>
        <v>0</v>
      </c>
    </row>
    <row r="1486" spans="39:45">
      <c r="AM1486" s="54">
        <v>2019</v>
      </c>
      <c r="AN1486" s="54" t="s">
        <v>185</v>
      </c>
      <c r="AO1486" s="54">
        <v>3</v>
      </c>
      <c r="AP1486" s="54">
        <v>20</v>
      </c>
      <c r="AQ1486" s="54">
        <v>0</v>
      </c>
      <c r="AR1486" s="55">
        <v>28500</v>
      </c>
      <c r="AS1486" s="78">
        <f t="shared" si="27"/>
        <v>0</v>
      </c>
    </row>
    <row r="1487" spans="39:45">
      <c r="AM1487" s="55">
        <v>2019</v>
      </c>
      <c r="AN1487" s="55" t="s">
        <v>185</v>
      </c>
      <c r="AO1487" s="55">
        <v>3</v>
      </c>
      <c r="AP1487" s="55">
        <v>21</v>
      </c>
      <c r="AQ1487" s="55">
        <v>0</v>
      </c>
      <c r="AR1487" s="55">
        <v>28500</v>
      </c>
      <c r="AS1487" s="78">
        <f t="shared" si="27"/>
        <v>0</v>
      </c>
    </row>
    <row r="1488" spans="39:45">
      <c r="AM1488" s="54">
        <v>2019</v>
      </c>
      <c r="AN1488" s="54" t="s">
        <v>185</v>
      </c>
      <c r="AO1488" s="54">
        <v>3</v>
      </c>
      <c r="AP1488" s="54">
        <v>22</v>
      </c>
      <c r="AQ1488" s="54">
        <v>0</v>
      </c>
      <c r="AR1488" s="55">
        <v>28500</v>
      </c>
      <c r="AS1488" s="78">
        <f t="shared" si="27"/>
        <v>0</v>
      </c>
    </row>
    <row r="1489" spans="39:45">
      <c r="AM1489" s="55">
        <v>2019</v>
      </c>
      <c r="AN1489" s="55" t="s">
        <v>185</v>
      </c>
      <c r="AO1489" s="55">
        <v>3</v>
      </c>
      <c r="AP1489" s="55">
        <v>23</v>
      </c>
      <c r="AQ1489" s="55">
        <v>0</v>
      </c>
      <c r="AR1489" s="55">
        <v>28500</v>
      </c>
      <c r="AS1489" s="78">
        <f t="shared" si="27"/>
        <v>0</v>
      </c>
    </row>
    <row r="1490" spans="39:45">
      <c r="AM1490" s="54">
        <v>2019</v>
      </c>
      <c r="AN1490" s="54" t="s">
        <v>185</v>
      </c>
      <c r="AO1490" s="54">
        <v>4</v>
      </c>
      <c r="AP1490" s="54">
        <v>24</v>
      </c>
      <c r="AQ1490" s="54">
        <v>0</v>
      </c>
      <c r="AR1490" s="55">
        <v>28500</v>
      </c>
      <c r="AS1490" s="78">
        <f t="shared" si="27"/>
        <v>0</v>
      </c>
    </row>
    <row r="1491" spans="39:45">
      <c r="AM1491" s="55">
        <v>2019</v>
      </c>
      <c r="AN1491" s="55" t="s">
        <v>185</v>
      </c>
      <c r="AO1491" s="55">
        <v>4</v>
      </c>
      <c r="AP1491" s="55">
        <v>1</v>
      </c>
      <c r="AQ1491" s="55">
        <v>0</v>
      </c>
      <c r="AR1491" s="55">
        <v>28500</v>
      </c>
      <c r="AS1491" s="78">
        <f t="shared" si="27"/>
        <v>0</v>
      </c>
    </row>
    <row r="1492" spans="39:45">
      <c r="AM1492" s="54">
        <v>2019</v>
      </c>
      <c r="AN1492" s="54" t="s">
        <v>185</v>
      </c>
      <c r="AO1492" s="54">
        <v>4</v>
      </c>
      <c r="AP1492" s="54">
        <v>2</v>
      </c>
      <c r="AQ1492" s="54">
        <v>0</v>
      </c>
      <c r="AR1492" s="55">
        <v>28500</v>
      </c>
      <c r="AS1492" s="78">
        <f t="shared" si="27"/>
        <v>0</v>
      </c>
    </row>
    <row r="1493" spans="39:45">
      <c r="AM1493" s="55">
        <v>2019</v>
      </c>
      <c r="AN1493" s="55" t="s">
        <v>185</v>
      </c>
      <c r="AO1493" s="55">
        <v>4</v>
      </c>
      <c r="AP1493" s="55">
        <v>3</v>
      </c>
      <c r="AQ1493" s="55">
        <v>0</v>
      </c>
      <c r="AR1493" s="55">
        <v>28500</v>
      </c>
      <c r="AS1493" s="78">
        <f t="shared" si="27"/>
        <v>0</v>
      </c>
    </row>
    <row r="1494" spans="39:45">
      <c r="AM1494" s="54">
        <v>2019</v>
      </c>
      <c r="AN1494" s="54" t="s">
        <v>185</v>
      </c>
      <c r="AO1494" s="54">
        <v>4</v>
      </c>
      <c r="AP1494" s="54">
        <v>4</v>
      </c>
      <c r="AQ1494" s="54">
        <v>0</v>
      </c>
      <c r="AR1494" s="55">
        <v>28500</v>
      </c>
      <c r="AS1494" s="78">
        <f t="shared" si="27"/>
        <v>0</v>
      </c>
    </row>
    <row r="1495" spans="39:45">
      <c r="AM1495" s="55">
        <v>2019</v>
      </c>
      <c r="AN1495" s="55" t="s">
        <v>185</v>
      </c>
      <c r="AO1495" s="55">
        <v>4</v>
      </c>
      <c r="AP1495" s="55">
        <v>5</v>
      </c>
      <c r="AQ1495" s="55">
        <v>0</v>
      </c>
      <c r="AR1495" s="55">
        <v>28500</v>
      </c>
      <c r="AS1495" s="78">
        <f t="shared" si="27"/>
        <v>0</v>
      </c>
    </row>
    <row r="1496" spans="39:45">
      <c r="AM1496" s="54">
        <v>2019</v>
      </c>
      <c r="AN1496" s="54" t="s">
        <v>185</v>
      </c>
      <c r="AO1496" s="54">
        <v>4</v>
      </c>
      <c r="AP1496" s="54">
        <v>6</v>
      </c>
      <c r="AQ1496" s="54">
        <v>0</v>
      </c>
      <c r="AR1496" s="55">
        <v>28500</v>
      </c>
      <c r="AS1496" s="78">
        <f t="shared" si="27"/>
        <v>0</v>
      </c>
    </row>
    <row r="1497" spans="39:45">
      <c r="AM1497" s="55">
        <v>2019</v>
      </c>
      <c r="AN1497" s="55" t="s">
        <v>185</v>
      </c>
      <c r="AO1497" s="55">
        <v>4</v>
      </c>
      <c r="AP1497" s="55">
        <v>7</v>
      </c>
      <c r="AQ1497" s="55">
        <v>228</v>
      </c>
      <c r="AR1497" s="55">
        <v>28500</v>
      </c>
      <c r="AS1497" s="78">
        <f t="shared" si="27"/>
        <v>8.0000000000000002E-3</v>
      </c>
    </row>
    <row r="1498" spans="39:45">
      <c r="AM1498" s="54">
        <v>2019</v>
      </c>
      <c r="AN1498" s="54" t="s">
        <v>185</v>
      </c>
      <c r="AO1498" s="54">
        <v>4</v>
      </c>
      <c r="AP1498" s="54">
        <v>8</v>
      </c>
      <c r="AQ1498" s="54">
        <v>3559</v>
      </c>
      <c r="AR1498" s="55">
        <v>28500</v>
      </c>
      <c r="AS1498" s="78">
        <f t="shared" si="27"/>
        <v>0.12487719298245614</v>
      </c>
    </row>
    <row r="1499" spans="39:45">
      <c r="AM1499" s="55">
        <v>2019</v>
      </c>
      <c r="AN1499" s="55" t="s">
        <v>185</v>
      </c>
      <c r="AO1499" s="55">
        <v>4</v>
      </c>
      <c r="AP1499" s="55">
        <v>9</v>
      </c>
      <c r="AQ1499" s="55">
        <v>10066</v>
      </c>
      <c r="AR1499" s="55">
        <v>28500</v>
      </c>
      <c r="AS1499" s="78">
        <f t="shared" si="27"/>
        <v>0.35319298245614034</v>
      </c>
    </row>
    <row r="1500" spans="39:45">
      <c r="AM1500" s="54">
        <v>2019</v>
      </c>
      <c r="AN1500" s="54" t="s">
        <v>185</v>
      </c>
      <c r="AO1500" s="54">
        <v>4</v>
      </c>
      <c r="AP1500" s="54">
        <v>10</v>
      </c>
      <c r="AQ1500" s="54">
        <v>14591.5</v>
      </c>
      <c r="AR1500" s="55">
        <v>28500</v>
      </c>
      <c r="AS1500" s="78">
        <f t="shared" si="27"/>
        <v>0.51198245614035087</v>
      </c>
    </row>
    <row r="1501" spans="39:45">
      <c r="AM1501" s="55">
        <v>2019</v>
      </c>
      <c r="AN1501" s="55" t="s">
        <v>185</v>
      </c>
      <c r="AO1501" s="55">
        <v>4</v>
      </c>
      <c r="AP1501" s="55">
        <v>11</v>
      </c>
      <c r="AQ1501" s="55">
        <v>24406</v>
      </c>
      <c r="AR1501" s="55">
        <v>28500</v>
      </c>
      <c r="AS1501" s="78">
        <f t="shared" si="27"/>
        <v>0.85635087719298242</v>
      </c>
    </row>
    <row r="1502" spans="39:45">
      <c r="AM1502" s="54">
        <v>2019</v>
      </c>
      <c r="AN1502" s="54" t="s">
        <v>185</v>
      </c>
      <c r="AO1502" s="54">
        <v>4</v>
      </c>
      <c r="AP1502" s="54">
        <v>12</v>
      </c>
      <c r="AQ1502" s="54">
        <v>17126</v>
      </c>
      <c r="AR1502" s="55">
        <v>28500</v>
      </c>
      <c r="AS1502" s="78">
        <f t="shared" si="27"/>
        <v>0.6009122807017544</v>
      </c>
    </row>
    <row r="1503" spans="39:45">
      <c r="AM1503" s="55">
        <v>2019</v>
      </c>
      <c r="AN1503" s="55" t="s">
        <v>185</v>
      </c>
      <c r="AO1503" s="55">
        <v>4</v>
      </c>
      <c r="AP1503" s="55">
        <v>13</v>
      </c>
      <c r="AQ1503" s="55">
        <v>19300.5</v>
      </c>
      <c r="AR1503" s="55">
        <v>28500</v>
      </c>
      <c r="AS1503" s="78">
        <f t="shared" si="27"/>
        <v>0.67721052631578948</v>
      </c>
    </row>
    <row r="1504" spans="39:45">
      <c r="AM1504" s="54">
        <v>2019</v>
      </c>
      <c r="AN1504" s="54" t="s">
        <v>185</v>
      </c>
      <c r="AO1504" s="54">
        <v>4</v>
      </c>
      <c r="AP1504" s="54">
        <v>14</v>
      </c>
      <c r="AQ1504" s="54">
        <v>7917.5</v>
      </c>
      <c r="AR1504" s="55">
        <v>28500</v>
      </c>
      <c r="AS1504" s="78">
        <f t="shared" si="27"/>
        <v>0.27780701754385967</v>
      </c>
    </row>
    <row r="1505" spans="39:45">
      <c r="AM1505" s="55">
        <v>2019</v>
      </c>
      <c r="AN1505" s="55" t="s">
        <v>185</v>
      </c>
      <c r="AO1505" s="55">
        <v>4</v>
      </c>
      <c r="AP1505" s="55">
        <v>15</v>
      </c>
      <c r="AQ1505" s="55">
        <v>23786.5</v>
      </c>
      <c r="AR1505" s="55">
        <v>28500</v>
      </c>
      <c r="AS1505" s="78">
        <f t="shared" si="27"/>
        <v>0.83461403508771925</v>
      </c>
    </row>
    <row r="1506" spans="39:45">
      <c r="AM1506" s="54">
        <v>2019</v>
      </c>
      <c r="AN1506" s="54" t="s">
        <v>185</v>
      </c>
      <c r="AO1506" s="54">
        <v>4</v>
      </c>
      <c r="AP1506" s="54">
        <v>16</v>
      </c>
      <c r="AQ1506" s="54">
        <v>711</v>
      </c>
      <c r="AR1506" s="55">
        <v>28500</v>
      </c>
      <c r="AS1506" s="78">
        <f t="shared" si="27"/>
        <v>2.4947368421052631E-2</v>
      </c>
    </row>
    <row r="1507" spans="39:45">
      <c r="AM1507" s="55">
        <v>2019</v>
      </c>
      <c r="AN1507" s="55" t="s">
        <v>185</v>
      </c>
      <c r="AO1507" s="55">
        <v>4</v>
      </c>
      <c r="AP1507" s="55">
        <v>17</v>
      </c>
      <c r="AQ1507" s="55">
        <v>822</v>
      </c>
      <c r="AR1507" s="55">
        <v>28500</v>
      </c>
      <c r="AS1507" s="78">
        <f t="shared" si="27"/>
        <v>2.8842105263157895E-2</v>
      </c>
    </row>
    <row r="1508" spans="39:45">
      <c r="AM1508" s="54">
        <v>2019</v>
      </c>
      <c r="AN1508" s="54" t="s">
        <v>185</v>
      </c>
      <c r="AO1508" s="54">
        <v>4</v>
      </c>
      <c r="AP1508" s="54">
        <v>18</v>
      </c>
      <c r="AQ1508" s="54">
        <v>0</v>
      </c>
      <c r="AR1508" s="55">
        <v>28500</v>
      </c>
      <c r="AS1508" s="78">
        <f t="shared" si="27"/>
        <v>0</v>
      </c>
    </row>
    <row r="1509" spans="39:45">
      <c r="AM1509" s="55">
        <v>2019</v>
      </c>
      <c r="AN1509" s="55" t="s">
        <v>185</v>
      </c>
      <c r="AO1509" s="55">
        <v>4</v>
      </c>
      <c r="AP1509" s="55">
        <v>19</v>
      </c>
      <c r="AQ1509" s="55">
        <v>0</v>
      </c>
      <c r="AR1509" s="55">
        <v>28500</v>
      </c>
      <c r="AS1509" s="78">
        <f t="shared" si="27"/>
        <v>0</v>
      </c>
    </row>
    <row r="1510" spans="39:45">
      <c r="AM1510" s="54">
        <v>2019</v>
      </c>
      <c r="AN1510" s="54" t="s">
        <v>185</v>
      </c>
      <c r="AO1510" s="54">
        <v>4</v>
      </c>
      <c r="AP1510" s="54">
        <v>20</v>
      </c>
      <c r="AQ1510" s="54">
        <v>0</v>
      </c>
      <c r="AR1510" s="55">
        <v>28500</v>
      </c>
      <c r="AS1510" s="78">
        <f t="shared" si="27"/>
        <v>0</v>
      </c>
    </row>
    <row r="1511" spans="39:45">
      <c r="AM1511" s="55">
        <v>2019</v>
      </c>
      <c r="AN1511" s="55" t="s">
        <v>185</v>
      </c>
      <c r="AO1511" s="55">
        <v>4</v>
      </c>
      <c r="AP1511" s="55">
        <v>21</v>
      </c>
      <c r="AQ1511" s="55">
        <v>0</v>
      </c>
      <c r="AR1511" s="55">
        <v>28500</v>
      </c>
      <c r="AS1511" s="78">
        <f t="shared" si="27"/>
        <v>0</v>
      </c>
    </row>
    <row r="1512" spans="39:45">
      <c r="AM1512" s="54">
        <v>2019</v>
      </c>
      <c r="AN1512" s="54" t="s">
        <v>185</v>
      </c>
      <c r="AO1512" s="54">
        <v>4</v>
      </c>
      <c r="AP1512" s="54">
        <v>22</v>
      </c>
      <c r="AQ1512" s="54">
        <v>0</v>
      </c>
      <c r="AR1512" s="55">
        <v>28500</v>
      </c>
      <c r="AS1512" s="78">
        <f t="shared" si="27"/>
        <v>0</v>
      </c>
    </row>
    <row r="1513" spans="39:45">
      <c r="AM1513" s="55">
        <v>2019</v>
      </c>
      <c r="AN1513" s="55" t="s">
        <v>185</v>
      </c>
      <c r="AO1513" s="55">
        <v>4</v>
      </c>
      <c r="AP1513" s="55">
        <v>23</v>
      </c>
      <c r="AQ1513" s="55">
        <v>0</v>
      </c>
      <c r="AR1513" s="55">
        <v>28500</v>
      </c>
      <c r="AS1513" s="78">
        <f t="shared" si="27"/>
        <v>0</v>
      </c>
    </row>
    <row r="1514" spans="39:45">
      <c r="AM1514" s="54">
        <v>2019</v>
      </c>
      <c r="AN1514" s="54" t="s">
        <v>185</v>
      </c>
      <c r="AO1514" s="54">
        <v>5</v>
      </c>
      <c r="AP1514" s="54">
        <v>24</v>
      </c>
      <c r="AQ1514" s="54">
        <v>0</v>
      </c>
      <c r="AR1514" s="55">
        <v>28500</v>
      </c>
      <c r="AS1514" s="78">
        <f t="shared" si="27"/>
        <v>0</v>
      </c>
    </row>
    <row r="1515" spans="39:45">
      <c r="AM1515" s="55">
        <v>2019</v>
      </c>
      <c r="AN1515" s="55" t="s">
        <v>185</v>
      </c>
      <c r="AO1515" s="55">
        <v>5</v>
      </c>
      <c r="AP1515" s="55">
        <v>1</v>
      </c>
      <c r="AQ1515" s="55">
        <v>0</v>
      </c>
      <c r="AR1515" s="55">
        <v>28500</v>
      </c>
      <c r="AS1515" s="78">
        <f t="shared" si="27"/>
        <v>0</v>
      </c>
    </row>
    <row r="1516" spans="39:45">
      <c r="AM1516" s="54">
        <v>2019</v>
      </c>
      <c r="AN1516" s="54" t="s">
        <v>185</v>
      </c>
      <c r="AO1516" s="54">
        <v>5</v>
      </c>
      <c r="AP1516" s="54">
        <v>2</v>
      </c>
      <c r="AQ1516" s="54">
        <v>0</v>
      </c>
      <c r="AR1516" s="55">
        <v>28500</v>
      </c>
      <c r="AS1516" s="78">
        <f t="shared" si="27"/>
        <v>0</v>
      </c>
    </row>
    <row r="1517" spans="39:45">
      <c r="AM1517" s="55">
        <v>2019</v>
      </c>
      <c r="AN1517" s="55" t="s">
        <v>185</v>
      </c>
      <c r="AO1517" s="55">
        <v>5</v>
      </c>
      <c r="AP1517" s="55">
        <v>3</v>
      </c>
      <c r="AQ1517" s="55">
        <v>0</v>
      </c>
      <c r="AR1517" s="55">
        <v>28500</v>
      </c>
      <c r="AS1517" s="78">
        <f t="shared" si="27"/>
        <v>0</v>
      </c>
    </row>
    <row r="1518" spans="39:45">
      <c r="AM1518" s="54">
        <v>2019</v>
      </c>
      <c r="AN1518" s="54" t="s">
        <v>185</v>
      </c>
      <c r="AO1518" s="54">
        <v>5</v>
      </c>
      <c r="AP1518" s="54">
        <v>4</v>
      </c>
      <c r="AQ1518" s="54">
        <v>0</v>
      </c>
      <c r="AR1518" s="55">
        <v>28500</v>
      </c>
      <c r="AS1518" s="78">
        <f t="shared" si="27"/>
        <v>0</v>
      </c>
    </row>
    <row r="1519" spans="39:45">
      <c r="AM1519" s="55">
        <v>2019</v>
      </c>
      <c r="AN1519" s="55" t="s">
        <v>185</v>
      </c>
      <c r="AO1519" s="55">
        <v>5</v>
      </c>
      <c r="AP1519" s="55">
        <v>5</v>
      </c>
      <c r="AQ1519" s="55">
        <v>0</v>
      </c>
      <c r="AR1519" s="55">
        <v>28500</v>
      </c>
      <c r="AS1519" s="78">
        <f t="shared" si="27"/>
        <v>0</v>
      </c>
    </row>
    <row r="1520" spans="39:45">
      <c r="AM1520" s="54">
        <v>2019</v>
      </c>
      <c r="AN1520" s="54" t="s">
        <v>185</v>
      </c>
      <c r="AO1520" s="54">
        <v>5</v>
      </c>
      <c r="AP1520" s="54">
        <v>6</v>
      </c>
      <c r="AQ1520" s="54">
        <v>0</v>
      </c>
      <c r="AR1520" s="55">
        <v>28500</v>
      </c>
      <c r="AS1520" s="78">
        <f t="shared" si="27"/>
        <v>0</v>
      </c>
    </row>
    <row r="1521" spans="39:45">
      <c r="AM1521" s="55">
        <v>2019</v>
      </c>
      <c r="AN1521" s="55" t="s">
        <v>185</v>
      </c>
      <c r="AO1521" s="55">
        <v>5</v>
      </c>
      <c r="AP1521" s="55">
        <v>7</v>
      </c>
      <c r="AQ1521" s="55">
        <v>959.5</v>
      </c>
      <c r="AR1521" s="55">
        <v>28500</v>
      </c>
      <c r="AS1521" s="78">
        <f t="shared" si="27"/>
        <v>3.3666666666666664E-2</v>
      </c>
    </row>
    <row r="1522" spans="39:45">
      <c r="AM1522" s="54">
        <v>2019</v>
      </c>
      <c r="AN1522" s="54" t="s">
        <v>185</v>
      </c>
      <c r="AO1522" s="54">
        <v>5</v>
      </c>
      <c r="AP1522" s="54">
        <v>8</v>
      </c>
      <c r="AQ1522" s="54">
        <v>15835.5</v>
      </c>
      <c r="AR1522" s="55">
        <v>28500</v>
      </c>
      <c r="AS1522" s="78">
        <f t="shared" si="27"/>
        <v>0.55563157894736848</v>
      </c>
    </row>
    <row r="1523" spans="39:45">
      <c r="AM1523" s="55">
        <v>2019</v>
      </c>
      <c r="AN1523" s="55" t="s">
        <v>185</v>
      </c>
      <c r="AO1523" s="55">
        <v>5</v>
      </c>
      <c r="AP1523" s="55">
        <v>9</v>
      </c>
      <c r="AQ1523" s="55">
        <v>27219.5</v>
      </c>
      <c r="AR1523" s="55">
        <v>28500</v>
      </c>
      <c r="AS1523" s="78">
        <f t="shared" si="27"/>
        <v>0.95507017543859651</v>
      </c>
    </row>
    <row r="1524" spans="39:45">
      <c r="AM1524" s="54">
        <v>2019</v>
      </c>
      <c r="AN1524" s="54" t="s">
        <v>185</v>
      </c>
      <c r="AO1524" s="54">
        <v>5</v>
      </c>
      <c r="AP1524" s="54">
        <v>10</v>
      </c>
      <c r="AQ1524" s="54">
        <v>34806.5</v>
      </c>
      <c r="AR1524" s="55">
        <v>28500</v>
      </c>
      <c r="AS1524" s="78">
        <f t="shared" si="27"/>
        <v>1.2212807017543859</v>
      </c>
    </row>
    <row r="1525" spans="39:45">
      <c r="AM1525" s="55">
        <v>2019</v>
      </c>
      <c r="AN1525" s="55" t="s">
        <v>185</v>
      </c>
      <c r="AO1525" s="55">
        <v>5</v>
      </c>
      <c r="AP1525" s="55">
        <v>11</v>
      </c>
      <c r="AQ1525" s="55">
        <v>36360</v>
      </c>
      <c r="AR1525" s="55">
        <v>28500</v>
      </c>
      <c r="AS1525" s="78">
        <f t="shared" si="27"/>
        <v>1.2757894736842106</v>
      </c>
    </row>
    <row r="1526" spans="39:45">
      <c r="AM1526" s="54">
        <v>2019</v>
      </c>
      <c r="AN1526" s="54" t="s">
        <v>185</v>
      </c>
      <c r="AO1526" s="54">
        <v>5</v>
      </c>
      <c r="AP1526" s="54">
        <v>12</v>
      </c>
      <c r="AQ1526" s="54">
        <v>25560.5</v>
      </c>
      <c r="AR1526" s="55">
        <v>28500</v>
      </c>
      <c r="AS1526" s="78">
        <f t="shared" si="27"/>
        <v>0.89685964912280702</v>
      </c>
    </row>
    <row r="1527" spans="39:45">
      <c r="AM1527" s="55">
        <v>2019</v>
      </c>
      <c r="AN1527" s="55" t="s">
        <v>185</v>
      </c>
      <c r="AO1527" s="55">
        <v>5</v>
      </c>
      <c r="AP1527" s="55">
        <v>13</v>
      </c>
      <c r="AQ1527" s="55">
        <v>20784.5</v>
      </c>
      <c r="AR1527" s="55">
        <v>28500</v>
      </c>
      <c r="AS1527" s="78">
        <f t="shared" si="27"/>
        <v>0.72928070175438597</v>
      </c>
    </row>
    <row r="1528" spans="39:45">
      <c r="AM1528" s="54">
        <v>2019</v>
      </c>
      <c r="AN1528" s="54" t="s">
        <v>185</v>
      </c>
      <c r="AO1528" s="54">
        <v>5</v>
      </c>
      <c r="AP1528" s="54">
        <v>14</v>
      </c>
      <c r="AQ1528" s="54">
        <v>18297.5</v>
      </c>
      <c r="AR1528" s="55">
        <v>28500</v>
      </c>
      <c r="AS1528" s="78">
        <f t="shared" si="27"/>
        <v>0.64201754385964915</v>
      </c>
    </row>
    <row r="1529" spans="39:45">
      <c r="AM1529" s="55">
        <v>2019</v>
      </c>
      <c r="AN1529" s="55" t="s">
        <v>185</v>
      </c>
      <c r="AO1529" s="55">
        <v>5</v>
      </c>
      <c r="AP1529" s="55">
        <v>15</v>
      </c>
      <c r="AQ1529" s="55">
        <v>19359</v>
      </c>
      <c r="AR1529" s="55">
        <v>28500</v>
      </c>
      <c r="AS1529" s="78">
        <f t="shared" si="27"/>
        <v>0.67926315789473679</v>
      </c>
    </row>
    <row r="1530" spans="39:45">
      <c r="AM1530" s="54">
        <v>2019</v>
      </c>
      <c r="AN1530" s="54" t="s">
        <v>185</v>
      </c>
      <c r="AO1530" s="54">
        <v>5</v>
      </c>
      <c r="AP1530" s="54">
        <v>16</v>
      </c>
      <c r="AQ1530" s="54">
        <v>6808</v>
      </c>
      <c r="AR1530" s="55">
        <v>28500</v>
      </c>
      <c r="AS1530" s="78">
        <f t="shared" si="27"/>
        <v>0.23887719298245613</v>
      </c>
    </row>
    <row r="1531" spans="39:45">
      <c r="AM1531" s="55">
        <v>2019</v>
      </c>
      <c r="AN1531" s="55" t="s">
        <v>185</v>
      </c>
      <c r="AO1531" s="55">
        <v>5</v>
      </c>
      <c r="AP1531" s="55">
        <v>17</v>
      </c>
      <c r="AQ1531" s="55">
        <v>304</v>
      </c>
      <c r="AR1531" s="55">
        <v>28500</v>
      </c>
      <c r="AS1531" s="78">
        <f t="shared" si="27"/>
        <v>1.0666666666666666E-2</v>
      </c>
    </row>
    <row r="1532" spans="39:45">
      <c r="AM1532" s="54">
        <v>2019</v>
      </c>
      <c r="AN1532" s="54" t="s">
        <v>185</v>
      </c>
      <c r="AO1532" s="54">
        <v>5</v>
      </c>
      <c r="AP1532" s="54">
        <v>18</v>
      </c>
      <c r="AQ1532" s="54">
        <v>0</v>
      </c>
      <c r="AR1532" s="55">
        <v>28500</v>
      </c>
      <c r="AS1532" s="78">
        <f t="shared" si="27"/>
        <v>0</v>
      </c>
    </row>
    <row r="1533" spans="39:45">
      <c r="AM1533" s="55">
        <v>2019</v>
      </c>
      <c r="AN1533" s="55" t="s">
        <v>185</v>
      </c>
      <c r="AO1533" s="55">
        <v>5</v>
      </c>
      <c r="AP1533" s="55">
        <v>19</v>
      </c>
      <c r="AQ1533" s="55">
        <v>0</v>
      </c>
      <c r="AR1533" s="55">
        <v>28500</v>
      </c>
      <c r="AS1533" s="78">
        <f t="shared" si="27"/>
        <v>0</v>
      </c>
    </row>
    <row r="1534" spans="39:45">
      <c r="AM1534" s="54">
        <v>2019</v>
      </c>
      <c r="AN1534" s="54" t="s">
        <v>185</v>
      </c>
      <c r="AO1534" s="54">
        <v>5</v>
      </c>
      <c r="AP1534" s="54">
        <v>20</v>
      </c>
      <c r="AQ1534" s="54">
        <v>0</v>
      </c>
      <c r="AR1534" s="55">
        <v>28500</v>
      </c>
      <c r="AS1534" s="78">
        <f t="shared" si="27"/>
        <v>0</v>
      </c>
    </row>
    <row r="1535" spans="39:45">
      <c r="AM1535" s="55">
        <v>2019</v>
      </c>
      <c r="AN1535" s="55" t="s">
        <v>185</v>
      </c>
      <c r="AO1535" s="55">
        <v>5</v>
      </c>
      <c r="AP1535" s="55">
        <v>21</v>
      </c>
      <c r="AQ1535" s="55">
        <v>0</v>
      </c>
      <c r="AR1535" s="55">
        <v>28500</v>
      </c>
      <c r="AS1535" s="78">
        <f t="shared" si="27"/>
        <v>0</v>
      </c>
    </row>
    <row r="1536" spans="39:45">
      <c r="AM1536" s="54">
        <v>2019</v>
      </c>
      <c r="AN1536" s="54" t="s">
        <v>185</v>
      </c>
      <c r="AO1536" s="54">
        <v>5</v>
      </c>
      <c r="AP1536" s="54">
        <v>22</v>
      </c>
      <c r="AQ1536" s="54">
        <v>0</v>
      </c>
      <c r="AR1536" s="55">
        <v>28500</v>
      </c>
      <c r="AS1536" s="78">
        <f t="shared" si="27"/>
        <v>0</v>
      </c>
    </row>
    <row r="1537" spans="39:45">
      <c r="AM1537" s="55">
        <v>2019</v>
      </c>
      <c r="AN1537" s="55" t="s">
        <v>185</v>
      </c>
      <c r="AO1537" s="55">
        <v>5</v>
      </c>
      <c r="AP1537" s="55">
        <v>23</v>
      </c>
      <c r="AQ1537" s="55">
        <v>0</v>
      </c>
      <c r="AR1537" s="55">
        <v>28500</v>
      </c>
      <c r="AS1537" s="78">
        <f t="shared" si="27"/>
        <v>0</v>
      </c>
    </row>
    <row r="1538" spans="39:45">
      <c r="AM1538" s="54">
        <v>2019</v>
      </c>
      <c r="AN1538" s="54" t="s">
        <v>185</v>
      </c>
      <c r="AO1538" s="54">
        <v>6</v>
      </c>
      <c r="AP1538" s="54">
        <v>24</v>
      </c>
      <c r="AQ1538" s="54">
        <v>0</v>
      </c>
      <c r="AR1538" s="55">
        <v>28500</v>
      </c>
      <c r="AS1538" s="78">
        <f t="shared" ref="AS1538:AS1601" si="28">AQ1538/AR1538</f>
        <v>0</v>
      </c>
    </row>
    <row r="1539" spans="39:45">
      <c r="AM1539" s="55">
        <v>2019</v>
      </c>
      <c r="AN1539" s="55" t="s">
        <v>185</v>
      </c>
      <c r="AO1539" s="55">
        <v>6</v>
      </c>
      <c r="AP1539" s="55">
        <v>1</v>
      </c>
      <c r="AQ1539" s="55">
        <v>0</v>
      </c>
      <c r="AR1539" s="55">
        <v>28500</v>
      </c>
      <c r="AS1539" s="78">
        <f t="shared" si="28"/>
        <v>0</v>
      </c>
    </row>
    <row r="1540" spans="39:45">
      <c r="AM1540" s="54">
        <v>2019</v>
      </c>
      <c r="AN1540" s="54" t="s">
        <v>185</v>
      </c>
      <c r="AO1540" s="54">
        <v>6</v>
      </c>
      <c r="AP1540" s="54">
        <v>2</v>
      </c>
      <c r="AQ1540" s="54">
        <v>0</v>
      </c>
      <c r="AR1540" s="55">
        <v>28500</v>
      </c>
      <c r="AS1540" s="78">
        <f t="shared" si="28"/>
        <v>0</v>
      </c>
    </row>
    <row r="1541" spans="39:45">
      <c r="AM1541" s="55">
        <v>2019</v>
      </c>
      <c r="AN1541" s="55" t="s">
        <v>185</v>
      </c>
      <c r="AO1541" s="55">
        <v>6</v>
      </c>
      <c r="AP1541" s="55">
        <v>3</v>
      </c>
      <c r="AQ1541" s="55">
        <v>0</v>
      </c>
      <c r="AR1541" s="55">
        <v>28500</v>
      </c>
      <c r="AS1541" s="78">
        <f t="shared" si="28"/>
        <v>0</v>
      </c>
    </row>
    <row r="1542" spans="39:45">
      <c r="AM1542" s="54">
        <v>2019</v>
      </c>
      <c r="AN1542" s="54" t="s">
        <v>185</v>
      </c>
      <c r="AO1542" s="54">
        <v>6</v>
      </c>
      <c r="AP1542" s="54">
        <v>4</v>
      </c>
      <c r="AQ1542" s="54">
        <v>0</v>
      </c>
      <c r="AR1542" s="55">
        <v>28500</v>
      </c>
      <c r="AS1542" s="78">
        <f t="shared" si="28"/>
        <v>0</v>
      </c>
    </row>
    <row r="1543" spans="39:45">
      <c r="AM1543" s="55">
        <v>2019</v>
      </c>
      <c r="AN1543" s="55" t="s">
        <v>185</v>
      </c>
      <c r="AO1543" s="55">
        <v>6</v>
      </c>
      <c r="AP1543" s="55">
        <v>5</v>
      </c>
      <c r="AQ1543" s="55">
        <v>0</v>
      </c>
      <c r="AR1543" s="55">
        <v>28500</v>
      </c>
      <c r="AS1543" s="78">
        <f t="shared" si="28"/>
        <v>0</v>
      </c>
    </row>
    <row r="1544" spans="39:45">
      <c r="AM1544" s="54">
        <v>2019</v>
      </c>
      <c r="AN1544" s="54" t="s">
        <v>185</v>
      </c>
      <c r="AO1544" s="54">
        <v>6</v>
      </c>
      <c r="AP1544" s="54">
        <v>6</v>
      </c>
      <c r="AQ1544" s="54">
        <v>0</v>
      </c>
      <c r="AR1544" s="55">
        <v>28500</v>
      </c>
      <c r="AS1544" s="78">
        <f t="shared" si="28"/>
        <v>0</v>
      </c>
    </row>
    <row r="1545" spans="39:45">
      <c r="AM1545" s="55">
        <v>2019</v>
      </c>
      <c r="AN1545" s="55" t="s">
        <v>185</v>
      </c>
      <c r="AO1545" s="55">
        <v>6</v>
      </c>
      <c r="AP1545" s="55">
        <v>7</v>
      </c>
      <c r="AQ1545" s="55">
        <v>32</v>
      </c>
      <c r="AR1545" s="55">
        <v>28500</v>
      </c>
      <c r="AS1545" s="78">
        <f t="shared" si="28"/>
        <v>1.1228070175438596E-3</v>
      </c>
    </row>
    <row r="1546" spans="39:45">
      <c r="AM1546" s="54">
        <v>2019</v>
      </c>
      <c r="AN1546" s="54" t="s">
        <v>185</v>
      </c>
      <c r="AO1546" s="54">
        <v>6</v>
      </c>
      <c r="AP1546" s="54">
        <v>8</v>
      </c>
      <c r="AQ1546" s="54">
        <v>2899</v>
      </c>
      <c r="AR1546" s="55">
        <v>28500</v>
      </c>
      <c r="AS1546" s="78">
        <f t="shared" si="28"/>
        <v>0.10171929824561403</v>
      </c>
    </row>
    <row r="1547" spans="39:45">
      <c r="AM1547" s="55">
        <v>2019</v>
      </c>
      <c r="AN1547" s="55" t="s">
        <v>185</v>
      </c>
      <c r="AO1547" s="55">
        <v>6</v>
      </c>
      <c r="AP1547" s="55">
        <v>9</v>
      </c>
      <c r="AQ1547" s="55">
        <v>3218</v>
      </c>
      <c r="AR1547" s="55">
        <v>28500</v>
      </c>
      <c r="AS1547" s="78">
        <f t="shared" si="28"/>
        <v>0.11291228070175438</v>
      </c>
    </row>
    <row r="1548" spans="39:45">
      <c r="AM1548" s="54">
        <v>2019</v>
      </c>
      <c r="AN1548" s="54" t="s">
        <v>185</v>
      </c>
      <c r="AO1548" s="54">
        <v>6</v>
      </c>
      <c r="AP1548" s="54">
        <v>10</v>
      </c>
      <c r="AQ1548" s="54">
        <v>7132.5</v>
      </c>
      <c r="AR1548" s="55">
        <v>28500</v>
      </c>
      <c r="AS1548" s="78">
        <f t="shared" si="28"/>
        <v>0.25026315789473685</v>
      </c>
    </row>
    <row r="1549" spans="39:45">
      <c r="AM1549" s="55">
        <v>2019</v>
      </c>
      <c r="AN1549" s="55" t="s">
        <v>185</v>
      </c>
      <c r="AO1549" s="55">
        <v>6</v>
      </c>
      <c r="AP1549" s="55">
        <v>11</v>
      </c>
      <c r="AQ1549" s="55">
        <v>6839</v>
      </c>
      <c r="AR1549" s="55">
        <v>28500</v>
      </c>
      <c r="AS1549" s="78">
        <f t="shared" si="28"/>
        <v>0.23996491228070174</v>
      </c>
    </row>
    <row r="1550" spans="39:45">
      <c r="AM1550" s="54">
        <v>2019</v>
      </c>
      <c r="AN1550" s="54" t="s">
        <v>185</v>
      </c>
      <c r="AO1550" s="54">
        <v>6</v>
      </c>
      <c r="AP1550" s="54">
        <v>12</v>
      </c>
      <c r="AQ1550" s="54">
        <v>4067</v>
      </c>
      <c r="AR1550" s="55">
        <v>28500</v>
      </c>
      <c r="AS1550" s="78">
        <f t="shared" si="28"/>
        <v>0.14270175438596491</v>
      </c>
    </row>
    <row r="1551" spans="39:45">
      <c r="AM1551" s="55">
        <v>2019</v>
      </c>
      <c r="AN1551" s="55" t="s">
        <v>185</v>
      </c>
      <c r="AO1551" s="55">
        <v>6</v>
      </c>
      <c r="AP1551" s="55">
        <v>13</v>
      </c>
      <c r="AQ1551" s="55">
        <v>10577.5</v>
      </c>
      <c r="AR1551" s="55">
        <v>28500</v>
      </c>
      <c r="AS1551" s="78">
        <f t="shared" si="28"/>
        <v>0.37114035087719299</v>
      </c>
    </row>
    <row r="1552" spans="39:45">
      <c r="AM1552" s="54">
        <v>2019</v>
      </c>
      <c r="AN1552" s="54" t="s">
        <v>185</v>
      </c>
      <c r="AO1552" s="54">
        <v>6</v>
      </c>
      <c r="AP1552" s="54">
        <v>14</v>
      </c>
      <c r="AQ1552" s="54">
        <v>3949.5</v>
      </c>
      <c r="AR1552" s="55">
        <v>28500</v>
      </c>
      <c r="AS1552" s="78">
        <f t="shared" si="28"/>
        <v>0.13857894736842105</v>
      </c>
    </row>
    <row r="1553" spans="39:45">
      <c r="AM1553" s="55">
        <v>2019</v>
      </c>
      <c r="AN1553" s="55" t="s">
        <v>185</v>
      </c>
      <c r="AO1553" s="55">
        <v>6</v>
      </c>
      <c r="AP1553" s="55">
        <v>15</v>
      </c>
      <c r="AQ1553" s="55">
        <v>3653</v>
      </c>
      <c r="AR1553" s="55">
        <v>28500</v>
      </c>
      <c r="AS1553" s="78">
        <f t="shared" si="28"/>
        <v>0.12817543859649122</v>
      </c>
    </row>
    <row r="1554" spans="39:45">
      <c r="AM1554" s="54">
        <v>2019</v>
      </c>
      <c r="AN1554" s="54" t="s">
        <v>185</v>
      </c>
      <c r="AO1554" s="54">
        <v>6</v>
      </c>
      <c r="AP1554" s="54">
        <v>16</v>
      </c>
      <c r="AQ1554" s="54">
        <v>2703.5</v>
      </c>
      <c r="AR1554" s="55">
        <v>28500</v>
      </c>
      <c r="AS1554" s="78">
        <f t="shared" si="28"/>
        <v>9.4859649122807019E-2</v>
      </c>
    </row>
    <row r="1555" spans="39:45">
      <c r="AM1555" s="55">
        <v>2019</v>
      </c>
      <c r="AN1555" s="55" t="s">
        <v>185</v>
      </c>
      <c r="AO1555" s="55">
        <v>6</v>
      </c>
      <c r="AP1555" s="55">
        <v>17</v>
      </c>
      <c r="AQ1555" s="55">
        <v>328.5</v>
      </c>
      <c r="AR1555" s="55">
        <v>28500</v>
      </c>
      <c r="AS1555" s="78">
        <f t="shared" si="28"/>
        <v>1.1526315789473685E-2</v>
      </c>
    </row>
    <row r="1556" spans="39:45">
      <c r="AM1556" s="54">
        <v>2019</v>
      </c>
      <c r="AN1556" s="54" t="s">
        <v>185</v>
      </c>
      <c r="AO1556" s="54">
        <v>6</v>
      </c>
      <c r="AP1556" s="54">
        <v>18</v>
      </c>
      <c r="AQ1556" s="54">
        <v>0</v>
      </c>
      <c r="AR1556" s="55">
        <v>28500</v>
      </c>
      <c r="AS1556" s="78">
        <f t="shared" si="28"/>
        <v>0</v>
      </c>
    </row>
    <row r="1557" spans="39:45">
      <c r="AM1557" s="55">
        <v>2019</v>
      </c>
      <c r="AN1557" s="55" t="s">
        <v>185</v>
      </c>
      <c r="AO1557" s="55">
        <v>6</v>
      </c>
      <c r="AP1557" s="55">
        <v>19</v>
      </c>
      <c r="AQ1557" s="55">
        <v>0</v>
      </c>
      <c r="AR1557" s="55">
        <v>28500</v>
      </c>
      <c r="AS1557" s="78">
        <f t="shared" si="28"/>
        <v>0</v>
      </c>
    </row>
    <row r="1558" spans="39:45">
      <c r="AM1558" s="54">
        <v>2019</v>
      </c>
      <c r="AN1558" s="54" t="s">
        <v>185</v>
      </c>
      <c r="AO1558" s="54">
        <v>6</v>
      </c>
      <c r="AP1558" s="54">
        <v>20</v>
      </c>
      <c r="AQ1558" s="54">
        <v>0</v>
      </c>
      <c r="AR1558" s="55">
        <v>28500</v>
      </c>
      <c r="AS1558" s="78">
        <f t="shared" si="28"/>
        <v>0</v>
      </c>
    </row>
    <row r="1559" spans="39:45">
      <c r="AM1559" s="55">
        <v>2019</v>
      </c>
      <c r="AN1559" s="55" t="s">
        <v>185</v>
      </c>
      <c r="AO1559" s="55">
        <v>6</v>
      </c>
      <c r="AP1559" s="55">
        <v>21</v>
      </c>
      <c r="AQ1559" s="55">
        <v>0</v>
      </c>
      <c r="AR1559" s="55">
        <v>28500</v>
      </c>
      <c r="AS1559" s="78">
        <f t="shared" si="28"/>
        <v>0</v>
      </c>
    </row>
    <row r="1560" spans="39:45">
      <c r="AM1560" s="54">
        <v>2019</v>
      </c>
      <c r="AN1560" s="54" t="s">
        <v>185</v>
      </c>
      <c r="AO1560" s="54">
        <v>6</v>
      </c>
      <c r="AP1560" s="54">
        <v>22</v>
      </c>
      <c r="AQ1560" s="54">
        <v>0</v>
      </c>
      <c r="AR1560" s="55">
        <v>28500</v>
      </c>
      <c r="AS1560" s="78">
        <f t="shared" si="28"/>
        <v>0</v>
      </c>
    </row>
    <row r="1561" spans="39:45">
      <c r="AM1561" s="55">
        <v>2019</v>
      </c>
      <c r="AN1561" s="55" t="s">
        <v>185</v>
      </c>
      <c r="AO1561" s="55">
        <v>6</v>
      </c>
      <c r="AP1561" s="55">
        <v>23</v>
      </c>
      <c r="AQ1561" s="55">
        <v>0</v>
      </c>
      <c r="AR1561" s="55">
        <v>28500</v>
      </c>
      <c r="AS1561" s="78">
        <f t="shared" si="28"/>
        <v>0</v>
      </c>
    </row>
    <row r="1562" spans="39:45">
      <c r="AM1562" s="54">
        <v>2019</v>
      </c>
      <c r="AN1562" s="54" t="s">
        <v>185</v>
      </c>
      <c r="AO1562" s="54">
        <v>7</v>
      </c>
      <c r="AP1562" s="54">
        <v>24</v>
      </c>
      <c r="AQ1562" s="54">
        <v>0</v>
      </c>
      <c r="AR1562" s="55">
        <v>28500</v>
      </c>
      <c r="AS1562" s="78">
        <f t="shared" si="28"/>
        <v>0</v>
      </c>
    </row>
    <row r="1563" spans="39:45">
      <c r="AM1563" s="55">
        <v>2019</v>
      </c>
      <c r="AN1563" s="55" t="s">
        <v>185</v>
      </c>
      <c r="AO1563" s="55">
        <v>7</v>
      </c>
      <c r="AP1563" s="55">
        <v>1</v>
      </c>
      <c r="AQ1563" s="55">
        <v>0</v>
      </c>
      <c r="AR1563" s="55">
        <v>28500</v>
      </c>
      <c r="AS1563" s="78">
        <f t="shared" si="28"/>
        <v>0</v>
      </c>
    </row>
    <row r="1564" spans="39:45">
      <c r="AM1564" s="54">
        <v>2019</v>
      </c>
      <c r="AN1564" s="54" t="s">
        <v>185</v>
      </c>
      <c r="AO1564" s="54">
        <v>7</v>
      </c>
      <c r="AP1564" s="54">
        <v>2</v>
      </c>
      <c r="AQ1564" s="54">
        <v>0</v>
      </c>
      <c r="AR1564" s="55">
        <v>28500</v>
      </c>
      <c r="AS1564" s="78">
        <f t="shared" si="28"/>
        <v>0</v>
      </c>
    </row>
    <row r="1565" spans="39:45">
      <c r="AM1565" s="55">
        <v>2019</v>
      </c>
      <c r="AN1565" s="55" t="s">
        <v>185</v>
      </c>
      <c r="AO1565" s="55">
        <v>7</v>
      </c>
      <c r="AP1565" s="55">
        <v>3</v>
      </c>
      <c r="AQ1565" s="55">
        <v>0</v>
      </c>
      <c r="AR1565" s="55">
        <v>28500</v>
      </c>
      <c r="AS1565" s="78">
        <f t="shared" si="28"/>
        <v>0</v>
      </c>
    </row>
    <row r="1566" spans="39:45">
      <c r="AM1566" s="54">
        <v>2019</v>
      </c>
      <c r="AN1566" s="54" t="s">
        <v>185</v>
      </c>
      <c r="AO1566" s="54">
        <v>7</v>
      </c>
      <c r="AP1566" s="54">
        <v>4</v>
      </c>
      <c r="AQ1566" s="54">
        <v>0</v>
      </c>
      <c r="AR1566" s="55">
        <v>28500</v>
      </c>
      <c r="AS1566" s="78">
        <f t="shared" si="28"/>
        <v>0</v>
      </c>
    </row>
    <row r="1567" spans="39:45">
      <c r="AM1567" s="55">
        <v>2019</v>
      </c>
      <c r="AN1567" s="55" t="s">
        <v>185</v>
      </c>
      <c r="AO1567" s="55">
        <v>7</v>
      </c>
      <c r="AP1567" s="55">
        <v>5</v>
      </c>
      <c r="AQ1567" s="55">
        <v>0</v>
      </c>
      <c r="AR1567" s="55">
        <v>28500</v>
      </c>
      <c r="AS1567" s="78">
        <f t="shared" si="28"/>
        <v>0</v>
      </c>
    </row>
    <row r="1568" spans="39:45">
      <c r="AM1568" s="54">
        <v>2019</v>
      </c>
      <c r="AN1568" s="54" t="s">
        <v>185</v>
      </c>
      <c r="AO1568" s="54">
        <v>7</v>
      </c>
      <c r="AP1568" s="54">
        <v>6</v>
      </c>
      <c r="AQ1568" s="54">
        <v>0</v>
      </c>
      <c r="AR1568" s="55">
        <v>28500</v>
      </c>
      <c r="AS1568" s="78">
        <f t="shared" si="28"/>
        <v>0</v>
      </c>
    </row>
    <row r="1569" spans="39:45">
      <c r="AM1569" s="55">
        <v>2019</v>
      </c>
      <c r="AN1569" s="55" t="s">
        <v>185</v>
      </c>
      <c r="AO1569" s="55">
        <v>7</v>
      </c>
      <c r="AP1569" s="55">
        <v>7</v>
      </c>
      <c r="AQ1569" s="55">
        <v>1169.5</v>
      </c>
      <c r="AR1569" s="55">
        <v>28500</v>
      </c>
      <c r="AS1569" s="78">
        <f t="shared" si="28"/>
        <v>4.1035087719298244E-2</v>
      </c>
    </row>
    <row r="1570" spans="39:45">
      <c r="AM1570" s="54">
        <v>2019</v>
      </c>
      <c r="AN1570" s="54" t="s">
        <v>185</v>
      </c>
      <c r="AO1570" s="54">
        <v>7</v>
      </c>
      <c r="AP1570" s="54">
        <v>8</v>
      </c>
      <c r="AQ1570" s="54">
        <v>16178.5</v>
      </c>
      <c r="AR1570" s="55">
        <v>28500</v>
      </c>
      <c r="AS1570" s="78">
        <f t="shared" si="28"/>
        <v>0.56766666666666665</v>
      </c>
    </row>
    <row r="1571" spans="39:45">
      <c r="AM1571" s="55">
        <v>2019</v>
      </c>
      <c r="AN1571" s="55" t="s">
        <v>185</v>
      </c>
      <c r="AO1571" s="55">
        <v>7</v>
      </c>
      <c r="AP1571" s="55">
        <v>9</v>
      </c>
      <c r="AQ1571" s="55">
        <v>27279.5</v>
      </c>
      <c r="AR1571" s="55">
        <v>28500</v>
      </c>
      <c r="AS1571" s="78">
        <f t="shared" si="28"/>
        <v>0.95717543859649123</v>
      </c>
    </row>
    <row r="1572" spans="39:45">
      <c r="AM1572" s="54">
        <v>2019</v>
      </c>
      <c r="AN1572" s="54" t="s">
        <v>185</v>
      </c>
      <c r="AO1572" s="54">
        <v>7</v>
      </c>
      <c r="AP1572" s="54">
        <v>10</v>
      </c>
      <c r="AQ1572" s="54">
        <v>11887.5</v>
      </c>
      <c r="AR1572" s="55">
        <v>28500</v>
      </c>
      <c r="AS1572" s="78">
        <f t="shared" si="28"/>
        <v>0.41710526315789476</v>
      </c>
    </row>
    <row r="1573" spans="39:45">
      <c r="AM1573" s="55">
        <v>2019</v>
      </c>
      <c r="AN1573" s="55" t="s">
        <v>185</v>
      </c>
      <c r="AO1573" s="55">
        <v>7</v>
      </c>
      <c r="AP1573" s="55">
        <v>11</v>
      </c>
      <c r="AQ1573" s="55">
        <v>35664</v>
      </c>
      <c r="AR1573" s="55">
        <v>28500</v>
      </c>
      <c r="AS1573" s="78">
        <f t="shared" si="28"/>
        <v>1.2513684210526317</v>
      </c>
    </row>
    <row r="1574" spans="39:45">
      <c r="AM1574" s="54">
        <v>2019</v>
      </c>
      <c r="AN1574" s="54" t="s">
        <v>185</v>
      </c>
      <c r="AO1574" s="54">
        <v>7</v>
      </c>
      <c r="AP1574" s="54">
        <v>12</v>
      </c>
      <c r="AQ1574" s="54">
        <v>17414</v>
      </c>
      <c r="AR1574" s="55">
        <v>28500</v>
      </c>
      <c r="AS1574" s="78">
        <f t="shared" si="28"/>
        <v>0.61101754385964913</v>
      </c>
    </row>
    <row r="1575" spans="39:45">
      <c r="AM1575" s="55">
        <v>2019</v>
      </c>
      <c r="AN1575" s="55" t="s">
        <v>185</v>
      </c>
      <c r="AO1575" s="55">
        <v>7</v>
      </c>
      <c r="AP1575" s="55">
        <v>13</v>
      </c>
      <c r="AQ1575" s="55">
        <v>32240</v>
      </c>
      <c r="AR1575" s="55">
        <v>28500</v>
      </c>
      <c r="AS1575" s="78">
        <f t="shared" si="28"/>
        <v>1.1312280701754387</v>
      </c>
    </row>
    <row r="1576" spans="39:45">
      <c r="AM1576" s="54">
        <v>2019</v>
      </c>
      <c r="AN1576" s="54" t="s">
        <v>185</v>
      </c>
      <c r="AO1576" s="54">
        <v>7</v>
      </c>
      <c r="AP1576" s="54">
        <v>14</v>
      </c>
      <c r="AQ1576" s="54">
        <v>14378.5</v>
      </c>
      <c r="AR1576" s="55">
        <v>28500</v>
      </c>
      <c r="AS1576" s="78">
        <f t="shared" si="28"/>
        <v>0.50450877192982457</v>
      </c>
    </row>
    <row r="1577" spans="39:45">
      <c r="AM1577" s="55">
        <v>2019</v>
      </c>
      <c r="AN1577" s="55" t="s">
        <v>185</v>
      </c>
      <c r="AO1577" s="55">
        <v>7</v>
      </c>
      <c r="AP1577" s="55">
        <v>15</v>
      </c>
      <c r="AQ1577" s="55">
        <v>11085.5</v>
      </c>
      <c r="AR1577" s="55">
        <v>28500</v>
      </c>
      <c r="AS1577" s="78">
        <f t="shared" si="28"/>
        <v>0.38896491228070174</v>
      </c>
    </row>
    <row r="1578" spans="39:45">
      <c r="AM1578" s="54">
        <v>2019</v>
      </c>
      <c r="AN1578" s="54" t="s">
        <v>185</v>
      </c>
      <c r="AO1578" s="54">
        <v>7</v>
      </c>
      <c r="AP1578" s="54">
        <v>16</v>
      </c>
      <c r="AQ1578" s="54">
        <v>6174</v>
      </c>
      <c r="AR1578" s="55">
        <v>28500</v>
      </c>
      <c r="AS1578" s="78">
        <f t="shared" si="28"/>
        <v>0.21663157894736843</v>
      </c>
    </row>
    <row r="1579" spans="39:45">
      <c r="AM1579" s="55">
        <v>2019</v>
      </c>
      <c r="AN1579" s="55" t="s">
        <v>185</v>
      </c>
      <c r="AO1579" s="55">
        <v>7</v>
      </c>
      <c r="AP1579" s="55">
        <v>17</v>
      </c>
      <c r="AQ1579" s="55">
        <v>472</v>
      </c>
      <c r="AR1579" s="55">
        <v>28500</v>
      </c>
      <c r="AS1579" s="78">
        <f t="shared" si="28"/>
        <v>1.656140350877193E-2</v>
      </c>
    </row>
    <row r="1580" spans="39:45">
      <c r="AM1580" s="54">
        <v>2019</v>
      </c>
      <c r="AN1580" s="54" t="s">
        <v>185</v>
      </c>
      <c r="AO1580" s="54">
        <v>7</v>
      </c>
      <c r="AP1580" s="54">
        <v>18</v>
      </c>
      <c r="AQ1580" s="54">
        <v>0</v>
      </c>
      <c r="AR1580" s="55">
        <v>28500</v>
      </c>
      <c r="AS1580" s="78">
        <f t="shared" si="28"/>
        <v>0</v>
      </c>
    </row>
    <row r="1581" spans="39:45">
      <c r="AM1581" s="55">
        <v>2019</v>
      </c>
      <c r="AN1581" s="55" t="s">
        <v>185</v>
      </c>
      <c r="AO1581" s="55">
        <v>7</v>
      </c>
      <c r="AP1581" s="55">
        <v>19</v>
      </c>
      <c r="AQ1581" s="55">
        <v>0</v>
      </c>
      <c r="AR1581" s="55">
        <v>28500</v>
      </c>
      <c r="AS1581" s="78">
        <f t="shared" si="28"/>
        <v>0</v>
      </c>
    </row>
    <row r="1582" spans="39:45">
      <c r="AM1582" s="54">
        <v>2019</v>
      </c>
      <c r="AN1582" s="54" t="s">
        <v>185</v>
      </c>
      <c r="AO1582" s="54">
        <v>7</v>
      </c>
      <c r="AP1582" s="54">
        <v>20</v>
      </c>
      <c r="AQ1582" s="54">
        <v>0</v>
      </c>
      <c r="AR1582" s="55">
        <v>28500</v>
      </c>
      <c r="AS1582" s="78">
        <f t="shared" si="28"/>
        <v>0</v>
      </c>
    </row>
    <row r="1583" spans="39:45">
      <c r="AM1583" s="55">
        <v>2019</v>
      </c>
      <c r="AN1583" s="55" t="s">
        <v>185</v>
      </c>
      <c r="AO1583" s="55">
        <v>7</v>
      </c>
      <c r="AP1583" s="55">
        <v>21</v>
      </c>
      <c r="AQ1583" s="55">
        <v>0</v>
      </c>
      <c r="AR1583" s="55">
        <v>28500</v>
      </c>
      <c r="AS1583" s="78">
        <f t="shared" si="28"/>
        <v>0</v>
      </c>
    </row>
    <row r="1584" spans="39:45">
      <c r="AM1584" s="54">
        <v>2019</v>
      </c>
      <c r="AN1584" s="54" t="s">
        <v>185</v>
      </c>
      <c r="AO1584" s="54">
        <v>7</v>
      </c>
      <c r="AP1584" s="54">
        <v>22</v>
      </c>
      <c r="AQ1584" s="54">
        <v>0</v>
      </c>
      <c r="AR1584" s="55">
        <v>28500</v>
      </c>
      <c r="AS1584" s="78">
        <f t="shared" si="28"/>
        <v>0</v>
      </c>
    </row>
    <row r="1585" spans="39:45">
      <c r="AM1585" s="55">
        <v>2019</v>
      </c>
      <c r="AN1585" s="55" t="s">
        <v>185</v>
      </c>
      <c r="AO1585" s="55">
        <v>7</v>
      </c>
      <c r="AP1585" s="55">
        <v>23</v>
      </c>
      <c r="AQ1585" s="55">
        <v>0</v>
      </c>
      <c r="AR1585" s="55">
        <v>28500</v>
      </c>
      <c r="AS1585" s="78">
        <f t="shared" si="28"/>
        <v>0</v>
      </c>
    </row>
    <row r="1586" spans="39:45">
      <c r="AM1586" s="54">
        <v>2019</v>
      </c>
      <c r="AN1586" s="54" t="s">
        <v>185</v>
      </c>
      <c r="AO1586" s="54">
        <v>8</v>
      </c>
      <c r="AP1586" s="54">
        <v>24</v>
      </c>
      <c r="AQ1586" s="54">
        <v>0</v>
      </c>
      <c r="AR1586" s="55">
        <v>28500</v>
      </c>
      <c r="AS1586" s="78">
        <f t="shared" si="28"/>
        <v>0</v>
      </c>
    </row>
    <row r="1587" spans="39:45">
      <c r="AM1587" s="55">
        <v>2019</v>
      </c>
      <c r="AN1587" s="55" t="s">
        <v>185</v>
      </c>
      <c r="AO1587" s="55">
        <v>8</v>
      </c>
      <c r="AP1587" s="55">
        <v>1</v>
      </c>
      <c r="AQ1587" s="55">
        <v>0</v>
      </c>
      <c r="AR1587" s="55">
        <v>28500</v>
      </c>
      <c r="AS1587" s="78">
        <f t="shared" si="28"/>
        <v>0</v>
      </c>
    </row>
    <row r="1588" spans="39:45">
      <c r="AM1588" s="54">
        <v>2019</v>
      </c>
      <c r="AN1588" s="54" t="s">
        <v>185</v>
      </c>
      <c r="AO1588" s="54">
        <v>8</v>
      </c>
      <c r="AP1588" s="54">
        <v>2</v>
      </c>
      <c r="AQ1588" s="54">
        <v>0</v>
      </c>
      <c r="AR1588" s="55">
        <v>28500</v>
      </c>
      <c r="AS1588" s="78">
        <f t="shared" si="28"/>
        <v>0</v>
      </c>
    </row>
    <row r="1589" spans="39:45">
      <c r="AM1589" s="55">
        <v>2019</v>
      </c>
      <c r="AN1589" s="55" t="s">
        <v>185</v>
      </c>
      <c r="AO1589" s="55">
        <v>8</v>
      </c>
      <c r="AP1589" s="55">
        <v>3</v>
      </c>
      <c r="AQ1589" s="55">
        <v>0</v>
      </c>
      <c r="AR1589" s="55">
        <v>28500</v>
      </c>
      <c r="AS1589" s="78">
        <f t="shared" si="28"/>
        <v>0</v>
      </c>
    </row>
    <row r="1590" spans="39:45">
      <c r="AM1590" s="54">
        <v>2019</v>
      </c>
      <c r="AN1590" s="54" t="s">
        <v>185</v>
      </c>
      <c r="AO1590" s="54">
        <v>8</v>
      </c>
      <c r="AP1590" s="54">
        <v>4</v>
      </c>
      <c r="AQ1590" s="54">
        <v>0</v>
      </c>
      <c r="AR1590" s="55">
        <v>28500</v>
      </c>
      <c r="AS1590" s="78">
        <f t="shared" si="28"/>
        <v>0</v>
      </c>
    </row>
    <row r="1591" spans="39:45">
      <c r="AM1591" s="55">
        <v>2019</v>
      </c>
      <c r="AN1591" s="55" t="s">
        <v>185</v>
      </c>
      <c r="AO1591" s="55">
        <v>8</v>
      </c>
      <c r="AP1591" s="55">
        <v>5</v>
      </c>
      <c r="AQ1591" s="55">
        <v>0</v>
      </c>
      <c r="AR1591" s="55">
        <v>28500</v>
      </c>
      <c r="AS1591" s="78">
        <f t="shared" si="28"/>
        <v>0</v>
      </c>
    </row>
    <row r="1592" spans="39:45">
      <c r="AM1592" s="54">
        <v>2019</v>
      </c>
      <c r="AN1592" s="54" t="s">
        <v>185</v>
      </c>
      <c r="AO1592" s="54">
        <v>8</v>
      </c>
      <c r="AP1592" s="54">
        <v>6</v>
      </c>
      <c r="AQ1592" s="54">
        <v>0</v>
      </c>
      <c r="AR1592" s="55">
        <v>28500</v>
      </c>
      <c r="AS1592" s="78">
        <f t="shared" si="28"/>
        <v>0</v>
      </c>
    </row>
    <row r="1593" spans="39:45">
      <c r="AM1593" s="55">
        <v>2019</v>
      </c>
      <c r="AN1593" s="55" t="s">
        <v>185</v>
      </c>
      <c r="AO1593" s="55">
        <v>8</v>
      </c>
      <c r="AP1593" s="55">
        <v>7</v>
      </c>
      <c r="AQ1593" s="55">
        <v>1263</v>
      </c>
      <c r="AR1593" s="55">
        <v>28500</v>
      </c>
      <c r="AS1593" s="78">
        <f t="shared" si="28"/>
        <v>4.4315789473684211E-2</v>
      </c>
    </row>
    <row r="1594" spans="39:45">
      <c r="AM1594" s="54">
        <v>2019</v>
      </c>
      <c r="AN1594" s="54" t="s">
        <v>185</v>
      </c>
      <c r="AO1594" s="54">
        <v>8</v>
      </c>
      <c r="AP1594" s="54">
        <v>8</v>
      </c>
      <c r="AQ1594" s="54">
        <v>12375</v>
      </c>
      <c r="AR1594" s="55">
        <v>28500</v>
      </c>
      <c r="AS1594" s="78">
        <f t="shared" si="28"/>
        <v>0.43421052631578949</v>
      </c>
    </row>
    <row r="1595" spans="39:45">
      <c r="AM1595" s="55">
        <v>2019</v>
      </c>
      <c r="AN1595" s="55" t="s">
        <v>185</v>
      </c>
      <c r="AO1595" s="55">
        <v>8</v>
      </c>
      <c r="AP1595" s="55">
        <v>9</v>
      </c>
      <c r="AQ1595" s="55">
        <v>22483</v>
      </c>
      <c r="AR1595" s="55">
        <v>28500</v>
      </c>
      <c r="AS1595" s="78">
        <f t="shared" si="28"/>
        <v>0.78887719298245618</v>
      </c>
    </row>
    <row r="1596" spans="39:45">
      <c r="AM1596" s="54">
        <v>2019</v>
      </c>
      <c r="AN1596" s="54" t="s">
        <v>185</v>
      </c>
      <c r="AO1596" s="54">
        <v>8</v>
      </c>
      <c r="AP1596" s="54">
        <v>10</v>
      </c>
      <c r="AQ1596" s="54">
        <v>30393</v>
      </c>
      <c r="AR1596" s="55">
        <v>28500</v>
      </c>
      <c r="AS1596" s="78">
        <f t="shared" si="28"/>
        <v>1.0664210526315789</v>
      </c>
    </row>
    <row r="1597" spans="39:45">
      <c r="AM1597" s="55">
        <v>2019</v>
      </c>
      <c r="AN1597" s="55" t="s">
        <v>185</v>
      </c>
      <c r="AO1597" s="55">
        <v>8</v>
      </c>
      <c r="AP1597" s="55">
        <v>11</v>
      </c>
      <c r="AQ1597" s="55">
        <v>20316.5</v>
      </c>
      <c r="AR1597" s="55">
        <v>28500</v>
      </c>
      <c r="AS1597" s="78">
        <f t="shared" si="28"/>
        <v>0.71285964912280697</v>
      </c>
    </row>
    <row r="1598" spans="39:45">
      <c r="AM1598" s="54">
        <v>2019</v>
      </c>
      <c r="AN1598" s="54" t="s">
        <v>185</v>
      </c>
      <c r="AO1598" s="54">
        <v>8</v>
      </c>
      <c r="AP1598" s="54">
        <v>12</v>
      </c>
      <c r="AQ1598" s="54">
        <v>6949</v>
      </c>
      <c r="AR1598" s="55">
        <v>28500</v>
      </c>
      <c r="AS1598" s="78">
        <f t="shared" si="28"/>
        <v>0.24382456140350878</v>
      </c>
    </row>
    <row r="1599" spans="39:45">
      <c r="AM1599" s="55">
        <v>2019</v>
      </c>
      <c r="AN1599" s="55" t="s">
        <v>185</v>
      </c>
      <c r="AO1599" s="55">
        <v>8</v>
      </c>
      <c r="AP1599" s="55">
        <v>13</v>
      </c>
      <c r="AQ1599" s="55">
        <v>5614.5</v>
      </c>
      <c r="AR1599" s="55">
        <v>28500</v>
      </c>
      <c r="AS1599" s="78">
        <f t="shared" si="28"/>
        <v>0.19700000000000001</v>
      </c>
    </row>
    <row r="1600" spans="39:45">
      <c r="AM1600" s="54">
        <v>2019</v>
      </c>
      <c r="AN1600" s="54" t="s">
        <v>185</v>
      </c>
      <c r="AO1600" s="54">
        <v>8</v>
      </c>
      <c r="AP1600" s="54">
        <v>14</v>
      </c>
      <c r="AQ1600" s="54">
        <v>5312</v>
      </c>
      <c r="AR1600" s="55">
        <v>28500</v>
      </c>
      <c r="AS1600" s="78">
        <f t="shared" si="28"/>
        <v>0.18638596491228071</v>
      </c>
    </row>
    <row r="1601" spans="39:45">
      <c r="AM1601" s="55">
        <v>2019</v>
      </c>
      <c r="AN1601" s="55" t="s">
        <v>185</v>
      </c>
      <c r="AO1601" s="55">
        <v>8</v>
      </c>
      <c r="AP1601" s="55">
        <v>15</v>
      </c>
      <c r="AQ1601" s="55">
        <v>2860.5</v>
      </c>
      <c r="AR1601" s="55">
        <v>28500</v>
      </c>
      <c r="AS1601" s="78">
        <f t="shared" si="28"/>
        <v>0.10036842105263158</v>
      </c>
    </row>
    <row r="1602" spans="39:45">
      <c r="AM1602" s="54">
        <v>2019</v>
      </c>
      <c r="AN1602" s="54" t="s">
        <v>185</v>
      </c>
      <c r="AO1602" s="54">
        <v>8</v>
      </c>
      <c r="AP1602" s="54">
        <v>16</v>
      </c>
      <c r="AQ1602" s="54">
        <v>2306.5</v>
      </c>
      <c r="AR1602" s="55">
        <v>28500</v>
      </c>
      <c r="AS1602" s="78">
        <f t="shared" ref="AS1602:AS1665" si="29">AQ1602/AR1602</f>
        <v>8.0929824561403504E-2</v>
      </c>
    </row>
    <row r="1603" spans="39:45">
      <c r="AM1603" s="55">
        <v>2019</v>
      </c>
      <c r="AN1603" s="55" t="s">
        <v>185</v>
      </c>
      <c r="AO1603" s="55">
        <v>8</v>
      </c>
      <c r="AP1603" s="55">
        <v>17</v>
      </c>
      <c r="AQ1603" s="55">
        <v>120.5</v>
      </c>
      <c r="AR1603" s="55">
        <v>28500</v>
      </c>
      <c r="AS1603" s="78">
        <f t="shared" si="29"/>
        <v>4.2280701754385964E-3</v>
      </c>
    </row>
    <row r="1604" spans="39:45">
      <c r="AM1604" s="54">
        <v>2019</v>
      </c>
      <c r="AN1604" s="54" t="s">
        <v>185</v>
      </c>
      <c r="AO1604" s="54">
        <v>8</v>
      </c>
      <c r="AP1604" s="54">
        <v>18</v>
      </c>
      <c r="AQ1604" s="54">
        <v>0</v>
      </c>
      <c r="AR1604" s="55">
        <v>28500</v>
      </c>
      <c r="AS1604" s="78">
        <f t="shared" si="29"/>
        <v>0</v>
      </c>
    </row>
    <row r="1605" spans="39:45">
      <c r="AM1605" s="55">
        <v>2019</v>
      </c>
      <c r="AN1605" s="55" t="s">
        <v>185</v>
      </c>
      <c r="AO1605" s="55">
        <v>8</v>
      </c>
      <c r="AP1605" s="55">
        <v>19</v>
      </c>
      <c r="AQ1605" s="55">
        <v>0</v>
      </c>
      <c r="AR1605" s="55">
        <v>28500</v>
      </c>
      <c r="AS1605" s="78">
        <f t="shared" si="29"/>
        <v>0</v>
      </c>
    </row>
    <row r="1606" spans="39:45">
      <c r="AM1606" s="54">
        <v>2019</v>
      </c>
      <c r="AN1606" s="54" t="s">
        <v>185</v>
      </c>
      <c r="AO1606" s="54">
        <v>8</v>
      </c>
      <c r="AP1606" s="54">
        <v>20</v>
      </c>
      <c r="AQ1606" s="54">
        <v>0</v>
      </c>
      <c r="AR1606" s="55">
        <v>28500</v>
      </c>
      <c r="AS1606" s="78">
        <f t="shared" si="29"/>
        <v>0</v>
      </c>
    </row>
    <row r="1607" spans="39:45">
      <c r="AM1607" s="55">
        <v>2019</v>
      </c>
      <c r="AN1607" s="55" t="s">
        <v>185</v>
      </c>
      <c r="AO1607" s="55">
        <v>8</v>
      </c>
      <c r="AP1607" s="55">
        <v>21</v>
      </c>
      <c r="AQ1607" s="55">
        <v>0</v>
      </c>
      <c r="AR1607" s="55">
        <v>28500</v>
      </c>
      <c r="AS1607" s="78">
        <f t="shared" si="29"/>
        <v>0</v>
      </c>
    </row>
    <row r="1608" spans="39:45">
      <c r="AM1608" s="54">
        <v>2019</v>
      </c>
      <c r="AN1608" s="54" t="s">
        <v>185</v>
      </c>
      <c r="AO1608" s="54">
        <v>8</v>
      </c>
      <c r="AP1608" s="54">
        <v>22</v>
      </c>
      <c r="AQ1608" s="54">
        <v>0</v>
      </c>
      <c r="AR1608" s="55">
        <v>28500</v>
      </c>
      <c r="AS1608" s="78">
        <f t="shared" si="29"/>
        <v>0</v>
      </c>
    </row>
    <row r="1609" spans="39:45">
      <c r="AM1609" s="55">
        <v>2019</v>
      </c>
      <c r="AN1609" s="55" t="s">
        <v>185</v>
      </c>
      <c r="AO1609" s="55">
        <v>8</v>
      </c>
      <c r="AP1609" s="55">
        <v>23</v>
      </c>
      <c r="AQ1609" s="55">
        <v>0</v>
      </c>
      <c r="AR1609" s="55">
        <v>28500</v>
      </c>
      <c r="AS1609" s="78">
        <f t="shared" si="29"/>
        <v>0</v>
      </c>
    </row>
    <row r="1610" spans="39:45">
      <c r="AM1610" s="54">
        <v>2019</v>
      </c>
      <c r="AN1610" s="54" t="s">
        <v>185</v>
      </c>
      <c r="AO1610" s="54">
        <v>9</v>
      </c>
      <c r="AP1610" s="54">
        <v>24</v>
      </c>
      <c r="AQ1610" s="54">
        <v>0</v>
      </c>
      <c r="AR1610" s="55">
        <v>28500</v>
      </c>
      <c r="AS1610" s="78">
        <f t="shared" si="29"/>
        <v>0</v>
      </c>
    </row>
    <row r="1611" spans="39:45">
      <c r="AM1611" s="55">
        <v>2019</v>
      </c>
      <c r="AN1611" s="55" t="s">
        <v>185</v>
      </c>
      <c r="AO1611" s="55">
        <v>9</v>
      </c>
      <c r="AP1611" s="55">
        <v>1</v>
      </c>
      <c r="AQ1611" s="55">
        <v>0</v>
      </c>
      <c r="AR1611" s="55">
        <v>28500</v>
      </c>
      <c r="AS1611" s="78">
        <f t="shared" si="29"/>
        <v>0</v>
      </c>
    </row>
    <row r="1612" spans="39:45">
      <c r="AM1612" s="54">
        <v>2019</v>
      </c>
      <c r="AN1612" s="54" t="s">
        <v>185</v>
      </c>
      <c r="AO1612" s="54">
        <v>9</v>
      </c>
      <c r="AP1612" s="54">
        <v>2</v>
      </c>
      <c r="AQ1612" s="54">
        <v>0</v>
      </c>
      <c r="AR1612" s="55">
        <v>28500</v>
      </c>
      <c r="AS1612" s="78">
        <f t="shared" si="29"/>
        <v>0</v>
      </c>
    </row>
    <row r="1613" spans="39:45">
      <c r="AM1613" s="55">
        <v>2019</v>
      </c>
      <c r="AN1613" s="55" t="s">
        <v>185</v>
      </c>
      <c r="AO1613" s="55">
        <v>9</v>
      </c>
      <c r="AP1613" s="55">
        <v>3</v>
      </c>
      <c r="AQ1613" s="55">
        <v>0</v>
      </c>
      <c r="AR1613" s="55">
        <v>28500</v>
      </c>
      <c r="AS1613" s="78">
        <f t="shared" si="29"/>
        <v>0</v>
      </c>
    </row>
    <row r="1614" spans="39:45">
      <c r="AM1614" s="54">
        <v>2019</v>
      </c>
      <c r="AN1614" s="54" t="s">
        <v>185</v>
      </c>
      <c r="AO1614" s="54">
        <v>9</v>
      </c>
      <c r="AP1614" s="54">
        <v>4</v>
      </c>
      <c r="AQ1614" s="54">
        <v>0</v>
      </c>
      <c r="AR1614" s="55">
        <v>28500</v>
      </c>
      <c r="AS1614" s="78">
        <f t="shared" si="29"/>
        <v>0</v>
      </c>
    </row>
    <row r="1615" spans="39:45">
      <c r="AM1615" s="55">
        <v>2019</v>
      </c>
      <c r="AN1615" s="55" t="s">
        <v>185</v>
      </c>
      <c r="AO1615" s="55">
        <v>9</v>
      </c>
      <c r="AP1615" s="55">
        <v>5</v>
      </c>
      <c r="AQ1615" s="55">
        <v>0</v>
      </c>
      <c r="AR1615" s="55">
        <v>28500</v>
      </c>
      <c r="AS1615" s="78">
        <f t="shared" si="29"/>
        <v>0</v>
      </c>
    </row>
    <row r="1616" spans="39:45">
      <c r="AM1616" s="54">
        <v>2019</v>
      </c>
      <c r="AN1616" s="54" t="s">
        <v>185</v>
      </c>
      <c r="AO1616" s="54">
        <v>9</v>
      </c>
      <c r="AP1616" s="54">
        <v>6</v>
      </c>
      <c r="AQ1616" s="54">
        <v>0</v>
      </c>
      <c r="AR1616" s="55">
        <v>28500</v>
      </c>
      <c r="AS1616" s="78">
        <f t="shared" si="29"/>
        <v>0</v>
      </c>
    </row>
    <row r="1617" spans="39:45">
      <c r="AM1617" s="55">
        <v>2019</v>
      </c>
      <c r="AN1617" s="55" t="s">
        <v>185</v>
      </c>
      <c r="AO1617" s="55">
        <v>9</v>
      </c>
      <c r="AP1617" s="55">
        <v>7</v>
      </c>
      <c r="AQ1617" s="55">
        <v>964.5</v>
      </c>
      <c r="AR1617" s="55">
        <v>28500</v>
      </c>
      <c r="AS1617" s="78">
        <f t="shared" si="29"/>
        <v>3.3842105263157896E-2</v>
      </c>
    </row>
    <row r="1618" spans="39:45">
      <c r="AM1618" s="54">
        <v>2019</v>
      </c>
      <c r="AN1618" s="54" t="s">
        <v>185</v>
      </c>
      <c r="AO1618" s="54">
        <v>9</v>
      </c>
      <c r="AP1618" s="54">
        <v>8</v>
      </c>
      <c r="AQ1618" s="54">
        <v>1598.5</v>
      </c>
      <c r="AR1618" s="55">
        <v>28500</v>
      </c>
      <c r="AS1618" s="78">
        <f t="shared" si="29"/>
        <v>5.6087719298245617E-2</v>
      </c>
    </row>
    <row r="1619" spans="39:45">
      <c r="AM1619" s="55">
        <v>2019</v>
      </c>
      <c r="AN1619" s="55" t="s">
        <v>185</v>
      </c>
      <c r="AO1619" s="55">
        <v>9</v>
      </c>
      <c r="AP1619" s="55">
        <v>9</v>
      </c>
      <c r="AQ1619" s="55">
        <v>27088.5</v>
      </c>
      <c r="AR1619" s="55">
        <v>28500</v>
      </c>
      <c r="AS1619" s="78">
        <f t="shared" si="29"/>
        <v>0.95047368421052636</v>
      </c>
    </row>
    <row r="1620" spans="39:45">
      <c r="AM1620" s="54">
        <v>2019</v>
      </c>
      <c r="AN1620" s="54" t="s">
        <v>185</v>
      </c>
      <c r="AO1620" s="54">
        <v>9</v>
      </c>
      <c r="AP1620" s="54">
        <v>10</v>
      </c>
      <c r="AQ1620" s="54">
        <v>4519.5</v>
      </c>
      <c r="AR1620" s="55">
        <v>28500</v>
      </c>
      <c r="AS1620" s="78">
        <f t="shared" si="29"/>
        <v>0.15857894736842104</v>
      </c>
    </row>
    <row r="1621" spans="39:45">
      <c r="AM1621" s="55">
        <v>2019</v>
      </c>
      <c r="AN1621" s="55" t="s">
        <v>185</v>
      </c>
      <c r="AO1621" s="55">
        <v>9</v>
      </c>
      <c r="AP1621" s="55">
        <v>11</v>
      </c>
      <c r="AQ1621" s="55">
        <v>18607</v>
      </c>
      <c r="AR1621" s="55">
        <v>28500</v>
      </c>
      <c r="AS1621" s="78">
        <f t="shared" si="29"/>
        <v>0.65287719298245617</v>
      </c>
    </row>
    <row r="1622" spans="39:45">
      <c r="AM1622" s="54">
        <v>2019</v>
      </c>
      <c r="AN1622" s="54" t="s">
        <v>185</v>
      </c>
      <c r="AO1622" s="54">
        <v>9</v>
      </c>
      <c r="AP1622" s="54">
        <v>12</v>
      </c>
      <c r="AQ1622" s="54">
        <v>35346.5</v>
      </c>
      <c r="AR1622" s="55">
        <v>28500</v>
      </c>
      <c r="AS1622" s="78">
        <f t="shared" si="29"/>
        <v>1.2402280701754387</v>
      </c>
    </row>
    <row r="1623" spans="39:45">
      <c r="AM1623" s="55">
        <v>2019</v>
      </c>
      <c r="AN1623" s="55" t="s">
        <v>185</v>
      </c>
      <c r="AO1623" s="55">
        <v>9</v>
      </c>
      <c r="AP1623" s="55">
        <v>13</v>
      </c>
      <c r="AQ1623" s="55">
        <v>32006.5</v>
      </c>
      <c r="AR1623" s="55">
        <v>28500</v>
      </c>
      <c r="AS1623" s="78">
        <f t="shared" si="29"/>
        <v>1.1230350877192983</v>
      </c>
    </row>
    <row r="1624" spans="39:45">
      <c r="AM1624" s="54">
        <v>2019</v>
      </c>
      <c r="AN1624" s="54" t="s">
        <v>185</v>
      </c>
      <c r="AO1624" s="54">
        <v>9</v>
      </c>
      <c r="AP1624" s="54">
        <v>14</v>
      </c>
      <c r="AQ1624" s="54">
        <v>26528.5</v>
      </c>
      <c r="AR1624" s="55">
        <v>28500</v>
      </c>
      <c r="AS1624" s="78">
        <f t="shared" si="29"/>
        <v>0.93082456140350878</v>
      </c>
    </row>
    <row r="1625" spans="39:45">
      <c r="AM1625" s="55">
        <v>2019</v>
      </c>
      <c r="AN1625" s="55" t="s">
        <v>185</v>
      </c>
      <c r="AO1625" s="55">
        <v>9</v>
      </c>
      <c r="AP1625" s="55">
        <v>15</v>
      </c>
      <c r="AQ1625" s="55">
        <v>15449</v>
      </c>
      <c r="AR1625" s="55">
        <v>28500</v>
      </c>
      <c r="AS1625" s="78">
        <f t="shared" si="29"/>
        <v>0.54207017543859648</v>
      </c>
    </row>
    <row r="1626" spans="39:45">
      <c r="AM1626" s="54">
        <v>2019</v>
      </c>
      <c r="AN1626" s="54" t="s">
        <v>185</v>
      </c>
      <c r="AO1626" s="54">
        <v>9</v>
      </c>
      <c r="AP1626" s="54">
        <v>16</v>
      </c>
      <c r="AQ1626" s="54">
        <v>5620.5</v>
      </c>
      <c r="AR1626" s="55">
        <v>28500</v>
      </c>
      <c r="AS1626" s="78">
        <f t="shared" si="29"/>
        <v>0.19721052631578948</v>
      </c>
    </row>
    <row r="1627" spans="39:45">
      <c r="AM1627" s="55">
        <v>2019</v>
      </c>
      <c r="AN1627" s="55" t="s">
        <v>185</v>
      </c>
      <c r="AO1627" s="55">
        <v>9</v>
      </c>
      <c r="AP1627" s="55">
        <v>17</v>
      </c>
      <c r="AQ1627" s="55">
        <v>728</v>
      </c>
      <c r="AR1627" s="55">
        <v>28500</v>
      </c>
      <c r="AS1627" s="78">
        <f t="shared" si="29"/>
        <v>2.5543859649122806E-2</v>
      </c>
    </row>
    <row r="1628" spans="39:45">
      <c r="AM1628" s="54">
        <v>2019</v>
      </c>
      <c r="AN1628" s="54" t="s">
        <v>185</v>
      </c>
      <c r="AO1628" s="54">
        <v>9</v>
      </c>
      <c r="AP1628" s="54">
        <v>18</v>
      </c>
      <c r="AQ1628" s="54">
        <v>0</v>
      </c>
      <c r="AR1628" s="55">
        <v>28500</v>
      </c>
      <c r="AS1628" s="78">
        <f t="shared" si="29"/>
        <v>0</v>
      </c>
    </row>
    <row r="1629" spans="39:45">
      <c r="AM1629" s="55">
        <v>2019</v>
      </c>
      <c r="AN1629" s="55" t="s">
        <v>185</v>
      </c>
      <c r="AO1629" s="55">
        <v>9</v>
      </c>
      <c r="AP1629" s="55">
        <v>19</v>
      </c>
      <c r="AQ1629" s="55">
        <v>0</v>
      </c>
      <c r="AR1629" s="55">
        <v>28500</v>
      </c>
      <c r="AS1629" s="78">
        <f t="shared" si="29"/>
        <v>0</v>
      </c>
    </row>
    <row r="1630" spans="39:45">
      <c r="AM1630" s="54">
        <v>2019</v>
      </c>
      <c r="AN1630" s="54" t="s">
        <v>185</v>
      </c>
      <c r="AO1630" s="54">
        <v>9</v>
      </c>
      <c r="AP1630" s="54">
        <v>20</v>
      </c>
      <c r="AQ1630" s="54">
        <v>0</v>
      </c>
      <c r="AR1630" s="55">
        <v>28500</v>
      </c>
      <c r="AS1630" s="78">
        <f t="shared" si="29"/>
        <v>0</v>
      </c>
    </row>
    <row r="1631" spans="39:45">
      <c r="AM1631" s="55">
        <v>2019</v>
      </c>
      <c r="AN1631" s="55" t="s">
        <v>185</v>
      </c>
      <c r="AO1631" s="55">
        <v>9</v>
      </c>
      <c r="AP1631" s="55">
        <v>21</v>
      </c>
      <c r="AQ1631" s="55">
        <v>0</v>
      </c>
      <c r="AR1631" s="55">
        <v>28500</v>
      </c>
      <c r="AS1631" s="78">
        <f t="shared" si="29"/>
        <v>0</v>
      </c>
    </row>
    <row r="1632" spans="39:45">
      <c r="AM1632" s="54">
        <v>2019</v>
      </c>
      <c r="AN1632" s="54" t="s">
        <v>185</v>
      </c>
      <c r="AO1632" s="54">
        <v>9</v>
      </c>
      <c r="AP1632" s="54">
        <v>22</v>
      </c>
      <c r="AQ1632" s="54">
        <v>0</v>
      </c>
      <c r="AR1632" s="55">
        <v>28500</v>
      </c>
      <c r="AS1632" s="78">
        <f t="shared" si="29"/>
        <v>0</v>
      </c>
    </row>
    <row r="1633" spans="39:45">
      <c r="AM1633" s="55">
        <v>2019</v>
      </c>
      <c r="AN1633" s="55" t="s">
        <v>185</v>
      </c>
      <c r="AO1633" s="55">
        <v>9</v>
      </c>
      <c r="AP1633" s="55">
        <v>23</v>
      </c>
      <c r="AQ1633" s="55">
        <v>0</v>
      </c>
      <c r="AR1633" s="55">
        <v>28500</v>
      </c>
      <c r="AS1633" s="78">
        <f t="shared" si="29"/>
        <v>0</v>
      </c>
    </row>
    <row r="1634" spans="39:45">
      <c r="AM1634" s="54">
        <v>2019</v>
      </c>
      <c r="AN1634" s="54" t="s">
        <v>185</v>
      </c>
      <c r="AO1634" s="54">
        <v>10</v>
      </c>
      <c r="AP1634" s="54">
        <v>24</v>
      </c>
      <c r="AQ1634" s="54">
        <v>0</v>
      </c>
      <c r="AR1634" s="55">
        <v>28500</v>
      </c>
      <c r="AS1634" s="78">
        <f t="shared" si="29"/>
        <v>0</v>
      </c>
    </row>
    <row r="1635" spans="39:45">
      <c r="AM1635" s="55">
        <v>2019</v>
      </c>
      <c r="AN1635" s="55" t="s">
        <v>185</v>
      </c>
      <c r="AO1635" s="55">
        <v>10</v>
      </c>
      <c r="AP1635" s="55">
        <v>1</v>
      </c>
      <c r="AQ1635" s="55">
        <v>0</v>
      </c>
      <c r="AR1635" s="55">
        <v>28500</v>
      </c>
      <c r="AS1635" s="78">
        <f t="shared" si="29"/>
        <v>0</v>
      </c>
    </row>
    <row r="1636" spans="39:45">
      <c r="AM1636" s="54">
        <v>2019</v>
      </c>
      <c r="AN1636" s="54" t="s">
        <v>185</v>
      </c>
      <c r="AO1636" s="54">
        <v>10</v>
      </c>
      <c r="AP1636" s="54">
        <v>2</v>
      </c>
      <c r="AQ1636" s="54">
        <v>0</v>
      </c>
      <c r="AR1636" s="55">
        <v>28500</v>
      </c>
      <c r="AS1636" s="78">
        <f t="shared" si="29"/>
        <v>0</v>
      </c>
    </row>
    <row r="1637" spans="39:45">
      <c r="AM1637" s="55">
        <v>2019</v>
      </c>
      <c r="AN1637" s="55" t="s">
        <v>185</v>
      </c>
      <c r="AO1637" s="55">
        <v>10</v>
      </c>
      <c r="AP1637" s="55">
        <v>3</v>
      </c>
      <c r="AQ1637" s="55">
        <v>0</v>
      </c>
      <c r="AR1637" s="55">
        <v>28500</v>
      </c>
      <c r="AS1637" s="78">
        <f t="shared" si="29"/>
        <v>0</v>
      </c>
    </row>
    <row r="1638" spans="39:45">
      <c r="AM1638" s="54">
        <v>2019</v>
      </c>
      <c r="AN1638" s="54" t="s">
        <v>185</v>
      </c>
      <c r="AO1638" s="54">
        <v>10</v>
      </c>
      <c r="AP1638" s="54">
        <v>4</v>
      </c>
      <c r="AQ1638" s="54">
        <v>0</v>
      </c>
      <c r="AR1638" s="55">
        <v>28500</v>
      </c>
      <c r="AS1638" s="78">
        <f t="shared" si="29"/>
        <v>0</v>
      </c>
    </row>
    <row r="1639" spans="39:45">
      <c r="AM1639" s="55">
        <v>2019</v>
      </c>
      <c r="AN1639" s="55" t="s">
        <v>185</v>
      </c>
      <c r="AO1639" s="55">
        <v>10</v>
      </c>
      <c r="AP1639" s="55">
        <v>5</v>
      </c>
      <c r="AQ1639" s="55">
        <v>0</v>
      </c>
      <c r="AR1639" s="55">
        <v>28500</v>
      </c>
      <c r="AS1639" s="78">
        <f t="shared" si="29"/>
        <v>0</v>
      </c>
    </row>
    <row r="1640" spans="39:45">
      <c r="AM1640" s="54">
        <v>2019</v>
      </c>
      <c r="AN1640" s="54" t="s">
        <v>185</v>
      </c>
      <c r="AO1640" s="54">
        <v>10</v>
      </c>
      <c r="AP1640" s="54">
        <v>6</v>
      </c>
      <c r="AQ1640" s="54">
        <v>0</v>
      </c>
      <c r="AR1640" s="55">
        <v>28500</v>
      </c>
      <c r="AS1640" s="78">
        <f t="shared" si="29"/>
        <v>0</v>
      </c>
    </row>
    <row r="1641" spans="39:45">
      <c r="AM1641" s="55">
        <v>2019</v>
      </c>
      <c r="AN1641" s="55" t="s">
        <v>185</v>
      </c>
      <c r="AO1641" s="55">
        <v>10</v>
      </c>
      <c r="AP1641" s="55">
        <v>7</v>
      </c>
      <c r="AQ1641" s="55">
        <v>2182.5</v>
      </c>
      <c r="AR1641" s="55">
        <v>28500</v>
      </c>
      <c r="AS1641" s="78">
        <f t="shared" si="29"/>
        <v>7.6578947368421052E-2</v>
      </c>
    </row>
    <row r="1642" spans="39:45">
      <c r="AM1642" s="54">
        <v>2019</v>
      </c>
      <c r="AN1642" s="54" t="s">
        <v>185</v>
      </c>
      <c r="AO1642" s="54">
        <v>10</v>
      </c>
      <c r="AP1642" s="54">
        <v>8</v>
      </c>
      <c r="AQ1642" s="54">
        <v>3226.5</v>
      </c>
      <c r="AR1642" s="55">
        <v>28500</v>
      </c>
      <c r="AS1642" s="78">
        <f t="shared" si="29"/>
        <v>0.11321052631578947</v>
      </c>
    </row>
    <row r="1643" spans="39:45">
      <c r="AM1643" s="55">
        <v>2019</v>
      </c>
      <c r="AN1643" s="55" t="s">
        <v>185</v>
      </c>
      <c r="AO1643" s="55">
        <v>10</v>
      </c>
      <c r="AP1643" s="55">
        <v>9</v>
      </c>
      <c r="AQ1643" s="55">
        <v>25370.5</v>
      </c>
      <c r="AR1643" s="55">
        <v>28500</v>
      </c>
      <c r="AS1643" s="78">
        <f t="shared" si="29"/>
        <v>0.89019298245614031</v>
      </c>
    </row>
    <row r="1644" spans="39:45">
      <c r="AM1644" s="54">
        <v>2019</v>
      </c>
      <c r="AN1644" s="54" t="s">
        <v>185</v>
      </c>
      <c r="AO1644" s="54">
        <v>10</v>
      </c>
      <c r="AP1644" s="54">
        <v>10</v>
      </c>
      <c r="AQ1644" s="54">
        <v>28938.5</v>
      </c>
      <c r="AR1644" s="55">
        <v>28500</v>
      </c>
      <c r="AS1644" s="78">
        <f t="shared" si="29"/>
        <v>1.0153859649122807</v>
      </c>
    </row>
    <row r="1645" spans="39:45">
      <c r="AM1645" s="55">
        <v>2019</v>
      </c>
      <c r="AN1645" s="55" t="s">
        <v>185</v>
      </c>
      <c r="AO1645" s="55">
        <v>10</v>
      </c>
      <c r="AP1645" s="55">
        <v>11</v>
      </c>
      <c r="AQ1645" s="55">
        <v>4297.5</v>
      </c>
      <c r="AR1645" s="55">
        <v>28500</v>
      </c>
      <c r="AS1645" s="78">
        <f t="shared" si="29"/>
        <v>0.15078947368421053</v>
      </c>
    </row>
    <row r="1646" spans="39:45">
      <c r="AM1646" s="54">
        <v>2019</v>
      </c>
      <c r="AN1646" s="54" t="s">
        <v>185</v>
      </c>
      <c r="AO1646" s="54">
        <v>10</v>
      </c>
      <c r="AP1646" s="54">
        <v>12</v>
      </c>
      <c r="AQ1646" s="54">
        <v>2297.5</v>
      </c>
      <c r="AR1646" s="55">
        <v>28500</v>
      </c>
      <c r="AS1646" s="78">
        <f t="shared" si="29"/>
        <v>8.0614035087719305E-2</v>
      </c>
    </row>
    <row r="1647" spans="39:45">
      <c r="AM1647" s="55">
        <v>2019</v>
      </c>
      <c r="AN1647" s="55" t="s">
        <v>185</v>
      </c>
      <c r="AO1647" s="55">
        <v>10</v>
      </c>
      <c r="AP1647" s="55">
        <v>13</v>
      </c>
      <c r="AQ1647" s="55">
        <v>38854.5</v>
      </c>
      <c r="AR1647" s="55">
        <v>28500</v>
      </c>
      <c r="AS1647" s="78">
        <f t="shared" si="29"/>
        <v>1.3633157894736843</v>
      </c>
    </row>
    <row r="1648" spans="39:45">
      <c r="AM1648" s="54">
        <v>2019</v>
      </c>
      <c r="AN1648" s="54" t="s">
        <v>185</v>
      </c>
      <c r="AO1648" s="54">
        <v>10</v>
      </c>
      <c r="AP1648" s="54">
        <v>14</v>
      </c>
      <c r="AQ1648" s="54">
        <v>35323.5</v>
      </c>
      <c r="AR1648" s="55">
        <v>28500</v>
      </c>
      <c r="AS1648" s="78">
        <f t="shared" si="29"/>
        <v>1.239421052631579</v>
      </c>
    </row>
    <row r="1649" spans="39:45">
      <c r="AM1649" s="55">
        <v>2019</v>
      </c>
      <c r="AN1649" s="55" t="s">
        <v>185</v>
      </c>
      <c r="AO1649" s="55">
        <v>10</v>
      </c>
      <c r="AP1649" s="55">
        <v>15</v>
      </c>
      <c r="AQ1649" s="55">
        <v>8921.5</v>
      </c>
      <c r="AR1649" s="55">
        <v>28500</v>
      </c>
      <c r="AS1649" s="78">
        <f t="shared" si="29"/>
        <v>0.31303508771929822</v>
      </c>
    </row>
    <row r="1650" spans="39:45">
      <c r="AM1650" s="54">
        <v>2019</v>
      </c>
      <c r="AN1650" s="54" t="s">
        <v>185</v>
      </c>
      <c r="AO1650" s="54">
        <v>10</v>
      </c>
      <c r="AP1650" s="54">
        <v>16</v>
      </c>
      <c r="AQ1650" s="54">
        <v>16281</v>
      </c>
      <c r="AR1650" s="55">
        <v>28500</v>
      </c>
      <c r="AS1650" s="78">
        <f t="shared" si="29"/>
        <v>0.57126315789473681</v>
      </c>
    </row>
    <row r="1651" spans="39:45">
      <c r="AM1651" s="55">
        <v>2019</v>
      </c>
      <c r="AN1651" s="55" t="s">
        <v>185</v>
      </c>
      <c r="AO1651" s="55">
        <v>10</v>
      </c>
      <c r="AP1651" s="55">
        <v>17</v>
      </c>
      <c r="AQ1651" s="55">
        <v>4338.5</v>
      </c>
      <c r="AR1651" s="55">
        <v>28500</v>
      </c>
      <c r="AS1651" s="78">
        <f t="shared" si="29"/>
        <v>0.1522280701754386</v>
      </c>
    </row>
    <row r="1652" spans="39:45">
      <c r="AM1652" s="54">
        <v>2019</v>
      </c>
      <c r="AN1652" s="54" t="s">
        <v>185</v>
      </c>
      <c r="AO1652" s="54">
        <v>10</v>
      </c>
      <c r="AP1652" s="54">
        <v>18</v>
      </c>
      <c r="AQ1652" s="54">
        <v>0</v>
      </c>
      <c r="AR1652" s="55">
        <v>28500</v>
      </c>
      <c r="AS1652" s="78">
        <f t="shared" si="29"/>
        <v>0</v>
      </c>
    </row>
    <row r="1653" spans="39:45">
      <c r="AM1653" s="55">
        <v>2019</v>
      </c>
      <c r="AN1653" s="55" t="s">
        <v>185</v>
      </c>
      <c r="AO1653" s="55">
        <v>10</v>
      </c>
      <c r="AP1653" s="55">
        <v>19</v>
      </c>
      <c r="AQ1653" s="55">
        <v>0</v>
      </c>
      <c r="AR1653" s="55">
        <v>28500</v>
      </c>
      <c r="AS1653" s="78">
        <f t="shared" si="29"/>
        <v>0</v>
      </c>
    </row>
    <row r="1654" spans="39:45">
      <c r="AM1654" s="54">
        <v>2019</v>
      </c>
      <c r="AN1654" s="54" t="s">
        <v>185</v>
      </c>
      <c r="AO1654" s="54">
        <v>10</v>
      </c>
      <c r="AP1654" s="54">
        <v>20</v>
      </c>
      <c r="AQ1654" s="54">
        <v>0</v>
      </c>
      <c r="AR1654" s="55">
        <v>28500</v>
      </c>
      <c r="AS1654" s="78">
        <f t="shared" si="29"/>
        <v>0</v>
      </c>
    </row>
    <row r="1655" spans="39:45">
      <c r="AM1655" s="55">
        <v>2019</v>
      </c>
      <c r="AN1655" s="55" t="s">
        <v>185</v>
      </c>
      <c r="AO1655" s="55">
        <v>10</v>
      </c>
      <c r="AP1655" s="55">
        <v>21</v>
      </c>
      <c r="AQ1655" s="55">
        <v>0</v>
      </c>
      <c r="AR1655" s="55">
        <v>28500</v>
      </c>
      <c r="AS1655" s="78">
        <f t="shared" si="29"/>
        <v>0</v>
      </c>
    </row>
    <row r="1656" spans="39:45">
      <c r="AM1656" s="54">
        <v>2019</v>
      </c>
      <c r="AN1656" s="54" t="s">
        <v>185</v>
      </c>
      <c r="AO1656" s="54">
        <v>10</v>
      </c>
      <c r="AP1656" s="54">
        <v>22</v>
      </c>
      <c r="AQ1656" s="54">
        <v>0</v>
      </c>
      <c r="AR1656" s="55">
        <v>28500</v>
      </c>
      <c r="AS1656" s="78">
        <f t="shared" si="29"/>
        <v>0</v>
      </c>
    </row>
    <row r="1657" spans="39:45">
      <c r="AM1657" s="55">
        <v>2019</v>
      </c>
      <c r="AN1657" s="55" t="s">
        <v>185</v>
      </c>
      <c r="AO1657" s="55">
        <v>10</v>
      </c>
      <c r="AP1657" s="55">
        <v>23</v>
      </c>
      <c r="AQ1657" s="55">
        <v>0</v>
      </c>
      <c r="AR1657" s="55">
        <v>28500</v>
      </c>
      <c r="AS1657" s="78">
        <f t="shared" si="29"/>
        <v>0</v>
      </c>
    </row>
    <row r="1658" spans="39:45">
      <c r="AM1658" s="54">
        <v>2019</v>
      </c>
      <c r="AN1658" s="54" t="s">
        <v>185</v>
      </c>
      <c r="AO1658" s="54">
        <v>11</v>
      </c>
      <c r="AP1658" s="54">
        <v>24</v>
      </c>
      <c r="AQ1658" s="54">
        <v>0</v>
      </c>
      <c r="AR1658" s="55">
        <v>28500</v>
      </c>
      <c r="AS1658" s="78">
        <f t="shared" si="29"/>
        <v>0</v>
      </c>
    </row>
    <row r="1659" spans="39:45">
      <c r="AM1659" s="55">
        <v>2019</v>
      </c>
      <c r="AN1659" s="55" t="s">
        <v>185</v>
      </c>
      <c r="AO1659" s="55">
        <v>11</v>
      </c>
      <c r="AP1659" s="55">
        <v>1</v>
      </c>
      <c r="AQ1659" s="55">
        <v>0</v>
      </c>
      <c r="AR1659" s="55">
        <v>28500</v>
      </c>
      <c r="AS1659" s="78">
        <f t="shared" si="29"/>
        <v>0</v>
      </c>
    </row>
    <row r="1660" spans="39:45">
      <c r="AM1660" s="54">
        <v>2019</v>
      </c>
      <c r="AN1660" s="54" t="s">
        <v>185</v>
      </c>
      <c r="AO1660" s="54">
        <v>11</v>
      </c>
      <c r="AP1660" s="54">
        <v>2</v>
      </c>
      <c r="AQ1660" s="54">
        <v>0</v>
      </c>
      <c r="AR1660" s="55">
        <v>28500</v>
      </c>
      <c r="AS1660" s="78">
        <f t="shared" si="29"/>
        <v>0</v>
      </c>
    </row>
    <row r="1661" spans="39:45">
      <c r="AM1661" s="55">
        <v>2019</v>
      </c>
      <c r="AN1661" s="55" t="s">
        <v>185</v>
      </c>
      <c r="AO1661" s="55">
        <v>11</v>
      </c>
      <c r="AP1661" s="55">
        <v>3</v>
      </c>
      <c r="AQ1661" s="55">
        <v>0</v>
      </c>
      <c r="AR1661" s="55">
        <v>28500</v>
      </c>
      <c r="AS1661" s="78">
        <f t="shared" si="29"/>
        <v>0</v>
      </c>
    </row>
    <row r="1662" spans="39:45">
      <c r="AM1662" s="54">
        <v>2019</v>
      </c>
      <c r="AN1662" s="54" t="s">
        <v>185</v>
      </c>
      <c r="AO1662" s="54">
        <v>11</v>
      </c>
      <c r="AP1662" s="54">
        <v>4</v>
      </c>
      <c r="AQ1662" s="54">
        <v>0</v>
      </c>
      <c r="AR1662" s="55">
        <v>28500</v>
      </c>
      <c r="AS1662" s="78">
        <f t="shared" si="29"/>
        <v>0</v>
      </c>
    </row>
    <row r="1663" spans="39:45">
      <c r="AM1663" s="55">
        <v>2019</v>
      </c>
      <c r="AN1663" s="55" t="s">
        <v>185</v>
      </c>
      <c r="AO1663" s="55">
        <v>11</v>
      </c>
      <c r="AP1663" s="55">
        <v>5</v>
      </c>
      <c r="AQ1663" s="55">
        <v>0</v>
      </c>
      <c r="AR1663" s="55">
        <v>28500</v>
      </c>
      <c r="AS1663" s="78">
        <f t="shared" si="29"/>
        <v>0</v>
      </c>
    </row>
    <row r="1664" spans="39:45">
      <c r="AM1664" s="54">
        <v>2019</v>
      </c>
      <c r="AN1664" s="54" t="s">
        <v>185</v>
      </c>
      <c r="AO1664" s="54">
        <v>11</v>
      </c>
      <c r="AP1664" s="54">
        <v>6</v>
      </c>
      <c r="AQ1664" s="54">
        <v>0</v>
      </c>
      <c r="AR1664" s="55">
        <v>28500</v>
      </c>
      <c r="AS1664" s="78">
        <f t="shared" si="29"/>
        <v>0</v>
      </c>
    </row>
    <row r="1665" spans="39:45">
      <c r="AM1665" s="55">
        <v>2019</v>
      </c>
      <c r="AN1665" s="55" t="s">
        <v>185</v>
      </c>
      <c r="AO1665" s="55">
        <v>11</v>
      </c>
      <c r="AP1665" s="55">
        <v>7</v>
      </c>
      <c r="AQ1665" s="55">
        <v>4931</v>
      </c>
      <c r="AR1665" s="55">
        <v>28500</v>
      </c>
      <c r="AS1665" s="78">
        <f t="shared" si="29"/>
        <v>0.17301754385964913</v>
      </c>
    </row>
    <row r="1666" spans="39:45">
      <c r="AM1666" s="54">
        <v>2019</v>
      </c>
      <c r="AN1666" s="54" t="s">
        <v>185</v>
      </c>
      <c r="AO1666" s="54">
        <v>11</v>
      </c>
      <c r="AP1666" s="54">
        <v>8</v>
      </c>
      <c r="AQ1666" s="54">
        <v>17677.5</v>
      </c>
      <c r="AR1666" s="55">
        <v>28500</v>
      </c>
      <c r="AS1666" s="78">
        <f t="shared" ref="AS1666:AS1729" si="30">AQ1666/AR1666</f>
        <v>0.62026315789473685</v>
      </c>
    </row>
    <row r="1667" spans="39:45">
      <c r="AM1667" s="55">
        <v>2019</v>
      </c>
      <c r="AN1667" s="55" t="s">
        <v>185</v>
      </c>
      <c r="AO1667" s="55">
        <v>11</v>
      </c>
      <c r="AP1667" s="55">
        <v>9</v>
      </c>
      <c r="AQ1667" s="55">
        <v>27430.5</v>
      </c>
      <c r="AR1667" s="55">
        <v>28500</v>
      </c>
      <c r="AS1667" s="78">
        <f t="shared" si="30"/>
        <v>0.96247368421052637</v>
      </c>
    </row>
    <row r="1668" spans="39:45">
      <c r="AM1668" s="54">
        <v>2019</v>
      </c>
      <c r="AN1668" s="54" t="s">
        <v>185</v>
      </c>
      <c r="AO1668" s="54">
        <v>11</v>
      </c>
      <c r="AP1668" s="54">
        <v>10</v>
      </c>
      <c r="AQ1668" s="54">
        <v>35076</v>
      </c>
      <c r="AR1668" s="55">
        <v>28500</v>
      </c>
      <c r="AS1668" s="78">
        <f t="shared" si="30"/>
        <v>1.2307368421052631</v>
      </c>
    </row>
    <row r="1669" spans="39:45">
      <c r="AM1669" s="55">
        <v>2019</v>
      </c>
      <c r="AN1669" s="55" t="s">
        <v>185</v>
      </c>
      <c r="AO1669" s="55">
        <v>11</v>
      </c>
      <c r="AP1669" s="55">
        <v>11</v>
      </c>
      <c r="AQ1669" s="55">
        <v>37785</v>
      </c>
      <c r="AR1669" s="55">
        <v>28500</v>
      </c>
      <c r="AS1669" s="78">
        <f t="shared" si="30"/>
        <v>1.3257894736842106</v>
      </c>
    </row>
    <row r="1670" spans="39:45">
      <c r="AM1670" s="54">
        <v>2019</v>
      </c>
      <c r="AN1670" s="54" t="s">
        <v>185</v>
      </c>
      <c r="AO1670" s="54">
        <v>11</v>
      </c>
      <c r="AP1670" s="54">
        <v>12</v>
      </c>
      <c r="AQ1670" s="54">
        <v>42733.5</v>
      </c>
      <c r="AR1670" s="55">
        <v>28500</v>
      </c>
      <c r="AS1670" s="78">
        <f t="shared" si="30"/>
        <v>1.499421052631579</v>
      </c>
    </row>
    <row r="1671" spans="39:45">
      <c r="AM1671" s="55">
        <v>2019</v>
      </c>
      <c r="AN1671" s="55" t="s">
        <v>185</v>
      </c>
      <c r="AO1671" s="55">
        <v>11</v>
      </c>
      <c r="AP1671" s="55">
        <v>13</v>
      </c>
      <c r="AQ1671" s="55">
        <v>38057</v>
      </c>
      <c r="AR1671" s="55">
        <v>28500</v>
      </c>
      <c r="AS1671" s="78">
        <f t="shared" si="30"/>
        <v>1.3353333333333333</v>
      </c>
    </row>
    <row r="1672" spans="39:45">
      <c r="AM1672" s="54">
        <v>2019</v>
      </c>
      <c r="AN1672" s="54" t="s">
        <v>185</v>
      </c>
      <c r="AO1672" s="54">
        <v>11</v>
      </c>
      <c r="AP1672" s="54">
        <v>14</v>
      </c>
      <c r="AQ1672" s="54">
        <v>25402.5</v>
      </c>
      <c r="AR1672" s="55">
        <v>28500</v>
      </c>
      <c r="AS1672" s="78">
        <f t="shared" si="30"/>
        <v>0.89131578947368417</v>
      </c>
    </row>
    <row r="1673" spans="39:45">
      <c r="AM1673" s="55">
        <v>2019</v>
      </c>
      <c r="AN1673" s="55" t="s">
        <v>185</v>
      </c>
      <c r="AO1673" s="55">
        <v>11</v>
      </c>
      <c r="AP1673" s="55">
        <v>15</v>
      </c>
      <c r="AQ1673" s="55">
        <v>24995.5</v>
      </c>
      <c r="AR1673" s="55">
        <v>28500</v>
      </c>
      <c r="AS1673" s="78">
        <f t="shared" si="30"/>
        <v>0.87703508771929828</v>
      </c>
    </row>
    <row r="1674" spans="39:45">
      <c r="AM1674" s="54">
        <v>2019</v>
      </c>
      <c r="AN1674" s="54" t="s">
        <v>185</v>
      </c>
      <c r="AO1674" s="54">
        <v>11</v>
      </c>
      <c r="AP1674" s="54">
        <v>16</v>
      </c>
      <c r="AQ1674" s="54">
        <v>17191</v>
      </c>
      <c r="AR1674" s="55">
        <v>28500</v>
      </c>
      <c r="AS1674" s="78">
        <f t="shared" si="30"/>
        <v>0.60319298245614039</v>
      </c>
    </row>
    <row r="1675" spans="39:45">
      <c r="AM1675" s="55">
        <v>2019</v>
      </c>
      <c r="AN1675" s="55" t="s">
        <v>185</v>
      </c>
      <c r="AO1675" s="55">
        <v>11</v>
      </c>
      <c r="AP1675" s="55">
        <v>17</v>
      </c>
      <c r="AQ1675" s="55">
        <v>2864</v>
      </c>
      <c r="AR1675" s="55">
        <v>28500</v>
      </c>
      <c r="AS1675" s="78">
        <f t="shared" si="30"/>
        <v>0.10049122807017544</v>
      </c>
    </row>
    <row r="1676" spans="39:45">
      <c r="AM1676" s="54">
        <v>2019</v>
      </c>
      <c r="AN1676" s="54" t="s">
        <v>185</v>
      </c>
      <c r="AO1676" s="54">
        <v>11</v>
      </c>
      <c r="AP1676" s="54">
        <v>18</v>
      </c>
      <c r="AQ1676" s="54">
        <v>0</v>
      </c>
      <c r="AR1676" s="55">
        <v>28500</v>
      </c>
      <c r="AS1676" s="78">
        <f t="shared" si="30"/>
        <v>0</v>
      </c>
    </row>
    <row r="1677" spans="39:45">
      <c r="AM1677" s="55">
        <v>2019</v>
      </c>
      <c r="AN1677" s="55" t="s">
        <v>185</v>
      </c>
      <c r="AO1677" s="55">
        <v>11</v>
      </c>
      <c r="AP1677" s="55">
        <v>19</v>
      </c>
      <c r="AQ1677" s="55">
        <v>0</v>
      </c>
      <c r="AR1677" s="55">
        <v>28500</v>
      </c>
      <c r="AS1677" s="78">
        <f t="shared" si="30"/>
        <v>0</v>
      </c>
    </row>
    <row r="1678" spans="39:45">
      <c r="AM1678" s="54">
        <v>2019</v>
      </c>
      <c r="AN1678" s="54" t="s">
        <v>185</v>
      </c>
      <c r="AO1678" s="54">
        <v>11</v>
      </c>
      <c r="AP1678" s="54">
        <v>20</v>
      </c>
      <c r="AQ1678" s="54">
        <v>0</v>
      </c>
      <c r="AR1678" s="55">
        <v>28500</v>
      </c>
      <c r="AS1678" s="78">
        <f t="shared" si="30"/>
        <v>0</v>
      </c>
    </row>
    <row r="1679" spans="39:45">
      <c r="AM1679" s="55">
        <v>2019</v>
      </c>
      <c r="AN1679" s="55" t="s">
        <v>185</v>
      </c>
      <c r="AO1679" s="55">
        <v>11</v>
      </c>
      <c r="AP1679" s="55">
        <v>21</v>
      </c>
      <c r="AQ1679" s="55">
        <v>0</v>
      </c>
      <c r="AR1679" s="55">
        <v>28500</v>
      </c>
      <c r="AS1679" s="78">
        <f t="shared" si="30"/>
        <v>0</v>
      </c>
    </row>
    <row r="1680" spans="39:45">
      <c r="AM1680" s="54">
        <v>2019</v>
      </c>
      <c r="AN1680" s="54" t="s">
        <v>185</v>
      </c>
      <c r="AO1680" s="54">
        <v>11</v>
      </c>
      <c r="AP1680" s="54">
        <v>22</v>
      </c>
      <c r="AQ1680" s="54">
        <v>0</v>
      </c>
      <c r="AR1680" s="55">
        <v>28500</v>
      </c>
      <c r="AS1680" s="78">
        <f t="shared" si="30"/>
        <v>0</v>
      </c>
    </row>
    <row r="1681" spans="39:45">
      <c r="AM1681" s="55">
        <v>2019</v>
      </c>
      <c r="AN1681" s="55" t="s">
        <v>185</v>
      </c>
      <c r="AO1681" s="55">
        <v>11</v>
      </c>
      <c r="AP1681" s="55">
        <v>23</v>
      </c>
      <c r="AQ1681" s="55">
        <v>0</v>
      </c>
      <c r="AR1681" s="55">
        <v>28500</v>
      </c>
      <c r="AS1681" s="78">
        <f t="shared" si="30"/>
        <v>0</v>
      </c>
    </row>
    <row r="1682" spans="39:45">
      <c r="AM1682" s="54">
        <v>2019</v>
      </c>
      <c r="AN1682" s="54" t="s">
        <v>185</v>
      </c>
      <c r="AO1682" s="54">
        <v>12</v>
      </c>
      <c r="AP1682" s="54">
        <v>24</v>
      </c>
      <c r="AQ1682" s="54">
        <v>0</v>
      </c>
      <c r="AR1682" s="55">
        <v>28500</v>
      </c>
      <c r="AS1682" s="78">
        <f t="shared" si="30"/>
        <v>0</v>
      </c>
    </row>
    <row r="1683" spans="39:45">
      <c r="AM1683" s="55">
        <v>2019</v>
      </c>
      <c r="AN1683" s="55" t="s">
        <v>185</v>
      </c>
      <c r="AO1683" s="55">
        <v>12</v>
      </c>
      <c r="AP1683" s="55">
        <v>1</v>
      </c>
      <c r="AQ1683" s="55">
        <v>0</v>
      </c>
      <c r="AR1683" s="55">
        <v>28500</v>
      </c>
      <c r="AS1683" s="78">
        <f t="shared" si="30"/>
        <v>0</v>
      </c>
    </row>
    <row r="1684" spans="39:45">
      <c r="AM1684" s="54">
        <v>2019</v>
      </c>
      <c r="AN1684" s="54" t="s">
        <v>185</v>
      </c>
      <c r="AO1684" s="54">
        <v>12</v>
      </c>
      <c r="AP1684" s="54">
        <v>2</v>
      </c>
      <c r="AQ1684" s="54">
        <v>0</v>
      </c>
      <c r="AR1684" s="55">
        <v>28500</v>
      </c>
      <c r="AS1684" s="78">
        <f t="shared" si="30"/>
        <v>0</v>
      </c>
    </row>
    <row r="1685" spans="39:45">
      <c r="AM1685" s="55">
        <v>2019</v>
      </c>
      <c r="AN1685" s="55" t="s">
        <v>185</v>
      </c>
      <c r="AO1685" s="55">
        <v>12</v>
      </c>
      <c r="AP1685" s="55">
        <v>3</v>
      </c>
      <c r="AQ1685" s="55">
        <v>0</v>
      </c>
      <c r="AR1685" s="55">
        <v>28500</v>
      </c>
      <c r="AS1685" s="78">
        <f t="shared" si="30"/>
        <v>0</v>
      </c>
    </row>
    <row r="1686" spans="39:45">
      <c r="AM1686" s="54">
        <v>2019</v>
      </c>
      <c r="AN1686" s="54" t="s">
        <v>185</v>
      </c>
      <c r="AO1686" s="54">
        <v>12</v>
      </c>
      <c r="AP1686" s="54">
        <v>4</v>
      </c>
      <c r="AQ1686" s="54">
        <v>0</v>
      </c>
      <c r="AR1686" s="55">
        <v>28500</v>
      </c>
      <c r="AS1686" s="78">
        <f t="shared" si="30"/>
        <v>0</v>
      </c>
    </row>
    <row r="1687" spans="39:45">
      <c r="AM1687" s="55">
        <v>2019</v>
      </c>
      <c r="AN1687" s="55" t="s">
        <v>185</v>
      </c>
      <c r="AO1687" s="55">
        <v>12</v>
      </c>
      <c r="AP1687" s="55">
        <v>5</v>
      </c>
      <c r="AQ1687" s="55">
        <v>0</v>
      </c>
      <c r="AR1687" s="55">
        <v>28500</v>
      </c>
      <c r="AS1687" s="78">
        <f t="shared" si="30"/>
        <v>0</v>
      </c>
    </row>
    <row r="1688" spans="39:45">
      <c r="AM1688" s="54">
        <v>2019</v>
      </c>
      <c r="AN1688" s="54" t="s">
        <v>185</v>
      </c>
      <c r="AO1688" s="54">
        <v>12</v>
      </c>
      <c r="AP1688" s="54">
        <v>6</v>
      </c>
      <c r="AQ1688" s="54">
        <v>0</v>
      </c>
      <c r="AR1688" s="55">
        <v>28500</v>
      </c>
      <c r="AS1688" s="78">
        <f t="shared" si="30"/>
        <v>0</v>
      </c>
    </row>
    <row r="1689" spans="39:45">
      <c r="AM1689" s="55">
        <v>2019</v>
      </c>
      <c r="AN1689" s="55" t="s">
        <v>185</v>
      </c>
      <c r="AO1689" s="55">
        <v>12</v>
      </c>
      <c r="AP1689" s="55">
        <v>7</v>
      </c>
      <c r="AQ1689" s="55">
        <v>223.5</v>
      </c>
      <c r="AR1689" s="55">
        <v>28500</v>
      </c>
      <c r="AS1689" s="78">
        <f t="shared" si="30"/>
        <v>7.842105263157895E-3</v>
      </c>
    </row>
    <row r="1690" spans="39:45">
      <c r="AM1690" s="54">
        <v>2019</v>
      </c>
      <c r="AN1690" s="54" t="s">
        <v>185</v>
      </c>
      <c r="AO1690" s="54">
        <v>12</v>
      </c>
      <c r="AP1690" s="54">
        <v>8</v>
      </c>
      <c r="AQ1690" s="54">
        <v>1299</v>
      </c>
      <c r="AR1690" s="55">
        <v>28500</v>
      </c>
      <c r="AS1690" s="78">
        <f t="shared" si="30"/>
        <v>4.5578947368421052E-2</v>
      </c>
    </row>
    <row r="1691" spans="39:45">
      <c r="AM1691" s="55">
        <v>2019</v>
      </c>
      <c r="AN1691" s="55" t="s">
        <v>185</v>
      </c>
      <c r="AO1691" s="55">
        <v>12</v>
      </c>
      <c r="AP1691" s="55">
        <v>9</v>
      </c>
      <c r="AQ1691" s="55">
        <v>2222</v>
      </c>
      <c r="AR1691" s="55">
        <v>28500</v>
      </c>
      <c r="AS1691" s="78">
        <f t="shared" si="30"/>
        <v>7.7964912280701751E-2</v>
      </c>
    </row>
    <row r="1692" spans="39:45">
      <c r="AM1692" s="54">
        <v>2019</v>
      </c>
      <c r="AN1692" s="54" t="s">
        <v>185</v>
      </c>
      <c r="AO1692" s="54">
        <v>12</v>
      </c>
      <c r="AP1692" s="54">
        <v>10</v>
      </c>
      <c r="AQ1692" s="54">
        <v>3733.5</v>
      </c>
      <c r="AR1692" s="55">
        <v>28500</v>
      </c>
      <c r="AS1692" s="78">
        <f t="shared" si="30"/>
        <v>0.13100000000000001</v>
      </c>
    </row>
    <row r="1693" spans="39:45">
      <c r="AM1693" s="55">
        <v>2019</v>
      </c>
      <c r="AN1693" s="55" t="s">
        <v>185</v>
      </c>
      <c r="AO1693" s="55">
        <v>12</v>
      </c>
      <c r="AP1693" s="55">
        <v>11</v>
      </c>
      <c r="AQ1693" s="55">
        <v>4885</v>
      </c>
      <c r="AR1693" s="55">
        <v>28500</v>
      </c>
      <c r="AS1693" s="78">
        <f t="shared" si="30"/>
        <v>0.17140350877192984</v>
      </c>
    </row>
    <row r="1694" spans="39:45">
      <c r="AM1694" s="54">
        <v>2019</v>
      </c>
      <c r="AN1694" s="54" t="s">
        <v>185</v>
      </c>
      <c r="AO1694" s="54">
        <v>12</v>
      </c>
      <c r="AP1694" s="54">
        <v>12</v>
      </c>
      <c r="AQ1694" s="54">
        <v>3887.5</v>
      </c>
      <c r="AR1694" s="55">
        <v>28500</v>
      </c>
      <c r="AS1694" s="78">
        <f t="shared" si="30"/>
        <v>0.13640350877192983</v>
      </c>
    </row>
    <row r="1695" spans="39:45">
      <c r="AM1695" s="55">
        <v>2019</v>
      </c>
      <c r="AN1695" s="55" t="s">
        <v>185</v>
      </c>
      <c r="AO1695" s="55">
        <v>12</v>
      </c>
      <c r="AP1695" s="55">
        <v>13</v>
      </c>
      <c r="AQ1695" s="55">
        <v>2829.5</v>
      </c>
      <c r="AR1695" s="55">
        <v>28500</v>
      </c>
      <c r="AS1695" s="78">
        <f t="shared" si="30"/>
        <v>9.9280701754385969E-2</v>
      </c>
    </row>
    <row r="1696" spans="39:45">
      <c r="AM1696" s="54">
        <v>2019</v>
      </c>
      <c r="AN1696" s="54" t="s">
        <v>185</v>
      </c>
      <c r="AO1696" s="54">
        <v>12</v>
      </c>
      <c r="AP1696" s="54">
        <v>14</v>
      </c>
      <c r="AQ1696" s="54">
        <v>2951</v>
      </c>
      <c r="AR1696" s="55">
        <v>28500</v>
      </c>
      <c r="AS1696" s="78">
        <f t="shared" si="30"/>
        <v>0.10354385964912281</v>
      </c>
    </row>
    <row r="1697" spans="39:45">
      <c r="AM1697" s="55">
        <v>2019</v>
      </c>
      <c r="AN1697" s="55" t="s">
        <v>185</v>
      </c>
      <c r="AO1697" s="55">
        <v>12</v>
      </c>
      <c r="AP1697" s="55">
        <v>15</v>
      </c>
      <c r="AQ1697" s="55">
        <v>1653</v>
      </c>
      <c r="AR1697" s="55">
        <v>28500</v>
      </c>
      <c r="AS1697" s="78">
        <f t="shared" si="30"/>
        <v>5.8000000000000003E-2</v>
      </c>
    </row>
    <row r="1698" spans="39:45">
      <c r="AM1698" s="54">
        <v>2019</v>
      </c>
      <c r="AN1698" s="54" t="s">
        <v>185</v>
      </c>
      <c r="AO1698" s="54">
        <v>12</v>
      </c>
      <c r="AP1698" s="54">
        <v>16</v>
      </c>
      <c r="AQ1698" s="54">
        <v>595</v>
      </c>
      <c r="AR1698" s="55">
        <v>28500</v>
      </c>
      <c r="AS1698" s="78">
        <f t="shared" si="30"/>
        <v>2.087719298245614E-2</v>
      </c>
    </row>
    <row r="1699" spans="39:45">
      <c r="AM1699" s="55">
        <v>2019</v>
      </c>
      <c r="AN1699" s="55" t="s">
        <v>185</v>
      </c>
      <c r="AO1699" s="55">
        <v>12</v>
      </c>
      <c r="AP1699" s="55">
        <v>17</v>
      </c>
      <c r="AQ1699" s="55">
        <v>1802</v>
      </c>
      <c r="AR1699" s="55">
        <v>28500</v>
      </c>
      <c r="AS1699" s="78">
        <f t="shared" si="30"/>
        <v>6.3228070175438592E-2</v>
      </c>
    </row>
    <row r="1700" spans="39:45">
      <c r="AM1700" s="54">
        <v>2019</v>
      </c>
      <c r="AN1700" s="54" t="s">
        <v>185</v>
      </c>
      <c r="AO1700" s="54">
        <v>12</v>
      </c>
      <c r="AP1700" s="54">
        <v>18</v>
      </c>
      <c r="AQ1700" s="54">
        <v>0</v>
      </c>
      <c r="AR1700" s="55">
        <v>28500</v>
      </c>
      <c r="AS1700" s="78">
        <f t="shared" si="30"/>
        <v>0</v>
      </c>
    </row>
    <row r="1701" spans="39:45">
      <c r="AM1701" s="55">
        <v>2019</v>
      </c>
      <c r="AN1701" s="55" t="s">
        <v>185</v>
      </c>
      <c r="AO1701" s="55">
        <v>12</v>
      </c>
      <c r="AP1701" s="55">
        <v>19</v>
      </c>
      <c r="AQ1701" s="55">
        <v>0</v>
      </c>
      <c r="AR1701" s="55">
        <v>28500</v>
      </c>
      <c r="AS1701" s="78">
        <f t="shared" si="30"/>
        <v>0</v>
      </c>
    </row>
    <row r="1702" spans="39:45">
      <c r="AM1702" s="54">
        <v>2019</v>
      </c>
      <c r="AN1702" s="54" t="s">
        <v>185</v>
      </c>
      <c r="AO1702" s="54">
        <v>12</v>
      </c>
      <c r="AP1702" s="54">
        <v>20</v>
      </c>
      <c r="AQ1702" s="54">
        <v>0</v>
      </c>
      <c r="AR1702" s="55">
        <v>28500</v>
      </c>
      <c r="AS1702" s="78">
        <f t="shared" si="30"/>
        <v>0</v>
      </c>
    </row>
    <row r="1703" spans="39:45">
      <c r="AM1703" s="55">
        <v>2019</v>
      </c>
      <c r="AN1703" s="55" t="s">
        <v>185</v>
      </c>
      <c r="AO1703" s="55">
        <v>12</v>
      </c>
      <c r="AP1703" s="55">
        <v>21</v>
      </c>
      <c r="AQ1703" s="55">
        <v>0</v>
      </c>
      <c r="AR1703" s="55">
        <v>28500</v>
      </c>
      <c r="AS1703" s="78">
        <f t="shared" si="30"/>
        <v>0</v>
      </c>
    </row>
    <row r="1704" spans="39:45">
      <c r="AM1704" s="54">
        <v>2019</v>
      </c>
      <c r="AN1704" s="54" t="s">
        <v>185</v>
      </c>
      <c r="AO1704" s="54">
        <v>12</v>
      </c>
      <c r="AP1704" s="54">
        <v>22</v>
      </c>
      <c r="AQ1704" s="54">
        <v>0</v>
      </c>
      <c r="AR1704" s="55">
        <v>28500</v>
      </c>
      <c r="AS1704" s="78">
        <f t="shared" si="30"/>
        <v>0</v>
      </c>
    </row>
    <row r="1705" spans="39:45">
      <c r="AM1705" s="55">
        <v>2019</v>
      </c>
      <c r="AN1705" s="55" t="s">
        <v>185</v>
      </c>
      <c r="AO1705" s="55">
        <v>12</v>
      </c>
      <c r="AP1705" s="55">
        <v>23</v>
      </c>
      <c r="AQ1705" s="55">
        <v>0</v>
      </c>
      <c r="AR1705" s="55">
        <v>28500</v>
      </c>
      <c r="AS1705" s="78">
        <f t="shared" si="30"/>
        <v>0</v>
      </c>
    </row>
    <row r="1706" spans="39:45">
      <c r="AM1706" s="54">
        <v>2019</v>
      </c>
      <c r="AN1706" s="54" t="s">
        <v>185</v>
      </c>
      <c r="AO1706" s="54">
        <v>13</v>
      </c>
      <c r="AP1706" s="54">
        <v>24</v>
      </c>
      <c r="AQ1706" s="54">
        <v>0</v>
      </c>
      <c r="AR1706" s="55">
        <v>28500</v>
      </c>
      <c r="AS1706" s="78">
        <f t="shared" si="30"/>
        <v>0</v>
      </c>
    </row>
    <row r="1707" spans="39:45">
      <c r="AM1707" s="55">
        <v>2019</v>
      </c>
      <c r="AN1707" s="55" t="s">
        <v>185</v>
      </c>
      <c r="AO1707" s="55">
        <v>13</v>
      </c>
      <c r="AP1707" s="55">
        <v>1</v>
      </c>
      <c r="AQ1707" s="55">
        <v>0</v>
      </c>
      <c r="AR1707" s="55">
        <v>28500</v>
      </c>
      <c r="AS1707" s="78">
        <f t="shared" si="30"/>
        <v>0</v>
      </c>
    </row>
    <row r="1708" spans="39:45">
      <c r="AM1708" s="54">
        <v>2019</v>
      </c>
      <c r="AN1708" s="54" t="s">
        <v>185</v>
      </c>
      <c r="AO1708" s="54">
        <v>13</v>
      </c>
      <c r="AP1708" s="54">
        <v>2</v>
      </c>
      <c r="AQ1708" s="54">
        <v>0</v>
      </c>
      <c r="AR1708" s="55">
        <v>28500</v>
      </c>
      <c r="AS1708" s="78">
        <f t="shared" si="30"/>
        <v>0</v>
      </c>
    </row>
    <row r="1709" spans="39:45">
      <c r="AM1709" s="55">
        <v>2019</v>
      </c>
      <c r="AN1709" s="55" t="s">
        <v>185</v>
      </c>
      <c r="AO1709" s="55">
        <v>13</v>
      </c>
      <c r="AP1709" s="55">
        <v>3</v>
      </c>
      <c r="AQ1709" s="55">
        <v>0</v>
      </c>
      <c r="AR1709" s="55">
        <v>28500</v>
      </c>
      <c r="AS1709" s="78">
        <f t="shared" si="30"/>
        <v>0</v>
      </c>
    </row>
    <row r="1710" spans="39:45">
      <c r="AM1710" s="54">
        <v>2019</v>
      </c>
      <c r="AN1710" s="54" t="s">
        <v>185</v>
      </c>
      <c r="AO1710" s="54">
        <v>13</v>
      </c>
      <c r="AP1710" s="54">
        <v>4</v>
      </c>
      <c r="AQ1710" s="54">
        <v>0</v>
      </c>
      <c r="AR1710" s="55">
        <v>28500</v>
      </c>
      <c r="AS1710" s="78">
        <f t="shared" si="30"/>
        <v>0</v>
      </c>
    </row>
    <row r="1711" spans="39:45">
      <c r="AM1711" s="55">
        <v>2019</v>
      </c>
      <c r="AN1711" s="55" t="s">
        <v>185</v>
      </c>
      <c r="AO1711" s="55">
        <v>13</v>
      </c>
      <c r="AP1711" s="55">
        <v>5</v>
      </c>
      <c r="AQ1711" s="55">
        <v>0</v>
      </c>
      <c r="AR1711" s="55">
        <v>28500</v>
      </c>
      <c r="AS1711" s="78">
        <f t="shared" si="30"/>
        <v>0</v>
      </c>
    </row>
    <row r="1712" spans="39:45">
      <c r="AM1712" s="54">
        <v>2019</v>
      </c>
      <c r="AN1712" s="54" t="s">
        <v>185</v>
      </c>
      <c r="AO1712" s="54">
        <v>13</v>
      </c>
      <c r="AP1712" s="54">
        <v>6</v>
      </c>
      <c r="AQ1712" s="54">
        <v>0</v>
      </c>
      <c r="AR1712" s="55">
        <v>28500</v>
      </c>
      <c r="AS1712" s="78">
        <f t="shared" si="30"/>
        <v>0</v>
      </c>
    </row>
    <row r="1713" spans="39:45">
      <c r="AM1713" s="55">
        <v>2019</v>
      </c>
      <c r="AN1713" s="55" t="s">
        <v>185</v>
      </c>
      <c r="AO1713" s="55">
        <v>13</v>
      </c>
      <c r="AP1713" s="55">
        <v>7</v>
      </c>
      <c r="AQ1713" s="55">
        <v>4448</v>
      </c>
      <c r="AR1713" s="55">
        <v>28500</v>
      </c>
      <c r="AS1713" s="78">
        <f t="shared" si="30"/>
        <v>0.1560701754385965</v>
      </c>
    </row>
    <row r="1714" spans="39:45">
      <c r="AM1714" s="54">
        <v>2019</v>
      </c>
      <c r="AN1714" s="54" t="s">
        <v>185</v>
      </c>
      <c r="AO1714" s="54">
        <v>13</v>
      </c>
      <c r="AP1714" s="54">
        <v>8</v>
      </c>
      <c r="AQ1714" s="54">
        <v>13947</v>
      </c>
      <c r="AR1714" s="55">
        <v>28500</v>
      </c>
      <c r="AS1714" s="78">
        <f t="shared" si="30"/>
        <v>0.48936842105263156</v>
      </c>
    </row>
    <row r="1715" spans="39:45">
      <c r="AM1715" s="55">
        <v>2019</v>
      </c>
      <c r="AN1715" s="55" t="s">
        <v>185</v>
      </c>
      <c r="AO1715" s="55">
        <v>13</v>
      </c>
      <c r="AP1715" s="55">
        <v>9</v>
      </c>
      <c r="AQ1715" s="55">
        <v>6582.5</v>
      </c>
      <c r="AR1715" s="55">
        <v>28500</v>
      </c>
      <c r="AS1715" s="78">
        <f t="shared" si="30"/>
        <v>0.23096491228070176</v>
      </c>
    </row>
    <row r="1716" spans="39:45">
      <c r="AM1716" s="54">
        <v>2019</v>
      </c>
      <c r="AN1716" s="54" t="s">
        <v>185</v>
      </c>
      <c r="AO1716" s="54">
        <v>13</v>
      </c>
      <c r="AP1716" s="54">
        <v>10</v>
      </c>
      <c r="AQ1716" s="54">
        <v>4524</v>
      </c>
      <c r="AR1716" s="55">
        <v>28500</v>
      </c>
      <c r="AS1716" s="78">
        <f t="shared" si="30"/>
        <v>0.15873684210526315</v>
      </c>
    </row>
    <row r="1717" spans="39:45">
      <c r="AM1717" s="55">
        <v>2019</v>
      </c>
      <c r="AN1717" s="55" t="s">
        <v>185</v>
      </c>
      <c r="AO1717" s="55">
        <v>13</v>
      </c>
      <c r="AP1717" s="55">
        <v>11</v>
      </c>
      <c r="AQ1717" s="55">
        <v>6405.5</v>
      </c>
      <c r="AR1717" s="55">
        <v>28500</v>
      </c>
      <c r="AS1717" s="78">
        <f t="shared" si="30"/>
        <v>0.22475438596491229</v>
      </c>
    </row>
    <row r="1718" spans="39:45">
      <c r="AM1718" s="54">
        <v>2019</v>
      </c>
      <c r="AN1718" s="54" t="s">
        <v>185</v>
      </c>
      <c r="AO1718" s="54">
        <v>13</v>
      </c>
      <c r="AP1718" s="54">
        <v>12</v>
      </c>
      <c r="AQ1718" s="54">
        <v>29944.5</v>
      </c>
      <c r="AR1718" s="55">
        <v>28500</v>
      </c>
      <c r="AS1718" s="78">
        <f t="shared" si="30"/>
        <v>1.0506842105263159</v>
      </c>
    </row>
    <row r="1719" spans="39:45">
      <c r="AM1719" s="55">
        <v>2019</v>
      </c>
      <c r="AN1719" s="55" t="s">
        <v>185</v>
      </c>
      <c r="AO1719" s="55">
        <v>13</v>
      </c>
      <c r="AP1719" s="55">
        <v>13</v>
      </c>
      <c r="AQ1719" s="55">
        <v>5254</v>
      </c>
      <c r="AR1719" s="55">
        <v>28500</v>
      </c>
      <c r="AS1719" s="78">
        <f t="shared" si="30"/>
        <v>0.18435087719298246</v>
      </c>
    </row>
    <row r="1720" spans="39:45">
      <c r="AM1720" s="54">
        <v>2019</v>
      </c>
      <c r="AN1720" s="54" t="s">
        <v>185</v>
      </c>
      <c r="AO1720" s="54">
        <v>13</v>
      </c>
      <c r="AP1720" s="54">
        <v>14</v>
      </c>
      <c r="AQ1720" s="54">
        <v>3002.5</v>
      </c>
      <c r="AR1720" s="55">
        <v>28500</v>
      </c>
      <c r="AS1720" s="78">
        <f t="shared" si="30"/>
        <v>0.10535087719298246</v>
      </c>
    </row>
    <row r="1721" spans="39:45">
      <c r="AM1721" s="55">
        <v>2019</v>
      </c>
      <c r="AN1721" s="55" t="s">
        <v>185</v>
      </c>
      <c r="AO1721" s="55">
        <v>13</v>
      </c>
      <c r="AP1721" s="55">
        <v>15</v>
      </c>
      <c r="AQ1721" s="55">
        <v>2426</v>
      </c>
      <c r="AR1721" s="55">
        <v>28500</v>
      </c>
      <c r="AS1721" s="78">
        <f t="shared" si="30"/>
        <v>8.5122807017543864E-2</v>
      </c>
    </row>
    <row r="1722" spans="39:45">
      <c r="AM1722" s="54">
        <v>2019</v>
      </c>
      <c r="AN1722" s="54" t="s">
        <v>185</v>
      </c>
      <c r="AO1722" s="54">
        <v>13</v>
      </c>
      <c r="AP1722" s="54">
        <v>16</v>
      </c>
      <c r="AQ1722" s="54">
        <v>4024.5</v>
      </c>
      <c r="AR1722" s="55">
        <v>28500</v>
      </c>
      <c r="AS1722" s="78">
        <f t="shared" si="30"/>
        <v>0.14121052631578948</v>
      </c>
    </row>
    <row r="1723" spans="39:45">
      <c r="AM1723" s="55">
        <v>2019</v>
      </c>
      <c r="AN1723" s="55" t="s">
        <v>185</v>
      </c>
      <c r="AO1723" s="55">
        <v>13</v>
      </c>
      <c r="AP1723" s="55">
        <v>17</v>
      </c>
      <c r="AQ1723" s="55">
        <v>1882</v>
      </c>
      <c r="AR1723" s="55">
        <v>28500</v>
      </c>
      <c r="AS1723" s="78">
        <f t="shared" si="30"/>
        <v>6.6035087719298252E-2</v>
      </c>
    </row>
    <row r="1724" spans="39:45">
      <c r="AM1724" s="54">
        <v>2019</v>
      </c>
      <c r="AN1724" s="54" t="s">
        <v>185</v>
      </c>
      <c r="AO1724" s="54">
        <v>13</v>
      </c>
      <c r="AP1724" s="54">
        <v>18</v>
      </c>
      <c r="AQ1724" s="54">
        <v>0</v>
      </c>
      <c r="AR1724" s="55">
        <v>28500</v>
      </c>
      <c r="AS1724" s="78">
        <f t="shared" si="30"/>
        <v>0</v>
      </c>
    </row>
    <row r="1725" spans="39:45">
      <c r="AM1725" s="55">
        <v>2019</v>
      </c>
      <c r="AN1725" s="55" t="s">
        <v>185</v>
      </c>
      <c r="AO1725" s="55">
        <v>13</v>
      </c>
      <c r="AP1725" s="55">
        <v>19</v>
      </c>
      <c r="AQ1725" s="55">
        <v>0</v>
      </c>
      <c r="AR1725" s="55">
        <v>28500</v>
      </c>
      <c r="AS1725" s="78">
        <f t="shared" si="30"/>
        <v>0</v>
      </c>
    </row>
    <row r="1726" spans="39:45">
      <c r="AM1726" s="54">
        <v>2019</v>
      </c>
      <c r="AN1726" s="54" t="s">
        <v>185</v>
      </c>
      <c r="AO1726" s="54">
        <v>13</v>
      </c>
      <c r="AP1726" s="54">
        <v>20</v>
      </c>
      <c r="AQ1726" s="54">
        <v>0</v>
      </c>
      <c r="AR1726" s="55">
        <v>28500</v>
      </c>
      <c r="AS1726" s="78">
        <f t="shared" si="30"/>
        <v>0</v>
      </c>
    </row>
    <row r="1727" spans="39:45">
      <c r="AM1727" s="55">
        <v>2019</v>
      </c>
      <c r="AN1727" s="55" t="s">
        <v>185</v>
      </c>
      <c r="AO1727" s="55">
        <v>13</v>
      </c>
      <c r="AP1727" s="55">
        <v>21</v>
      </c>
      <c r="AQ1727" s="55">
        <v>0</v>
      </c>
      <c r="AR1727" s="55">
        <v>28500</v>
      </c>
      <c r="AS1727" s="78">
        <f t="shared" si="30"/>
        <v>0</v>
      </c>
    </row>
    <row r="1728" spans="39:45">
      <c r="AM1728" s="54">
        <v>2019</v>
      </c>
      <c r="AN1728" s="54" t="s">
        <v>185</v>
      </c>
      <c r="AO1728" s="54">
        <v>13</v>
      </c>
      <c r="AP1728" s="54">
        <v>22</v>
      </c>
      <c r="AQ1728" s="54">
        <v>0</v>
      </c>
      <c r="AR1728" s="55">
        <v>28500</v>
      </c>
      <c r="AS1728" s="78">
        <f t="shared" si="30"/>
        <v>0</v>
      </c>
    </row>
    <row r="1729" spans="39:45">
      <c r="AM1729" s="55">
        <v>2019</v>
      </c>
      <c r="AN1729" s="55" t="s">
        <v>185</v>
      </c>
      <c r="AO1729" s="55">
        <v>13</v>
      </c>
      <c r="AP1729" s="55">
        <v>23</v>
      </c>
      <c r="AQ1729" s="55">
        <v>0</v>
      </c>
      <c r="AR1729" s="55">
        <v>28500</v>
      </c>
      <c r="AS1729" s="78">
        <f t="shared" si="30"/>
        <v>0</v>
      </c>
    </row>
    <row r="1730" spans="39:45">
      <c r="AM1730" s="54">
        <v>2019</v>
      </c>
      <c r="AN1730" s="54" t="s">
        <v>185</v>
      </c>
      <c r="AO1730" s="54">
        <v>14</v>
      </c>
      <c r="AP1730" s="54">
        <v>24</v>
      </c>
      <c r="AQ1730" s="54">
        <v>0</v>
      </c>
      <c r="AR1730" s="55">
        <v>28500</v>
      </c>
      <c r="AS1730" s="78">
        <f t="shared" ref="AS1730:AS1793" si="31">AQ1730/AR1730</f>
        <v>0</v>
      </c>
    </row>
    <row r="1731" spans="39:45">
      <c r="AM1731" s="55">
        <v>2019</v>
      </c>
      <c r="AN1731" s="55" t="s">
        <v>185</v>
      </c>
      <c r="AO1731" s="55">
        <v>14</v>
      </c>
      <c r="AP1731" s="55">
        <v>1</v>
      </c>
      <c r="AQ1731" s="55">
        <v>0</v>
      </c>
      <c r="AR1731" s="55">
        <v>28500</v>
      </c>
      <c r="AS1731" s="78">
        <f t="shared" si="31"/>
        <v>0</v>
      </c>
    </row>
    <row r="1732" spans="39:45">
      <c r="AM1732" s="54">
        <v>2019</v>
      </c>
      <c r="AN1732" s="54" t="s">
        <v>185</v>
      </c>
      <c r="AO1732" s="54">
        <v>14</v>
      </c>
      <c r="AP1732" s="54">
        <v>2</v>
      </c>
      <c r="AQ1732" s="54">
        <v>0</v>
      </c>
      <c r="AR1732" s="55">
        <v>28500</v>
      </c>
      <c r="AS1732" s="78">
        <f t="shared" si="31"/>
        <v>0</v>
      </c>
    </row>
    <row r="1733" spans="39:45">
      <c r="AM1733" s="55">
        <v>2019</v>
      </c>
      <c r="AN1733" s="55" t="s">
        <v>185</v>
      </c>
      <c r="AO1733" s="55">
        <v>14</v>
      </c>
      <c r="AP1733" s="55">
        <v>3</v>
      </c>
      <c r="AQ1733" s="55">
        <v>0</v>
      </c>
      <c r="AR1733" s="55">
        <v>28500</v>
      </c>
      <c r="AS1733" s="78">
        <f t="shared" si="31"/>
        <v>0</v>
      </c>
    </row>
    <row r="1734" spans="39:45">
      <c r="AM1734" s="54">
        <v>2019</v>
      </c>
      <c r="AN1734" s="54" t="s">
        <v>185</v>
      </c>
      <c r="AO1734" s="54">
        <v>14</v>
      </c>
      <c r="AP1734" s="54">
        <v>4</v>
      </c>
      <c r="AQ1734" s="54">
        <v>0</v>
      </c>
      <c r="AR1734" s="55">
        <v>28500</v>
      </c>
      <c r="AS1734" s="78">
        <f t="shared" si="31"/>
        <v>0</v>
      </c>
    </row>
    <row r="1735" spans="39:45">
      <c r="AM1735" s="55">
        <v>2019</v>
      </c>
      <c r="AN1735" s="55" t="s">
        <v>185</v>
      </c>
      <c r="AO1735" s="55">
        <v>14</v>
      </c>
      <c r="AP1735" s="55">
        <v>5</v>
      </c>
      <c r="AQ1735" s="55">
        <v>0</v>
      </c>
      <c r="AR1735" s="55">
        <v>28500</v>
      </c>
      <c r="AS1735" s="78">
        <f t="shared" si="31"/>
        <v>0</v>
      </c>
    </row>
    <row r="1736" spans="39:45">
      <c r="AM1736" s="54">
        <v>2019</v>
      </c>
      <c r="AN1736" s="54" t="s">
        <v>185</v>
      </c>
      <c r="AO1736" s="54">
        <v>14</v>
      </c>
      <c r="AP1736" s="54">
        <v>6</v>
      </c>
      <c r="AQ1736" s="54">
        <v>0</v>
      </c>
      <c r="AR1736" s="55">
        <v>28500</v>
      </c>
      <c r="AS1736" s="78">
        <f t="shared" si="31"/>
        <v>0</v>
      </c>
    </row>
    <row r="1737" spans="39:45">
      <c r="AM1737" s="55">
        <v>2019</v>
      </c>
      <c r="AN1737" s="55" t="s">
        <v>185</v>
      </c>
      <c r="AO1737" s="55">
        <v>14</v>
      </c>
      <c r="AP1737" s="55">
        <v>7</v>
      </c>
      <c r="AQ1737" s="55">
        <v>613.5</v>
      </c>
      <c r="AR1737" s="55">
        <v>28500</v>
      </c>
      <c r="AS1737" s="78">
        <f t="shared" si="31"/>
        <v>2.1526315789473685E-2</v>
      </c>
    </row>
    <row r="1738" spans="39:45">
      <c r="AM1738" s="54">
        <v>2019</v>
      </c>
      <c r="AN1738" s="54" t="s">
        <v>185</v>
      </c>
      <c r="AO1738" s="54">
        <v>14</v>
      </c>
      <c r="AP1738" s="54">
        <v>8</v>
      </c>
      <c r="AQ1738" s="54">
        <v>4600</v>
      </c>
      <c r="AR1738" s="55">
        <v>28500</v>
      </c>
      <c r="AS1738" s="78">
        <f t="shared" si="31"/>
        <v>0.16140350877192983</v>
      </c>
    </row>
    <row r="1739" spans="39:45">
      <c r="AM1739" s="55">
        <v>2019</v>
      </c>
      <c r="AN1739" s="55" t="s">
        <v>185</v>
      </c>
      <c r="AO1739" s="55">
        <v>14</v>
      </c>
      <c r="AP1739" s="55">
        <v>9</v>
      </c>
      <c r="AQ1739" s="55">
        <v>6579.5</v>
      </c>
      <c r="AR1739" s="55">
        <v>28500</v>
      </c>
      <c r="AS1739" s="78">
        <f t="shared" si="31"/>
        <v>0.23085964912280701</v>
      </c>
    </row>
    <row r="1740" spans="39:45">
      <c r="AM1740" s="54">
        <v>2019</v>
      </c>
      <c r="AN1740" s="54" t="s">
        <v>185</v>
      </c>
      <c r="AO1740" s="54">
        <v>14</v>
      </c>
      <c r="AP1740" s="54">
        <v>10</v>
      </c>
      <c r="AQ1740" s="54">
        <v>9886.5</v>
      </c>
      <c r="AR1740" s="55">
        <v>28500</v>
      </c>
      <c r="AS1740" s="78">
        <f t="shared" si="31"/>
        <v>0.34689473684210526</v>
      </c>
    </row>
    <row r="1741" spans="39:45">
      <c r="AM1741" s="55">
        <v>2019</v>
      </c>
      <c r="AN1741" s="55" t="s">
        <v>185</v>
      </c>
      <c r="AO1741" s="55">
        <v>14</v>
      </c>
      <c r="AP1741" s="55">
        <v>11</v>
      </c>
      <c r="AQ1741" s="55">
        <v>1927.5</v>
      </c>
      <c r="AR1741" s="55">
        <v>28500</v>
      </c>
      <c r="AS1741" s="78">
        <f t="shared" si="31"/>
        <v>6.7631578947368418E-2</v>
      </c>
    </row>
    <row r="1742" spans="39:45">
      <c r="AM1742" s="54">
        <v>2019</v>
      </c>
      <c r="AN1742" s="54" t="s">
        <v>185</v>
      </c>
      <c r="AO1742" s="54">
        <v>14</v>
      </c>
      <c r="AP1742" s="54">
        <v>12</v>
      </c>
      <c r="AQ1742" s="54">
        <v>6385.5</v>
      </c>
      <c r="AR1742" s="55">
        <v>28500</v>
      </c>
      <c r="AS1742" s="78">
        <f t="shared" si="31"/>
        <v>0.22405263157894736</v>
      </c>
    </row>
    <row r="1743" spans="39:45">
      <c r="AM1743" s="55">
        <v>2019</v>
      </c>
      <c r="AN1743" s="55" t="s">
        <v>185</v>
      </c>
      <c r="AO1743" s="55">
        <v>14</v>
      </c>
      <c r="AP1743" s="55">
        <v>13</v>
      </c>
      <c r="AQ1743" s="55">
        <v>0</v>
      </c>
      <c r="AR1743" s="55">
        <v>28500</v>
      </c>
      <c r="AS1743" s="78">
        <f t="shared" si="31"/>
        <v>0</v>
      </c>
    </row>
    <row r="1744" spans="39:45">
      <c r="AM1744" s="54">
        <v>2019</v>
      </c>
      <c r="AN1744" s="54" t="s">
        <v>185</v>
      </c>
      <c r="AO1744" s="54">
        <v>14</v>
      </c>
      <c r="AP1744" s="54">
        <v>14</v>
      </c>
      <c r="AQ1744" s="54">
        <v>26679.5</v>
      </c>
      <c r="AR1744" s="55">
        <v>28500</v>
      </c>
      <c r="AS1744" s="78">
        <f t="shared" si="31"/>
        <v>0.93612280701754391</v>
      </c>
    </row>
    <row r="1745" spans="39:45">
      <c r="AM1745" s="55">
        <v>2019</v>
      </c>
      <c r="AN1745" s="55" t="s">
        <v>185</v>
      </c>
      <c r="AO1745" s="55">
        <v>14</v>
      </c>
      <c r="AP1745" s="55">
        <v>15</v>
      </c>
      <c r="AQ1745" s="55">
        <v>5631.5</v>
      </c>
      <c r="AR1745" s="55">
        <v>28500</v>
      </c>
      <c r="AS1745" s="78">
        <f t="shared" si="31"/>
        <v>0.19759649122807019</v>
      </c>
    </row>
    <row r="1746" spans="39:45">
      <c r="AM1746" s="54">
        <v>2019</v>
      </c>
      <c r="AN1746" s="54" t="s">
        <v>185</v>
      </c>
      <c r="AO1746" s="54">
        <v>14</v>
      </c>
      <c r="AP1746" s="54">
        <v>16</v>
      </c>
      <c r="AQ1746" s="54">
        <v>14616.5</v>
      </c>
      <c r="AR1746" s="55">
        <v>28500</v>
      </c>
      <c r="AS1746" s="78">
        <f t="shared" si="31"/>
        <v>0.51285964912280702</v>
      </c>
    </row>
    <row r="1747" spans="39:45">
      <c r="AM1747" s="55">
        <v>2019</v>
      </c>
      <c r="AN1747" s="55" t="s">
        <v>185</v>
      </c>
      <c r="AO1747" s="55">
        <v>14</v>
      </c>
      <c r="AP1747" s="55">
        <v>17</v>
      </c>
      <c r="AQ1747" s="55">
        <v>4415.5</v>
      </c>
      <c r="AR1747" s="55">
        <v>28500</v>
      </c>
      <c r="AS1747" s="78">
        <f t="shared" si="31"/>
        <v>0.1549298245614035</v>
      </c>
    </row>
    <row r="1748" spans="39:45">
      <c r="AM1748" s="54">
        <v>2019</v>
      </c>
      <c r="AN1748" s="54" t="s">
        <v>185</v>
      </c>
      <c r="AO1748" s="54">
        <v>14</v>
      </c>
      <c r="AP1748" s="54">
        <v>18</v>
      </c>
      <c r="AQ1748" s="54">
        <v>0</v>
      </c>
      <c r="AR1748" s="55">
        <v>28500</v>
      </c>
      <c r="AS1748" s="78">
        <f t="shared" si="31"/>
        <v>0</v>
      </c>
    </row>
    <row r="1749" spans="39:45">
      <c r="AM1749" s="55">
        <v>2019</v>
      </c>
      <c r="AN1749" s="55" t="s">
        <v>185</v>
      </c>
      <c r="AO1749" s="55">
        <v>14</v>
      </c>
      <c r="AP1749" s="55">
        <v>19</v>
      </c>
      <c r="AQ1749" s="55">
        <v>0</v>
      </c>
      <c r="AR1749" s="55">
        <v>28500</v>
      </c>
      <c r="AS1749" s="78">
        <f t="shared" si="31"/>
        <v>0</v>
      </c>
    </row>
    <row r="1750" spans="39:45">
      <c r="AM1750" s="54">
        <v>2019</v>
      </c>
      <c r="AN1750" s="54" t="s">
        <v>185</v>
      </c>
      <c r="AO1750" s="54">
        <v>14</v>
      </c>
      <c r="AP1750" s="54">
        <v>20</v>
      </c>
      <c r="AQ1750" s="54">
        <v>0</v>
      </c>
      <c r="AR1750" s="55">
        <v>28500</v>
      </c>
      <c r="AS1750" s="78">
        <f t="shared" si="31"/>
        <v>0</v>
      </c>
    </row>
    <row r="1751" spans="39:45">
      <c r="AM1751" s="55">
        <v>2019</v>
      </c>
      <c r="AN1751" s="55" t="s">
        <v>185</v>
      </c>
      <c r="AO1751" s="55">
        <v>14</v>
      </c>
      <c r="AP1751" s="55">
        <v>21</v>
      </c>
      <c r="AQ1751" s="55">
        <v>0</v>
      </c>
      <c r="AR1751" s="55">
        <v>28500</v>
      </c>
      <c r="AS1751" s="78">
        <f t="shared" si="31"/>
        <v>0</v>
      </c>
    </row>
    <row r="1752" spans="39:45">
      <c r="AM1752" s="54">
        <v>2019</v>
      </c>
      <c r="AN1752" s="54" t="s">
        <v>185</v>
      </c>
      <c r="AO1752" s="54">
        <v>14</v>
      </c>
      <c r="AP1752" s="54">
        <v>22</v>
      </c>
      <c r="AQ1752" s="54">
        <v>0</v>
      </c>
      <c r="AR1752" s="55">
        <v>28500</v>
      </c>
      <c r="AS1752" s="78">
        <f t="shared" si="31"/>
        <v>0</v>
      </c>
    </row>
    <row r="1753" spans="39:45">
      <c r="AM1753" s="55">
        <v>2019</v>
      </c>
      <c r="AN1753" s="55" t="s">
        <v>185</v>
      </c>
      <c r="AO1753" s="55">
        <v>14</v>
      </c>
      <c r="AP1753" s="55">
        <v>23</v>
      </c>
      <c r="AQ1753" s="55">
        <v>0</v>
      </c>
      <c r="AR1753" s="55">
        <v>28500</v>
      </c>
      <c r="AS1753" s="78">
        <f t="shared" si="31"/>
        <v>0</v>
      </c>
    </row>
    <row r="1754" spans="39:45">
      <c r="AM1754" s="54">
        <v>2019</v>
      </c>
      <c r="AN1754" s="54" t="s">
        <v>185</v>
      </c>
      <c r="AO1754" s="54">
        <v>15</v>
      </c>
      <c r="AP1754" s="54">
        <v>24</v>
      </c>
      <c r="AQ1754" s="54">
        <v>0</v>
      </c>
      <c r="AR1754" s="55">
        <v>28500</v>
      </c>
      <c r="AS1754" s="78">
        <f t="shared" si="31"/>
        <v>0</v>
      </c>
    </row>
    <row r="1755" spans="39:45">
      <c r="AM1755" s="55">
        <v>2019</v>
      </c>
      <c r="AN1755" s="55" t="s">
        <v>185</v>
      </c>
      <c r="AO1755" s="55">
        <v>15</v>
      </c>
      <c r="AP1755" s="55">
        <v>1</v>
      </c>
      <c r="AQ1755" s="55">
        <v>0</v>
      </c>
      <c r="AR1755" s="55">
        <v>28500</v>
      </c>
      <c r="AS1755" s="78">
        <f t="shared" si="31"/>
        <v>0</v>
      </c>
    </row>
    <row r="1756" spans="39:45">
      <c r="AM1756" s="54">
        <v>2019</v>
      </c>
      <c r="AN1756" s="54" t="s">
        <v>185</v>
      </c>
      <c r="AO1756" s="54">
        <v>15</v>
      </c>
      <c r="AP1756" s="54">
        <v>2</v>
      </c>
      <c r="AQ1756" s="54">
        <v>0</v>
      </c>
      <c r="AR1756" s="55">
        <v>28500</v>
      </c>
      <c r="AS1756" s="78">
        <f t="shared" si="31"/>
        <v>0</v>
      </c>
    </row>
    <row r="1757" spans="39:45">
      <c r="AM1757" s="55">
        <v>2019</v>
      </c>
      <c r="AN1757" s="55" t="s">
        <v>185</v>
      </c>
      <c r="AO1757" s="55">
        <v>15</v>
      </c>
      <c r="AP1757" s="55">
        <v>3</v>
      </c>
      <c r="AQ1757" s="55">
        <v>0</v>
      </c>
      <c r="AR1757" s="55">
        <v>28500</v>
      </c>
      <c r="AS1757" s="78">
        <f t="shared" si="31"/>
        <v>0</v>
      </c>
    </row>
    <row r="1758" spans="39:45">
      <c r="AM1758" s="54">
        <v>2019</v>
      </c>
      <c r="AN1758" s="54" t="s">
        <v>185</v>
      </c>
      <c r="AO1758" s="54">
        <v>15</v>
      </c>
      <c r="AP1758" s="54">
        <v>4</v>
      </c>
      <c r="AQ1758" s="54">
        <v>0</v>
      </c>
      <c r="AR1758" s="55">
        <v>28500</v>
      </c>
      <c r="AS1758" s="78">
        <f t="shared" si="31"/>
        <v>0</v>
      </c>
    </row>
    <row r="1759" spans="39:45">
      <c r="AM1759" s="55">
        <v>2019</v>
      </c>
      <c r="AN1759" s="55" t="s">
        <v>185</v>
      </c>
      <c r="AO1759" s="55">
        <v>15</v>
      </c>
      <c r="AP1759" s="55">
        <v>5</v>
      </c>
      <c r="AQ1759" s="55">
        <v>0</v>
      </c>
      <c r="AR1759" s="55">
        <v>28500</v>
      </c>
      <c r="AS1759" s="78">
        <f t="shared" si="31"/>
        <v>0</v>
      </c>
    </row>
    <row r="1760" spans="39:45">
      <c r="AM1760" s="54">
        <v>2019</v>
      </c>
      <c r="AN1760" s="54" t="s">
        <v>185</v>
      </c>
      <c r="AO1760" s="54">
        <v>15</v>
      </c>
      <c r="AP1760" s="54">
        <v>6</v>
      </c>
      <c r="AQ1760" s="54">
        <v>0</v>
      </c>
      <c r="AR1760" s="55">
        <v>28500</v>
      </c>
      <c r="AS1760" s="78">
        <f t="shared" si="31"/>
        <v>0</v>
      </c>
    </row>
    <row r="1761" spans="39:45">
      <c r="AM1761" s="55">
        <v>2019</v>
      </c>
      <c r="AN1761" s="55" t="s">
        <v>185</v>
      </c>
      <c r="AO1761" s="55">
        <v>15</v>
      </c>
      <c r="AP1761" s="55">
        <v>7</v>
      </c>
      <c r="AQ1761" s="55">
        <v>666.5</v>
      </c>
      <c r="AR1761" s="55">
        <v>28500</v>
      </c>
      <c r="AS1761" s="78">
        <f t="shared" si="31"/>
        <v>2.3385964912280701E-2</v>
      </c>
    </row>
    <row r="1762" spans="39:45">
      <c r="AM1762" s="54">
        <v>2019</v>
      </c>
      <c r="AN1762" s="54" t="s">
        <v>185</v>
      </c>
      <c r="AO1762" s="54">
        <v>15</v>
      </c>
      <c r="AP1762" s="54">
        <v>8</v>
      </c>
      <c r="AQ1762" s="54">
        <v>3762</v>
      </c>
      <c r="AR1762" s="55">
        <v>28500</v>
      </c>
      <c r="AS1762" s="78">
        <f t="shared" si="31"/>
        <v>0.13200000000000001</v>
      </c>
    </row>
    <row r="1763" spans="39:45">
      <c r="AM1763" s="55">
        <v>2019</v>
      </c>
      <c r="AN1763" s="55" t="s">
        <v>185</v>
      </c>
      <c r="AO1763" s="55">
        <v>15</v>
      </c>
      <c r="AP1763" s="55">
        <v>9</v>
      </c>
      <c r="AQ1763" s="55">
        <v>5607</v>
      </c>
      <c r="AR1763" s="55">
        <v>28500</v>
      </c>
      <c r="AS1763" s="78">
        <f t="shared" si="31"/>
        <v>0.19673684210526315</v>
      </c>
    </row>
    <row r="1764" spans="39:45">
      <c r="AM1764" s="54">
        <v>2019</v>
      </c>
      <c r="AN1764" s="54" t="s">
        <v>185</v>
      </c>
      <c r="AO1764" s="54">
        <v>15</v>
      </c>
      <c r="AP1764" s="54">
        <v>10</v>
      </c>
      <c r="AQ1764" s="54">
        <v>15576.5</v>
      </c>
      <c r="AR1764" s="55">
        <v>28500</v>
      </c>
      <c r="AS1764" s="78">
        <f t="shared" si="31"/>
        <v>0.54654385964912278</v>
      </c>
    </row>
    <row r="1765" spans="39:45">
      <c r="AM1765" s="55">
        <v>2019</v>
      </c>
      <c r="AN1765" s="55" t="s">
        <v>185</v>
      </c>
      <c r="AO1765" s="55">
        <v>15</v>
      </c>
      <c r="AP1765" s="55">
        <v>11</v>
      </c>
      <c r="AQ1765" s="55">
        <v>6149</v>
      </c>
      <c r="AR1765" s="55">
        <v>28500</v>
      </c>
      <c r="AS1765" s="78">
        <f t="shared" si="31"/>
        <v>0.21575438596491228</v>
      </c>
    </row>
    <row r="1766" spans="39:45">
      <c r="AM1766" s="54">
        <v>2019</v>
      </c>
      <c r="AN1766" s="54" t="s">
        <v>185</v>
      </c>
      <c r="AO1766" s="54">
        <v>15</v>
      </c>
      <c r="AP1766" s="54">
        <v>12</v>
      </c>
      <c r="AQ1766" s="54">
        <v>3814.5</v>
      </c>
      <c r="AR1766" s="55">
        <v>28500</v>
      </c>
      <c r="AS1766" s="78">
        <f t="shared" si="31"/>
        <v>0.1338421052631579</v>
      </c>
    </row>
    <row r="1767" spans="39:45">
      <c r="AM1767" s="55">
        <v>2019</v>
      </c>
      <c r="AN1767" s="55" t="s">
        <v>185</v>
      </c>
      <c r="AO1767" s="55">
        <v>15</v>
      </c>
      <c r="AP1767" s="55">
        <v>13</v>
      </c>
      <c r="AQ1767" s="55">
        <v>5617.5</v>
      </c>
      <c r="AR1767" s="55">
        <v>28500</v>
      </c>
      <c r="AS1767" s="78">
        <f t="shared" si="31"/>
        <v>0.19710526315789473</v>
      </c>
    </row>
    <row r="1768" spans="39:45">
      <c r="AM1768" s="54">
        <v>2019</v>
      </c>
      <c r="AN1768" s="54" t="s">
        <v>185</v>
      </c>
      <c r="AO1768" s="54">
        <v>15</v>
      </c>
      <c r="AP1768" s="54">
        <v>14</v>
      </c>
      <c r="AQ1768" s="54">
        <v>5383</v>
      </c>
      <c r="AR1768" s="55">
        <v>28500</v>
      </c>
      <c r="AS1768" s="78">
        <f t="shared" si="31"/>
        <v>0.18887719298245614</v>
      </c>
    </row>
    <row r="1769" spans="39:45">
      <c r="AM1769" s="55">
        <v>2019</v>
      </c>
      <c r="AN1769" s="55" t="s">
        <v>185</v>
      </c>
      <c r="AO1769" s="55">
        <v>15</v>
      </c>
      <c r="AP1769" s="55">
        <v>15</v>
      </c>
      <c r="AQ1769" s="55">
        <v>3622.5</v>
      </c>
      <c r="AR1769" s="55">
        <v>28500</v>
      </c>
      <c r="AS1769" s="78">
        <f t="shared" si="31"/>
        <v>0.12710526315789475</v>
      </c>
    </row>
    <row r="1770" spans="39:45">
      <c r="AM1770" s="54">
        <v>2019</v>
      </c>
      <c r="AN1770" s="54" t="s">
        <v>185</v>
      </c>
      <c r="AO1770" s="54">
        <v>15</v>
      </c>
      <c r="AP1770" s="54">
        <v>16</v>
      </c>
      <c r="AQ1770" s="54">
        <v>6336</v>
      </c>
      <c r="AR1770" s="55">
        <v>28500</v>
      </c>
      <c r="AS1770" s="78">
        <f t="shared" si="31"/>
        <v>0.22231578947368422</v>
      </c>
    </row>
    <row r="1771" spans="39:45">
      <c r="AM1771" s="55">
        <v>2019</v>
      </c>
      <c r="AN1771" s="55" t="s">
        <v>185</v>
      </c>
      <c r="AO1771" s="55">
        <v>15</v>
      </c>
      <c r="AP1771" s="55">
        <v>17</v>
      </c>
      <c r="AQ1771" s="55">
        <v>1532</v>
      </c>
      <c r="AR1771" s="55">
        <v>28500</v>
      </c>
      <c r="AS1771" s="78">
        <f t="shared" si="31"/>
        <v>5.3754385964912284E-2</v>
      </c>
    </row>
    <row r="1772" spans="39:45">
      <c r="AM1772" s="54">
        <v>2019</v>
      </c>
      <c r="AN1772" s="54" t="s">
        <v>185</v>
      </c>
      <c r="AO1772" s="54">
        <v>15</v>
      </c>
      <c r="AP1772" s="54">
        <v>18</v>
      </c>
      <c r="AQ1772" s="54">
        <v>0</v>
      </c>
      <c r="AR1772" s="55">
        <v>28500</v>
      </c>
      <c r="AS1772" s="78">
        <f t="shared" si="31"/>
        <v>0</v>
      </c>
    </row>
    <row r="1773" spans="39:45">
      <c r="AM1773" s="55">
        <v>2019</v>
      </c>
      <c r="AN1773" s="55" t="s">
        <v>185</v>
      </c>
      <c r="AO1773" s="55">
        <v>15</v>
      </c>
      <c r="AP1773" s="55">
        <v>19</v>
      </c>
      <c r="AQ1773" s="55">
        <v>0</v>
      </c>
      <c r="AR1773" s="55">
        <v>28500</v>
      </c>
      <c r="AS1773" s="78">
        <f t="shared" si="31"/>
        <v>0</v>
      </c>
    </row>
    <row r="1774" spans="39:45">
      <c r="AM1774" s="54">
        <v>2019</v>
      </c>
      <c r="AN1774" s="54" t="s">
        <v>185</v>
      </c>
      <c r="AO1774" s="54">
        <v>15</v>
      </c>
      <c r="AP1774" s="54">
        <v>20</v>
      </c>
      <c r="AQ1774" s="54">
        <v>0</v>
      </c>
      <c r="AR1774" s="55">
        <v>28500</v>
      </c>
      <c r="AS1774" s="78">
        <f t="shared" si="31"/>
        <v>0</v>
      </c>
    </row>
    <row r="1775" spans="39:45">
      <c r="AM1775" s="55">
        <v>2019</v>
      </c>
      <c r="AN1775" s="55" t="s">
        <v>185</v>
      </c>
      <c r="AO1775" s="55">
        <v>15</v>
      </c>
      <c r="AP1775" s="55">
        <v>21</v>
      </c>
      <c r="AQ1775" s="55">
        <v>0</v>
      </c>
      <c r="AR1775" s="55">
        <v>28500</v>
      </c>
      <c r="AS1775" s="78">
        <f t="shared" si="31"/>
        <v>0</v>
      </c>
    </row>
    <row r="1776" spans="39:45">
      <c r="AM1776" s="54">
        <v>2019</v>
      </c>
      <c r="AN1776" s="54" t="s">
        <v>185</v>
      </c>
      <c r="AO1776" s="54">
        <v>15</v>
      </c>
      <c r="AP1776" s="54">
        <v>22</v>
      </c>
      <c r="AQ1776" s="54">
        <v>0</v>
      </c>
      <c r="AR1776" s="55">
        <v>28500</v>
      </c>
      <c r="AS1776" s="78">
        <f t="shared" si="31"/>
        <v>0</v>
      </c>
    </row>
    <row r="1777" spans="39:45">
      <c r="AM1777" s="55">
        <v>2019</v>
      </c>
      <c r="AN1777" s="55" t="s">
        <v>185</v>
      </c>
      <c r="AO1777" s="55">
        <v>15</v>
      </c>
      <c r="AP1777" s="55">
        <v>23</v>
      </c>
      <c r="AQ1777" s="55">
        <v>0</v>
      </c>
      <c r="AR1777" s="55">
        <v>28500</v>
      </c>
      <c r="AS1777" s="78">
        <f t="shared" si="31"/>
        <v>0</v>
      </c>
    </row>
    <row r="1778" spans="39:45">
      <c r="AM1778" s="54">
        <v>2019</v>
      </c>
      <c r="AN1778" s="54" t="s">
        <v>185</v>
      </c>
      <c r="AO1778" s="54">
        <v>16</v>
      </c>
      <c r="AP1778" s="54">
        <v>24</v>
      </c>
      <c r="AQ1778" s="54">
        <v>0</v>
      </c>
      <c r="AR1778" s="55">
        <v>28500</v>
      </c>
      <c r="AS1778" s="78">
        <f t="shared" si="31"/>
        <v>0</v>
      </c>
    </row>
    <row r="1779" spans="39:45">
      <c r="AM1779" s="55">
        <v>2019</v>
      </c>
      <c r="AN1779" s="55" t="s">
        <v>185</v>
      </c>
      <c r="AO1779" s="55">
        <v>16</v>
      </c>
      <c r="AP1779" s="55">
        <v>1</v>
      </c>
      <c r="AQ1779" s="55">
        <v>0</v>
      </c>
      <c r="AR1779" s="55">
        <v>28500</v>
      </c>
      <c r="AS1779" s="78">
        <f t="shared" si="31"/>
        <v>0</v>
      </c>
    </row>
    <row r="1780" spans="39:45">
      <c r="AM1780" s="54">
        <v>2019</v>
      </c>
      <c r="AN1780" s="54" t="s">
        <v>185</v>
      </c>
      <c r="AO1780" s="54">
        <v>16</v>
      </c>
      <c r="AP1780" s="54">
        <v>2</v>
      </c>
      <c r="AQ1780" s="54">
        <v>0</v>
      </c>
      <c r="AR1780" s="55">
        <v>28500</v>
      </c>
      <c r="AS1780" s="78">
        <f t="shared" si="31"/>
        <v>0</v>
      </c>
    </row>
    <row r="1781" spans="39:45">
      <c r="AM1781" s="55">
        <v>2019</v>
      </c>
      <c r="AN1781" s="55" t="s">
        <v>185</v>
      </c>
      <c r="AO1781" s="55">
        <v>16</v>
      </c>
      <c r="AP1781" s="55">
        <v>3</v>
      </c>
      <c r="AQ1781" s="55">
        <v>0</v>
      </c>
      <c r="AR1781" s="55">
        <v>28500</v>
      </c>
      <c r="AS1781" s="78">
        <f t="shared" si="31"/>
        <v>0</v>
      </c>
    </row>
    <row r="1782" spans="39:45">
      <c r="AM1782" s="54">
        <v>2019</v>
      </c>
      <c r="AN1782" s="54" t="s">
        <v>185</v>
      </c>
      <c r="AO1782" s="54">
        <v>16</v>
      </c>
      <c r="AP1782" s="54">
        <v>4</v>
      </c>
      <c r="AQ1782" s="54">
        <v>0</v>
      </c>
      <c r="AR1782" s="55">
        <v>28500</v>
      </c>
      <c r="AS1782" s="78">
        <f t="shared" si="31"/>
        <v>0</v>
      </c>
    </row>
    <row r="1783" spans="39:45">
      <c r="AM1783" s="55">
        <v>2019</v>
      </c>
      <c r="AN1783" s="55" t="s">
        <v>185</v>
      </c>
      <c r="AO1783" s="55">
        <v>16</v>
      </c>
      <c r="AP1783" s="55">
        <v>5</v>
      </c>
      <c r="AQ1783" s="55">
        <v>0</v>
      </c>
      <c r="AR1783" s="55">
        <v>28500</v>
      </c>
      <c r="AS1783" s="78">
        <f t="shared" si="31"/>
        <v>0</v>
      </c>
    </row>
    <row r="1784" spans="39:45">
      <c r="AM1784" s="54">
        <v>2019</v>
      </c>
      <c r="AN1784" s="54" t="s">
        <v>185</v>
      </c>
      <c r="AO1784" s="54">
        <v>16</v>
      </c>
      <c r="AP1784" s="54">
        <v>6</v>
      </c>
      <c r="AQ1784" s="54">
        <v>0</v>
      </c>
      <c r="AR1784" s="55">
        <v>28500</v>
      </c>
      <c r="AS1784" s="78">
        <f t="shared" si="31"/>
        <v>0</v>
      </c>
    </row>
    <row r="1785" spans="39:45">
      <c r="AM1785" s="55">
        <v>2019</v>
      </c>
      <c r="AN1785" s="55" t="s">
        <v>185</v>
      </c>
      <c r="AO1785" s="55">
        <v>16</v>
      </c>
      <c r="AP1785" s="55">
        <v>7</v>
      </c>
      <c r="AQ1785" s="55">
        <v>1038</v>
      </c>
      <c r="AR1785" s="55">
        <v>28500</v>
      </c>
      <c r="AS1785" s="78">
        <f t="shared" si="31"/>
        <v>3.6421052631578944E-2</v>
      </c>
    </row>
    <row r="1786" spans="39:45">
      <c r="AM1786" s="54">
        <v>2019</v>
      </c>
      <c r="AN1786" s="54" t="s">
        <v>185</v>
      </c>
      <c r="AO1786" s="54">
        <v>16</v>
      </c>
      <c r="AP1786" s="54">
        <v>8</v>
      </c>
      <c r="AQ1786" s="54">
        <v>1392.5</v>
      </c>
      <c r="AR1786" s="55">
        <v>28500</v>
      </c>
      <c r="AS1786" s="78">
        <f t="shared" si="31"/>
        <v>4.885964912280702E-2</v>
      </c>
    </row>
    <row r="1787" spans="39:45">
      <c r="AM1787" s="55">
        <v>2019</v>
      </c>
      <c r="AN1787" s="55" t="s">
        <v>185</v>
      </c>
      <c r="AO1787" s="55">
        <v>16</v>
      </c>
      <c r="AP1787" s="55">
        <v>9</v>
      </c>
      <c r="AQ1787" s="55">
        <v>2391.5</v>
      </c>
      <c r="AR1787" s="55">
        <v>28500</v>
      </c>
      <c r="AS1787" s="78">
        <f t="shared" si="31"/>
        <v>8.3912280701754383E-2</v>
      </c>
    </row>
    <row r="1788" spans="39:45">
      <c r="AM1788" s="54">
        <v>2019</v>
      </c>
      <c r="AN1788" s="54" t="s">
        <v>185</v>
      </c>
      <c r="AO1788" s="54">
        <v>16</v>
      </c>
      <c r="AP1788" s="54">
        <v>10</v>
      </c>
      <c r="AQ1788" s="54">
        <v>4012.5</v>
      </c>
      <c r="AR1788" s="55">
        <v>28500</v>
      </c>
      <c r="AS1788" s="78">
        <f t="shared" si="31"/>
        <v>0.14078947368421052</v>
      </c>
    </row>
    <row r="1789" spans="39:45">
      <c r="AM1789" s="55">
        <v>2019</v>
      </c>
      <c r="AN1789" s="55" t="s">
        <v>185</v>
      </c>
      <c r="AO1789" s="55">
        <v>16</v>
      </c>
      <c r="AP1789" s="55">
        <v>11</v>
      </c>
      <c r="AQ1789" s="55">
        <v>4441.5</v>
      </c>
      <c r="AR1789" s="55">
        <v>28500</v>
      </c>
      <c r="AS1789" s="78">
        <f t="shared" si="31"/>
        <v>0.15584210526315789</v>
      </c>
    </row>
    <row r="1790" spans="39:45">
      <c r="AM1790" s="54">
        <v>2019</v>
      </c>
      <c r="AN1790" s="54" t="s">
        <v>185</v>
      </c>
      <c r="AO1790" s="54">
        <v>16</v>
      </c>
      <c r="AP1790" s="54">
        <v>12</v>
      </c>
      <c r="AQ1790" s="54">
        <v>3653</v>
      </c>
      <c r="AR1790" s="55">
        <v>28500</v>
      </c>
      <c r="AS1790" s="78">
        <f t="shared" si="31"/>
        <v>0.12817543859649122</v>
      </c>
    </row>
    <row r="1791" spans="39:45">
      <c r="AM1791" s="55">
        <v>2019</v>
      </c>
      <c r="AN1791" s="55" t="s">
        <v>185</v>
      </c>
      <c r="AO1791" s="55">
        <v>16</v>
      </c>
      <c r="AP1791" s="55">
        <v>13</v>
      </c>
      <c r="AQ1791" s="55">
        <v>1820</v>
      </c>
      <c r="AR1791" s="55">
        <v>28500</v>
      </c>
      <c r="AS1791" s="78">
        <f t="shared" si="31"/>
        <v>6.3859649122807019E-2</v>
      </c>
    </row>
    <row r="1792" spans="39:45">
      <c r="AM1792" s="54">
        <v>2019</v>
      </c>
      <c r="AN1792" s="54" t="s">
        <v>185</v>
      </c>
      <c r="AO1792" s="54">
        <v>16</v>
      </c>
      <c r="AP1792" s="54">
        <v>14</v>
      </c>
      <c r="AQ1792" s="54">
        <v>3647</v>
      </c>
      <c r="AR1792" s="55">
        <v>28500</v>
      </c>
      <c r="AS1792" s="78">
        <f t="shared" si="31"/>
        <v>0.12796491228070175</v>
      </c>
    </row>
    <row r="1793" spans="39:45">
      <c r="AM1793" s="55">
        <v>2019</v>
      </c>
      <c r="AN1793" s="55" t="s">
        <v>185</v>
      </c>
      <c r="AO1793" s="55">
        <v>16</v>
      </c>
      <c r="AP1793" s="55">
        <v>15</v>
      </c>
      <c r="AQ1793" s="55">
        <v>2121</v>
      </c>
      <c r="AR1793" s="55">
        <v>28500</v>
      </c>
      <c r="AS1793" s="78">
        <f t="shared" si="31"/>
        <v>7.4421052631578943E-2</v>
      </c>
    </row>
    <row r="1794" spans="39:45">
      <c r="AM1794" s="54">
        <v>2019</v>
      </c>
      <c r="AN1794" s="54" t="s">
        <v>185</v>
      </c>
      <c r="AO1794" s="54">
        <v>16</v>
      </c>
      <c r="AP1794" s="54">
        <v>16</v>
      </c>
      <c r="AQ1794" s="54">
        <v>4307.5</v>
      </c>
      <c r="AR1794" s="55">
        <v>28500</v>
      </c>
      <c r="AS1794" s="78">
        <f t="shared" ref="AS1794:AS1857" si="32">AQ1794/AR1794</f>
        <v>0.15114035087719299</v>
      </c>
    </row>
    <row r="1795" spans="39:45">
      <c r="AM1795" s="55">
        <v>2019</v>
      </c>
      <c r="AN1795" s="55" t="s">
        <v>185</v>
      </c>
      <c r="AO1795" s="55">
        <v>16</v>
      </c>
      <c r="AP1795" s="55">
        <v>17</v>
      </c>
      <c r="AQ1795" s="55">
        <v>142.5</v>
      </c>
      <c r="AR1795" s="55">
        <v>28500</v>
      </c>
      <c r="AS1795" s="78">
        <f t="shared" si="32"/>
        <v>5.0000000000000001E-3</v>
      </c>
    </row>
    <row r="1796" spans="39:45">
      <c r="AM1796" s="54">
        <v>2019</v>
      </c>
      <c r="AN1796" s="54" t="s">
        <v>185</v>
      </c>
      <c r="AO1796" s="54">
        <v>16</v>
      </c>
      <c r="AP1796" s="54">
        <v>18</v>
      </c>
      <c r="AQ1796" s="54">
        <v>0</v>
      </c>
      <c r="AR1796" s="55">
        <v>28500</v>
      </c>
      <c r="AS1796" s="78">
        <f t="shared" si="32"/>
        <v>0</v>
      </c>
    </row>
    <row r="1797" spans="39:45">
      <c r="AM1797" s="55">
        <v>2019</v>
      </c>
      <c r="AN1797" s="55" t="s">
        <v>185</v>
      </c>
      <c r="AO1797" s="55">
        <v>16</v>
      </c>
      <c r="AP1797" s="55">
        <v>19</v>
      </c>
      <c r="AQ1797" s="55">
        <v>0</v>
      </c>
      <c r="AR1797" s="55">
        <v>28500</v>
      </c>
      <c r="AS1797" s="78">
        <f t="shared" si="32"/>
        <v>0</v>
      </c>
    </row>
    <row r="1798" spans="39:45">
      <c r="AM1798" s="54">
        <v>2019</v>
      </c>
      <c r="AN1798" s="54" t="s">
        <v>185</v>
      </c>
      <c r="AO1798" s="54">
        <v>16</v>
      </c>
      <c r="AP1798" s="54">
        <v>20</v>
      </c>
      <c r="AQ1798" s="54">
        <v>0</v>
      </c>
      <c r="AR1798" s="55">
        <v>28500</v>
      </c>
      <c r="AS1798" s="78">
        <f t="shared" si="32"/>
        <v>0</v>
      </c>
    </row>
    <row r="1799" spans="39:45">
      <c r="AM1799" s="55">
        <v>2019</v>
      </c>
      <c r="AN1799" s="55" t="s">
        <v>185</v>
      </c>
      <c r="AO1799" s="55">
        <v>16</v>
      </c>
      <c r="AP1799" s="55">
        <v>21</v>
      </c>
      <c r="AQ1799" s="55">
        <v>0</v>
      </c>
      <c r="AR1799" s="55">
        <v>28500</v>
      </c>
      <c r="AS1799" s="78">
        <f t="shared" si="32"/>
        <v>0</v>
      </c>
    </row>
    <row r="1800" spans="39:45">
      <c r="AM1800" s="54">
        <v>2019</v>
      </c>
      <c r="AN1800" s="54" t="s">
        <v>185</v>
      </c>
      <c r="AO1800" s="54">
        <v>16</v>
      </c>
      <c r="AP1800" s="54">
        <v>22</v>
      </c>
      <c r="AQ1800" s="54">
        <v>0</v>
      </c>
      <c r="AR1800" s="55">
        <v>28500</v>
      </c>
      <c r="AS1800" s="78">
        <f t="shared" si="32"/>
        <v>0</v>
      </c>
    </row>
    <row r="1801" spans="39:45">
      <c r="AM1801" s="55">
        <v>2019</v>
      </c>
      <c r="AN1801" s="55" t="s">
        <v>185</v>
      </c>
      <c r="AO1801" s="55">
        <v>16</v>
      </c>
      <c r="AP1801" s="55">
        <v>23</v>
      </c>
      <c r="AQ1801" s="55">
        <v>0</v>
      </c>
      <c r="AR1801" s="55">
        <v>28500</v>
      </c>
      <c r="AS1801" s="78">
        <f t="shared" si="32"/>
        <v>0</v>
      </c>
    </row>
    <row r="1802" spans="39:45">
      <c r="AM1802" s="54">
        <v>2019</v>
      </c>
      <c r="AN1802" s="54" t="s">
        <v>185</v>
      </c>
      <c r="AO1802" s="54">
        <v>17</v>
      </c>
      <c r="AP1802" s="54">
        <v>24</v>
      </c>
      <c r="AQ1802" s="54">
        <v>0</v>
      </c>
      <c r="AR1802" s="55">
        <v>28500</v>
      </c>
      <c r="AS1802" s="78">
        <f t="shared" si="32"/>
        <v>0</v>
      </c>
    </row>
    <row r="1803" spans="39:45">
      <c r="AM1803" s="55">
        <v>2019</v>
      </c>
      <c r="AN1803" s="55" t="s">
        <v>185</v>
      </c>
      <c r="AO1803" s="55">
        <v>17</v>
      </c>
      <c r="AP1803" s="55">
        <v>1</v>
      </c>
      <c r="AQ1803" s="55">
        <v>0</v>
      </c>
      <c r="AR1803" s="55">
        <v>28500</v>
      </c>
      <c r="AS1803" s="78">
        <f t="shared" si="32"/>
        <v>0</v>
      </c>
    </row>
    <row r="1804" spans="39:45">
      <c r="AM1804" s="54">
        <v>2019</v>
      </c>
      <c r="AN1804" s="54" t="s">
        <v>185</v>
      </c>
      <c r="AO1804" s="54">
        <v>17</v>
      </c>
      <c r="AP1804" s="54">
        <v>2</v>
      </c>
      <c r="AQ1804" s="54">
        <v>0</v>
      </c>
      <c r="AR1804" s="55">
        <v>28500</v>
      </c>
      <c r="AS1804" s="78">
        <f t="shared" si="32"/>
        <v>0</v>
      </c>
    </row>
    <row r="1805" spans="39:45">
      <c r="AM1805" s="55">
        <v>2019</v>
      </c>
      <c r="AN1805" s="55" t="s">
        <v>185</v>
      </c>
      <c r="AO1805" s="55">
        <v>17</v>
      </c>
      <c r="AP1805" s="55">
        <v>3</v>
      </c>
      <c r="AQ1805" s="55">
        <v>0</v>
      </c>
      <c r="AR1805" s="55">
        <v>28500</v>
      </c>
      <c r="AS1805" s="78">
        <f t="shared" si="32"/>
        <v>0</v>
      </c>
    </row>
    <row r="1806" spans="39:45">
      <c r="AM1806" s="54">
        <v>2019</v>
      </c>
      <c r="AN1806" s="54" t="s">
        <v>185</v>
      </c>
      <c r="AO1806" s="54">
        <v>17</v>
      </c>
      <c r="AP1806" s="54">
        <v>4</v>
      </c>
      <c r="AQ1806" s="54">
        <v>0</v>
      </c>
      <c r="AR1806" s="55">
        <v>28500</v>
      </c>
      <c r="AS1806" s="78">
        <f t="shared" si="32"/>
        <v>0</v>
      </c>
    </row>
    <row r="1807" spans="39:45">
      <c r="AM1807" s="55">
        <v>2019</v>
      </c>
      <c r="AN1807" s="55" t="s">
        <v>185</v>
      </c>
      <c r="AO1807" s="55">
        <v>17</v>
      </c>
      <c r="AP1807" s="55">
        <v>5</v>
      </c>
      <c r="AQ1807" s="55">
        <v>0</v>
      </c>
      <c r="AR1807" s="55">
        <v>28500</v>
      </c>
      <c r="AS1807" s="78">
        <f t="shared" si="32"/>
        <v>0</v>
      </c>
    </row>
    <row r="1808" spans="39:45">
      <c r="AM1808" s="54">
        <v>2019</v>
      </c>
      <c r="AN1808" s="54" t="s">
        <v>185</v>
      </c>
      <c r="AO1808" s="54">
        <v>17</v>
      </c>
      <c r="AP1808" s="54">
        <v>6</v>
      </c>
      <c r="AQ1808" s="54">
        <v>0</v>
      </c>
      <c r="AR1808" s="55">
        <v>28500</v>
      </c>
      <c r="AS1808" s="78">
        <f t="shared" si="32"/>
        <v>0</v>
      </c>
    </row>
    <row r="1809" spans="39:45">
      <c r="AM1809" s="55">
        <v>2019</v>
      </c>
      <c r="AN1809" s="55" t="s">
        <v>185</v>
      </c>
      <c r="AO1809" s="55">
        <v>17</v>
      </c>
      <c r="AP1809" s="55">
        <v>7</v>
      </c>
      <c r="AQ1809" s="55">
        <v>6455.5</v>
      </c>
      <c r="AR1809" s="55">
        <v>28500</v>
      </c>
      <c r="AS1809" s="78">
        <f t="shared" si="32"/>
        <v>0.22650877192982455</v>
      </c>
    </row>
    <row r="1810" spans="39:45">
      <c r="AM1810" s="54">
        <v>2019</v>
      </c>
      <c r="AN1810" s="54" t="s">
        <v>185</v>
      </c>
      <c r="AO1810" s="54">
        <v>17</v>
      </c>
      <c r="AP1810" s="54">
        <v>8</v>
      </c>
      <c r="AQ1810" s="54">
        <v>19307</v>
      </c>
      <c r="AR1810" s="55">
        <v>28500</v>
      </c>
      <c r="AS1810" s="78">
        <f t="shared" si="32"/>
        <v>0.67743859649122806</v>
      </c>
    </row>
    <row r="1811" spans="39:45">
      <c r="AM1811" s="55">
        <v>2019</v>
      </c>
      <c r="AN1811" s="55" t="s">
        <v>185</v>
      </c>
      <c r="AO1811" s="55">
        <v>17</v>
      </c>
      <c r="AP1811" s="55">
        <v>9</v>
      </c>
      <c r="AQ1811" s="55">
        <v>23006.5</v>
      </c>
      <c r="AR1811" s="55">
        <v>28500</v>
      </c>
      <c r="AS1811" s="78">
        <f t="shared" si="32"/>
        <v>0.80724561403508777</v>
      </c>
    </row>
    <row r="1812" spans="39:45">
      <c r="AM1812" s="54">
        <v>2019</v>
      </c>
      <c r="AN1812" s="54" t="s">
        <v>185</v>
      </c>
      <c r="AO1812" s="54">
        <v>17</v>
      </c>
      <c r="AP1812" s="54">
        <v>10</v>
      </c>
      <c r="AQ1812" s="54">
        <v>22660</v>
      </c>
      <c r="AR1812" s="55">
        <v>28500</v>
      </c>
      <c r="AS1812" s="78">
        <f t="shared" si="32"/>
        <v>0.79508771929824562</v>
      </c>
    </row>
    <row r="1813" spans="39:45">
      <c r="AM1813" s="55">
        <v>2019</v>
      </c>
      <c r="AN1813" s="55" t="s">
        <v>185</v>
      </c>
      <c r="AO1813" s="55">
        <v>17</v>
      </c>
      <c r="AP1813" s="55">
        <v>11</v>
      </c>
      <c r="AQ1813" s="55">
        <v>2776</v>
      </c>
      <c r="AR1813" s="55">
        <v>28500</v>
      </c>
      <c r="AS1813" s="78">
        <f t="shared" si="32"/>
        <v>9.7403508771929825E-2</v>
      </c>
    </row>
    <row r="1814" spans="39:45">
      <c r="AM1814" s="54">
        <v>2019</v>
      </c>
      <c r="AN1814" s="54" t="s">
        <v>185</v>
      </c>
      <c r="AO1814" s="54">
        <v>17</v>
      </c>
      <c r="AP1814" s="54">
        <v>12</v>
      </c>
      <c r="AQ1814" s="54">
        <v>42087.5</v>
      </c>
      <c r="AR1814" s="55">
        <v>28500</v>
      </c>
      <c r="AS1814" s="78">
        <f t="shared" si="32"/>
        <v>1.4767543859649124</v>
      </c>
    </row>
    <row r="1815" spans="39:45">
      <c r="AM1815" s="55">
        <v>2019</v>
      </c>
      <c r="AN1815" s="55" t="s">
        <v>185</v>
      </c>
      <c r="AO1815" s="55">
        <v>17</v>
      </c>
      <c r="AP1815" s="55">
        <v>13</v>
      </c>
      <c r="AQ1815" s="55">
        <v>30515</v>
      </c>
      <c r="AR1815" s="55">
        <v>28500</v>
      </c>
      <c r="AS1815" s="78">
        <f t="shared" si="32"/>
        <v>1.0707017543859649</v>
      </c>
    </row>
    <row r="1816" spans="39:45">
      <c r="AM1816" s="54">
        <v>2019</v>
      </c>
      <c r="AN1816" s="54" t="s">
        <v>185</v>
      </c>
      <c r="AO1816" s="54">
        <v>17</v>
      </c>
      <c r="AP1816" s="54">
        <v>14</v>
      </c>
      <c r="AQ1816" s="54">
        <v>21558</v>
      </c>
      <c r="AR1816" s="55">
        <v>28500</v>
      </c>
      <c r="AS1816" s="78">
        <f t="shared" si="32"/>
        <v>0.75642105263157899</v>
      </c>
    </row>
    <row r="1817" spans="39:45">
      <c r="AM1817" s="55">
        <v>2019</v>
      </c>
      <c r="AN1817" s="55" t="s">
        <v>185</v>
      </c>
      <c r="AO1817" s="55">
        <v>17</v>
      </c>
      <c r="AP1817" s="55">
        <v>15</v>
      </c>
      <c r="AQ1817" s="55">
        <v>23695</v>
      </c>
      <c r="AR1817" s="55">
        <v>28500</v>
      </c>
      <c r="AS1817" s="78">
        <f t="shared" si="32"/>
        <v>0.83140350877192981</v>
      </c>
    </row>
    <row r="1818" spans="39:45">
      <c r="AM1818" s="54">
        <v>2019</v>
      </c>
      <c r="AN1818" s="54" t="s">
        <v>185</v>
      </c>
      <c r="AO1818" s="54">
        <v>17</v>
      </c>
      <c r="AP1818" s="54">
        <v>16</v>
      </c>
      <c r="AQ1818" s="54">
        <v>2637.5</v>
      </c>
      <c r="AR1818" s="55">
        <v>28500</v>
      </c>
      <c r="AS1818" s="78">
        <f t="shared" si="32"/>
        <v>9.2543859649122803E-2</v>
      </c>
    </row>
    <row r="1819" spans="39:45">
      <c r="AM1819" s="55">
        <v>2019</v>
      </c>
      <c r="AN1819" s="55" t="s">
        <v>185</v>
      </c>
      <c r="AO1819" s="55">
        <v>17</v>
      </c>
      <c r="AP1819" s="55">
        <v>17</v>
      </c>
      <c r="AQ1819" s="55">
        <v>5507</v>
      </c>
      <c r="AR1819" s="55">
        <v>28500</v>
      </c>
      <c r="AS1819" s="78">
        <f t="shared" si="32"/>
        <v>0.19322807017543861</v>
      </c>
    </row>
    <row r="1820" spans="39:45">
      <c r="AM1820" s="54">
        <v>2019</v>
      </c>
      <c r="AN1820" s="54" t="s">
        <v>185</v>
      </c>
      <c r="AO1820" s="54">
        <v>17</v>
      </c>
      <c r="AP1820" s="54">
        <v>18</v>
      </c>
      <c r="AQ1820" s="54">
        <v>0</v>
      </c>
      <c r="AR1820" s="55">
        <v>28500</v>
      </c>
      <c r="AS1820" s="78">
        <f t="shared" si="32"/>
        <v>0</v>
      </c>
    </row>
    <row r="1821" spans="39:45">
      <c r="AM1821" s="55">
        <v>2019</v>
      </c>
      <c r="AN1821" s="55" t="s">
        <v>185</v>
      </c>
      <c r="AO1821" s="55">
        <v>17</v>
      </c>
      <c r="AP1821" s="55">
        <v>19</v>
      </c>
      <c r="AQ1821" s="55">
        <v>0</v>
      </c>
      <c r="AR1821" s="55">
        <v>28500</v>
      </c>
      <c r="AS1821" s="78">
        <f t="shared" si="32"/>
        <v>0</v>
      </c>
    </row>
    <row r="1822" spans="39:45">
      <c r="AM1822" s="54">
        <v>2019</v>
      </c>
      <c r="AN1822" s="54" t="s">
        <v>185</v>
      </c>
      <c r="AO1822" s="54">
        <v>17</v>
      </c>
      <c r="AP1822" s="54">
        <v>20</v>
      </c>
      <c r="AQ1822" s="54">
        <v>0</v>
      </c>
      <c r="AR1822" s="55">
        <v>28500</v>
      </c>
      <c r="AS1822" s="78">
        <f t="shared" si="32"/>
        <v>0</v>
      </c>
    </row>
    <row r="1823" spans="39:45">
      <c r="AM1823" s="55">
        <v>2019</v>
      </c>
      <c r="AN1823" s="55" t="s">
        <v>185</v>
      </c>
      <c r="AO1823" s="55">
        <v>17</v>
      </c>
      <c r="AP1823" s="55">
        <v>21</v>
      </c>
      <c r="AQ1823" s="55">
        <v>0</v>
      </c>
      <c r="AR1823" s="55">
        <v>28500</v>
      </c>
      <c r="AS1823" s="78">
        <f t="shared" si="32"/>
        <v>0</v>
      </c>
    </row>
    <row r="1824" spans="39:45">
      <c r="AM1824" s="54">
        <v>2019</v>
      </c>
      <c r="AN1824" s="54" t="s">
        <v>185</v>
      </c>
      <c r="AO1824" s="54">
        <v>17</v>
      </c>
      <c r="AP1824" s="54">
        <v>22</v>
      </c>
      <c r="AQ1824" s="54">
        <v>0</v>
      </c>
      <c r="AR1824" s="55">
        <v>28500</v>
      </c>
      <c r="AS1824" s="78">
        <f t="shared" si="32"/>
        <v>0</v>
      </c>
    </row>
    <row r="1825" spans="39:45">
      <c r="AM1825" s="55">
        <v>2019</v>
      </c>
      <c r="AN1825" s="55" t="s">
        <v>185</v>
      </c>
      <c r="AO1825" s="55">
        <v>17</v>
      </c>
      <c r="AP1825" s="55">
        <v>23</v>
      </c>
      <c r="AQ1825" s="55">
        <v>0</v>
      </c>
      <c r="AR1825" s="55">
        <v>28500</v>
      </c>
      <c r="AS1825" s="78">
        <f t="shared" si="32"/>
        <v>0</v>
      </c>
    </row>
    <row r="1826" spans="39:45">
      <c r="AM1826" s="54">
        <v>2019</v>
      </c>
      <c r="AN1826" s="54" t="s">
        <v>185</v>
      </c>
      <c r="AO1826" s="54">
        <v>18</v>
      </c>
      <c r="AP1826" s="54">
        <v>24</v>
      </c>
      <c r="AQ1826" s="54">
        <v>0</v>
      </c>
      <c r="AR1826" s="55">
        <v>28500</v>
      </c>
      <c r="AS1826" s="78">
        <f t="shared" si="32"/>
        <v>0</v>
      </c>
    </row>
    <row r="1827" spans="39:45">
      <c r="AM1827" s="55">
        <v>2019</v>
      </c>
      <c r="AN1827" s="55" t="s">
        <v>185</v>
      </c>
      <c r="AO1827" s="55">
        <v>18</v>
      </c>
      <c r="AP1827" s="55">
        <v>1</v>
      </c>
      <c r="AQ1827" s="55">
        <v>0</v>
      </c>
      <c r="AR1827" s="55">
        <v>28500</v>
      </c>
      <c r="AS1827" s="78">
        <f t="shared" si="32"/>
        <v>0</v>
      </c>
    </row>
    <row r="1828" spans="39:45">
      <c r="AM1828" s="54">
        <v>2019</v>
      </c>
      <c r="AN1828" s="54" t="s">
        <v>185</v>
      </c>
      <c r="AO1828" s="54">
        <v>18</v>
      </c>
      <c r="AP1828" s="54">
        <v>2</v>
      </c>
      <c r="AQ1828" s="54">
        <v>0</v>
      </c>
      <c r="AR1828" s="55">
        <v>28500</v>
      </c>
      <c r="AS1828" s="78">
        <f t="shared" si="32"/>
        <v>0</v>
      </c>
    </row>
    <row r="1829" spans="39:45">
      <c r="AM1829" s="55">
        <v>2019</v>
      </c>
      <c r="AN1829" s="55" t="s">
        <v>185</v>
      </c>
      <c r="AO1829" s="55">
        <v>18</v>
      </c>
      <c r="AP1829" s="55">
        <v>3</v>
      </c>
      <c r="AQ1829" s="55">
        <v>0</v>
      </c>
      <c r="AR1829" s="55">
        <v>28500</v>
      </c>
      <c r="AS1829" s="78">
        <f t="shared" si="32"/>
        <v>0</v>
      </c>
    </row>
    <row r="1830" spans="39:45">
      <c r="AM1830" s="54">
        <v>2019</v>
      </c>
      <c r="AN1830" s="54" t="s">
        <v>185</v>
      </c>
      <c r="AO1830" s="54">
        <v>18</v>
      </c>
      <c r="AP1830" s="54">
        <v>4</v>
      </c>
      <c r="AQ1830" s="54">
        <v>0</v>
      </c>
      <c r="AR1830" s="55">
        <v>28500</v>
      </c>
      <c r="AS1830" s="78">
        <f t="shared" si="32"/>
        <v>0</v>
      </c>
    </row>
    <row r="1831" spans="39:45">
      <c r="AM1831" s="55">
        <v>2019</v>
      </c>
      <c r="AN1831" s="55" t="s">
        <v>185</v>
      </c>
      <c r="AO1831" s="55">
        <v>18</v>
      </c>
      <c r="AP1831" s="55">
        <v>5</v>
      </c>
      <c r="AQ1831" s="55">
        <v>0</v>
      </c>
      <c r="AR1831" s="55">
        <v>28500</v>
      </c>
      <c r="AS1831" s="78">
        <f t="shared" si="32"/>
        <v>0</v>
      </c>
    </row>
    <row r="1832" spans="39:45">
      <c r="AM1832" s="54">
        <v>2019</v>
      </c>
      <c r="AN1832" s="54" t="s">
        <v>185</v>
      </c>
      <c r="AO1832" s="54">
        <v>18</v>
      </c>
      <c r="AP1832" s="54">
        <v>6</v>
      </c>
      <c r="AQ1832" s="54">
        <v>0</v>
      </c>
      <c r="AR1832" s="55">
        <v>28500</v>
      </c>
      <c r="AS1832" s="78">
        <f t="shared" si="32"/>
        <v>0</v>
      </c>
    </row>
    <row r="1833" spans="39:45">
      <c r="AM1833" s="55">
        <v>2019</v>
      </c>
      <c r="AN1833" s="55" t="s">
        <v>185</v>
      </c>
      <c r="AO1833" s="55">
        <v>18</v>
      </c>
      <c r="AP1833" s="55">
        <v>7</v>
      </c>
      <c r="AQ1833" s="55">
        <v>1385</v>
      </c>
      <c r="AR1833" s="55">
        <v>28500</v>
      </c>
      <c r="AS1833" s="78">
        <f t="shared" si="32"/>
        <v>4.8596491228070172E-2</v>
      </c>
    </row>
    <row r="1834" spans="39:45">
      <c r="AM1834" s="54">
        <v>2019</v>
      </c>
      <c r="AN1834" s="54" t="s">
        <v>185</v>
      </c>
      <c r="AO1834" s="54">
        <v>18</v>
      </c>
      <c r="AP1834" s="54">
        <v>8</v>
      </c>
      <c r="AQ1834" s="54">
        <v>15417</v>
      </c>
      <c r="AR1834" s="55">
        <v>28500</v>
      </c>
      <c r="AS1834" s="78">
        <f t="shared" si="32"/>
        <v>0.54094736842105262</v>
      </c>
    </row>
    <row r="1835" spans="39:45">
      <c r="AM1835" s="55">
        <v>2019</v>
      </c>
      <c r="AN1835" s="55" t="s">
        <v>185</v>
      </c>
      <c r="AO1835" s="55">
        <v>18</v>
      </c>
      <c r="AP1835" s="55">
        <v>9</v>
      </c>
      <c r="AQ1835" s="55">
        <v>21816</v>
      </c>
      <c r="AR1835" s="55">
        <v>28500</v>
      </c>
      <c r="AS1835" s="78">
        <f t="shared" si="32"/>
        <v>0.76547368421052631</v>
      </c>
    </row>
    <row r="1836" spans="39:45">
      <c r="AM1836" s="54">
        <v>2019</v>
      </c>
      <c r="AN1836" s="54" t="s">
        <v>185</v>
      </c>
      <c r="AO1836" s="54">
        <v>18</v>
      </c>
      <c r="AP1836" s="54">
        <v>10</v>
      </c>
      <c r="AQ1836" s="54">
        <v>10687.5</v>
      </c>
      <c r="AR1836" s="55">
        <v>28500</v>
      </c>
      <c r="AS1836" s="78">
        <f t="shared" si="32"/>
        <v>0.375</v>
      </c>
    </row>
    <row r="1837" spans="39:45">
      <c r="AM1837" s="55">
        <v>2019</v>
      </c>
      <c r="AN1837" s="55" t="s">
        <v>185</v>
      </c>
      <c r="AO1837" s="55">
        <v>18</v>
      </c>
      <c r="AP1837" s="55">
        <v>11</v>
      </c>
      <c r="AQ1837" s="55">
        <v>31919.5</v>
      </c>
      <c r="AR1837" s="55">
        <v>28500</v>
      </c>
      <c r="AS1837" s="78">
        <f t="shared" si="32"/>
        <v>1.1199824561403509</v>
      </c>
    </row>
    <row r="1838" spans="39:45">
      <c r="AM1838" s="54">
        <v>2019</v>
      </c>
      <c r="AN1838" s="54" t="s">
        <v>185</v>
      </c>
      <c r="AO1838" s="54">
        <v>18</v>
      </c>
      <c r="AP1838" s="54">
        <v>12</v>
      </c>
      <c r="AQ1838" s="54">
        <v>13307.5</v>
      </c>
      <c r="AR1838" s="55">
        <v>28500</v>
      </c>
      <c r="AS1838" s="78">
        <f t="shared" si="32"/>
        <v>0.46692982456140353</v>
      </c>
    </row>
    <row r="1839" spans="39:45">
      <c r="AM1839" s="55">
        <v>2019</v>
      </c>
      <c r="AN1839" s="55" t="s">
        <v>185</v>
      </c>
      <c r="AO1839" s="55">
        <v>18</v>
      </c>
      <c r="AP1839" s="55">
        <v>13</v>
      </c>
      <c r="AQ1839" s="55">
        <v>23659</v>
      </c>
      <c r="AR1839" s="55">
        <v>28500</v>
      </c>
      <c r="AS1839" s="78">
        <f t="shared" si="32"/>
        <v>0.83014035087719296</v>
      </c>
    </row>
    <row r="1840" spans="39:45">
      <c r="AM1840" s="54">
        <v>2019</v>
      </c>
      <c r="AN1840" s="54" t="s">
        <v>185</v>
      </c>
      <c r="AO1840" s="54">
        <v>18</v>
      </c>
      <c r="AP1840" s="54">
        <v>14</v>
      </c>
      <c r="AQ1840" s="54">
        <v>22591</v>
      </c>
      <c r="AR1840" s="55">
        <v>28500</v>
      </c>
      <c r="AS1840" s="78">
        <f t="shared" si="32"/>
        <v>0.79266666666666663</v>
      </c>
    </row>
    <row r="1841" spans="39:45">
      <c r="AM1841" s="55">
        <v>2019</v>
      </c>
      <c r="AN1841" s="55" t="s">
        <v>185</v>
      </c>
      <c r="AO1841" s="55">
        <v>18</v>
      </c>
      <c r="AP1841" s="55">
        <v>15</v>
      </c>
      <c r="AQ1841" s="55">
        <v>9732.5</v>
      </c>
      <c r="AR1841" s="55">
        <v>28500</v>
      </c>
      <c r="AS1841" s="78">
        <f t="shared" si="32"/>
        <v>0.34149122807017546</v>
      </c>
    </row>
    <row r="1842" spans="39:45">
      <c r="AM1842" s="54">
        <v>2019</v>
      </c>
      <c r="AN1842" s="54" t="s">
        <v>185</v>
      </c>
      <c r="AO1842" s="54">
        <v>18</v>
      </c>
      <c r="AP1842" s="54">
        <v>16</v>
      </c>
      <c r="AQ1842" s="54">
        <v>15814</v>
      </c>
      <c r="AR1842" s="55">
        <v>28500</v>
      </c>
      <c r="AS1842" s="78">
        <f t="shared" si="32"/>
        <v>0.55487719298245619</v>
      </c>
    </row>
    <row r="1843" spans="39:45">
      <c r="AM1843" s="55">
        <v>2019</v>
      </c>
      <c r="AN1843" s="55" t="s">
        <v>185</v>
      </c>
      <c r="AO1843" s="55">
        <v>18</v>
      </c>
      <c r="AP1843" s="55">
        <v>17</v>
      </c>
      <c r="AQ1843" s="55">
        <v>4869.5</v>
      </c>
      <c r="AR1843" s="55">
        <v>28500</v>
      </c>
      <c r="AS1843" s="78">
        <f t="shared" si="32"/>
        <v>0.17085964912280702</v>
      </c>
    </row>
    <row r="1844" spans="39:45">
      <c r="AM1844" s="54">
        <v>2019</v>
      </c>
      <c r="AN1844" s="54" t="s">
        <v>185</v>
      </c>
      <c r="AO1844" s="54">
        <v>18</v>
      </c>
      <c r="AP1844" s="54">
        <v>18</v>
      </c>
      <c r="AQ1844" s="54">
        <v>0</v>
      </c>
      <c r="AR1844" s="55">
        <v>28500</v>
      </c>
      <c r="AS1844" s="78">
        <f t="shared" si="32"/>
        <v>0</v>
      </c>
    </row>
    <row r="1845" spans="39:45">
      <c r="AM1845" s="55">
        <v>2019</v>
      </c>
      <c r="AN1845" s="55" t="s">
        <v>185</v>
      </c>
      <c r="AO1845" s="55">
        <v>18</v>
      </c>
      <c r="AP1845" s="55">
        <v>19</v>
      </c>
      <c r="AQ1845" s="55">
        <v>0</v>
      </c>
      <c r="AR1845" s="55">
        <v>28500</v>
      </c>
      <c r="AS1845" s="78">
        <f t="shared" si="32"/>
        <v>0</v>
      </c>
    </row>
    <row r="1846" spans="39:45">
      <c r="AM1846" s="54">
        <v>2019</v>
      </c>
      <c r="AN1846" s="54" t="s">
        <v>185</v>
      </c>
      <c r="AO1846" s="54">
        <v>18</v>
      </c>
      <c r="AP1846" s="54">
        <v>20</v>
      </c>
      <c r="AQ1846" s="54">
        <v>0</v>
      </c>
      <c r="AR1846" s="55">
        <v>28500</v>
      </c>
      <c r="AS1846" s="78">
        <f t="shared" si="32"/>
        <v>0</v>
      </c>
    </row>
    <row r="1847" spans="39:45">
      <c r="AM1847" s="55">
        <v>2019</v>
      </c>
      <c r="AN1847" s="55" t="s">
        <v>185</v>
      </c>
      <c r="AO1847" s="55">
        <v>18</v>
      </c>
      <c r="AP1847" s="55">
        <v>21</v>
      </c>
      <c r="AQ1847" s="55">
        <v>0</v>
      </c>
      <c r="AR1847" s="55">
        <v>28500</v>
      </c>
      <c r="AS1847" s="78">
        <f t="shared" si="32"/>
        <v>0</v>
      </c>
    </row>
    <row r="1848" spans="39:45">
      <c r="AM1848" s="54">
        <v>2019</v>
      </c>
      <c r="AN1848" s="54" t="s">
        <v>185</v>
      </c>
      <c r="AO1848" s="54">
        <v>18</v>
      </c>
      <c r="AP1848" s="54">
        <v>22</v>
      </c>
      <c r="AQ1848" s="54">
        <v>0</v>
      </c>
      <c r="AR1848" s="55">
        <v>28500</v>
      </c>
      <c r="AS1848" s="78">
        <f t="shared" si="32"/>
        <v>0</v>
      </c>
    </row>
    <row r="1849" spans="39:45">
      <c r="AM1849" s="55">
        <v>2019</v>
      </c>
      <c r="AN1849" s="55" t="s">
        <v>185</v>
      </c>
      <c r="AO1849" s="55">
        <v>18</v>
      </c>
      <c r="AP1849" s="55">
        <v>23</v>
      </c>
      <c r="AQ1849" s="55">
        <v>0</v>
      </c>
      <c r="AR1849" s="55">
        <v>28500</v>
      </c>
      <c r="AS1849" s="78">
        <f t="shared" si="32"/>
        <v>0</v>
      </c>
    </row>
    <row r="1850" spans="39:45">
      <c r="AM1850" s="54">
        <v>2019</v>
      </c>
      <c r="AN1850" s="54" t="s">
        <v>185</v>
      </c>
      <c r="AO1850" s="54">
        <v>19</v>
      </c>
      <c r="AP1850" s="54">
        <v>24</v>
      </c>
      <c r="AQ1850" s="54">
        <v>0</v>
      </c>
      <c r="AR1850" s="55">
        <v>28500</v>
      </c>
      <c r="AS1850" s="78">
        <f t="shared" si="32"/>
        <v>0</v>
      </c>
    </row>
    <row r="1851" spans="39:45">
      <c r="AM1851" s="55">
        <v>2019</v>
      </c>
      <c r="AN1851" s="55" t="s">
        <v>185</v>
      </c>
      <c r="AO1851" s="55">
        <v>19</v>
      </c>
      <c r="AP1851" s="55">
        <v>1</v>
      </c>
      <c r="AQ1851" s="55">
        <v>0</v>
      </c>
      <c r="AR1851" s="55">
        <v>28500</v>
      </c>
      <c r="AS1851" s="78">
        <f t="shared" si="32"/>
        <v>0</v>
      </c>
    </row>
    <row r="1852" spans="39:45">
      <c r="AM1852" s="54">
        <v>2019</v>
      </c>
      <c r="AN1852" s="54" t="s">
        <v>185</v>
      </c>
      <c r="AO1852" s="54">
        <v>19</v>
      </c>
      <c r="AP1852" s="54">
        <v>2</v>
      </c>
      <c r="AQ1852" s="54">
        <v>0</v>
      </c>
      <c r="AR1852" s="55">
        <v>28500</v>
      </c>
      <c r="AS1852" s="78">
        <f t="shared" si="32"/>
        <v>0</v>
      </c>
    </row>
    <row r="1853" spans="39:45">
      <c r="AM1853" s="55">
        <v>2019</v>
      </c>
      <c r="AN1853" s="55" t="s">
        <v>185</v>
      </c>
      <c r="AO1853" s="55">
        <v>19</v>
      </c>
      <c r="AP1853" s="55">
        <v>3</v>
      </c>
      <c r="AQ1853" s="55">
        <v>0</v>
      </c>
      <c r="AR1853" s="55">
        <v>28500</v>
      </c>
      <c r="AS1853" s="78">
        <f t="shared" si="32"/>
        <v>0</v>
      </c>
    </row>
    <row r="1854" spans="39:45">
      <c r="AM1854" s="54">
        <v>2019</v>
      </c>
      <c r="AN1854" s="54" t="s">
        <v>185</v>
      </c>
      <c r="AO1854" s="54">
        <v>19</v>
      </c>
      <c r="AP1854" s="54">
        <v>4</v>
      </c>
      <c r="AQ1854" s="54">
        <v>0</v>
      </c>
      <c r="AR1854" s="55">
        <v>28500</v>
      </c>
      <c r="AS1854" s="78">
        <f t="shared" si="32"/>
        <v>0</v>
      </c>
    </row>
    <row r="1855" spans="39:45">
      <c r="AM1855" s="55">
        <v>2019</v>
      </c>
      <c r="AN1855" s="55" t="s">
        <v>185</v>
      </c>
      <c r="AO1855" s="55">
        <v>19</v>
      </c>
      <c r="AP1855" s="55">
        <v>5</v>
      </c>
      <c r="AQ1855" s="55">
        <v>0</v>
      </c>
      <c r="AR1855" s="55">
        <v>28500</v>
      </c>
      <c r="AS1855" s="78">
        <f t="shared" si="32"/>
        <v>0</v>
      </c>
    </row>
    <row r="1856" spans="39:45">
      <c r="AM1856" s="54">
        <v>2019</v>
      </c>
      <c r="AN1856" s="54" t="s">
        <v>185</v>
      </c>
      <c r="AO1856" s="54">
        <v>19</v>
      </c>
      <c r="AP1856" s="54">
        <v>6</v>
      </c>
      <c r="AQ1856" s="54">
        <v>0</v>
      </c>
      <c r="AR1856" s="55">
        <v>28500</v>
      </c>
      <c r="AS1856" s="78">
        <f t="shared" si="32"/>
        <v>0</v>
      </c>
    </row>
    <row r="1857" spans="39:45">
      <c r="AM1857" s="55">
        <v>2019</v>
      </c>
      <c r="AN1857" s="55" t="s">
        <v>185</v>
      </c>
      <c r="AO1857" s="55">
        <v>19</v>
      </c>
      <c r="AP1857" s="55">
        <v>7</v>
      </c>
      <c r="AQ1857" s="55">
        <v>1903.5</v>
      </c>
      <c r="AR1857" s="55">
        <v>28500</v>
      </c>
      <c r="AS1857" s="78">
        <f t="shared" si="32"/>
        <v>6.6789473684210524E-2</v>
      </c>
    </row>
    <row r="1858" spans="39:45">
      <c r="AM1858" s="54">
        <v>2019</v>
      </c>
      <c r="AN1858" s="54" t="s">
        <v>185</v>
      </c>
      <c r="AO1858" s="54">
        <v>19</v>
      </c>
      <c r="AP1858" s="54">
        <v>8</v>
      </c>
      <c r="AQ1858" s="54">
        <v>4674.5</v>
      </c>
      <c r="AR1858" s="55">
        <v>28500</v>
      </c>
      <c r="AS1858" s="78">
        <f t="shared" ref="AS1858:AS1921" si="33">AQ1858/AR1858</f>
        <v>0.16401754385964912</v>
      </c>
    </row>
    <row r="1859" spans="39:45">
      <c r="AM1859" s="55">
        <v>2019</v>
      </c>
      <c r="AN1859" s="55" t="s">
        <v>185</v>
      </c>
      <c r="AO1859" s="55">
        <v>19</v>
      </c>
      <c r="AP1859" s="55">
        <v>9</v>
      </c>
      <c r="AQ1859" s="55">
        <v>22862</v>
      </c>
      <c r="AR1859" s="55">
        <v>28500</v>
      </c>
      <c r="AS1859" s="78">
        <f t="shared" si="33"/>
        <v>0.80217543859649121</v>
      </c>
    </row>
    <row r="1860" spans="39:45">
      <c r="AM1860" s="54">
        <v>2019</v>
      </c>
      <c r="AN1860" s="54" t="s">
        <v>185</v>
      </c>
      <c r="AO1860" s="54">
        <v>19</v>
      </c>
      <c r="AP1860" s="54">
        <v>10</v>
      </c>
      <c r="AQ1860" s="54">
        <v>8993.5</v>
      </c>
      <c r="AR1860" s="55">
        <v>28500</v>
      </c>
      <c r="AS1860" s="78">
        <f t="shared" si="33"/>
        <v>0.31556140350877193</v>
      </c>
    </row>
    <row r="1861" spans="39:45">
      <c r="AM1861" s="55">
        <v>2019</v>
      </c>
      <c r="AN1861" s="55" t="s">
        <v>185</v>
      </c>
      <c r="AO1861" s="55">
        <v>19</v>
      </c>
      <c r="AP1861" s="55">
        <v>11</v>
      </c>
      <c r="AQ1861" s="55">
        <v>18077</v>
      </c>
      <c r="AR1861" s="55">
        <v>28500</v>
      </c>
      <c r="AS1861" s="78">
        <f t="shared" si="33"/>
        <v>0.634280701754386</v>
      </c>
    </row>
    <row r="1862" spans="39:45">
      <c r="AM1862" s="54">
        <v>2019</v>
      </c>
      <c r="AN1862" s="54" t="s">
        <v>185</v>
      </c>
      <c r="AO1862" s="54">
        <v>19</v>
      </c>
      <c r="AP1862" s="54">
        <v>12</v>
      </c>
      <c r="AQ1862" s="54">
        <v>12540.5</v>
      </c>
      <c r="AR1862" s="55">
        <v>28500</v>
      </c>
      <c r="AS1862" s="78">
        <f t="shared" si="33"/>
        <v>0.44001754385964914</v>
      </c>
    </row>
    <row r="1863" spans="39:45">
      <c r="AM1863" s="55">
        <v>2019</v>
      </c>
      <c r="AN1863" s="55" t="s">
        <v>185</v>
      </c>
      <c r="AO1863" s="55">
        <v>19</v>
      </c>
      <c r="AP1863" s="55">
        <v>13</v>
      </c>
      <c r="AQ1863" s="55">
        <v>15694</v>
      </c>
      <c r="AR1863" s="55">
        <v>28500</v>
      </c>
      <c r="AS1863" s="78">
        <f t="shared" si="33"/>
        <v>0.55066666666666664</v>
      </c>
    </row>
    <row r="1864" spans="39:45">
      <c r="AM1864" s="54">
        <v>2019</v>
      </c>
      <c r="AN1864" s="54" t="s">
        <v>185</v>
      </c>
      <c r="AO1864" s="54">
        <v>19</v>
      </c>
      <c r="AP1864" s="54">
        <v>14</v>
      </c>
      <c r="AQ1864" s="54">
        <v>4129</v>
      </c>
      <c r="AR1864" s="55">
        <v>28500</v>
      </c>
      <c r="AS1864" s="78">
        <f t="shared" si="33"/>
        <v>0.14487719298245613</v>
      </c>
    </row>
    <row r="1865" spans="39:45">
      <c r="AM1865" s="55">
        <v>2019</v>
      </c>
      <c r="AN1865" s="55" t="s">
        <v>185</v>
      </c>
      <c r="AO1865" s="55">
        <v>19</v>
      </c>
      <c r="AP1865" s="55">
        <v>15</v>
      </c>
      <c r="AQ1865" s="55">
        <v>3892</v>
      </c>
      <c r="AR1865" s="55">
        <v>28500</v>
      </c>
      <c r="AS1865" s="78">
        <f t="shared" si="33"/>
        <v>0.13656140350877194</v>
      </c>
    </row>
    <row r="1866" spans="39:45">
      <c r="AM1866" s="54">
        <v>2019</v>
      </c>
      <c r="AN1866" s="54" t="s">
        <v>185</v>
      </c>
      <c r="AO1866" s="54">
        <v>19</v>
      </c>
      <c r="AP1866" s="54">
        <v>16</v>
      </c>
      <c r="AQ1866" s="54">
        <v>4657</v>
      </c>
      <c r="AR1866" s="55">
        <v>28500</v>
      </c>
      <c r="AS1866" s="78">
        <f t="shared" si="33"/>
        <v>0.16340350877192983</v>
      </c>
    </row>
    <row r="1867" spans="39:45">
      <c r="AM1867" s="55">
        <v>2019</v>
      </c>
      <c r="AN1867" s="55" t="s">
        <v>185</v>
      </c>
      <c r="AO1867" s="55">
        <v>19</v>
      </c>
      <c r="AP1867" s="55">
        <v>17</v>
      </c>
      <c r="AQ1867" s="55">
        <v>1157</v>
      </c>
      <c r="AR1867" s="55">
        <v>28500</v>
      </c>
      <c r="AS1867" s="78">
        <f t="shared" si="33"/>
        <v>4.0596491228070172E-2</v>
      </c>
    </row>
    <row r="1868" spans="39:45">
      <c r="AM1868" s="54">
        <v>2019</v>
      </c>
      <c r="AN1868" s="54" t="s">
        <v>185</v>
      </c>
      <c r="AO1868" s="54">
        <v>19</v>
      </c>
      <c r="AP1868" s="54">
        <v>18</v>
      </c>
      <c r="AQ1868" s="54">
        <v>0</v>
      </c>
      <c r="AR1868" s="55">
        <v>28500</v>
      </c>
      <c r="AS1868" s="78">
        <f t="shared" si="33"/>
        <v>0</v>
      </c>
    </row>
    <row r="1869" spans="39:45">
      <c r="AM1869" s="55">
        <v>2019</v>
      </c>
      <c r="AN1869" s="55" t="s">
        <v>185</v>
      </c>
      <c r="AO1869" s="55">
        <v>19</v>
      </c>
      <c r="AP1869" s="55">
        <v>19</v>
      </c>
      <c r="AQ1869" s="55">
        <v>0</v>
      </c>
      <c r="AR1869" s="55">
        <v>28500</v>
      </c>
      <c r="AS1869" s="78">
        <f t="shared" si="33"/>
        <v>0</v>
      </c>
    </row>
    <row r="1870" spans="39:45">
      <c r="AM1870" s="54">
        <v>2019</v>
      </c>
      <c r="AN1870" s="54" t="s">
        <v>185</v>
      </c>
      <c r="AO1870" s="54">
        <v>19</v>
      </c>
      <c r="AP1870" s="54">
        <v>20</v>
      </c>
      <c r="AQ1870" s="54">
        <v>0</v>
      </c>
      <c r="AR1870" s="55">
        <v>28500</v>
      </c>
      <c r="AS1870" s="78">
        <f t="shared" si="33"/>
        <v>0</v>
      </c>
    </row>
    <row r="1871" spans="39:45">
      <c r="AM1871" s="55">
        <v>2019</v>
      </c>
      <c r="AN1871" s="55" t="s">
        <v>185</v>
      </c>
      <c r="AO1871" s="55">
        <v>19</v>
      </c>
      <c r="AP1871" s="55">
        <v>21</v>
      </c>
      <c r="AQ1871" s="55">
        <v>0</v>
      </c>
      <c r="AR1871" s="55">
        <v>28500</v>
      </c>
      <c r="AS1871" s="78">
        <f t="shared" si="33"/>
        <v>0</v>
      </c>
    </row>
    <row r="1872" spans="39:45">
      <c r="AM1872" s="54">
        <v>2019</v>
      </c>
      <c r="AN1872" s="54" t="s">
        <v>185</v>
      </c>
      <c r="AO1872" s="54">
        <v>19</v>
      </c>
      <c r="AP1872" s="54">
        <v>22</v>
      </c>
      <c r="AQ1872" s="54">
        <v>0</v>
      </c>
      <c r="AR1872" s="55">
        <v>28500</v>
      </c>
      <c r="AS1872" s="78">
        <f t="shared" si="33"/>
        <v>0</v>
      </c>
    </row>
    <row r="1873" spans="39:45">
      <c r="AM1873" s="55">
        <v>2019</v>
      </c>
      <c r="AN1873" s="55" t="s">
        <v>185</v>
      </c>
      <c r="AO1873" s="55">
        <v>19</v>
      </c>
      <c r="AP1873" s="55">
        <v>23</v>
      </c>
      <c r="AQ1873" s="55">
        <v>0</v>
      </c>
      <c r="AR1873" s="55">
        <v>28500</v>
      </c>
      <c r="AS1873" s="78">
        <f t="shared" si="33"/>
        <v>0</v>
      </c>
    </row>
    <row r="1874" spans="39:45">
      <c r="AM1874" s="54">
        <v>2019</v>
      </c>
      <c r="AN1874" s="54" t="s">
        <v>185</v>
      </c>
      <c r="AO1874" s="54">
        <v>20</v>
      </c>
      <c r="AP1874" s="54">
        <v>24</v>
      </c>
      <c r="AQ1874" s="54">
        <v>0</v>
      </c>
      <c r="AR1874" s="55">
        <v>28500</v>
      </c>
      <c r="AS1874" s="78">
        <f t="shared" si="33"/>
        <v>0</v>
      </c>
    </row>
    <row r="1875" spans="39:45">
      <c r="AM1875" s="55">
        <v>2019</v>
      </c>
      <c r="AN1875" s="55" t="s">
        <v>185</v>
      </c>
      <c r="AO1875" s="55">
        <v>20</v>
      </c>
      <c r="AP1875" s="55">
        <v>1</v>
      </c>
      <c r="AQ1875" s="55">
        <v>0</v>
      </c>
      <c r="AR1875" s="55">
        <v>28500</v>
      </c>
      <c r="AS1875" s="78">
        <f t="shared" si="33"/>
        <v>0</v>
      </c>
    </row>
    <row r="1876" spans="39:45">
      <c r="AM1876" s="54">
        <v>2019</v>
      </c>
      <c r="AN1876" s="54" t="s">
        <v>185</v>
      </c>
      <c r="AO1876" s="54">
        <v>20</v>
      </c>
      <c r="AP1876" s="54">
        <v>2</v>
      </c>
      <c r="AQ1876" s="54">
        <v>0</v>
      </c>
      <c r="AR1876" s="55">
        <v>28500</v>
      </c>
      <c r="AS1876" s="78">
        <f t="shared" si="33"/>
        <v>0</v>
      </c>
    </row>
    <row r="1877" spans="39:45">
      <c r="AM1877" s="55">
        <v>2019</v>
      </c>
      <c r="AN1877" s="55" t="s">
        <v>185</v>
      </c>
      <c r="AO1877" s="55">
        <v>20</v>
      </c>
      <c r="AP1877" s="55">
        <v>3</v>
      </c>
      <c r="AQ1877" s="55">
        <v>0</v>
      </c>
      <c r="AR1877" s="55">
        <v>28500</v>
      </c>
      <c r="AS1877" s="78">
        <f t="shared" si="33"/>
        <v>0</v>
      </c>
    </row>
    <row r="1878" spans="39:45">
      <c r="AM1878" s="54">
        <v>2019</v>
      </c>
      <c r="AN1878" s="54" t="s">
        <v>185</v>
      </c>
      <c r="AO1878" s="54">
        <v>20</v>
      </c>
      <c r="AP1878" s="54">
        <v>4</v>
      </c>
      <c r="AQ1878" s="54">
        <v>0</v>
      </c>
      <c r="AR1878" s="55">
        <v>28500</v>
      </c>
      <c r="AS1878" s="78">
        <f t="shared" si="33"/>
        <v>0</v>
      </c>
    </row>
    <row r="1879" spans="39:45">
      <c r="AM1879" s="55">
        <v>2019</v>
      </c>
      <c r="AN1879" s="55" t="s">
        <v>185</v>
      </c>
      <c r="AO1879" s="55">
        <v>20</v>
      </c>
      <c r="AP1879" s="55">
        <v>5</v>
      </c>
      <c r="AQ1879" s="55">
        <v>0</v>
      </c>
      <c r="AR1879" s="55">
        <v>28500</v>
      </c>
      <c r="AS1879" s="78">
        <f t="shared" si="33"/>
        <v>0</v>
      </c>
    </row>
    <row r="1880" spans="39:45">
      <c r="AM1880" s="54">
        <v>2019</v>
      </c>
      <c r="AN1880" s="54" t="s">
        <v>185</v>
      </c>
      <c r="AO1880" s="54">
        <v>20</v>
      </c>
      <c r="AP1880" s="54">
        <v>6</v>
      </c>
      <c r="AQ1880" s="54">
        <v>0</v>
      </c>
      <c r="AR1880" s="55">
        <v>28500</v>
      </c>
      <c r="AS1880" s="78">
        <f t="shared" si="33"/>
        <v>0</v>
      </c>
    </row>
    <row r="1881" spans="39:45">
      <c r="AM1881" s="55">
        <v>2019</v>
      </c>
      <c r="AN1881" s="55" t="s">
        <v>185</v>
      </c>
      <c r="AO1881" s="55">
        <v>20</v>
      </c>
      <c r="AP1881" s="55">
        <v>7</v>
      </c>
      <c r="AQ1881" s="55">
        <v>3720.5</v>
      </c>
      <c r="AR1881" s="55">
        <v>28500</v>
      </c>
      <c r="AS1881" s="78">
        <f t="shared" si="33"/>
        <v>0.1305438596491228</v>
      </c>
    </row>
    <row r="1882" spans="39:45">
      <c r="AM1882" s="54">
        <v>2019</v>
      </c>
      <c r="AN1882" s="54" t="s">
        <v>185</v>
      </c>
      <c r="AO1882" s="54">
        <v>20</v>
      </c>
      <c r="AP1882" s="54">
        <v>8</v>
      </c>
      <c r="AQ1882" s="54">
        <v>6851.5</v>
      </c>
      <c r="AR1882" s="55">
        <v>28500</v>
      </c>
      <c r="AS1882" s="78">
        <f t="shared" si="33"/>
        <v>0.24040350877192981</v>
      </c>
    </row>
    <row r="1883" spans="39:45">
      <c r="AM1883" s="55">
        <v>2019</v>
      </c>
      <c r="AN1883" s="55" t="s">
        <v>185</v>
      </c>
      <c r="AO1883" s="55">
        <v>20</v>
      </c>
      <c r="AP1883" s="55">
        <v>9</v>
      </c>
      <c r="AQ1883" s="55">
        <v>3471.5</v>
      </c>
      <c r="AR1883" s="55">
        <v>28500</v>
      </c>
      <c r="AS1883" s="78">
        <f t="shared" si="33"/>
        <v>0.12180701754385966</v>
      </c>
    </row>
    <row r="1884" spans="39:45">
      <c r="AM1884" s="54">
        <v>2019</v>
      </c>
      <c r="AN1884" s="54" t="s">
        <v>185</v>
      </c>
      <c r="AO1884" s="54">
        <v>20</v>
      </c>
      <c r="AP1884" s="54">
        <v>10</v>
      </c>
      <c r="AQ1884" s="54">
        <v>5498.5</v>
      </c>
      <c r="AR1884" s="55">
        <v>28500</v>
      </c>
      <c r="AS1884" s="78">
        <f t="shared" si="33"/>
        <v>0.19292982456140351</v>
      </c>
    </row>
    <row r="1885" spans="39:45">
      <c r="AM1885" s="55">
        <v>2019</v>
      </c>
      <c r="AN1885" s="55" t="s">
        <v>185</v>
      </c>
      <c r="AO1885" s="55">
        <v>20</v>
      </c>
      <c r="AP1885" s="55">
        <v>11</v>
      </c>
      <c r="AQ1885" s="55">
        <v>3714</v>
      </c>
      <c r="AR1885" s="55">
        <v>28500</v>
      </c>
      <c r="AS1885" s="78">
        <f t="shared" si="33"/>
        <v>0.13031578947368422</v>
      </c>
    </row>
    <row r="1886" spans="39:45">
      <c r="AM1886" s="54">
        <v>2019</v>
      </c>
      <c r="AN1886" s="54" t="s">
        <v>185</v>
      </c>
      <c r="AO1886" s="54">
        <v>20</v>
      </c>
      <c r="AP1886" s="54">
        <v>12</v>
      </c>
      <c r="AQ1886" s="54">
        <v>3277</v>
      </c>
      <c r="AR1886" s="55">
        <v>28500</v>
      </c>
      <c r="AS1886" s="78">
        <f t="shared" si="33"/>
        <v>0.11498245614035088</v>
      </c>
    </row>
    <row r="1887" spans="39:45">
      <c r="AM1887" s="55">
        <v>2019</v>
      </c>
      <c r="AN1887" s="55" t="s">
        <v>185</v>
      </c>
      <c r="AO1887" s="55">
        <v>20</v>
      </c>
      <c r="AP1887" s="55">
        <v>13</v>
      </c>
      <c r="AQ1887" s="55">
        <v>4236</v>
      </c>
      <c r="AR1887" s="55">
        <v>28500</v>
      </c>
      <c r="AS1887" s="78">
        <f t="shared" si="33"/>
        <v>0.14863157894736842</v>
      </c>
    </row>
    <row r="1888" spans="39:45">
      <c r="AM1888" s="54">
        <v>2019</v>
      </c>
      <c r="AN1888" s="54" t="s">
        <v>185</v>
      </c>
      <c r="AO1888" s="54">
        <v>20</v>
      </c>
      <c r="AP1888" s="54">
        <v>14</v>
      </c>
      <c r="AQ1888" s="54">
        <v>5629</v>
      </c>
      <c r="AR1888" s="55">
        <v>28500</v>
      </c>
      <c r="AS1888" s="78">
        <f t="shared" si="33"/>
        <v>0.19750877192982455</v>
      </c>
    </row>
    <row r="1889" spans="39:45">
      <c r="AM1889" s="55">
        <v>2019</v>
      </c>
      <c r="AN1889" s="55" t="s">
        <v>185</v>
      </c>
      <c r="AO1889" s="55">
        <v>20</v>
      </c>
      <c r="AP1889" s="55">
        <v>15</v>
      </c>
      <c r="AQ1889" s="55">
        <v>4028.5</v>
      </c>
      <c r="AR1889" s="55">
        <v>28500</v>
      </c>
      <c r="AS1889" s="78">
        <f t="shared" si="33"/>
        <v>0.14135087719298245</v>
      </c>
    </row>
    <row r="1890" spans="39:45">
      <c r="AM1890" s="54">
        <v>2019</v>
      </c>
      <c r="AN1890" s="54" t="s">
        <v>185</v>
      </c>
      <c r="AO1890" s="54">
        <v>20</v>
      </c>
      <c r="AP1890" s="54">
        <v>16</v>
      </c>
      <c r="AQ1890" s="54">
        <v>3762</v>
      </c>
      <c r="AR1890" s="55">
        <v>28500</v>
      </c>
      <c r="AS1890" s="78">
        <f t="shared" si="33"/>
        <v>0.13200000000000001</v>
      </c>
    </row>
    <row r="1891" spans="39:45">
      <c r="AM1891" s="55">
        <v>2019</v>
      </c>
      <c r="AN1891" s="55" t="s">
        <v>185</v>
      </c>
      <c r="AO1891" s="55">
        <v>20</v>
      </c>
      <c r="AP1891" s="55">
        <v>17</v>
      </c>
      <c r="AQ1891" s="55">
        <v>1082</v>
      </c>
      <c r="AR1891" s="55">
        <v>28500</v>
      </c>
      <c r="AS1891" s="78">
        <f t="shared" si="33"/>
        <v>3.7964912280701757E-2</v>
      </c>
    </row>
    <row r="1892" spans="39:45">
      <c r="AM1892" s="54">
        <v>2019</v>
      </c>
      <c r="AN1892" s="54" t="s">
        <v>185</v>
      </c>
      <c r="AO1892" s="54">
        <v>20</v>
      </c>
      <c r="AP1892" s="54">
        <v>18</v>
      </c>
      <c r="AQ1892" s="54">
        <v>0</v>
      </c>
      <c r="AR1892" s="55">
        <v>28500</v>
      </c>
      <c r="AS1892" s="78">
        <f t="shared" si="33"/>
        <v>0</v>
      </c>
    </row>
    <row r="1893" spans="39:45">
      <c r="AM1893" s="55">
        <v>2019</v>
      </c>
      <c r="AN1893" s="55" t="s">
        <v>185</v>
      </c>
      <c r="AO1893" s="55">
        <v>20</v>
      </c>
      <c r="AP1893" s="55">
        <v>19</v>
      </c>
      <c r="AQ1893" s="55">
        <v>0</v>
      </c>
      <c r="AR1893" s="55">
        <v>28500</v>
      </c>
      <c r="AS1893" s="78">
        <f t="shared" si="33"/>
        <v>0</v>
      </c>
    </row>
    <row r="1894" spans="39:45">
      <c r="AM1894" s="54">
        <v>2019</v>
      </c>
      <c r="AN1894" s="54" t="s">
        <v>185</v>
      </c>
      <c r="AO1894" s="54">
        <v>20</v>
      </c>
      <c r="AP1894" s="54">
        <v>20</v>
      </c>
      <c r="AQ1894" s="54">
        <v>0</v>
      </c>
      <c r="AR1894" s="55">
        <v>28500</v>
      </c>
      <c r="AS1894" s="78">
        <f t="shared" si="33"/>
        <v>0</v>
      </c>
    </row>
    <row r="1895" spans="39:45">
      <c r="AM1895" s="55">
        <v>2019</v>
      </c>
      <c r="AN1895" s="55" t="s">
        <v>185</v>
      </c>
      <c r="AO1895" s="55">
        <v>20</v>
      </c>
      <c r="AP1895" s="55">
        <v>21</v>
      </c>
      <c r="AQ1895" s="55">
        <v>0</v>
      </c>
      <c r="AR1895" s="55">
        <v>28500</v>
      </c>
      <c r="AS1895" s="78">
        <f t="shared" si="33"/>
        <v>0</v>
      </c>
    </row>
    <row r="1896" spans="39:45">
      <c r="AM1896" s="54">
        <v>2019</v>
      </c>
      <c r="AN1896" s="54" t="s">
        <v>185</v>
      </c>
      <c r="AO1896" s="54">
        <v>20</v>
      </c>
      <c r="AP1896" s="54">
        <v>22</v>
      </c>
      <c r="AQ1896" s="54">
        <v>0</v>
      </c>
      <c r="AR1896" s="55">
        <v>28500</v>
      </c>
      <c r="AS1896" s="78">
        <f t="shared" si="33"/>
        <v>0</v>
      </c>
    </row>
    <row r="1897" spans="39:45">
      <c r="AM1897" s="55">
        <v>2019</v>
      </c>
      <c r="AN1897" s="55" t="s">
        <v>185</v>
      </c>
      <c r="AO1897" s="55">
        <v>20</v>
      </c>
      <c r="AP1897" s="55">
        <v>23</v>
      </c>
      <c r="AQ1897" s="55">
        <v>0</v>
      </c>
      <c r="AR1897" s="55">
        <v>28500</v>
      </c>
      <c r="AS1897" s="78">
        <f t="shared" si="33"/>
        <v>0</v>
      </c>
    </row>
    <row r="1898" spans="39:45">
      <c r="AM1898" s="54">
        <v>2019</v>
      </c>
      <c r="AN1898" s="54" t="s">
        <v>185</v>
      </c>
      <c r="AO1898" s="54">
        <v>21</v>
      </c>
      <c r="AP1898" s="54">
        <v>24</v>
      </c>
      <c r="AQ1898" s="54">
        <v>0</v>
      </c>
      <c r="AR1898" s="55">
        <v>28500</v>
      </c>
      <c r="AS1898" s="78">
        <f t="shared" si="33"/>
        <v>0</v>
      </c>
    </row>
    <row r="1899" spans="39:45">
      <c r="AM1899" s="55">
        <v>2019</v>
      </c>
      <c r="AN1899" s="55" t="s">
        <v>185</v>
      </c>
      <c r="AO1899" s="55">
        <v>21</v>
      </c>
      <c r="AP1899" s="55">
        <v>1</v>
      </c>
      <c r="AQ1899" s="55">
        <v>0</v>
      </c>
      <c r="AR1899" s="55">
        <v>28500</v>
      </c>
      <c r="AS1899" s="78">
        <f t="shared" si="33"/>
        <v>0</v>
      </c>
    </row>
    <row r="1900" spans="39:45">
      <c r="AM1900" s="54">
        <v>2019</v>
      </c>
      <c r="AN1900" s="54" t="s">
        <v>185</v>
      </c>
      <c r="AO1900" s="54">
        <v>21</v>
      </c>
      <c r="AP1900" s="54">
        <v>2</v>
      </c>
      <c r="AQ1900" s="54">
        <v>0</v>
      </c>
      <c r="AR1900" s="55">
        <v>28500</v>
      </c>
      <c r="AS1900" s="78">
        <f t="shared" si="33"/>
        <v>0</v>
      </c>
    </row>
    <row r="1901" spans="39:45">
      <c r="AM1901" s="55">
        <v>2019</v>
      </c>
      <c r="AN1901" s="55" t="s">
        <v>185</v>
      </c>
      <c r="AO1901" s="55">
        <v>21</v>
      </c>
      <c r="AP1901" s="55">
        <v>3</v>
      </c>
      <c r="AQ1901" s="55">
        <v>0</v>
      </c>
      <c r="AR1901" s="55">
        <v>28500</v>
      </c>
      <c r="AS1901" s="78">
        <f t="shared" si="33"/>
        <v>0</v>
      </c>
    </row>
    <row r="1902" spans="39:45">
      <c r="AM1902" s="54">
        <v>2019</v>
      </c>
      <c r="AN1902" s="54" t="s">
        <v>185</v>
      </c>
      <c r="AO1902" s="54">
        <v>21</v>
      </c>
      <c r="AP1902" s="54">
        <v>4</v>
      </c>
      <c r="AQ1902" s="54">
        <v>0</v>
      </c>
      <c r="AR1902" s="55">
        <v>28500</v>
      </c>
      <c r="AS1902" s="78">
        <f t="shared" si="33"/>
        <v>0</v>
      </c>
    </row>
    <row r="1903" spans="39:45">
      <c r="AM1903" s="55">
        <v>2019</v>
      </c>
      <c r="AN1903" s="55" t="s">
        <v>185</v>
      </c>
      <c r="AO1903" s="55">
        <v>21</v>
      </c>
      <c r="AP1903" s="55">
        <v>5</v>
      </c>
      <c r="AQ1903" s="55">
        <v>0</v>
      </c>
      <c r="AR1903" s="55">
        <v>28500</v>
      </c>
      <c r="AS1903" s="78">
        <f t="shared" si="33"/>
        <v>0</v>
      </c>
    </row>
    <row r="1904" spans="39:45">
      <c r="AM1904" s="54">
        <v>2019</v>
      </c>
      <c r="AN1904" s="54" t="s">
        <v>185</v>
      </c>
      <c r="AO1904" s="54">
        <v>21</v>
      </c>
      <c r="AP1904" s="54">
        <v>6</v>
      </c>
      <c r="AQ1904" s="54">
        <v>0</v>
      </c>
      <c r="AR1904" s="55">
        <v>28500</v>
      </c>
      <c r="AS1904" s="78">
        <f t="shared" si="33"/>
        <v>0</v>
      </c>
    </row>
    <row r="1905" spans="39:45">
      <c r="AM1905" s="55">
        <v>2019</v>
      </c>
      <c r="AN1905" s="55" t="s">
        <v>185</v>
      </c>
      <c r="AO1905" s="55">
        <v>21</v>
      </c>
      <c r="AP1905" s="55">
        <v>7</v>
      </c>
      <c r="AQ1905" s="55">
        <v>2790</v>
      </c>
      <c r="AR1905" s="55">
        <v>28500</v>
      </c>
      <c r="AS1905" s="78">
        <f t="shared" si="33"/>
        <v>9.7894736842105257E-2</v>
      </c>
    </row>
    <row r="1906" spans="39:45">
      <c r="AM1906" s="54">
        <v>2019</v>
      </c>
      <c r="AN1906" s="54" t="s">
        <v>185</v>
      </c>
      <c r="AO1906" s="54">
        <v>21</v>
      </c>
      <c r="AP1906" s="54">
        <v>8</v>
      </c>
      <c r="AQ1906" s="54">
        <v>5413</v>
      </c>
      <c r="AR1906" s="55">
        <v>28500</v>
      </c>
      <c r="AS1906" s="78">
        <f t="shared" si="33"/>
        <v>0.1899298245614035</v>
      </c>
    </row>
    <row r="1907" spans="39:45">
      <c r="AM1907" s="55">
        <v>2019</v>
      </c>
      <c r="AN1907" s="55" t="s">
        <v>185</v>
      </c>
      <c r="AO1907" s="55">
        <v>21</v>
      </c>
      <c r="AP1907" s="55">
        <v>9</v>
      </c>
      <c r="AQ1907" s="55">
        <v>8255</v>
      </c>
      <c r="AR1907" s="55">
        <v>28500</v>
      </c>
      <c r="AS1907" s="78">
        <f t="shared" si="33"/>
        <v>0.28964912280701754</v>
      </c>
    </row>
    <row r="1908" spans="39:45">
      <c r="AM1908" s="54">
        <v>2019</v>
      </c>
      <c r="AN1908" s="54" t="s">
        <v>185</v>
      </c>
      <c r="AO1908" s="54">
        <v>21</v>
      </c>
      <c r="AP1908" s="54">
        <v>10</v>
      </c>
      <c r="AQ1908" s="54">
        <v>11670.5</v>
      </c>
      <c r="AR1908" s="55">
        <v>28500</v>
      </c>
      <c r="AS1908" s="78">
        <f t="shared" si="33"/>
        <v>0.40949122807017546</v>
      </c>
    </row>
    <row r="1909" spans="39:45">
      <c r="AM1909" s="55">
        <v>2019</v>
      </c>
      <c r="AN1909" s="55" t="s">
        <v>185</v>
      </c>
      <c r="AO1909" s="55">
        <v>21</v>
      </c>
      <c r="AP1909" s="55">
        <v>11</v>
      </c>
      <c r="AQ1909" s="55">
        <v>9401.5</v>
      </c>
      <c r="AR1909" s="55">
        <v>28500</v>
      </c>
      <c r="AS1909" s="78">
        <f t="shared" si="33"/>
        <v>0.32987719298245616</v>
      </c>
    </row>
    <row r="1910" spans="39:45">
      <c r="AM1910" s="54">
        <v>2019</v>
      </c>
      <c r="AN1910" s="54" t="s">
        <v>185</v>
      </c>
      <c r="AO1910" s="54">
        <v>21</v>
      </c>
      <c r="AP1910" s="54">
        <v>12</v>
      </c>
      <c r="AQ1910" s="54">
        <v>5440.5</v>
      </c>
      <c r="AR1910" s="55">
        <v>28500</v>
      </c>
      <c r="AS1910" s="78">
        <f t="shared" si="33"/>
        <v>0.19089473684210526</v>
      </c>
    </row>
    <row r="1911" spans="39:45">
      <c r="AM1911" s="55">
        <v>2019</v>
      </c>
      <c r="AN1911" s="55" t="s">
        <v>185</v>
      </c>
      <c r="AO1911" s="55">
        <v>21</v>
      </c>
      <c r="AP1911" s="55">
        <v>13</v>
      </c>
      <c r="AQ1911" s="55">
        <v>3950.5</v>
      </c>
      <c r="AR1911" s="55">
        <v>28500</v>
      </c>
      <c r="AS1911" s="78">
        <f t="shared" si="33"/>
        <v>0.1386140350877193</v>
      </c>
    </row>
    <row r="1912" spans="39:45">
      <c r="AM1912" s="54">
        <v>2019</v>
      </c>
      <c r="AN1912" s="54" t="s">
        <v>185</v>
      </c>
      <c r="AO1912" s="54">
        <v>21</v>
      </c>
      <c r="AP1912" s="54">
        <v>14</v>
      </c>
      <c r="AQ1912" s="54">
        <v>6516</v>
      </c>
      <c r="AR1912" s="55">
        <v>28500</v>
      </c>
      <c r="AS1912" s="78">
        <f t="shared" si="33"/>
        <v>0.22863157894736841</v>
      </c>
    </row>
    <row r="1913" spans="39:45">
      <c r="AM1913" s="55">
        <v>2019</v>
      </c>
      <c r="AN1913" s="55" t="s">
        <v>185</v>
      </c>
      <c r="AO1913" s="55">
        <v>21</v>
      </c>
      <c r="AP1913" s="55">
        <v>15</v>
      </c>
      <c r="AQ1913" s="55">
        <v>7207</v>
      </c>
      <c r="AR1913" s="55">
        <v>28500</v>
      </c>
      <c r="AS1913" s="78">
        <f t="shared" si="33"/>
        <v>0.25287719298245614</v>
      </c>
    </row>
    <row r="1914" spans="39:45">
      <c r="AM1914" s="54">
        <v>2019</v>
      </c>
      <c r="AN1914" s="54" t="s">
        <v>185</v>
      </c>
      <c r="AO1914" s="54">
        <v>21</v>
      </c>
      <c r="AP1914" s="54">
        <v>16</v>
      </c>
      <c r="AQ1914" s="54">
        <v>4364.5</v>
      </c>
      <c r="AR1914" s="55">
        <v>28500</v>
      </c>
      <c r="AS1914" s="78">
        <f t="shared" si="33"/>
        <v>0.15314035087719299</v>
      </c>
    </row>
    <row r="1915" spans="39:45">
      <c r="AM1915" s="55">
        <v>2019</v>
      </c>
      <c r="AN1915" s="55" t="s">
        <v>185</v>
      </c>
      <c r="AO1915" s="55">
        <v>21</v>
      </c>
      <c r="AP1915" s="55">
        <v>17</v>
      </c>
      <c r="AQ1915" s="55">
        <v>1272.5</v>
      </c>
      <c r="AR1915" s="55">
        <v>28500</v>
      </c>
      <c r="AS1915" s="78">
        <f t="shared" si="33"/>
        <v>4.4649122807017542E-2</v>
      </c>
    </row>
    <row r="1916" spans="39:45">
      <c r="AM1916" s="54">
        <v>2019</v>
      </c>
      <c r="AN1916" s="54" t="s">
        <v>185</v>
      </c>
      <c r="AO1916" s="54">
        <v>21</v>
      </c>
      <c r="AP1916" s="54">
        <v>18</v>
      </c>
      <c r="AQ1916" s="54">
        <v>0</v>
      </c>
      <c r="AR1916" s="55">
        <v>28500</v>
      </c>
      <c r="AS1916" s="78">
        <f t="shared" si="33"/>
        <v>0</v>
      </c>
    </row>
    <row r="1917" spans="39:45">
      <c r="AM1917" s="55">
        <v>2019</v>
      </c>
      <c r="AN1917" s="55" t="s">
        <v>185</v>
      </c>
      <c r="AO1917" s="55">
        <v>21</v>
      </c>
      <c r="AP1917" s="55">
        <v>19</v>
      </c>
      <c r="AQ1917" s="55">
        <v>0</v>
      </c>
      <c r="AR1917" s="55">
        <v>28500</v>
      </c>
      <c r="AS1917" s="78">
        <f t="shared" si="33"/>
        <v>0</v>
      </c>
    </row>
    <row r="1918" spans="39:45">
      <c r="AM1918" s="54">
        <v>2019</v>
      </c>
      <c r="AN1918" s="54" t="s">
        <v>185</v>
      </c>
      <c r="AO1918" s="54">
        <v>21</v>
      </c>
      <c r="AP1918" s="54">
        <v>20</v>
      </c>
      <c r="AQ1918" s="54">
        <v>0</v>
      </c>
      <c r="AR1918" s="55">
        <v>28500</v>
      </c>
      <c r="AS1918" s="78">
        <f t="shared" si="33"/>
        <v>0</v>
      </c>
    </row>
    <row r="1919" spans="39:45">
      <c r="AM1919" s="55">
        <v>2019</v>
      </c>
      <c r="AN1919" s="55" t="s">
        <v>185</v>
      </c>
      <c r="AO1919" s="55">
        <v>21</v>
      </c>
      <c r="AP1919" s="55">
        <v>21</v>
      </c>
      <c r="AQ1919" s="55">
        <v>0</v>
      </c>
      <c r="AR1919" s="55">
        <v>28500</v>
      </c>
      <c r="AS1919" s="78">
        <f t="shared" si="33"/>
        <v>0</v>
      </c>
    </row>
    <row r="1920" spans="39:45">
      <c r="AM1920" s="54">
        <v>2019</v>
      </c>
      <c r="AN1920" s="54" t="s">
        <v>185</v>
      </c>
      <c r="AO1920" s="54">
        <v>21</v>
      </c>
      <c r="AP1920" s="54">
        <v>22</v>
      </c>
      <c r="AQ1920" s="54">
        <v>0</v>
      </c>
      <c r="AR1920" s="55">
        <v>28500</v>
      </c>
      <c r="AS1920" s="78">
        <f t="shared" si="33"/>
        <v>0</v>
      </c>
    </row>
    <row r="1921" spans="39:45">
      <c r="AM1921" s="55">
        <v>2019</v>
      </c>
      <c r="AN1921" s="55" t="s">
        <v>185</v>
      </c>
      <c r="AO1921" s="55">
        <v>21</v>
      </c>
      <c r="AP1921" s="55">
        <v>23</v>
      </c>
      <c r="AQ1921" s="55">
        <v>0</v>
      </c>
      <c r="AR1921" s="55">
        <v>28500</v>
      </c>
      <c r="AS1921" s="78">
        <f t="shared" si="33"/>
        <v>0</v>
      </c>
    </row>
    <row r="1922" spans="39:45">
      <c r="AM1922" s="54">
        <v>2019</v>
      </c>
      <c r="AN1922" s="54" t="s">
        <v>185</v>
      </c>
      <c r="AO1922" s="54">
        <v>22</v>
      </c>
      <c r="AP1922" s="54">
        <v>24</v>
      </c>
      <c r="AQ1922" s="54">
        <v>0</v>
      </c>
      <c r="AR1922" s="55">
        <v>28500</v>
      </c>
      <c r="AS1922" s="78">
        <f t="shared" ref="AS1922:AS1985" si="34">AQ1922/AR1922</f>
        <v>0</v>
      </c>
    </row>
    <row r="1923" spans="39:45">
      <c r="AM1923" s="55">
        <v>2019</v>
      </c>
      <c r="AN1923" s="55" t="s">
        <v>185</v>
      </c>
      <c r="AO1923" s="55">
        <v>22</v>
      </c>
      <c r="AP1923" s="55">
        <v>1</v>
      </c>
      <c r="AQ1923" s="55">
        <v>0</v>
      </c>
      <c r="AR1923" s="55">
        <v>28500</v>
      </c>
      <c r="AS1923" s="78">
        <f t="shared" si="34"/>
        <v>0</v>
      </c>
    </row>
    <row r="1924" spans="39:45">
      <c r="AM1924" s="54">
        <v>2019</v>
      </c>
      <c r="AN1924" s="54" t="s">
        <v>185</v>
      </c>
      <c r="AO1924" s="54">
        <v>22</v>
      </c>
      <c r="AP1924" s="54">
        <v>2</v>
      </c>
      <c r="AQ1924" s="54">
        <v>0</v>
      </c>
      <c r="AR1924" s="55">
        <v>28500</v>
      </c>
      <c r="AS1924" s="78">
        <f t="shared" si="34"/>
        <v>0</v>
      </c>
    </row>
    <row r="1925" spans="39:45">
      <c r="AM1925" s="55">
        <v>2019</v>
      </c>
      <c r="AN1925" s="55" t="s">
        <v>185</v>
      </c>
      <c r="AO1925" s="55">
        <v>22</v>
      </c>
      <c r="AP1925" s="55">
        <v>3</v>
      </c>
      <c r="AQ1925" s="55">
        <v>0</v>
      </c>
      <c r="AR1925" s="55">
        <v>28500</v>
      </c>
      <c r="AS1925" s="78">
        <f t="shared" si="34"/>
        <v>0</v>
      </c>
    </row>
    <row r="1926" spans="39:45">
      <c r="AM1926" s="54">
        <v>2019</v>
      </c>
      <c r="AN1926" s="54" t="s">
        <v>185</v>
      </c>
      <c r="AO1926" s="54">
        <v>22</v>
      </c>
      <c r="AP1926" s="54">
        <v>4</v>
      </c>
      <c r="AQ1926" s="54">
        <v>0</v>
      </c>
      <c r="AR1926" s="55">
        <v>28500</v>
      </c>
      <c r="AS1926" s="78">
        <f t="shared" si="34"/>
        <v>0</v>
      </c>
    </row>
    <row r="1927" spans="39:45">
      <c r="AM1927" s="55">
        <v>2019</v>
      </c>
      <c r="AN1927" s="55" t="s">
        <v>185</v>
      </c>
      <c r="AO1927" s="55">
        <v>22</v>
      </c>
      <c r="AP1927" s="55">
        <v>5</v>
      </c>
      <c r="AQ1927" s="55">
        <v>0</v>
      </c>
      <c r="AR1927" s="55">
        <v>28500</v>
      </c>
      <c r="AS1927" s="78">
        <f t="shared" si="34"/>
        <v>0</v>
      </c>
    </row>
    <row r="1928" spans="39:45">
      <c r="AM1928" s="54">
        <v>2019</v>
      </c>
      <c r="AN1928" s="54" t="s">
        <v>185</v>
      </c>
      <c r="AO1928" s="54">
        <v>22</v>
      </c>
      <c r="AP1928" s="54">
        <v>6</v>
      </c>
      <c r="AQ1928" s="54">
        <v>0</v>
      </c>
      <c r="AR1928" s="55">
        <v>28500</v>
      </c>
      <c r="AS1928" s="78">
        <f t="shared" si="34"/>
        <v>0</v>
      </c>
    </row>
    <row r="1929" spans="39:45">
      <c r="AM1929" s="55">
        <v>2019</v>
      </c>
      <c r="AN1929" s="55" t="s">
        <v>185</v>
      </c>
      <c r="AO1929" s="55">
        <v>22</v>
      </c>
      <c r="AP1929" s="55">
        <v>7</v>
      </c>
      <c r="AQ1929" s="55">
        <v>1851</v>
      </c>
      <c r="AR1929" s="55">
        <v>28500</v>
      </c>
      <c r="AS1929" s="78">
        <f t="shared" si="34"/>
        <v>6.4947368421052629E-2</v>
      </c>
    </row>
    <row r="1930" spans="39:45">
      <c r="AM1930" s="54">
        <v>2019</v>
      </c>
      <c r="AN1930" s="54" t="s">
        <v>185</v>
      </c>
      <c r="AO1930" s="54">
        <v>22</v>
      </c>
      <c r="AP1930" s="54">
        <v>8</v>
      </c>
      <c r="AQ1930" s="54">
        <v>3055</v>
      </c>
      <c r="AR1930" s="55">
        <v>28500</v>
      </c>
      <c r="AS1930" s="78">
        <f t="shared" si="34"/>
        <v>0.10719298245614035</v>
      </c>
    </row>
    <row r="1931" spans="39:45">
      <c r="AM1931" s="55">
        <v>2019</v>
      </c>
      <c r="AN1931" s="55" t="s">
        <v>185</v>
      </c>
      <c r="AO1931" s="55">
        <v>22</v>
      </c>
      <c r="AP1931" s="55">
        <v>9</v>
      </c>
      <c r="AQ1931" s="55">
        <v>2958.5</v>
      </c>
      <c r="AR1931" s="55">
        <v>28500</v>
      </c>
      <c r="AS1931" s="78">
        <f t="shared" si="34"/>
        <v>0.10380701754385965</v>
      </c>
    </row>
    <row r="1932" spans="39:45">
      <c r="AM1932" s="54">
        <v>2019</v>
      </c>
      <c r="AN1932" s="54" t="s">
        <v>185</v>
      </c>
      <c r="AO1932" s="54">
        <v>22</v>
      </c>
      <c r="AP1932" s="54">
        <v>10</v>
      </c>
      <c r="AQ1932" s="54">
        <v>2908.5</v>
      </c>
      <c r="AR1932" s="55">
        <v>28500</v>
      </c>
      <c r="AS1932" s="78">
        <f t="shared" si="34"/>
        <v>0.10205263157894737</v>
      </c>
    </row>
    <row r="1933" spans="39:45">
      <c r="AM1933" s="55">
        <v>2019</v>
      </c>
      <c r="AN1933" s="55" t="s">
        <v>185</v>
      </c>
      <c r="AO1933" s="55">
        <v>22</v>
      </c>
      <c r="AP1933" s="55">
        <v>11</v>
      </c>
      <c r="AQ1933" s="55">
        <v>3676</v>
      </c>
      <c r="AR1933" s="55">
        <v>28500</v>
      </c>
      <c r="AS1933" s="78">
        <f t="shared" si="34"/>
        <v>0.12898245614035087</v>
      </c>
    </row>
    <row r="1934" spans="39:45">
      <c r="AM1934" s="54">
        <v>2019</v>
      </c>
      <c r="AN1934" s="54" t="s">
        <v>185</v>
      </c>
      <c r="AO1934" s="54">
        <v>22</v>
      </c>
      <c r="AP1934" s="54">
        <v>12</v>
      </c>
      <c r="AQ1934" s="54">
        <v>3358.5</v>
      </c>
      <c r="AR1934" s="55">
        <v>28500</v>
      </c>
      <c r="AS1934" s="78">
        <f t="shared" si="34"/>
        <v>0.1178421052631579</v>
      </c>
    </row>
    <row r="1935" spans="39:45">
      <c r="AM1935" s="55">
        <v>2019</v>
      </c>
      <c r="AN1935" s="55" t="s">
        <v>185</v>
      </c>
      <c r="AO1935" s="55">
        <v>22</v>
      </c>
      <c r="AP1935" s="55">
        <v>13</v>
      </c>
      <c r="AQ1935" s="55">
        <v>3468.5</v>
      </c>
      <c r="AR1935" s="55">
        <v>28500</v>
      </c>
      <c r="AS1935" s="78">
        <f t="shared" si="34"/>
        <v>0.12170175438596491</v>
      </c>
    </row>
    <row r="1936" spans="39:45">
      <c r="AM1936" s="54">
        <v>2019</v>
      </c>
      <c r="AN1936" s="54" t="s">
        <v>185</v>
      </c>
      <c r="AO1936" s="54">
        <v>22</v>
      </c>
      <c r="AP1936" s="54">
        <v>14</v>
      </c>
      <c r="AQ1936" s="54">
        <v>2927.5</v>
      </c>
      <c r="AR1936" s="55">
        <v>28500</v>
      </c>
      <c r="AS1936" s="78">
        <f t="shared" si="34"/>
        <v>0.10271929824561403</v>
      </c>
    </row>
    <row r="1937" spans="39:45">
      <c r="AM1937" s="55">
        <v>2019</v>
      </c>
      <c r="AN1937" s="55" t="s">
        <v>185</v>
      </c>
      <c r="AO1937" s="55">
        <v>22</v>
      </c>
      <c r="AP1937" s="55">
        <v>15</v>
      </c>
      <c r="AQ1937" s="55">
        <v>2700</v>
      </c>
      <c r="AR1937" s="55">
        <v>28500</v>
      </c>
      <c r="AS1937" s="78">
        <f t="shared" si="34"/>
        <v>9.4736842105263161E-2</v>
      </c>
    </row>
    <row r="1938" spans="39:45">
      <c r="AM1938" s="54">
        <v>2019</v>
      </c>
      <c r="AN1938" s="54" t="s">
        <v>185</v>
      </c>
      <c r="AO1938" s="54">
        <v>22</v>
      </c>
      <c r="AP1938" s="54">
        <v>16</v>
      </c>
      <c r="AQ1938" s="54">
        <v>2441.5</v>
      </c>
      <c r="AR1938" s="55">
        <v>28500</v>
      </c>
      <c r="AS1938" s="78">
        <f t="shared" si="34"/>
        <v>8.5666666666666669E-2</v>
      </c>
    </row>
    <row r="1939" spans="39:45">
      <c r="AM1939" s="55">
        <v>2019</v>
      </c>
      <c r="AN1939" s="55" t="s">
        <v>185</v>
      </c>
      <c r="AO1939" s="55">
        <v>22</v>
      </c>
      <c r="AP1939" s="55">
        <v>17</v>
      </c>
      <c r="AQ1939" s="55">
        <v>1031</v>
      </c>
      <c r="AR1939" s="55">
        <v>28500</v>
      </c>
      <c r="AS1939" s="78">
        <f t="shared" si="34"/>
        <v>3.6175438596491229E-2</v>
      </c>
    </row>
    <row r="1940" spans="39:45">
      <c r="AM1940" s="54">
        <v>2019</v>
      </c>
      <c r="AN1940" s="54" t="s">
        <v>185</v>
      </c>
      <c r="AO1940" s="54">
        <v>22</v>
      </c>
      <c r="AP1940" s="54">
        <v>18</v>
      </c>
      <c r="AQ1940" s="54">
        <v>0</v>
      </c>
      <c r="AR1940" s="55">
        <v>28500</v>
      </c>
      <c r="AS1940" s="78">
        <f t="shared" si="34"/>
        <v>0</v>
      </c>
    </row>
    <row r="1941" spans="39:45">
      <c r="AM1941" s="55">
        <v>2019</v>
      </c>
      <c r="AN1941" s="55" t="s">
        <v>185</v>
      </c>
      <c r="AO1941" s="55">
        <v>22</v>
      </c>
      <c r="AP1941" s="55">
        <v>19</v>
      </c>
      <c r="AQ1941" s="55">
        <v>0</v>
      </c>
      <c r="AR1941" s="55">
        <v>28500</v>
      </c>
      <c r="AS1941" s="78">
        <f t="shared" si="34"/>
        <v>0</v>
      </c>
    </row>
    <row r="1942" spans="39:45">
      <c r="AM1942" s="54">
        <v>2019</v>
      </c>
      <c r="AN1942" s="54" t="s">
        <v>185</v>
      </c>
      <c r="AO1942" s="54">
        <v>22</v>
      </c>
      <c r="AP1942" s="54">
        <v>20</v>
      </c>
      <c r="AQ1942" s="54">
        <v>0</v>
      </c>
      <c r="AR1942" s="55">
        <v>28500</v>
      </c>
      <c r="AS1942" s="78">
        <f t="shared" si="34"/>
        <v>0</v>
      </c>
    </row>
    <row r="1943" spans="39:45">
      <c r="AM1943" s="55">
        <v>2019</v>
      </c>
      <c r="AN1943" s="55" t="s">
        <v>185</v>
      </c>
      <c r="AO1943" s="55">
        <v>22</v>
      </c>
      <c r="AP1943" s="55">
        <v>21</v>
      </c>
      <c r="AQ1943" s="55">
        <v>0</v>
      </c>
      <c r="AR1943" s="55">
        <v>28500</v>
      </c>
      <c r="AS1943" s="78">
        <f t="shared" si="34"/>
        <v>0</v>
      </c>
    </row>
    <row r="1944" spans="39:45">
      <c r="AM1944" s="54">
        <v>2019</v>
      </c>
      <c r="AN1944" s="54" t="s">
        <v>185</v>
      </c>
      <c r="AO1944" s="54">
        <v>22</v>
      </c>
      <c r="AP1944" s="54">
        <v>22</v>
      </c>
      <c r="AQ1944" s="54">
        <v>0</v>
      </c>
      <c r="AR1944" s="55">
        <v>28500</v>
      </c>
      <c r="AS1944" s="78">
        <f t="shared" si="34"/>
        <v>0</v>
      </c>
    </row>
    <row r="1945" spans="39:45">
      <c r="AM1945" s="55">
        <v>2019</v>
      </c>
      <c r="AN1945" s="55" t="s">
        <v>185</v>
      </c>
      <c r="AO1945" s="55">
        <v>22</v>
      </c>
      <c r="AP1945" s="55">
        <v>23</v>
      </c>
      <c r="AQ1945" s="55">
        <v>0</v>
      </c>
      <c r="AR1945" s="55">
        <v>28500</v>
      </c>
      <c r="AS1945" s="78">
        <f t="shared" si="34"/>
        <v>0</v>
      </c>
    </row>
    <row r="1946" spans="39:45">
      <c r="AM1946" s="54">
        <v>2019</v>
      </c>
      <c r="AN1946" s="54" t="s">
        <v>185</v>
      </c>
      <c r="AO1946" s="54">
        <v>23</v>
      </c>
      <c r="AP1946" s="54">
        <v>24</v>
      </c>
      <c r="AQ1946" s="54">
        <v>0</v>
      </c>
      <c r="AR1946" s="55">
        <v>28500</v>
      </c>
      <c r="AS1946" s="78">
        <f t="shared" si="34"/>
        <v>0</v>
      </c>
    </row>
    <row r="1947" spans="39:45">
      <c r="AM1947" s="55">
        <v>2019</v>
      </c>
      <c r="AN1947" s="55" t="s">
        <v>185</v>
      </c>
      <c r="AO1947" s="55">
        <v>23</v>
      </c>
      <c r="AP1947" s="55">
        <v>1</v>
      </c>
      <c r="AQ1947" s="55">
        <v>0</v>
      </c>
      <c r="AR1947" s="55">
        <v>28500</v>
      </c>
      <c r="AS1947" s="78">
        <f t="shared" si="34"/>
        <v>0</v>
      </c>
    </row>
    <row r="1948" spans="39:45">
      <c r="AM1948" s="54">
        <v>2019</v>
      </c>
      <c r="AN1948" s="54" t="s">
        <v>185</v>
      </c>
      <c r="AO1948" s="54">
        <v>23</v>
      </c>
      <c r="AP1948" s="54">
        <v>2</v>
      </c>
      <c r="AQ1948" s="54">
        <v>0</v>
      </c>
      <c r="AR1948" s="55">
        <v>28500</v>
      </c>
      <c r="AS1948" s="78">
        <f t="shared" si="34"/>
        <v>0</v>
      </c>
    </row>
    <row r="1949" spans="39:45">
      <c r="AM1949" s="55">
        <v>2019</v>
      </c>
      <c r="AN1949" s="55" t="s">
        <v>185</v>
      </c>
      <c r="AO1949" s="55">
        <v>23</v>
      </c>
      <c r="AP1949" s="55">
        <v>3</v>
      </c>
      <c r="AQ1949" s="55">
        <v>0</v>
      </c>
      <c r="AR1949" s="55">
        <v>28500</v>
      </c>
      <c r="AS1949" s="78">
        <f t="shared" si="34"/>
        <v>0</v>
      </c>
    </row>
    <row r="1950" spans="39:45">
      <c r="AM1950" s="54">
        <v>2019</v>
      </c>
      <c r="AN1950" s="54" t="s">
        <v>185</v>
      </c>
      <c r="AO1950" s="54">
        <v>23</v>
      </c>
      <c r="AP1950" s="54">
        <v>4</v>
      </c>
      <c r="AQ1950" s="54">
        <v>0</v>
      </c>
      <c r="AR1950" s="55">
        <v>28500</v>
      </c>
      <c r="AS1950" s="78">
        <f t="shared" si="34"/>
        <v>0</v>
      </c>
    </row>
    <row r="1951" spans="39:45">
      <c r="AM1951" s="55">
        <v>2019</v>
      </c>
      <c r="AN1951" s="55" t="s">
        <v>185</v>
      </c>
      <c r="AO1951" s="55">
        <v>23</v>
      </c>
      <c r="AP1951" s="55">
        <v>5</v>
      </c>
      <c r="AQ1951" s="55">
        <v>0</v>
      </c>
      <c r="AR1951" s="55">
        <v>28500</v>
      </c>
      <c r="AS1951" s="78">
        <f t="shared" si="34"/>
        <v>0</v>
      </c>
    </row>
    <row r="1952" spans="39:45">
      <c r="AM1952" s="54">
        <v>2019</v>
      </c>
      <c r="AN1952" s="54" t="s">
        <v>185</v>
      </c>
      <c r="AO1952" s="54">
        <v>23</v>
      </c>
      <c r="AP1952" s="54">
        <v>6</v>
      </c>
      <c r="AQ1952" s="54">
        <v>0</v>
      </c>
      <c r="AR1952" s="55">
        <v>28500</v>
      </c>
      <c r="AS1952" s="78">
        <f t="shared" si="34"/>
        <v>0</v>
      </c>
    </row>
    <row r="1953" spans="39:45">
      <c r="AM1953" s="55">
        <v>2019</v>
      </c>
      <c r="AN1953" s="55" t="s">
        <v>185</v>
      </c>
      <c r="AO1953" s="55">
        <v>23</v>
      </c>
      <c r="AP1953" s="55">
        <v>7</v>
      </c>
      <c r="AQ1953" s="55">
        <v>807</v>
      </c>
      <c r="AR1953" s="55">
        <v>28500</v>
      </c>
      <c r="AS1953" s="78">
        <f t="shared" si="34"/>
        <v>2.8315789473684211E-2</v>
      </c>
    </row>
    <row r="1954" spans="39:45">
      <c r="AM1954" s="54">
        <v>2019</v>
      </c>
      <c r="AN1954" s="54" t="s">
        <v>185</v>
      </c>
      <c r="AO1954" s="54">
        <v>23</v>
      </c>
      <c r="AP1954" s="54">
        <v>8</v>
      </c>
      <c r="AQ1954" s="54">
        <v>1042.5</v>
      </c>
      <c r="AR1954" s="55">
        <v>28500</v>
      </c>
      <c r="AS1954" s="78">
        <f t="shared" si="34"/>
        <v>3.6578947368421051E-2</v>
      </c>
    </row>
    <row r="1955" spans="39:45">
      <c r="AM1955" s="55">
        <v>2019</v>
      </c>
      <c r="AN1955" s="55" t="s">
        <v>185</v>
      </c>
      <c r="AO1955" s="55">
        <v>23</v>
      </c>
      <c r="AP1955" s="55">
        <v>9</v>
      </c>
      <c r="AQ1955" s="55">
        <v>7317.5</v>
      </c>
      <c r="AR1955" s="55">
        <v>28500</v>
      </c>
      <c r="AS1955" s="78">
        <f t="shared" si="34"/>
        <v>0.25675438596491229</v>
      </c>
    </row>
    <row r="1956" spans="39:45">
      <c r="AM1956" s="54">
        <v>2019</v>
      </c>
      <c r="AN1956" s="54" t="s">
        <v>185</v>
      </c>
      <c r="AO1956" s="54">
        <v>23</v>
      </c>
      <c r="AP1956" s="54">
        <v>10</v>
      </c>
      <c r="AQ1956" s="54">
        <v>9762</v>
      </c>
      <c r="AR1956" s="55">
        <v>28500</v>
      </c>
      <c r="AS1956" s="78">
        <f t="shared" si="34"/>
        <v>0.34252631578947368</v>
      </c>
    </row>
    <row r="1957" spans="39:45">
      <c r="AM1957" s="55">
        <v>2019</v>
      </c>
      <c r="AN1957" s="55" t="s">
        <v>185</v>
      </c>
      <c r="AO1957" s="55">
        <v>23</v>
      </c>
      <c r="AP1957" s="55">
        <v>11</v>
      </c>
      <c r="AQ1957" s="55">
        <v>15798</v>
      </c>
      <c r="AR1957" s="55">
        <v>28500</v>
      </c>
      <c r="AS1957" s="78">
        <f t="shared" si="34"/>
        <v>0.55431578947368421</v>
      </c>
    </row>
    <row r="1958" spans="39:45">
      <c r="AM1958" s="54">
        <v>2019</v>
      </c>
      <c r="AN1958" s="54" t="s">
        <v>185</v>
      </c>
      <c r="AO1958" s="54">
        <v>23</v>
      </c>
      <c r="AP1958" s="54">
        <v>12</v>
      </c>
      <c r="AQ1958" s="54">
        <v>19383</v>
      </c>
      <c r="AR1958" s="55">
        <v>28500</v>
      </c>
      <c r="AS1958" s="78">
        <f t="shared" si="34"/>
        <v>0.68010526315789477</v>
      </c>
    </row>
    <row r="1959" spans="39:45">
      <c r="AM1959" s="55">
        <v>2019</v>
      </c>
      <c r="AN1959" s="55" t="s">
        <v>185</v>
      </c>
      <c r="AO1959" s="55">
        <v>23</v>
      </c>
      <c r="AP1959" s="55">
        <v>13</v>
      </c>
      <c r="AQ1959" s="55">
        <v>15316.5</v>
      </c>
      <c r="AR1959" s="55">
        <v>28500</v>
      </c>
      <c r="AS1959" s="78">
        <f t="shared" si="34"/>
        <v>0.53742105263157891</v>
      </c>
    </row>
    <row r="1960" spans="39:45">
      <c r="AM1960" s="54">
        <v>2019</v>
      </c>
      <c r="AN1960" s="54" t="s">
        <v>185</v>
      </c>
      <c r="AO1960" s="54">
        <v>23</v>
      </c>
      <c r="AP1960" s="54">
        <v>14</v>
      </c>
      <c r="AQ1960" s="54">
        <v>9892</v>
      </c>
      <c r="AR1960" s="55">
        <v>28500</v>
      </c>
      <c r="AS1960" s="78">
        <f t="shared" si="34"/>
        <v>0.34708771929824561</v>
      </c>
    </row>
    <row r="1961" spans="39:45">
      <c r="AM1961" s="55">
        <v>2019</v>
      </c>
      <c r="AN1961" s="55" t="s">
        <v>185</v>
      </c>
      <c r="AO1961" s="55">
        <v>23</v>
      </c>
      <c r="AP1961" s="55">
        <v>15</v>
      </c>
      <c r="AQ1961" s="55">
        <v>11862.5</v>
      </c>
      <c r="AR1961" s="55">
        <v>28500</v>
      </c>
      <c r="AS1961" s="78">
        <f t="shared" si="34"/>
        <v>0.41622807017543861</v>
      </c>
    </row>
    <row r="1962" spans="39:45">
      <c r="AM1962" s="54">
        <v>2019</v>
      </c>
      <c r="AN1962" s="54" t="s">
        <v>185</v>
      </c>
      <c r="AO1962" s="54">
        <v>23</v>
      </c>
      <c r="AP1962" s="54">
        <v>16</v>
      </c>
      <c r="AQ1962" s="54">
        <v>10006</v>
      </c>
      <c r="AR1962" s="55">
        <v>28500</v>
      </c>
      <c r="AS1962" s="78">
        <f t="shared" si="34"/>
        <v>0.35108771929824562</v>
      </c>
    </row>
    <row r="1963" spans="39:45">
      <c r="AM1963" s="55">
        <v>2019</v>
      </c>
      <c r="AN1963" s="55" t="s">
        <v>185</v>
      </c>
      <c r="AO1963" s="55">
        <v>23</v>
      </c>
      <c r="AP1963" s="55">
        <v>17</v>
      </c>
      <c r="AQ1963" s="55">
        <v>3924</v>
      </c>
      <c r="AR1963" s="55">
        <v>28500</v>
      </c>
      <c r="AS1963" s="78">
        <f t="shared" si="34"/>
        <v>0.1376842105263158</v>
      </c>
    </row>
    <row r="1964" spans="39:45">
      <c r="AM1964" s="54">
        <v>2019</v>
      </c>
      <c r="AN1964" s="54" t="s">
        <v>185</v>
      </c>
      <c r="AO1964" s="54">
        <v>23</v>
      </c>
      <c r="AP1964" s="54">
        <v>18</v>
      </c>
      <c r="AQ1964" s="54">
        <v>0</v>
      </c>
      <c r="AR1964" s="55">
        <v>28500</v>
      </c>
      <c r="AS1964" s="78">
        <f t="shared" si="34"/>
        <v>0</v>
      </c>
    </row>
    <row r="1965" spans="39:45">
      <c r="AM1965" s="55">
        <v>2019</v>
      </c>
      <c r="AN1965" s="55" t="s">
        <v>185</v>
      </c>
      <c r="AO1965" s="55">
        <v>23</v>
      </c>
      <c r="AP1965" s="55">
        <v>19</v>
      </c>
      <c r="AQ1965" s="55">
        <v>0</v>
      </c>
      <c r="AR1965" s="55">
        <v>28500</v>
      </c>
      <c r="AS1965" s="78">
        <f t="shared" si="34"/>
        <v>0</v>
      </c>
    </row>
    <row r="1966" spans="39:45">
      <c r="AM1966" s="54">
        <v>2019</v>
      </c>
      <c r="AN1966" s="54" t="s">
        <v>185</v>
      </c>
      <c r="AO1966" s="54">
        <v>23</v>
      </c>
      <c r="AP1966" s="54">
        <v>20</v>
      </c>
      <c r="AQ1966" s="54">
        <v>0</v>
      </c>
      <c r="AR1966" s="55">
        <v>28500</v>
      </c>
      <c r="AS1966" s="78">
        <f t="shared" si="34"/>
        <v>0</v>
      </c>
    </row>
    <row r="1967" spans="39:45">
      <c r="AM1967" s="55">
        <v>2019</v>
      </c>
      <c r="AN1967" s="55" t="s">
        <v>185</v>
      </c>
      <c r="AO1967" s="55">
        <v>23</v>
      </c>
      <c r="AP1967" s="55">
        <v>21</v>
      </c>
      <c r="AQ1967" s="55">
        <v>0</v>
      </c>
      <c r="AR1967" s="55">
        <v>28500</v>
      </c>
      <c r="AS1967" s="78">
        <f t="shared" si="34"/>
        <v>0</v>
      </c>
    </row>
    <row r="1968" spans="39:45">
      <c r="AM1968" s="54">
        <v>2019</v>
      </c>
      <c r="AN1968" s="54" t="s">
        <v>185</v>
      </c>
      <c r="AO1968" s="54">
        <v>23</v>
      </c>
      <c r="AP1968" s="54">
        <v>22</v>
      </c>
      <c r="AQ1968" s="54">
        <v>0</v>
      </c>
      <c r="AR1968" s="55">
        <v>28500</v>
      </c>
      <c r="AS1968" s="78">
        <f t="shared" si="34"/>
        <v>0</v>
      </c>
    </row>
    <row r="1969" spans="39:45">
      <c r="AM1969" s="55">
        <v>2019</v>
      </c>
      <c r="AN1969" s="55" t="s">
        <v>185</v>
      </c>
      <c r="AO1969" s="55">
        <v>23</v>
      </c>
      <c r="AP1969" s="55">
        <v>23</v>
      </c>
      <c r="AQ1969" s="55">
        <v>0</v>
      </c>
      <c r="AR1969" s="55">
        <v>28500</v>
      </c>
      <c r="AS1969" s="78">
        <f t="shared" si="34"/>
        <v>0</v>
      </c>
    </row>
    <row r="1970" spans="39:45">
      <c r="AM1970" s="54">
        <v>2019</v>
      </c>
      <c r="AN1970" s="54" t="s">
        <v>185</v>
      </c>
      <c r="AO1970" s="54">
        <v>24</v>
      </c>
      <c r="AP1970" s="54">
        <v>24</v>
      </c>
      <c r="AQ1970" s="54">
        <v>0</v>
      </c>
      <c r="AR1970" s="55">
        <v>28500</v>
      </c>
      <c r="AS1970" s="78">
        <f t="shared" si="34"/>
        <v>0</v>
      </c>
    </row>
    <row r="1971" spans="39:45">
      <c r="AM1971" s="55">
        <v>2019</v>
      </c>
      <c r="AN1971" s="55" t="s">
        <v>185</v>
      </c>
      <c r="AO1971" s="55">
        <v>24</v>
      </c>
      <c r="AP1971" s="55">
        <v>1</v>
      </c>
      <c r="AQ1971" s="55">
        <v>0</v>
      </c>
      <c r="AR1971" s="55">
        <v>28500</v>
      </c>
      <c r="AS1971" s="78">
        <f t="shared" si="34"/>
        <v>0</v>
      </c>
    </row>
    <row r="1972" spans="39:45">
      <c r="AM1972" s="54">
        <v>2019</v>
      </c>
      <c r="AN1972" s="54" t="s">
        <v>185</v>
      </c>
      <c r="AO1972" s="54">
        <v>24</v>
      </c>
      <c r="AP1972" s="54">
        <v>2</v>
      </c>
      <c r="AQ1972" s="54">
        <v>0</v>
      </c>
      <c r="AR1972" s="55">
        <v>28500</v>
      </c>
      <c r="AS1972" s="78">
        <f t="shared" si="34"/>
        <v>0</v>
      </c>
    </row>
    <row r="1973" spans="39:45">
      <c r="AM1973" s="55">
        <v>2019</v>
      </c>
      <c r="AN1973" s="55" t="s">
        <v>185</v>
      </c>
      <c r="AO1973" s="55">
        <v>24</v>
      </c>
      <c r="AP1973" s="55">
        <v>3</v>
      </c>
      <c r="AQ1973" s="55">
        <v>0</v>
      </c>
      <c r="AR1973" s="55">
        <v>28500</v>
      </c>
      <c r="AS1973" s="78">
        <f t="shared" si="34"/>
        <v>0</v>
      </c>
    </row>
    <row r="1974" spans="39:45">
      <c r="AM1974" s="54">
        <v>2019</v>
      </c>
      <c r="AN1974" s="54" t="s">
        <v>185</v>
      </c>
      <c r="AO1974" s="54">
        <v>24</v>
      </c>
      <c r="AP1974" s="54">
        <v>4</v>
      </c>
      <c r="AQ1974" s="54">
        <v>0</v>
      </c>
      <c r="AR1974" s="55">
        <v>28500</v>
      </c>
      <c r="AS1974" s="78">
        <f t="shared" si="34"/>
        <v>0</v>
      </c>
    </row>
    <row r="1975" spans="39:45">
      <c r="AM1975" s="55">
        <v>2019</v>
      </c>
      <c r="AN1975" s="55" t="s">
        <v>185</v>
      </c>
      <c r="AO1975" s="55">
        <v>24</v>
      </c>
      <c r="AP1975" s="55">
        <v>5</v>
      </c>
      <c r="AQ1975" s="55">
        <v>0</v>
      </c>
      <c r="AR1975" s="55">
        <v>28500</v>
      </c>
      <c r="AS1975" s="78">
        <f t="shared" si="34"/>
        <v>0</v>
      </c>
    </row>
    <row r="1976" spans="39:45">
      <c r="AM1976" s="54">
        <v>2019</v>
      </c>
      <c r="AN1976" s="54" t="s">
        <v>185</v>
      </c>
      <c r="AO1976" s="54">
        <v>24</v>
      </c>
      <c r="AP1976" s="54">
        <v>6</v>
      </c>
      <c r="AQ1976" s="54">
        <v>0</v>
      </c>
      <c r="AR1976" s="55">
        <v>28500</v>
      </c>
      <c r="AS1976" s="78">
        <f t="shared" si="34"/>
        <v>0</v>
      </c>
    </row>
    <row r="1977" spans="39:45">
      <c r="AM1977" s="55">
        <v>2019</v>
      </c>
      <c r="AN1977" s="55" t="s">
        <v>185</v>
      </c>
      <c r="AO1977" s="55">
        <v>24</v>
      </c>
      <c r="AP1977" s="55">
        <v>7</v>
      </c>
      <c r="AQ1977" s="55">
        <v>6363.5</v>
      </c>
      <c r="AR1977" s="55">
        <v>28500</v>
      </c>
      <c r="AS1977" s="78">
        <f t="shared" si="34"/>
        <v>0.22328070175438597</v>
      </c>
    </row>
    <row r="1978" spans="39:45">
      <c r="AM1978" s="54">
        <v>2019</v>
      </c>
      <c r="AN1978" s="54" t="s">
        <v>185</v>
      </c>
      <c r="AO1978" s="54">
        <v>24</v>
      </c>
      <c r="AP1978" s="54">
        <v>8</v>
      </c>
      <c r="AQ1978" s="54">
        <v>19605.5</v>
      </c>
      <c r="AR1978" s="55">
        <v>28500</v>
      </c>
      <c r="AS1978" s="78">
        <f t="shared" si="34"/>
        <v>0.68791228070175436</v>
      </c>
    </row>
    <row r="1979" spans="39:45">
      <c r="AM1979" s="55">
        <v>2019</v>
      </c>
      <c r="AN1979" s="55" t="s">
        <v>185</v>
      </c>
      <c r="AO1979" s="55">
        <v>24</v>
      </c>
      <c r="AP1979" s="55">
        <v>9</v>
      </c>
      <c r="AQ1979" s="55">
        <v>29994</v>
      </c>
      <c r="AR1979" s="55">
        <v>28500</v>
      </c>
      <c r="AS1979" s="78">
        <f t="shared" si="34"/>
        <v>1.0524210526315789</v>
      </c>
    </row>
    <row r="1980" spans="39:45">
      <c r="AM1980" s="54">
        <v>2019</v>
      </c>
      <c r="AN1980" s="54" t="s">
        <v>185</v>
      </c>
      <c r="AO1980" s="54">
        <v>24</v>
      </c>
      <c r="AP1980" s="54">
        <v>10</v>
      </c>
      <c r="AQ1980" s="54">
        <v>36551</v>
      </c>
      <c r="AR1980" s="55">
        <v>28500</v>
      </c>
      <c r="AS1980" s="78">
        <f t="shared" si="34"/>
        <v>1.2824912280701755</v>
      </c>
    </row>
    <row r="1981" spans="39:45">
      <c r="AM1981" s="55">
        <v>2019</v>
      </c>
      <c r="AN1981" s="55" t="s">
        <v>185</v>
      </c>
      <c r="AO1981" s="55">
        <v>24</v>
      </c>
      <c r="AP1981" s="55">
        <v>11</v>
      </c>
      <c r="AQ1981" s="55">
        <v>41843.5</v>
      </c>
      <c r="AR1981" s="55">
        <v>28500</v>
      </c>
      <c r="AS1981" s="78">
        <f t="shared" si="34"/>
        <v>1.4681929824561404</v>
      </c>
    </row>
    <row r="1982" spans="39:45">
      <c r="AM1982" s="54">
        <v>2019</v>
      </c>
      <c r="AN1982" s="54" t="s">
        <v>185</v>
      </c>
      <c r="AO1982" s="54">
        <v>24</v>
      </c>
      <c r="AP1982" s="54">
        <v>12</v>
      </c>
      <c r="AQ1982" s="54">
        <v>43350.5</v>
      </c>
      <c r="AR1982" s="55">
        <v>28500</v>
      </c>
      <c r="AS1982" s="78">
        <f t="shared" si="34"/>
        <v>1.5210701754385965</v>
      </c>
    </row>
    <row r="1983" spans="39:45">
      <c r="AM1983" s="55">
        <v>2019</v>
      </c>
      <c r="AN1983" s="55" t="s">
        <v>185</v>
      </c>
      <c r="AO1983" s="55">
        <v>24</v>
      </c>
      <c r="AP1983" s="55">
        <v>13</v>
      </c>
      <c r="AQ1983" s="55">
        <v>41570</v>
      </c>
      <c r="AR1983" s="55">
        <v>28500</v>
      </c>
      <c r="AS1983" s="78">
        <f t="shared" si="34"/>
        <v>1.4585964912280702</v>
      </c>
    </row>
    <row r="1984" spans="39:45">
      <c r="AM1984" s="54">
        <v>2019</v>
      </c>
      <c r="AN1984" s="54" t="s">
        <v>185</v>
      </c>
      <c r="AO1984" s="54">
        <v>24</v>
      </c>
      <c r="AP1984" s="54">
        <v>14</v>
      </c>
      <c r="AQ1984" s="54">
        <v>35983</v>
      </c>
      <c r="AR1984" s="55">
        <v>28500</v>
      </c>
      <c r="AS1984" s="78">
        <f t="shared" si="34"/>
        <v>1.262561403508772</v>
      </c>
    </row>
    <row r="1985" spans="39:45">
      <c r="AM1985" s="55">
        <v>2019</v>
      </c>
      <c r="AN1985" s="55" t="s">
        <v>185</v>
      </c>
      <c r="AO1985" s="55">
        <v>24</v>
      </c>
      <c r="AP1985" s="55">
        <v>15</v>
      </c>
      <c r="AQ1985" s="55">
        <v>28990.5</v>
      </c>
      <c r="AR1985" s="55">
        <v>28500</v>
      </c>
      <c r="AS1985" s="78">
        <f t="shared" si="34"/>
        <v>1.0172105263157896</v>
      </c>
    </row>
    <row r="1986" spans="39:45">
      <c r="AM1986" s="54">
        <v>2019</v>
      </c>
      <c r="AN1986" s="54" t="s">
        <v>185</v>
      </c>
      <c r="AO1986" s="54">
        <v>24</v>
      </c>
      <c r="AP1986" s="54">
        <v>16</v>
      </c>
      <c r="AQ1986" s="54">
        <v>18225</v>
      </c>
      <c r="AR1986" s="55">
        <v>28500</v>
      </c>
      <c r="AS1986" s="78">
        <f t="shared" ref="AS1986:AS2049" si="35">AQ1986/AR1986</f>
        <v>0.63947368421052631</v>
      </c>
    </row>
    <row r="1987" spans="39:45">
      <c r="AM1987" s="55">
        <v>2019</v>
      </c>
      <c r="AN1987" s="55" t="s">
        <v>185</v>
      </c>
      <c r="AO1987" s="55">
        <v>24</v>
      </c>
      <c r="AP1987" s="55">
        <v>17</v>
      </c>
      <c r="AQ1987" s="55">
        <v>5520.5</v>
      </c>
      <c r="AR1987" s="55">
        <v>28500</v>
      </c>
      <c r="AS1987" s="78">
        <f t="shared" si="35"/>
        <v>0.1937017543859649</v>
      </c>
    </row>
    <row r="1988" spans="39:45">
      <c r="AM1988" s="54">
        <v>2019</v>
      </c>
      <c r="AN1988" s="54" t="s">
        <v>185</v>
      </c>
      <c r="AO1988" s="54">
        <v>24</v>
      </c>
      <c r="AP1988" s="54">
        <v>18</v>
      </c>
      <c r="AQ1988" s="54">
        <v>0</v>
      </c>
      <c r="AR1988" s="55">
        <v>28500</v>
      </c>
      <c r="AS1988" s="78">
        <f t="shared" si="35"/>
        <v>0</v>
      </c>
    </row>
    <row r="1989" spans="39:45">
      <c r="AM1989" s="55">
        <v>2019</v>
      </c>
      <c r="AN1989" s="55" t="s">
        <v>185</v>
      </c>
      <c r="AO1989" s="55">
        <v>24</v>
      </c>
      <c r="AP1989" s="55">
        <v>19</v>
      </c>
      <c r="AQ1989" s="55">
        <v>0</v>
      </c>
      <c r="AR1989" s="55">
        <v>28500</v>
      </c>
      <c r="AS1989" s="78">
        <f t="shared" si="35"/>
        <v>0</v>
      </c>
    </row>
    <row r="1990" spans="39:45">
      <c r="AM1990" s="54">
        <v>2019</v>
      </c>
      <c r="AN1990" s="54" t="s">
        <v>185</v>
      </c>
      <c r="AO1990" s="54">
        <v>24</v>
      </c>
      <c r="AP1990" s="54">
        <v>20</v>
      </c>
      <c r="AQ1990" s="54">
        <v>0</v>
      </c>
      <c r="AR1990" s="55">
        <v>28500</v>
      </c>
      <c r="AS1990" s="78">
        <f t="shared" si="35"/>
        <v>0</v>
      </c>
    </row>
    <row r="1991" spans="39:45">
      <c r="AM1991" s="55">
        <v>2019</v>
      </c>
      <c r="AN1991" s="55" t="s">
        <v>185</v>
      </c>
      <c r="AO1991" s="55">
        <v>24</v>
      </c>
      <c r="AP1991" s="55">
        <v>21</v>
      </c>
      <c r="AQ1991" s="55">
        <v>0</v>
      </c>
      <c r="AR1991" s="55">
        <v>28500</v>
      </c>
      <c r="AS1991" s="78">
        <f t="shared" si="35"/>
        <v>0</v>
      </c>
    </row>
    <row r="1992" spans="39:45">
      <c r="AM1992" s="54">
        <v>2019</v>
      </c>
      <c r="AN1992" s="54" t="s">
        <v>185</v>
      </c>
      <c r="AO1992" s="54">
        <v>24</v>
      </c>
      <c r="AP1992" s="54">
        <v>22</v>
      </c>
      <c r="AQ1992" s="54">
        <v>0</v>
      </c>
      <c r="AR1992" s="55">
        <v>28500</v>
      </c>
      <c r="AS1992" s="78">
        <f t="shared" si="35"/>
        <v>0</v>
      </c>
    </row>
    <row r="1993" spans="39:45">
      <c r="AM1993" s="55">
        <v>2019</v>
      </c>
      <c r="AN1993" s="55" t="s">
        <v>185</v>
      </c>
      <c r="AO1993" s="55">
        <v>24</v>
      </c>
      <c r="AP1993" s="55">
        <v>23</v>
      </c>
      <c r="AQ1993" s="55">
        <v>0</v>
      </c>
      <c r="AR1993" s="55">
        <v>28500</v>
      </c>
      <c r="AS1993" s="78">
        <f t="shared" si="35"/>
        <v>0</v>
      </c>
    </row>
    <row r="1994" spans="39:45">
      <c r="AM1994" s="54">
        <v>2019</v>
      </c>
      <c r="AN1994" s="54" t="s">
        <v>185</v>
      </c>
      <c r="AO1994" s="54">
        <v>25</v>
      </c>
      <c r="AP1994" s="54">
        <v>24</v>
      </c>
      <c r="AQ1994" s="54">
        <v>0</v>
      </c>
      <c r="AR1994" s="55">
        <v>28500</v>
      </c>
      <c r="AS1994" s="78">
        <f t="shared" si="35"/>
        <v>0</v>
      </c>
    </row>
    <row r="1995" spans="39:45">
      <c r="AM1995" s="55">
        <v>2019</v>
      </c>
      <c r="AN1995" s="55" t="s">
        <v>185</v>
      </c>
      <c r="AO1995" s="55">
        <v>25</v>
      </c>
      <c r="AP1995" s="55">
        <v>1</v>
      </c>
      <c r="AQ1995" s="55">
        <v>0</v>
      </c>
      <c r="AR1995" s="55">
        <v>28500</v>
      </c>
      <c r="AS1995" s="78">
        <f t="shared" si="35"/>
        <v>0</v>
      </c>
    </row>
    <row r="1996" spans="39:45">
      <c r="AM1996" s="54">
        <v>2019</v>
      </c>
      <c r="AN1996" s="54" t="s">
        <v>185</v>
      </c>
      <c r="AO1996" s="54">
        <v>25</v>
      </c>
      <c r="AP1996" s="54">
        <v>2</v>
      </c>
      <c r="AQ1996" s="54">
        <v>0</v>
      </c>
      <c r="AR1996" s="55">
        <v>28500</v>
      </c>
      <c r="AS1996" s="78">
        <f t="shared" si="35"/>
        <v>0</v>
      </c>
    </row>
    <row r="1997" spans="39:45">
      <c r="AM1997" s="55">
        <v>2019</v>
      </c>
      <c r="AN1997" s="55" t="s">
        <v>185</v>
      </c>
      <c r="AO1997" s="55">
        <v>25</v>
      </c>
      <c r="AP1997" s="55">
        <v>3</v>
      </c>
      <c r="AQ1997" s="55">
        <v>0</v>
      </c>
      <c r="AR1997" s="55">
        <v>28500</v>
      </c>
      <c r="AS1997" s="78">
        <f t="shared" si="35"/>
        <v>0</v>
      </c>
    </row>
    <row r="1998" spans="39:45">
      <c r="AM1998" s="54">
        <v>2019</v>
      </c>
      <c r="AN1998" s="54" t="s">
        <v>185</v>
      </c>
      <c r="AO1998" s="54">
        <v>25</v>
      </c>
      <c r="AP1998" s="54">
        <v>4</v>
      </c>
      <c r="AQ1998" s="54">
        <v>0</v>
      </c>
      <c r="AR1998" s="55">
        <v>28500</v>
      </c>
      <c r="AS1998" s="78">
        <f t="shared" si="35"/>
        <v>0</v>
      </c>
    </row>
    <row r="1999" spans="39:45">
      <c r="AM1999" s="55">
        <v>2019</v>
      </c>
      <c r="AN1999" s="55" t="s">
        <v>185</v>
      </c>
      <c r="AO1999" s="55">
        <v>25</v>
      </c>
      <c r="AP1999" s="55">
        <v>5</v>
      </c>
      <c r="AQ1999" s="55">
        <v>0</v>
      </c>
      <c r="AR1999" s="55">
        <v>28500</v>
      </c>
      <c r="AS1999" s="78">
        <f t="shared" si="35"/>
        <v>0</v>
      </c>
    </row>
    <row r="2000" spans="39:45">
      <c r="AM2000" s="54">
        <v>2019</v>
      </c>
      <c r="AN2000" s="54" t="s">
        <v>185</v>
      </c>
      <c r="AO2000" s="54">
        <v>25</v>
      </c>
      <c r="AP2000" s="54">
        <v>6</v>
      </c>
      <c r="AQ2000" s="54">
        <v>0</v>
      </c>
      <c r="AR2000" s="55">
        <v>28500</v>
      </c>
      <c r="AS2000" s="78">
        <f t="shared" si="35"/>
        <v>0</v>
      </c>
    </row>
    <row r="2001" spans="39:45">
      <c r="AM2001" s="55">
        <v>2019</v>
      </c>
      <c r="AN2001" s="55" t="s">
        <v>185</v>
      </c>
      <c r="AO2001" s="55">
        <v>25</v>
      </c>
      <c r="AP2001" s="55">
        <v>7</v>
      </c>
      <c r="AQ2001" s="55">
        <v>7905</v>
      </c>
      <c r="AR2001" s="55">
        <v>28500</v>
      </c>
      <c r="AS2001" s="78">
        <f t="shared" si="35"/>
        <v>0.2773684210526316</v>
      </c>
    </row>
    <row r="2002" spans="39:45">
      <c r="AM2002" s="54">
        <v>2019</v>
      </c>
      <c r="AN2002" s="54" t="s">
        <v>185</v>
      </c>
      <c r="AO2002" s="54">
        <v>25</v>
      </c>
      <c r="AP2002" s="54">
        <v>8</v>
      </c>
      <c r="AQ2002" s="54">
        <v>20236</v>
      </c>
      <c r="AR2002" s="55">
        <v>28500</v>
      </c>
      <c r="AS2002" s="78">
        <f t="shared" si="35"/>
        <v>0.71003508771929824</v>
      </c>
    </row>
    <row r="2003" spans="39:45">
      <c r="AM2003" s="55">
        <v>2019</v>
      </c>
      <c r="AN2003" s="55" t="s">
        <v>185</v>
      </c>
      <c r="AO2003" s="55">
        <v>25</v>
      </c>
      <c r="AP2003" s="55">
        <v>9</v>
      </c>
      <c r="AQ2003" s="55">
        <v>31659.5</v>
      </c>
      <c r="AR2003" s="55">
        <v>28500</v>
      </c>
      <c r="AS2003" s="78">
        <f t="shared" si="35"/>
        <v>1.1108596491228071</v>
      </c>
    </row>
    <row r="2004" spans="39:45">
      <c r="AM2004" s="54">
        <v>2019</v>
      </c>
      <c r="AN2004" s="54" t="s">
        <v>185</v>
      </c>
      <c r="AO2004" s="54">
        <v>25</v>
      </c>
      <c r="AP2004" s="54">
        <v>10</v>
      </c>
      <c r="AQ2004" s="54">
        <v>35751.5</v>
      </c>
      <c r="AR2004" s="55">
        <v>28500</v>
      </c>
      <c r="AS2004" s="78">
        <f t="shared" si="35"/>
        <v>1.2544385964912281</v>
      </c>
    </row>
    <row r="2005" spans="39:45">
      <c r="AM2005" s="55">
        <v>2019</v>
      </c>
      <c r="AN2005" s="55" t="s">
        <v>185</v>
      </c>
      <c r="AO2005" s="55">
        <v>25</v>
      </c>
      <c r="AP2005" s="55">
        <v>11</v>
      </c>
      <c r="AQ2005" s="55">
        <v>36992.5</v>
      </c>
      <c r="AR2005" s="55">
        <v>28500</v>
      </c>
      <c r="AS2005" s="78">
        <f t="shared" si="35"/>
        <v>1.2979824561403508</v>
      </c>
    </row>
    <row r="2006" spans="39:45">
      <c r="AM2006" s="54">
        <v>2019</v>
      </c>
      <c r="AN2006" s="54" t="s">
        <v>185</v>
      </c>
      <c r="AO2006" s="54">
        <v>25</v>
      </c>
      <c r="AP2006" s="54">
        <v>12</v>
      </c>
      <c r="AQ2006" s="54">
        <v>43403.5</v>
      </c>
      <c r="AR2006" s="55">
        <v>28500</v>
      </c>
      <c r="AS2006" s="78">
        <f t="shared" si="35"/>
        <v>1.5229298245614036</v>
      </c>
    </row>
    <row r="2007" spans="39:45">
      <c r="AM2007" s="55">
        <v>2019</v>
      </c>
      <c r="AN2007" s="55" t="s">
        <v>185</v>
      </c>
      <c r="AO2007" s="55">
        <v>25</v>
      </c>
      <c r="AP2007" s="55">
        <v>13</v>
      </c>
      <c r="AQ2007" s="55">
        <v>39921.5</v>
      </c>
      <c r="AR2007" s="55">
        <v>28500</v>
      </c>
      <c r="AS2007" s="78">
        <f t="shared" si="35"/>
        <v>1.4007543859649123</v>
      </c>
    </row>
    <row r="2008" spans="39:45">
      <c r="AM2008" s="54">
        <v>2019</v>
      </c>
      <c r="AN2008" s="54" t="s">
        <v>185</v>
      </c>
      <c r="AO2008" s="54">
        <v>25</v>
      </c>
      <c r="AP2008" s="54">
        <v>14</v>
      </c>
      <c r="AQ2008" s="54">
        <v>34112.5</v>
      </c>
      <c r="AR2008" s="55">
        <v>28500</v>
      </c>
      <c r="AS2008" s="78">
        <f t="shared" si="35"/>
        <v>1.1969298245614035</v>
      </c>
    </row>
    <row r="2009" spans="39:45">
      <c r="AM2009" s="55">
        <v>2019</v>
      </c>
      <c r="AN2009" s="55" t="s">
        <v>185</v>
      </c>
      <c r="AO2009" s="55">
        <v>25</v>
      </c>
      <c r="AP2009" s="55">
        <v>15</v>
      </c>
      <c r="AQ2009" s="55">
        <v>27426</v>
      </c>
      <c r="AR2009" s="55">
        <v>28500</v>
      </c>
      <c r="AS2009" s="78">
        <f t="shared" si="35"/>
        <v>0.96231578947368424</v>
      </c>
    </row>
    <row r="2010" spans="39:45">
      <c r="AM2010" s="54">
        <v>2019</v>
      </c>
      <c r="AN2010" s="54" t="s">
        <v>185</v>
      </c>
      <c r="AO2010" s="54">
        <v>25</v>
      </c>
      <c r="AP2010" s="54">
        <v>16</v>
      </c>
      <c r="AQ2010" s="54">
        <v>18632</v>
      </c>
      <c r="AR2010" s="55">
        <v>28500</v>
      </c>
      <c r="AS2010" s="78">
        <f t="shared" si="35"/>
        <v>0.65375438596491231</v>
      </c>
    </row>
    <row r="2011" spans="39:45">
      <c r="AM2011" s="55">
        <v>2019</v>
      </c>
      <c r="AN2011" s="55" t="s">
        <v>185</v>
      </c>
      <c r="AO2011" s="55">
        <v>25</v>
      </c>
      <c r="AP2011" s="55">
        <v>17</v>
      </c>
      <c r="AQ2011" s="55">
        <v>5921</v>
      </c>
      <c r="AR2011" s="55">
        <v>28500</v>
      </c>
      <c r="AS2011" s="78">
        <f t="shared" si="35"/>
        <v>0.20775438596491227</v>
      </c>
    </row>
    <row r="2012" spans="39:45">
      <c r="AM2012" s="54">
        <v>2019</v>
      </c>
      <c r="AN2012" s="54" t="s">
        <v>185</v>
      </c>
      <c r="AO2012" s="54">
        <v>25</v>
      </c>
      <c r="AP2012" s="54">
        <v>18</v>
      </c>
      <c r="AQ2012" s="54">
        <v>0</v>
      </c>
      <c r="AR2012" s="55">
        <v>28500</v>
      </c>
      <c r="AS2012" s="78">
        <f t="shared" si="35"/>
        <v>0</v>
      </c>
    </row>
    <row r="2013" spans="39:45">
      <c r="AM2013" s="55">
        <v>2019</v>
      </c>
      <c r="AN2013" s="55" t="s">
        <v>185</v>
      </c>
      <c r="AO2013" s="55">
        <v>25</v>
      </c>
      <c r="AP2013" s="55">
        <v>19</v>
      </c>
      <c r="AQ2013" s="55">
        <v>0</v>
      </c>
      <c r="AR2013" s="55">
        <v>28500</v>
      </c>
      <c r="AS2013" s="78">
        <f t="shared" si="35"/>
        <v>0</v>
      </c>
    </row>
    <row r="2014" spans="39:45">
      <c r="AM2014" s="54">
        <v>2019</v>
      </c>
      <c r="AN2014" s="54" t="s">
        <v>185</v>
      </c>
      <c r="AO2014" s="54">
        <v>25</v>
      </c>
      <c r="AP2014" s="54">
        <v>20</v>
      </c>
      <c r="AQ2014" s="54">
        <v>0</v>
      </c>
      <c r="AR2014" s="55">
        <v>28500</v>
      </c>
      <c r="AS2014" s="78">
        <f t="shared" si="35"/>
        <v>0</v>
      </c>
    </row>
    <row r="2015" spans="39:45">
      <c r="AM2015" s="55">
        <v>2019</v>
      </c>
      <c r="AN2015" s="55" t="s">
        <v>185</v>
      </c>
      <c r="AO2015" s="55">
        <v>25</v>
      </c>
      <c r="AP2015" s="55">
        <v>21</v>
      </c>
      <c r="AQ2015" s="55">
        <v>0</v>
      </c>
      <c r="AR2015" s="55">
        <v>28500</v>
      </c>
      <c r="AS2015" s="78">
        <f t="shared" si="35"/>
        <v>0</v>
      </c>
    </row>
    <row r="2016" spans="39:45">
      <c r="AM2016" s="54">
        <v>2019</v>
      </c>
      <c r="AN2016" s="54" t="s">
        <v>185</v>
      </c>
      <c r="AO2016" s="54">
        <v>25</v>
      </c>
      <c r="AP2016" s="54">
        <v>22</v>
      </c>
      <c r="AQ2016" s="54">
        <v>0</v>
      </c>
      <c r="AR2016" s="55">
        <v>28500</v>
      </c>
      <c r="AS2016" s="78">
        <f t="shared" si="35"/>
        <v>0</v>
      </c>
    </row>
    <row r="2017" spans="39:45">
      <c r="AM2017" s="55">
        <v>2019</v>
      </c>
      <c r="AN2017" s="55" t="s">
        <v>185</v>
      </c>
      <c r="AO2017" s="55">
        <v>25</v>
      </c>
      <c r="AP2017" s="55">
        <v>23</v>
      </c>
      <c r="AQ2017" s="55">
        <v>0</v>
      </c>
      <c r="AR2017" s="55">
        <v>28500</v>
      </c>
      <c r="AS2017" s="78">
        <f t="shared" si="35"/>
        <v>0</v>
      </c>
    </row>
    <row r="2018" spans="39:45">
      <c r="AM2018" s="54">
        <v>2019</v>
      </c>
      <c r="AN2018" s="54" t="s">
        <v>185</v>
      </c>
      <c r="AO2018" s="54">
        <v>26</v>
      </c>
      <c r="AP2018" s="54">
        <v>24</v>
      </c>
      <c r="AQ2018" s="54">
        <v>0</v>
      </c>
      <c r="AR2018" s="55">
        <v>28500</v>
      </c>
      <c r="AS2018" s="78">
        <f t="shared" si="35"/>
        <v>0</v>
      </c>
    </row>
    <row r="2019" spans="39:45">
      <c r="AM2019" s="55">
        <v>2019</v>
      </c>
      <c r="AN2019" s="55" t="s">
        <v>185</v>
      </c>
      <c r="AO2019" s="55">
        <v>26</v>
      </c>
      <c r="AP2019" s="55">
        <v>1</v>
      </c>
      <c r="AQ2019" s="55">
        <v>0</v>
      </c>
      <c r="AR2019" s="55">
        <v>28500</v>
      </c>
      <c r="AS2019" s="78">
        <f t="shared" si="35"/>
        <v>0</v>
      </c>
    </row>
    <row r="2020" spans="39:45">
      <c r="AM2020" s="54">
        <v>2019</v>
      </c>
      <c r="AN2020" s="54" t="s">
        <v>185</v>
      </c>
      <c r="AO2020" s="54">
        <v>26</v>
      </c>
      <c r="AP2020" s="54">
        <v>2</v>
      </c>
      <c r="AQ2020" s="54">
        <v>0</v>
      </c>
      <c r="AR2020" s="55">
        <v>28500</v>
      </c>
      <c r="AS2020" s="78">
        <f t="shared" si="35"/>
        <v>0</v>
      </c>
    </row>
    <row r="2021" spans="39:45">
      <c r="AM2021" s="55">
        <v>2019</v>
      </c>
      <c r="AN2021" s="55" t="s">
        <v>185</v>
      </c>
      <c r="AO2021" s="55">
        <v>26</v>
      </c>
      <c r="AP2021" s="55">
        <v>3</v>
      </c>
      <c r="AQ2021" s="55">
        <v>0</v>
      </c>
      <c r="AR2021" s="55">
        <v>28500</v>
      </c>
      <c r="AS2021" s="78">
        <f t="shared" si="35"/>
        <v>0</v>
      </c>
    </row>
    <row r="2022" spans="39:45">
      <c r="AM2022" s="54">
        <v>2019</v>
      </c>
      <c r="AN2022" s="54" t="s">
        <v>185</v>
      </c>
      <c r="AO2022" s="54">
        <v>26</v>
      </c>
      <c r="AP2022" s="54">
        <v>4</v>
      </c>
      <c r="AQ2022" s="54">
        <v>0</v>
      </c>
      <c r="AR2022" s="55">
        <v>28500</v>
      </c>
      <c r="AS2022" s="78">
        <f t="shared" si="35"/>
        <v>0</v>
      </c>
    </row>
    <row r="2023" spans="39:45">
      <c r="AM2023" s="55">
        <v>2019</v>
      </c>
      <c r="AN2023" s="55" t="s">
        <v>185</v>
      </c>
      <c r="AO2023" s="55">
        <v>26</v>
      </c>
      <c r="AP2023" s="55">
        <v>5</v>
      </c>
      <c r="AQ2023" s="55">
        <v>0</v>
      </c>
      <c r="AR2023" s="55">
        <v>28500</v>
      </c>
      <c r="AS2023" s="78">
        <f t="shared" si="35"/>
        <v>0</v>
      </c>
    </row>
    <row r="2024" spans="39:45">
      <c r="AM2024" s="54">
        <v>2019</v>
      </c>
      <c r="AN2024" s="54" t="s">
        <v>185</v>
      </c>
      <c r="AO2024" s="54">
        <v>26</v>
      </c>
      <c r="AP2024" s="54">
        <v>6</v>
      </c>
      <c r="AQ2024" s="54">
        <v>0</v>
      </c>
      <c r="AR2024" s="55">
        <v>28500</v>
      </c>
      <c r="AS2024" s="78">
        <f t="shared" si="35"/>
        <v>0</v>
      </c>
    </row>
    <row r="2025" spans="39:45">
      <c r="AM2025" s="55">
        <v>2019</v>
      </c>
      <c r="AN2025" s="55" t="s">
        <v>185</v>
      </c>
      <c r="AO2025" s="55">
        <v>26</v>
      </c>
      <c r="AP2025" s="55">
        <v>7</v>
      </c>
      <c r="AQ2025" s="55">
        <v>6930.5</v>
      </c>
      <c r="AR2025" s="55">
        <v>28500</v>
      </c>
      <c r="AS2025" s="78">
        <f t="shared" si="35"/>
        <v>0.24317543859649124</v>
      </c>
    </row>
    <row r="2026" spans="39:45">
      <c r="AM2026" s="54">
        <v>2019</v>
      </c>
      <c r="AN2026" s="54" t="s">
        <v>185</v>
      </c>
      <c r="AO2026" s="54">
        <v>26</v>
      </c>
      <c r="AP2026" s="54">
        <v>8</v>
      </c>
      <c r="AQ2026" s="54">
        <v>13353</v>
      </c>
      <c r="AR2026" s="55">
        <v>28500</v>
      </c>
      <c r="AS2026" s="78">
        <f t="shared" si="35"/>
        <v>0.46852631578947368</v>
      </c>
    </row>
    <row r="2027" spans="39:45">
      <c r="AM2027" s="55">
        <v>2019</v>
      </c>
      <c r="AN2027" s="55" t="s">
        <v>185</v>
      </c>
      <c r="AO2027" s="55">
        <v>26</v>
      </c>
      <c r="AP2027" s="55">
        <v>9</v>
      </c>
      <c r="AQ2027" s="55">
        <v>29475</v>
      </c>
      <c r="AR2027" s="55">
        <v>28500</v>
      </c>
      <c r="AS2027" s="78">
        <f t="shared" si="35"/>
        <v>1.0342105263157895</v>
      </c>
    </row>
    <row r="2028" spans="39:45">
      <c r="AM2028" s="54">
        <v>2019</v>
      </c>
      <c r="AN2028" s="54" t="s">
        <v>185</v>
      </c>
      <c r="AO2028" s="54">
        <v>26</v>
      </c>
      <c r="AP2028" s="54">
        <v>10</v>
      </c>
      <c r="AQ2028" s="54">
        <v>36464.5</v>
      </c>
      <c r="AR2028" s="55">
        <v>28500</v>
      </c>
      <c r="AS2028" s="78">
        <f t="shared" si="35"/>
        <v>1.2794561403508773</v>
      </c>
    </row>
    <row r="2029" spans="39:45">
      <c r="AM2029" s="55">
        <v>2019</v>
      </c>
      <c r="AN2029" s="55" t="s">
        <v>185</v>
      </c>
      <c r="AO2029" s="55">
        <v>26</v>
      </c>
      <c r="AP2029" s="55">
        <v>11</v>
      </c>
      <c r="AQ2029" s="55">
        <v>40237</v>
      </c>
      <c r="AR2029" s="55">
        <v>28500</v>
      </c>
      <c r="AS2029" s="78">
        <f t="shared" si="35"/>
        <v>1.4118245614035088</v>
      </c>
    </row>
    <row r="2030" spans="39:45">
      <c r="AM2030" s="54">
        <v>2019</v>
      </c>
      <c r="AN2030" s="54" t="s">
        <v>185</v>
      </c>
      <c r="AO2030" s="54">
        <v>26</v>
      </c>
      <c r="AP2030" s="54">
        <v>12</v>
      </c>
      <c r="AQ2030" s="54">
        <v>42598.5</v>
      </c>
      <c r="AR2030" s="55">
        <v>28500</v>
      </c>
      <c r="AS2030" s="78">
        <f t="shared" si="35"/>
        <v>1.4946842105263158</v>
      </c>
    </row>
    <row r="2031" spans="39:45">
      <c r="AM2031" s="55">
        <v>2019</v>
      </c>
      <c r="AN2031" s="55" t="s">
        <v>185</v>
      </c>
      <c r="AO2031" s="55">
        <v>26</v>
      </c>
      <c r="AP2031" s="55">
        <v>13</v>
      </c>
      <c r="AQ2031" s="55">
        <v>14754.5</v>
      </c>
      <c r="AR2031" s="55">
        <v>28500</v>
      </c>
      <c r="AS2031" s="78">
        <f t="shared" si="35"/>
        <v>0.51770175438596489</v>
      </c>
    </row>
    <row r="2032" spans="39:45">
      <c r="AM2032" s="54">
        <v>2019</v>
      </c>
      <c r="AN2032" s="54" t="s">
        <v>185</v>
      </c>
      <c r="AO2032" s="54">
        <v>26</v>
      </c>
      <c r="AP2032" s="54">
        <v>14</v>
      </c>
      <c r="AQ2032" s="54">
        <v>13261.5</v>
      </c>
      <c r="AR2032" s="55">
        <v>28500</v>
      </c>
      <c r="AS2032" s="78">
        <f t="shared" si="35"/>
        <v>0.46531578947368424</v>
      </c>
    </row>
    <row r="2033" spans="39:45">
      <c r="AM2033" s="55">
        <v>2019</v>
      </c>
      <c r="AN2033" s="55" t="s">
        <v>185</v>
      </c>
      <c r="AO2033" s="55">
        <v>26</v>
      </c>
      <c r="AP2033" s="55">
        <v>15</v>
      </c>
      <c r="AQ2033" s="55">
        <v>19602</v>
      </c>
      <c r="AR2033" s="55">
        <v>28500</v>
      </c>
      <c r="AS2033" s="78">
        <f t="shared" si="35"/>
        <v>0.68778947368421051</v>
      </c>
    </row>
    <row r="2034" spans="39:45">
      <c r="AM2034" s="54">
        <v>2019</v>
      </c>
      <c r="AN2034" s="54" t="s">
        <v>185</v>
      </c>
      <c r="AO2034" s="54">
        <v>26</v>
      </c>
      <c r="AP2034" s="54">
        <v>16</v>
      </c>
      <c r="AQ2034" s="54">
        <v>9320</v>
      </c>
      <c r="AR2034" s="55">
        <v>28500</v>
      </c>
      <c r="AS2034" s="78">
        <f t="shared" si="35"/>
        <v>0.3270175438596491</v>
      </c>
    </row>
    <row r="2035" spans="39:45">
      <c r="AM2035" s="55">
        <v>2019</v>
      </c>
      <c r="AN2035" s="55" t="s">
        <v>185</v>
      </c>
      <c r="AO2035" s="55">
        <v>26</v>
      </c>
      <c r="AP2035" s="55">
        <v>17</v>
      </c>
      <c r="AQ2035" s="55">
        <v>5546</v>
      </c>
      <c r="AR2035" s="55">
        <v>28500</v>
      </c>
      <c r="AS2035" s="78">
        <f t="shared" si="35"/>
        <v>0.19459649122807018</v>
      </c>
    </row>
    <row r="2036" spans="39:45">
      <c r="AM2036" s="54">
        <v>2019</v>
      </c>
      <c r="AN2036" s="54" t="s">
        <v>185</v>
      </c>
      <c r="AO2036" s="54">
        <v>26</v>
      </c>
      <c r="AP2036" s="54">
        <v>18</v>
      </c>
      <c r="AQ2036" s="54">
        <v>0</v>
      </c>
      <c r="AR2036" s="55">
        <v>28500</v>
      </c>
      <c r="AS2036" s="78">
        <f t="shared" si="35"/>
        <v>0</v>
      </c>
    </row>
    <row r="2037" spans="39:45">
      <c r="AM2037" s="55">
        <v>2019</v>
      </c>
      <c r="AN2037" s="55" t="s">
        <v>185</v>
      </c>
      <c r="AO2037" s="55">
        <v>26</v>
      </c>
      <c r="AP2037" s="55">
        <v>19</v>
      </c>
      <c r="AQ2037" s="55">
        <v>0</v>
      </c>
      <c r="AR2037" s="55">
        <v>28500</v>
      </c>
      <c r="AS2037" s="78">
        <f t="shared" si="35"/>
        <v>0</v>
      </c>
    </row>
    <row r="2038" spans="39:45">
      <c r="AM2038" s="54">
        <v>2019</v>
      </c>
      <c r="AN2038" s="54" t="s">
        <v>185</v>
      </c>
      <c r="AO2038" s="54">
        <v>26</v>
      </c>
      <c r="AP2038" s="54">
        <v>20</v>
      </c>
      <c r="AQ2038" s="54">
        <v>0</v>
      </c>
      <c r="AR2038" s="55">
        <v>28500</v>
      </c>
      <c r="AS2038" s="78">
        <f t="shared" si="35"/>
        <v>0</v>
      </c>
    </row>
    <row r="2039" spans="39:45">
      <c r="AM2039" s="55">
        <v>2019</v>
      </c>
      <c r="AN2039" s="55" t="s">
        <v>185</v>
      </c>
      <c r="AO2039" s="55">
        <v>26</v>
      </c>
      <c r="AP2039" s="55">
        <v>21</v>
      </c>
      <c r="AQ2039" s="55">
        <v>0</v>
      </c>
      <c r="AR2039" s="55">
        <v>28500</v>
      </c>
      <c r="AS2039" s="78">
        <f t="shared" si="35"/>
        <v>0</v>
      </c>
    </row>
    <row r="2040" spans="39:45">
      <c r="AM2040" s="54">
        <v>2019</v>
      </c>
      <c r="AN2040" s="54" t="s">
        <v>185</v>
      </c>
      <c r="AO2040" s="54">
        <v>26</v>
      </c>
      <c r="AP2040" s="54">
        <v>22</v>
      </c>
      <c r="AQ2040" s="54">
        <v>0</v>
      </c>
      <c r="AR2040" s="55">
        <v>28500</v>
      </c>
      <c r="AS2040" s="78">
        <f t="shared" si="35"/>
        <v>0</v>
      </c>
    </row>
    <row r="2041" spans="39:45">
      <c r="AM2041" s="55">
        <v>2019</v>
      </c>
      <c r="AN2041" s="55" t="s">
        <v>185</v>
      </c>
      <c r="AO2041" s="55">
        <v>26</v>
      </c>
      <c r="AP2041" s="55">
        <v>23</v>
      </c>
      <c r="AQ2041" s="55">
        <v>0</v>
      </c>
      <c r="AR2041" s="55">
        <v>28500</v>
      </c>
      <c r="AS2041" s="78">
        <f t="shared" si="35"/>
        <v>0</v>
      </c>
    </row>
    <row r="2042" spans="39:45">
      <c r="AM2042" s="54">
        <v>2019</v>
      </c>
      <c r="AN2042" s="54" t="s">
        <v>185</v>
      </c>
      <c r="AO2042" s="54">
        <v>27</v>
      </c>
      <c r="AP2042" s="54">
        <v>24</v>
      </c>
      <c r="AQ2042" s="54">
        <v>0</v>
      </c>
      <c r="AR2042" s="55">
        <v>28500</v>
      </c>
      <c r="AS2042" s="78">
        <f t="shared" si="35"/>
        <v>0</v>
      </c>
    </row>
    <row r="2043" spans="39:45">
      <c r="AM2043" s="55">
        <v>2019</v>
      </c>
      <c r="AN2043" s="55" t="s">
        <v>185</v>
      </c>
      <c r="AO2043" s="55">
        <v>27</v>
      </c>
      <c r="AP2043" s="55">
        <v>1</v>
      </c>
      <c r="AQ2043" s="55">
        <v>0</v>
      </c>
      <c r="AR2043" s="55">
        <v>28500</v>
      </c>
      <c r="AS2043" s="78">
        <f t="shared" si="35"/>
        <v>0</v>
      </c>
    </row>
    <row r="2044" spans="39:45">
      <c r="AM2044" s="54">
        <v>2019</v>
      </c>
      <c r="AN2044" s="54" t="s">
        <v>185</v>
      </c>
      <c r="AO2044" s="54">
        <v>27</v>
      </c>
      <c r="AP2044" s="54">
        <v>2</v>
      </c>
      <c r="AQ2044" s="54">
        <v>0</v>
      </c>
      <c r="AR2044" s="55">
        <v>28500</v>
      </c>
      <c r="AS2044" s="78">
        <f t="shared" si="35"/>
        <v>0</v>
      </c>
    </row>
    <row r="2045" spans="39:45">
      <c r="AM2045" s="55">
        <v>2019</v>
      </c>
      <c r="AN2045" s="55" t="s">
        <v>185</v>
      </c>
      <c r="AO2045" s="55">
        <v>27</v>
      </c>
      <c r="AP2045" s="55">
        <v>3</v>
      </c>
      <c r="AQ2045" s="55">
        <v>0</v>
      </c>
      <c r="AR2045" s="55">
        <v>28500</v>
      </c>
      <c r="AS2045" s="78">
        <f t="shared" si="35"/>
        <v>0</v>
      </c>
    </row>
    <row r="2046" spans="39:45">
      <c r="AM2046" s="54">
        <v>2019</v>
      </c>
      <c r="AN2046" s="54" t="s">
        <v>185</v>
      </c>
      <c r="AO2046" s="54">
        <v>27</v>
      </c>
      <c r="AP2046" s="54">
        <v>4</v>
      </c>
      <c r="AQ2046" s="54">
        <v>0</v>
      </c>
      <c r="AR2046" s="55">
        <v>28500</v>
      </c>
      <c r="AS2046" s="78">
        <f t="shared" si="35"/>
        <v>0</v>
      </c>
    </row>
    <row r="2047" spans="39:45">
      <c r="AM2047" s="55">
        <v>2019</v>
      </c>
      <c r="AN2047" s="55" t="s">
        <v>185</v>
      </c>
      <c r="AO2047" s="55">
        <v>27</v>
      </c>
      <c r="AP2047" s="55">
        <v>5</v>
      </c>
      <c r="AQ2047" s="55">
        <v>0</v>
      </c>
      <c r="AR2047" s="55">
        <v>28500</v>
      </c>
      <c r="AS2047" s="78">
        <f t="shared" si="35"/>
        <v>0</v>
      </c>
    </row>
    <row r="2048" spans="39:45">
      <c r="AM2048" s="54">
        <v>2019</v>
      </c>
      <c r="AN2048" s="54" t="s">
        <v>185</v>
      </c>
      <c r="AO2048" s="54">
        <v>27</v>
      </c>
      <c r="AP2048" s="54">
        <v>6</v>
      </c>
      <c r="AQ2048" s="54">
        <v>0</v>
      </c>
      <c r="AR2048" s="55">
        <v>28500</v>
      </c>
      <c r="AS2048" s="78">
        <f t="shared" si="35"/>
        <v>0</v>
      </c>
    </row>
    <row r="2049" spans="39:45">
      <c r="AM2049" s="55">
        <v>2019</v>
      </c>
      <c r="AN2049" s="55" t="s">
        <v>185</v>
      </c>
      <c r="AO2049" s="55">
        <v>27</v>
      </c>
      <c r="AP2049" s="55">
        <v>7</v>
      </c>
      <c r="AQ2049" s="55">
        <v>3925</v>
      </c>
      <c r="AR2049" s="55">
        <v>28500</v>
      </c>
      <c r="AS2049" s="78">
        <f t="shared" si="35"/>
        <v>0.13771929824561405</v>
      </c>
    </row>
    <row r="2050" spans="39:45">
      <c r="AM2050" s="54">
        <v>2019</v>
      </c>
      <c r="AN2050" s="54" t="s">
        <v>185</v>
      </c>
      <c r="AO2050" s="54">
        <v>27</v>
      </c>
      <c r="AP2050" s="54">
        <v>8</v>
      </c>
      <c r="AQ2050" s="54">
        <v>7344.5</v>
      </c>
      <c r="AR2050" s="55">
        <v>28500</v>
      </c>
      <c r="AS2050" s="78">
        <f t="shared" ref="AS2050:AS2113" si="36">AQ2050/AR2050</f>
        <v>0.25770175438596493</v>
      </c>
    </row>
    <row r="2051" spans="39:45">
      <c r="AM2051" s="55">
        <v>2019</v>
      </c>
      <c r="AN2051" s="55" t="s">
        <v>185</v>
      </c>
      <c r="AO2051" s="55">
        <v>27</v>
      </c>
      <c r="AP2051" s="55">
        <v>9</v>
      </c>
      <c r="AQ2051" s="55">
        <v>9285</v>
      </c>
      <c r="AR2051" s="55">
        <v>28500</v>
      </c>
      <c r="AS2051" s="78">
        <f t="shared" si="36"/>
        <v>0.32578947368421052</v>
      </c>
    </row>
    <row r="2052" spans="39:45">
      <c r="AM2052" s="54">
        <v>2019</v>
      </c>
      <c r="AN2052" s="54" t="s">
        <v>185</v>
      </c>
      <c r="AO2052" s="54">
        <v>27</v>
      </c>
      <c r="AP2052" s="54">
        <v>10</v>
      </c>
      <c r="AQ2052" s="54">
        <v>9114</v>
      </c>
      <c r="AR2052" s="55">
        <v>28500</v>
      </c>
      <c r="AS2052" s="78">
        <f t="shared" si="36"/>
        <v>0.31978947368421051</v>
      </c>
    </row>
    <row r="2053" spans="39:45">
      <c r="AM2053" s="55">
        <v>2019</v>
      </c>
      <c r="AN2053" s="55" t="s">
        <v>185</v>
      </c>
      <c r="AO2053" s="55">
        <v>27</v>
      </c>
      <c r="AP2053" s="55">
        <v>11</v>
      </c>
      <c r="AQ2053" s="55">
        <v>13035.5</v>
      </c>
      <c r="AR2053" s="55">
        <v>28500</v>
      </c>
      <c r="AS2053" s="78">
        <f t="shared" si="36"/>
        <v>0.45738596491228073</v>
      </c>
    </row>
    <row r="2054" spans="39:45">
      <c r="AM2054" s="54">
        <v>2019</v>
      </c>
      <c r="AN2054" s="54" t="s">
        <v>185</v>
      </c>
      <c r="AO2054" s="54">
        <v>27</v>
      </c>
      <c r="AP2054" s="54">
        <v>12</v>
      </c>
      <c r="AQ2054" s="54">
        <v>4474.5</v>
      </c>
      <c r="AR2054" s="55">
        <v>28500</v>
      </c>
      <c r="AS2054" s="78">
        <f t="shared" si="36"/>
        <v>0.157</v>
      </c>
    </row>
    <row r="2055" spans="39:45">
      <c r="AM2055" s="55">
        <v>2019</v>
      </c>
      <c r="AN2055" s="55" t="s">
        <v>185</v>
      </c>
      <c r="AO2055" s="55">
        <v>27</v>
      </c>
      <c r="AP2055" s="55">
        <v>13</v>
      </c>
      <c r="AQ2055" s="55">
        <v>5839.5</v>
      </c>
      <c r="AR2055" s="55">
        <v>28500</v>
      </c>
      <c r="AS2055" s="78">
        <f t="shared" si="36"/>
        <v>0.20489473684210527</v>
      </c>
    </row>
    <row r="2056" spans="39:45">
      <c r="AM2056" s="54">
        <v>2019</v>
      </c>
      <c r="AN2056" s="54" t="s">
        <v>185</v>
      </c>
      <c r="AO2056" s="54">
        <v>27</v>
      </c>
      <c r="AP2056" s="54">
        <v>14</v>
      </c>
      <c r="AQ2056" s="54">
        <v>4819.5</v>
      </c>
      <c r="AR2056" s="55">
        <v>28500</v>
      </c>
      <c r="AS2056" s="78">
        <f t="shared" si="36"/>
        <v>0.16910526315789473</v>
      </c>
    </row>
    <row r="2057" spans="39:45">
      <c r="AM2057" s="55">
        <v>2019</v>
      </c>
      <c r="AN2057" s="55" t="s">
        <v>185</v>
      </c>
      <c r="AO2057" s="55">
        <v>27</v>
      </c>
      <c r="AP2057" s="55">
        <v>15</v>
      </c>
      <c r="AQ2057" s="55">
        <v>10211</v>
      </c>
      <c r="AR2057" s="55">
        <v>28500</v>
      </c>
      <c r="AS2057" s="78">
        <f t="shared" si="36"/>
        <v>0.35828070175438598</v>
      </c>
    </row>
    <row r="2058" spans="39:45">
      <c r="AM2058" s="54">
        <v>2019</v>
      </c>
      <c r="AN2058" s="54" t="s">
        <v>185</v>
      </c>
      <c r="AO2058" s="54">
        <v>27</v>
      </c>
      <c r="AP2058" s="54">
        <v>16</v>
      </c>
      <c r="AQ2058" s="54">
        <v>8664</v>
      </c>
      <c r="AR2058" s="55">
        <v>28500</v>
      </c>
      <c r="AS2058" s="78">
        <f t="shared" si="36"/>
        <v>0.30399999999999999</v>
      </c>
    </row>
    <row r="2059" spans="39:45">
      <c r="AM2059" s="55">
        <v>2019</v>
      </c>
      <c r="AN2059" s="55" t="s">
        <v>185</v>
      </c>
      <c r="AO2059" s="55">
        <v>27</v>
      </c>
      <c r="AP2059" s="55">
        <v>17</v>
      </c>
      <c r="AQ2059" s="55">
        <v>3088</v>
      </c>
      <c r="AR2059" s="55">
        <v>28500</v>
      </c>
      <c r="AS2059" s="78">
        <f t="shared" si="36"/>
        <v>0.10835087719298246</v>
      </c>
    </row>
    <row r="2060" spans="39:45">
      <c r="AM2060" s="54">
        <v>2019</v>
      </c>
      <c r="AN2060" s="54" t="s">
        <v>185</v>
      </c>
      <c r="AO2060" s="54">
        <v>27</v>
      </c>
      <c r="AP2060" s="54">
        <v>18</v>
      </c>
      <c r="AQ2060" s="54">
        <v>0</v>
      </c>
      <c r="AR2060" s="55">
        <v>28500</v>
      </c>
      <c r="AS2060" s="78">
        <f t="shared" si="36"/>
        <v>0</v>
      </c>
    </row>
    <row r="2061" spans="39:45">
      <c r="AM2061" s="55">
        <v>2019</v>
      </c>
      <c r="AN2061" s="55" t="s">
        <v>185</v>
      </c>
      <c r="AO2061" s="55">
        <v>27</v>
      </c>
      <c r="AP2061" s="55">
        <v>19</v>
      </c>
      <c r="AQ2061" s="55">
        <v>0</v>
      </c>
      <c r="AR2061" s="55">
        <v>28500</v>
      </c>
      <c r="AS2061" s="78">
        <f t="shared" si="36"/>
        <v>0</v>
      </c>
    </row>
    <row r="2062" spans="39:45">
      <c r="AM2062" s="54">
        <v>2019</v>
      </c>
      <c r="AN2062" s="54" t="s">
        <v>185</v>
      </c>
      <c r="AO2062" s="54">
        <v>27</v>
      </c>
      <c r="AP2062" s="54">
        <v>20</v>
      </c>
      <c r="AQ2062" s="54">
        <v>0</v>
      </c>
      <c r="AR2062" s="55">
        <v>28500</v>
      </c>
      <c r="AS2062" s="78">
        <f t="shared" si="36"/>
        <v>0</v>
      </c>
    </row>
    <row r="2063" spans="39:45">
      <c r="AM2063" s="55">
        <v>2019</v>
      </c>
      <c r="AN2063" s="55" t="s">
        <v>185</v>
      </c>
      <c r="AO2063" s="55">
        <v>27</v>
      </c>
      <c r="AP2063" s="55">
        <v>21</v>
      </c>
      <c r="AQ2063" s="55">
        <v>0</v>
      </c>
      <c r="AR2063" s="55">
        <v>28500</v>
      </c>
      <c r="AS2063" s="78">
        <f t="shared" si="36"/>
        <v>0</v>
      </c>
    </row>
    <row r="2064" spans="39:45">
      <c r="AM2064" s="54">
        <v>2019</v>
      </c>
      <c r="AN2064" s="54" t="s">
        <v>185</v>
      </c>
      <c r="AO2064" s="54">
        <v>27</v>
      </c>
      <c r="AP2064" s="54">
        <v>22</v>
      </c>
      <c r="AQ2064" s="54">
        <v>0</v>
      </c>
      <c r="AR2064" s="55">
        <v>28500</v>
      </c>
      <c r="AS2064" s="78">
        <f t="shared" si="36"/>
        <v>0</v>
      </c>
    </row>
    <row r="2065" spans="39:45">
      <c r="AM2065" s="55">
        <v>2019</v>
      </c>
      <c r="AN2065" s="55" t="s">
        <v>185</v>
      </c>
      <c r="AO2065" s="55">
        <v>27</v>
      </c>
      <c r="AP2065" s="55">
        <v>23</v>
      </c>
      <c r="AQ2065" s="55">
        <v>0</v>
      </c>
      <c r="AR2065" s="55">
        <v>28500</v>
      </c>
      <c r="AS2065" s="78">
        <f t="shared" si="36"/>
        <v>0</v>
      </c>
    </row>
    <row r="2066" spans="39:45">
      <c r="AM2066" s="54">
        <v>2019</v>
      </c>
      <c r="AN2066" s="54" t="s">
        <v>185</v>
      </c>
      <c r="AO2066" s="54">
        <v>28</v>
      </c>
      <c r="AP2066" s="54">
        <v>24</v>
      </c>
      <c r="AQ2066" s="54">
        <v>0</v>
      </c>
      <c r="AR2066" s="55">
        <v>28500</v>
      </c>
      <c r="AS2066" s="78">
        <f t="shared" si="36"/>
        <v>0</v>
      </c>
    </row>
    <row r="2067" spans="39:45">
      <c r="AM2067" s="55">
        <v>2019</v>
      </c>
      <c r="AN2067" s="55" t="s">
        <v>185</v>
      </c>
      <c r="AO2067" s="55">
        <v>28</v>
      </c>
      <c r="AP2067" s="55">
        <v>1</v>
      </c>
      <c r="AQ2067" s="55">
        <v>0</v>
      </c>
      <c r="AR2067" s="55">
        <v>28500</v>
      </c>
      <c r="AS2067" s="78">
        <f t="shared" si="36"/>
        <v>0</v>
      </c>
    </row>
    <row r="2068" spans="39:45">
      <c r="AM2068" s="54">
        <v>2019</v>
      </c>
      <c r="AN2068" s="54" t="s">
        <v>185</v>
      </c>
      <c r="AO2068" s="54">
        <v>28</v>
      </c>
      <c r="AP2068" s="54">
        <v>2</v>
      </c>
      <c r="AQ2068" s="54">
        <v>0</v>
      </c>
      <c r="AR2068" s="55">
        <v>28500</v>
      </c>
      <c r="AS2068" s="78">
        <f t="shared" si="36"/>
        <v>0</v>
      </c>
    </row>
    <row r="2069" spans="39:45">
      <c r="AM2069" s="55">
        <v>2019</v>
      </c>
      <c r="AN2069" s="55" t="s">
        <v>185</v>
      </c>
      <c r="AO2069" s="55">
        <v>28</v>
      </c>
      <c r="AP2069" s="55">
        <v>3</v>
      </c>
      <c r="AQ2069" s="55">
        <v>0</v>
      </c>
      <c r="AR2069" s="55">
        <v>28500</v>
      </c>
      <c r="AS2069" s="78">
        <f t="shared" si="36"/>
        <v>0</v>
      </c>
    </row>
    <row r="2070" spans="39:45">
      <c r="AM2070" s="54">
        <v>2019</v>
      </c>
      <c r="AN2070" s="54" t="s">
        <v>185</v>
      </c>
      <c r="AO2070" s="54">
        <v>28</v>
      </c>
      <c r="AP2070" s="54">
        <v>4</v>
      </c>
      <c r="AQ2070" s="54">
        <v>0</v>
      </c>
      <c r="AR2070" s="55">
        <v>28500</v>
      </c>
      <c r="AS2070" s="78">
        <f t="shared" si="36"/>
        <v>0</v>
      </c>
    </row>
    <row r="2071" spans="39:45">
      <c r="AM2071" s="55">
        <v>2019</v>
      </c>
      <c r="AN2071" s="55" t="s">
        <v>185</v>
      </c>
      <c r="AO2071" s="55">
        <v>28</v>
      </c>
      <c r="AP2071" s="55">
        <v>5</v>
      </c>
      <c r="AQ2071" s="55">
        <v>0</v>
      </c>
      <c r="AR2071" s="55">
        <v>28500</v>
      </c>
      <c r="AS2071" s="78">
        <f t="shared" si="36"/>
        <v>0</v>
      </c>
    </row>
    <row r="2072" spans="39:45">
      <c r="AM2072" s="54">
        <v>2019</v>
      </c>
      <c r="AN2072" s="54" t="s">
        <v>185</v>
      </c>
      <c r="AO2072" s="54">
        <v>28</v>
      </c>
      <c r="AP2072" s="54">
        <v>6</v>
      </c>
      <c r="AQ2072" s="54">
        <v>0</v>
      </c>
      <c r="AR2072" s="55">
        <v>28500</v>
      </c>
      <c r="AS2072" s="78">
        <f t="shared" si="36"/>
        <v>0</v>
      </c>
    </row>
    <row r="2073" spans="39:45">
      <c r="AM2073" s="55">
        <v>2019</v>
      </c>
      <c r="AN2073" s="55" t="s">
        <v>185</v>
      </c>
      <c r="AO2073" s="55">
        <v>28</v>
      </c>
      <c r="AP2073" s="55">
        <v>7</v>
      </c>
      <c r="AQ2073" s="55">
        <v>2958</v>
      </c>
      <c r="AR2073" s="55">
        <v>28500</v>
      </c>
      <c r="AS2073" s="78">
        <f t="shared" si="36"/>
        <v>0.10378947368421053</v>
      </c>
    </row>
    <row r="2074" spans="39:45">
      <c r="AM2074" s="54">
        <v>2019</v>
      </c>
      <c r="AN2074" s="54" t="s">
        <v>185</v>
      </c>
      <c r="AO2074" s="54">
        <v>28</v>
      </c>
      <c r="AP2074" s="54">
        <v>8</v>
      </c>
      <c r="AQ2074" s="54">
        <v>5638</v>
      </c>
      <c r="AR2074" s="55">
        <v>28500</v>
      </c>
      <c r="AS2074" s="78">
        <f t="shared" si="36"/>
        <v>0.19782456140350876</v>
      </c>
    </row>
    <row r="2075" spans="39:45">
      <c r="AM2075" s="55">
        <v>2019</v>
      </c>
      <c r="AN2075" s="55" t="s">
        <v>185</v>
      </c>
      <c r="AO2075" s="55">
        <v>28</v>
      </c>
      <c r="AP2075" s="55">
        <v>9</v>
      </c>
      <c r="AQ2075" s="55">
        <v>6296</v>
      </c>
      <c r="AR2075" s="55">
        <v>28500</v>
      </c>
      <c r="AS2075" s="78">
        <f t="shared" si="36"/>
        <v>0.22091228070175439</v>
      </c>
    </row>
    <row r="2076" spans="39:45">
      <c r="AM2076" s="54">
        <v>2019</v>
      </c>
      <c r="AN2076" s="54" t="s">
        <v>185</v>
      </c>
      <c r="AO2076" s="54">
        <v>28</v>
      </c>
      <c r="AP2076" s="54">
        <v>10</v>
      </c>
      <c r="AQ2076" s="54">
        <v>11066</v>
      </c>
      <c r="AR2076" s="55">
        <v>28500</v>
      </c>
      <c r="AS2076" s="78">
        <f t="shared" si="36"/>
        <v>0.38828070175438595</v>
      </c>
    </row>
    <row r="2077" spans="39:45">
      <c r="AM2077" s="55">
        <v>2019</v>
      </c>
      <c r="AN2077" s="55" t="s">
        <v>185</v>
      </c>
      <c r="AO2077" s="55">
        <v>28</v>
      </c>
      <c r="AP2077" s="55">
        <v>11</v>
      </c>
      <c r="AQ2077" s="55">
        <v>24297</v>
      </c>
      <c r="AR2077" s="55">
        <v>28500</v>
      </c>
      <c r="AS2077" s="78">
        <f t="shared" si="36"/>
        <v>0.85252631578947369</v>
      </c>
    </row>
    <row r="2078" spans="39:45">
      <c r="AM2078" s="54">
        <v>2019</v>
      </c>
      <c r="AN2078" s="54" t="s">
        <v>185</v>
      </c>
      <c r="AO2078" s="54">
        <v>28</v>
      </c>
      <c r="AP2078" s="54">
        <v>12</v>
      </c>
      <c r="AQ2078" s="54">
        <v>21698</v>
      </c>
      <c r="AR2078" s="55">
        <v>28500</v>
      </c>
      <c r="AS2078" s="78">
        <f t="shared" si="36"/>
        <v>0.76133333333333331</v>
      </c>
    </row>
    <row r="2079" spans="39:45">
      <c r="AM2079" s="55">
        <v>2019</v>
      </c>
      <c r="AN2079" s="55" t="s">
        <v>185</v>
      </c>
      <c r="AO2079" s="55">
        <v>28</v>
      </c>
      <c r="AP2079" s="55">
        <v>13</v>
      </c>
      <c r="AQ2079" s="55">
        <v>25292</v>
      </c>
      <c r="AR2079" s="55">
        <v>28500</v>
      </c>
      <c r="AS2079" s="78">
        <f t="shared" si="36"/>
        <v>0.88743859649122803</v>
      </c>
    </row>
    <row r="2080" spans="39:45">
      <c r="AM2080" s="54">
        <v>2019</v>
      </c>
      <c r="AN2080" s="54" t="s">
        <v>185</v>
      </c>
      <c r="AO2080" s="54">
        <v>28</v>
      </c>
      <c r="AP2080" s="54">
        <v>14</v>
      </c>
      <c r="AQ2080" s="54">
        <v>30162</v>
      </c>
      <c r="AR2080" s="55">
        <v>28500</v>
      </c>
      <c r="AS2080" s="78">
        <f t="shared" si="36"/>
        <v>1.0583157894736843</v>
      </c>
    </row>
    <row r="2081" spans="39:45">
      <c r="AM2081" s="55">
        <v>2019</v>
      </c>
      <c r="AN2081" s="55" t="s">
        <v>185</v>
      </c>
      <c r="AO2081" s="55">
        <v>28</v>
      </c>
      <c r="AP2081" s="55">
        <v>15</v>
      </c>
      <c r="AQ2081" s="55">
        <v>26021</v>
      </c>
      <c r="AR2081" s="55">
        <v>28500</v>
      </c>
      <c r="AS2081" s="78">
        <f t="shared" si="36"/>
        <v>0.91301754385964917</v>
      </c>
    </row>
    <row r="2082" spans="39:45">
      <c r="AM2082" s="54">
        <v>2019</v>
      </c>
      <c r="AN2082" s="54" t="s">
        <v>185</v>
      </c>
      <c r="AO2082" s="54">
        <v>28</v>
      </c>
      <c r="AP2082" s="54">
        <v>16</v>
      </c>
      <c r="AQ2082" s="54">
        <v>17131</v>
      </c>
      <c r="AR2082" s="55">
        <v>28500</v>
      </c>
      <c r="AS2082" s="78">
        <f t="shared" si="36"/>
        <v>0.60108771929824556</v>
      </c>
    </row>
    <row r="2083" spans="39:45">
      <c r="AM2083" s="55">
        <v>2019</v>
      </c>
      <c r="AN2083" s="55" t="s">
        <v>185</v>
      </c>
      <c r="AO2083" s="55">
        <v>28</v>
      </c>
      <c r="AP2083" s="55">
        <v>17</v>
      </c>
      <c r="AQ2083" s="55">
        <v>5820</v>
      </c>
      <c r="AR2083" s="55">
        <v>28500</v>
      </c>
      <c r="AS2083" s="78">
        <f t="shared" si="36"/>
        <v>0.20421052631578948</v>
      </c>
    </row>
    <row r="2084" spans="39:45">
      <c r="AM2084" s="54">
        <v>2019</v>
      </c>
      <c r="AN2084" s="54" t="s">
        <v>185</v>
      </c>
      <c r="AO2084" s="54">
        <v>28</v>
      </c>
      <c r="AP2084" s="54">
        <v>18</v>
      </c>
      <c r="AQ2084" s="54">
        <v>0</v>
      </c>
      <c r="AR2084" s="55">
        <v>28500</v>
      </c>
      <c r="AS2084" s="78">
        <f t="shared" si="36"/>
        <v>0</v>
      </c>
    </row>
    <row r="2085" spans="39:45">
      <c r="AM2085" s="55">
        <v>2019</v>
      </c>
      <c r="AN2085" s="55" t="s">
        <v>185</v>
      </c>
      <c r="AO2085" s="55">
        <v>28</v>
      </c>
      <c r="AP2085" s="55">
        <v>19</v>
      </c>
      <c r="AQ2085" s="55">
        <v>0</v>
      </c>
      <c r="AR2085" s="55">
        <v>28500</v>
      </c>
      <c r="AS2085" s="78">
        <f t="shared" si="36"/>
        <v>0</v>
      </c>
    </row>
    <row r="2086" spans="39:45">
      <c r="AM2086" s="54">
        <v>2019</v>
      </c>
      <c r="AN2086" s="54" t="s">
        <v>185</v>
      </c>
      <c r="AO2086" s="54">
        <v>28</v>
      </c>
      <c r="AP2086" s="54">
        <v>20</v>
      </c>
      <c r="AQ2086" s="54">
        <v>0</v>
      </c>
      <c r="AR2086" s="55">
        <v>28500</v>
      </c>
      <c r="AS2086" s="78">
        <f t="shared" si="36"/>
        <v>0</v>
      </c>
    </row>
    <row r="2087" spans="39:45">
      <c r="AM2087" s="55">
        <v>2019</v>
      </c>
      <c r="AN2087" s="55" t="s">
        <v>185</v>
      </c>
      <c r="AO2087" s="55">
        <v>28</v>
      </c>
      <c r="AP2087" s="55">
        <v>21</v>
      </c>
      <c r="AQ2087" s="55">
        <v>0</v>
      </c>
      <c r="AR2087" s="55">
        <v>28500</v>
      </c>
      <c r="AS2087" s="78">
        <f t="shared" si="36"/>
        <v>0</v>
      </c>
    </row>
    <row r="2088" spans="39:45">
      <c r="AM2088" s="54">
        <v>2019</v>
      </c>
      <c r="AN2088" s="54" t="s">
        <v>185</v>
      </c>
      <c r="AO2088" s="54">
        <v>28</v>
      </c>
      <c r="AP2088" s="54">
        <v>22</v>
      </c>
      <c r="AQ2088" s="54">
        <v>0</v>
      </c>
      <c r="AR2088" s="55">
        <v>28500</v>
      </c>
      <c r="AS2088" s="78">
        <f t="shared" si="36"/>
        <v>0</v>
      </c>
    </row>
    <row r="2089" spans="39:45">
      <c r="AM2089" s="55">
        <v>2019</v>
      </c>
      <c r="AN2089" s="55" t="s">
        <v>185</v>
      </c>
      <c r="AO2089" s="55">
        <v>28</v>
      </c>
      <c r="AP2089" s="55">
        <v>23</v>
      </c>
      <c r="AQ2089" s="55">
        <v>0</v>
      </c>
      <c r="AR2089" s="55">
        <v>28500</v>
      </c>
      <c r="AS2089" s="78">
        <f t="shared" si="36"/>
        <v>0</v>
      </c>
    </row>
    <row r="2090" spans="39:45">
      <c r="AM2090" s="54">
        <v>2019</v>
      </c>
      <c r="AN2090" s="54" t="s">
        <v>185</v>
      </c>
      <c r="AO2090" s="54">
        <v>29</v>
      </c>
      <c r="AP2090" s="54">
        <v>24</v>
      </c>
      <c r="AQ2090" s="54">
        <v>0</v>
      </c>
      <c r="AR2090" s="55">
        <v>28500</v>
      </c>
      <c r="AS2090" s="78">
        <f t="shared" si="36"/>
        <v>0</v>
      </c>
    </row>
    <row r="2091" spans="39:45">
      <c r="AM2091" s="55">
        <v>2019</v>
      </c>
      <c r="AN2091" s="55" t="s">
        <v>185</v>
      </c>
      <c r="AO2091" s="55">
        <v>29</v>
      </c>
      <c r="AP2091" s="55">
        <v>1</v>
      </c>
      <c r="AQ2091" s="55">
        <v>0</v>
      </c>
      <c r="AR2091" s="55">
        <v>28500</v>
      </c>
      <c r="AS2091" s="78">
        <f t="shared" si="36"/>
        <v>0</v>
      </c>
    </row>
    <row r="2092" spans="39:45">
      <c r="AM2092" s="54">
        <v>2019</v>
      </c>
      <c r="AN2092" s="54" t="s">
        <v>185</v>
      </c>
      <c r="AO2092" s="54">
        <v>29</v>
      </c>
      <c r="AP2092" s="54">
        <v>2</v>
      </c>
      <c r="AQ2092" s="54">
        <v>0</v>
      </c>
      <c r="AR2092" s="55">
        <v>28500</v>
      </c>
      <c r="AS2092" s="78">
        <f t="shared" si="36"/>
        <v>0</v>
      </c>
    </row>
    <row r="2093" spans="39:45">
      <c r="AM2093" s="55">
        <v>2019</v>
      </c>
      <c r="AN2093" s="55" t="s">
        <v>185</v>
      </c>
      <c r="AO2093" s="55">
        <v>29</v>
      </c>
      <c r="AP2093" s="55">
        <v>3</v>
      </c>
      <c r="AQ2093" s="55">
        <v>0</v>
      </c>
      <c r="AR2093" s="55">
        <v>28500</v>
      </c>
      <c r="AS2093" s="78">
        <f t="shared" si="36"/>
        <v>0</v>
      </c>
    </row>
    <row r="2094" spans="39:45">
      <c r="AM2094" s="54">
        <v>2019</v>
      </c>
      <c r="AN2094" s="54" t="s">
        <v>185</v>
      </c>
      <c r="AO2094" s="54">
        <v>29</v>
      </c>
      <c r="AP2094" s="54">
        <v>4</v>
      </c>
      <c r="AQ2094" s="54">
        <v>0</v>
      </c>
      <c r="AR2094" s="55">
        <v>28500</v>
      </c>
      <c r="AS2094" s="78">
        <f t="shared" si="36"/>
        <v>0</v>
      </c>
    </row>
    <row r="2095" spans="39:45">
      <c r="AM2095" s="55">
        <v>2019</v>
      </c>
      <c r="AN2095" s="55" t="s">
        <v>185</v>
      </c>
      <c r="AO2095" s="55">
        <v>29</v>
      </c>
      <c r="AP2095" s="55">
        <v>5</v>
      </c>
      <c r="AQ2095" s="55">
        <v>0</v>
      </c>
      <c r="AR2095" s="55">
        <v>28500</v>
      </c>
      <c r="AS2095" s="78">
        <f t="shared" si="36"/>
        <v>0</v>
      </c>
    </row>
    <row r="2096" spans="39:45">
      <c r="AM2096" s="54">
        <v>2019</v>
      </c>
      <c r="AN2096" s="54" t="s">
        <v>185</v>
      </c>
      <c r="AO2096" s="54">
        <v>29</v>
      </c>
      <c r="AP2096" s="54">
        <v>6</v>
      </c>
      <c r="AQ2096" s="54">
        <v>203.5</v>
      </c>
      <c r="AR2096" s="55">
        <v>28500</v>
      </c>
      <c r="AS2096" s="78">
        <f t="shared" si="36"/>
        <v>7.1403508771929825E-3</v>
      </c>
    </row>
    <row r="2097" spans="39:45">
      <c r="AM2097" s="55">
        <v>2019</v>
      </c>
      <c r="AN2097" s="55" t="s">
        <v>185</v>
      </c>
      <c r="AO2097" s="55">
        <v>29</v>
      </c>
      <c r="AP2097" s="55">
        <v>7</v>
      </c>
      <c r="AQ2097" s="55">
        <v>8284</v>
      </c>
      <c r="AR2097" s="55">
        <v>28500</v>
      </c>
      <c r="AS2097" s="78">
        <f t="shared" si="36"/>
        <v>0.29066666666666668</v>
      </c>
    </row>
    <row r="2098" spans="39:45">
      <c r="AM2098" s="54">
        <v>2019</v>
      </c>
      <c r="AN2098" s="54" t="s">
        <v>185</v>
      </c>
      <c r="AO2098" s="54">
        <v>29</v>
      </c>
      <c r="AP2098" s="54">
        <v>8</v>
      </c>
      <c r="AQ2098" s="54">
        <v>19594.5</v>
      </c>
      <c r="AR2098" s="55">
        <v>28500</v>
      </c>
      <c r="AS2098" s="78">
        <f t="shared" si="36"/>
        <v>0.68752631578947365</v>
      </c>
    </row>
    <row r="2099" spans="39:45">
      <c r="AM2099" s="55">
        <v>2019</v>
      </c>
      <c r="AN2099" s="55" t="s">
        <v>185</v>
      </c>
      <c r="AO2099" s="55">
        <v>29</v>
      </c>
      <c r="AP2099" s="55">
        <v>9</v>
      </c>
      <c r="AQ2099" s="55">
        <v>29087.5</v>
      </c>
      <c r="AR2099" s="55">
        <v>28500</v>
      </c>
      <c r="AS2099" s="78">
        <f t="shared" si="36"/>
        <v>1.0206140350877193</v>
      </c>
    </row>
    <row r="2100" spans="39:45">
      <c r="AM2100" s="54">
        <v>2019</v>
      </c>
      <c r="AN2100" s="54" t="s">
        <v>185</v>
      </c>
      <c r="AO2100" s="54">
        <v>29</v>
      </c>
      <c r="AP2100" s="54">
        <v>10</v>
      </c>
      <c r="AQ2100" s="54">
        <v>36257</v>
      </c>
      <c r="AR2100" s="55">
        <v>28500</v>
      </c>
      <c r="AS2100" s="78">
        <f t="shared" si="36"/>
        <v>1.2721754385964912</v>
      </c>
    </row>
    <row r="2101" spans="39:45">
      <c r="AM2101" s="55">
        <v>2019</v>
      </c>
      <c r="AN2101" s="55" t="s">
        <v>185</v>
      </c>
      <c r="AO2101" s="55">
        <v>29</v>
      </c>
      <c r="AP2101" s="55">
        <v>11</v>
      </c>
      <c r="AQ2101" s="55">
        <v>39239</v>
      </c>
      <c r="AR2101" s="55">
        <v>28500</v>
      </c>
      <c r="AS2101" s="78">
        <f t="shared" si="36"/>
        <v>1.3768070175438596</v>
      </c>
    </row>
    <row r="2102" spans="39:45">
      <c r="AM2102" s="54">
        <v>2019</v>
      </c>
      <c r="AN2102" s="54" t="s">
        <v>185</v>
      </c>
      <c r="AO2102" s="54">
        <v>29</v>
      </c>
      <c r="AP2102" s="54">
        <v>12</v>
      </c>
      <c r="AQ2102" s="54">
        <v>41504.5</v>
      </c>
      <c r="AR2102" s="55">
        <v>28500</v>
      </c>
      <c r="AS2102" s="78">
        <f t="shared" si="36"/>
        <v>1.456298245614035</v>
      </c>
    </row>
    <row r="2103" spans="39:45">
      <c r="AM2103" s="55">
        <v>2019</v>
      </c>
      <c r="AN2103" s="55" t="s">
        <v>185</v>
      </c>
      <c r="AO2103" s="55">
        <v>29</v>
      </c>
      <c r="AP2103" s="55">
        <v>13</v>
      </c>
      <c r="AQ2103" s="55">
        <v>40252</v>
      </c>
      <c r="AR2103" s="55">
        <v>28500</v>
      </c>
      <c r="AS2103" s="78">
        <f t="shared" si="36"/>
        <v>1.4123508771929825</v>
      </c>
    </row>
    <row r="2104" spans="39:45">
      <c r="AM2104" s="54">
        <v>2019</v>
      </c>
      <c r="AN2104" s="54" t="s">
        <v>185</v>
      </c>
      <c r="AO2104" s="54">
        <v>29</v>
      </c>
      <c r="AP2104" s="54">
        <v>14</v>
      </c>
      <c r="AQ2104" s="54">
        <v>35399.5</v>
      </c>
      <c r="AR2104" s="55">
        <v>28500</v>
      </c>
      <c r="AS2104" s="78">
        <f t="shared" si="36"/>
        <v>1.2420877192982456</v>
      </c>
    </row>
    <row r="2105" spans="39:45">
      <c r="AM2105" s="55">
        <v>2019</v>
      </c>
      <c r="AN2105" s="55" t="s">
        <v>185</v>
      </c>
      <c r="AO2105" s="55">
        <v>29</v>
      </c>
      <c r="AP2105" s="55">
        <v>15</v>
      </c>
      <c r="AQ2105" s="55">
        <v>27294</v>
      </c>
      <c r="AR2105" s="55">
        <v>28500</v>
      </c>
      <c r="AS2105" s="78">
        <f t="shared" si="36"/>
        <v>0.9576842105263158</v>
      </c>
    </row>
    <row r="2106" spans="39:45">
      <c r="AM2106" s="54">
        <v>2019</v>
      </c>
      <c r="AN2106" s="54" t="s">
        <v>185</v>
      </c>
      <c r="AO2106" s="54">
        <v>29</v>
      </c>
      <c r="AP2106" s="54">
        <v>16</v>
      </c>
      <c r="AQ2106" s="54">
        <v>16396</v>
      </c>
      <c r="AR2106" s="55">
        <v>28500</v>
      </c>
      <c r="AS2106" s="78">
        <f t="shared" si="36"/>
        <v>0.57529824561403509</v>
      </c>
    </row>
    <row r="2107" spans="39:45">
      <c r="AM2107" s="55">
        <v>2019</v>
      </c>
      <c r="AN2107" s="55" t="s">
        <v>185</v>
      </c>
      <c r="AO2107" s="55">
        <v>29</v>
      </c>
      <c r="AP2107" s="55">
        <v>17</v>
      </c>
      <c r="AQ2107" s="55">
        <v>5739</v>
      </c>
      <c r="AR2107" s="55">
        <v>28500</v>
      </c>
      <c r="AS2107" s="78">
        <f t="shared" si="36"/>
        <v>0.20136842105263159</v>
      </c>
    </row>
    <row r="2108" spans="39:45">
      <c r="AM2108" s="54">
        <v>2019</v>
      </c>
      <c r="AN2108" s="54" t="s">
        <v>185</v>
      </c>
      <c r="AO2108" s="54">
        <v>29</v>
      </c>
      <c r="AP2108" s="54">
        <v>18</v>
      </c>
      <c r="AQ2108" s="54">
        <v>0</v>
      </c>
      <c r="AR2108" s="55">
        <v>28500</v>
      </c>
      <c r="AS2108" s="78">
        <f t="shared" si="36"/>
        <v>0</v>
      </c>
    </row>
    <row r="2109" spans="39:45">
      <c r="AM2109" s="55">
        <v>2019</v>
      </c>
      <c r="AN2109" s="55" t="s">
        <v>185</v>
      </c>
      <c r="AO2109" s="55">
        <v>29</v>
      </c>
      <c r="AP2109" s="55">
        <v>19</v>
      </c>
      <c r="AQ2109" s="55">
        <v>0</v>
      </c>
      <c r="AR2109" s="55">
        <v>28500</v>
      </c>
      <c r="AS2109" s="78">
        <f t="shared" si="36"/>
        <v>0</v>
      </c>
    </row>
    <row r="2110" spans="39:45">
      <c r="AM2110" s="54">
        <v>2019</v>
      </c>
      <c r="AN2110" s="54" t="s">
        <v>185</v>
      </c>
      <c r="AO2110" s="54">
        <v>29</v>
      </c>
      <c r="AP2110" s="54">
        <v>20</v>
      </c>
      <c r="AQ2110" s="54">
        <v>0</v>
      </c>
      <c r="AR2110" s="55">
        <v>28500</v>
      </c>
      <c r="AS2110" s="78">
        <f t="shared" si="36"/>
        <v>0</v>
      </c>
    </row>
    <row r="2111" spans="39:45">
      <c r="AM2111" s="55">
        <v>2019</v>
      </c>
      <c r="AN2111" s="55" t="s">
        <v>185</v>
      </c>
      <c r="AO2111" s="55">
        <v>29</v>
      </c>
      <c r="AP2111" s="55">
        <v>21</v>
      </c>
      <c r="AQ2111" s="55">
        <v>0</v>
      </c>
      <c r="AR2111" s="55">
        <v>28500</v>
      </c>
      <c r="AS2111" s="78">
        <f t="shared" si="36"/>
        <v>0</v>
      </c>
    </row>
    <row r="2112" spans="39:45">
      <c r="AM2112" s="54">
        <v>2019</v>
      </c>
      <c r="AN2112" s="54" t="s">
        <v>185</v>
      </c>
      <c r="AO2112" s="54">
        <v>29</v>
      </c>
      <c r="AP2112" s="54">
        <v>22</v>
      </c>
      <c r="AQ2112" s="54">
        <v>0</v>
      </c>
      <c r="AR2112" s="55">
        <v>28500</v>
      </c>
      <c r="AS2112" s="78">
        <f t="shared" si="36"/>
        <v>0</v>
      </c>
    </row>
    <row r="2113" spans="39:45">
      <c r="AM2113" s="55">
        <v>2019</v>
      </c>
      <c r="AN2113" s="55" t="s">
        <v>185</v>
      </c>
      <c r="AO2113" s="55">
        <v>29</v>
      </c>
      <c r="AP2113" s="55">
        <v>23</v>
      </c>
      <c r="AQ2113" s="55">
        <v>0</v>
      </c>
      <c r="AR2113" s="55">
        <v>28500</v>
      </c>
      <c r="AS2113" s="78">
        <f t="shared" si="36"/>
        <v>0</v>
      </c>
    </row>
    <row r="2114" spans="39:45">
      <c r="AM2114" s="54">
        <v>2019</v>
      </c>
      <c r="AN2114" s="54" t="s">
        <v>185</v>
      </c>
      <c r="AO2114" s="54">
        <v>30</v>
      </c>
      <c r="AP2114" s="54">
        <v>24</v>
      </c>
      <c r="AQ2114" s="54">
        <v>0</v>
      </c>
      <c r="AR2114" s="55">
        <v>28500</v>
      </c>
      <c r="AS2114" s="78">
        <f t="shared" ref="AS2114:AS2177" si="37">AQ2114/AR2114</f>
        <v>0</v>
      </c>
    </row>
    <row r="2115" spans="39:45">
      <c r="AM2115" s="55">
        <v>2019</v>
      </c>
      <c r="AN2115" s="55" t="s">
        <v>185</v>
      </c>
      <c r="AO2115" s="55">
        <v>30</v>
      </c>
      <c r="AP2115" s="55">
        <v>1</v>
      </c>
      <c r="AQ2115" s="55">
        <v>0</v>
      </c>
      <c r="AR2115" s="55">
        <v>28500</v>
      </c>
      <c r="AS2115" s="78">
        <f t="shared" si="37"/>
        <v>0</v>
      </c>
    </row>
    <row r="2116" spans="39:45">
      <c r="AM2116" s="54">
        <v>2019</v>
      </c>
      <c r="AN2116" s="54" t="s">
        <v>185</v>
      </c>
      <c r="AO2116" s="54">
        <v>30</v>
      </c>
      <c r="AP2116" s="54">
        <v>2</v>
      </c>
      <c r="AQ2116" s="54">
        <v>0</v>
      </c>
      <c r="AR2116" s="55">
        <v>28500</v>
      </c>
      <c r="AS2116" s="78">
        <f t="shared" si="37"/>
        <v>0</v>
      </c>
    </row>
    <row r="2117" spans="39:45">
      <c r="AM2117" s="55">
        <v>2019</v>
      </c>
      <c r="AN2117" s="55" t="s">
        <v>185</v>
      </c>
      <c r="AO2117" s="55">
        <v>30</v>
      </c>
      <c r="AP2117" s="55">
        <v>3</v>
      </c>
      <c r="AQ2117" s="55">
        <v>0</v>
      </c>
      <c r="AR2117" s="55">
        <v>28500</v>
      </c>
      <c r="AS2117" s="78">
        <f t="shared" si="37"/>
        <v>0</v>
      </c>
    </row>
    <row r="2118" spans="39:45">
      <c r="AM2118" s="54">
        <v>2019</v>
      </c>
      <c r="AN2118" s="54" t="s">
        <v>185</v>
      </c>
      <c r="AO2118" s="54">
        <v>30</v>
      </c>
      <c r="AP2118" s="54">
        <v>4</v>
      </c>
      <c r="AQ2118" s="54">
        <v>0</v>
      </c>
      <c r="AR2118" s="55">
        <v>28500</v>
      </c>
      <c r="AS2118" s="78">
        <f t="shared" si="37"/>
        <v>0</v>
      </c>
    </row>
    <row r="2119" spans="39:45">
      <c r="AM2119" s="55">
        <v>2019</v>
      </c>
      <c r="AN2119" s="55" t="s">
        <v>185</v>
      </c>
      <c r="AO2119" s="55">
        <v>30</v>
      </c>
      <c r="AP2119" s="55">
        <v>5</v>
      </c>
      <c r="AQ2119" s="55">
        <v>0</v>
      </c>
      <c r="AR2119" s="55">
        <v>28500</v>
      </c>
      <c r="AS2119" s="78">
        <f t="shared" si="37"/>
        <v>0</v>
      </c>
    </row>
    <row r="2120" spans="39:45">
      <c r="AM2120" s="54">
        <v>2019</v>
      </c>
      <c r="AN2120" s="54" t="s">
        <v>185</v>
      </c>
      <c r="AO2120" s="54">
        <v>30</v>
      </c>
      <c r="AP2120" s="54">
        <v>6</v>
      </c>
      <c r="AQ2120" s="54">
        <v>122.5</v>
      </c>
      <c r="AR2120" s="55">
        <v>28500</v>
      </c>
      <c r="AS2120" s="78">
        <f t="shared" si="37"/>
        <v>4.2982456140350876E-3</v>
      </c>
    </row>
    <row r="2121" spans="39:45">
      <c r="AM2121" s="55">
        <v>2019</v>
      </c>
      <c r="AN2121" s="55" t="s">
        <v>185</v>
      </c>
      <c r="AO2121" s="55">
        <v>30</v>
      </c>
      <c r="AP2121" s="55">
        <v>7</v>
      </c>
      <c r="AQ2121" s="55">
        <v>8002</v>
      </c>
      <c r="AR2121" s="55">
        <v>28500</v>
      </c>
      <c r="AS2121" s="78">
        <f t="shared" si="37"/>
        <v>0.28077192982456139</v>
      </c>
    </row>
    <row r="2122" spans="39:45">
      <c r="AM2122" s="54">
        <v>2019</v>
      </c>
      <c r="AN2122" s="54" t="s">
        <v>185</v>
      </c>
      <c r="AO2122" s="54">
        <v>30</v>
      </c>
      <c r="AP2122" s="54">
        <v>8</v>
      </c>
      <c r="AQ2122" s="54">
        <v>18703</v>
      </c>
      <c r="AR2122" s="55">
        <v>28500</v>
      </c>
      <c r="AS2122" s="78">
        <f t="shared" si="37"/>
        <v>0.65624561403508774</v>
      </c>
    </row>
    <row r="2123" spans="39:45">
      <c r="AM2123" s="55">
        <v>2019</v>
      </c>
      <c r="AN2123" s="55" t="s">
        <v>185</v>
      </c>
      <c r="AO2123" s="55">
        <v>30</v>
      </c>
      <c r="AP2123" s="55">
        <v>9</v>
      </c>
      <c r="AQ2123" s="55">
        <v>27969</v>
      </c>
      <c r="AR2123" s="55">
        <v>28500</v>
      </c>
      <c r="AS2123" s="78">
        <f t="shared" si="37"/>
        <v>0.98136842105263156</v>
      </c>
    </row>
    <row r="2124" spans="39:45">
      <c r="AM2124" s="54">
        <v>2019</v>
      </c>
      <c r="AN2124" s="54" t="s">
        <v>185</v>
      </c>
      <c r="AO2124" s="54">
        <v>30</v>
      </c>
      <c r="AP2124" s="54">
        <v>10</v>
      </c>
      <c r="AQ2124" s="54">
        <v>34872.5</v>
      </c>
      <c r="AR2124" s="55">
        <v>28500</v>
      </c>
      <c r="AS2124" s="78">
        <f t="shared" si="37"/>
        <v>1.2235964912280701</v>
      </c>
    </row>
    <row r="2125" spans="39:45">
      <c r="AM2125" s="55">
        <v>2019</v>
      </c>
      <c r="AN2125" s="55" t="s">
        <v>185</v>
      </c>
      <c r="AO2125" s="55">
        <v>30</v>
      </c>
      <c r="AP2125" s="55">
        <v>11</v>
      </c>
      <c r="AQ2125" s="55">
        <v>18254.5</v>
      </c>
      <c r="AR2125" s="55">
        <v>28500</v>
      </c>
      <c r="AS2125" s="78">
        <f t="shared" si="37"/>
        <v>0.64050877192982458</v>
      </c>
    </row>
    <row r="2126" spans="39:45">
      <c r="AM2126" s="54">
        <v>2019</v>
      </c>
      <c r="AN2126" s="54" t="s">
        <v>185</v>
      </c>
      <c r="AO2126" s="54">
        <v>30</v>
      </c>
      <c r="AP2126" s="54">
        <v>12</v>
      </c>
      <c r="AQ2126" s="54">
        <v>17455</v>
      </c>
      <c r="AR2126" s="55">
        <v>28500</v>
      </c>
      <c r="AS2126" s="78">
        <f t="shared" si="37"/>
        <v>0.61245614035087714</v>
      </c>
    </row>
    <row r="2127" spans="39:45">
      <c r="AM2127" s="55">
        <v>2019</v>
      </c>
      <c r="AN2127" s="55" t="s">
        <v>185</v>
      </c>
      <c r="AO2127" s="55">
        <v>30</v>
      </c>
      <c r="AP2127" s="55">
        <v>13</v>
      </c>
      <c r="AQ2127" s="55">
        <v>12303</v>
      </c>
      <c r="AR2127" s="55">
        <v>28500</v>
      </c>
      <c r="AS2127" s="78">
        <f t="shared" si="37"/>
        <v>0.43168421052631578</v>
      </c>
    </row>
    <row r="2128" spans="39:45">
      <c r="AM2128" s="54">
        <v>2019</v>
      </c>
      <c r="AN2128" s="54" t="s">
        <v>185</v>
      </c>
      <c r="AO2128" s="54">
        <v>30</v>
      </c>
      <c r="AP2128" s="54">
        <v>14</v>
      </c>
      <c r="AQ2128" s="54">
        <v>6368.5</v>
      </c>
      <c r="AR2128" s="55">
        <v>28500</v>
      </c>
      <c r="AS2128" s="78">
        <f t="shared" si="37"/>
        <v>0.22345614035087719</v>
      </c>
    </row>
    <row r="2129" spans="39:45">
      <c r="AM2129" s="55">
        <v>2019</v>
      </c>
      <c r="AN2129" s="55" t="s">
        <v>185</v>
      </c>
      <c r="AO2129" s="55">
        <v>30</v>
      </c>
      <c r="AP2129" s="55">
        <v>15</v>
      </c>
      <c r="AQ2129" s="55">
        <v>13958.5</v>
      </c>
      <c r="AR2129" s="55">
        <v>28500</v>
      </c>
      <c r="AS2129" s="78">
        <f t="shared" si="37"/>
        <v>0.48977192982456141</v>
      </c>
    </row>
    <row r="2130" spans="39:45">
      <c r="AM2130" s="54">
        <v>2019</v>
      </c>
      <c r="AN2130" s="54" t="s">
        <v>185</v>
      </c>
      <c r="AO2130" s="54">
        <v>30</v>
      </c>
      <c r="AP2130" s="54">
        <v>16</v>
      </c>
      <c r="AQ2130" s="54">
        <v>9946.5</v>
      </c>
      <c r="AR2130" s="55">
        <v>28500</v>
      </c>
      <c r="AS2130" s="78">
        <f t="shared" si="37"/>
        <v>0.34899999999999998</v>
      </c>
    </row>
    <row r="2131" spans="39:45">
      <c r="AM2131" s="55">
        <v>2019</v>
      </c>
      <c r="AN2131" s="55" t="s">
        <v>185</v>
      </c>
      <c r="AO2131" s="55">
        <v>30</v>
      </c>
      <c r="AP2131" s="55">
        <v>17</v>
      </c>
      <c r="AQ2131" s="55">
        <v>5310</v>
      </c>
      <c r="AR2131" s="55">
        <v>28500</v>
      </c>
      <c r="AS2131" s="78">
        <f t="shared" si="37"/>
        <v>0.18631578947368421</v>
      </c>
    </row>
    <row r="2132" spans="39:45">
      <c r="AM2132" s="54">
        <v>2019</v>
      </c>
      <c r="AN2132" s="54" t="s">
        <v>185</v>
      </c>
      <c r="AO2132" s="54">
        <v>30</v>
      </c>
      <c r="AP2132" s="54">
        <v>18</v>
      </c>
      <c r="AQ2132" s="54">
        <v>0</v>
      </c>
      <c r="AR2132" s="55">
        <v>28500</v>
      </c>
      <c r="AS2132" s="78">
        <f t="shared" si="37"/>
        <v>0</v>
      </c>
    </row>
    <row r="2133" spans="39:45">
      <c r="AM2133" s="55">
        <v>2019</v>
      </c>
      <c r="AN2133" s="55" t="s">
        <v>185</v>
      </c>
      <c r="AO2133" s="55">
        <v>30</v>
      </c>
      <c r="AP2133" s="55">
        <v>19</v>
      </c>
      <c r="AQ2133" s="55">
        <v>0</v>
      </c>
      <c r="AR2133" s="55">
        <v>28500</v>
      </c>
      <c r="AS2133" s="78">
        <f t="shared" si="37"/>
        <v>0</v>
      </c>
    </row>
    <row r="2134" spans="39:45">
      <c r="AM2134" s="54">
        <v>2019</v>
      </c>
      <c r="AN2134" s="54" t="s">
        <v>185</v>
      </c>
      <c r="AO2134" s="54">
        <v>30</v>
      </c>
      <c r="AP2134" s="54">
        <v>20</v>
      </c>
      <c r="AQ2134" s="54">
        <v>0</v>
      </c>
      <c r="AR2134" s="55">
        <v>28500</v>
      </c>
      <c r="AS2134" s="78">
        <f t="shared" si="37"/>
        <v>0</v>
      </c>
    </row>
    <row r="2135" spans="39:45">
      <c r="AM2135" s="55">
        <v>2019</v>
      </c>
      <c r="AN2135" s="55" t="s">
        <v>185</v>
      </c>
      <c r="AO2135" s="55">
        <v>30</v>
      </c>
      <c r="AP2135" s="55">
        <v>21</v>
      </c>
      <c r="AQ2135" s="55">
        <v>0</v>
      </c>
      <c r="AR2135" s="55">
        <v>28500</v>
      </c>
      <c r="AS2135" s="78">
        <f t="shared" si="37"/>
        <v>0</v>
      </c>
    </row>
    <row r="2136" spans="39:45">
      <c r="AM2136" s="54">
        <v>2019</v>
      </c>
      <c r="AN2136" s="54" t="s">
        <v>185</v>
      </c>
      <c r="AO2136" s="54">
        <v>30</v>
      </c>
      <c r="AP2136" s="54">
        <v>22</v>
      </c>
      <c r="AQ2136" s="54">
        <v>0</v>
      </c>
      <c r="AR2136" s="55">
        <v>28500</v>
      </c>
      <c r="AS2136" s="78">
        <f t="shared" si="37"/>
        <v>0</v>
      </c>
    </row>
    <row r="2137" spans="39:45">
      <c r="AM2137" s="55">
        <v>2019</v>
      </c>
      <c r="AN2137" s="55" t="s">
        <v>185</v>
      </c>
      <c r="AO2137" s="55">
        <v>30</v>
      </c>
      <c r="AP2137" s="55">
        <v>23</v>
      </c>
      <c r="AQ2137" s="55">
        <v>0</v>
      </c>
      <c r="AR2137" s="55">
        <v>28500</v>
      </c>
      <c r="AS2137" s="78">
        <f t="shared" si="37"/>
        <v>0</v>
      </c>
    </row>
    <row r="2138" spans="39:45">
      <c r="AM2138" s="54">
        <v>2019</v>
      </c>
      <c r="AN2138" s="54" t="s">
        <v>185</v>
      </c>
      <c r="AO2138" s="54">
        <v>31</v>
      </c>
      <c r="AP2138" s="54">
        <v>24</v>
      </c>
      <c r="AQ2138" s="54">
        <v>0</v>
      </c>
      <c r="AR2138" s="55">
        <v>28500</v>
      </c>
      <c r="AS2138" s="78">
        <f t="shared" si="37"/>
        <v>0</v>
      </c>
    </row>
    <row r="2139" spans="39:45">
      <c r="AM2139" s="55">
        <v>2019</v>
      </c>
      <c r="AN2139" s="55" t="s">
        <v>185</v>
      </c>
      <c r="AO2139" s="55">
        <v>31</v>
      </c>
      <c r="AP2139" s="55">
        <v>1</v>
      </c>
      <c r="AQ2139" s="55">
        <v>0</v>
      </c>
      <c r="AR2139" s="55">
        <v>28500</v>
      </c>
      <c r="AS2139" s="78">
        <f t="shared" si="37"/>
        <v>0</v>
      </c>
    </row>
    <row r="2140" spans="39:45">
      <c r="AM2140" s="54">
        <v>2019</v>
      </c>
      <c r="AN2140" s="54" t="s">
        <v>185</v>
      </c>
      <c r="AO2140" s="54">
        <v>31</v>
      </c>
      <c r="AP2140" s="54">
        <v>2</v>
      </c>
      <c r="AQ2140" s="54">
        <v>0</v>
      </c>
      <c r="AR2140" s="55">
        <v>28500</v>
      </c>
      <c r="AS2140" s="78">
        <f t="shared" si="37"/>
        <v>0</v>
      </c>
    </row>
    <row r="2141" spans="39:45">
      <c r="AM2141" s="55">
        <v>2019</v>
      </c>
      <c r="AN2141" s="55" t="s">
        <v>185</v>
      </c>
      <c r="AO2141" s="55">
        <v>31</v>
      </c>
      <c r="AP2141" s="55">
        <v>3</v>
      </c>
      <c r="AQ2141" s="55">
        <v>0</v>
      </c>
      <c r="AR2141" s="55">
        <v>28500</v>
      </c>
      <c r="AS2141" s="78">
        <f t="shared" si="37"/>
        <v>0</v>
      </c>
    </row>
    <row r="2142" spans="39:45">
      <c r="AM2142" s="54">
        <v>2019</v>
      </c>
      <c r="AN2142" s="54" t="s">
        <v>185</v>
      </c>
      <c r="AO2142" s="54">
        <v>31</v>
      </c>
      <c r="AP2142" s="54">
        <v>4</v>
      </c>
      <c r="AQ2142" s="54">
        <v>0</v>
      </c>
      <c r="AR2142" s="55">
        <v>28500</v>
      </c>
      <c r="AS2142" s="78">
        <f t="shared" si="37"/>
        <v>0</v>
      </c>
    </row>
    <row r="2143" spans="39:45">
      <c r="AM2143" s="55">
        <v>2019</v>
      </c>
      <c r="AN2143" s="55" t="s">
        <v>185</v>
      </c>
      <c r="AO2143" s="55">
        <v>31</v>
      </c>
      <c r="AP2143" s="55">
        <v>5</v>
      </c>
      <c r="AQ2143" s="55">
        <v>0</v>
      </c>
      <c r="AR2143" s="55">
        <v>28500</v>
      </c>
      <c r="AS2143" s="78">
        <f t="shared" si="37"/>
        <v>0</v>
      </c>
    </row>
    <row r="2144" spans="39:45">
      <c r="AM2144" s="54">
        <v>2019</v>
      </c>
      <c r="AN2144" s="54" t="s">
        <v>185</v>
      </c>
      <c r="AO2144" s="54">
        <v>31</v>
      </c>
      <c r="AP2144" s="54">
        <v>6</v>
      </c>
      <c r="AQ2144" s="54">
        <v>0</v>
      </c>
      <c r="AR2144" s="55">
        <v>28500</v>
      </c>
      <c r="AS2144" s="78">
        <f t="shared" si="37"/>
        <v>0</v>
      </c>
    </row>
    <row r="2145" spans="39:45">
      <c r="AM2145" s="55">
        <v>2019</v>
      </c>
      <c r="AN2145" s="55" t="s">
        <v>185</v>
      </c>
      <c r="AO2145" s="55">
        <v>31</v>
      </c>
      <c r="AP2145" s="55">
        <v>7</v>
      </c>
      <c r="AQ2145" s="55">
        <v>1979</v>
      </c>
      <c r="AR2145" s="55">
        <v>28500</v>
      </c>
      <c r="AS2145" s="78">
        <f t="shared" si="37"/>
        <v>6.9438596491228063E-2</v>
      </c>
    </row>
    <row r="2146" spans="39:45">
      <c r="AM2146" s="54">
        <v>2019</v>
      </c>
      <c r="AN2146" s="54" t="s">
        <v>185</v>
      </c>
      <c r="AO2146" s="54">
        <v>31</v>
      </c>
      <c r="AP2146" s="54">
        <v>8</v>
      </c>
      <c r="AQ2146" s="54">
        <v>1845.5</v>
      </c>
      <c r="AR2146" s="55">
        <v>28500</v>
      </c>
      <c r="AS2146" s="78">
        <f t="shared" si="37"/>
        <v>6.4754385964912287E-2</v>
      </c>
    </row>
    <row r="2147" spans="39:45">
      <c r="AM2147" s="55">
        <v>2019</v>
      </c>
      <c r="AN2147" s="55" t="s">
        <v>185</v>
      </c>
      <c r="AO2147" s="55">
        <v>31</v>
      </c>
      <c r="AP2147" s="55">
        <v>9</v>
      </c>
      <c r="AQ2147" s="55">
        <v>2942.5</v>
      </c>
      <c r="AR2147" s="55">
        <v>28500</v>
      </c>
      <c r="AS2147" s="78">
        <f t="shared" si="37"/>
        <v>0.10324561403508772</v>
      </c>
    </row>
    <row r="2148" spans="39:45">
      <c r="AM2148" s="54">
        <v>2019</v>
      </c>
      <c r="AN2148" s="54" t="s">
        <v>185</v>
      </c>
      <c r="AO2148" s="54">
        <v>31</v>
      </c>
      <c r="AP2148" s="54">
        <v>10</v>
      </c>
      <c r="AQ2148" s="54">
        <v>3716</v>
      </c>
      <c r="AR2148" s="55">
        <v>28500</v>
      </c>
      <c r="AS2148" s="78">
        <f t="shared" si="37"/>
        <v>0.13038596491228069</v>
      </c>
    </row>
    <row r="2149" spans="39:45">
      <c r="AM2149" s="55">
        <v>2019</v>
      </c>
      <c r="AN2149" s="55" t="s">
        <v>185</v>
      </c>
      <c r="AO2149" s="55">
        <v>31</v>
      </c>
      <c r="AP2149" s="55">
        <v>11</v>
      </c>
      <c r="AQ2149" s="55">
        <v>6414</v>
      </c>
      <c r="AR2149" s="55">
        <v>28500</v>
      </c>
      <c r="AS2149" s="78">
        <f t="shared" si="37"/>
        <v>0.22505263157894737</v>
      </c>
    </row>
    <row r="2150" spans="39:45">
      <c r="AM2150" s="54">
        <v>2019</v>
      </c>
      <c r="AN2150" s="54" t="s">
        <v>185</v>
      </c>
      <c r="AO2150" s="54">
        <v>31</v>
      </c>
      <c r="AP2150" s="54">
        <v>12</v>
      </c>
      <c r="AQ2150" s="54">
        <v>12421.5</v>
      </c>
      <c r="AR2150" s="55">
        <v>28500</v>
      </c>
      <c r="AS2150" s="78">
        <f t="shared" si="37"/>
        <v>0.43584210526315792</v>
      </c>
    </row>
    <row r="2151" spans="39:45">
      <c r="AM2151" s="55">
        <v>2019</v>
      </c>
      <c r="AN2151" s="55" t="s">
        <v>185</v>
      </c>
      <c r="AO2151" s="55">
        <v>31</v>
      </c>
      <c r="AP2151" s="55">
        <v>13</v>
      </c>
      <c r="AQ2151" s="55">
        <v>17547.5</v>
      </c>
      <c r="AR2151" s="55">
        <v>28500</v>
      </c>
      <c r="AS2151" s="78">
        <f t="shared" si="37"/>
        <v>0.61570175438596486</v>
      </c>
    </row>
    <row r="2152" spans="39:45">
      <c r="AM2152" s="54">
        <v>2019</v>
      </c>
      <c r="AN2152" s="54" t="s">
        <v>185</v>
      </c>
      <c r="AO2152" s="54">
        <v>31</v>
      </c>
      <c r="AP2152" s="54">
        <v>14</v>
      </c>
      <c r="AQ2152" s="54">
        <v>28249</v>
      </c>
      <c r="AR2152" s="55">
        <v>28500</v>
      </c>
      <c r="AS2152" s="78">
        <f t="shared" si="37"/>
        <v>0.9911929824561404</v>
      </c>
    </row>
    <row r="2153" spans="39:45">
      <c r="AM2153" s="55">
        <v>2019</v>
      </c>
      <c r="AN2153" s="55" t="s">
        <v>185</v>
      </c>
      <c r="AO2153" s="55">
        <v>31</v>
      </c>
      <c r="AP2153" s="55">
        <v>15</v>
      </c>
      <c r="AQ2153" s="55">
        <v>25964.5</v>
      </c>
      <c r="AR2153" s="55">
        <v>28500</v>
      </c>
      <c r="AS2153" s="78">
        <f t="shared" si="37"/>
        <v>0.9110350877192982</v>
      </c>
    </row>
    <row r="2154" spans="39:45">
      <c r="AM2154" s="54">
        <v>2019</v>
      </c>
      <c r="AN2154" s="54" t="s">
        <v>185</v>
      </c>
      <c r="AO2154" s="54">
        <v>31</v>
      </c>
      <c r="AP2154" s="54">
        <v>16</v>
      </c>
      <c r="AQ2154" s="54">
        <v>16640.5</v>
      </c>
      <c r="AR2154" s="55">
        <v>28500</v>
      </c>
      <c r="AS2154" s="78">
        <f t="shared" si="37"/>
        <v>0.58387719298245611</v>
      </c>
    </row>
    <row r="2155" spans="39:45">
      <c r="AM2155" s="55">
        <v>2019</v>
      </c>
      <c r="AN2155" s="55" t="s">
        <v>185</v>
      </c>
      <c r="AO2155" s="55">
        <v>31</v>
      </c>
      <c r="AP2155" s="55">
        <v>17</v>
      </c>
      <c r="AQ2155" s="55">
        <v>5944</v>
      </c>
      <c r="AR2155" s="55">
        <v>28500</v>
      </c>
      <c r="AS2155" s="78">
        <f t="shared" si="37"/>
        <v>0.20856140350877192</v>
      </c>
    </row>
    <row r="2156" spans="39:45">
      <c r="AM2156" s="54">
        <v>2019</v>
      </c>
      <c r="AN2156" s="54" t="s">
        <v>185</v>
      </c>
      <c r="AO2156" s="54">
        <v>31</v>
      </c>
      <c r="AP2156" s="54">
        <v>18</v>
      </c>
      <c r="AQ2156" s="54">
        <v>0</v>
      </c>
      <c r="AR2156" s="55">
        <v>28500</v>
      </c>
      <c r="AS2156" s="78">
        <f t="shared" si="37"/>
        <v>0</v>
      </c>
    </row>
    <row r="2157" spans="39:45">
      <c r="AM2157" s="55">
        <v>2019</v>
      </c>
      <c r="AN2157" s="55" t="s">
        <v>185</v>
      </c>
      <c r="AO2157" s="55">
        <v>31</v>
      </c>
      <c r="AP2157" s="55">
        <v>19</v>
      </c>
      <c r="AQ2157" s="55">
        <v>0</v>
      </c>
      <c r="AR2157" s="55">
        <v>28500</v>
      </c>
      <c r="AS2157" s="78">
        <f t="shared" si="37"/>
        <v>0</v>
      </c>
    </row>
    <row r="2158" spans="39:45">
      <c r="AM2158" s="54">
        <v>2019</v>
      </c>
      <c r="AN2158" s="54" t="s">
        <v>185</v>
      </c>
      <c r="AO2158" s="54">
        <v>31</v>
      </c>
      <c r="AP2158" s="54">
        <v>20</v>
      </c>
      <c r="AQ2158" s="54">
        <v>0</v>
      </c>
      <c r="AR2158" s="55">
        <v>28500</v>
      </c>
      <c r="AS2158" s="78">
        <f t="shared" si="37"/>
        <v>0</v>
      </c>
    </row>
    <row r="2159" spans="39:45">
      <c r="AM2159" s="55">
        <v>2019</v>
      </c>
      <c r="AN2159" s="55" t="s">
        <v>185</v>
      </c>
      <c r="AO2159" s="55">
        <v>31</v>
      </c>
      <c r="AP2159" s="55">
        <v>21</v>
      </c>
      <c r="AQ2159" s="55">
        <v>0</v>
      </c>
      <c r="AR2159" s="55">
        <v>28500</v>
      </c>
      <c r="AS2159" s="78">
        <f t="shared" si="37"/>
        <v>0</v>
      </c>
    </row>
    <row r="2160" spans="39:45">
      <c r="AM2160" s="54">
        <v>2019</v>
      </c>
      <c r="AN2160" s="54" t="s">
        <v>185</v>
      </c>
      <c r="AO2160" s="54">
        <v>31</v>
      </c>
      <c r="AP2160" s="54">
        <v>22</v>
      </c>
      <c r="AQ2160" s="54">
        <v>0</v>
      </c>
      <c r="AR2160" s="55">
        <v>28500</v>
      </c>
      <c r="AS2160" s="78">
        <f t="shared" si="37"/>
        <v>0</v>
      </c>
    </row>
    <row r="2161" spans="39:45">
      <c r="AM2161" s="55">
        <v>2019</v>
      </c>
      <c r="AN2161" s="55" t="s">
        <v>185</v>
      </c>
      <c r="AO2161" s="55">
        <v>31</v>
      </c>
      <c r="AP2161" s="55">
        <v>23</v>
      </c>
      <c r="AQ2161" s="55">
        <v>0</v>
      </c>
      <c r="AR2161" s="55">
        <v>28500</v>
      </c>
      <c r="AS2161" s="78">
        <f t="shared" si="37"/>
        <v>0</v>
      </c>
    </row>
    <row r="2162" spans="39:45">
      <c r="AM2162" s="54">
        <v>2019</v>
      </c>
      <c r="AN2162" s="54" t="s">
        <v>186</v>
      </c>
      <c r="AO2162" s="54">
        <v>1</v>
      </c>
      <c r="AP2162" s="54">
        <v>24</v>
      </c>
      <c r="AQ2162" s="54">
        <v>0</v>
      </c>
      <c r="AR2162" s="55">
        <v>28500</v>
      </c>
      <c r="AS2162" s="78">
        <f t="shared" si="37"/>
        <v>0</v>
      </c>
    </row>
    <row r="2163" spans="39:45">
      <c r="AM2163" s="55">
        <v>2019</v>
      </c>
      <c r="AN2163" s="55" t="s">
        <v>186</v>
      </c>
      <c r="AO2163" s="55">
        <v>1</v>
      </c>
      <c r="AP2163" s="55">
        <v>1</v>
      </c>
      <c r="AQ2163" s="55">
        <v>0</v>
      </c>
      <c r="AR2163" s="55">
        <v>28500</v>
      </c>
      <c r="AS2163" s="78">
        <f t="shared" si="37"/>
        <v>0</v>
      </c>
    </row>
    <row r="2164" spans="39:45">
      <c r="AM2164" s="54">
        <v>2019</v>
      </c>
      <c r="AN2164" s="54" t="s">
        <v>186</v>
      </c>
      <c r="AO2164" s="54">
        <v>1</v>
      </c>
      <c r="AP2164" s="54">
        <v>2</v>
      </c>
      <c r="AQ2164" s="54">
        <v>0</v>
      </c>
      <c r="AR2164" s="55">
        <v>28500</v>
      </c>
      <c r="AS2164" s="78">
        <f t="shared" si="37"/>
        <v>0</v>
      </c>
    </row>
    <row r="2165" spans="39:45">
      <c r="AM2165" s="55">
        <v>2019</v>
      </c>
      <c r="AN2165" s="55" t="s">
        <v>186</v>
      </c>
      <c r="AO2165" s="55">
        <v>1</v>
      </c>
      <c r="AP2165" s="55">
        <v>3</v>
      </c>
      <c r="AQ2165" s="55">
        <v>0</v>
      </c>
      <c r="AR2165" s="55">
        <v>28500</v>
      </c>
      <c r="AS2165" s="78">
        <f t="shared" si="37"/>
        <v>0</v>
      </c>
    </row>
    <row r="2166" spans="39:45">
      <c r="AM2166" s="54">
        <v>2019</v>
      </c>
      <c r="AN2166" s="54" t="s">
        <v>186</v>
      </c>
      <c r="AO2166" s="54">
        <v>1</v>
      </c>
      <c r="AP2166" s="54">
        <v>4</v>
      </c>
      <c r="AQ2166" s="54">
        <v>0</v>
      </c>
      <c r="AR2166" s="55">
        <v>28500</v>
      </c>
      <c r="AS2166" s="78">
        <f t="shared" si="37"/>
        <v>0</v>
      </c>
    </row>
    <row r="2167" spans="39:45">
      <c r="AM2167" s="55">
        <v>2019</v>
      </c>
      <c r="AN2167" s="55" t="s">
        <v>186</v>
      </c>
      <c r="AO2167" s="55">
        <v>1</v>
      </c>
      <c r="AP2167" s="55">
        <v>5</v>
      </c>
      <c r="AQ2167" s="55">
        <v>0</v>
      </c>
      <c r="AR2167" s="55">
        <v>28500</v>
      </c>
      <c r="AS2167" s="78">
        <f t="shared" si="37"/>
        <v>0</v>
      </c>
    </row>
    <row r="2168" spans="39:45">
      <c r="AM2168" s="54">
        <v>2019</v>
      </c>
      <c r="AN2168" s="54" t="s">
        <v>186</v>
      </c>
      <c r="AO2168" s="54">
        <v>1</v>
      </c>
      <c r="AP2168" s="54">
        <v>6</v>
      </c>
      <c r="AQ2168" s="54">
        <v>312.5</v>
      </c>
      <c r="AR2168" s="55">
        <v>28500</v>
      </c>
      <c r="AS2168" s="78">
        <f t="shared" si="37"/>
        <v>1.0964912280701754E-2</v>
      </c>
    </row>
    <row r="2169" spans="39:45">
      <c r="AM2169" s="55">
        <v>2019</v>
      </c>
      <c r="AN2169" s="55" t="s">
        <v>186</v>
      </c>
      <c r="AO2169" s="55">
        <v>1</v>
      </c>
      <c r="AP2169" s="55">
        <v>7</v>
      </c>
      <c r="AQ2169" s="55">
        <v>8047</v>
      </c>
      <c r="AR2169" s="55">
        <v>28500</v>
      </c>
      <c r="AS2169" s="78">
        <f t="shared" si="37"/>
        <v>0.28235087719298246</v>
      </c>
    </row>
    <row r="2170" spans="39:45">
      <c r="AM2170" s="54">
        <v>2019</v>
      </c>
      <c r="AN2170" s="54" t="s">
        <v>186</v>
      </c>
      <c r="AO2170" s="54">
        <v>1</v>
      </c>
      <c r="AP2170" s="54">
        <v>8</v>
      </c>
      <c r="AQ2170" s="54">
        <v>18576.5</v>
      </c>
      <c r="AR2170" s="55">
        <v>28500</v>
      </c>
      <c r="AS2170" s="78">
        <f t="shared" si="37"/>
        <v>0.65180701754385961</v>
      </c>
    </row>
    <row r="2171" spans="39:45">
      <c r="AM2171" s="55">
        <v>2019</v>
      </c>
      <c r="AN2171" s="55" t="s">
        <v>186</v>
      </c>
      <c r="AO2171" s="55">
        <v>1</v>
      </c>
      <c r="AP2171" s="55">
        <v>9</v>
      </c>
      <c r="AQ2171" s="55">
        <v>29966</v>
      </c>
      <c r="AR2171" s="55">
        <v>28500</v>
      </c>
      <c r="AS2171" s="78">
        <f t="shared" si="37"/>
        <v>1.0514385964912281</v>
      </c>
    </row>
    <row r="2172" spans="39:45">
      <c r="AM2172" s="54">
        <v>2019</v>
      </c>
      <c r="AN2172" s="54" t="s">
        <v>186</v>
      </c>
      <c r="AO2172" s="54">
        <v>1</v>
      </c>
      <c r="AP2172" s="54">
        <v>10</v>
      </c>
      <c r="AQ2172" s="54">
        <v>37115.5</v>
      </c>
      <c r="AR2172" s="55">
        <v>28500</v>
      </c>
      <c r="AS2172" s="78">
        <f t="shared" si="37"/>
        <v>1.3022982456140351</v>
      </c>
    </row>
    <row r="2173" spans="39:45">
      <c r="AM2173" s="55">
        <v>2019</v>
      </c>
      <c r="AN2173" s="55" t="s">
        <v>186</v>
      </c>
      <c r="AO2173" s="55">
        <v>1</v>
      </c>
      <c r="AP2173" s="55">
        <v>11</v>
      </c>
      <c r="AQ2173" s="55">
        <v>41110</v>
      </c>
      <c r="AR2173" s="55">
        <v>28500</v>
      </c>
      <c r="AS2173" s="78">
        <f t="shared" si="37"/>
        <v>1.4424561403508771</v>
      </c>
    </row>
    <row r="2174" spans="39:45">
      <c r="AM2174" s="54">
        <v>2019</v>
      </c>
      <c r="AN2174" s="54" t="s">
        <v>186</v>
      </c>
      <c r="AO2174" s="54">
        <v>1</v>
      </c>
      <c r="AP2174" s="54">
        <v>12</v>
      </c>
      <c r="AQ2174" s="54">
        <v>42336</v>
      </c>
      <c r="AR2174" s="55">
        <v>28500</v>
      </c>
      <c r="AS2174" s="78">
        <f t="shared" si="37"/>
        <v>1.4854736842105263</v>
      </c>
    </row>
    <row r="2175" spans="39:45">
      <c r="AM2175" s="55">
        <v>2019</v>
      </c>
      <c r="AN2175" s="55" t="s">
        <v>186</v>
      </c>
      <c r="AO2175" s="55">
        <v>1</v>
      </c>
      <c r="AP2175" s="55">
        <v>13</v>
      </c>
      <c r="AQ2175" s="55">
        <v>41324.5</v>
      </c>
      <c r="AR2175" s="55">
        <v>28500</v>
      </c>
      <c r="AS2175" s="78">
        <f t="shared" si="37"/>
        <v>1.4499824561403509</v>
      </c>
    </row>
    <row r="2176" spans="39:45">
      <c r="AM2176" s="54">
        <v>2019</v>
      </c>
      <c r="AN2176" s="54" t="s">
        <v>186</v>
      </c>
      <c r="AO2176" s="54">
        <v>1</v>
      </c>
      <c r="AP2176" s="54">
        <v>14</v>
      </c>
      <c r="AQ2176" s="54">
        <v>35370</v>
      </c>
      <c r="AR2176" s="55">
        <v>28500</v>
      </c>
      <c r="AS2176" s="78">
        <f t="shared" si="37"/>
        <v>1.2410526315789474</v>
      </c>
    </row>
    <row r="2177" spans="39:45">
      <c r="AM2177" s="55">
        <v>2019</v>
      </c>
      <c r="AN2177" s="55" t="s">
        <v>186</v>
      </c>
      <c r="AO2177" s="55">
        <v>1</v>
      </c>
      <c r="AP2177" s="55">
        <v>15</v>
      </c>
      <c r="AQ2177" s="55">
        <v>26722.5</v>
      </c>
      <c r="AR2177" s="55">
        <v>28500</v>
      </c>
      <c r="AS2177" s="78">
        <f t="shared" si="37"/>
        <v>0.93763157894736837</v>
      </c>
    </row>
    <row r="2178" spans="39:45">
      <c r="AM2178" s="54">
        <v>2019</v>
      </c>
      <c r="AN2178" s="54" t="s">
        <v>186</v>
      </c>
      <c r="AO2178" s="54">
        <v>1</v>
      </c>
      <c r="AP2178" s="54">
        <v>16</v>
      </c>
      <c r="AQ2178" s="54">
        <v>15210</v>
      </c>
      <c r="AR2178" s="55">
        <v>28500</v>
      </c>
      <c r="AS2178" s="78">
        <f t="shared" ref="AS2178:AS2241" si="38">AQ2178/AR2178</f>
        <v>0.53368421052631576</v>
      </c>
    </row>
    <row r="2179" spans="39:45">
      <c r="AM2179" s="55">
        <v>2019</v>
      </c>
      <c r="AN2179" s="55" t="s">
        <v>186</v>
      </c>
      <c r="AO2179" s="55">
        <v>1</v>
      </c>
      <c r="AP2179" s="55">
        <v>17</v>
      </c>
      <c r="AQ2179" s="55">
        <v>4903.5</v>
      </c>
      <c r="AR2179" s="55">
        <v>28500</v>
      </c>
      <c r="AS2179" s="78">
        <f t="shared" si="38"/>
        <v>0.17205263157894737</v>
      </c>
    </row>
    <row r="2180" spans="39:45">
      <c r="AM2180" s="54">
        <v>2019</v>
      </c>
      <c r="AN2180" s="54" t="s">
        <v>186</v>
      </c>
      <c r="AO2180" s="54">
        <v>1</v>
      </c>
      <c r="AP2180" s="54">
        <v>18</v>
      </c>
      <c r="AQ2180" s="54">
        <v>0</v>
      </c>
      <c r="AR2180" s="55">
        <v>28500</v>
      </c>
      <c r="AS2180" s="78">
        <f t="shared" si="38"/>
        <v>0</v>
      </c>
    </row>
    <row r="2181" spans="39:45">
      <c r="AM2181" s="55">
        <v>2019</v>
      </c>
      <c r="AN2181" s="55" t="s">
        <v>186</v>
      </c>
      <c r="AO2181" s="55">
        <v>1</v>
      </c>
      <c r="AP2181" s="55">
        <v>19</v>
      </c>
      <c r="AQ2181" s="55">
        <v>0</v>
      </c>
      <c r="AR2181" s="55">
        <v>28500</v>
      </c>
      <c r="AS2181" s="78">
        <f t="shared" si="38"/>
        <v>0</v>
      </c>
    </row>
    <row r="2182" spans="39:45">
      <c r="AM2182" s="54">
        <v>2019</v>
      </c>
      <c r="AN2182" s="54" t="s">
        <v>186</v>
      </c>
      <c r="AO2182" s="54">
        <v>1</v>
      </c>
      <c r="AP2182" s="54">
        <v>20</v>
      </c>
      <c r="AQ2182" s="54">
        <v>0</v>
      </c>
      <c r="AR2182" s="55">
        <v>28500</v>
      </c>
      <c r="AS2182" s="78">
        <f t="shared" si="38"/>
        <v>0</v>
      </c>
    </row>
    <row r="2183" spans="39:45">
      <c r="AM2183" s="55">
        <v>2019</v>
      </c>
      <c r="AN2183" s="55" t="s">
        <v>186</v>
      </c>
      <c r="AO2183" s="55">
        <v>1</v>
      </c>
      <c r="AP2183" s="55">
        <v>21</v>
      </c>
      <c r="AQ2183" s="55">
        <v>0</v>
      </c>
      <c r="AR2183" s="55">
        <v>28500</v>
      </c>
      <c r="AS2183" s="78">
        <f t="shared" si="38"/>
        <v>0</v>
      </c>
    </row>
    <row r="2184" spans="39:45">
      <c r="AM2184" s="54">
        <v>2019</v>
      </c>
      <c r="AN2184" s="54" t="s">
        <v>186</v>
      </c>
      <c r="AO2184" s="54">
        <v>1</v>
      </c>
      <c r="AP2184" s="54">
        <v>22</v>
      </c>
      <c r="AQ2184" s="54">
        <v>0</v>
      </c>
      <c r="AR2184" s="55">
        <v>28500</v>
      </c>
      <c r="AS2184" s="78">
        <f t="shared" si="38"/>
        <v>0</v>
      </c>
    </row>
    <row r="2185" spans="39:45">
      <c r="AM2185" s="55">
        <v>2019</v>
      </c>
      <c r="AN2185" s="55" t="s">
        <v>186</v>
      </c>
      <c r="AO2185" s="55">
        <v>1</v>
      </c>
      <c r="AP2185" s="55">
        <v>23</v>
      </c>
      <c r="AQ2185" s="55">
        <v>0</v>
      </c>
      <c r="AR2185" s="55">
        <v>28500</v>
      </c>
      <c r="AS2185" s="78">
        <f t="shared" si="38"/>
        <v>0</v>
      </c>
    </row>
    <row r="2186" spans="39:45">
      <c r="AM2186" s="54">
        <v>2019</v>
      </c>
      <c r="AN2186" s="54" t="s">
        <v>186</v>
      </c>
      <c r="AO2186" s="54">
        <v>2</v>
      </c>
      <c r="AP2186" s="54">
        <v>24</v>
      </c>
      <c r="AQ2186" s="54">
        <v>0</v>
      </c>
      <c r="AR2186" s="55">
        <v>28500</v>
      </c>
      <c r="AS2186" s="78">
        <f t="shared" si="38"/>
        <v>0</v>
      </c>
    </row>
    <row r="2187" spans="39:45">
      <c r="AM2187" s="55">
        <v>2019</v>
      </c>
      <c r="AN2187" s="55" t="s">
        <v>186</v>
      </c>
      <c r="AO2187" s="55">
        <v>2</v>
      </c>
      <c r="AP2187" s="55">
        <v>1</v>
      </c>
      <c r="AQ2187" s="55">
        <v>0</v>
      </c>
      <c r="AR2187" s="55">
        <v>28500</v>
      </c>
      <c r="AS2187" s="78">
        <f t="shared" si="38"/>
        <v>0</v>
      </c>
    </row>
    <row r="2188" spans="39:45">
      <c r="AM2188" s="54">
        <v>2019</v>
      </c>
      <c r="AN2188" s="54" t="s">
        <v>186</v>
      </c>
      <c r="AO2188" s="54">
        <v>2</v>
      </c>
      <c r="AP2188" s="54">
        <v>2</v>
      </c>
      <c r="AQ2188" s="54">
        <v>0</v>
      </c>
      <c r="AR2188" s="55">
        <v>28500</v>
      </c>
      <c r="AS2188" s="78">
        <f t="shared" si="38"/>
        <v>0</v>
      </c>
    </row>
    <row r="2189" spans="39:45">
      <c r="AM2189" s="55">
        <v>2019</v>
      </c>
      <c r="AN2189" s="55" t="s">
        <v>186</v>
      </c>
      <c r="AO2189" s="55">
        <v>2</v>
      </c>
      <c r="AP2189" s="55">
        <v>3</v>
      </c>
      <c r="AQ2189" s="55">
        <v>0</v>
      </c>
      <c r="AR2189" s="55">
        <v>28500</v>
      </c>
      <c r="AS2189" s="78">
        <f t="shared" si="38"/>
        <v>0</v>
      </c>
    </row>
    <row r="2190" spans="39:45">
      <c r="AM2190" s="54">
        <v>2019</v>
      </c>
      <c r="AN2190" s="54" t="s">
        <v>186</v>
      </c>
      <c r="AO2190" s="54">
        <v>2</v>
      </c>
      <c r="AP2190" s="54">
        <v>4</v>
      </c>
      <c r="AQ2190" s="54">
        <v>0</v>
      </c>
      <c r="AR2190" s="55">
        <v>28500</v>
      </c>
      <c r="AS2190" s="78">
        <f t="shared" si="38"/>
        <v>0</v>
      </c>
    </row>
    <row r="2191" spans="39:45">
      <c r="AM2191" s="55">
        <v>2019</v>
      </c>
      <c r="AN2191" s="55" t="s">
        <v>186</v>
      </c>
      <c r="AO2191" s="55">
        <v>2</v>
      </c>
      <c r="AP2191" s="55">
        <v>5</v>
      </c>
      <c r="AQ2191" s="55">
        <v>0</v>
      </c>
      <c r="AR2191" s="55">
        <v>28500</v>
      </c>
      <c r="AS2191" s="78">
        <f t="shared" si="38"/>
        <v>0</v>
      </c>
    </row>
    <row r="2192" spans="39:45">
      <c r="AM2192" s="54">
        <v>2019</v>
      </c>
      <c r="AN2192" s="54" t="s">
        <v>186</v>
      </c>
      <c r="AO2192" s="54">
        <v>2</v>
      </c>
      <c r="AP2192" s="54">
        <v>6</v>
      </c>
      <c r="AQ2192" s="54">
        <v>100.5</v>
      </c>
      <c r="AR2192" s="55">
        <v>28500</v>
      </c>
      <c r="AS2192" s="78">
        <f t="shared" si="38"/>
        <v>3.5263157894736843E-3</v>
      </c>
    </row>
    <row r="2193" spans="39:45">
      <c r="AM2193" s="55">
        <v>2019</v>
      </c>
      <c r="AN2193" s="55" t="s">
        <v>186</v>
      </c>
      <c r="AO2193" s="55">
        <v>2</v>
      </c>
      <c r="AP2193" s="55">
        <v>7</v>
      </c>
      <c r="AQ2193" s="55">
        <v>721.5</v>
      </c>
      <c r="AR2193" s="55">
        <v>28500</v>
      </c>
      <c r="AS2193" s="78">
        <f t="shared" si="38"/>
        <v>2.5315789473684212E-2</v>
      </c>
    </row>
    <row r="2194" spans="39:45">
      <c r="AM2194" s="54">
        <v>2019</v>
      </c>
      <c r="AN2194" s="54" t="s">
        <v>186</v>
      </c>
      <c r="AO2194" s="54">
        <v>2</v>
      </c>
      <c r="AP2194" s="54">
        <v>8</v>
      </c>
      <c r="AQ2194" s="54">
        <v>1519</v>
      </c>
      <c r="AR2194" s="55">
        <v>28500</v>
      </c>
      <c r="AS2194" s="78">
        <f t="shared" si="38"/>
        <v>5.3298245614035088E-2</v>
      </c>
    </row>
    <row r="2195" spans="39:45">
      <c r="AM2195" s="55">
        <v>2019</v>
      </c>
      <c r="AN2195" s="55" t="s">
        <v>186</v>
      </c>
      <c r="AO2195" s="55">
        <v>2</v>
      </c>
      <c r="AP2195" s="55">
        <v>9</v>
      </c>
      <c r="AQ2195" s="55">
        <v>6773</v>
      </c>
      <c r="AR2195" s="55">
        <v>28500</v>
      </c>
      <c r="AS2195" s="78">
        <f t="shared" si="38"/>
        <v>0.23764912280701755</v>
      </c>
    </row>
    <row r="2196" spans="39:45">
      <c r="AM2196" s="54">
        <v>2019</v>
      </c>
      <c r="AN2196" s="54" t="s">
        <v>186</v>
      </c>
      <c r="AO2196" s="54">
        <v>2</v>
      </c>
      <c r="AP2196" s="54">
        <v>10</v>
      </c>
      <c r="AQ2196" s="54">
        <v>6742</v>
      </c>
      <c r="AR2196" s="55">
        <v>28500</v>
      </c>
      <c r="AS2196" s="78">
        <f t="shared" si="38"/>
        <v>0.23656140350877192</v>
      </c>
    </row>
    <row r="2197" spans="39:45">
      <c r="AM2197" s="55">
        <v>2019</v>
      </c>
      <c r="AN2197" s="55" t="s">
        <v>186</v>
      </c>
      <c r="AO2197" s="55">
        <v>2</v>
      </c>
      <c r="AP2197" s="55">
        <v>11</v>
      </c>
      <c r="AQ2197" s="55">
        <v>2291</v>
      </c>
      <c r="AR2197" s="55">
        <v>28500</v>
      </c>
      <c r="AS2197" s="78">
        <f t="shared" si="38"/>
        <v>8.03859649122807E-2</v>
      </c>
    </row>
    <row r="2198" spans="39:45">
      <c r="AM2198" s="54">
        <v>2019</v>
      </c>
      <c r="AN2198" s="54" t="s">
        <v>186</v>
      </c>
      <c r="AO2198" s="54">
        <v>2</v>
      </c>
      <c r="AP2198" s="54">
        <v>12</v>
      </c>
      <c r="AQ2198" s="54">
        <v>4863.5</v>
      </c>
      <c r="AR2198" s="55">
        <v>28500</v>
      </c>
      <c r="AS2198" s="78">
        <f t="shared" si="38"/>
        <v>0.17064912280701755</v>
      </c>
    </row>
    <row r="2199" spans="39:45">
      <c r="AM2199" s="55">
        <v>2019</v>
      </c>
      <c r="AN2199" s="55" t="s">
        <v>186</v>
      </c>
      <c r="AO2199" s="55">
        <v>2</v>
      </c>
      <c r="AP2199" s="55">
        <v>13</v>
      </c>
      <c r="AQ2199" s="55">
        <v>10727.5</v>
      </c>
      <c r="AR2199" s="55">
        <v>28500</v>
      </c>
      <c r="AS2199" s="78">
        <f t="shared" si="38"/>
        <v>0.37640350877192985</v>
      </c>
    </row>
    <row r="2200" spans="39:45">
      <c r="AM2200" s="54">
        <v>2019</v>
      </c>
      <c r="AN2200" s="54" t="s">
        <v>186</v>
      </c>
      <c r="AO2200" s="54">
        <v>2</v>
      </c>
      <c r="AP2200" s="54">
        <v>14</v>
      </c>
      <c r="AQ2200" s="54">
        <v>12825</v>
      </c>
      <c r="AR2200" s="55">
        <v>28500</v>
      </c>
      <c r="AS2200" s="78">
        <f t="shared" si="38"/>
        <v>0.45</v>
      </c>
    </row>
    <row r="2201" spans="39:45">
      <c r="AM2201" s="55">
        <v>2019</v>
      </c>
      <c r="AN2201" s="55" t="s">
        <v>186</v>
      </c>
      <c r="AO2201" s="55">
        <v>2</v>
      </c>
      <c r="AP2201" s="55">
        <v>15</v>
      </c>
      <c r="AQ2201" s="55">
        <v>17018.5</v>
      </c>
      <c r="AR2201" s="55">
        <v>28500</v>
      </c>
      <c r="AS2201" s="78">
        <f t="shared" si="38"/>
        <v>0.59714035087719297</v>
      </c>
    </row>
    <row r="2202" spans="39:45">
      <c r="AM2202" s="54">
        <v>2019</v>
      </c>
      <c r="AN2202" s="54" t="s">
        <v>186</v>
      </c>
      <c r="AO2202" s="54">
        <v>2</v>
      </c>
      <c r="AP2202" s="54">
        <v>16</v>
      </c>
      <c r="AQ2202" s="54">
        <v>646</v>
      </c>
      <c r="AR2202" s="55">
        <v>28500</v>
      </c>
      <c r="AS2202" s="78">
        <f t="shared" si="38"/>
        <v>2.2666666666666668E-2</v>
      </c>
    </row>
    <row r="2203" spans="39:45">
      <c r="AM2203" s="55">
        <v>2019</v>
      </c>
      <c r="AN2203" s="55" t="s">
        <v>186</v>
      </c>
      <c r="AO2203" s="55">
        <v>2</v>
      </c>
      <c r="AP2203" s="55">
        <v>17</v>
      </c>
      <c r="AQ2203" s="55">
        <v>6198</v>
      </c>
      <c r="AR2203" s="55">
        <v>28500</v>
      </c>
      <c r="AS2203" s="78">
        <f t="shared" si="38"/>
        <v>0.21747368421052632</v>
      </c>
    </row>
    <row r="2204" spans="39:45">
      <c r="AM2204" s="54">
        <v>2019</v>
      </c>
      <c r="AN2204" s="54" t="s">
        <v>186</v>
      </c>
      <c r="AO2204" s="54">
        <v>2</v>
      </c>
      <c r="AP2204" s="54">
        <v>18</v>
      </c>
      <c r="AQ2204" s="54">
        <v>60</v>
      </c>
      <c r="AR2204" s="55">
        <v>28500</v>
      </c>
      <c r="AS2204" s="78">
        <f t="shared" si="38"/>
        <v>2.1052631578947368E-3</v>
      </c>
    </row>
    <row r="2205" spans="39:45">
      <c r="AM2205" s="55">
        <v>2019</v>
      </c>
      <c r="AN2205" s="55" t="s">
        <v>186</v>
      </c>
      <c r="AO2205" s="55">
        <v>2</v>
      </c>
      <c r="AP2205" s="55">
        <v>19</v>
      </c>
      <c r="AQ2205" s="55">
        <v>0</v>
      </c>
      <c r="AR2205" s="55">
        <v>28500</v>
      </c>
      <c r="AS2205" s="78">
        <f t="shared" si="38"/>
        <v>0</v>
      </c>
    </row>
    <row r="2206" spans="39:45">
      <c r="AM2206" s="54">
        <v>2019</v>
      </c>
      <c r="AN2206" s="54" t="s">
        <v>186</v>
      </c>
      <c r="AO2206" s="54">
        <v>2</v>
      </c>
      <c r="AP2206" s="54">
        <v>20</v>
      </c>
      <c r="AQ2206" s="54">
        <v>0</v>
      </c>
      <c r="AR2206" s="55">
        <v>28500</v>
      </c>
      <c r="AS2206" s="78">
        <f t="shared" si="38"/>
        <v>0</v>
      </c>
    </row>
    <row r="2207" spans="39:45">
      <c r="AM2207" s="55">
        <v>2019</v>
      </c>
      <c r="AN2207" s="55" t="s">
        <v>186</v>
      </c>
      <c r="AO2207" s="55">
        <v>2</v>
      </c>
      <c r="AP2207" s="55">
        <v>21</v>
      </c>
      <c r="AQ2207" s="55">
        <v>0</v>
      </c>
      <c r="AR2207" s="55">
        <v>28500</v>
      </c>
      <c r="AS2207" s="78">
        <f t="shared" si="38"/>
        <v>0</v>
      </c>
    </row>
    <row r="2208" spans="39:45">
      <c r="AM2208" s="54">
        <v>2019</v>
      </c>
      <c r="AN2208" s="54" t="s">
        <v>186</v>
      </c>
      <c r="AO2208" s="54">
        <v>2</v>
      </c>
      <c r="AP2208" s="54">
        <v>22</v>
      </c>
      <c r="AQ2208" s="54">
        <v>0</v>
      </c>
      <c r="AR2208" s="55">
        <v>28500</v>
      </c>
      <c r="AS2208" s="78">
        <f t="shared" si="38"/>
        <v>0</v>
      </c>
    </row>
    <row r="2209" spans="39:45">
      <c r="AM2209" s="55">
        <v>2019</v>
      </c>
      <c r="AN2209" s="55" t="s">
        <v>186</v>
      </c>
      <c r="AO2209" s="55">
        <v>2</v>
      </c>
      <c r="AP2209" s="55">
        <v>23</v>
      </c>
      <c r="AQ2209" s="55">
        <v>0</v>
      </c>
      <c r="AR2209" s="55">
        <v>28500</v>
      </c>
      <c r="AS2209" s="78">
        <f t="shared" si="38"/>
        <v>0</v>
      </c>
    </row>
    <row r="2210" spans="39:45">
      <c r="AM2210" s="54">
        <v>2019</v>
      </c>
      <c r="AN2210" s="54" t="s">
        <v>186</v>
      </c>
      <c r="AO2210" s="54">
        <v>3</v>
      </c>
      <c r="AP2210" s="54">
        <v>24</v>
      </c>
      <c r="AQ2210" s="54">
        <v>0</v>
      </c>
      <c r="AR2210" s="55">
        <v>28500</v>
      </c>
      <c r="AS2210" s="78">
        <f t="shared" si="38"/>
        <v>0</v>
      </c>
    </row>
    <row r="2211" spans="39:45">
      <c r="AM2211" s="55">
        <v>2019</v>
      </c>
      <c r="AN2211" s="55" t="s">
        <v>186</v>
      </c>
      <c r="AO2211" s="55">
        <v>3</v>
      </c>
      <c r="AP2211" s="55">
        <v>1</v>
      </c>
      <c r="AQ2211" s="55">
        <v>0</v>
      </c>
      <c r="AR2211" s="55">
        <v>28500</v>
      </c>
      <c r="AS2211" s="78">
        <f t="shared" si="38"/>
        <v>0</v>
      </c>
    </row>
    <row r="2212" spans="39:45">
      <c r="AM2212" s="54">
        <v>2019</v>
      </c>
      <c r="AN2212" s="54" t="s">
        <v>186</v>
      </c>
      <c r="AO2212" s="54">
        <v>3</v>
      </c>
      <c r="AP2212" s="54">
        <v>2</v>
      </c>
      <c r="AQ2212" s="54">
        <v>0</v>
      </c>
      <c r="AR2212" s="55">
        <v>28500</v>
      </c>
      <c r="AS2212" s="78">
        <f t="shared" si="38"/>
        <v>0</v>
      </c>
    </row>
    <row r="2213" spans="39:45">
      <c r="AM2213" s="55">
        <v>2019</v>
      </c>
      <c r="AN2213" s="55" t="s">
        <v>186</v>
      </c>
      <c r="AO2213" s="55">
        <v>3</v>
      </c>
      <c r="AP2213" s="55">
        <v>3</v>
      </c>
      <c r="AQ2213" s="55">
        <v>0</v>
      </c>
      <c r="AR2213" s="55">
        <v>28500</v>
      </c>
      <c r="AS2213" s="78">
        <f t="shared" si="38"/>
        <v>0</v>
      </c>
    </row>
    <row r="2214" spans="39:45">
      <c r="AM2214" s="54">
        <v>2019</v>
      </c>
      <c r="AN2214" s="54" t="s">
        <v>186</v>
      </c>
      <c r="AO2214" s="54">
        <v>3</v>
      </c>
      <c r="AP2214" s="54">
        <v>4</v>
      </c>
      <c r="AQ2214" s="54">
        <v>0</v>
      </c>
      <c r="AR2214" s="55">
        <v>28500</v>
      </c>
      <c r="AS2214" s="78">
        <f t="shared" si="38"/>
        <v>0</v>
      </c>
    </row>
    <row r="2215" spans="39:45">
      <c r="AM2215" s="55">
        <v>2019</v>
      </c>
      <c r="AN2215" s="55" t="s">
        <v>186</v>
      </c>
      <c r="AO2215" s="55">
        <v>3</v>
      </c>
      <c r="AP2215" s="55">
        <v>5</v>
      </c>
      <c r="AQ2215" s="55">
        <v>0</v>
      </c>
      <c r="AR2215" s="55">
        <v>28500</v>
      </c>
      <c r="AS2215" s="78">
        <f t="shared" si="38"/>
        <v>0</v>
      </c>
    </row>
    <row r="2216" spans="39:45">
      <c r="AM2216" s="54">
        <v>2019</v>
      </c>
      <c r="AN2216" s="54" t="s">
        <v>186</v>
      </c>
      <c r="AO2216" s="54">
        <v>3</v>
      </c>
      <c r="AP2216" s="54">
        <v>6</v>
      </c>
      <c r="AQ2216" s="54">
        <v>601</v>
      </c>
      <c r="AR2216" s="55">
        <v>28500</v>
      </c>
      <c r="AS2216" s="78">
        <f t="shared" si="38"/>
        <v>2.1087719298245614E-2</v>
      </c>
    </row>
    <row r="2217" spans="39:45">
      <c r="AM2217" s="55">
        <v>2019</v>
      </c>
      <c r="AN2217" s="55" t="s">
        <v>186</v>
      </c>
      <c r="AO2217" s="55">
        <v>3</v>
      </c>
      <c r="AP2217" s="55">
        <v>7</v>
      </c>
      <c r="AQ2217" s="55">
        <v>7664.5</v>
      </c>
      <c r="AR2217" s="55">
        <v>28500</v>
      </c>
      <c r="AS2217" s="78">
        <f t="shared" si="38"/>
        <v>0.26892982456140352</v>
      </c>
    </row>
    <row r="2218" spans="39:45">
      <c r="AM2218" s="54">
        <v>2019</v>
      </c>
      <c r="AN2218" s="54" t="s">
        <v>186</v>
      </c>
      <c r="AO2218" s="54">
        <v>3</v>
      </c>
      <c r="AP2218" s="54">
        <v>8</v>
      </c>
      <c r="AQ2218" s="54">
        <v>18636</v>
      </c>
      <c r="AR2218" s="55">
        <v>28500</v>
      </c>
      <c r="AS2218" s="78">
        <f t="shared" si="38"/>
        <v>0.65389473684210531</v>
      </c>
    </row>
    <row r="2219" spans="39:45">
      <c r="AM2219" s="55">
        <v>2019</v>
      </c>
      <c r="AN2219" s="55" t="s">
        <v>186</v>
      </c>
      <c r="AO2219" s="55">
        <v>3</v>
      </c>
      <c r="AP2219" s="55">
        <v>9</v>
      </c>
      <c r="AQ2219" s="55">
        <v>17909</v>
      </c>
      <c r="AR2219" s="55">
        <v>28500</v>
      </c>
      <c r="AS2219" s="78">
        <f t="shared" si="38"/>
        <v>0.62838596491228071</v>
      </c>
    </row>
    <row r="2220" spans="39:45">
      <c r="AM2220" s="54">
        <v>2019</v>
      </c>
      <c r="AN2220" s="54" t="s">
        <v>186</v>
      </c>
      <c r="AO2220" s="54">
        <v>3</v>
      </c>
      <c r="AP2220" s="54">
        <v>10</v>
      </c>
      <c r="AQ2220" s="54">
        <v>12344</v>
      </c>
      <c r="AR2220" s="55">
        <v>28500</v>
      </c>
      <c r="AS2220" s="78">
        <f t="shared" si="38"/>
        <v>0.43312280701754385</v>
      </c>
    </row>
    <row r="2221" spans="39:45">
      <c r="AM2221" s="55">
        <v>2019</v>
      </c>
      <c r="AN2221" s="55" t="s">
        <v>186</v>
      </c>
      <c r="AO2221" s="55">
        <v>3</v>
      </c>
      <c r="AP2221" s="55">
        <v>11</v>
      </c>
      <c r="AQ2221" s="55">
        <v>19947.5</v>
      </c>
      <c r="AR2221" s="55">
        <v>28500</v>
      </c>
      <c r="AS2221" s="78">
        <f t="shared" si="38"/>
        <v>0.69991228070175437</v>
      </c>
    </row>
    <row r="2222" spans="39:45">
      <c r="AM2222" s="54">
        <v>2019</v>
      </c>
      <c r="AN2222" s="54" t="s">
        <v>186</v>
      </c>
      <c r="AO2222" s="54">
        <v>3</v>
      </c>
      <c r="AP2222" s="54">
        <v>12</v>
      </c>
      <c r="AQ2222" s="54">
        <v>29935</v>
      </c>
      <c r="AR2222" s="55">
        <v>28500</v>
      </c>
      <c r="AS2222" s="78">
        <f t="shared" si="38"/>
        <v>1.0503508771929824</v>
      </c>
    </row>
    <row r="2223" spans="39:45">
      <c r="AM2223" s="55">
        <v>2019</v>
      </c>
      <c r="AN2223" s="55" t="s">
        <v>186</v>
      </c>
      <c r="AO2223" s="55">
        <v>3</v>
      </c>
      <c r="AP2223" s="55">
        <v>13</v>
      </c>
      <c r="AQ2223" s="55">
        <v>7933.5</v>
      </c>
      <c r="AR2223" s="55">
        <v>28500</v>
      </c>
      <c r="AS2223" s="78">
        <f t="shared" si="38"/>
        <v>0.2783684210526316</v>
      </c>
    </row>
    <row r="2224" spans="39:45">
      <c r="AM2224" s="54">
        <v>2019</v>
      </c>
      <c r="AN2224" s="54" t="s">
        <v>186</v>
      </c>
      <c r="AO2224" s="54">
        <v>3</v>
      </c>
      <c r="AP2224" s="54">
        <v>14</v>
      </c>
      <c r="AQ2224" s="54">
        <v>9399.5</v>
      </c>
      <c r="AR2224" s="55">
        <v>28500</v>
      </c>
      <c r="AS2224" s="78">
        <f t="shared" si="38"/>
        <v>0.32980701754385966</v>
      </c>
    </row>
    <row r="2225" spans="39:45">
      <c r="AM2225" s="55">
        <v>2019</v>
      </c>
      <c r="AN2225" s="55" t="s">
        <v>186</v>
      </c>
      <c r="AO2225" s="55">
        <v>3</v>
      </c>
      <c r="AP2225" s="55">
        <v>15</v>
      </c>
      <c r="AQ2225" s="55">
        <v>1082</v>
      </c>
      <c r="AR2225" s="55">
        <v>28500</v>
      </c>
      <c r="AS2225" s="78">
        <f t="shared" si="38"/>
        <v>3.7964912280701757E-2</v>
      </c>
    </row>
    <row r="2226" spans="39:45">
      <c r="AM2226" s="54">
        <v>2019</v>
      </c>
      <c r="AN2226" s="54" t="s">
        <v>186</v>
      </c>
      <c r="AO2226" s="54">
        <v>3</v>
      </c>
      <c r="AP2226" s="54">
        <v>16</v>
      </c>
      <c r="AQ2226" s="54">
        <v>10964.5</v>
      </c>
      <c r="AR2226" s="55">
        <v>28500</v>
      </c>
      <c r="AS2226" s="78">
        <f t="shared" si="38"/>
        <v>0.38471929824561402</v>
      </c>
    </row>
    <row r="2227" spans="39:45">
      <c r="AM2227" s="55">
        <v>2019</v>
      </c>
      <c r="AN2227" s="55" t="s">
        <v>186</v>
      </c>
      <c r="AO2227" s="55">
        <v>3</v>
      </c>
      <c r="AP2227" s="55">
        <v>17</v>
      </c>
      <c r="AQ2227" s="55">
        <v>6774</v>
      </c>
      <c r="AR2227" s="55">
        <v>28500</v>
      </c>
      <c r="AS2227" s="78">
        <f t="shared" si="38"/>
        <v>0.23768421052631578</v>
      </c>
    </row>
    <row r="2228" spans="39:45">
      <c r="AM2228" s="54">
        <v>2019</v>
      </c>
      <c r="AN2228" s="54" t="s">
        <v>186</v>
      </c>
      <c r="AO2228" s="54">
        <v>3</v>
      </c>
      <c r="AP2228" s="54">
        <v>18</v>
      </c>
      <c r="AQ2228" s="54">
        <v>148</v>
      </c>
      <c r="AR2228" s="55">
        <v>28500</v>
      </c>
      <c r="AS2228" s="78">
        <f t="shared" si="38"/>
        <v>5.1929824561403508E-3</v>
      </c>
    </row>
    <row r="2229" spans="39:45">
      <c r="AM2229" s="55">
        <v>2019</v>
      </c>
      <c r="AN2229" s="55" t="s">
        <v>186</v>
      </c>
      <c r="AO2229" s="55">
        <v>3</v>
      </c>
      <c r="AP2229" s="55">
        <v>19</v>
      </c>
      <c r="AQ2229" s="55">
        <v>0</v>
      </c>
      <c r="AR2229" s="55">
        <v>28500</v>
      </c>
      <c r="AS2229" s="78">
        <f t="shared" si="38"/>
        <v>0</v>
      </c>
    </row>
    <row r="2230" spans="39:45">
      <c r="AM2230" s="54">
        <v>2019</v>
      </c>
      <c r="AN2230" s="54" t="s">
        <v>186</v>
      </c>
      <c r="AO2230" s="54">
        <v>3</v>
      </c>
      <c r="AP2230" s="54">
        <v>20</v>
      </c>
      <c r="AQ2230" s="54">
        <v>0</v>
      </c>
      <c r="AR2230" s="55">
        <v>28500</v>
      </c>
      <c r="AS2230" s="78">
        <f t="shared" si="38"/>
        <v>0</v>
      </c>
    </row>
    <row r="2231" spans="39:45">
      <c r="AM2231" s="55">
        <v>2019</v>
      </c>
      <c r="AN2231" s="55" t="s">
        <v>186</v>
      </c>
      <c r="AO2231" s="55">
        <v>3</v>
      </c>
      <c r="AP2231" s="55">
        <v>21</v>
      </c>
      <c r="AQ2231" s="55">
        <v>0</v>
      </c>
      <c r="AR2231" s="55">
        <v>28500</v>
      </c>
      <c r="AS2231" s="78">
        <f t="shared" si="38"/>
        <v>0</v>
      </c>
    </row>
    <row r="2232" spans="39:45">
      <c r="AM2232" s="54">
        <v>2019</v>
      </c>
      <c r="AN2232" s="54" t="s">
        <v>186</v>
      </c>
      <c r="AO2232" s="54">
        <v>3</v>
      </c>
      <c r="AP2232" s="54">
        <v>22</v>
      </c>
      <c r="AQ2232" s="54">
        <v>0</v>
      </c>
      <c r="AR2232" s="55">
        <v>28500</v>
      </c>
      <c r="AS2232" s="78">
        <f t="shared" si="38"/>
        <v>0</v>
      </c>
    </row>
    <row r="2233" spans="39:45">
      <c r="AM2233" s="55">
        <v>2019</v>
      </c>
      <c r="AN2233" s="55" t="s">
        <v>186</v>
      </c>
      <c r="AO2233" s="55">
        <v>3</v>
      </c>
      <c r="AP2233" s="55">
        <v>23</v>
      </c>
      <c r="AQ2233" s="55">
        <v>0</v>
      </c>
      <c r="AR2233" s="55">
        <v>28500</v>
      </c>
      <c r="AS2233" s="78">
        <f t="shared" si="38"/>
        <v>0</v>
      </c>
    </row>
    <row r="2234" spans="39:45">
      <c r="AM2234" s="54">
        <v>2019</v>
      </c>
      <c r="AN2234" s="54" t="s">
        <v>186</v>
      </c>
      <c r="AO2234" s="54">
        <v>4</v>
      </c>
      <c r="AP2234" s="54">
        <v>24</v>
      </c>
      <c r="AQ2234" s="54">
        <v>0</v>
      </c>
      <c r="AR2234" s="55">
        <v>28500</v>
      </c>
      <c r="AS2234" s="78">
        <f t="shared" si="38"/>
        <v>0</v>
      </c>
    </row>
    <row r="2235" spans="39:45">
      <c r="AM2235" s="55">
        <v>2019</v>
      </c>
      <c r="AN2235" s="55" t="s">
        <v>186</v>
      </c>
      <c r="AO2235" s="55">
        <v>4</v>
      </c>
      <c r="AP2235" s="55">
        <v>1</v>
      </c>
      <c r="AQ2235" s="55">
        <v>0</v>
      </c>
      <c r="AR2235" s="55">
        <v>28500</v>
      </c>
      <c r="AS2235" s="78">
        <f t="shared" si="38"/>
        <v>0</v>
      </c>
    </row>
    <row r="2236" spans="39:45">
      <c r="AM2236" s="54">
        <v>2019</v>
      </c>
      <c r="AN2236" s="54" t="s">
        <v>186</v>
      </c>
      <c r="AO2236" s="54">
        <v>4</v>
      </c>
      <c r="AP2236" s="54">
        <v>2</v>
      </c>
      <c r="AQ2236" s="54">
        <v>0</v>
      </c>
      <c r="AR2236" s="55">
        <v>28500</v>
      </c>
      <c r="AS2236" s="78">
        <f t="shared" si="38"/>
        <v>0</v>
      </c>
    </row>
    <row r="2237" spans="39:45">
      <c r="AM2237" s="55">
        <v>2019</v>
      </c>
      <c r="AN2237" s="55" t="s">
        <v>186</v>
      </c>
      <c r="AO2237" s="55">
        <v>4</v>
      </c>
      <c r="AP2237" s="55">
        <v>3</v>
      </c>
      <c r="AQ2237" s="55">
        <v>0</v>
      </c>
      <c r="AR2237" s="55">
        <v>28500</v>
      </c>
      <c r="AS2237" s="78">
        <f t="shared" si="38"/>
        <v>0</v>
      </c>
    </row>
    <row r="2238" spans="39:45">
      <c r="AM2238" s="54">
        <v>2019</v>
      </c>
      <c r="AN2238" s="54" t="s">
        <v>186</v>
      </c>
      <c r="AO2238" s="54">
        <v>4</v>
      </c>
      <c r="AP2238" s="54">
        <v>4</v>
      </c>
      <c r="AQ2238" s="54">
        <v>0</v>
      </c>
      <c r="AR2238" s="55">
        <v>28500</v>
      </c>
      <c r="AS2238" s="78">
        <f t="shared" si="38"/>
        <v>0</v>
      </c>
    </row>
    <row r="2239" spans="39:45">
      <c r="AM2239" s="55">
        <v>2019</v>
      </c>
      <c r="AN2239" s="55" t="s">
        <v>186</v>
      </c>
      <c r="AO2239" s="55">
        <v>4</v>
      </c>
      <c r="AP2239" s="55">
        <v>5</v>
      </c>
      <c r="AQ2239" s="55">
        <v>0</v>
      </c>
      <c r="AR2239" s="55">
        <v>28500</v>
      </c>
      <c r="AS2239" s="78">
        <f t="shared" si="38"/>
        <v>0</v>
      </c>
    </row>
    <row r="2240" spans="39:45">
      <c r="AM2240" s="54">
        <v>2019</v>
      </c>
      <c r="AN2240" s="54" t="s">
        <v>186</v>
      </c>
      <c r="AO2240" s="54">
        <v>4</v>
      </c>
      <c r="AP2240" s="54">
        <v>6</v>
      </c>
      <c r="AQ2240" s="54">
        <v>536</v>
      </c>
      <c r="AR2240" s="55">
        <v>28500</v>
      </c>
      <c r="AS2240" s="78">
        <f t="shared" si="38"/>
        <v>1.8807017543859651E-2</v>
      </c>
    </row>
    <row r="2241" spans="39:45">
      <c r="AM2241" s="55">
        <v>2019</v>
      </c>
      <c r="AN2241" s="55" t="s">
        <v>186</v>
      </c>
      <c r="AO2241" s="55">
        <v>4</v>
      </c>
      <c r="AP2241" s="55">
        <v>7</v>
      </c>
      <c r="AQ2241" s="55">
        <v>10027.5</v>
      </c>
      <c r="AR2241" s="55">
        <v>28500</v>
      </c>
      <c r="AS2241" s="78">
        <f t="shared" si="38"/>
        <v>0.3518421052631579</v>
      </c>
    </row>
    <row r="2242" spans="39:45">
      <c r="AM2242" s="54">
        <v>2019</v>
      </c>
      <c r="AN2242" s="54" t="s">
        <v>186</v>
      </c>
      <c r="AO2242" s="54">
        <v>4</v>
      </c>
      <c r="AP2242" s="54">
        <v>8</v>
      </c>
      <c r="AQ2242" s="54">
        <v>16045.5</v>
      </c>
      <c r="AR2242" s="55">
        <v>28500</v>
      </c>
      <c r="AS2242" s="78">
        <f t="shared" ref="AS2242:AS2305" si="39">AQ2242/AR2242</f>
        <v>0.56299999999999994</v>
      </c>
    </row>
    <row r="2243" spans="39:45">
      <c r="AM2243" s="55">
        <v>2019</v>
      </c>
      <c r="AN2243" s="55" t="s">
        <v>186</v>
      </c>
      <c r="AO2243" s="55">
        <v>4</v>
      </c>
      <c r="AP2243" s="55">
        <v>9</v>
      </c>
      <c r="AQ2243" s="55">
        <v>3801</v>
      </c>
      <c r="AR2243" s="55">
        <v>28500</v>
      </c>
      <c r="AS2243" s="78">
        <f t="shared" si="39"/>
        <v>0.13336842105263158</v>
      </c>
    </row>
    <row r="2244" spans="39:45">
      <c r="AM2244" s="54">
        <v>2019</v>
      </c>
      <c r="AN2244" s="54" t="s">
        <v>186</v>
      </c>
      <c r="AO2244" s="54">
        <v>4</v>
      </c>
      <c r="AP2244" s="54">
        <v>10</v>
      </c>
      <c r="AQ2244" s="54">
        <v>33847</v>
      </c>
      <c r="AR2244" s="55">
        <v>28500</v>
      </c>
      <c r="AS2244" s="78">
        <f t="shared" si="39"/>
        <v>1.1876140350877193</v>
      </c>
    </row>
    <row r="2245" spans="39:45">
      <c r="AM2245" s="55">
        <v>2019</v>
      </c>
      <c r="AN2245" s="55" t="s">
        <v>186</v>
      </c>
      <c r="AO2245" s="55">
        <v>4</v>
      </c>
      <c r="AP2245" s="55">
        <v>11</v>
      </c>
      <c r="AQ2245" s="55">
        <v>19507.5</v>
      </c>
      <c r="AR2245" s="55">
        <v>28500</v>
      </c>
      <c r="AS2245" s="78">
        <f t="shared" si="39"/>
        <v>0.68447368421052635</v>
      </c>
    </row>
    <row r="2246" spans="39:45">
      <c r="AM2246" s="54">
        <v>2019</v>
      </c>
      <c r="AN2246" s="54" t="s">
        <v>186</v>
      </c>
      <c r="AO2246" s="54">
        <v>4</v>
      </c>
      <c r="AP2246" s="54">
        <v>12</v>
      </c>
      <c r="AQ2246" s="54">
        <v>19220</v>
      </c>
      <c r="AR2246" s="55">
        <v>28500</v>
      </c>
      <c r="AS2246" s="78">
        <f t="shared" si="39"/>
        <v>0.67438596491228076</v>
      </c>
    </row>
    <row r="2247" spans="39:45">
      <c r="AM2247" s="55">
        <v>2019</v>
      </c>
      <c r="AN2247" s="55" t="s">
        <v>186</v>
      </c>
      <c r="AO2247" s="55">
        <v>4</v>
      </c>
      <c r="AP2247" s="55">
        <v>13</v>
      </c>
      <c r="AQ2247" s="55">
        <v>4795</v>
      </c>
      <c r="AR2247" s="55">
        <v>28500</v>
      </c>
      <c r="AS2247" s="78">
        <f t="shared" si="39"/>
        <v>0.16824561403508773</v>
      </c>
    </row>
    <row r="2248" spans="39:45">
      <c r="AM2248" s="54">
        <v>2019</v>
      </c>
      <c r="AN2248" s="54" t="s">
        <v>186</v>
      </c>
      <c r="AO2248" s="54">
        <v>4</v>
      </c>
      <c r="AP2248" s="54">
        <v>14</v>
      </c>
      <c r="AQ2248" s="54">
        <v>5316.5</v>
      </c>
      <c r="AR2248" s="55">
        <v>28500</v>
      </c>
      <c r="AS2248" s="78">
        <f t="shared" si="39"/>
        <v>0.18654385964912282</v>
      </c>
    </row>
    <row r="2249" spans="39:45">
      <c r="AM2249" s="55">
        <v>2019</v>
      </c>
      <c r="AN2249" s="55" t="s">
        <v>186</v>
      </c>
      <c r="AO2249" s="55">
        <v>4</v>
      </c>
      <c r="AP2249" s="55">
        <v>15</v>
      </c>
      <c r="AQ2249" s="55">
        <v>18563</v>
      </c>
      <c r="AR2249" s="55">
        <v>28500</v>
      </c>
      <c r="AS2249" s="78">
        <f t="shared" si="39"/>
        <v>0.65133333333333332</v>
      </c>
    </row>
    <row r="2250" spans="39:45">
      <c r="AM2250" s="54">
        <v>2019</v>
      </c>
      <c r="AN2250" s="54" t="s">
        <v>186</v>
      </c>
      <c r="AO2250" s="54">
        <v>4</v>
      </c>
      <c r="AP2250" s="54">
        <v>16</v>
      </c>
      <c r="AQ2250" s="54">
        <v>3263.5</v>
      </c>
      <c r="AR2250" s="55">
        <v>28500</v>
      </c>
      <c r="AS2250" s="78">
        <f t="shared" si="39"/>
        <v>0.11450877192982456</v>
      </c>
    </row>
    <row r="2251" spans="39:45">
      <c r="AM2251" s="55">
        <v>2019</v>
      </c>
      <c r="AN2251" s="55" t="s">
        <v>186</v>
      </c>
      <c r="AO2251" s="55">
        <v>4</v>
      </c>
      <c r="AP2251" s="55">
        <v>17</v>
      </c>
      <c r="AQ2251" s="55">
        <v>4749</v>
      </c>
      <c r="AR2251" s="55">
        <v>28500</v>
      </c>
      <c r="AS2251" s="78">
        <f t="shared" si="39"/>
        <v>0.16663157894736841</v>
      </c>
    </row>
    <row r="2252" spans="39:45">
      <c r="AM2252" s="54">
        <v>2019</v>
      </c>
      <c r="AN2252" s="54" t="s">
        <v>186</v>
      </c>
      <c r="AO2252" s="54">
        <v>4</v>
      </c>
      <c r="AP2252" s="54">
        <v>18</v>
      </c>
      <c r="AQ2252" s="54">
        <v>39.5</v>
      </c>
      <c r="AR2252" s="55">
        <v>28500</v>
      </c>
      <c r="AS2252" s="78">
        <f t="shared" si="39"/>
        <v>1.3859649122807017E-3</v>
      </c>
    </row>
    <row r="2253" spans="39:45">
      <c r="AM2253" s="55">
        <v>2019</v>
      </c>
      <c r="AN2253" s="55" t="s">
        <v>186</v>
      </c>
      <c r="AO2253" s="55">
        <v>4</v>
      </c>
      <c r="AP2253" s="55">
        <v>19</v>
      </c>
      <c r="AQ2253" s="55">
        <v>0</v>
      </c>
      <c r="AR2253" s="55">
        <v>28500</v>
      </c>
      <c r="AS2253" s="78">
        <f t="shared" si="39"/>
        <v>0</v>
      </c>
    </row>
    <row r="2254" spans="39:45">
      <c r="AM2254" s="54">
        <v>2019</v>
      </c>
      <c r="AN2254" s="54" t="s">
        <v>186</v>
      </c>
      <c r="AO2254" s="54">
        <v>4</v>
      </c>
      <c r="AP2254" s="54">
        <v>20</v>
      </c>
      <c r="AQ2254" s="54">
        <v>0</v>
      </c>
      <c r="AR2254" s="55">
        <v>28500</v>
      </c>
      <c r="AS2254" s="78">
        <f t="shared" si="39"/>
        <v>0</v>
      </c>
    </row>
    <row r="2255" spans="39:45">
      <c r="AM2255" s="55">
        <v>2019</v>
      </c>
      <c r="AN2255" s="55" t="s">
        <v>186</v>
      </c>
      <c r="AO2255" s="55">
        <v>4</v>
      </c>
      <c r="AP2255" s="55">
        <v>21</v>
      </c>
      <c r="AQ2255" s="55">
        <v>0</v>
      </c>
      <c r="AR2255" s="55">
        <v>28500</v>
      </c>
      <c r="AS2255" s="78">
        <f t="shared" si="39"/>
        <v>0</v>
      </c>
    </row>
    <row r="2256" spans="39:45">
      <c r="AM2256" s="54">
        <v>2019</v>
      </c>
      <c r="AN2256" s="54" t="s">
        <v>186</v>
      </c>
      <c r="AO2256" s="54">
        <v>4</v>
      </c>
      <c r="AP2256" s="54">
        <v>22</v>
      </c>
      <c r="AQ2256" s="54">
        <v>0</v>
      </c>
      <c r="AR2256" s="55">
        <v>28500</v>
      </c>
      <c r="AS2256" s="78">
        <f t="shared" si="39"/>
        <v>0</v>
      </c>
    </row>
    <row r="2257" spans="39:45">
      <c r="AM2257" s="55">
        <v>2019</v>
      </c>
      <c r="AN2257" s="55" t="s">
        <v>186</v>
      </c>
      <c r="AO2257" s="55">
        <v>4</v>
      </c>
      <c r="AP2257" s="55">
        <v>23</v>
      </c>
      <c r="AQ2257" s="55">
        <v>0</v>
      </c>
      <c r="AR2257" s="55">
        <v>28500</v>
      </c>
      <c r="AS2257" s="78">
        <f t="shared" si="39"/>
        <v>0</v>
      </c>
    </row>
    <row r="2258" spans="39:45">
      <c r="AM2258" s="54">
        <v>2019</v>
      </c>
      <c r="AN2258" s="54" t="s">
        <v>186</v>
      </c>
      <c r="AO2258" s="54">
        <v>5</v>
      </c>
      <c r="AP2258" s="54">
        <v>24</v>
      </c>
      <c r="AQ2258" s="54">
        <v>0</v>
      </c>
      <c r="AR2258" s="55">
        <v>28500</v>
      </c>
      <c r="AS2258" s="78">
        <f t="shared" si="39"/>
        <v>0</v>
      </c>
    </row>
    <row r="2259" spans="39:45">
      <c r="AM2259" s="55">
        <v>2019</v>
      </c>
      <c r="AN2259" s="55" t="s">
        <v>186</v>
      </c>
      <c r="AO2259" s="55">
        <v>5</v>
      </c>
      <c r="AP2259" s="55">
        <v>1</v>
      </c>
      <c r="AQ2259" s="55">
        <v>0</v>
      </c>
      <c r="AR2259" s="55">
        <v>28500</v>
      </c>
      <c r="AS2259" s="78">
        <f t="shared" si="39"/>
        <v>0</v>
      </c>
    </row>
    <row r="2260" spans="39:45">
      <c r="AM2260" s="54">
        <v>2019</v>
      </c>
      <c r="AN2260" s="54" t="s">
        <v>186</v>
      </c>
      <c r="AO2260" s="54">
        <v>5</v>
      </c>
      <c r="AP2260" s="54">
        <v>2</v>
      </c>
      <c r="AQ2260" s="54">
        <v>0</v>
      </c>
      <c r="AR2260" s="55">
        <v>28500</v>
      </c>
      <c r="AS2260" s="78">
        <f t="shared" si="39"/>
        <v>0</v>
      </c>
    </row>
    <row r="2261" spans="39:45">
      <c r="AM2261" s="55">
        <v>2019</v>
      </c>
      <c r="AN2261" s="55" t="s">
        <v>186</v>
      </c>
      <c r="AO2261" s="55">
        <v>5</v>
      </c>
      <c r="AP2261" s="55">
        <v>3</v>
      </c>
      <c r="AQ2261" s="55">
        <v>0</v>
      </c>
      <c r="AR2261" s="55">
        <v>28500</v>
      </c>
      <c r="AS2261" s="78">
        <f t="shared" si="39"/>
        <v>0</v>
      </c>
    </row>
    <row r="2262" spans="39:45">
      <c r="AM2262" s="54">
        <v>2019</v>
      </c>
      <c r="AN2262" s="54" t="s">
        <v>186</v>
      </c>
      <c r="AO2262" s="54">
        <v>5</v>
      </c>
      <c r="AP2262" s="54">
        <v>4</v>
      </c>
      <c r="AQ2262" s="54">
        <v>0</v>
      </c>
      <c r="AR2262" s="55">
        <v>28500</v>
      </c>
      <c r="AS2262" s="78">
        <f t="shared" si="39"/>
        <v>0</v>
      </c>
    </row>
    <row r="2263" spans="39:45">
      <c r="AM2263" s="55">
        <v>2019</v>
      </c>
      <c r="AN2263" s="55" t="s">
        <v>186</v>
      </c>
      <c r="AO2263" s="55">
        <v>5</v>
      </c>
      <c r="AP2263" s="55">
        <v>5</v>
      </c>
      <c r="AQ2263" s="55">
        <v>0</v>
      </c>
      <c r="AR2263" s="55">
        <v>28500</v>
      </c>
      <c r="AS2263" s="78">
        <f t="shared" si="39"/>
        <v>0</v>
      </c>
    </row>
    <row r="2264" spans="39:45">
      <c r="AM2264" s="54">
        <v>2019</v>
      </c>
      <c r="AN2264" s="54" t="s">
        <v>186</v>
      </c>
      <c r="AO2264" s="54">
        <v>5</v>
      </c>
      <c r="AP2264" s="54">
        <v>6</v>
      </c>
      <c r="AQ2264" s="54">
        <v>281.5</v>
      </c>
      <c r="AR2264" s="55">
        <v>28500</v>
      </c>
      <c r="AS2264" s="78">
        <f t="shared" si="39"/>
        <v>9.8771929824561407E-3</v>
      </c>
    </row>
    <row r="2265" spans="39:45">
      <c r="AM2265" s="55">
        <v>2019</v>
      </c>
      <c r="AN2265" s="55" t="s">
        <v>186</v>
      </c>
      <c r="AO2265" s="55">
        <v>5</v>
      </c>
      <c r="AP2265" s="55">
        <v>7</v>
      </c>
      <c r="AQ2265" s="55">
        <v>9713.5</v>
      </c>
      <c r="AR2265" s="55">
        <v>28500</v>
      </c>
      <c r="AS2265" s="78">
        <f t="shared" si="39"/>
        <v>0.34082456140350875</v>
      </c>
    </row>
    <row r="2266" spans="39:45">
      <c r="AM2266" s="54">
        <v>2019</v>
      </c>
      <c r="AN2266" s="54" t="s">
        <v>186</v>
      </c>
      <c r="AO2266" s="54">
        <v>5</v>
      </c>
      <c r="AP2266" s="54">
        <v>8</v>
      </c>
      <c r="AQ2266" s="54">
        <v>13116</v>
      </c>
      <c r="AR2266" s="55">
        <v>28500</v>
      </c>
      <c r="AS2266" s="78">
        <f t="shared" si="39"/>
        <v>0.46021052631578946</v>
      </c>
    </row>
    <row r="2267" spans="39:45">
      <c r="AM2267" s="55">
        <v>2019</v>
      </c>
      <c r="AN2267" s="55" t="s">
        <v>186</v>
      </c>
      <c r="AO2267" s="55">
        <v>5</v>
      </c>
      <c r="AP2267" s="55">
        <v>9</v>
      </c>
      <c r="AQ2267" s="55">
        <v>10960</v>
      </c>
      <c r="AR2267" s="55">
        <v>28500</v>
      </c>
      <c r="AS2267" s="78">
        <f t="shared" si="39"/>
        <v>0.38456140350877194</v>
      </c>
    </row>
    <row r="2268" spans="39:45">
      <c r="AM2268" s="54">
        <v>2019</v>
      </c>
      <c r="AN2268" s="54" t="s">
        <v>186</v>
      </c>
      <c r="AO2268" s="54">
        <v>5</v>
      </c>
      <c r="AP2268" s="54">
        <v>10</v>
      </c>
      <c r="AQ2268" s="54">
        <v>20014.5</v>
      </c>
      <c r="AR2268" s="55">
        <v>28500</v>
      </c>
      <c r="AS2268" s="78">
        <f t="shared" si="39"/>
        <v>0.70226315789473681</v>
      </c>
    </row>
    <row r="2269" spans="39:45">
      <c r="AM2269" s="55">
        <v>2019</v>
      </c>
      <c r="AN2269" s="55" t="s">
        <v>186</v>
      </c>
      <c r="AO2269" s="55">
        <v>5</v>
      </c>
      <c r="AP2269" s="55">
        <v>11</v>
      </c>
      <c r="AQ2269" s="55">
        <v>33524</v>
      </c>
      <c r="AR2269" s="55">
        <v>28500</v>
      </c>
      <c r="AS2269" s="78">
        <f t="shared" si="39"/>
        <v>1.1762807017543859</v>
      </c>
    </row>
    <row r="2270" spans="39:45">
      <c r="AM2270" s="54">
        <v>2019</v>
      </c>
      <c r="AN2270" s="54" t="s">
        <v>186</v>
      </c>
      <c r="AO2270" s="54">
        <v>5</v>
      </c>
      <c r="AP2270" s="54">
        <v>12</v>
      </c>
      <c r="AQ2270" s="54">
        <v>29831</v>
      </c>
      <c r="AR2270" s="55">
        <v>28500</v>
      </c>
      <c r="AS2270" s="78">
        <f t="shared" si="39"/>
        <v>1.0467017543859649</v>
      </c>
    </row>
    <row r="2271" spans="39:45">
      <c r="AM2271" s="55">
        <v>2019</v>
      </c>
      <c r="AN2271" s="55" t="s">
        <v>186</v>
      </c>
      <c r="AO2271" s="55">
        <v>5</v>
      </c>
      <c r="AP2271" s="55">
        <v>13</v>
      </c>
      <c r="AQ2271" s="55">
        <v>29253.5</v>
      </c>
      <c r="AR2271" s="55">
        <v>28500</v>
      </c>
      <c r="AS2271" s="78">
        <f t="shared" si="39"/>
        <v>1.0264385964912282</v>
      </c>
    </row>
    <row r="2272" spans="39:45">
      <c r="AM2272" s="54">
        <v>2019</v>
      </c>
      <c r="AN2272" s="54" t="s">
        <v>186</v>
      </c>
      <c r="AO2272" s="54">
        <v>5</v>
      </c>
      <c r="AP2272" s="54">
        <v>14</v>
      </c>
      <c r="AQ2272" s="54">
        <v>9575</v>
      </c>
      <c r="AR2272" s="55">
        <v>28500</v>
      </c>
      <c r="AS2272" s="78">
        <f t="shared" si="39"/>
        <v>0.33596491228070174</v>
      </c>
    </row>
    <row r="2273" spans="39:45">
      <c r="AM2273" s="55">
        <v>2019</v>
      </c>
      <c r="AN2273" s="55" t="s">
        <v>186</v>
      </c>
      <c r="AO2273" s="55">
        <v>5</v>
      </c>
      <c r="AP2273" s="55">
        <v>15</v>
      </c>
      <c r="AQ2273" s="55">
        <v>9789</v>
      </c>
      <c r="AR2273" s="55">
        <v>28500</v>
      </c>
      <c r="AS2273" s="78">
        <f t="shared" si="39"/>
        <v>0.34347368421052632</v>
      </c>
    </row>
    <row r="2274" spans="39:45">
      <c r="AM2274" s="54">
        <v>2019</v>
      </c>
      <c r="AN2274" s="54" t="s">
        <v>186</v>
      </c>
      <c r="AO2274" s="54">
        <v>5</v>
      </c>
      <c r="AP2274" s="54">
        <v>16</v>
      </c>
      <c r="AQ2274" s="54">
        <v>5421.5</v>
      </c>
      <c r="AR2274" s="55">
        <v>28500</v>
      </c>
      <c r="AS2274" s="78">
        <f t="shared" si="39"/>
        <v>0.19022807017543861</v>
      </c>
    </row>
    <row r="2275" spans="39:45">
      <c r="AM2275" s="55">
        <v>2019</v>
      </c>
      <c r="AN2275" s="55" t="s">
        <v>186</v>
      </c>
      <c r="AO2275" s="55">
        <v>5</v>
      </c>
      <c r="AP2275" s="55">
        <v>17</v>
      </c>
      <c r="AQ2275" s="55">
        <v>1744.5</v>
      </c>
      <c r="AR2275" s="55">
        <v>28500</v>
      </c>
      <c r="AS2275" s="78">
        <f t="shared" si="39"/>
        <v>6.1210526315789472E-2</v>
      </c>
    </row>
    <row r="2276" spans="39:45">
      <c r="AM2276" s="54">
        <v>2019</v>
      </c>
      <c r="AN2276" s="54" t="s">
        <v>186</v>
      </c>
      <c r="AO2276" s="54">
        <v>5</v>
      </c>
      <c r="AP2276" s="54">
        <v>18</v>
      </c>
      <c r="AQ2276" s="54">
        <v>21</v>
      </c>
      <c r="AR2276" s="55">
        <v>28500</v>
      </c>
      <c r="AS2276" s="78">
        <f t="shared" si="39"/>
        <v>7.3684210526315792E-4</v>
      </c>
    </row>
    <row r="2277" spans="39:45">
      <c r="AM2277" s="55">
        <v>2019</v>
      </c>
      <c r="AN2277" s="55" t="s">
        <v>186</v>
      </c>
      <c r="AO2277" s="55">
        <v>5</v>
      </c>
      <c r="AP2277" s="55">
        <v>19</v>
      </c>
      <c r="AQ2277" s="55">
        <v>0</v>
      </c>
      <c r="AR2277" s="55">
        <v>28500</v>
      </c>
      <c r="AS2277" s="78">
        <f t="shared" si="39"/>
        <v>0</v>
      </c>
    </row>
    <row r="2278" spans="39:45">
      <c r="AM2278" s="54">
        <v>2019</v>
      </c>
      <c r="AN2278" s="54" t="s">
        <v>186</v>
      </c>
      <c r="AO2278" s="54">
        <v>5</v>
      </c>
      <c r="AP2278" s="54">
        <v>20</v>
      </c>
      <c r="AQ2278" s="54">
        <v>0</v>
      </c>
      <c r="AR2278" s="55">
        <v>28500</v>
      </c>
      <c r="AS2278" s="78">
        <f t="shared" si="39"/>
        <v>0</v>
      </c>
    </row>
    <row r="2279" spans="39:45">
      <c r="AM2279" s="55">
        <v>2019</v>
      </c>
      <c r="AN2279" s="55" t="s">
        <v>186</v>
      </c>
      <c r="AO2279" s="55">
        <v>5</v>
      </c>
      <c r="AP2279" s="55">
        <v>21</v>
      </c>
      <c r="AQ2279" s="55">
        <v>0</v>
      </c>
      <c r="AR2279" s="55">
        <v>28500</v>
      </c>
      <c r="AS2279" s="78">
        <f t="shared" si="39"/>
        <v>0</v>
      </c>
    </row>
    <row r="2280" spans="39:45">
      <c r="AM2280" s="54">
        <v>2019</v>
      </c>
      <c r="AN2280" s="54" t="s">
        <v>186</v>
      </c>
      <c r="AO2280" s="54">
        <v>5</v>
      </c>
      <c r="AP2280" s="54">
        <v>22</v>
      </c>
      <c r="AQ2280" s="54">
        <v>0</v>
      </c>
      <c r="AR2280" s="55">
        <v>28500</v>
      </c>
      <c r="AS2280" s="78">
        <f t="shared" si="39"/>
        <v>0</v>
      </c>
    </row>
    <row r="2281" spans="39:45">
      <c r="AM2281" s="55">
        <v>2019</v>
      </c>
      <c r="AN2281" s="55" t="s">
        <v>186</v>
      </c>
      <c r="AO2281" s="55">
        <v>5</v>
      </c>
      <c r="AP2281" s="55">
        <v>23</v>
      </c>
      <c r="AQ2281" s="55">
        <v>0</v>
      </c>
      <c r="AR2281" s="55">
        <v>28500</v>
      </c>
      <c r="AS2281" s="78">
        <f t="shared" si="39"/>
        <v>0</v>
      </c>
    </row>
    <row r="2282" spans="39:45">
      <c r="AM2282" s="54">
        <v>2019</v>
      </c>
      <c r="AN2282" s="54" t="s">
        <v>186</v>
      </c>
      <c r="AO2282" s="54">
        <v>6</v>
      </c>
      <c r="AP2282" s="54">
        <v>24</v>
      </c>
      <c r="AQ2282" s="54">
        <v>0</v>
      </c>
      <c r="AR2282" s="55">
        <v>28500</v>
      </c>
      <c r="AS2282" s="78">
        <f t="shared" si="39"/>
        <v>0</v>
      </c>
    </row>
    <row r="2283" spans="39:45">
      <c r="AM2283" s="55">
        <v>2019</v>
      </c>
      <c r="AN2283" s="55" t="s">
        <v>186</v>
      </c>
      <c r="AO2283" s="55">
        <v>6</v>
      </c>
      <c r="AP2283" s="55">
        <v>1</v>
      </c>
      <c r="AQ2283" s="55">
        <v>0</v>
      </c>
      <c r="AR2283" s="55">
        <v>28500</v>
      </c>
      <c r="AS2283" s="78">
        <f t="shared" si="39"/>
        <v>0</v>
      </c>
    </row>
    <row r="2284" spans="39:45">
      <c r="AM2284" s="54">
        <v>2019</v>
      </c>
      <c r="AN2284" s="54" t="s">
        <v>186</v>
      </c>
      <c r="AO2284" s="54">
        <v>6</v>
      </c>
      <c r="AP2284" s="54">
        <v>2</v>
      </c>
      <c r="AQ2284" s="54">
        <v>0</v>
      </c>
      <c r="AR2284" s="55">
        <v>28500</v>
      </c>
      <c r="AS2284" s="78">
        <f t="shared" si="39"/>
        <v>0</v>
      </c>
    </row>
    <row r="2285" spans="39:45">
      <c r="AM2285" s="55">
        <v>2019</v>
      </c>
      <c r="AN2285" s="55" t="s">
        <v>186</v>
      </c>
      <c r="AO2285" s="55">
        <v>6</v>
      </c>
      <c r="AP2285" s="55">
        <v>3</v>
      </c>
      <c r="AQ2285" s="55">
        <v>0</v>
      </c>
      <c r="AR2285" s="55">
        <v>28500</v>
      </c>
      <c r="AS2285" s="78">
        <f t="shared" si="39"/>
        <v>0</v>
      </c>
    </row>
    <row r="2286" spans="39:45">
      <c r="AM2286" s="54">
        <v>2019</v>
      </c>
      <c r="AN2286" s="54" t="s">
        <v>186</v>
      </c>
      <c r="AO2286" s="54">
        <v>6</v>
      </c>
      <c r="AP2286" s="54">
        <v>4</v>
      </c>
      <c r="AQ2286" s="54">
        <v>0</v>
      </c>
      <c r="AR2286" s="55">
        <v>28500</v>
      </c>
      <c r="AS2286" s="78">
        <f t="shared" si="39"/>
        <v>0</v>
      </c>
    </row>
    <row r="2287" spans="39:45">
      <c r="AM2287" s="55">
        <v>2019</v>
      </c>
      <c r="AN2287" s="55" t="s">
        <v>186</v>
      </c>
      <c r="AO2287" s="55">
        <v>6</v>
      </c>
      <c r="AP2287" s="55">
        <v>5</v>
      </c>
      <c r="AQ2287" s="55">
        <v>0</v>
      </c>
      <c r="AR2287" s="55">
        <v>28500</v>
      </c>
      <c r="AS2287" s="78">
        <f t="shared" si="39"/>
        <v>0</v>
      </c>
    </row>
    <row r="2288" spans="39:45">
      <c r="AM2288" s="54">
        <v>2019</v>
      </c>
      <c r="AN2288" s="54" t="s">
        <v>186</v>
      </c>
      <c r="AO2288" s="54">
        <v>6</v>
      </c>
      <c r="AP2288" s="54">
        <v>6</v>
      </c>
      <c r="AQ2288" s="54">
        <v>0</v>
      </c>
      <c r="AR2288" s="55">
        <v>28500</v>
      </c>
      <c r="AS2288" s="78">
        <f t="shared" si="39"/>
        <v>0</v>
      </c>
    </row>
    <row r="2289" spans="39:45">
      <c r="AM2289" s="55">
        <v>2019</v>
      </c>
      <c r="AN2289" s="55" t="s">
        <v>186</v>
      </c>
      <c r="AO2289" s="55">
        <v>6</v>
      </c>
      <c r="AP2289" s="55">
        <v>7</v>
      </c>
      <c r="AQ2289" s="55">
        <v>4884.5</v>
      </c>
      <c r="AR2289" s="55">
        <v>28500</v>
      </c>
      <c r="AS2289" s="78">
        <f t="shared" si="39"/>
        <v>0.1713859649122807</v>
      </c>
    </row>
    <row r="2290" spans="39:45">
      <c r="AM2290" s="54">
        <v>2019</v>
      </c>
      <c r="AN2290" s="54" t="s">
        <v>186</v>
      </c>
      <c r="AO2290" s="54">
        <v>6</v>
      </c>
      <c r="AP2290" s="54">
        <v>8</v>
      </c>
      <c r="AQ2290" s="54">
        <v>4246.5</v>
      </c>
      <c r="AR2290" s="55">
        <v>28500</v>
      </c>
      <c r="AS2290" s="78">
        <f t="shared" si="39"/>
        <v>0.14899999999999999</v>
      </c>
    </row>
    <row r="2291" spans="39:45">
      <c r="AM2291" s="55">
        <v>2019</v>
      </c>
      <c r="AN2291" s="55" t="s">
        <v>186</v>
      </c>
      <c r="AO2291" s="55">
        <v>6</v>
      </c>
      <c r="AP2291" s="55">
        <v>9</v>
      </c>
      <c r="AQ2291" s="55">
        <v>4624</v>
      </c>
      <c r="AR2291" s="55">
        <v>28500</v>
      </c>
      <c r="AS2291" s="78">
        <f t="shared" si="39"/>
        <v>0.16224561403508772</v>
      </c>
    </row>
    <row r="2292" spans="39:45">
      <c r="AM2292" s="54">
        <v>2019</v>
      </c>
      <c r="AN2292" s="54" t="s">
        <v>186</v>
      </c>
      <c r="AO2292" s="54">
        <v>6</v>
      </c>
      <c r="AP2292" s="54">
        <v>10</v>
      </c>
      <c r="AQ2292" s="54">
        <v>4015</v>
      </c>
      <c r="AR2292" s="55">
        <v>28500</v>
      </c>
      <c r="AS2292" s="78">
        <f t="shared" si="39"/>
        <v>0.14087719298245613</v>
      </c>
    </row>
    <row r="2293" spans="39:45">
      <c r="AM2293" s="55">
        <v>2019</v>
      </c>
      <c r="AN2293" s="55" t="s">
        <v>186</v>
      </c>
      <c r="AO2293" s="55">
        <v>6</v>
      </c>
      <c r="AP2293" s="55">
        <v>11</v>
      </c>
      <c r="AQ2293" s="55">
        <v>3070.5</v>
      </c>
      <c r="AR2293" s="55">
        <v>28500</v>
      </c>
      <c r="AS2293" s="78">
        <f t="shared" si="39"/>
        <v>0.10773684210526316</v>
      </c>
    </row>
    <row r="2294" spans="39:45">
      <c r="AM2294" s="54">
        <v>2019</v>
      </c>
      <c r="AN2294" s="54" t="s">
        <v>186</v>
      </c>
      <c r="AO2294" s="54">
        <v>6</v>
      </c>
      <c r="AP2294" s="54">
        <v>12</v>
      </c>
      <c r="AQ2294" s="54">
        <v>3413.5</v>
      </c>
      <c r="AR2294" s="55">
        <v>28500</v>
      </c>
      <c r="AS2294" s="78">
        <f t="shared" si="39"/>
        <v>0.1197719298245614</v>
      </c>
    </row>
    <row r="2295" spans="39:45">
      <c r="AM2295" s="55">
        <v>2019</v>
      </c>
      <c r="AN2295" s="55" t="s">
        <v>186</v>
      </c>
      <c r="AO2295" s="55">
        <v>6</v>
      </c>
      <c r="AP2295" s="55">
        <v>13</v>
      </c>
      <c r="AQ2295" s="55">
        <v>3025.5</v>
      </c>
      <c r="AR2295" s="55">
        <v>28500</v>
      </c>
      <c r="AS2295" s="78">
        <f t="shared" si="39"/>
        <v>0.1061578947368421</v>
      </c>
    </row>
    <row r="2296" spans="39:45">
      <c r="AM2296" s="54">
        <v>2019</v>
      </c>
      <c r="AN2296" s="54" t="s">
        <v>186</v>
      </c>
      <c r="AO2296" s="54">
        <v>6</v>
      </c>
      <c r="AP2296" s="54">
        <v>14</v>
      </c>
      <c r="AQ2296" s="54">
        <v>3026.5</v>
      </c>
      <c r="AR2296" s="55">
        <v>28500</v>
      </c>
      <c r="AS2296" s="78">
        <f t="shared" si="39"/>
        <v>0.10619298245614035</v>
      </c>
    </row>
    <row r="2297" spans="39:45">
      <c r="AM2297" s="55">
        <v>2019</v>
      </c>
      <c r="AN2297" s="55" t="s">
        <v>186</v>
      </c>
      <c r="AO2297" s="55">
        <v>6</v>
      </c>
      <c r="AP2297" s="55">
        <v>15</v>
      </c>
      <c r="AQ2297" s="55">
        <v>7353</v>
      </c>
      <c r="AR2297" s="55">
        <v>28500</v>
      </c>
      <c r="AS2297" s="78">
        <f t="shared" si="39"/>
        <v>0.25800000000000001</v>
      </c>
    </row>
    <row r="2298" spans="39:45">
      <c r="AM2298" s="54">
        <v>2019</v>
      </c>
      <c r="AN2298" s="54" t="s">
        <v>186</v>
      </c>
      <c r="AO2298" s="54">
        <v>6</v>
      </c>
      <c r="AP2298" s="54">
        <v>16</v>
      </c>
      <c r="AQ2298" s="54">
        <v>6178.5</v>
      </c>
      <c r="AR2298" s="55">
        <v>28500</v>
      </c>
      <c r="AS2298" s="78">
        <f t="shared" si="39"/>
        <v>0.21678947368421053</v>
      </c>
    </row>
    <row r="2299" spans="39:45">
      <c r="AM2299" s="55">
        <v>2019</v>
      </c>
      <c r="AN2299" s="55" t="s">
        <v>186</v>
      </c>
      <c r="AO2299" s="55">
        <v>6</v>
      </c>
      <c r="AP2299" s="55">
        <v>17</v>
      </c>
      <c r="AQ2299" s="55">
        <v>1074</v>
      </c>
      <c r="AR2299" s="55">
        <v>28500</v>
      </c>
      <c r="AS2299" s="78">
        <f t="shared" si="39"/>
        <v>3.7684210526315792E-2</v>
      </c>
    </row>
    <row r="2300" spans="39:45">
      <c r="AM2300" s="54">
        <v>2019</v>
      </c>
      <c r="AN2300" s="54" t="s">
        <v>186</v>
      </c>
      <c r="AO2300" s="54">
        <v>6</v>
      </c>
      <c r="AP2300" s="54">
        <v>18</v>
      </c>
      <c r="AQ2300" s="54">
        <v>0</v>
      </c>
      <c r="AR2300" s="55">
        <v>28500</v>
      </c>
      <c r="AS2300" s="78">
        <f t="shared" si="39"/>
        <v>0</v>
      </c>
    </row>
    <row r="2301" spans="39:45">
      <c r="AM2301" s="55">
        <v>2019</v>
      </c>
      <c r="AN2301" s="55" t="s">
        <v>186</v>
      </c>
      <c r="AO2301" s="55">
        <v>6</v>
      </c>
      <c r="AP2301" s="55">
        <v>19</v>
      </c>
      <c r="AQ2301" s="55">
        <v>0</v>
      </c>
      <c r="AR2301" s="55">
        <v>28500</v>
      </c>
      <c r="AS2301" s="78">
        <f t="shared" si="39"/>
        <v>0</v>
      </c>
    </row>
    <row r="2302" spans="39:45">
      <c r="AM2302" s="54">
        <v>2019</v>
      </c>
      <c r="AN2302" s="54" t="s">
        <v>186</v>
      </c>
      <c r="AO2302" s="54">
        <v>6</v>
      </c>
      <c r="AP2302" s="54">
        <v>20</v>
      </c>
      <c r="AQ2302" s="54">
        <v>0</v>
      </c>
      <c r="AR2302" s="55">
        <v>28500</v>
      </c>
      <c r="AS2302" s="78">
        <f t="shared" si="39"/>
        <v>0</v>
      </c>
    </row>
    <row r="2303" spans="39:45">
      <c r="AM2303" s="55">
        <v>2019</v>
      </c>
      <c r="AN2303" s="55" t="s">
        <v>186</v>
      </c>
      <c r="AO2303" s="55">
        <v>6</v>
      </c>
      <c r="AP2303" s="55">
        <v>21</v>
      </c>
      <c r="AQ2303" s="55">
        <v>0</v>
      </c>
      <c r="AR2303" s="55">
        <v>28500</v>
      </c>
      <c r="AS2303" s="78">
        <f t="shared" si="39"/>
        <v>0</v>
      </c>
    </row>
    <row r="2304" spans="39:45">
      <c r="AM2304" s="54">
        <v>2019</v>
      </c>
      <c r="AN2304" s="54" t="s">
        <v>186</v>
      </c>
      <c r="AO2304" s="54">
        <v>6</v>
      </c>
      <c r="AP2304" s="54">
        <v>22</v>
      </c>
      <c r="AQ2304" s="54">
        <v>0</v>
      </c>
      <c r="AR2304" s="55">
        <v>28500</v>
      </c>
      <c r="AS2304" s="78">
        <f t="shared" si="39"/>
        <v>0</v>
      </c>
    </row>
    <row r="2305" spans="39:45">
      <c r="AM2305" s="55">
        <v>2019</v>
      </c>
      <c r="AN2305" s="55" t="s">
        <v>186</v>
      </c>
      <c r="AO2305" s="55">
        <v>6</v>
      </c>
      <c r="AP2305" s="55">
        <v>23</v>
      </c>
      <c r="AQ2305" s="55">
        <v>0</v>
      </c>
      <c r="AR2305" s="55">
        <v>28500</v>
      </c>
      <c r="AS2305" s="78">
        <f t="shared" si="39"/>
        <v>0</v>
      </c>
    </row>
    <row r="2306" spans="39:45">
      <c r="AM2306" s="54">
        <v>2019</v>
      </c>
      <c r="AN2306" s="54" t="s">
        <v>186</v>
      </c>
      <c r="AO2306" s="54">
        <v>7</v>
      </c>
      <c r="AP2306" s="54">
        <v>24</v>
      </c>
      <c r="AQ2306" s="54">
        <v>0</v>
      </c>
      <c r="AR2306" s="55">
        <v>28500</v>
      </c>
      <c r="AS2306" s="78">
        <f t="shared" ref="AS2306:AS2369" si="40">AQ2306/AR2306</f>
        <v>0</v>
      </c>
    </row>
    <row r="2307" spans="39:45">
      <c r="AM2307" s="55">
        <v>2019</v>
      </c>
      <c r="AN2307" s="55" t="s">
        <v>186</v>
      </c>
      <c r="AO2307" s="55">
        <v>7</v>
      </c>
      <c r="AP2307" s="55">
        <v>1</v>
      </c>
      <c r="AQ2307" s="55">
        <v>0</v>
      </c>
      <c r="AR2307" s="55">
        <v>28500</v>
      </c>
      <c r="AS2307" s="78">
        <f t="shared" si="40"/>
        <v>0</v>
      </c>
    </row>
    <row r="2308" spans="39:45">
      <c r="AM2308" s="54">
        <v>2019</v>
      </c>
      <c r="AN2308" s="54" t="s">
        <v>186</v>
      </c>
      <c r="AO2308" s="54">
        <v>7</v>
      </c>
      <c r="AP2308" s="54">
        <v>2</v>
      </c>
      <c r="AQ2308" s="54">
        <v>0</v>
      </c>
      <c r="AR2308" s="55">
        <v>28500</v>
      </c>
      <c r="AS2308" s="78">
        <f t="shared" si="40"/>
        <v>0</v>
      </c>
    </row>
    <row r="2309" spans="39:45">
      <c r="AM2309" s="55">
        <v>2019</v>
      </c>
      <c r="AN2309" s="55" t="s">
        <v>186</v>
      </c>
      <c r="AO2309" s="55">
        <v>7</v>
      </c>
      <c r="AP2309" s="55">
        <v>3</v>
      </c>
      <c r="AQ2309" s="55">
        <v>0</v>
      </c>
      <c r="AR2309" s="55">
        <v>28500</v>
      </c>
      <c r="AS2309" s="78">
        <f t="shared" si="40"/>
        <v>0</v>
      </c>
    </row>
    <row r="2310" spans="39:45">
      <c r="AM2310" s="54">
        <v>2019</v>
      </c>
      <c r="AN2310" s="54" t="s">
        <v>186</v>
      </c>
      <c r="AO2310" s="54">
        <v>7</v>
      </c>
      <c r="AP2310" s="54">
        <v>4</v>
      </c>
      <c r="AQ2310" s="54">
        <v>0</v>
      </c>
      <c r="AR2310" s="55">
        <v>28500</v>
      </c>
      <c r="AS2310" s="78">
        <f t="shared" si="40"/>
        <v>0</v>
      </c>
    </row>
    <row r="2311" spans="39:45">
      <c r="AM2311" s="55">
        <v>2019</v>
      </c>
      <c r="AN2311" s="55" t="s">
        <v>186</v>
      </c>
      <c r="AO2311" s="55">
        <v>7</v>
      </c>
      <c r="AP2311" s="55">
        <v>5</v>
      </c>
      <c r="AQ2311" s="55">
        <v>0</v>
      </c>
      <c r="AR2311" s="55">
        <v>28500</v>
      </c>
      <c r="AS2311" s="78">
        <f t="shared" si="40"/>
        <v>0</v>
      </c>
    </row>
    <row r="2312" spans="39:45">
      <c r="AM2312" s="54">
        <v>2019</v>
      </c>
      <c r="AN2312" s="54" t="s">
        <v>186</v>
      </c>
      <c r="AO2312" s="54">
        <v>7</v>
      </c>
      <c r="AP2312" s="54">
        <v>6</v>
      </c>
      <c r="AQ2312" s="54">
        <v>368.5</v>
      </c>
      <c r="AR2312" s="55">
        <v>28500</v>
      </c>
      <c r="AS2312" s="78">
        <f t="shared" si="40"/>
        <v>1.2929824561403508E-2</v>
      </c>
    </row>
    <row r="2313" spans="39:45">
      <c r="AM2313" s="55">
        <v>2019</v>
      </c>
      <c r="AN2313" s="55" t="s">
        <v>186</v>
      </c>
      <c r="AO2313" s="55">
        <v>7</v>
      </c>
      <c r="AP2313" s="55">
        <v>7</v>
      </c>
      <c r="AQ2313" s="55">
        <v>2393</v>
      </c>
      <c r="AR2313" s="55">
        <v>28500</v>
      </c>
      <c r="AS2313" s="78">
        <f t="shared" si="40"/>
        <v>8.3964912280701756E-2</v>
      </c>
    </row>
    <row r="2314" spans="39:45">
      <c r="AM2314" s="54">
        <v>2019</v>
      </c>
      <c r="AN2314" s="54" t="s">
        <v>186</v>
      </c>
      <c r="AO2314" s="54">
        <v>7</v>
      </c>
      <c r="AP2314" s="54">
        <v>8</v>
      </c>
      <c r="AQ2314" s="54">
        <v>3334.5</v>
      </c>
      <c r="AR2314" s="55">
        <v>28500</v>
      </c>
      <c r="AS2314" s="78">
        <f t="shared" si="40"/>
        <v>0.11700000000000001</v>
      </c>
    </row>
    <row r="2315" spans="39:45">
      <c r="AM2315" s="55">
        <v>2019</v>
      </c>
      <c r="AN2315" s="55" t="s">
        <v>186</v>
      </c>
      <c r="AO2315" s="55">
        <v>7</v>
      </c>
      <c r="AP2315" s="55">
        <v>9</v>
      </c>
      <c r="AQ2315" s="55">
        <v>5975</v>
      </c>
      <c r="AR2315" s="55">
        <v>28500</v>
      </c>
      <c r="AS2315" s="78">
        <f t="shared" si="40"/>
        <v>0.20964912280701756</v>
      </c>
    </row>
    <row r="2316" spans="39:45">
      <c r="AM2316" s="54">
        <v>2019</v>
      </c>
      <c r="AN2316" s="54" t="s">
        <v>186</v>
      </c>
      <c r="AO2316" s="54">
        <v>7</v>
      </c>
      <c r="AP2316" s="54">
        <v>10</v>
      </c>
      <c r="AQ2316" s="54">
        <v>6220.5</v>
      </c>
      <c r="AR2316" s="55">
        <v>28500</v>
      </c>
      <c r="AS2316" s="78">
        <f t="shared" si="40"/>
        <v>0.21826315789473685</v>
      </c>
    </row>
    <row r="2317" spans="39:45">
      <c r="AM2317" s="55">
        <v>2019</v>
      </c>
      <c r="AN2317" s="55" t="s">
        <v>186</v>
      </c>
      <c r="AO2317" s="55">
        <v>7</v>
      </c>
      <c r="AP2317" s="55">
        <v>11</v>
      </c>
      <c r="AQ2317" s="55">
        <v>5556.5</v>
      </c>
      <c r="AR2317" s="55">
        <v>28500</v>
      </c>
      <c r="AS2317" s="78">
        <f t="shared" si="40"/>
        <v>0.19496491228070176</v>
      </c>
    </row>
    <row r="2318" spans="39:45">
      <c r="AM2318" s="54">
        <v>2019</v>
      </c>
      <c r="AN2318" s="54" t="s">
        <v>186</v>
      </c>
      <c r="AO2318" s="54">
        <v>7</v>
      </c>
      <c r="AP2318" s="54">
        <v>12</v>
      </c>
      <c r="AQ2318" s="54">
        <v>4218.5</v>
      </c>
      <c r="AR2318" s="55">
        <v>28500</v>
      </c>
      <c r="AS2318" s="78">
        <f t="shared" si="40"/>
        <v>0.14801754385964913</v>
      </c>
    </row>
    <row r="2319" spans="39:45">
      <c r="AM2319" s="55">
        <v>2019</v>
      </c>
      <c r="AN2319" s="55" t="s">
        <v>186</v>
      </c>
      <c r="AO2319" s="55">
        <v>7</v>
      </c>
      <c r="AP2319" s="55">
        <v>13</v>
      </c>
      <c r="AQ2319" s="55">
        <v>4827.5</v>
      </c>
      <c r="AR2319" s="55">
        <v>28500</v>
      </c>
      <c r="AS2319" s="78">
        <f t="shared" si="40"/>
        <v>0.1693859649122807</v>
      </c>
    </row>
    <row r="2320" spans="39:45">
      <c r="AM2320" s="54">
        <v>2019</v>
      </c>
      <c r="AN2320" s="54" t="s">
        <v>186</v>
      </c>
      <c r="AO2320" s="54">
        <v>7</v>
      </c>
      <c r="AP2320" s="54">
        <v>14</v>
      </c>
      <c r="AQ2320" s="54">
        <v>4820</v>
      </c>
      <c r="AR2320" s="55">
        <v>28500</v>
      </c>
      <c r="AS2320" s="78">
        <f t="shared" si="40"/>
        <v>0.16912280701754387</v>
      </c>
    </row>
    <row r="2321" spans="39:45">
      <c r="AM2321" s="55">
        <v>2019</v>
      </c>
      <c r="AN2321" s="55" t="s">
        <v>186</v>
      </c>
      <c r="AO2321" s="55">
        <v>7</v>
      </c>
      <c r="AP2321" s="55">
        <v>15</v>
      </c>
      <c r="AQ2321" s="55">
        <v>12766</v>
      </c>
      <c r="AR2321" s="55">
        <v>28500</v>
      </c>
      <c r="AS2321" s="78">
        <f t="shared" si="40"/>
        <v>0.44792982456140351</v>
      </c>
    </row>
    <row r="2322" spans="39:45">
      <c r="AM2322" s="54">
        <v>2019</v>
      </c>
      <c r="AN2322" s="54" t="s">
        <v>186</v>
      </c>
      <c r="AO2322" s="54">
        <v>7</v>
      </c>
      <c r="AP2322" s="54">
        <v>16</v>
      </c>
      <c r="AQ2322" s="54">
        <v>6493</v>
      </c>
      <c r="AR2322" s="55">
        <v>28500</v>
      </c>
      <c r="AS2322" s="78">
        <f t="shared" si="40"/>
        <v>0.22782456140350876</v>
      </c>
    </row>
    <row r="2323" spans="39:45">
      <c r="AM2323" s="55">
        <v>2019</v>
      </c>
      <c r="AN2323" s="55" t="s">
        <v>186</v>
      </c>
      <c r="AO2323" s="55">
        <v>7</v>
      </c>
      <c r="AP2323" s="55">
        <v>17</v>
      </c>
      <c r="AQ2323" s="55">
        <v>3995.5</v>
      </c>
      <c r="AR2323" s="55">
        <v>28500</v>
      </c>
      <c r="AS2323" s="78">
        <f t="shared" si="40"/>
        <v>0.14019298245614034</v>
      </c>
    </row>
    <row r="2324" spans="39:45">
      <c r="AM2324" s="54">
        <v>2019</v>
      </c>
      <c r="AN2324" s="54" t="s">
        <v>186</v>
      </c>
      <c r="AO2324" s="54">
        <v>7</v>
      </c>
      <c r="AP2324" s="54">
        <v>18</v>
      </c>
      <c r="AQ2324" s="54">
        <v>20</v>
      </c>
      <c r="AR2324" s="55">
        <v>28500</v>
      </c>
      <c r="AS2324" s="78">
        <f t="shared" si="40"/>
        <v>7.0175438596491223E-4</v>
      </c>
    </row>
    <row r="2325" spans="39:45">
      <c r="AM2325" s="55">
        <v>2019</v>
      </c>
      <c r="AN2325" s="55" t="s">
        <v>186</v>
      </c>
      <c r="AO2325" s="55">
        <v>7</v>
      </c>
      <c r="AP2325" s="55">
        <v>19</v>
      </c>
      <c r="AQ2325" s="55">
        <v>0</v>
      </c>
      <c r="AR2325" s="55">
        <v>28500</v>
      </c>
      <c r="AS2325" s="78">
        <f t="shared" si="40"/>
        <v>0</v>
      </c>
    </row>
    <row r="2326" spans="39:45">
      <c r="AM2326" s="54">
        <v>2019</v>
      </c>
      <c r="AN2326" s="54" t="s">
        <v>186</v>
      </c>
      <c r="AO2326" s="54">
        <v>7</v>
      </c>
      <c r="AP2326" s="54">
        <v>20</v>
      </c>
      <c r="AQ2326" s="54">
        <v>0</v>
      </c>
      <c r="AR2326" s="55">
        <v>28500</v>
      </c>
      <c r="AS2326" s="78">
        <f t="shared" si="40"/>
        <v>0</v>
      </c>
    </row>
    <row r="2327" spans="39:45">
      <c r="AM2327" s="55">
        <v>2019</v>
      </c>
      <c r="AN2327" s="55" t="s">
        <v>186</v>
      </c>
      <c r="AO2327" s="55">
        <v>7</v>
      </c>
      <c r="AP2327" s="55">
        <v>21</v>
      </c>
      <c r="AQ2327" s="55">
        <v>0</v>
      </c>
      <c r="AR2327" s="55">
        <v>28500</v>
      </c>
      <c r="AS2327" s="78">
        <f t="shared" si="40"/>
        <v>0</v>
      </c>
    </row>
    <row r="2328" spans="39:45">
      <c r="AM2328" s="54">
        <v>2019</v>
      </c>
      <c r="AN2328" s="54" t="s">
        <v>186</v>
      </c>
      <c r="AO2328" s="54">
        <v>7</v>
      </c>
      <c r="AP2328" s="54">
        <v>22</v>
      </c>
      <c r="AQ2328" s="54">
        <v>0</v>
      </c>
      <c r="AR2328" s="55">
        <v>28500</v>
      </c>
      <c r="AS2328" s="78">
        <f t="shared" si="40"/>
        <v>0</v>
      </c>
    </row>
    <row r="2329" spans="39:45">
      <c r="AM2329" s="55">
        <v>2019</v>
      </c>
      <c r="AN2329" s="55" t="s">
        <v>186</v>
      </c>
      <c r="AO2329" s="55">
        <v>7</v>
      </c>
      <c r="AP2329" s="55">
        <v>23</v>
      </c>
      <c r="AQ2329" s="55">
        <v>0</v>
      </c>
      <c r="AR2329" s="55">
        <v>28500</v>
      </c>
      <c r="AS2329" s="78">
        <f t="shared" si="40"/>
        <v>0</v>
      </c>
    </row>
    <row r="2330" spans="39:45">
      <c r="AM2330" s="54">
        <v>2019</v>
      </c>
      <c r="AN2330" s="54" t="s">
        <v>186</v>
      </c>
      <c r="AO2330" s="54">
        <v>8</v>
      </c>
      <c r="AP2330" s="54">
        <v>24</v>
      </c>
      <c r="AQ2330" s="54">
        <v>0</v>
      </c>
      <c r="AR2330" s="55">
        <v>28500</v>
      </c>
      <c r="AS2330" s="78">
        <f t="shared" si="40"/>
        <v>0</v>
      </c>
    </row>
    <row r="2331" spans="39:45">
      <c r="AM2331" s="55">
        <v>2019</v>
      </c>
      <c r="AN2331" s="55" t="s">
        <v>186</v>
      </c>
      <c r="AO2331" s="55">
        <v>8</v>
      </c>
      <c r="AP2331" s="55">
        <v>1</v>
      </c>
      <c r="AQ2331" s="55">
        <v>0</v>
      </c>
      <c r="AR2331" s="55">
        <v>28500</v>
      </c>
      <c r="AS2331" s="78">
        <f t="shared" si="40"/>
        <v>0</v>
      </c>
    </row>
    <row r="2332" spans="39:45">
      <c r="AM2332" s="54">
        <v>2019</v>
      </c>
      <c r="AN2332" s="54" t="s">
        <v>186</v>
      </c>
      <c r="AO2332" s="54">
        <v>8</v>
      </c>
      <c r="AP2332" s="54">
        <v>2</v>
      </c>
      <c r="AQ2332" s="54">
        <v>0</v>
      </c>
      <c r="AR2332" s="55">
        <v>28500</v>
      </c>
      <c r="AS2332" s="78">
        <f t="shared" si="40"/>
        <v>0</v>
      </c>
    </row>
    <row r="2333" spans="39:45">
      <c r="AM2333" s="55">
        <v>2019</v>
      </c>
      <c r="AN2333" s="55" t="s">
        <v>186</v>
      </c>
      <c r="AO2333" s="55">
        <v>8</v>
      </c>
      <c r="AP2333" s="55">
        <v>3</v>
      </c>
      <c r="AQ2333" s="55">
        <v>0</v>
      </c>
      <c r="AR2333" s="55">
        <v>28500</v>
      </c>
      <c r="AS2333" s="78">
        <f t="shared" si="40"/>
        <v>0</v>
      </c>
    </row>
    <row r="2334" spans="39:45">
      <c r="AM2334" s="54">
        <v>2019</v>
      </c>
      <c r="AN2334" s="54" t="s">
        <v>186</v>
      </c>
      <c r="AO2334" s="54">
        <v>8</v>
      </c>
      <c r="AP2334" s="54">
        <v>4</v>
      </c>
      <c r="AQ2334" s="54">
        <v>0</v>
      </c>
      <c r="AR2334" s="55">
        <v>28500</v>
      </c>
      <c r="AS2334" s="78">
        <f t="shared" si="40"/>
        <v>0</v>
      </c>
    </row>
    <row r="2335" spans="39:45">
      <c r="AM2335" s="55">
        <v>2019</v>
      </c>
      <c r="AN2335" s="55" t="s">
        <v>186</v>
      </c>
      <c r="AO2335" s="55">
        <v>8</v>
      </c>
      <c r="AP2335" s="55">
        <v>5</v>
      </c>
      <c r="AQ2335" s="55">
        <v>0</v>
      </c>
      <c r="AR2335" s="55">
        <v>28500</v>
      </c>
      <c r="AS2335" s="78">
        <f t="shared" si="40"/>
        <v>0</v>
      </c>
    </row>
    <row r="2336" spans="39:45">
      <c r="AM2336" s="54">
        <v>2019</v>
      </c>
      <c r="AN2336" s="54" t="s">
        <v>186</v>
      </c>
      <c r="AO2336" s="54">
        <v>8</v>
      </c>
      <c r="AP2336" s="54">
        <v>6</v>
      </c>
      <c r="AQ2336" s="54">
        <v>1267</v>
      </c>
      <c r="AR2336" s="55">
        <v>28500</v>
      </c>
      <c r="AS2336" s="78">
        <f t="shared" si="40"/>
        <v>4.4456140350877194E-2</v>
      </c>
    </row>
    <row r="2337" spans="39:45">
      <c r="AM2337" s="55">
        <v>2019</v>
      </c>
      <c r="AN2337" s="55" t="s">
        <v>186</v>
      </c>
      <c r="AO2337" s="55">
        <v>8</v>
      </c>
      <c r="AP2337" s="55">
        <v>7</v>
      </c>
      <c r="AQ2337" s="55">
        <v>4113.5</v>
      </c>
      <c r="AR2337" s="55">
        <v>28500</v>
      </c>
      <c r="AS2337" s="78">
        <f t="shared" si="40"/>
        <v>0.14433333333333334</v>
      </c>
    </row>
    <row r="2338" spans="39:45">
      <c r="AM2338" s="54">
        <v>2019</v>
      </c>
      <c r="AN2338" s="54" t="s">
        <v>186</v>
      </c>
      <c r="AO2338" s="54">
        <v>8</v>
      </c>
      <c r="AP2338" s="54">
        <v>8</v>
      </c>
      <c r="AQ2338" s="54">
        <v>7315.5</v>
      </c>
      <c r="AR2338" s="55">
        <v>28500</v>
      </c>
      <c r="AS2338" s="78">
        <f t="shared" si="40"/>
        <v>0.25668421052631579</v>
      </c>
    </row>
    <row r="2339" spans="39:45">
      <c r="AM2339" s="55">
        <v>2019</v>
      </c>
      <c r="AN2339" s="55" t="s">
        <v>186</v>
      </c>
      <c r="AO2339" s="55">
        <v>8</v>
      </c>
      <c r="AP2339" s="55">
        <v>9</v>
      </c>
      <c r="AQ2339" s="55">
        <v>3435</v>
      </c>
      <c r="AR2339" s="55">
        <v>28500</v>
      </c>
      <c r="AS2339" s="78">
        <f t="shared" si="40"/>
        <v>0.12052631578947369</v>
      </c>
    </row>
    <row r="2340" spans="39:45">
      <c r="AM2340" s="54">
        <v>2019</v>
      </c>
      <c r="AN2340" s="54" t="s">
        <v>186</v>
      </c>
      <c r="AO2340" s="54">
        <v>8</v>
      </c>
      <c r="AP2340" s="54">
        <v>10</v>
      </c>
      <c r="AQ2340" s="54">
        <v>16345.5</v>
      </c>
      <c r="AR2340" s="55">
        <v>28500</v>
      </c>
      <c r="AS2340" s="78">
        <f t="shared" si="40"/>
        <v>0.57352631578947366</v>
      </c>
    </row>
    <row r="2341" spans="39:45">
      <c r="AM2341" s="55">
        <v>2019</v>
      </c>
      <c r="AN2341" s="55" t="s">
        <v>186</v>
      </c>
      <c r="AO2341" s="55">
        <v>8</v>
      </c>
      <c r="AP2341" s="55">
        <v>11</v>
      </c>
      <c r="AQ2341" s="55">
        <v>14932</v>
      </c>
      <c r="AR2341" s="55">
        <v>28500</v>
      </c>
      <c r="AS2341" s="78">
        <f t="shared" si="40"/>
        <v>0.52392982456140347</v>
      </c>
    </row>
    <row r="2342" spans="39:45">
      <c r="AM2342" s="54">
        <v>2019</v>
      </c>
      <c r="AN2342" s="54" t="s">
        <v>186</v>
      </c>
      <c r="AO2342" s="54">
        <v>8</v>
      </c>
      <c r="AP2342" s="54">
        <v>12</v>
      </c>
      <c r="AQ2342" s="54">
        <v>18865</v>
      </c>
      <c r="AR2342" s="55">
        <v>28500</v>
      </c>
      <c r="AS2342" s="78">
        <f t="shared" si="40"/>
        <v>0.66192982456140348</v>
      </c>
    </row>
    <row r="2343" spans="39:45">
      <c r="AM2343" s="55">
        <v>2019</v>
      </c>
      <c r="AN2343" s="55" t="s">
        <v>186</v>
      </c>
      <c r="AO2343" s="55">
        <v>8</v>
      </c>
      <c r="AP2343" s="55">
        <v>13</v>
      </c>
      <c r="AQ2343" s="55">
        <v>29702.5</v>
      </c>
      <c r="AR2343" s="55">
        <v>28500</v>
      </c>
      <c r="AS2343" s="78">
        <f t="shared" si="40"/>
        <v>1.0421929824561404</v>
      </c>
    </row>
    <row r="2344" spans="39:45">
      <c r="AM2344" s="54">
        <v>2019</v>
      </c>
      <c r="AN2344" s="54" t="s">
        <v>186</v>
      </c>
      <c r="AO2344" s="54">
        <v>8</v>
      </c>
      <c r="AP2344" s="54">
        <v>14</v>
      </c>
      <c r="AQ2344" s="54">
        <v>25414</v>
      </c>
      <c r="AR2344" s="55">
        <v>28500</v>
      </c>
      <c r="AS2344" s="78">
        <f t="shared" si="40"/>
        <v>0.89171929824561402</v>
      </c>
    </row>
    <row r="2345" spans="39:45">
      <c r="AM2345" s="55">
        <v>2019</v>
      </c>
      <c r="AN2345" s="55" t="s">
        <v>186</v>
      </c>
      <c r="AO2345" s="55">
        <v>8</v>
      </c>
      <c r="AP2345" s="55">
        <v>15</v>
      </c>
      <c r="AQ2345" s="55">
        <v>20571.5</v>
      </c>
      <c r="AR2345" s="55">
        <v>28500</v>
      </c>
      <c r="AS2345" s="78">
        <f t="shared" si="40"/>
        <v>0.72180701754385967</v>
      </c>
    </row>
    <row r="2346" spans="39:45">
      <c r="AM2346" s="54">
        <v>2019</v>
      </c>
      <c r="AN2346" s="54" t="s">
        <v>186</v>
      </c>
      <c r="AO2346" s="54">
        <v>8</v>
      </c>
      <c r="AP2346" s="54">
        <v>16</v>
      </c>
      <c r="AQ2346" s="54">
        <v>16085.5</v>
      </c>
      <c r="AR2346" s="55">
        <v>28500</v>
      </c>
      <c r="AS2346" s="78">
        <f t="shared" si="40"/>
        <v>0.5644035087719298</v>
      </c>
    </row>
    <row r="2347" spans="39:45">
      <c r="AM2347" s="55">
        <v>2019</v>
      </c>
      <c r="AN2347" s="55" t="s">
        <v>186</v>
      </c>
      <c r="AO2347" s="55">
        <v>8</v>
      </c>
      <c r="AP2347" s="55">
        <v>17</v>
      </c>
      <c r="AQ2347" s="55">
        <v>4617.5</v>
      </c>
      <c r="AR2347" s="55">
        <v>28500</v>
      </c>
      <c r="AS2347" s="78">
        <f t="shared" si="40"/>
        <v>0.16201754385964912</v>
      </c>
    </row>
    <row r="2348" spans="39:45">
      <c r="AM2348" s="54">
        <v>2019</v>
      </c>
      <c r="AN2348" s="54" t="s">
        <v>186</v>
      </c>
      <c r="AO2348" s="54">
        <v>8</v>
      </c>
      <c r="AP2348" s="54">
        <v>18</v>
      </c>
      <c r="AQ2348" s="54">
        <v>0</v>
      </c>
      <c r="AR2348" s="55">
        <v>28500</v>
      </c>
      <c r="AS2348" s="78">
        <f t="shared" si="40"/>
        <v>0</v>
      </c>
    </row>
    <row r="2349" spans="39:45">
      <c r="AM2349" s="55">
        <v>2019</v>
      </c>
      <c r="AN2349" s="55" t="s">
        <v>186</v>
      </c>
      <c r="AO2349" s="55">
        <v>8</v>
      </c>
      <c r="AP2349" s="55">
        <v>19</v>
      </c>
      <c r="AQ2349" s="55">
        <v>0</v>
      </c>
      <c r="AR2349" s="55">
        <v>28500</v>
      </c>
      <c r="AS2349" s="78">
        <f t="shared" si="40"/>
        <v>0</v>
      </c>
    </row>
    <row r="2350" spans="39:45">
      <c r="AM2350" s="54">
        <v>2019</v>
      </c>
      <c r="AN2350" s="54" t="s">
        <v>186</v>
      </c>
      <c r="AO2350" s="54">
        <v>8</v>
      </c>
      <c r="AP2350" s="54">
        <v>20</v>
      </c>
      <c r="AQ2350" s="54">
        <v>0</v>
      </c>
      <c r="AR2350" s="55">
        <v>28500</v>
      </c>
      <c r="AS2350" s="78">
        <f t="shared" si="40"/>
        <v>0</v>
      </c>
    </row>
    <row r="2351" spans="39:45">
      <c r="AM2351" s="55">
        <v>2019</v>
      </c>
      <c r="AN2351" s="55" t="s">
        <v>186</v>
      </c>
      <c r="AO2351" s="55">
        <v>8</v>
      </c>
      <c r="AP2351" s="55">
        <v>21</v>
      </c>
      <c r="AQ2351" s="55">
        <v>0</v>
      </c>
      <c r="AR2351" s="55">
        <v>28500</v>
      </c>
      <c r="AS2351" s="78">
        <f t="shared" si="40"/>
        <v>0</v>
      </c>
    </row>
    <row r="2352" spans="39:45">
      <c r="AM2352" s="54">
        <v>2019</v>
      </c>
      <c r="AN2352" s="54" t="s">
        <v>186</v>
      </c>
      <c r="AO2352" s="54">
        <v>8</v>
      </c>
      <c r="AP2352" s="54">
        <v>22</v>
      </c>
      <c r="AQ2352" s="54">
        <v>0</v>
      </c>
      <c r="AR2352" s="55">
        <v>28500</v>
      </c>
      <c r="AS2352" s="78">
        <f t="shared" si="40"/>
        <v>0</v>
      </c>
    </row>
    <row r="2353" spans="39:45">
      <c r="AM2353" s="55">
        <v>2019</v>
      </c>
      <c r="AN2353" s="55" t="s">
        <v>186</v>
      </c>
      <c r="AO2353" s="55">
        <v>8</v>
      </c>
      <c r="AP2353" s="55">
        <v>23</v>
      </c>
      <c r="AQ2353" s="55">
        <v>0</v>
      </c>
      <c r="AR2353" s="55">
        <v>28500</v>
      </c>
      <c r="AS2353" s="78">
        <f t="shared" si="40"/>
        <v>0</v>
      </c>
    </row>
    <row r="2354" spans="39:45">
      <c r="AM2354" s="54">
        <v>2019</v>
      </c>
      <c r="AN2354" s="54" t="s">
        <v>186</v>
      </c>
      <c r="AO2354" s="54">
        <v>9</v>
      </c>
      <c r="AP2354" s="54">
        <v>24</v>
      </c>
      <c r="AQ2354" s="54">
        <v>0</v>
      </c>
      <c r="AR2354" s="55">
        <v>28500</v>
      </c>
      <c r="AS2354" s="78">
        <f t="shared" si="40"/>
        <v>0</v>
      </c>
    </row>
    <row r="2355" spans="39:45">
      <c r="AM2355" s="55">
        <v>2019</v>
      </c>
      <c r="AN2355" s="55" t="s">
        <v>186</v>
      </c>
      <c r="AO2355" s="55">
        <v>9</v>
      </c>
      <c r="AP2355" s="55">
        <v>1</v>
      </c>
      <c r="AQ2355" s="55">
        <v>0</v>
      </c>
      <c r="AR2355" s="55">
        <v>28500</v>
      </c>
      <c r="AS2355" s="78">
        <f t="shared" si="40"/>
        <v>0</v>
      </c>
    </row>
    <row r="2356" spans="39:45">
      <c r="AM2356" s="54">
        <v>2019</v>
      </c>
      <c r="AN2356" s="54" t="s">
        <v>186</v>
      </c>
      <c r="AO2356" s="54">
        <v>9</v>
      </c>
      <c r="AP2356" s="54">
        <v>2</v>
      </c>
      <c r="AQ2356" s="54">
        <v>0</v>
      </c>
      <c r="AR2356" s="55">
        <v>28500</v>
      </c>
      <c r="AS2356" s="78">
        <f t="shared" si="40"/>
        <v>0</v>
      </c>
    </row>
    <row r="2357" spans="39:45">
      <c r="AM2357" s="55">
        <v>2019</v>
      </c>
      <c r="AN2357" s="55" t="s">
        <v>186</v>
      </c>
      <c r="AO2357" s="55">
        <v>9</v>
      </c>
      <c r="AP2357" s="55">
        <v>3</v>
      </c>
      <c r="AQ2357" s="55">
        <v>0</v>
      </c>
      <c r="AR2357" s="55">
        <v>28500</v>
      </c>
      <c r="AS2357" s="78">
        <f t="shared" si="40"/>
        <v>0</v>
      </c>
    </row>
    <row r="2358" spans="39:45">
      <c r="AM2358" s="54">
        <v>2019</v>
      </c>
      <c r="AN2358" s="54" t="s">
        <v>186</v>
      </c>
      <c r="AO2358" s="54">
        <v>9</v>
      </c>
      <c r="AP2358" s="54">
        <v>4</v>
      </c>
      <c r="AQ2358" s="54">
        <v>0</v>
      </c>
      <c r="AR2358" s="55">
        <v>28500</v>
      </c>
      <c r="AS2358" s="78">
        <f t="shared" si="40"/>
        <v>0</v>
      </c>
    </row>
    <row r="2359" spans="39:45">
      <c r="AM2359" s="55">
        <v>2019</v>
      </c>
      <c r="AN2359" s="55" t="s">
        <v>186</v>
      </c>
      <c r="AO2359" s="55">
        <v>9</v>
      </c>
      <c r="AP2359" s="55">
        <v>5</v>
      </c>
      <c r="AQ2359" s="55">
        <v>0</v>
      </c>
      <c r="AR2359" s="55">
        <v>28500</v>
      </c>
      <c r="AS2359" s="78">
        <f t="shared" si="40"/>
        <v>0</v>
      </c>
    </row>
    <row r="2360" spans="39:45">
      <c r="AM2360" s="54">
        <v>2019</v>
      </c>
      <c r="AN2360" s="54" t="s">
        <v>186</v>
      </c>
      <c r="AO2360" s="54">
        <v>9</v>
      </c>
      <c r="AP2360" s="54">
        <v>6</v>
      </c>
      <c r="AQ2360" s="54">
        <v>222.5</v>
      </c>
      <c r="AR2360" s="55">
        <v>28500</v>
      </c>
      <c r="AS2360" s="78">
        <f t="shared" si="40"/>
        <v>7.8070175438596495E-3</v>
      </c>
    </row>
    <row r="2361" spans="39:45">
      <c r="AM2361" s="55">
        <v>2019</v>
      </c>
      <c r="AN2361" s="55" t="s">
        <v>186</v>
      </c>
      <c r="AO2361" s="55">
        <v>9</v>
      </c>
      <c r="AP2361" s="55">
        <v>7</v>
      </c>
      <c r="AQ2361" s="55">
        <v>1153</v>
      </c>
      <c r="AR2361" s="55">
        <v>28500</v>
      </c>
      <c r="AS2361" s="78">
        <f t="shared" si="40"/>
        <v>4.045614035087719E-2</v>
      </c>
    </row>
    <row r="2362" spans="39:45">
      <c r="AM2362" s="54">
        <v>2019</v>
      </c>
      <c r="AN2362" s="54" t="s">
        <v>186</v>
      </c>
      <c r="AO2362" s="54">
        <v>9</v>
      </c>
      <c r="AP2362" s="54">
        <v>8</v>
      </c>
      <c r="AQ2362" s="54">
        <v>3283.5</v>
      </c>
      <c r="AR2362" s="55">
        <v>28500</v>
      </c>
      <c r="AS2362" s="78">
        <f t="shared" si="40"/>
        <v>0.11521052631578947</v>
      </c>
    </row>
    <row r="2363" spans="39:45">
      <c r="AM2363" s="55">
        <v>2019</v>
      </c>
      <c r="AN2363" s="55" t="s">
        <v>186</v>
      </c>
      <c r="AO2363" s="55">
        <v>9</v>
      </c>
      <c r="AP2363" s="55">
        <v>9</v>
      </c>
      <c r="AQ2363" s="55">
        <v>2849.5</v>
      </c>
      <c r="AR2363" s="55">
        <v>28500</v>
      </c>
      <c r="AS2363" s="78">
        <f t="shared" si="40"/>
        <v>9.9982456140350881E-2</v>
      </c>
    </row>
    <row r="2364" spans="39:45">
      <c r="AM2364" s="54">
        <v>2019</v>
      </c>
      <c r="AN2364" s="54" t="s">
        <v>186</v>
      </c>
      <c r="AO2364" s="54">
        <v>9</v>
      </c>
      <c r="AP2364" s="54">
        <v>10</v>
      </c>
      <c r="AQ2364" s="54">
        <v>2505.5</v>
      </c>
      <c r="AR2364" s="55">
        <v>28500</v>
      </c>
      <c r="AS2364" s="78">
        <f t="shared" si="40"/>
        <v>8.7912280701754386E-2</v>
      </c>
    </row>
    <row r="2365" spans="39:45">
      <c r="AM2365" s="55">
        <v>2019</v>
      </c>
      <c r="AN2365" s="55" t="s">
        <v>186</v>
      </c>
      <c r="AO2365" s="55">
        <v>9</v>
      </c>
      <c r="AP2365" s="55">
        <v>11</v>
      </c>
      <c r="AQ2365" s="55">
        <v>2388</v>
      </c>
      <c r="AR2365" s="55">
        <v>28500</v>
      </c>
      <c r="AS2365" s="78">
        <f t="shared" si="40"/>
        <v>8.3789473684210525E-2</v>
      </c>
    </row>
    <row r="2366" spans="39:45">
      <c r="AM2366" s="54">
        <v>2019</v>
      </c>
      <c r="AN2366" s="54" t="s">
        <v>186</v>
      </c>
      <c r="AO2366" s="54">
        <v>9</v>
      </c>
      <c r="AP2366" s="54">
        <v>12</v>
      </c>
      <c r="AQ2366" s="54">
        <v>7815</v>
      </c>
      <c r="AR2366" s="55">
        <v>28500</v>
      </c>
      <c r="AS2366" s="78">
        <f t="shared" si="40"/>
        <v>0.27421052631578946</v>
      </c>
    </row>
    <row r="2367" spans="39:45">
      <c r="AM2367" s="55">
        <v>2019</v>
      </c>
      <c r="AN2367" s="55" t="s">
        <v>186</v>
      </c>
      <c r="AO2367" s="55">
        <v>9</v>
      </c>
      <c r="AP2367" s="55">
        <v>13</v>
      </c>
      <c r="AQ2367" s="55">
        <v>5581</v>
      </c>
      <c r="AR2367" s="55">
        <v>28500</v>
      </c>
      <c r="AS2367" s="78">
        <f t="shared" si="40"/>
        <v>0.19582456140350876</v>
      </c>
    </row>
    <row r="2368" spans="39:45">
      <c r="AM2368" s="54">
        <v>2019</v>
      </c>
      <c r="AN2368" s="54" t="s">
        <v>186</v>
      </c>
      <c r="AO2368" s="54">
        <v>9</v>
      </c>
      <c r="AP2368" s="54">
        <v>14</v>
      </c>
      <c r="AQ2368" s="54">
        <v>11469</v>
      </c>
      <c r="AR2368" s="55">
        <v>28500</v>
      </c>
      <c r="AS2368" s="78">
        <f t="shared" si="40"/>
        <v>0.40242105263157896</v>
      </c>
    </row>
    <row r="2369" spans="39:45">
      <c r="AM2369" s="55">
        <v>2019</v>
      </c>
      <c r="AN2369" s="55" t="s">
        <v>186</v>
      </c>
      <c r="AO2369" s="55">
        <v>9</v>
      </c>
      <c r="AP2369" s="55">
        <v>15</v>
      </c>
      <c r="AQ2369" s="55">
        <v>8099.5</v>
      </c>
      <c r="AR2369" s="55">
        <v>28500</v>
      </c>
      <c r="AS2369" s="78">
        <f t="shared" si="40"/>
        <v>0.28419298245614033</v>
      </c>
    </row>
    <row r="2370" spans="39:45">
      <c r="AM2370" s="54">
        <v>2019</v>
      </c>
      <c r="AN2370" s="54" t="s">
        <v>186</v>
      </c>
      <c r="AO2370" s="54">
        <v>9</v>
      </c>
      <c r="AP2370" s="54">
        <v>16</v>
      </c>
      <c r="AQ2370" s="54">
        <v>5959.5</v>
      </c>
      <c r="AR2370" s="55">
        <v>28500</v>
      </c>
      <c r="AS2370" s="78">
        <f t="shared" ref="AS2370:AS2433" si="41">AQ2370/AR2370</f>
        <v>0.20910526315789474</v>
      </c>
    </row>
    <row r="2371" spans="39:45">
      <c r="AM2371" s="55">
        <v>2019</v>
      </c>
      <c r="AN2371" s="55" t="s">
        <v>186</v>
      </c>
      <c r="AO2371" s="55">
        <v>9</v>
      </c>
      <c r="AP2371" s="55">
        <v>17</v>
      </c>
      <c r="AQ2371" s="55">
        <v>3484.5</v>
      </c>
      <c r="AR2371" s="55">
        <v>28500</v>
      </c>
      <c r="AS2371" s="78">
        <f t="shared" si="41"/>
        <v>0.12226315789473684</v>
      </c>
    </row>
    <row r="2372" spans="39:45">
      <c r="AM2372" s="54">
        <v>2019</v>
      </c>
      <c r="AN2372" s="54" t="s">
        <v>186</v>
      </c>
      <c r="AO2372" s="54">
        <v>9</v>
      </c>
      <c r="AP2372" s="54">
        <v>18</v>
      </c>
      <c r="AQ2372" s="54">
        <v>5</v>
      </c>
      <c r="AR2372" s="55">
        <v>28500</v>
      </c>
      <c r="AS2372" s="78">
        <f t="shared" si="41"/>
        <v>1.7543859649122806E-4</v>
      </c>
    </row>
    <row r="2373" spans="39:45">
      <c r="AM2373" s="55">
        <v>2019</v>
      </c>
      <c r="AN2373" s="55" t="s">
        <v>186</v>
      </c>
      <c r="AO2373" s="55">
        <v>9</v>
      </c>
      <c r="AP2373" s="55">
        <v>19</v>
      </c>
      <c r="AQ2373" s="55">
        <v>0</v>
      </c>
      <c r="AR2373" s="55">
        <v>28500</v>
      </c>
      <c r="AS2373" s="78">
        <f t="shared" si="41"/>
        <v>0</v>
      </c>
    </row>
    <row r="2374" spans="39:45">
      <c r="AM2374" s="54">
        <v>2019</v>
      </c>
      <c r="AN2374" s="54" t="s">
        <v>186</v>
      </c>
      <c r="AO2374" s="54">
        <v>9</v>
      </c>
      <c r="AP2374" s="54">
        <v>20</v>
      </c>
      <c r="AQ2374" s="54">
        <v>0</v>
      </c>
      <c r="AR2374" s="55">
        <v>28500</v>
      </c>
      <c r="AS2374" s="78">
        <f t="shared" si="41"/>
        <v>0</v>
      </c>
    </row>
    <row r="2375" spans="39:45">
      <c r="AM2375" s="55">
        <v>2019</v>
      </c>
      <c r="AN2375" s="55" t="s">
        <v>186</v>
      </c>
      <c r="AO2375" s="55">
        <v>9</v>
      </c>
      <c r="AP2375" s="55">
        <v>21</v>
      </c>
      <c r="AQ2375" s="55">
        <v>0</v>
      </c>
      <c r="AR2375" s="55">
        <v>28500</v>
      </c>
      <c r="AS2375" s="78">
        <f t="shared" si="41"/>
        <v>0</v>
      </c>
    </row>
    <row r="2376" spans="39:45">
      <c r="AM2376" s="54">
        <v>2019</v>
      </c>
      <c r="AN2376" s="54" t="s">
        <v>186</v>
      </c>
      <c r="AO2376" s="54">
        <v>9</v>
      </c>
      <c r="AP2376" s="54">
        <v>22</v>
      </c>
      <c r="AQ2376" s="54">
        <v>0</v>
      </c>
      <c r="AR2376" s="55">
        <v>28500</v>
      </c>
      <c r="AS2376" s="78">
        <f t="shared" si="41"/>
        <v>0</v>
      </c>
    </row>
    <row r="2377" spans="39:45">
      <c r="AM2377" s="55">
        <v>2019</v>
      </c>
      <c r="AN2377" s="55" t="s">
        <v>186</v>
      </c>
      <c r="AO2377" s="55">
        <v>9</v>
      </c>
      <c r="AP2377" s="55">
        <v>23</v>
      </c>
      <c r="AQ2377" s="55">
        <v>0</v>
      </c>
      <c r="AR2377" s="55">
        <v>28500</v>
      </c>
      <c r="AS2377" s="78">
        <f t="shared" si="41"/>
        <v>0</v>
      </c>
    </row>
    <row r="2378" spans="39:45">
      <c r="AM2378" s="54">
        <v>2019</v>
      </c>
      <c r="AN2378" s="54" t="s">
        <v>186</v>
      </c>
      <c r="AO2378" s="54">
        <v>10</v>
      </c>
      <c r="AP2378" s="54">
        <v>24</v>
      </c>
      <c r="AQ2378" s="54">
        <v>0</v>
      </c>
      <c r="AR2378" s="55">
        <v>28500</v>
      </c>
      <c r="AS2378" s="78">
        <f t="shared" si="41"/>
        <v>0</v>
      </c>
    </row>
    <row r="2379" spans="39:45">
      <c r="AM2379" s="55">
        <v>2019</v>
      </c>
      <c r="AN2379" s="55" t="s">
        <v>186</v>
      </c>
      <c r="AO2379" s="55">
        <v>10</v>
      </c>
      <c r="AP2379" s="55">
        <v>1</v>
      </c>
      <c r="AQ2379" s="55">
        <v>0</v>
      </c>
      <c r="AR2379" s="55">
        <v>28500</v>
      </c>
      <c r="AS2379" s="78">
        <f t="shared" si="41"/>
        <v>0</v>
      </c>
    </row>
    <row r="2380" spans="39:45">
      <c r="AM2380" s="54">
        <v>2019</v>
      </c>
      <c r="AN2380" s="54" t="s">
        <v>186</v>
      </c>
      <c r="AO2380" s="54">
        <v>10</v>
      </c>
      <c r="AP2380" s="54">
        <v>2</v>
      </c>
      <c r="AQ2380" s="54">
        <v>0</v>
      </c>
      <c r="AR2380" s="55">
        <v>28500</v>
      </c>
      <c r="AS2380" s="78">
        <f t="shared" si="41"/>
        <v>0</v>
      </c>
    </row>
    <row r="2381" spans="39:45">
      <c r="AM2381" s="55">
        <v>2019</v>
      </c>
      <c r="AN2381" s="55" t="s">
        <v>186</v>
      </c>
      <c r="AO2381" s="55">
        <v>10</v>
      </c>
      <c r="AP2381" s="55">
        <v>3</v>
      </c>
      <c r="AQ2381" s="55">
        <v>0</v>
      </c>
      <c r="AR2381" s="55">
        <v>28500</v>
      </c>
      <c r="AS2381" s="78">
        <f t="shared" si="41"/>
        <v>0</v>
      </c>
    </row>
    <row r="2382" spans="39:45">
      <c r="AM2382" s="54">
        <v>2019</v>
      </c>
      <c r="AN2382" s="54" t="s">
        <v>186</v>
      </c>
      <c r="AO2382" s="54">
        <v>10</v>
      </c>
      <c r="AP2382" s="54">
        <v>4</v>
      </c>
      <c r="AQ2382" s="54">
        <v>0</v>
      </c>
      <c r="AR2382" s="55">
        <v>28500</v>
      </c>
      <c r="AS2382" s="78">
        <f t="shared" si="41"/>
        <v>0</v>
      </c>
    </row>
    <row r="2383" spans="39:45">
      <c r="AM2383" s="55">
        <v>2019</v>
      </c>
      <c r="AN2383" s="55" t="s">
        <v>186</v>
      </c>
      <c r="AO2383" s="55">
        <v>10</v>
      </c>
      <c r="AP2383" s="55">
        <v>5</v>
      </c>
      <c r="AQ2383" s="55">
        <v>0</v>
      </c>
      <c r="AR2383" s="55">
        <v>28500</v>
      </c>
      <c r="AS2383" s="78">
        <f t="shared" si="41"/>
        <v>0</v>
      </c>
    </row>
    <row r="2384" spans="39:45">
      <c r="AM2384" s="54">
        <v>2019</v>
      </c>
      <c r="AN2384" s="54" t="s">
        <v>186</v>
      </c>
      <c r="AO2384" s="54">
        <v>10</v>
      </c>
      <c r="AP2384" s="54">
        <v>6</v>
      </c>
      <c r="AQ2384" s="54">
        <v>589.5</v>
      </c>
      <c r="AR2384" s="55">
        <v>28500</v>
      </c>
      <c r="AS2384" s="78">
        <f t="shared" si="41"/>
        <v>2.0684210526315791E-2</v>
      </c>
    </row>
    <row r="2385" spans="39:45">
      <c r="AM2385" s="55">
        <v>2019</v>
      </c>
      <c r="AN2385" s="55" t="s">
        <v>186</v>
      </c>
      <c r="AO2385" s="55">
        <v>10</v>
      </c>
      <c r="AP2385" s="55">
        <v>7</v>
      </c>
      <c r="AQ2385" s="55">
        <v>4868.5</v>
      </c>
      <c r="AR2385" s="55">
        <v>28500</v>
      </c>
      <c r="AS2385" s="78">
        <f t="shared" si="41"/>
        <v>0.17082456140350877</v>
      </c>
    </row>
    <row r="2386" spans="39:45">
      <c r="AM2386" s="54">
        <v>2019</v>
      </c>
      <c r="AN2386" s="54" t="s">
        <v>186</v>
      </c>
      <c r="AO2386" s="54">
        <v>10</v>
      </c>
      <c r="AP2386" s="54">
        <v>8</v>
      </c>
      <c r="AQ2386" s="54">
        <v>11696.5</v>
      </c>
      <c r="AR2386" s="55">
        <v>28500</v>
      </c>
      <c r="AS2386" s="78">
        <f t="shared" si="41"/>
        <v>0.41040350877192983</v>
      </c>
    </row>
    <row r="2387" spans="39:45">
      <c r="AM2387" s="55">
        <v>2019</v>
      </c>
      <c r="AN2387" s="55" t="s">
        <v>186</v>
      </c>
      <c r="AO2387" s="55">
        <v>10</v>
      </c>
      <c r="AP2387" s="55">
        <v>9</v>
      </c>
      <c r="AQ2387" s="55">
        <v>26068.5</v>
      </c>
      <c r="AR2387" s="55">
        <v>28500</v>
      </c>
      <c r="AS2387" s="78">
        <f t="shared" si="41"/>
        <v>0.91468421052631577</v>
      </c>
    </row>
    <row r="2388" spans="39:45">
      <c r="AM2388" s="54">
        <v>2019</v>
      </c>
      <c r="AN2388" s="54" t="s">
        <v>186</v>
      </c>
      <c r="AO2388" s="54">
        <v>10</v>
      </c>
      <c r="AP2388" s="54">
        <v>10</v>
      </c>
      <c r="AQ2388" s="54">
        <v>35313.5</v>
      </c>
      <c r="AR2388" s="55">
        <v>28500</v>
      </c>
      <c r="AS2388" s="78">
        <f t="shared" si="41"/>
        <v>1.2390701754385964</v>
      </c>
    </row>
    <row r="2389" spans="39:45">
      <c r="AM2389" s="55">
        <v>2019</v>
      </c>
      <c r="AN2389" s="55" t="s">
        <v>186</v>
      </c>
      <c r="AO2389" s="55">
        <v>10</v>
      </c>
      <c r="AP2389" s="55">
        <v>11</v>
      </c>
      <c r="AQ2389" s="55">
        <v>44556</v>
      </c>
      <c r="AR2389" s="55">
        <v>28500</v>
      </c>
      <c r="AS2389" s="78">
        <f t="shared" si="41"/>
        <v>1.5633684210526315</v>
      </c>
    </row>
    <row r="2390" spans="39:45">
      <c r="AM2390" s="54">
        <v>2019</v>
      </c>
      <c r="AN2390" s="54" t="s">
        <v>186</v>
      </c>
      <c r="AO2390" s="54">
        <v>10</v>
      </c>
      <c r="AP2390" s="54">
        <v>12</v>
      </c>
      <c r="AQ2390" s="54">
        <v>45241.5</v>
      </c>
      <c r="AR2390" s="55">
        <v>28500</v>
      </c>
      <c r="AS2390" s="78">
        <f t="shared" si="41"/>
        <v>1.5874210526315788</v>
      </c>
    </row>
    <row r="2391" spans="39:45">
      <c r="AM2391" s="55">
        <v>2019</v>
      </c>
      <c r="AN2391" s="55" t="s">
        <v>186</v>
      </c>
      <c r="AO2391" s="55">
        <v>10</v>
      </c>
      <c r="AP2391" s="55">
        <v>13</v>
      </c>
      <c r="AQ2391" s="55">
        <v>43138.5</v>
      </c>
      <c r="AR2391" s="55">
        <v>28500</v>
      </c>
      <c r="AS2391" s="78">
        <f t="shared" si="41"/>
        <v>1.5136315789473684</v>
      </c>
    </row>
    <row r="2392" spans="39:45">
      <c r="AM2392" s="54">
        <v>2019</v>
      </c>
      <c r="AN2392" s="54" t="s">
        <v>186</v>
      </c>
      <c r="AO2392" s="54">
        <v>10</v>
      </c>
      <c r="AP2392" s="54">
        <v>14</v>
      </c>
      <c r="AQ2392" s="54">
        <v>38512</v>
      </c>
      <c r="AR2392" s="55">
        <v>28500</v>
      </c>
      <c r="AS2392" s="78">
        <f t="shared" si="41"/>
        <v>1.351298245614035</v>
      </c>
    </row>
    <row r="2393" spans="39:45">
      <c r="AM2393" s="55">
        <v>2019</v>
      </c>
      <c r="AN2393" s="55" t="s">
        <v>186</v>
      </c>
      <c r="AO2393" s="55">
        <v>10</v>
      </c>
      <c r="AP2393" s="55">
        <v>15</v>
      </c>
      <c r="AQ2393" s="55">
        <v>30947.5</v>
      </c>
      <c r="AR2393" s="55">
        <v>28500</v>
      </c>
      <c r="AS2393" s="78">
        <f t="shared" si="41"/>
        <v>1.0858771929824562</v>
      </c>
    </row>
    <row r="2394" spans="39:45">
      <c r="AM2394" s="54">
        <v>2019</v>
      </c>
      <c r="AN2394" s="54" t="s">
        <v>186</v>
      </c>
      <c r="AO2394" s="54">
        <v>10</v>
      </c>
      <c r="AP2394" s="54">
        <v>16</v>
      </c>
      <c r="AQ2394" s="54">
        <v>19987</v>
      </c>
      <c r="AR2394" s="55">
        <v>28500</v>
      </c>
      <c r="AS2394" s="78">
        <f t="shared" si="41"/>
        <v>0.70129824561403509</v>
      </c>
    </row>
    <row r="2395" spans="39:45">
      <c r="AM2395" s="55">
        <v>2019</v>
      </c>
      <c r="AN2395" s="55" t="s">
        <v>186</v>
      </c>
      <c r="AO2395" s="55">
        <v>10</v>
      </c>
      <c r="AP2395" s="55">
        <v>17</v>
      </c>
      <c r="AQ2395" s="55">
        <v>7592.5</v>
      </c>
      <c r="AR2395" s="55">
        <v>28500</v>
      </c>
      <c r="AS2395" s="78">
        <f t="shared" si="41"/>
        <v>0.26640350877192981</v>
      </c>
    </row>
    <row r="2396" spans="39:45">
      <c r="AM2396" s="54">
        <v>2019</v>
      </c>
      <c r="AN2396" s="54" t="s">
        <v>186</v>
      </c>
      <c r="AO2396" s="54">
        <v>10</v>
      </c>
      <c r="AP2396" s="54">
        <v>18</v>
      </c>
      <c r="AQ2396" s="54">
        <v>461</v>
      </c>
      <c r="AR2396" s="55">
        <v>28500</v>
      </c>
      <c r="AS2396" s="78">
        <f t="shared" si="41"/>
        <v>1.6175438596491228E-2</v>
      </c>
    </row>
    <row r="2397" spans="39:45">
      <c r="AM2397" s="55">
        <v>2019</v>
      </c>
      <c r="AN2397" s="55" t="s">
        <v>186</v>
      </c>
      <c r="AO2397" s="55">
        <v>10</v>
      </c>
      <c r="AP2397" s="55">
        <v>19</v>
      </c>
      <c r="AQ2397" s="55">
        <v>0</v>
      </c>
      <c r="AR2397" s="55">
        <v>28500</v>
      </c>
      <c r="AS2397" s="78">
        <f t="shared" si="41"/>
        <v>0</v>
      </c>
    </row>
    <row r="2398" spans="39:45">
      <c r="AM2398" s="54">
        <v>2019</v>
      </c>
      <c r="AN2398" s="54" t="s">
        <v>186</v>
      </c>
      <c r="AO2398" s="54">
        <v>10</v>
      </c>
      <c r="AP2398" s="54">
        <v>20</v>
      </c>
      <c r="AQ2398" s="54">
        <v>0</v>
      </c>
      <c r="AR2398" s="55">
        <v>28500</v>
      </c>
      <c r="AS2398" s="78">
        <f t="shared" si="41"/>
        <v>0</v>
      </c>
    </row>
    <row r="2399" spans="39:45">
      <c r="AM2399" s="55">
        <v>2019</v>
      </c>
      <c r="AN2399" s="55" t="s">
        <v>186</v>
      </c>
      <c r="AO2399" s="55">
        <v>10</v>
      </c>
      <c r="AP2399" s="55">
        <v>21</v>
      </c>
      <c r="AQ2399" s="55">
        <v>0</v>
      </c>
      <c r="AR2399" s="55">
        <v>28500</v>
      </c>
      <c r="AS2399" s="78">
        <f t="shared" si="41"/>
        <v>0</v>
      </c>
    </row>
    <row r="2400" spans="39:45">
      <c r="AM2400" s="54">
        <v>2019</v>
      </c>
      <c r="AN2400" s="54" t="s">
        <v>186</v>
      </c>
      <c r="AO2400" s="54">
        <v>10</v>
      </c>
      <c r="AP2400" s="54">
        <v>22</v>
      </c>
      <c r="AQ2400" s="54">
        <v>0</v>
      </c>
      <c r="AR2400" s="55">
        <v>28500</v>
      </c>
      <c r="AS2400" s="78">
        <f t="shared" si="41"/>
        <v>0</v>
      </c>
    </row>
    <row r="2401" spans="39:45">
      <c r="AM2401" s="55">
        <v>2019</v>
      </c>
      <c r="AN2401" s="55" t="s">
        <v>186</v>
      </c>
      <c r="AO2401" s="55">
        <v>10</v>
      </c>
      <c r="AP2401" s="55">
        <v>23</v>
      </c>
      <c r="AQ2401" s="55">
        <v>0</v>
      </c>
      <c r="AR2401" s="55">
        <v>28500</v>
      </c>
      <c r="AS2401" s="78">
        <f t="shared" si="41"/>
        <v>0</v>
      </c>
    </row>
    <row r="2402" spans="39:45">
      <c r="AM2402" s="54">
        <v>2019</v>
      </c>
      <c r="AN2402" s="54" t="s">
        <v>186</v>
      </c>
      <c r="AO2402" s="54">
        <v>11</v>
      </c>
      <c r="AP2402" s="54">
        <v>24</v>
      </c>
      <c r="AQ2402" s="54">
        <v>0</v>
      </c>
      <c r="AR2402" s="55">
        <v>28500</v>
      </c>
      <c r="AS2402" s="78">
        <f t="shared" si="41"/>
        <v>0</v>
      </c>
    </row>
    <row r="2403" spans="39:45">
      <c r="AM2403" s="55">
        <v>2019</v>
      </c>
      <c r="AN2403" s="55" t="s">
        <v>186</v>
      </c>
      <c r="AO2403" s="55">
        <v>11</v>
      </c>
      <c r="AP2403" s="55">
        <v>1</v>
      </c>
      <c r="AQ2403" s="55">
        <v>0</v>
      </c>
      <c r="AR2403" s="55">
        <v>28500</v>
      </c>
      <c r="AS2403" s="78">
        <f t="shared" si="41"/>
        <v>0</v>
      </c>
    </row>
    <row r="2404" spans="39:45">
      <c r="AM2404" s="54">
        <v>2019</v>
      </c>
      <c r="AN2404" s="54" t="s">
        <v>186</v>
      </c>
      <c r="AO2404" s="54">
        <v>11</v>
      </c>
      <c r="AP2404" s="54">
        <v>2</v>
      </c>
      <c r="AQ2404" s="54">
        <v>0</v>
      </c>
      <c r="AR2404" s="55">
        <v>28500</v>
      </c>
      <c r="AS2404" s="78">
        <f t="shared" si="41"/>
        <v>0</v>
      </c>
    </row>
    <row r="2405" spans="39:45">
      <c r="AM2405" s="55">
        <v>2019</v>
      </c>
      <c r="AN2405" s="55" t="s">
        <v>186</v>
      </c>
      <c r="AO2405" s="55">
        <v>11</v>
      </c>
      <c r="AP2405" s="55">
        <v>3</v>
      </c>
      <c r="AQ2405" s="55">
        <v>0</v>
      </c>
      <c r="AR2405" s="55">
        <v>28500</v>
      </c>
      <c r="AS2405" s="78">
        <f t="shared" si="41"/>
        <v>0</v>
      </c>
    </row>
    <row r="2406" spans="39:45">
      <c r="AM2406" s="54">
        <v>2019</v>
      </c>
      <c r="AN2406" s="54" t="s">
        <v>186</v>
      </c>
      <c r="AO2406" s="54">
        <v>11</v>
      </c>
      <c r="AP2406" s="54">
        <v>4</v>
      </c>
      <c r="AQ2406" s="54">
        <v>0</v>
      </c>
      <c r="AR2406" s="55">
        <v>28500</v>
      </c>
      <c r="AS2406" s="78">
        <f t="shared" si="41"/>
        <v>0</v>
      </c>
    </row>
    <row r="2407" spans="39:45">
      <c r="AM2407" s="55">
        <v>2019</v>
      </c>
      <c r="AN2407" s="55" t="s">
        <v>186</v>
      </c>
      <c r="AO2407" s="55">
        <v>11</v>
      </c>
      <c r="AP2407" s="55">
        <v>5</v>
      </c>
      <c r="AQ2407" s="55">
        <v>0</v>
      </c>
      <c r="AR2407" s="55">
        <v>28500</v>
      </c>
      <c r="AS2407" s="78">
        <f t="shared" si="41"/>
        <v>0</v>
      </c>
    </row>
    <row r="2408" spans="39:45">
      <c r="AM2408" s="54">
        <v>2019</v>
      </c>
      <c r="AN2408" s="54" t="s">
        <v>186</v>
      </c>
      <c r="AO2408" s="54">
        <v>11</v>
      </c>
      <c r="AP2408" s="54">
        <v>6</v>
      </c>
      <c r="AQ2408" s="54">
        <v>1487</v>
      </c>
      <c r="AR2408" s="55">
        <v>28500</v>
      </c>
      <c r="AS2408" s="78">
        <f t="shared" si="41"/>
        <v>5.2175438596491229E-2</v>
      </c>
    </row>
    <row r="2409" spans="39:45">
      <c r="AM2409" s="55">
        <v>2019</v>
      </c>
      <c r="AN2409" s="55" t="s">
        <v>186</v>
      </c>
      <c r="AO2409" s="55">
        <v>11</v>
      </c>
      <c r="AP2409" s="55">
        <v>7</v>
      </c>
      <c r="AQ2409" s="55">
        <v>10834</v>
      </c>
      <c r="AR2409" s="55">
        <v>28500</v>
      </c>
      <c r="AS2409" s="78">
        <f t="shared" si="41"/>
        <v>0.380140350877193</v>
      </c>
    </row>
    <row r="2410" spans="39:45">
      <c r="AM2410" s="54">
        <v>2019</v>
      </c>
      <c r="AN2410" s="54" t="s">
        <v>186</v>
      </c>
      <c r="AO2410" s="54">
        <v>11</v>
      </c>
      <c r="AP2410" s="54">
        <v>8</v>
      </c>
      <c r="AQ2410" s="54">
        <v>19951.5</v>
      </c>
      <c r="AR2410" s="55">
        <v>28500</v>
      </c>
      <c r="AS2410" s="78">
        <f t="shared" si="41"/>
        <v>0.70005263157894737</v>
      </c>
    </row>
    <row r="2411" spans="39:45">
      <c r="AM2411" s="55">
        <v>2019</v>
      </c>
      <c r="AN2411" s="55" t="s">
        <v>186</v>
      </c>
      <c r="AO2411" s="55">
        <v>11</v>
      </c>
      <c r="AP2411" s="55">
        <v>9</v>
      </c>
      <c r="AQ2411" s="55">
        <v>23560.5</v>
      </c>
      <c r="AR2411" s="55">
        <v>28500</v>
      </c>
      <c r="AS2411" s="78">
        <f t="shared" si="41"/>
        <v>0.8266842105263158</v>
      </c>
    </row>
    <row r="2412" spans="39:45">
      <c r="AM2412" s="54">
        <v>2019</v>
      </c>
      <c r="AN2412" s="54" t="s">
        <v>186</v>
      </c>
      <c r="AO2412" s="54">
        <v>11</v>
      </c>
      <c r="AP2412" s="54">
        <v>10</v>
      </c>
      <c r="AQ2412" s="54">
        <v>16976.5</v>
      </c>
      <c r="AR2412" s="55">
        <v>28500</v>
      </c>
      <c r="AS2412" s="78">
        <f t="shared" si="41"/>
        <v>0.59566666666666668</v>
      </c>
    </row>
    <row r="2413" spans="39:45">
      <c r="AM2413" s="55">
        <v>2019</v>
      </c>
      <c r="AN2413" s="55" t="s">
        <v>186</v>
      </c>
      <c r="AO2413" s="55">
        <v>11</v>
      </c>
      <c r="AP2413" s="55">
        <v>11</v>
      </c>
      <c r="AQ2413" s="55">
        <v>23283.5</v>
      </c>
      <c r="AR2413" s="55">
        <v>28500</v>
      </c>
      <c r="AS2413" s="78">
        <f t="shared" si="41"/>
        <v>0.81696491228070178</v>
      </c>
    </row>
    <row r="2414" spans="39:45">
      <c r="AM2414" s="54">
        <v>2019</v>
      </c>
      <c r="AN2414" s="54" t="s">
        <v>186</v>
      </c>
      <c r="AO2414" s="54">
        <v>11</v>
      </c>
      <c r="AP2414" s="54">
        <v>12</v>
      </c>
      <c r="AQ2414" s="54">
        <v>32232.5</v>
      </c>
      <c r="AR2414" s="55">
        <v>28500</v>
      </c>
      <c r="AS2414" s="78">
        <f t="shared" si="41"/>
        <v>1.1309649122807017</v>
      </c>
    </row>
    <row r="2415" spans="39:45">
      <c r="AM2415" s="55">
        <v>2019</v>
      </c>
      <c r="AN2415" s="55" t="s">
        <v>186</v>
      </c>
      <c r="AO2415" s="55">
        <v>11</v>
      </c>
      <c r="AP2415" s="55">
        <v>13</v>
      </c>
      <c r="AQ2415" s="55">
        <v>37239.5</v>
      </c>
      <c r="AR2415" s="55">
        <v>28500</v>
      </c>
      <c r="AS2415" s="78">
        <f t="shared" si="41"/>
        <v>1.3066491228070176</v>
      </c>
    </row>
    <row r="2416" spans="39:45">
      <c r="AM2416" s="54">
        <v>2019</v>
      </c>
      <c r="AN2416" s="54" t="s">
        <v>186</v>
      </c>
      <c r="AO2416" s="54">
        <v>11</v>
      </c>
      <c r="AP2416" s="54">
        <v>14</v>
      </c>
      <c r="AQ2416" s="54">
        <v>35797.5</v>
      </c>
      <c r="AR2416" s="55">
        <v>28500</v>
      </c>
      <c r="AS2416" s="78">
        <f t="shared" si="41"/>
        <v>1.2560526315789473</v>
      </c>
    </row>
    <row r="2417" spans="39:45">
      <c r="AM2417" s="55">
        <v>2019</v>
      </c>
      <c r="AN2417" s="55" t="s">
        <v>186</v>
      </c>
      <c r="AO2417" s="55">
        <v>11</v>
      </c>
      <c r="AP2417" s="55">
        <v>15</v>
      </c>
      <c r="AQ2417" s="55">
        <v>30033</v>
      </c>
      <c r="AR2417" s="55">
        <v>28500</v>
      </c>
      <c r="AS2417" s="78">
        <f t="shared" si="41"/>
        <v>1.0537894736842106</v>
      </c>
    </row>
    <row r="2418" spans="39:45">
      <c r="AM2418" s="54">
        <v>2019</v>
      </c>
      <c r="AN2418" s="54" t="s">
        <v>186</v>
      </c>
      <c r="AO2418" s="54">
        <v>11</v>
      </c>
      <c r="AP2418" s="54">
        <v>16</v>
      </c>
      <c r="AQ2418" s="54">
        <v>19586</v>
      </c>
      <c r="AR2418" s="55">
        <v>28500</v>
      </c>
      <c r="AS2418" s="78">
        <f t="shared" si="41"/>
        <v>0.68722807017543863</v>
      </c>
    </row>
    <row r="2419" spans="39:45">
      <c r="AM2419" s="55">
        <v>2019</v>
      </c>
      <c r="AN2419" s="55" t="s">
        <v>186</v>
      </c>
      <c r="AO2419" s="55">
        <v>11</v>
      </c>
      <c r="AP2419" s="55">
        <v>17</v>
      </c>
      <c r="AQ2419" s="55">
        <v>7494</v>
      </c>
      <c r="AR2419" s="55">
        <v>28500</v>
      </c>
      <c r="AS2419" s="78">
        <f t="shared" si="41"/>
        <v>0.26294736842105265</v>
      </c>
    </row>
    <row r="2420" spans="39:45">
      <c r="AM2420" s="54">
        <v>2019</v>
      </c>
      <c r="AN2420" s="54" t="s">
        <v>186</v>
      </c>
      <c r="AO2420" s="54">
        <v>11</v>
      </c>
      <c r="AP2420" s="54">
        <v>18</v>
      </c>
      <c r="AQ2420" s="54">
        <v>516.5</v>
      </c>
      <c r="AR2420" s="55">
        <v>28500</v>
      </c>
      <c r="AS2420" s="78">
        <f t="shared" si="41"/>
        <v>1.812280701754386E-2</v>
      </c>
    </row>
    <row r="2421" spans="39:45">
      <c r="AM2421" s="55">
        <v>2019</v>
      </c>
      <c r="AN2421" s="55" t="s">
        <v>186</v>
      </c>
      <c r="AO2421" s="55">
        <v>11</v>
      </c>
      <c r="AP2421" s="55">
        <v>19</v>
      </c>
      <c r="AQ2421" s="55">
        <v>0</v>
      </c>
      <c r="AR2421" s="55">
        <v>28500</v>
      </c>
      <c r="AS2421" s="78">
        <f t="shared" si="41"/>
        <v>0</v>
      </c>
    </row>
    <row r="2422" spans="39:45">
      <c r="AM2422" s="54">
        <v>2019</v>
      </c>
      <c r="AN2422" s="54" t="s">
        <v>186</v>
      </c>
      <c r="AO2422" s="54">
        <v>11</v>
      </c>
      <c r="AP2422" s="54">
        <v>20</v>
      </c>
      <c r="AQ2422" s="54">
        <v>0</v>
      </c>
      <c r="AR2422" s="55">
        <v>28500</v>
      </c>
      <c r="AS2422" s="78">
        <f t="shared" si="41"/>
        <v>0</v>
      </c>
    </row>
    <row r="2423" spans="39:45">
      <c r="AM2423" s="55">
        <v>2019</v>
      </c>
      <c r="AN2423" s="55" t="s">
        <v>186</v>
      </c>
      <c r="AO2423" s="55">
        <v>11</v>
      </c>
      <c r="AP2423" s="55">
        <v>21</v>
      </c>
      <c r="AQ2423" s="55">
        <v>0</v>
      </c>
      <c r="AR2423" s="55">
        <v>28500</v>
      </c>
      <c r="AS2423" s="78">
        <f t="shared" si="41"/>
        <v>0</v>
      </c>
    </row>
    <row r="2424" spans="39:45">
      <c r="AM2424" s="54">
        <v>2019</v>
      </c>
      <c r="AN2424" s="54" t="s">
        <v>186</v>
      </c>
      <c r="AO2424" s="54">
        <v>11</v>
      </c>
      <c r="AP2424" s="54">
        <v>22</v>
      </c>
      <c r="AQ2424" s="54">
        <v>0</v>
      </c>
      <c r="AR2424" s="55">
        <v>28500</v>
      </c>
      <c r="AS2424" s="78">
        <f t="shared" si="41"/>
        <v>0</v>
      </c>
    </row>
    <row r="2425" spans="39:45">
      <c r="AM2425" s="55">
        <v>2019</v>
      </c>
      <c r="AN2425" s="55" t="s">
        <v>186</v>
      </c>
      <c r="AO2425" s="55">
        <v>11</v>
      </c>
      <c r="AP2425" s="55">
        <v>23</v>
      </c>
      <c r="AQ2425" s="55">
        <v>0</v>
      </c>
      <c r="AR2425" s="55">
        <v>28500</v>
      </c>
      <c r="AS2425" s="78">
        <f t="shared" si="41"/>
        <v>0</v>
      </c>
    </row>
    <row r="2426" spans="39:45">
      <c r="AM2426" s="54">
        <v>2019</v>
      </c>
      <c r="AN2426" s="54" t="s">
        <v>186</v>
      </c>
      <c r="AO2426" s="54">
        <v>12</v>
      </c>
      <c r="AP2426" s="54">
        <v>24</v>
      </c>
      <c r="AQ2426" s="54">
        <v>0</v>
      </c>
      <c r="AR2426" s="55">
        <v>28500</v>
      </c>
      <c r="AS2426" s="78">
        <f t="shared" si="41"/>
        <v>0</v>
      </c>
    </row>
    <row r="2427" spans="39:45">
      <c r="AM2427" s="55">
        <v>2019</v>
      </c>
      <c r="AN2427" s="55" t="s">
        <v>186</v>
      </c>
      <c r="AO2427" s="55">
        <v>12</v>
      </c>
      <c r="AP2427" s="55">
        <v>1</v>
      </c>
      <c r="AQ2427" s="55">
        <v>0</v>
      </c>
      <c r="AR2427" s="55">
        <v>28500</v>
      </c>
      <c r="AS2427" s="78">
        <f t="shared" si="41"/>
        <v>0</v>
      </c>
    </row>
    <row r="2428" spans="39:45">
      <c r="AM2428" s="54">
        <v>2019</v>
      </c>
      <c r="AN2428" s="54" t="s">
        <v>186</v>
      </c>
      <c r="AO2428" s="54">
        <v>12</v>
      </c>
      <c r="AP2428" s="54">
        <v>2</v>
      </c>
      <c r="AQ2428" s="54">
        <v>0</v>
      </c>
      <c r="AR2428" s="55">
        <v>28500</v>
      </c>
      <c r="AS2428" s="78">
        <f t="shared" si="41"/>
        <v>0</v>
      </c>
    </row>
    <row r="2429" spans="39:45">
      <c r="AM2429" s="55">
        <v>2019</v>
      </c>
      <c r="AN2429" s="55" t="s">
        <v>186</v>
      </c>
      <c r="AO2429" s="55">
        <v>12</v>
      </c>
      <c r="AP2429" s="55">
        <v>3</v>
      </c>
      <c r="AQ2429" s="55">
        <v>0</v>
      </c>
      <c r="AR2429" s="55">
        <v>28500</v>
      </c>
      <c r="AS2429" s="78">
        <f t="shared" si="41"/>
        <v>0</v>
      </c>
    </row>
    <row r="2430" spans="39:45">
      <c r="AM2430" s="54">
        <v>2019</v>
      </c>
      <c r="AN2430" s="54" t="s">
        <v>186</v>
      </c>
      <c r="AO2430" s="54">
        <v>12</v>
      </c>
      <c r="AP2430" s="54">
        <v>4</v>
      </c>
      <c r="AQ2430" s="54">
        <v>0</v>
      </c>
      <c r="AR2430" s="55">
        <v>28500</v>
      </c>
      <c r="AS2430" s="78">
        <f t="shared" si="41"/>
        <v>0</v>
      </c>
    </row>
    <row r="2431" spans="39:45">
      <c r="AM2431" s="55">
        <v>2019</v>
      </c>
      <c r="AN2431" s="55" t="s">
        <v>186</v>
      </c>
      <c r="AO2431" s="55">
        <v>12</v>
      </c>
      <c r="AP2431" s="55">
        <v>5</v>
      </c>
      <c r="AQ2431" s="55">
        <v>0</v>
      </c>
      <c r="AR2431" s="55">
        <v>28500</v>
      </c>
      <c r="AS2431" s="78">
        <f t="shared" si="41"/>
        <v>0</v>
      </c>
    </row>
    <row r="2432" spans="39:45">
      <c r="AM2432" s="54">
        <v>2019</v>
      </c>
      <c r="AN2432" s="54" t="s">
        <v>186</v>
      </c>
      <c r="AO2432" s="54">
        <v>12</v>
      </c>
      <c r="AP2432" s="54">
        <v>6</v>
      </c>
      <c r="AQ2432" s="54">
        <v>1716</v>
      </c>
      <c r="AR2432" s="55">
        <v>28500</v>
      </c>
      <c r="AS2432" s="78">
        <f t="shared" si="41"/>
        <v>6.0210526315789471E-2</v>
      </c>
    </row>
    <row r="2433" spans="39:45">
      <c r="AM2433" s="55">
        <v>2019</v>
      </c>
      <c r="AN2433" s="55" t="s">
        <v>186</v>
      </c>
      <c r="AO2433" s="55">
        <v>12</v>
      </c>
      <c r="AP2433" s="55">
        <v>7</v>
      </c>
      <c r="AQ2433" s="55">
        <v>8074.5</v>
      </c>
      <c r="AR2433" s="55">
        <v>28500</v>
      </c>
      <c r="AS2433" s="78">
        <f t="shared" si="41"/>
        <v>0.28331578947368419</v>
      </c>
    </row>
    <row r="2434" spans="39:45">
      <c r="AM2434" s="54">
        <v>2019</v>
      </c>
      <c r="AN2434" s="54" t="s">
        <v>186</v>
      </c>
      <c r="AO2434" s="54">
        <v>12</v>
      </c>
      <c r="AP2434" s="54">
        <v>8</v>
      </c>
      <c r="AQ2434" s="54">
        <v>16154</v>
      </c>
      <c r="AR2434" s="55">
        <v>28500</v>
      </c>
      <c r="AS2434" s="78">
        <f t="shared" ref="AS2434:AS2497" si="42">AQ2434/AR2434</f>
        <v>0.56680701754385965</v>
      </c>
    </row>
    <row r="2435" spans="39:45">
      <c r="AM2435" s="55">
        <v>2019</v>
      </c>
      <c r="AN2435" s="55" t="s">
        <v>186</v>
      </c>
      <c r="AO2435" s="55">
        <v>12</v>
      </c>
      <c r="AP2435" s="55">
        <v>9</v>
      </c>
      <c r="AQ2435" s="55">
        <v>31543</v>
      </c>
      <c r="AR2435" s="55">
        <v>28500</v>
      </c>
      <c r="AS2435" s="78">
        <f t="shared" si="42"/>
        <v>1.1067719298245613</v>
      </c>
    </row>
    <row r="2436" spans="39:45">
      <c r="AM2436" s="54">
        <v>2019</v>
      </c>
      <c r="AN2436" s="54" t="s">
        <v>186</v>
      </c>
      <c r="AO2436" s="54">
        <v>12</v>
      </c>
      <c r="AP2436" s="54">
        <v>10</v>
      </c>
      <c r="AQ2436" s="54">
        <v>16602.5</v>
      </c>
      <c r="AR2436" s="55">
        <v>28500</v>
      </c>
      <c r="AS2436" s="78">
        <f t="shared" si="42"/>
        <v>0.58254385964912281</v>
      </c>
    </row>
    <row r="2437" spans="39:45">
      <c r="AM2437" s="55">
        <v>2019</v>
      </c>
      <c r="AN2437" s="55" t="s">
        <v>186</v>
      </c>
      <c r="AO2437" s="55">
        <v>12</v>
      </c>
      <c r="AP2437" s="55">
        <v>11</v>
      </c>
      <c r="AQ2437" s="55">
        <v>5479</v>
      </c>
      <c r="AR2437" s="55">
        <v>28500</v>
      </c>
      <c r="AS2437" s="78">
        <f t="shared" si="42"/>
        <v>0.19224561403508772</v>
      </c>
    </row>
    <row r="2438" spans="39:45">
      <c r="AM2438" s="54">
        <v>2019</v>
      </c>
      <c r="AN2438" s="54" t="s">
        <v>186</v>
      </c>
      <c r="AO2438" s="54">
        <v>12</v>
      </c>
      <c r="AP2438" s="54">
        <v>12</v>
      </c>
      <c r="AQ2438" s="54">
        <v>0</v>
      </c>
      <c r="AR2438" s="55">
        <v>28500</v>
      </c>
      <c r="AS2438" s="78">
        <f t="shared" si="42"/>
        <v>0</v>
      </c>
    </row>
    <row r="2439" spans="39:45">
      <c r="AM2439" s="55">
        <v>2019</v>
      </c>
      <c r="AN2439" s="55" t="s">
        <v>186</v>
      </c>
      <c r="AO2439" s="55">
        <v>12</v>
      </c>
      <c r="AP2439" s="55">
        <v>13</v>
      </c>
      <c r="AQ2439" s="55">
        <v>12490.5</v>
      </c>
      <c r="AR2439" s="55">
        <v>28500</v>
      </c>
      <c r="AS2439" s="78">
        <f t="shared" si="42"/>
        <v>0.43826315789473685</v>
      </c>
    </row>
    <row r="2440" spans="39:45">
      <c r="AM2440" s="54">
        <v>2019</v>
      </c>
      <c r="AN2440" s="54" t="s">
        <v>186</v>
      </c>
      <c r="AO2440" s="54">
        <v>12</v>
      </c>
      <c r="AP2440" s="54">
        <v>14</v>
      </c>
      <c r="AQ2440" s="54">
        <v>5460</v>
      </c>
      <c r="AR2440" s="55">
        <v>28500</v>
      </c>
      <c r="AS2440" s="78">
        <f t="shared" si="42"/>
        <v>0.19157894736842104</v>
      </c>
    </row>
    <row r="2441" spans="39:45">
      <c r="AM2441" s="55">
        <v>2019</v>
      </c>
      <c r="AN2441" s="55" t="s">
        <v>186</v>
      </c>
      <c r="AO2441" s="55">
        <v>12</v>
      </c>
      <c r="AP2441" s="55">
        <v>15</v>
      </c>
      <c r="AQ2441" s="55">
        <v>5375.5</v>
      </c>
      <c r="AR2441" s="55">
        <v>28500</v>
      </c>
      <c r="AS2441" s="78">
        <f t="shared" si="42"/>
        <v>0.18861403508771929</v>
      </c>
    </row>
    <row r="2442" spans="39:45">
      <c r="AM2442" s="54">
        <v>2019</v>
      </c>
      <c r="AN2442" s="54" t="s">
        <v>186</v>
      </c>
      <c r="AO2442" s="54">
        <v>12</v>
      </c>
      <c r="AP2442" s="54">
        <v>16</v>
      </c>
      <c r="AQ2442" s="54">
        <v>6476.5</v>
      </c>
      <c r="AR2442" s="55">
        <v>28500</v>
      </c>
      <c r="AS2442" s="78">
        <f t="shared" si="42"/>
        <v>0.22724561403508772</v>
      </c>
    </row>
    <row r="2443" spans="39:45">
      <c r="AM2443" s="55">
        <v>2019</v>
      </c>
      <c r="AN2443" s="55" t="s">
        <v>186</v>
      </c>
      <c r="AO2443" s="55">
        <v>12</v>
      </c>
      <c r="AP2443" s="55">
        <v>17</v>
      </c>
      <c r="AQ2443" s="55">
        <v>3131</v>
      </c>
      <c r="AR2443" s="55">
        <v>28500</v>
      </c>
      <c r="AS2443" s="78">
        <f t="shared" si="42"/>
        <v>0.10985964912280702</v>
      </c>
    </row>
    <row r="2444" spans="39:45">
      <c r="AM2444" s="54">
        <v>2019</v>
      </c>
      <c r="AN2444" s="54" t="s">
        <v>186</v>
      </c>
      <c r="AO2444" s="54">
        <v>12</v>
      </c>
      <c r="AP2444" s="54">
        <v>18</v>
      </c>
      <c r="AQ2444" s="54">
        <v>193</v>
      </c>
      <c r="AR2444" s="55">
        <v>28500</v>
      </c>
      <c r="AS2444" s="78">
        <f t="shared" si="42"/>
        <v>6.7719298245614038E-3</v>
      </c>
    </row>
    <row r="2445" spans="39:45">
      <c r="AM2445" s="55">
        <v>2019</v>
      </c>
      <c r="AN2445" s="55" t="s">
        <v>186</v>
      </c>
      <c r="AO2445" s="55">
        <v>12</v>
      </c>
      <c r="AP2445" s="55">
        <v>19</v>
      </c>
      <c r="AQ2445" s="55">
        <v>0</v>
      </c>
      <c r="AR2445" s="55">
        <v>28500</v>
      </c>
      <c r="AS2445" s="78">
        <f t="shared" si="42"/>
        <v>0</v>
      </c>
    </row>
    <row r="2446" spans="39:45">
      <c r="AM2446" s="54">
        <v>2019</v>
      </c>
      <c r="AN2446" s="54" t="s">
        <v>186</v>
      </c>
      <c r="AO2446" s="54">
        <v>12</v>
      </c>
      <c r="AP2446" s="54">
        <v>20</v>
      </c>
      <c r="AQ2446" s="54">
        <v>0</v>
      </c>
      <c r="AR2446" s="55">
        <v>28500</v>
      </c>
      <c r="AS2446" s="78">
        <f t="shared" si="42"/>
        <v>0</v>
      </c>
    </row>
    <row r="2447" spans="39:45">
      <c r="AM2447" s="55">
        <v>2019</v>
      </c>
      <c r="AN2447" s="55" t="s">
        <v>186</v>
      </c>
      <c r="AO2447" s="55">
        <v>12</v>
      </c>
      <c r="AP2447" s="55">
        <v>21</v>
      </c>
      <c r="AQ2447" s="55">
        <v>0</v>
      </c>
      <c r="AR2447" s="55">
        <v>28500</v>
      </c>
      <c r="AS2447" s="78">
        <f t="shared" si="42"/>
        <v>0</v>
      </c>
    </row>
    <row r="2448" spans="39:45">
      <c r="AM2448" s="54">
        <v>2019</v>
      </c>
      <c r="AN2448" s="54" t="s">
        <v>186</v>
      </c>
      <c r="AO2448" s="54">
        <v>12</v>
      </c>
      <c r="AP2448" s="54">
        <v>22</v>
      </c>
      <c r="AQ2448" s="54">
        <v>0</v>
      </c>
      <c r="AR2448" s="55">
        <v>28500</v>
      </c>
      <c r="AS2448" s="78">
        <f t="shared" si="42"/>
        <v>0</v>
      </c>
    </row>
    <row r="2449" spans="39:45">
      <c r="AM2449" s="55">
        <v>2019</v>
      </c>
      <c r="AN2449" s="55" t="s">
        <v>186</v>
      </c>
      <c r="AO2449" s="55">
        <v>12</v>
      </c>
      <c r="AP2449" s="55">
        <v>23</v>
      </c>
      <c r="AQ2449" s="55">
        <v>0</v>
      </c>
      <c r="AR2449" s="55">
        <v>28500</v>
      </c>
      <c r="AS2449" s="78">
        <f t="shared" si="42"/>
        <v>0</v>
      </c>
    </row>
    <row r="2450" spans="39:45">
      <c r="AM2450" s="54">
        <v>2019</v>
      </c>
      <c r="AN2450" s="54" t="s">
        <v>186</v>
      </c>
      <c r="AO2450" s="54">
        <v>13</v>
      </c>
      <c r="AP2450" s="54">
        <v>24</v>
      </c>
      <c r="AQ2450" s="54">
        <v>0</v>
      </c>
      <c r="AR2450" s="55">
        <v>28500</v>
      </c>
      <c r="AS2450" s="78">
        <f t="shared" si="42"/>
        <v>0</v>
      </c>
    </row>
    <row r="2451" spans="39:45">
      <c r="AM2451" s="55">
        <v>2019</v>
      </c>
      <c r="AN2451" s="55" t="s">
        <v>186</v>
      </c>
      <c r="AO2451" s="55">
        <v>13</v>
      </c>
      <c r="AP2451" s="55">
        <v>1</v>
      </c>
      <c r="AQ2451" s="55">
        <v>0</v>
      </c>
      <c r="AR2451" s="55">
        <v>28500</v>
      </c>
      <c r="AS2451" s="78">
        <f t="shared" si="42"/>
        <v>0</v>
      </c>
    </row>
    <row r="2452" spans="39:45">
      <c r="AM2452" s="54">
        <v>2019</v>
      </c>
      <c r="AN2452" s="54" t="s">
        <v>186</v>
      </c>
      <c r="AO2452" s="54">
        <v>13</v>
      </c>
      <c r="AP2452" s="54">
        <v>2</v>
      </c>
      <c r="AQ2452" s="54">
        <v>0</v>
      </c>
      <c r="AR2452" s="55">
        <v>28500</v>
      </c>
      <c r="AS2452" s="78">
        <f t="shared" si="42"/>
        <v>0</v>
      </c>
    </row>
    <row r="2453" spans="39:45">
      <c r="AM2453" s="55">
        <v>2019</v>
      </c>
      <c r="AN2453" s="55" t="s">
        <v>186</v>
      </c>
      <c r="AO2453" s="55">
        <v>13</v>
      </c>
      <c r="AP2453" s="55">
        <v>3</v>
      </c>
      <c r="AQ2453" s="55">
        <v>0</v>
      </c>
      <c r="AR2453" s="55">
        <v>28500</v>
      </c>
      <c r="AS2453" s="78">
        <f t="shared" si="42"/>
        <v>0</v>
      </c>
    </row>
    <row r="2454" spans="39:45">
      <c r="AM2454" s="54">
        <v>2019</v>
      </c>
      <c r="AN2454" s="54" t="s">
        <v>186</v>
      </c>
      <c r="AO2454" s="54">
        <v>13</v>
      </c>
      <c r="AP2454" s="54">
        <v>4</v>
      </c>
      <c r="AQ2454" s="54">
        <v>0</v>
      </c>
      <c r="AR2454" s="55">
        <v>28500</v>
      </c>
      <c r="AS2454" s="78">
        <f t="shared" si="42"/>
        <v>0</v>
      </c>
    </row>
    <row r="2455" spans="39:45">
      <c r="AM2455" s="55">
        <v>2019</v>
      </c>
      <c r="AN2455" s="55" t="s">
        <v>186</v>
      </c>
      <c r="AO2455" s="55">
        <v>13</v>
      </c>
      <c r="AP2455" s="55">
        <v>5</v>
      </c>
      <c r="AQ2455" s="55">
        <v>0</v>
      </c>
      <c r="AR2455" s="55">
        <v>28500</v>
      </c>
      <c r="AS2455" s="78">
        <f t="shared" si="42"/>
        <v>0</v>
      </c>
    </row>
    <row r="2456" spans="39:45">
      <c r="AM2456" s="54">
        <v>2019</v>
      </c>
      <c r="AN2456" s="54" t="s">
        <v>186</v>
      </c>
      <c r="AO2456" s="54">
        <v>13</v>
      </c>
      <c r="AP2456" s="54">
        <v>6</v>
      </c>
      <c r="AQ2456" s="54">
        <v>1746.5</v>
      </c>
      <c r="AR2456" s="55">
        <v>28500</v>
      </c>
      <c r="AS2456" s="78">
        <f t="shared" si="42"/>
        <v>6.1280701754385963E-2</v>
      </c>
    </row>
    <row r="2457" spans="39:45">
      <c r="AM2457" s="55">
        <v>2019</v>
      </c>
      <c r="AN2457" s="55" t="s">
        <v>186</v>
      </c>
      <c r="AO2457" s="55">
        <v>13</v>
      </c>
      <c r="AP2457" s="55">
        <v>7</v>
      </c>
      <c r="AQ2457" s="55">
        <v>2976</v>
      </c>
      <c r="AR2457" s="55">
        <v>28500</v>
      </c>
      <c r="AS2457" s="78">
        <f t="shared" si="42"/>
        <v>0.10442105263157894</v>
      </c>
    </row>
    <row r="2458" spans="39:45">
      <c r="AM2458" s="54">
        <v>2019</v>
      </c>
      <c r="AN2458" s="54" t="s">
        <v>186</v>
      </c>
      <c r="AO2458" s="54">
        <v>13</v>
      </c>
      <c r="AP2458" s="54">
        <v>8</v>
      </c>
      <c r="AQ2458" s="54">
        <v>4226.5</v>
      </c>
      <c r="AR2458" s="55">
        <v>28500</v>
      </c>
      <c r="AS2458" s="78">
        <f t="shared" si="42"/>
        <v>0.1482982456140351</v>
      </c>
    </row>
    <row r="2459" spans="39:45">
      <c r="AM2459" s="55">
        <v>2019</v>
      </c>
      <c r="AN2459" s="55" t="s">
        <v>186</v>
      </c>
      <c r="AO2459" s="55">
        <v>13</v>
      </c>
      <c r="AP2459" s="55">
        <v>9</v>
      </c>
      <c r="AQ2459" s="55">
        <v>15108.5</v>
      </c>
      <c r="AR2459" s="55">
        <v>28500</v>
      </c>
      <c r="AS2459" s="78">
        <f t="shared" si="42"/>
        <v>0.53012280701754388</v>
      </c>
    </row>
    <row r="2460" spans="39:45">
      <c r="AM2460" s="54">
        <v>2019</v>
      </c>
      <c r="AN2460" s="54" t="s">
        <v>186</v>
      </c>
      <c r="AO2460" s="54">
        <v>13</v>
      </c>
      <c r="AP2460" s="54">
        <v>10</v>
      </c>
      <c r="AQ2460" s="54">
        <v>8393</v>
      </c>
      <c r="AR2460" s="55">
        <v>28500</v>
      </c>
      <c r="AS2460" s="78">
        <f t="shared" si="42"/>
        <v>0.29449122807017541</v>
      </c>
    </row>
    <row r="2461" spans="39:45">
      <c r="AM2461" s="55">
        <v>2019</v>
      </c>
      <c r="AN2461" s="55" t="s">
        <v>186</v>
      </c>
      <c r="AO2461" s="55">
        <v>13</v>
      </c>
      <c r="AP2461" s="55">
        <v>11</v>
      </c>
      <c r="AQ2461" s="55">
        <v>14106.5</v>
      </c>
      <c r="AR2461" s="55">
        <v>28500</v>
      </c>
      <c r="AS2461" s="78">
        <f t="shared" si="42"/>
        <v>0.49496491228070177</v>
      </c>
    </row>
    <row r="2462" spans="39:45">
      <c r="AM2462" s="54">
        <v>2019</v>
      </c>
      <c r="AN2462" s="54" t="s">
        <v>186</v>
      </c>
      <c r="AO2462" s="54">
        <v>13</v>
      </c>
      <c r="AP2462" s="54">
        <v>12</v>
      </c>
      <c r="AQ2462" s="54">
        <v>10328.5</v>
      </c>
      <c r="AR2462" s="55">
        <v>28500</v>
      </c>
      <c r="AS2462" s="78">
        <f t="shared" si="42"/>
        <v>0.36240350877192984</v>
      </c>
    </row>
    <row r="2463" spans="39:45">
      <c r="AM2463" s="55">
        <v>2019</v>
      </c>
      <c r="AN2463" s="55" t="s">
        <v>186</v>
      </c>
      <c r="AO2463" s="55">
        <v>13</v>
      </c>
      <c r="AP2463" s="55">
        <v>13</v>
      </c>
      <c r="AQ2463" s="55">
        <v>33977</v>
      </c>
      <c r="AR2463" s="55">
        <v>28500</v>
      </c>
      <c r="AS2463" s="78">
        <f t="shared" si="42"/>
        <v>1.1921754385964913</v>
      </c>
    </row>
    <row r="2464" spans="39:45">
      <c r="AM2464" s="54">
        <v>2019</v>
      </c>
      <c r="AN2464" s="54" t="s">
        <v>186</v>
      </c>
      <c r="AO2464" s="54">
        <v>13</v>
      </c>
      <c r="AP2464" s="54">
        <v>14</v>
      </c>
      <c r="AQ2464" s="54">
        <v>23998</v>
      </c>
      <c r="AR2464" s="55">
        <v>28500</v>
      </c>
      <c r="AS2464" s="78">
        <f t="shared" si="42"/>
        <v>0.84203508771929825</v>
      </c>
    </row>
    <row r="2465" spans="39:45">
      <c r="AM2465" s="55">
        <v>2019</v>
      </c>
      <c r="AN2465" s="55" t="s">
        <v>186</v>
      </c>
      <c r="AO2465" s="55">
        <v>13</v>
      </c>
      <c r="AP2465" s="55">
        <v>15</v>
      </c>
      <c r="AQ2465" s="55">
        <v>27711.5</v>
      </c>
      <c r="AR2465" s="55">
        <v>28500</v>
      </c>
      <c r="AS2465" s="78">
        <f t="shared" si="42"/>
        <v>0.97233333333333338</v>
      </c>
    </row>
    <row r="2466" spans="39:45">
      <c r="AM2466" s="54">
        <v>2019</v>
      </c>
      <c r="AN2466" s="54" t="s">
        <v>186</v>
      </c>
      <c r="AO2466" s="54">
        <v>13</v>
      </c>
      <c r="AP2466" s="54">
        <v>16</v>
      </c>
      <c r="AQ2466" s="54">
        <v>15805.5</v>
      </c>
      <c r="AR2466" s="55">
        <v>28500</v>
      </c>
      <c r="AS2466" s="78">
        <f t="shared" si="42"/>
        <v>0.55457894736842106</v>
      </c>
    </row>
    <row r="2467" spans="39:45">
      <c r="AM2467" s="55">
        <v>2019</v>
      </c>
      <c r="AN2467" s="55" t="s">
        <v>186</v>
      </c>
      <c r="AO2467" s="55">
        <v>13</v>
      </c>
      <c r="AP2467" s="55">
        <v>17</v>
      </c>
      <c r="AQ2467" s="55">
        <v>7155.5</v>
      </c>
      <c r="AR2467" s="55">
        <v>28500</v>
      </c>
      <c r="AS2467" s="78">
        <f t="shared" si="42"/>
        <v>0.2510701754385965</v>
      </c>
    </row>
    <row r="2468" spans="39:45">
      <c r="AM2468" s="54">
        <v>2019</v>
      </c>
      <c r="AN2468" s="54" t="s">
        <v>186</v>
      </c>
      <c r="AO2468" s="54">
        <v>13</v>
      </c>
      <c r="AP2468" s="54">
        <v>18</v>
      </c>
      <c r="AQ2468" s="54">
        <v>550.5</v>
      </c>
      <c r="AR2468" s="55">
        <v>28500</v>
      </c>
      <c r="AS2468" s="78">
        <f t="shared" si="42"/>
        <v>1.931578947368421E-2</v>
      </c>
    </row>
    <row r="2469" spans="39:45">
      <c r="AM2469" s="55">
        <v>2019</v>
      </c>
      <c r="AN2469" s="55" t="s">
        <v>186</v>
      </c>
      <c r="AO2469" s="55">
        <v>13</v>
      </c>
      <c r="AP2469" s="55">
        <v>19</v>
      </c>
      <c r="AQ2469" s="55">
        <v>0</v>
      </c>
      <c r="AR2469" s="55">
        <v>28500</v>
      </c>
      <c r="AS2469" s="78">
        <f t="shared" si="42"/>
        <v>0</v>
      </c>
    </row>
    <row r="2470" spans="39:45">
      <c r="AM2470" s="54">
        <v>2019</v>
      </c>
      <c r="AN2470" s="54" t="s">
        <v>186</v>
      </c>
      <c r="AO2470" s="54">
        <v>13</v>
      </c>
      <c r="AP2470" s="54">
        <v>20</v>
      </c>
      <c r="AQ2470" s="54">
        <v>0</v>
      </c>
      <c r="AR2470" s="55">
        <v>28500</v>
      </c>
      <c r="AS2470" s="78">
        <f t="shared" si="42"/>
        <v>0</v>
      </c>
    </row>
    <row r="2471" spans="39:45">
      <c r="AM2471" s="55">
        <v>2019</v>
      </c>
      <c r="AN2471" s="55" t="s">
        <v>186</v>
      </c>
      <c r="AO2471" s="55">
        <v>13</v>
      </c>
      <c r="AP2471" s="55">
        <v>21</v>
      </c>
      <c r="AQ2471" s="55">
        <v>0</v>
      </c>
      <c r="AR2471" s="55">
        <v>28500</v>
      </c>
      <c r="AS2471" s="78">
        <f t="shared" si="42"/>
        <v>0</v>
      </c>
    </row>
    <row r="2472" spans="39:45">
      <c r="AM2472" s="54">
        <v>2019</v>
      </c>
      <c r="AN2472" s="54" t="s">
        <v>186</v>
      </c>
      <c r="AO2472" s="54">
        <v>13</v>
      </c>
      <c r="AP2472" s="54">
        <v>22</v>
      </c>
      <c r="AQ2472" s="54">
        <v>0</v>
      </c>
      <c r="AR2472" s="55">
        <v>28500</v>
      </c>
      <c r="AS2472" s="78">
        <f t="shared" si="42"/>
        <v>0</v>
      </c>
    </row>
    <row r="2473" spans="39:45">
      <c r="AM2473" s="55">
        <v>2019</v>
      </c>
      <c r="AN2473" s="55" t="s">
        <v>186</v>
      </c>
      <c r="AO2473" s="55">
        <v>13</v>
      </c>
      <c r="AP2473" s="55">
        <v>23</v>
      </c>
      <c r="AQ2473" s="55">
        <v>0</v>
      </c>
      <c r="AR2473" s="55">
        <v>28500</v>
      </c>
      <c r="AS2473" s="78">
        <f t="shared" si="42"/>
        <v>0</v>
      </c>
    </row>
    <row r="2474" spans="39:45">
      <c r="AM2474" s="54">
        <v>2019</v>
      </c>
      <c r="AN2474" s="54" t="s">
        <v>186</v>
      </c>
      <c r="AO2474" s="54">
        <v>14</v>
      </c>
      <c r="AP2474" s="54">
        <v>24</v>
      </c>
      <c r="AQ2474" s="54">
        <v>0</v>
      </c>
      <c r="AR2474" s="55">
        <v>28500</v>
      </c>
      <c r="AS2474" s="78">
        <f t="shared" si="42"/>
        <v>0</v>
      </c>
    </row>
    <row r="2475" spans="39:45">
      <c r="AM2475" s="55">
        <v>2019</v>
      </c>
      <c r="AN2475" s="55" t="s">
        <v>186</v>
      </c>
      <c r="AO2475" s="55">
        <v>14</v>
      </c>
      <c r="AP2475" s="55">
        <v>1</v>
      </c>
      <c r="AQ2475" s="55">
        <v>0</v>
      </c>
      <c r="AR2475" s="55">
        <v>28500</v>
      </c>
      <c r="AS2475" s="78">
        <f t="shared" si="42"/>
        <v>0</v>
      </c>
    </row>
    <row r="2476" spans="39:45">
      <c r="AM2476" s="54">
        <v>2019</v>
      </c>
      <c r="AN2476" s="54" t="s">
        <v>186</v>
      </c>
      <c r="AO2476" s="54">
        <v>14</v>
      </c>
      <c r="AP2476" s="54">
        <v>2</v>
      </c>
      <c r="AQ2476" s="54">
        <v>0</v>
      </c>
      <c r="AR2476" s="55">
        <v>28500</v>
      </c>
      <c r="AS2476" s="78">
        <f t="shared" si="42"/>
        <v>0</v>
      </c>
    </row>
    <row r="2477" spans="39:45">
      <c r="AM2477" s="55">
        <v>2019</v>
      </c>
      <c r="AN2477" s="55" t="s">
        <v>186</v>
      </c>
      <c r="AO2477" s="55">
        <v>14</v>
      </c>
      <c r="AP2477" s="55">
        <v>3</v>
      </c>
      <c r="AQ2477" s="55">
        <v>0</v>
      </c>
      <c r="AR2477" s="55">
        <v>28500</v>
      </c>
      <c r="AS2477" s="78">
        <f t="shared" si="42"/>
        <v>0</v>
      </c>
    </row>
    <row r="2478" spans="39:45">
      <c r="AM2478" s="54">
        <v>2019</v>
      </c>
      <c r="AN2478" s="54" t="s">
        <v>186</v>
      </c>
      <c r="AO2478" s="54">
        <v>14</v>
      </c>
      <c r="AP2478" s="54">
        <v>4</v>
      </c>
      <c r="AQ2478" s="54">
        <v>0</v>
      </c>
      <c r="AR2478" s="55">
        <v>28500</v>
      </c>
      <c r="AS2478" s="78">
        <f t="shared" si="42"/>
        <v>0</v>
      </c>
    </row>
    <row r="2479" spans="39:45">
      <c r="AM2479" s="55">
        <v>2019</v>
      </c>
      <c r="AN2479" s="55" t="s">
        <v>186</v>
      </c>
      <c r="AO2479" s="55">
        <v>14</v>
      </c>
      <c r="AP2479" s="55">
        <v>5</v>
      </c>
      <c r="AQ2479" s="55">
        <v>0</v>
      </c>
      <c r="AR2479" s="55">
        <v>28500</v>
      </c>
      <c r="AS2479" s="78">
        <f t="shared" si="42"/>
        <v>0</v>
      </c>
    </row>
    <row r="2480" spans="39:45">
      <c r="AM2480" s="54">
        <v>2019</v>
      </c>
      <c r="AN2480" s="54" t="s">
        <v>186</v>
      </c>
      <c r="AO2480" s="54">
        <v>14</v>
      </c>
      <c r="AP2480" s="54">
        <v>6</v>
      </c>
      <c r="AQ2480" s="54">
        <v>1474.5</v>
      </c>
      <c r="AR2480" s="55">
        <v>28500</v>
      </c>
      <c r="AS2480" s="78">
        <f t="shared" si="42"/>
        <v>5.1736842105263157E-2</v>
      </c>
    </row>
    <row r="2481" spans="39:45">
      <c r="AM2481" s="55">
        <v>2019</v>
      </c>
      <c r="AN2481" s="55" t="s">
        <v>186</v>
      </c>
      <c r="AO2481" s="55">
        <v>14</v>
      </c>
      <c r="AP2481" s="55">
        <v>7</v>
      </c>
      <c r="AQ2481" s="55">
        <v>3178.5</v>
      </c>
      <c r="AR2481" s="55">
        <v>28500</v>
      </c>
      <c r="AS2481" s="78">
        <f t="shared" si="42"/>
        <v>0.11152631578947368</v>
      </c>
    </row>
    <row r="2482" spans="39:45">
      <c r="AM2482" s="54">
        <v>2019</v>
      </c>
      <c r="AN2482" s="54" t="s">
        <v>186</v>
      </c>
      <c r="AO2482" s="54">
        <v>14</v>
      </c>
      <c r="AP2482" s="54">
        <v>8</v>
      </c>
      <c r="AQ2482" s="54">
        <v>23173.5</v>
      </c>
      <c r="AR2482" s="55">
        <v>28500</v>
      </c>
      <c r="AS2482" s="78">
        <f t="shared" si="42"/>
        <v>0.81310526315789478</v>
      </c>
    </row>
    <row r="2483" spans="39:45">
      <c r="AM2483" s="55">
        <v>2019</v>
      </c>
      <c r="AN2483" s="55" t="s">
        <v>186</v>
      </c>
      <c r="AO2483" s="55">
        <v>14</v>
      </c>
      <c r="AP2483" s="55">
        <v>9</v>
      </c>
      <c r="AQ2483" s="55">
        <v>25619</v>
      </c>
      <c r="AR2483" s="55">
        <v>28500</v>
      </c>
      <c r="AS2483" s="78">
        <f t="shared" si="42"/>
        <v>0.89891228070175444</v>
      </c>
    </row>
    <row r="2484" spans="39:45">
      <c r="AM2484" s="54">
        <v>2019</v>
      </c>
      <c r="AN2484" s="54" t="s">
        <v>186</v>
      </c>
      <c r="AO2484" s="54">
        <v>14</v>
      </c>
      <c r="AP2484" s="54">
        <v>10</v>
      </c>
      <c r="AQ2484" s="54">
        <v>25660</v>
      </c>
      <c r="AR2484" s="55">
        <v>28500</v>
      </c>
      <c r="AS2484" s="78">
        <f t="shared" si="42"/>
        <v>0.90035087719298246</v>
      </c>
    </row>
    <row r="2485" spans="39:45">
      <c r="AM2485" s="55">
        <v>2019</v>
      </c>
      <c r="AN2485" s="55" t="s">
        <v>186</v>
      </c>
      <c r="AO2485" s="55">
        <v>14</v>
      </c>
      <c r="AP2485" s="55">
        <v>11</v>
      </c>
      <c r="AQ2485" s="55">
        <v>24100</v>
      </c>
      <c r="AR2485" s="55">
        <v>28500</v>
      </c>
      <c r="AS2485" s="78">
        <f t="shared" si="42"/>
        <v>0.84561403508771926</v>
      </c>
    </row>
    <row r="2486" spans="39:45">
      <c r="AM2486" s="54">
        <v>2019</v>
      </c>
      <c r="AN2486" s="54" t="s">
        <v>186</v>
      </c>
      <c r="AO2486" s="54">
        <v>14</v>
      </c>
      <c r="AP2486" s="54">
        <v>12</v>
      </c>
      <c r="AQ2486" s="54">
        <v>24669.5</v>
      </c>
      <c r="AR2486" s="55">
        <v>28500</v>
      </c>
      <c r="AS2486" s="78">
        <f t="shared" si="42"/>
        <v>0.86559649122807014</v>
      </c>
    </row>
    <row r="2487" spans="39:45">
      <c r="AM2487" s="55">
        <v>2019</v>
      </c>
      <c r="AN2487" s="55" t="s">
        <v>186</v>
      </c>
      <c r="AO2487" s="55">
        <v>14</v>
      </c>
      <c r="AP2487" s="55">
        <v>13</v>
      </c>
      <c r="AQ2487" s="55">
        <v>25685.5</v>
      </c>
      <c r="AR2487" s="55">
        <v>28500</v>
      </c>
      <c r="AS2487" s="78">
        <f t="shared" si="42"/>
        <v>0.90124561403508774</v>
      </c>
    </row>
    <row r="2488" spans="39:45">
      <c r="AM2488" s="54">
        <v>2019</v>
      </c>
      <c r="AN2488" s="54" t="s">
        <v>186</v>
      </c>
      <c r="AO2488" s="54">
        <v>14</v>
      </c>
      <c r="AP2488" s="54">
        <v>14</v>
      </c>
      <c r="AQ2488" s="54">
        <v>15926.5</v>
      </c>
      <c r="AR2488" s="55">
        <v>28500</v>
      </c>
      <c r="AS2488" s="78">
        <f t="shared" si="42"/>
        <v>0.55882456140350878</v>
      </c>
    </row>
    <row r="2489" spans="39:45">
      <c r="AM2489" s="55">
        <v>2019</v>
      </c>
      <c r="AN2489" s="55" t="s">
        <v>186</v>
      </c>
      <c r="AO2489" s="55">
        <v>14</v>
      </c>
      <c r="AP2489" s="55">
        <v>15</v>
      </c>
      <c r="AQ2489" s="55">
        <v>21514.5</v>
      </c>
      <c r="AR2489" s="55">
        <v>28500</v>
      </c>
      <c r="AS2489" s="78">
        <f t="shared" si="42"/>
        <v>0.75489473684210529</v>
      </c>
    </row>
    <row r="2490" spans="39:45">
      <c r="AM2490" s="54">
        <v>2019</v>
      </c>
      <c r="AN2490" s="54" t="s">
        <v>186</v>
      </c>
      <c r="AO2490" s="54">
        <v>14</v>
      </c>
      <c r="AP2490" s="54">
        <v>16</v>
      </c>
      <c r="AQ2490" s="54">
        <v>12042</v>
      </c>
      <c r="AR2490" s="55">
        <v>28500</v>
      </c>
      <c r="AS2490" s="78">
        <f t="shared" si="42"/>
        <v>0.42252631578947369</v>
      </c>
    </row>
    <row r="2491" spans="39:45">
      <c r="AM2491" s="55">
        <v>2019</v>
      </c>
      <c r="AN2491" s="55" t="s">
        <v>186</v>
      </c>
      <c r="AO2491" s="55">
        <v>14</v>
      </c>
      <c r="AP2491" s="55">
        <v>17</v>
      </c>
      <c r="AQ2491" s="55">
        <v>5865</v>
      </c>
      <c r="AR2491" s="55">
        <v>28500</v>
      </c>
      <c r="AS2491" s="78">
        <f t="shared" si="42"/>
        <v>0.20578947368421052</v>
      </c>
    </row>
    <row r="2492" spans="39:45">
      <c r="AM2492" s="54">
        <v>2019</v>
      </c>
      <c r="AN2492" s="54" t="s">
        <v>186</v>
      </c>
      <c r="AO2492" s="54">
        <v>14</v>
      </c>
      <c r="AP2492" s="54">
        <v>18</v>
      </c>
      <c r="AQ2492" s="54">
        <v>729.5</v>
      </c>
      <c r="AR2492" s="55">
        <v>28500</v>
      </c>
      <c r="AS2492" s="78">
        <f t="shared" si="42"/>
        <v>2.5596491228070176E-2</v>
      </c>
    </row>
    <row r="2493" spans="39:45">
      <c r="AM2493" s="55">
        <v>2019</v>
      </c>
      <c r="AN2493" s="55" t="s">
        <v>186</v>
      </c>
      <c r="AO2493" s="55">
        <v>14</v>
      </c>
      <c r="AP2493" s="55">
        <v>19</v>
      </c>
      <c r="AQ2493" s="55">
        <v>0</v>
      </c>
      <c r="AR2493" s="55">
        <v>28500</v>
      </c>
      <c r="AS2493" s="78">
        <f t="shared" si="42"/>
        <v>0</v>
      </c>
    </row>
    <row r="2494" spans="39:45">
      <c r="AM2494" s="54">
        <v>2019</v>
      </c>
      <c r="AN2494" s="54" t="s">
        <v>186</v>
      </c>
      <c r="AO2494" s="54">
        <v>14</v>
      </c>
      <c r="AP2494" s="54">
        <v>20</v>
      </c>
      <c r="AQ2494" s="54">
        <v>0</v>
      </c>
      <c r="AR2494" s="55">
        <v>28500</v>
      </c>
      <c r="AS2494" s="78">
        <f t="shared" si="42"/>
        <v>0</v>
      </c>
    </row>
    <row r="2495" spans="39:45">
      <c r="AM2495" s="55">
        <v>2019</v>
      </c>
      <c r="AN2495" s="55" t="s">
        <v>186</v>
      </c>
      <c r="AO2495" s="55">
        <v>14</v>
      </c>
      <c r="AP2495" s="55">
        <v>21</v>
      </c>
      <c r="AQ2495" s="55">
        <v>0</v>
      </c>
      <c r="AR2495" s="55">
        <v>28500</v>
      </c>
      <c r="AS2495" s="78">
        <f t="shared" si="42"/>
        <v>0</v>
      </c>
    </row>
    <row r="2496" spans="39:45">
      <c r="AM2496" s="54">
        <v>2019</v>
      </c>
      <c r="AN2496" s="54" t="s">
        <v>186</v>
      </c>
      <c r="AO2496" s="54">
        <v>14</v>
      </c>
      <c r="AP2496" s="54">
        <v>22</v>
      </c>
      <c r="AQ2496" s="54">
        <v>0</v>
      </c>
      <c r="AR2496" s="55">
        <v>28500</v>
      </c>
      <c r="AS2496" s="78">
        <f t="shared" si="42"/>
        <v>0</v>
      </c>
    </row>
    <row r="2497" spans="39:45">
      <c r="AM2497" s="55">
        <v>2019</v>
      </c>
      <c r="AN2497" s="55" t="s">
        <v>186</v>
      </c>
      <c r="AO2497" s="55">
        <v>14</v>
      </c>
      <c r="AP2497" s="55">
        <v>23</v>
      </c>
      <c r="AQ2497" s="55">
        <v>0</v>
      </c>
      <c r="AR2497" s="55">
        <v>28500</v>
      </c>
      <c r="AS2497" s="78">
        <f t="shared" si="42"/>
        <v>0</v>
      </c>
    </row>
    <row r="2498" spans="39:45">
      <c r="AM2498" s="54">
        <v>2019</v>
      </c>
      <c r="AN2498" s="54" t="s">
        <v>186</v>
      </c>
      <c r="AO2498" s="54">
        <v>15</v>
      </c>
      <c r="AP2498" s="54">
        <v>24</v>
      </c>
      <c r="AQ2498" s="54">
        <v>0</v>
      </c>
      <c r="AR2498" s="55">
        <v>28500</v>
      </c>
      <c r="AS2498" s="78">
        <f t="shared" ref="AS2498:AS2561" si="43">AQ2498/AR2498</f>
        <v>0</v>
      </c>
    </row>
    <row r="2499" spans="39:45">
      <c r="AM2499" s="55">
        <v>2019</v>
      </c>
      <c r="AN2499" s="55" t="s">
        <v>186</v>
      </c>
      <c r="AO2499" s="55">
        <v>15</v>
      </c>
      <c r="AP2499" s="55">
        <v>1</v>
      </c>
      <c r="AQ2499" s="55">
        <v>0</v>
      </c>
      <c r="AR2499" s="55">
        <v>28500</v>
      </c>
      <c r="AS2499" s="78">
        <f t="shared" si="43"/>
        <v>0</v>
      </c>
    </row>
    <row r="2500" spans="39:45">
      <c r="AM2500" s="54">
        <v>2019</v>
      </c>
      <c r="AN2500" s="54" t="s">
        <v>186</v>
      </c>
      <c r="AO2500" s="54">
        <v>15</v>
      </c>
      <c r="AP2500" s="54">
        <v>2</v>
      </c>
      <c r="AQ2500" s="54">
        <v>0</v>
      </c>
      <c r="AR2500" s="55">
        <v>28500</v>
      </c>
      <c r="AS2500" s="78">
        <f t="shared" si="43"/>
        <v>0</v>
      </c>
    </row>
    <row r="2501" spans="39:45">
      <c r="AM2501" s="55">
        <v>2019</v>
      </c>
      <c r="AN2501" s="55" t="s">
        <v>186</v>
      </c>
      <c r="AO2501" s="55">
        <v>15</v>
      </c>
      <c r="AP2501" s="55">
        <v>3</v>
      </c>
      <c r="AQ2501" s="55">
        <v>0</v>
      </c>
      <c r="AR2501" s="55">
        <v>28500</v>
      </c>
      <c r="AS2501" s="78">
        <f t="shared" si="43"/>
        <v>0</v>
      </c>
    </row>
    <row r="2502" spans="39:45">
      <c r="AM2502" s="54">
        <v>2019</v>
      </c>
      <c r="AN2502" s="54" t="s">
        <v>186</v>
      </c>
      <c r="AO2502" s="54">
        <v>15</v>
      </c>
      <c r="AP2502" s="54">
        <v>4</v>
      </c>
      <c r="AQ2502" s="54">
        <v>0</v>
      </c>
      <c r="AR2502" s="55">
        <v>28500</v>
      </c>
      <c r="AS2502" s="78">
        <f t="shared" si="43"/>
        <v>0</v>
      </c>
    </row>
    <row r="2503" spans="39:45">
      <c r="AM2503" s="55">
        <v>2019</v>
      </c>
      <c r="AN2503" s="55" t="s">
        <v>186</v>
      </c>
      <c r="AO2503" s="55">
        <v>15</v>
      </c>
      <c r="AP2503" s="55">
        <v>5</v>
      </c>
      <c r="AQ2503" s="55">
        <v>0</v>
      </c>
      <c r="AR2503" s="55">
        <v>28500</v>
      </c>
      <c r="AS2503" s="78">
        <f t="shared" si="43"/>
        <v>0</v>
      </c>
    </row>
    <row r="2504" spans="39:45">
      <c r="AM2504" s="54">
        <v>2019</v>
      </c>
      <c r="AN2504" s="54" t="s">
        <v>186</v>
      </c>
      <c r="AO2504" s="54">
        <v>15</v>
      </c>
      <c r="AP2504" s="54">
        <v>6</v>
      </c>
      <c r="AQ2504" s="54">
        <v>1742.5</v>
      </c>
      <c r="AR2504" s="55">
        <v>28500</v>
      </c>
      <c r="AS2504" s="78">
        <f t="shared" si="43"/>
        <v>6.1140350877192981E-2</v>
      </c>
    </row>
    <row r="2505" spans="39:45">
      <c r="AM2505" s="55">
        <v>2019</v>
      </c>
      <c r="AN2505" s="55" t="s">
        <v>186</v>
      </c>
      <c r="AO2505" s="55">
        <v>15</v>
      </c>
      <c r="AP2505" s="55">
        <v>7</v>
      </c>
      <c r="AQ2505" s="55">
        <v>11403.5</v>
      </c>
      <c r="AR2505" s="55">
        <v>28500</v>
      </c>
      <c r="AS2505" s="78">
        <f t="shared" si="43"/>
        <v>0.40012280701754388</v>
      </c>
    </row>
    <row r="2506" spans="39:45">
      <c r="AM2506" s="54">
        <v>2019</v>
      </c>
      <c r="AN2506" s="54" t="s">
        <v>186</v>
      </c>
      <c r="AO2506" s="54">
        <v>15</v>
      </c>
      <c r="AP2506" s="54">
        <v>8</v>
      </c>
      <c r="AQ2506" s="54">
        <v>20101</v>
      </c>
      <c r="AR2506" s="55">
        <v>28500</v>
      </c>
      <c r="AS2506" s="78">
        <f t="shared" si="43"/>
        <v>0.70529824561403509</v>
      </c>
    </row>
    <row r="2507" spans="39:45">
      <c r="AM2507" s="55">
        <v>2019</v>
      </c>
      <c r="AN2507" s="55" t="s">
        <v>186</v>
      </c>
      <c r="AO2507" s="55">
        <v>15</v>
      </c>
      <c r="AP2507" s="55">
        <v>9</v>
      </c>
      <c r="AQ2507" s="55">
        <v>32491</v>
      </c>
      <c r="AR2507" s="55">
        <v>28500</v>
      </c>
      <c r="AS2507" s="78">
        <f t="shared" si="43"/>
        <v>1.1400350877192982</v>
      </c>
    </row>
    <row r="2508" spans="39:45">
      <c r="AM2508" s="54">
        <v>2019</v>
      </c>
      <c r="AN2508" s="54" t="s">
        <v>186</v>
      </c>
      <c r="AO2508" s="54">
        <v>15</v>
      </c>
      <c r="AP2508" s="54">
        <v>10</v>
      </c>
      <c r="AQ2508" s="54">
        <v>39212.5</v>
      </c>
      <c r="AR2508" s="55">
        <v>28500</v>
      </c>
      <c r="AS2508" s="78">
        <f t="shared" si="43"/>
        <v>1.375877192982456</v>
      </c>
    </row>
    <row r="2509" spans="39:45">
      <c r="AM2509" s="55">
        <v>2019</v>
      </c>
      <c r="AN2509" s="55" t="s">
        <v>186</v>
      </c>
      <c r="AO2509" s="55">
        <v>15</v>
      </c>
      <c r="AP2509" s="55">
        <v>11</v>
      </c>
      <c r="AQ2509" s="55">
        <v>43266.5</v>
      </c>
      <c r="AR2509" s="55">
        <v>28500</v>
      </c>
      <c r="AS2509" s="78">
        <f t="shared" si="43"/>
        <v>1.5181228070175439</v>
      </c>
    </row>
    <row r="2510" spans="39:45">
      <c r="AM2510" s="54">
        <v>2019</v>
      </c>
      <c r="AN2510" s="54" t="s">
        <v>186</v>
      </c>
      <c r="AO2510" s="54">
        <v>15</v>
      </c>
      <c r="AP2510" s="54">
        <v>12</v>
      </c>
      <c r="AQ2510" s="54">
        <v>43837</v>
      </c>
      <c r="AR2510" s="55">
        <v>28500</v>
      </c>
      <c r="AS2510" s="78">
        <f t="shared" si="43"/>
        <v>1.5381403508771929</v>
      </c>
    </row>
    <row r="2511" spans="39:45">
      <c r="AM2511" s="55">
        <v>2019</v>
      </c>
      <c r="AN2511" s="55" t="s">
        <v>186</v>
      </c>
      <c r="AO2511" s="55">
        <v>15</v>
      </c>
      <c r="AP2511" s="55">
        <v>13</v>
      </c>
      <c r="AQ2511" s="55">
        <v>40175</v>
      </c>
      <c r="AR2511" s="55">
        <v>28500</v>
      </c>
      <c r="AS2511" s="78">
        <f t="shared" si="43"/>
        <v>1.4096491228070176</v>
      </c>
    </row>
    <row r="2512" spans="39:45">
      <c r="AM2512" s="54">
        <v>2019</v>
      </c>
      <c r="AN2512" s="54" t="s">
        <v>186</v>
      </c>
      <c r="AO2512" s="54">
        <v>15</v>
      </c>
      <c r="AP2512" s="54">
        <v>14</v>
      </c>
      <c r="AQ2512" s="54">
        <v>31597.5</v>
      </c>
      <c r="AR2512" s="55">
        <v>28500</v>
      </c>
      <c r="AS2512" s="78">
        <f t="shared" si="43"/>
        <v>1.1086842105263157</v>
      </c>
    </row>
    <row r="2513" spans="39:45">
      <c r="AM2513" s="55">
        <v>2019</v>
      </c>
      <c r="AN2513" s="55" t="s">
        <v>186</v>
      </c>
      <c r="AO2513" s="55">
        <v>15</v>
      </c>
      <c r="AP2513" s="55">
        <v>15</v>
      </c>
      <c r="AQ2513" s="55">
        <v>27416</v>
      </c>
      <c r="AR2513" s="55">
        <v>28500</v>
      </c>
      <c r="AS2513" s="78">
        <f t="shared" si="43"/>
        <v>0.9619649122807018</v>
      </c>
    </row>
    <row r="2514" spans="39:45">
      <c r="AM2514" s="54">
        <v>2019</v>
      </c>
      <c r="AN2514" s="54" t="s">
        <v>186</v>
      </c>
      <c r="AO2514" s="54">
        <v>15</v>
      </c>
      <c r="AP2514" s="54">
        <v>16</v>
      </c>
      <c r="AQ2514" s="54">
        <v>17412.5</v>
      </c>
      <c r="AR2514" s="55">
        <v>28500</v>
      </c>
      <c r="AS2514" s="78">
        <f t="shared" si="43"/>
        <v>0.61096491228070171</v>
      </c>
    </row>
    <row r="2515" spans="39:45">
      <c r="AM2515" s="55">
        <v>2019</v>
      </c>
      <c r="AN2515" s="55" t="s">
        <v>186</v>
      </c>
      <c r="AO2515" s="55">
        <v>15</v>
      </c>
      <c r="AP2515" s="55">
        <v>17</v>
      </c>
      <c r="AQ2515" s="55">
        <v>6825.5</v>
      </c>
      <c r="AR2515" s="55">
        <v>28500</v>
      </c>
      <c r="AS2515" s="78">
        <f t="shared" si="43"/>
        <v>0.23949122807017545</v>
      </c>
    </row>
    <row r="2516" spans="39:45">
      <c r="AM2516" s="54">
        <v>2019</v>
      </c>
      <c r="AN2516" s="54" t="s">
        <v>186</v>
      </c>
      <c r="AO2516" s="54">
        <v>15</v>
      </c>
      <c r="AP2516" s="54">
        <v>18</v>
      </c>
      <c r="AQ2516" s="54">
        <v>717</v>
      </c>
      <c r="AR2516" s="55">
        <v>28500</v>
      </c>
      <c r="AS2516" s="78">
        <f t="shared" si="43"/>
        <v>2.5157894736842105E-2</v>
      </c>
    </row>
    <row r="2517" spans="39:45">
      <c r="AM2517" s="55">
        <v>2019</v>
      </c>
      <c r="AN2517" s="55" t="s">
        <v>186</v>
      </c>
      <c r="AO2517" s="55">
        <v>15</v>
      </c>
      <c r="AP2517" s="55">
        <v>19</v>
      </c>
      <c r="AQ2517" s="55">
        <v>0</v>
      </c>
      <c r="AR2517" s="55">
        <v>28500</v>
      </c>
      <c r="AS2517" s="78">
        <f t="shared" si="43"/>
        <v>0</v>
      </c>
    </row>
    <row r="2518" spans="39:45">
      <c r="AM2518" s="54">
        <v>2019</v>
      </c>
      <c r="AN2518" s="54" t="s">
        <v>186</v>
      </c>
      <c r="AO2518" s="54">
        <v>15</v>
      </c>
      <c r="AP2518" s="54">
        <v>20</v>
      </c>
      <c r="AQ2518" s="54">
        <v>0</v>
      </c>
      <c r="AR2518" s="55">
        <v>28500</v>
      </c>
      <c r="AS2518" s="78">
        <f t="shared" si="43"/>
        <v>0</v>
      </c>
    </row>
    <row r="2519" spans="39:45">
      <c r="AM2519" s="55">
        <v>2019</v>
      </c>
      <c r="AN2519" s="55" t="s">
        <v>186</v>
      </c>
      <c r="AO2519" s="55">
        <v>15</v>
      </c>
      <c r="AP2519" s="55">
        <v>21</v>
      </c>
      <c r="AQ2519" s="55">
        <v>0</v>
      </c>
      <c r="AR2519" s="55">
        <v>28500</v>
      </c>
      <c r="AS2519" s="78">
        <f t="shared" si="43"/>
        <v>0</v>
      </c>
    </row>
    <row r="2520" spans="39:45">
      <c r="AM2520" s="54">
        <v>2019</v>
      </c>
      <c r="AN2520" s="54" t="s">
        <v>186</v>
      </c>
      <c r="AO2520" s="54">
        <v>15</v>
      </c>
      <c r="AP2520" s="54">
        <v>22</v>
      </c>
      <c r="AQ2520" s="54">
        <v>0</v>
      </c>
      <c r="AR2520" s="55">
        <v>28500</v>
      </c>
      <c r="AS2520" s="78">
        <f t="shared" si="43"/>
        <v>0</v>
      </c>
    </row>
    <row r="2521" spans="39:45">
      <c r="AM2521" s="55">
        <v>2019</v>
      </c>
      <c r="AN2521" s="55" t="s">
        <v>186</v>
      </c>
      <c r="AO2521" s="55">
        <v>15</v>
      </c>
      <c r="AP2521" s="55">
        <v>23</v>
      </c>
      <c r="AQ2521" s="55">
        <v>0</v>
      </c>
      <c r="AR2521" s="55">
        <v>28500</v>
      </c>
      <c r="AS2521" s="78">
        <f t="shared" si="43"/>
        <v>0</v>
      </c>
    </row>
    <row r="2522" spans="39:45">
      <c r="AM2522" s="54">
        <v>2019</v>
      </c>
      <c r="AN2522" s="54" t="s">
        <v>186</v>
      </c>
      <c r="AO2522" s="54">
        <v>16</v>
      </c>
      <c r="AP2522" s="54">
        <v>24</v>
      </c>
      <c r="AQ2522" s="54">
        <v>0</v>
      </c>
      <c r="AR2522" s="55">
        <v>28500</v>
      </c>
      <c r="AS2522" s="78">
        <f t="shared" si="43"/>
        <v>0</v>
      </c>
    </row>
    <row r="2523" spans="39:45">
      <c r="AM2523" s="55">
        <v>2019</v>
      </c>
      <c r="AN2523" s="55" t="s">
        <v>186</v>
      </c>
      <c r="AO2523" s="55">
        <v>16</v>
      </c>
      <c r="AP2523" s="55">
        <v>1</v>
      </c>
      <c r="AQ2523" s="55">
        <v>0</v>
      </c>
      <c r="AR2523" s="55">
        <v>28500</v>
      </c>
      <c r="AS2523" s="78">
        <f t="shared" si="43"/>
        <v>0</v>
      </c>
    </row>
    <row r="2524" spans="39:45">
      <c r="AM2524" s="54">
        <v>2019</v>
      </c>
      <c r="AN2524" s="54" t="s">
        <v>186</v>
      </c>
      <c r="AO2524" s="54">
        <v>16</v>
      </c>
      <c r="AP2524" s="54">
        <v>2</v>
      </c>
      <c r="AQ2524" s="54">
        <v>0</v>
      </c>
      <c r="AR2524" s="55">
        <v>28500</v>
      </c>
      <c r="AS2524" s="78">
        <f t="shared" si="43"/>
        <v>0</v>
      </c>
    </row>
    <row r="2525" spans="39:45">
      <c r="AM2525" s="55">
        <v>2019</v>
      </c>
      <c r="AN2525" s="55" t="s">
        <v>186</v>
      </c>
      <c r="AO2525" s="55">
        <v>16</v>
      </c>
      <c r="AP2525" s="55">
        <v>3</v>
      </c>
      <c r="AQ2525" s="55">
        <v>0</v>
      </c>
      <c r="AR2525" s="55">
        <v>28500</v>
      </c>
      <c r="AS2525" s="78">
        <f t="shared" si="43"/>
        <v>0</v>
      </c>
    </row>
    <row r="2526" spans="39:45">
      <c r="AM2526" s="54">
        <v>2019</v>
      </c>
      <c r="AN2526" s="54" t="s">
        <v>186</v>
      </c>
      <c r="AO2526" s="54">
        <v>16</v>
      </c>
      <c r="AP2526" s="54">
        <v>4</v>
      </c>
      <c r="AQ2526" s="54">
        <v>0</v>
      </c>
      <c r="AR2526" s="55">
        <v>28500</v>
      </c>
      <c r="AS2526" s="78">
        <f t="shared" si="43"/>
        <v>0</v>
      </c>
    </row>
    <row r="2527" spans="39:45">
      <c r="AM2527" s="55">
        <v>2019</v>
      </c>
      <c r="AN2527" s="55" t="s">
        <v>186</v>
      </c>
      <c r="AO2527" s="55">
        <v>16</v>
      </c>
      <c r="AP2527" s="55">
        <v>5</v>
      </c>
      <c r="AQ2527" s="55">
        <v>0</v>
      </c>
      <c r="AR2527" s="55">
        <v>28500</v>
      </c>
      <c r="AS2527" s="78">
        <f t="shared" si="43"/>
        <v>0</v>
      </c>
    </row>
    <row r="2528" spans="39:45">
      <c r="AM2528" s="54">
        <v>2019</v>
      </c>
      <c r="AN2528" s="54" t="s">
        <v>186</v>
      </c>
      <c r="AO2528" s="54">
        <v>16</v>
      </c>
      <c r="AP2528" s="54">
        <v>6</v>
      </c>
      <c r="AQ2528" s="54">
        <v>615</v>
      </c>
      <c r="AR2528" s="55">
        <v>28500</v>
      </c>
      <c r="AS2528" s="78">
        <f t="shared" si="43"/>
        <v>2.1578947368421052E-2</v>
      </c>
    </row>
    <row r="2529" spans="39:45">
      <c r="AM2529" s="55">
        <v>2019</v>
      </c>
      <c r="AN2529" s="55" t="s">
        <v>186</v>
      </c>
      <c r="AO2529" s="55">
        <v>16</v>
      </c>
      <c r="AP2529" s="55">
        <v>7</v>
      </c>
      <c r="AQ2529" s="55">
        <v>6876</v>
      </c>
      <c r="AR2529" s="55">
        <v>28500</v>
      </c>
      <c r="AS2529" s="78">
        <f t="shared" si="43"/>
        <v>0.24126315789473685</v>
      </c>
    </row>
    <row r="2530" spans="39:45">
      <c r="AM2530" s="54">
        <v>2019</v>
      </c>
      <c r="AN2530" s="54" t="s">
        <v>186</v>
      </c>
      <c r="AO2530" s="54">
        <v>16</v>
      </c>
      <c r="AP2530" s="54">
        <v>8</v>
      </c>
      <c r="AQ2530" s="54">
        <v>12717.5</v>
      </c>
      <c r="AR2530" s="55">
        <v>28500</v>
      </c>
      <c r="AS2530" s="78">
        <f t="shared" si="43"/>
        <v>0.44622807017543858</v>
      </c>
    </row>
    <row r="2531" spans="39:45">
      <c r="AM2531" s="55">
        <v>2019</v>
      </c>
      <c r="AN2531" s="55" t="s">
        <v>186</v>
      </c>
      <c r="AO2531" s="55">
        <v>16</v>
      </c>
      <c r="AP2531" s="55">
        <v>9</v>
      </c>
      <c r="AQ2531" s="55">
        <v>15138</v>
      </c>
      <c r="AR2531" s="55">
        <v>28500</v>
      </c>
      <c r="AS2531" s="78">
        <f t="shared" si="43"/>
        <v>0.53115789473684205</v>
      </c>
    </row>
    <row r="2532" spans="39:45">
      <c r="AM2532" s="54">
        <v>2019</v>
      </c>
      <c r="AN2532" s="54" t="s">
        <v>186</v>
      </c>
      <c r="AO2532" s="54">
        <v>16</v>
      </c>
      <c r="AP2532" s="54">
        <v>10</v>
      </c>
      <c r="AQ2532" s="54">
        <v>10551.5</v>
      </c>
      <c r="AR2532" s="55">
        <v>28500</v>
      </c>
      <c r="AS2532" s="78">
        <f t="shared" si="43"/>
        <v>0.37022807017543857</v>
      </c>
    </row>
    <row r="2533" spans="39:45">
      <c r="AM2533" s="55">
        <v>2019</v>
      </c>
      <c r="AN2533" s="55" t="s">
        <v>186</v>
      </c>
      <c r="AO2533" s="55">
        <v>16</v>
      </c>
      <c r="AP2533" s="55">
        <v>11</v>
      </c>
      <c r="AQ2533" s="55">
        <v>15655.5</v>
      </c>
      <c r="AR2533" s="55">
        <v>28500</v>
      </c>
      <c r="AS2533" s="78">
        <f t="shared" si="43"/>
        <v>0.5493157894736842</v>
      </c>
    </row>
    <row r="2534" spans="39:45">
      <c r="AM2534" s="54">
        <v>2019</v>
      </c>
      <c r="AN2534" s="54" t="s">
        <v>186</v>
      </c>
      <c r="AO2534" s="54">
        <v>16</v>
      </c>
      <c r="AP2534" s="54">
        <v>12</v>
      </c>
      <c r="AQ2534" s="54">
        <v>19756</v>
      </c>
      <c r="AR2534" s="55">
        <v>28500</v>
      </c>
      <c r="AS2534" s="78">
        <f t="shared" si="43"/>
        <v>0.69319298245614036</v>
      </c>
    </row>
    <row r="2535" spans="39:45">
      <c r="AM2535" s="55">
        <v>2019</v>
      </c>
      <c r="AN2535" s="55" t="s">
        <v>186</v>
      </c>
      <c r="AO2535" s="55">
        <v>16</v>
      </c>
      <c r="AP2535" s="55">
        <v>13</v>
      </c>
      <c r="AQ2535" s="55">
        <v>16779.5</v>
      </c>
      <c r="AR2535" s="55">
        <v>28500</v>
      </c>
      <c r="AS2535" s="78">
        <f t="shared" si="43"/>
        <v>0.58875438596491225</v>
      </c>
    </row>
    <row r="2536" spans="39:45">
      <c r="AM2536" s="54">
        <v>2019</v>
      </c>
      <c r="AN2536" s="54" t="s">
        <v>186</v>
      </c>
      <c r="AO2536" s="54">
        <v>16</v>
      </c>
      <c r="AP2536" s="54">
        <v>14</v>
      </c>
      <c r="AQ2536" s="54">
        <v>20704</v>
      </c>
      <c r="AR2536" s="55">
        <v>28500</v>
      </c>
      <c r="AS2536" s="78">
        <f t="shared" si="43"/>
        <v>0.72645614035087724</v>
      </c>
    </row>
    <row r="2537" spans="39:45">
      <c r="AM2537" s="55">
        <v>2019</v>
      </c>
      <c r="AN2537" s="55" t="s">
        <v>186</v>
      </c>
      <c r="AO2537" s="55">
        <v>16</v>
      </c>
      <c r="AP2537" s="55">
        <v>15</v>
      </c>
      <c r="AQ2537" s="55">
        <v>9994</v>
      </c>
      <c r="AR2537" s="55">
        <v>28500</v>
      </c>
      <c r="AS2537" s="78">
        <f t="shared" si="43"/>
        <v>0.35066666666666668</v>
      </c>
    </row>
    <row r="2538" spans="39:45">
      <c r="AM2538" s="54">
        <v>2019</v>
      </c>
      <c r="AN2538" s="54" t="s">
        <v>186</v>
      </c>
      <c r="AO2538" s="54">
        <v>16</v>
      </c>
      <c r="AP2538" s="54">
        <v>16</v>
      </c>
      <c r="AQ2538" s="54">
        <v>10784</v>
      </c>
      <c r="AR2538" s="55">
        <v>28500</v>
      </c>
      <c r="AS2538" s="78">
        <f t="shared" si="43"/>
        <v>0.37838596491228071</v>
      </c>
    </row>
    <row r="2539" spans="39:45">
      <c r="AM2539" s="55">
        <v>2019</v>
      </c>
      <c r="AN2539" s="55" t="s">
        <v>186</v>
      </c>
      <c r="AO2539" s="55">
        <v>16</v>
      </c>
      <c r="AP2539" s="55">
        <v>17</v>
      </c>
      <c r="AQ2539" s="55">
        <v>1192.5</v>
      </c>
      <c r="AR2539" s="55">
        <v>28500</v>
      </c>
      <c r="AS2539" s="78">
        <f t="shared" si="43"/>
        <v>4.1842105263157896E-2</v>
      </c>
    </row>
    <row r="2540" spans="39:45">
      <c r="AM2540" s="54">
        <v>2019</v>
      </c>
      <c r="AN2540" s="54" t="s">
        <v>186</v>
      </c>
      <c r="AO2540" s="54">
        <v>16</v>
      </c>
      <c r="AP2540" s="54">
        <v>18</v>
      </c>
      <c r="AQ2540" s="54">
        <v>590</v>
      </c>
      <c r="AR2540" s="55">
        <v>28500</v>
      </c>
      <c r="AS2540" s="78">
        <f t="shared" si="43"/>
        <v>2.0701754385964912E-2</v>
      </c>
    </row>
    <row r="2541" spans="39:45">
      <c r="AM2541" s="55">
        <v>2019</v>
      </c>
      <c r="AN2541" s="55" t="s">
        <v>186</v>
      </c>
      <c r="AO2541" s="55">
        <v>16</v>
      </c>
      <c r="AP2541" s="55">
        <v>19</v>
      </c>
      <c r="AQ2541" s="55">
        <v>0</v>
      </c>
      <c r="AR2541" s="55">
        <v>28500</v>
      </c>
      <c r="AS2541" s="78">
        <f t="shared" si="43"/>
        <v>0</v>
      </c>
    </row>
    <row r="2542" spans="39:45">
      <c r="AM2542" s="54">
        <v>2019</v>
      </c>
      <c r="AN2542" s="54" t="s">
        <v>186</v>
      </c>
      <c r="AO2542" s="54">
        <v>16</v>
      </c>
      <c r="AP2542" s="54">
        <v>20</v>
      </c>
      <c r="AQ2542" s="54">
        <v>0</v>
      </c>
      <c r="AR2542" s="55">
        <v>28500</v>
      </c>
      <c r="AS2542" s="78">
        <f t="shared" si="43"/>
        <v>0</v>
      </c>
    </row>
    <row r="2543" spans="39:45">
      <c r="AM2543" s="55">
        <v>2019</v>
      </c>
      <c r="AN2543" s="55" t="s">
        <v>186</v>
      </c>
      <c r="AO2543" s="55">
        <v>16</v>
      </c>
      <c r="AP2543" s="55">
        <v>21</v>
      </c>
      <c r="AQ2543" s="55">
        <v>0</v>
      </c>
      <c r="AR2543" s="55">
        <v>28500</v>
      </c>
      <c r="AS2543" s="78">
        <f t="shared" si="43"/>
        <v>0</v>
      </c>
    </row>
    <row r="2544" spans="39:45">
      <c r="AM2544" s="54">
        <v>2019</v>
      </c>
      <c r="AN2544" s="54" t="s">
        <v>186</v>
      </c>
      <c r="AO2544" s="54">
        <v>16</v>
      </c>
      <c r="AP2544" s="54">
        <v>22</v>
      </c>
      <c r="AQ2544" s="54">
        <v>0</v>
      </c>
      <c r="AR2544" s="55">
        <v>28500</v>
      </c>
      <c r="AS2544" s="78">
        <f t="shared" si="43"/>
        <v>0</v>
      </c>
    </row>
    <row r="2545" spans="39:45">
      <c r="AM2545" s="55">
        <v>2019</v>
      </c>
      <c r="AN2545" s="55" t="s">
        <v>186</v>
      </c>
      <c r="AO2545" s="55">
        <v>16</v>
      </c>
      <c r="AP2545" s="55">
        <v>23</v>
      </c>
      <c r="AQ2545" s="55">
        <v>0</v>
      </c>
      <c r="AR2545" s="55">
        <v>28500</v>
      </c>
      <c r="AS2545" s="78">
        <f t="shared" si="43"/>
        <v>0</v>
      </c>
    </row>
    <row r="2546" spans="39:45">
      <c r="AM2546" s="54">
        <v>2019</v>
      </c>
      <c r="AN2546" s="54" t="s">
        <v>186</v>
      </c>
      <c r="AO2546" s="54">
        <v>17</v>
      </c>
      <c r="AP2546" s="54">
        <v>24</v>
      </c>
      <c r="AQ2546" s="54">
        <v>0</v>
      </c>
      <c r="AR2546" s="55">
        <v>28500</v>
      </c>
      <c r="AS2546" s="78">
        <f t="shared" si="43"/>
        <v>0</v>
      </c>
    </row>
    <row r="2547" spans="39:45">
      <c r="AM2547" s="55">
        <v>2019</v>
      </c>
      <c r="AN2547" s="55" t="s">
        <v>186</v>
      </c>
      <c r="AO2547" s="55">
        <v>17</v>
      </c>
      <c r="AP2547" s="55">
        <v>1</v>
      </c>
      <c r="AQ2547" s="55">
        <v>0</v>
      </c>
      <c r="AR2547" s="55">
        <v>28500</v>
      </c>
      <c r="AS2547" s="78">
        <f t="shared" si="43"/>
        <v>0</v>
      </c>
    </row>
    <row r="2548" spans="39:45">
      <c r="AM2548" s="54">
        <v>2019</v>
      </c>
      <c r="AN2548" s="54" t="s">
        <v>186</v>
      </c>
      <c r="AO2548" s="54">
        <v>17</v>
      </c>
      <c r="AP2548" s="54">
        <v>2</v>
      </c>
      <c r="AQ2548" s="54">
        <v>0</v>
      </c>
      <c r="AR2548" s="55">
        <v>28500</v>
      </c>
      <c r="AS2548" s="78">
        <f t="shared" si="43"/>
        <v>0</v>
      </c>
    </row>
    <row r="2549" spans="39:45">
      <c r="AM2549" s="55">
        <v>2019</v>
      </c>
      <c r="AN2549" s="55" t="s">
        <v>186</v>
      </c>
      <c r="AO2549" s="55">
        <v>17</v>
      </c>
      <c r="AP2549" s="55">
        <v>3</v>
      </c>
      <c r="AQ2549" s="55">
        <v>0</v>
      </c>
      <c r="AR2549" s="55">
        <v>28500</v>
      </c>
      <c r="AS2549" s="78">
        <f t="shared" si="43"/>
        <v>0</v>
      </c>
    </row>
    <row r="2550" spans="39:45">
      <c r="AM2550" s="54">
        <v>2019</v>
      </c>
      <c r="AN2550" s="54" t="s">
        <v>186</v>
      </c>
      <c r="AO2550" s="54">
        <v>17</v>
      </c>
      <c r="AP2550" s="54">
        <v>4</v>
      </c>
      <c r="AQ2550" s="54">
        <v>0</v>
      </c>
      <c r="AR2550" s="55">
        <v>28500</v>
      </c>
      <c r="AS2550" s="78">
        <f t="shared" si="43"/>
        <v>0</v>
      </c>
    </row>
    <row r="2551" spans="39:45">
      <c r="AM2551" s="55">
        <v>2019</v>
      </c>
      <c r="AN2551" s="55" t="s">
        <v>186</v>
      </c>
      <c r="AO2551" s="55">
        <v>17</v>
      </c>
      <c r="AP2551" s="55">
        <v>5</v>
      </c>
      <c r="AQ2551" s="55">
        <v>0</v>
      </c>
      <c r="AR2551" s="55">
        <v>28500</v>
      </c>
      <c r="AS2551" s="78">
        <f t="shared" si="43"/>
        <v>0</v>
      </c>
    </row>
    <row r="2552" spans="39:45">
      <c r="AM2552" s="54">
        <v>2019</v>
      </c>
      <c r="AN2552" s="54" t="s">
        <v>186</v>
      </c>
      <c r="AO2552" s="54">
        <v>17</v>
      </c>
      <c r="AP2552" s="54">
        <v>6</v>
      </c>
      <c r="AQ2552" s="54">
        <v>2113</v>
      </c>
      <c r="AR2552" s="55">
        <v>28500</v>
      </c>
      <c r="AS2552" s="78">
        <f t="shared" si="43"/>
        <v>7.4140350877192979E-2</v>
      </c>
    </row>
    <row r="2553" spans="39:45">
      <c r="AM2553" s="55">
        <v>2019</v>
      </c>
      <c r="AN2553" s="55" t="s">
        <v>186</v>
      </c>
      <c r="AO2553" s="55">
        <v>17</v>
      </c>
      <c r="AP2553" s="55">
        <v>7</v>
      </c>
      <c r="AQ2553" s="55">
        <v>11014</v>
      </c>
      <c r="AR2553" s="55">
        <v>28500</v>
      </c>
      <c r="AS2553" s="78">
        <f t="shared" si="43"/>
        <v>0.38645614035087722</v>
      </c>
    </row>
    <row r="2554" spans="39:45">
      <c r="AM2554" s="54">
        <v>2019</v>
      </c>
      <c r="AN2554" s="54" t="s">
        <v>186</v>
      </c>
      <c r="AO2554" s="54">
        <v>17</v>
      </c>
      <c r="AP2554" s="54">
        <v>8</v>
      </c>
      <c r="AQ2554" s="54">
        <v>19843</v>
      </c>
      <c r="AR2554" s="55">
        <v>28500</v>
      </c>
      <c r="AS2554" s="78">
        <f t="shared" si="43"/>
        <v>0.69624561403508767</v>
      </c>
    </row>
    <row r="2555" spans="39:45">
      <c r="AM2555" s="55">
        <v>2019</v>
      </c>
      <c r="AN2555" s="55" t="s">
        <v>186</v>
      </c>
      <c r="AO2555" s="55">
        <v>17</v>
      </c>
      <c r="AP2555" s="55">
        <v>9</v>
      </c>
      <c r="AQ2555" s="55">
        <v>29365.5</v>
      </c>
      <c r="AR2555" s="55">
        <v>28500</v>
      </c>
      <c r="AS2555" s="78">
        <f t="shared" si="43"/>
        <v>1.0303684210526316</v>
      </c>
    </row>
    <row r="2556" spans="39:45">
      <c r="AM2556" s="54">
        <v>2019</v>
      </c>
      <c r="AN2556" s="54" t="s">
        <v>186</v>
      </c>
      <c r="AO2556" s="54">
        <v>17</v>
      </c>
      <c r="AP2556" s="54">
        <v>10</v>
      </c>
      <c r="AQ2556" s="54">
        <v>34879</v>
      </c>
      <c r="AR2556" s="55">
        <v>28500</v>
      </c>
      <c r="AS2556" s="78">
        <f t="shared" si="43"/>
        <v>1.2238245614035088</v>
      </c>
    </row>
    <row r="2557" spans="39:45">
      <c r="AM2557" s="55">
        <v>2019</v>
      </c>
      <c r="AN2557" s="55" t="s">
        <v>186</v>
      </c>
      <c r="AO2557" s="55">
        <v>17</v>
      </c>
      <c r="AP2557" s="55">
        <v>11</v>
      </c>
      <c r="AQ2557" s="55">
        <v>37635.5</v>
      </c>
      <c r="AR2557" s="55">
        <v>28500</v>
      </c>
      <c r="AS2557" s="78">
        <f t="shared" si="43"/>
        <v>1.3205438596491228</v>
      </c>
    </row>
    <row r="2558" spans="39:45">
      <c r="AM2558" s="54">
        <v>2019</v>
      </c>
      <c r="AN2558" s="54" t="s">
        <v>186</v>
      </c>
      <c r="AO2558" s="54">
        <v>17</v>
      </c>
      <c r="AP2558" s="54">
        <v>12</v>
      </c>
      <c r="AQ2558" s="54">
        <v>36454.5</v>
      </c>
      <c r="AR2558" s="55">
        <v>28500</v>
      </c>
      <c r="AS2558" s="78">
        <f t="shared" si="43"/>
        <v>1.2791052631578947</v>
      </c>
    </row>
    <row r="2559" spans="39:45">
      <c r="AM2559" s="55">
        <v>2019</v>
      </c>
      <c r="AN2559" s="55" t="s">
        <v>186</v>
      </c>
      <c r="AO2559" s="55">
        <v>17</v>
      </c>
      <c r="AP2559" s="55">
        <v>13</v>
      </c>
      <c r="AQ2559" s="55">
        <v>22963.5</v>
      </c>
      <c r="AR2559" s="55">
        <v>28500</v>
      </c>
      <c r="AS2559" s="78">
        <f t="shared" si="43"/>
        <v>0.8057368421052632</v>
      </c>
    </row>
    <row r="2560" spans="39:45">
      <c r="AM2560" s="54">
        <v>2019</v>
      </c>
      <c r="AN2560" s="54" t="s">
        <v>186</v>
      </c>
      <c r="AO2560" s="54">
        <v>17</v>
      </c>
      <c r="AP2560" s="54">
        <v>14</v>
      </c>
      <c r="AQ2560" s="54">
        <v>23557</v>
      </c>
      <c r="AR2560" s="55">
        <v>28500</v>
      </c>
      <c r="AS2560" s="78">
        <f t="shared" si="43"/>
        <v>0.82656140350877194</v>
      </c>
    </row>
    <row r="2561" spans="39:45">
      <c r="AM2561" s="55">
        <v>2019</v>
      </c>
      <c r="AN2561" s="55" t="s">
        <v>186</v>
      </c>
      <c r="AO2561" s="55">
        <v>17</v>
      </c>
      <c r="AP2561" s="55">
        <v>15</v>
      </c>
      <c r="AQ2561" s="55">
        <v>17757.5</v>
      </c>
      <c r="AR2561" s="55">
        <v>28500</v>
      </c>
      <c r="AS2561" s="78">
        <f t="shared" si="43"/>
        <v>0.62307017543859644</v>
      </c>
    </row>
    <row r="2562" spans="39:45">
      <c r="AM2562" s="54">
        <v>2019</v>
      </c>
      <c r="AN2562" s="54" t="s">
        <v>186</v>
      </c>
      <c r="AO2562" s="54">
        <v>17</v>
      </c>
      <c r="AP2562" s="54">
        <v>16</v>
      </c>
      <c r="AQ2562" s="54">
        <v>13988</v>
      </c>
      <c r="AR2562" s="55">
        <v>28500</v>
      </c>
      <c r="AS2562" s="78">
        <f t="shared" ref="AS2562:AS2625" si="44">AQ2562/AR2562</f>
        <v>0.49080701754385964</v>
      </c>
    </row>
    <row r="2563" spans="39:45">
      <c r="AM2563" s="55">
        <v>2019</v>
      </c>
      <c r="AN2563" s="55" t="s">
        <v>186</v>
      </c>
      <c r="AO2563" s="55">
        <v>17</v>
      </c>
      <c r="AP2563" s="55">
        <v>17</v>
      </c>
      <c r="AQ2563" s="55">
        <v>6671.5</v>
      </c>
      <c r="AR2563" s="55">
        <v>28500</v>
      </c>
      <c r="AS2563" s="78">
        <f t="shared" si="44"/>
        <v>0.23408771929824562</v>
      </c>
    </row>
    <row r="2564" spans="39:45">
      <c r="AM2564" s="54">
        <v>2019</v>
      </c>
      <c r="AN2564" s="54" t="s">
        <v>186</v>
      </c>
      <c r="AO2564" s="54">
        <v>17</v>
      </c>
      <c r="AP2564" s="54">
        <v>18</v>
      </c>
      <c r="AQ2564" s="54">
        <v>793</v>
      </c>
      <c r="AR2564" s="55">
        <v>28500</v>
      </c>
      <c r="AS2564" s="78">
        <f t="shared" si="44"/>
        <v>2.7824561403508773E-2</v>
      </c>
    </row>
    <row r="2565" spans="39:45">
      <c r="AM2565" s="55">
        <v>2019</v>
      </c>
      <c r="AN2565" s="55" t="s">
        <v>186</v>
      </c>
      <c r="AO2565" s="55">
        <v>17</v>
      </c>
      <c r="AP2565" s="55">
        <v>19</v>
      </c>
      <c r="AQ2565" s="55">
        <v>0</v>
      </c>
      <c r="AR2565" s="55">
        <v>28500</v>
      </c>
      <c r="AS2565" s="78">
        <f t="shared" si="44"/>
        <v>0</v>
      </c>
    </row>
    <row r="2566" spans="39:45">
      <c r="AM2566" s="54">
        <v>2019</v>
      </c>
      <c r="AN2566" s="54" t="s">
        <v>186</v>
      </c>
      <c r="AO2566" s="54">
        <v>17</v>
      </c>
      <c r="AP2566" s="54">
        <v>20</v>
      </c>
      <c r="AQ2566" s="54">
        <v>0</v>
      </c>
      <c r="AR2566" s="55">
        <v>28500</v>
      </c>
      <c r="AS2566" s="78">
        <f t="shared" si="44"/>
        <v>0</v>
      </c>
    </row>
    <row r="2567" spans="39:45">
      <c r="AM2567" s="55">
        <v>2019</v>
      </c>
      <c r="AN2567" s="55" t="s">
        <v>186</v>
      </c>
      <c r="AO2567" s="55">
        <v>17</v>
      </c>
      <c r="AP2567" s="55">
        <v>21</v>
      </c>
      <c r="AQ2567" s="55">
        <v>0</v>
      </c>
      <c r="AR2567" s="55">
        <v>28500</v>
      </c>
      <c r="AS2567" s="78">
        <f t="shared" si="44"/>
        <v>0</v>
      </c>
    </row>
    <row r="2568" spans="39:45">
      <c r="AM2568" s="54">
        <v>2019</v>
      </c>
      <c r="AN2568" s="54" t="s">
        <v>186</v>
      </c>
      <c r="AO2568" s="54">
        <v>17</v>
      </c>
      <c r="AP2568" s="54">
        <v>22</v>
      </c>
      <c r="AQ2568" s="54">
        <v>0</v>
      </c>
      <c r="AR2568" s="55">
        <v>28500</v>
      </c>
      <c r="AS2568" s="78">
        <f t="shared" si="44"/>
        <v>0</v>
      </c>
    </row>
    <row r="2569" spans="39:45">
      <c r="AM2569" s="55">
        <v>2019</v>
      </c>
      <c r="AN2569" s="55" t="s">
        <v>186</v>
      </c>
      <c r="AO2569" s="55">
        <v>17</v>
      </c>
      <c r="AP2569" s="55">
        <v>23</v>
      </c>
      <c r="AQ2569" s="55">
        <v>0</v>
      </c>
      <c r="AR2569" s="55">
        <v>28500</v>
      </c>
      <c r="AS2569" s="78">
        <f t="shared" si="44"/>
        <v>0</v>
      </c>
    </row>
    <row r="2570" spans="39:45">
      <c r="AM2570" s="54">
        <v>2019</v>
      </c>
      <c r="AN2570" s="54" t="s">
        <v>186</v>
      </c>
      <c r="AO2570" s="54">
        <v>18</v>
      </c>
      <c r="AP2570" s="54">
        <v>24</v>
      </c>
      <c r="AQ2570" s="54">
        <v>0</v>
      </c>
      <c r="AR2570" s="55">
        <v>28500</v>
      </c>
      <c r="AS2570" s="78">
        <f t="shared" si="44"/>
        <v>0</v>
      </c>
    </row>
    <row r="2571" spans="39:45">
      <c r="AM2571" s="55">
        <v>2019</v>
      </c>
      <c r="AN2571" s="55" t="s">
        <v>186</v>
      </c>
      <c r="AO2571" s="55">
        <v>18</v>
      </c>
      <c r="AP2571" s="55">
        <v>1</v>
      </c>
      <c r="AQ2571" s="55">
        <v>0</v>
      </c>
      <c r="AR2571" s="55">
        <v>28500</v>
      </c>
      <c r="AS2571" s="78">
        <f t="shared" si="44"/>
        <v>0</v>
      </c>
    </row>
    <row r="2572" spans="39:45">
      <c r="AM2572" s="54">
        <v>2019</v>
      </c>
      <c r="AN2572" s="54" t="s">
        <v>186</v>
      </c>
      <c r="AO2572" s="54">
        <v>18</v>
      </c>
      <c r="AP2572" s="54">
        <v>2</v>
      </c>
      <c r="AQ2572" s="54">
        <v>0</v>
      </c>
      <c r="AR2572" s="55">
        <v>28500</v>
      </c>
      <c r="AS2572" s="78">
        <f t="shared" si="44"/>
        <v>0</v>
      </c>
    </row>
    <row r="2573" spans="39:45">
      <c r="AM2573" s="55">
        <v>2019</v>
      </c>
      <c r="AN2573" s="55" t="s">
        <v>186</v>
      </c>
      <c r="AO2573" s="55">
        <v>18</v>
      </c>
      <c r="AP2573" s="55">
        <v>3</v>
      </c>
      <c r="AQ2573" s="55">
        <v>0</v>
      </c>
      <c r="AR2573" s="55">
        <v>28500</v>
      </c>
      <c r="AS2573" s="78">
        <f t="shared" si="44"/>
        <v>0</v>
      </c>
    </row>
    <row r="2574" spans="39:45">
      <c r="AM2574" s="54">
        <v>2019</v>
      </c>
      <c r="AN2574" s="54" t="s">
        <v>186</v>
      </c>
      <c r="AO2574" s="54">
        <v>18</v>
      </c>
      <c r="AP2574" s="54">
        <v>4</v>
      </c>
      <c r="AQ2574" s="54">
        <v>0</v>
      </c>
      <c r="AR2574" s="55">
        <v>28500</v>
      </c>
      <c r="AS2574" s="78">
        <f t="shared" si="44"/>
        <v>0</v>
      </c>
    </row>
    <row r="2575" spans="39:45">
      <c r="AM2575" s="55">
        <v>2019</v>
      </c>
      <c r="AN2575" s="55" t="s">
        <v>186</v>
      </c>
      <c r="AO2575" s="55">
        <v>18</v>
      </c>
      <c r="AP2575" s="55">
        <v>5</v>
      </c>
      <c r="AQ2575" s="55">
        <v>0</v>
      </c>
      <c r="AR2575" s="55">
        <v>28500</v>
      </c>
      <c r="AS2575" s="78">
        <f t="shared" si="44"/>
        <v>0</v>
      </c>
    </row>
    <row r="2576" spans="39:45">
      <c r="AM2576" s="54">
        <v>2019</v>
      </c>
      <c r="AN2576" s="54" t="s">
        <v>186</v>
      </c>
      <c r="AO2576" s="54">
        <v>18</v>
      </c>
      <c r="AP2576" s="54">
        <v>6</v>
      </c>
      <c r="AQ2576" s="54">
        <v>2100</v>
      </c>
      <c r="AR2576" s="55">
        <v>28500</v>
      </c>
      <c r="AS2576" s="78">
        <f t="shared" si="44"/>
        <v>7.3684210526315783E-2</v>
      </c>
    </row>
    <row r="2577" spans="39:45">
      <c r="AM2577" s="55">
        <v>2019</v>
      </c>
      <c r="AN2577" s="55" t="s">
        <v>186</v>
      </c>
      <c r="AO2577" s="55">
        <v>18</v>
      </c>
      <c r="AP2577" s="55">
        <v>7</v>
      </c>
      <c r="AQ2577" s="55">
        <v>5503</v>
      </c>
      <c r="AR2577" s="55">
        <v>28500</v>
      </c>
      <c r="AS2577" s="78">
        <f t="shared" si="44"/>
        <v>0.19308771929824561</v>
      </c>
    </row>
    <row r="2578" spans="39:45">
      <c r="AM2578" s="54">
        <v>2019</v>
      </c>
      <c r="AN2578" s="54" t="s">
        <v>186</v>
      </c>
      <c r="AO2578" s="54">
        <v>18</v>
      </c>
      <c r="AP2578" s="54">
        <v>8</v>
      </c>
      <c r="AQ2578" s="54">
        <v>17951.5</v>
      </c>
      <c r="AR2578" s="55">
        <v>28500</v>
      </c>
      <c r="AS2578" s="78">
        <f t="shared" si="44"/>
        <v>0.62987719298245615</v>
      </c>
    </row>
    <row r="2579" spans="39:45">
      <c r="AM2579" s="55">
        <v>2019</v>
      </c>
      <c r="AN2579" s="55" t="s">
        <v>186</v>
      </c>
      <c r="AO2579" s="55">
        <v>18</v>
      </c>
      <c r="AP2579" s="55">
        <v>9</v>
      </c>
      <c r="AQ2579" s="55">
        <v>23333.5</v>
      </c>
      <c r="AR2579" s="55">
        <v>28500</v>
      </c>
      <c r="AS2579" s="78">
        <f t="shared" si="44"/>
        <v>0.81871929824561407</v>
      </c>
    </row>
    <row r="2580" spans="39:45">
      <c r="AM2580" s="54">
        <v>2019</v>
      </c>
      <c r="AN2580" s="54" t="s">
        <v>186</v>
      </c>
      <c r="AO2580" s="54">
        <v>18</v>
      </c>
      <c r="AP2580" s="54">
        <v>10</v>
      </c>
      <c r="AQ2580" s="54">
        <v>35684</v>
      </c>
      <c r="AR2580" s="55">
        <v>28500</v>
      </c>
      <c r="AS2580" s="78">
        <f t="shared" si="44"/>
        <v>1.2520701754385966</v>
      </c>
    </row>
    <row r="2581" spans="39:45">
      <c r="AM2581" s="55">
        <v>2019</v>
      </c>
      <c r="AN2581" s="55" t="s">
        <v>186</v>
      </c>
      <c r="AO2581" s="55">
        <v>18</v>
      </c>
      <c r="AP2581" s="55">
        <v>11</v>
      </c>
      <c r="AQ2581" s="55">
        <v>38870</v>
      </c>
      <c r="AR2581" s="55">
        <v>28500</v>
      </c>
      <c r="AS2581" s="78">
        <f t="shared" si="44"/>
        <v>1.363859649122807</v>
      </c>
    </row>
    <row r="2582" spans="39:45">
      <c r="AM2582" s="54">
        <v>2019</v>
      </c>
      <c r="AN2582" s="54" t="s">
        <v>186</v>
      </c>
      <c r="AO2582" s="54">
        <v>18</v>
      </c>
      <c r="AP2582" s="54">
        <v>12</v>
      </c>
      <c r="AQ2582" s="54">
        <v>39826</v>
      </c>
      <c r="AR2582" s="55">
        <v>28500</v>
      </c>
      <c r="AS2582" s="78">
        <f t="shared" si="44"/>
        <v>1.3974035087719299</v>
      </c>
    </row>
    <row r="2583" spans="39:45">
      <c r="AM2583" s="55">
        <v>2019</v>
      </c>
      <c r="AN2583" s="55" t="s">
        <v>186</v>
      </c>
      <c r="AO2583" s="55">
        <v>18</v>
      </c>
      <c r="AP2583" s="55">
        <v>13</v>
      </c>
      <c r="AQ2583" s="55">
        <v>39689.5</v>
      </c>
      <c r="AR2583" s="55">
        <v>28500</v>
      </c>
      <c r="AS2583" s="78">
        <f t="shared" si="44"/>
        <v>1.3926140350877192</v>
      </c>
    </row>
    <row r="2584" spans="39:45">
      <c r="AM2584" s="54">
        <v>2019</v>
      </c>
      <c r="AN2584" s="54" t="s">
        <v>186</v>
      </c>
      <c r="AO2584" s="54">
        <v>18</v>
      </c>
      <c r="AP2584" s="54">
        <v>14</v>
      </c>
      <c r="AQ2584" s="54">
        <v>28534.5</v>
      </c>
      <c r="AR2584" s="55">
        <v>28500</v>
      </c>
      <c r="AS2584" s="78">
        <f t="shared" si="44"/>
        <v>1.0012105263157896</v>
      </c>
    </row>
    <row r="2585" spans="39:45">
      <c r="AM2585" s="55">
        <v>2019</v>
      </c>
      <c r="AN2585" s="55" t="s">
        <v>186</v>
      </c>
      <c r="AO2585" s="55">
        <v>18</v>
      </c>
      <c r="AP2585" s="55">
        <v>15</v>
      </c>
      <c r="AQ2585" s="55">
        <v>19714</v>
      </c>
      <c r="AR2585" s="55">
        <v>28500</v>
      </c>
      <c r="AS2585" s="78">
        <f t="shared" si="44"/>
        <v>0.69171929824561407</v>
      </c>
    </row>
    <row r="2586" spans="39:45">
      <c r="AM2586" s="54">
        <v>2019</v>
      </c>
      <c r="AN2586" s="54" t="s">
        <v>186</v>
      </c>
      <c r="AO2586" s="54">
        <v>18</v>
      </c>
      <c r="AP2586" s="54">
        <v>16</v>
      </c>
      <c r="AQ2586" s="54">
        <v>15602</v>
      </c>
      <c r="AR2586" s="55">
        <v>28500</v>
      </c>
      <c r="AS2586" s="78">
        <f t="shared" si="44"/>
        <v>0.54743859649122806</v>
      </c>
    </row>
    <row r="2587" spans="39:45">
      <c r="AM2587" s="55">
        <v>2019</v>
      </c>
      <c r="AN2587" s="55" t="s">
        <v>186</v>
      </c>
      <c r="AO2587" s="55">
        <v>18</v>
      </c>
      <c r="AP2587" s="55">
        <v>17</v>
      </c>
      <c r="AQ2587" s="55">
        <v>7360.5</v>
      </c>
      <c r="AR2587" s="55">
        <v>28500</v>
      </c>
      <c r="AS2587" s="78">
        <f t="shared" si="44"/>
        <v>0.25826315789473686</v>
      </c>
    </row>
    <row r="2588" spans="39:45">
      <c r="AM2588" s="54">
        <v>2019</v>
      </c>
      <c r="AN2588" s="54" t="s">
        <v>186</v>
      </c>
      <c r="AO2588" s="54">
        <v>18</v>
      </c>
      <c r="AP2588" s="54">
        <v>18</v>
      </c>
      <c r="AQ2588" s="54">
        <v>879.5</v>
      </c>
      <c r="AR2588" s="55">
        <v>28500</v>
      </c>
      <c r="AS2588" s="78">
        <f t="shared" si="44"/>
        <v>3.0859649122807017E-2</v>
      </c>
    </row>
    <row r="2589" spans="39:45">
      <c r="AM2589" s="55">
        <v>2019</v>
      </c>
      <c r="AN2589" s="55" t="s">
        <v>186</v>
      </c>
      <c r="AO2589" s="55">
        <v>18</v>
      </c>
      <c r="AP2589" s="55">
        <v>19</v>
      </c>
      <c r="AQ2589" s="55">
        <v>0</v>
      </c>
      <c r="AR2589" s="55">
        <v>28500</v>
      </c>
      <c r="AS2589" s="78">
        <f t="shared" si="44"/>
        <v>0</v>
      </c>
    </row>
    <row r="2590" spans="39:45">
      <c r="AM2590" s="54">
        <v>2019</v>
      </c>
      <c r="AN2590" s="54" t="s">
        <v>186</v>
      </c>
      <c r="AO2590" s="54">
        <v>18</v>
      </c>
      <c r="AP2590" s="54">
        <v>20</v>
      </c>
      <c r="AQ2590" s="54">
        <v>0</v>
      </c>
      <c r="AR2590" s="55">
        <v>28500</v>
      </c>
      <c r="AS2590" s="78">
        <f t="shared" si="44"/>
        <v>0</v>
      </c>
    </row>
    <row r="2591" spans="39:45">
      <c r="AM2591" s="55">
        <v>2019</v>
      </c>
      <c r="AN2591" s="55" t="s">
        <v>186</v>
      </c>
      <c r="AO2591" s="55">
        <v>18</v>
      </c>
      <c r="AP2591" s="55">
        <v>21</v>
      </c>
      <c r="AQ2591" s="55">
        <v>0</v>
      </c>
      <c r="AR2591" s="55">
        <v>28500</v>
      </c>
      <c r="AS2591" s="78">
        <f t="shared" si="44"/>
        <v>0</v>
      </c>
    </row>
    <row r="2592" spans="39:45">
      <c r="AM2592" s="54">
        <v>2019</v>
      </c>
      <c r="AN2592" s="54" t="s">
        <v>186</v>
      </c>
      <c r="AO2592" s="54">
        <v>18</v>
      </c>
      <c r="AP2592" s="54">
        <v>22</v>
      </c>
      <c r="AQ2592" s="54">
        <v>0</v>
      </c>
      <c r="AR2592" s="55">
        <v>28500</v>
      </c>
      <c r="AS2592" s="78">
        <f t="shared" si="44"/>
        <v>0</v>
      </c>
    </row>
    <row r="2593" spans="39:45">
      <c r="AM2593" s="55">
        <v>2019</v>
      </c>
      <c r="AN2593" s="55" t="s">
        <v>186</v>
      </c>
      <c r="AO2593" s="55">
        <v>18</v>
      </c>
      <c r="AP2593" s="55">
        <v>23</v>
      </c>
      <c r="AQ2593" s="55">
        <v>0</v>
      </c>
      <c r="AR2593" s="55">
        <v>28500</v>
      </c>
      <c r="AS2593" s="78">
        <f t="shared" si="44"/>
        <v>0</v>
      </c>
    </row>
    <row r="2594" spans="39:45">
      <c r="AM2594" s="54">
        <v>2019</v>
      </c>
      <c r="AN2594" s="54" t="s">
        <v>186</v>
      </c>
      <c r="AO2594" s="54">
        <v>19</v>
      </c>
      <c r="AP2594" s="54">
        <v>24</v>
      </c>
      <c r="AQ2594" s="54">
        <v>0</v>
      </c>
      <c r="AR2594" s="55">
        <v>28500</v>
      </c>
      <c r="AS2594" s="78">
        <f t="shared" si="44"/>
        <v>0</v>
      </c>
    </row>
    <row r="2595" spans="39:45">
      <c r="AM2595" s="55">
        <v>2019</v>
      </c>
      <c r="AN2595" s="55" t="s">
        <v>186</v>
      </c>
      <c r="AO2595" s="55">
        <v>19</v>
      </c>
      <c r="AP2595" s="55">
        <v>1</v>
      </c>
      <c r="AQ2595" s="55">
        <v>0</v>
      </c>
      <c r="AR2595" s="55">
        <v>28500</v>
      </c>
      <c r="AS2595" s="78">
        <f t="shared" si="44"/>
        <v>0</v>
      </c>
    </row>
    <row r="2596" spans="39:45">
      <c r="AM2596" s="54">
        <v>2019</v>
      </c>
      <c r="AN2596" s="54" t="s">
        <v>186</v>
      </c>
      <c r="AO2596" s="54">
        <v>19</v>
      </c>
      <c r="AP2596" s="54">
        <v>2</v>
      </c>
      <c r="AQ2596" s="54">
        <v>0</v>
      </c>
      <c r="AR2596" s="55">
        <v>28500</v>
      </c>
      <c r="AS2596" s="78">
        <f t="shared" si="44"/>
        <v>0</v>
      </c>
    </row>
    <row r="2597" spans="39:45">
      <c r="AM2597" s="55">
        <v>2019</v>
      </c>
      <c r="AN2597" s="55" t="s">
        <v>186</v>
      </c>
      <c r="AO2597" s="55">
        <v>19</v>
      </c>
      <c r="AP2597" s="55">
        <v>3</v>
      </c>
      <c r="AQ2597" s="55">
        <v>0</v>
      </c>
      <c r="AR2597" s="55">
        <v>28500</v>
      </c>
      <c r="AS2597" s="78">
        <f t="shared" si="44"/>
        <v>0</v>
      </c>
    </row>
    <row r="2598" spans="39:45">
      <c r="AM2598" s="54">
        <v>2019</v>
      </c>
      <c r="AN2598" s="54" t="s">
        <v>186</v>
      </c>
      <c r="AO2598" s="54">
        <v>19</v>
      </c>
      <c r="AP2598" s="54">
        <v>4</v>
      </c>
      <c r="AQ2598" s="54">
        <v>0</v>
      </c>
      <c r="AR2598" s="55">
        <v>28500</v>
      </c>
      <c r="AS2598" s="78">
        <f t="shared" si="44"/>
        <v>0</v>
      </c>
    </row>
    <row r="2599" spans="39:45">
      <c r="AM2599" s="55">
        <v>2019</v>
      </c>
      <c r="AN2599" s="55" t="s">
        <v>186</v>
      </c>
      <c r="AO2599" s="55">
        <v>19</v>
      </c>
      <c r="AP2599" s="55">
        <v>5</v>
      </c>
      <c r="AQ2599" s="55">
        <v>0</v>
      </c>
      <c r="AR2599" s="55">
        <v>28500</v>
      </c>
      <c r="AS2599" s="78">
        <f t="shared" si="44"/>
        <v>0</v>
      </c>
    </row>
    <row r="2600" spans="39:45">
      <c r="AM2600" s="54">
        <v>2019</v>
      </c>
      <c r="AN2600" s="54" t="s">
        <v>186</v>
      </c>
      <c r="AO2600" s="54">
        <v>19</v>
      </c>
      <c r="AP2600" s="54">
        <v>6</v>
      </c>
      <c r="AQ2600" s="54">
        <v>2106</v>
      </c>
      <c r="AR2600" s="55">
        <v>28500</v>
      </c>
      <c r="AS2600" s="78">
        <f t="shared" si="44"/>
        <v>7.3894736842105263E-2</v>
      </c>
    </row>
    <row r="2601" spans="39:45">
      <c r="AM2601" s="55">
        <v>2019</v>
      </c>
      <c r="AN2601" s="55" t="s">
        <v>186</v>
      </c>
      <c r="AO2601" s="55">
        <v>19</v>
      </c>
      <c r="AP2601" s="55">
        <v>7</v>
      </c>
      <c r="AQ2601" s="55">
        <v>11695.5</v>
      </c>
      <c r="AR2601" s="55">
        <v>28500</v>
      </c>
      <c r="AS2601" s="78">
        <f t="shared" si="44"/>
        <v>0.4103684210526316</v>
      </c>
    </row>
    <row r="2602" spans="39:45">
      <c r="AM2602" s="54">
        <v>2019</v>
      </c>
      <c r="AN2602" s="54" t="s">
        <v>186</v>
      </c>
      <c r="AO2602" s="54">
        <v>19</v>
      </c>
      <c r="AP2602" s="54">
        <v>8</v>
      </c>
      <c r="AQ2602" s="54">
        <v>22754.5</v>
      </c>
      <c r="AR2602" s="55">
        <v>28500</v>
      </c>
      <c r="AS2602" s="78">
        <f t="shared" si="44"/>
        <v>0.79840350877192978</v>
      </c>
    </row>
    <row r="2603" spans="39:45">
      <c r="AM2603" s="55">
        <v>2019</v>
      </c>
      <c r="AN2603" s="55" t="s">
        <v>186</v>
      </c>
      <c r="AO2603" s="55">
        <v>19</v>
      </c>
      <c r="AP2603" s="55">
        <v>9</v>
      </c>
      <c r="AQ2603" s="55">
        <v>30483.5</v>
      </c>
      <c r="AR2603" s="55">
        <v>28500</v>
      </c>
      <c r="AS2603" s="78">
        <f t="shared" si="44"/>
        <v>1.0695964912280702</v>
      </c>
    </row>
    <row r="2604" spans="39:45">
      <c r="AM2604" s="54">
        <v>2019</v>
      </c>
      <c r="AN2604" s="54" t="s">
        <v>186</v>
      </c>
      <c r="AO2604" s="54">
        <v>19</v>
      </c>
      <c r="AP2604" s="54">
        <v>10</v>
      </c>
      <c r="AQ2604" s="54">
        <v>37806.5</v>
      </c>
      <c r="AR2604" s="55">
        <v>28500</v>
      </c>
      <c r="AS2604" s="78">
        <f t="shared" si="44"/>
        <v>1.3265438596491228</v>
      </c>
    </row>
    <row r="2605" spans="39:45">
      <c r="AM2605" s="55">
        <v>2019</v>
      </c>
      <c r="AN2605" s="55" t="s">
        <v>186</v>
      </c>
      <c r="AO2605" s="55">
        <v>19</v>
      </c>
      <c r="AP2605" s="55">
        <v>11</v>
      </c>
      <c r="AQ2605" s="55">
        <v>41281</v>
      </c>
      <c r="AR2605" s="55">
        <v>28500</v>
      </c>
      <c r="AS2605" s="78">
        <f t="shared" si="44"/>
        <v>1.4484561403508771</v>
      </c>
    </row>
    <row r="2606" spans="39:45">
      <c r="AM2606" s="54">
        <v>2019</v>
      </c>
      <c r="AN2606" s="54" t="s">
        <v>186</v>
      </c>
      <c r="AO2606" s="54">
        <v>19</v>
      </c>
      <c r="AP2606" s="54">
        <v>12</v>
      </c>
      <c r="AQ2606" s="54">
        <v>41745.5</v>
      </c>
      <c r="AR2606" s="55">
        <v>28500</v>
      </c>
      <c r="AS2606" s="78">
        <f t="shared" si="44"/>
        <v>1.4647543859649124</v>
      </c>
    </row>
    <row r="2607" spans="39:45">
      <c r="AM2607" s="55">
        <v>2019</v>
      </c>
      <c r="AN2607" s="55" t="s">
        <v>186</v>
      </c>
      <c r="AO2607" s="55">
        <v>19</v>
      </c>
      <c r="AP2607" s="55">
        <v>13</v>
      </c>
      <c r="AQ2607" s="55">
        <v>39721.5</v>
      </c>
      <c r="AR2607" s="55">
        <v>28500</v>
      </c>
      <c r="AS2607" s="78">
        <f t="shared" si="44"/>
        <v>1.3937368421052632</v>
      </c>
    </row>
    <row r="2608" spans="39:45">
      <c r="AM2608" s="54">
        <v>2019</v>
      </c>
      <c r="AN2608" s="54" t="s">
        <v>186</v>
      </c>
      <c r="AO2608" s="54">
        <v>19</v>
      </c>
      <c r="AP2608" s="54">
        <v>14</v>
      </c>
      <c r="AQ2608" s="54">
        <v>35457.5</v>
      </c>
      <c r="AR2608" s="55">
        <v>28500</v>
      </c>
      <c r="AS2608" s="78">
        <f t="shared" si="44"/>
        <v>1.2441228070175439</v>
      </c>
    </row>
    <row r="2609" spans="39:45">
      <c r="AM2609" s="55">
        <v>2019</v>
      </c>
      <c r="AN2609" s="55" t="s">
        <v>186</v>
      </c>
      <c r="AO2609" s="55">
        <v>19</v>
      </c>
      <c r="AP2609" s="55">
        <v>15</v>
      </c>
      <c r="AQ2609" s="55">
        <v>28729.5</v>
      </c>
      <c r="AR2609" s="55">
        <v>28500</v>
      </c>
      <c r="AS2609" s="78">
        <f t="shared" si="44"/>
        <v>1.0080526315789473</v>
      </c>
    </row>
    <row r="2610" spans="39:45">
      <c r="AM2610" s="54">
        <v>2019</v>
      </c>
      <c r="AN2610" s="54" t="s">
        <v>186</v>
      </c>
      <c r="AO2610" s="54">
        <v>19</v>
      </c>
      <c r="AP2610" s="54">
        <v>16</v>
      </c>
      <c r="AQ2610" s="54">
        <v>18350.5</v>
      </c>
      <c r="AR2610" s="55">
        <v>28500</v>
      </c>
      <c r="AS2610" s="78">
        <f t="shared" si="44"/>
        <v>0.64387719298245616</v>
      </c>
    </row>
    <row r="2611" spans="39:45">
      <c r="AM2611" s="55">
        <v>2019</v>
      </c>
      <c r="AN2611" s="55" t="s">
        <v>186</v>
      </c>
      <c r="AO2611" s="55">
        <v>19</v>
      </c>
      <c r="AP2611" s="55">
        <v>17</v>
      </c>
      <c r="AQ2611" s="55">
        <v>7359</v>
      </c>
      <c r="AR2611" s="55">
        <v>28500</v>
      </c>
      <c r="AS2611" s="78">
        <f t="shared" si="44"/>
        <v>0.25821052631578945</v>
      </c>
    </row>
    <row r="2612" spans="39:45">
      <c r="AM2612" s="54">
        <v>2019</v>
      </c>
      <c r="AN2612" s="54" t="s">
        <v>186</v>
      </c>
      <c r="AO2612" s="54">
        <v>19</v>
      </c>
      <c r="AP2612" s="54">
        <v>18</v>
      </c>
      <c r="AQ2612" s="54">
        <v>752.5</v>
      </c>
      <c r="AR2612" s="55">
        <v>28500</v>
      </c>
      <c r="AS2612" s="78">
        <f t="shared" si="44"/>
        <v>2.6403508771929825E-2</v>
      </c>
    </row>
    <row r="2613" spans="39:45">
      <c r="AM2613" s="55">
        <v>2019</v>
      </c>
      <c r="AN2613" s="55" t="s">
        <v>186</v>
      </c>
      <c r="AO2613" s="55">
        <v>19</v>
      </c>
      <c r="AP2613" s="55">
        <v>19</v>
      </c>
      <c r="AQ2613" s="55">
        <v>0</v>
      </c>
      <c r="AR2613" s="55">
        <v>28500</v>
      </c>
      <c r="AS2613" s="78">
        <f t="shared" si="44"/>
        <v>0</v>
      </c>
    </row>
    <row r="2614" spans="39:45">
      <c r="AM2614" s="54">
        <v>2019</v>
      </c>
      <c r="AN2614" s="54" t="s">
        <v>186</v>
      </c>
      <c r="AO2614" s="54">
        <v>19</v>
      </c>
      <c r="AP2614" s="54">
        <v>20</v>
      </c>
      <c r="AQ2614" s="54">
        <v>0</v>
      </c>
      <c r="AR2614" s="55">
        <v>28500</v>
      </c>
      <c r="AS2614" s="78">
        <f t="shared" si="44"/>
        <v>0</v>
      </c>
    </row>
    <row r="2615" spans="39:45">
      <c r="AM2615" s="55">
        <v>2019</v>
      </c>
      <c r="AN2615" s="55" t="s">
        <v>186</v>
      </c>
      <c r="AO2615" s="55">
        <v>19</v>
      </c>
      <c r="AP2615" s="55">
        <v>21</v>
      </c>
      <c r="AQ2615" s="55">
        <v>0</v>
      </c>
      <c r="AR2615" s="55">
        <v>28500</v>
      </c>
      <c r="AS2615" s="78">
        <f t="shared" si="44"/>
        <v>0</v>
      </c>
    </row>
    <row r="2616" spans="39:45">
      <c r="AM2616" s="54">
        <v>2019</v>
      </c>
      <c r="AN2616" s="54" t="s">
        <v>186</v>
      </c>
      <c r="AO2616" s="54">
        <v>19</v>
      </c>
      <c r="AP2616" s="54">
        <v>22</v>
      </c>
      <c r="AQ2616" s="54">
        <v>0</v>
      </c>
      <c r="AR2616" s="55">
        <v>28500</v>
      </c>
      <c r="AS2616" s="78">
        <f t="shared" si="44"/>
        <v>0</v>
      </c>
    </row>
    <row r="2617" spans="39:45">
      <c r="AM2617" s="55">
        <v>2019</v>
      </c>
      <c r="AN2617" s="55" t="s">
        <v>186</v>
      </c>
      <c r="AO2617" s="55">
        <v>19</v>
      </c>
      <c r="AP2617" s="55">
        <v>23</v>
      </c>
      <c r="AQ2617" s="55">
        <v>0</v>
      </c>
      <c r="AR2617" s="55">
        <v>28500</v>
      </c>
      <c r="AS2617" s="78">
        <f t="shared" si="44"/>
        <v>0</v>
      </c>
    </row>
    <row r="2618" spans="39:45">
      <c r="AM2618" s="54">
        <v>2019</v>
      </c>
      <c r="AN2618" s="54" t="s">
        <v>186</v>
      </c>
      <c r="AO2618" s="54">
        <v>20</v>
      </c>
      <c r="AP2618" s="54">
        <v>24</v>
      </c>
      <c r="AQ2618" s="54">
        <v>0</v>
      </c>
      <c r="AR2618" s="55">
        <v>28500</v>
      </c>
      <c r="AS2618" s="78">
        <f t="shared" si="44"/>
        <v>0</v>
      </c>
    </row>
    <row r="2619" spans="39:45">
      <c r="AM2619" s="55">
        <v>2019</v>
      </c>
      <c r="AN2619" s="55" t="s">
        <v>186</v>
      </c>
      <c r="AO2619" s="55">
        <v>20</v>
      </c>
      <c r="AP2619" s="55">
        <v>1</v>
      </c>
      <c r="AQ2619" s="55">
        <v>0</v>
      </c>
      <c r="AR2619" s="55">
        <v>28500</v>
      </c>
      <c r="AS2619" s="78">
        <f t="shared" si="44"/>
        <v>0</v>
      </c>
    </row>
    <row r="2620" spans="39:45">
      <c r="AM2620" s="54">
        <v>2019</v>
      </c>
      <c r="AN2620" s="54" t="s">
        <v>186</v>
      </c>
      <c r="AO2620" s="54">
        <v>20</v>
      </c>
      <c r="AP2620" s="54">
        <v>2</v>
      </c>
      <c r="AQ2620" s="54">
        <v>0</v>
      </c>
      <c r="AR2620" s="55">
        <v>28500</v>
      </c>
      <c r="AS2620" s="78">
        <f t="shared" si="44"/>
        <v>0</v>
      </c>
    </row>
    <row r="2621" spans="39:45">
      <c r="AM2621" s="55">
        <v>2019</v>
      </c>
      <c r="AN2621" s="55" t="s">
        <v>186</v>
      </c>
      <c r="AO2621" s="55">
        <v>20</v>
      </c>
      <c r="AP2621" s="55">
        <v>3</v>
      </c>
      <c r="AQ2621" s="55">
        <v>0</v>
      </c>
      <c r="AR2621" s="55">
        <v>28500</v>
      </c>
      <c r="AS2621" s="78">
        <f t="shared" si="44"/>
        <v>0</v>
      </c>
    </row>
    <row r="2622" spans="39:45">
      <c r="AM2622" s="54">
        <v>2019</v>
      </c>
      <c r="AN2622" s="54" t="s">
        <v>186</v>
      </c>
      <c r="AO2622" s="54">
        <v>20</v>
      </c>
      <c r="AP2622" s="54">
        <v>4</v>
      </c>
      <c r="AQ2622" s="54">
        <v>0</v>
      </c>
      <c r="AR2622" s="55">
        <v>28500</v>
      </c>
      <c r="AS2622" s="78">
        <f t="shared" si="44"/>
        <v>0</v>
      </c>
    </row>
    <row r="2623" spans="39:45">
      <c r="AM2623" s="55">
        <v>2019</v>
      </c>
      <c r="AN2623" s="55" t="s">
        <v>186</v>
      </c>
      <c r="AO2623" s="55">
        <v>20</v>
      </c>
      <c r="AP2623" s="55">
        <v>5</v>
      </c>
      <c r="AQ2623" s="55">
        <v>0</v>
      </c>
      <c r="AR2623" s="55">
        <v>28500</v>
      </c>
      <c r="AS2623" s="78">
        <f t="shared" si="44"/>
        <v>0</v>
      </c>
    </row>
    <row r="2624" spans="39:45">
      <c r="AM2624" s="54">
        <v>2019</v>
      </c>
      <c r="AN2624" s="54" t="s">
        <v>186</v>
      </c>
      <c r="AO2624" s="54">
        <v>20</v>
      </c>
      <c r="AP2624" s="54">
        <v>6</v>
      </c>
      <c r="AQ2624" s="54">
        <v>2382.5</v>
      </c>
      <c r="AR2624" s="55">
        <v>28500</v>
      </c>
      <c r="AS2624" s="78">
        <f t="shared" si="44"/>
        <v>8.3596491228070169E-2</v>
      </c>
    </row>
    <row r="2625" spans="39:45">
      <c r="AM2625" s="55">
        <v>2019</v>
      </c>
      <c r="AN2625" s="55" t="s">
        <v>186</v>
      </c>
      <c r="AO2625" s="55">
        <v>20</v>
      </c>
      <c r="AP2625" s="55">
        <v>7</v>
      </c>
      <c r="AQ2625" s="55">
        <v>12503</v>
      </c>
      <c r="AR2625" s="55">
        <v>28500</v>
      </c>
      <c r="AS2625" s="78">
        <f t="shared" si="44"/>
        <v>0.43870175438596493</v>
      </c>
    </row>
    <row r="2626" spans="39:45">
      <c r="AM2626" s="54">
        <v>2019</v>
      </c>
      <c r="AN2626" s="54" t="s">
        <v>186</v>
      </c>
      <c r="AO2626" s="54">
        <v>20</v>
      </c>
      <c r="AP2626" s="54">
        <v>8</v>
      </c>
      <c r="AQ2626" s="54">
        <v>22865</v>
      </c>
      <c r="AR2626" s="55">
        <v>28500</v>
      </c>
      <c r="AS2626" s="78">
        <f t="shared" ref="AS2626:AS2689" si="45">AQ2626/AR2626</f>
        <v>0.80228070175438593</v>
      </c>
    </row>
    <row r="2627" spans="39:45">
      <c r="AM2627" s="55">
        <v>2019</v>
      </c>
      <c r="AN2627" s="55" t="s">
        <v>186</v>
      </c>
      <c r="AO2627" s="55">
        <v>20</v>
      </c>
      <c r="AP2627" s="55">
        <v>9</v>
      </c>
      <c r="AQ2627" s="55">
        <v>31977</v>
      </c>
      <c r="AR2627" s="55">
        <v>28500</v>
      </c>
      <c r="AS2627" s="78">
        <f t="shared" si="45"/>
        <v>1.1220000000000001</v>
      </c>
    </row>
    <row r="2628" spans="39:45">
      <c r="AM2628" s="54">
        <v>2019</v>
      </c>
      <c r="AN2628" s="54" t="s">
        <v>186</v>
      </c>
      <c r="AO2628" s="54">
        <v>20</v>
      </c>
      <c r="AP2628" s="54">
        <v>10</v>
      </c>
      <c r="AQ2628" s="54">
        <v>38213.5</v>
      </c>
      <c r="AR2628" s="55">
        <v>28500</v>
      </c>
      <c r="AS2628" s="78">
        <f t="shared" si="45"/>
        <v>1.3408245614035088</v>
      </c>
    </row>
    <row r="2629" spans="39:45">
      <c r="AM2629" s="55">
        <v>2019</v>
      </c>
      <c r="AN2629" s="55" t="s">
        <v>186</v>
      </c>
      <c r="AO2629" s="55">
        <v>20</v>
      </c>
      <c r="AP2629" s="55">
        <v>11</v>
      </c>
      <c r="AQ2629" s="55">
        <v>41571.5</v>
      </c>
      <c r="AR2629" s="55">
        <v>28500</v>
      </c>
      <c r="AS2629" s="78">
        <f t="shared" si="45"/>
        <v>1.4586491228070175</v>
      </c>
    </row>
    <row r="2630" spans="39:45">
      <c r="AM2630" s="54">
        <v>2019</v>
      </c>
      <c r="AN2630" s="54" t="s">
        <v>186</v>
      </c>
      <c r="AO2630" s="54">
        <v>20</v>
      </c>
      <c r="AP2630" s="54">
        <v>12</v>
      </c>
      <c r="AQ2630" s="54">
        <v>42239.5</v>
      </c>
      <c r="AR2630" s="55">
        <v>28500</v>
      </c>
      <c r="AS2630" s="78">
        <f t="shared" si="45"/>
        <v>1.4820877192982456</v>
      </c>
    </row>
    <row r="2631" spans="39:45">
      <c r="AM2631" s="55">
        <v>2019</v>
      </c>
      <c r="AN2631" s="55" t="s">
        <v>186</v>
      </c>
      <c r="AO2631" s="55">
        <v>20</v>
      </c>
      <c r="AP2631" s="55">
        <v>13</v>
      </c>
      <c r="AQ2631" s="55">
        <v>40247</v>
      </c>
      <c r="AR2631" s="55">
        <v>28500</v>
      </c>
      <c r="AS2631" s="78">
        <f t="shared" si="45"/>
        <v>1.4121754385964913</v>
      </c>
    </row>
    <row r="2632" spans="39:45">
      <c r="AM2632" s="54">
        <v>2019</v>
      </c>
      <c r="AN2632" s="54" t="s">
        <v>186</v>
      </c>
      <c r="AO2632" s="54">
        <v>20</v>
      </c>
      <c r="AP2632" s="54">
        <v>14</v>
      </c>
      <c r="AQ2632" s="54">
        <v>35310.5</v>
      </c>
      <c r="AR2632" s="55">
        <v>28500</v>
      </c>
      <c r="AS2632" s="78">
        <f t="shared" si="45"/>
        <v>1.2389649122807018</v>
      </c>
    </row>
    <row r="2633" spans="39:45">
      <c r="AM2633" s="55">
        <v>2019</v>
      </c>
      <c r="AN2633" s="55" t="s">
        <v>186</v>
      </c>
      <c r="AO2633" s="55">
        <v>20</v>
      </c>
      <c r="AP2633" s="55">
        <v>15</v>
      </c>
      <c r="AQ2633" s="55">
        <v>28593</v>
      </c>
      <c r="AR2633" s="55">
        <v>28500</v>
      </c>
      <c r="AS2633" s="78">
        <f t="shared" si="45"/>
        <v>1.0032631578947369</v>
      </c>
    </row>
    <row r="2634" spans="39:45">
      <c r="AM2634" s="54">
        <v>2019</v>
      </c>
      <c r="AN2634" s="54" t="s">
        <v>186</v>
      </c>
      <c r="AO2634" s="54">
        <v>20</v>
      </c>
      <c r="AP2634" s="54">
        <v>16</v>
      </c>
      <c r="AQ2634" s="54">
        <v>18325.5</v>
      </c>
      <c r="AR2634" s="55">
        <v>28500</v>
      </c>
      <c r="AS2634" s="78">
        <f t="shared" si="45"/>
        <v>0.64300000000000002</v>
      </c>
    </row>
    <row r="2635" spans="39:45">
      <c r="AM2635" s="55">
        <v>2019</v>
      </c>
      <c r="AN2635" s="55" t="s">
        <v>186</v>
      </c>
      <c r="AO2635" s="55">
        <v>20</v>
      </c>
      <c r="AP2635" s="55">
        <v>17</v>
      </c>
      <c r="AQ2635" s="55">
        <v>7378</v>
      </c>
      <c r="AR2635" s="55">
        <v>28500</v>
      </c>
      <c r="AS2635" s="78">
        <f t="shared" si="45"/>
        <v>0.25887719298245615</v>
      </c>
    </row>
    <row r="2636" spans="39:45">
      <c r="AM2636" s="54">
        <v>2019</v>
      </c>
      <c r="AN2636" s="54" t="s">
        <v>186</v>
      </c>
      <c r="AO2636" s="54">
        <v>20</v>
      </c>
      <c r="AP2636" s="54">
        <v>18</v>
      </c>
      <c r="AQ2636" s="54">
        <v>718.5</v>
      </c>
      <c r="AR2636" s="55">
        <v>28500</v>
      </c>
      <c r="AS2636" s="78">
        <f t="shared" si="45"/>
        <v>2.5210526315789475E-2</v>
      </c>
    </row>
    <row r="2637" spans="39:45">
      <c r="AM2637" s="55">
        <v>2019</v>
      </c>
      <c r="AN2637" s="55" t="s">
        <v>186</v>
      </c>
      <c r="AO2637" s="55">
        <v>20</v>
      </c>
      <c r="AP2637" s="55">
        <v>19</v>
      </c>
      <c r="AQ2637" s="55">
        <v>0</v>
      </c>
      <c r="AR2637" s="55">
        <v>28500</v>
      </c>
      <c r="AS2637" s="78">
        <f t="shared" si="45"/>
        <v>0</v>
      </c>
    </row>
    <row r="2638" spans="39:45">
      <c r="AM2638" s="54">
        <v>2019</v>
      </c>
      <c r="AN2638" s="54" t="s">
        <v>186</v>
      </c>
      <c r="AO2638" s="54">
        <v>20</v>
      </c>
      <c r="AP2638" s="54">
        <v>20</v>
      </c>
      <c r="AQ2638" s="54">
        <v>0</v>
      </c>
      <c r="AR2638" s="55">
        <v>28500</v>
      </c>
      <c r="AS2638" s="78">
        <f t="shared" si="45"/>
        <v>0</v>
      </c>
    </row>
    <row r="2639" spans="39:45">
      <c r="AM2639" s="55">
        <v>2019</v>
      </c>
      <c r="AN2639" s="55" t="s">
        <v>186</v>
      </c>
      <c r="AO2639" s="55">
        <v>20</v>
      </c>
      <c r="AP2639" s="55">
        <v>21</v>
      </c>
      <c r="AQ2639" s="55">
        <v>0</v>
      </c>
      <c r="AR2639" s="55">
        <v>28500</v>
      </c>
      <c r="AS2639" s="78">
        <f t="shared" si="45"/>
        <v>0</v>
      </c>
    </row>
    <row r="2640" spans="39:45">
      <c r="AM2640" s="54">
        <v>2019</v>
      </c>
      <c r="AN2640" s="54" t="s">
        <v>186</v>
      </c>
      <c r="AO2640" s="54">
        <v>20</v>
      </c>
      <c r="AP2640" s="54">
        <v>22</v>
      </c>
      <c r="AQ2640" s="54">
        <v>0</v>
      </c>
      <c r="AR2640" s="55">
        <v>28500</v>
      </c>
      <c r="AS2640" s="78">
        <f t="shared" si="45"/>
        <v>0</v>
      </c>
    </row>
    <row r="2641" spans="39:45">
      <c r="AM2641" s="55">
        <v>2019</v>
      </c>
      <c r="AN2641" s="55" t="s">
        <v>186</v>
      </c>
      <c r="AO2641" s="55">
        <v>20</v>
      </c>
      <c r="AP2641" s="55">
        <v>23</v>
      </c>
      <c r="AQ2641" s="55">
        <v>0</v>
      </c>
      <c r="AR2641" s="55">
        <v>28500</v>
      </c>
      <c r="AS2641" s="78">
        <f t="shared" si="45"/>
        <v>0</v>
      </c>
    </row>
    <row r="2642" spans="39:45">
      <c r="AM2642" s="54">
        <v>2019</v>
      </c>
      <c r="AN2642" s="54" t="s">
        <v>186</v>
      </c>
      <c r="AO2642" s="54">
        <v>21</v>
      </c>
      <c r="AP2642" s="54">
        <v>24</v>
      </c>
      <c r="AQ2642" s="54">
        <v>0</v>
      </c>
      <c r="AR2642" s="55">
        <v>28500</v>
      </c>
      <c r="AS2642" s="78">
        <f t="shared" si="45"/>
        <v>0</v>
      </c>
    </row>
    <row r="2643" spans="39:45">
      <c r="AM2643" s="55">
        <v>2019</v>
      </c>
      <c r="AN2643" s="55" t="s">
        <v>186</v>
      </c>
      <c r="AO2643" s="55">
        <v>21</v>
      </c>
      <c r="AP2643" s="55">
        <v>1</v>
      </c>
      <c r="AQ2643" s="55">
        <v>0</v>
      </c>
      <c r="AR2643" s="55">
        <v>28500</v>
      </c>
      <c r="AS2643" s="78">
        <f t="shared" si="45"/>
        <v>0</v>
      </c>
    </row>
    <row r="2644" spans="39:45">
      <c r="AM2644" s="54">
        <v>2019</v>
      </c>
      <c r="AN2644" s="54" t="s">
        <v>186</v>
      </c>
      <c r="AO2644" s="54">
        <v>21</v>
      </c>
      <c r="AP2644" s="54">
        <v>2</v>
      </c>
      <c r="AQ2644" s="54">
        <v>0</v>
      </c>
      <c r="AR2644" s="55">
        <v>28500</v>
      </c>
      <c r="AS2644" s="78">
        <f t="shared" si="45"/>
        <v>0</v>
      </c>
    </row>
    <row r="2645" spans="39:45">
      <c r="AM2645" s="55">
        <v>2019</v>
      </c>
      <c r="AN2645" s="55" t="s">
        <v>186</v>
      </c>
      <c r="AO2645" s="55">
        <v>21</v>
      </c>
      <c r="AP2645" s="55">
        <v>3</v>
      </c>
      <c r="AQ2645" s="55">
        <v>0</v>
      </c>
      <c r="AR2645" s="55">
        <v>28500</v>
      </c>
      <c r="AS2645" s="78">
        <f t="shared" si="45"/>
        <v>0</v>
      </c>
    </row>
    <row r="2646" spans="39:45">
      <c r="AM2646" s="54">
        <v>2019</v>
      </c>
      <c r="AN2646" s="54" t="s">
        <v>186</v>
      </c>
      <c r="AO2646" s="54">
        <v>21</v>
      </c>
      <c r="AP2646" s="54">
        <v>4</v>
      </c>
      <c r="AQ2646" s="54">
        <v>0</v>
      </c>
      <c r="AR2646" s="55">
        <v>28500</v>
      </c>
      <c r="AS2646" s="78">
        <f t="shared" si="45"/>
        <v>0</v>
      </c>
    </row>
    <row r="2647" spans="39:45">
      <c r="AM2647" s="55">
        <v>2019</v>
      </c>
      <c r="AN2647" s="55" t="s">
        <v>186</v>
      </c>
      <c r="AO2647" s="55">
        <v>21</v>
      </c>
      <c r="AP2647" s="55">
        <v>5</v>
      </c>
      <c r="AQ2647" s="55">
        <v>0</v>
      </c>
      <c r="AR2647" s="55">
        <v>28500</v>
      </c>
      <c r="AS2647" s="78">
        <f t="shared" si="45"/>
        <v>0</v>
      </c>
    </row>
    <row r="2648" spans="39:45">
      <c r="AM2648" s="54">
        <v>2019</v>
      </c>
      <c r="AN2648" s="54" t="s">
        <v>186</v>
      </c>
      <c r="AO2648" s="54">
        <v>21</v>
      </c>
      <c r="AP2648" s="54">
        <v>6</v>
      </c>
      <c r="AQ2648" s="54">
        <v>2425</v>
      </c>
      <c r="AR2648" s="55">
        <v>28500</v>
      </c>
      <c r="AS2648" s="78">
        <f t="shared" si="45"/>
        <v>8.5087719298245615E-2</v>
      </c>
    </row>
    <row r="2649" spans="39:45">
      <c r="AM2649" s="55">
        <v>2019</v>
      </c>
      <c r="AN2649" s="55" t="s">
        <v>186</v>
      </c>
      <c r="AO2649" s="55">
        <v>21</v>
      </c>
      <c r="AP2649" s="55">
        <v>7</v>
      </c>
      <c r="AQ2649" s="55">
        <v>12583</v>
      </c>
      <c r="AR2649" s="55">
        <v>28500</v>
      </c>
      <c r="AS2649" s="78">
        <f t="shared" si="45"/>
        <v>0.44150877192982457</v>
      </c>
    </row>
    <row r="2650" spans="39:45">
      <c r="AM2650" s="54">
        <v>2019</v>
      </c>
      <c r="AN2650" s="54" t="s">
        <v>186</v>
      </c>
      <c r="AO2650" s="54">
        <v>21</v>
      </c>
      <c r="AP2650" s="54">
        <v>8</v>
      </c>
      <c r="AQ2650" s="54">
        <v>22858.5</v>
      </c>
      <c r="AR2650" s="55">
        <v>28500</v>
      </c>
      <c r="AS2650" s="78">
        <f t="shared" si="45"/>
        <v>0.80205263157894735</v>
      </c>
    </row>
    <row r="2651" spans="39:45">
      <c r="AM2651" s="55">
        <v>2019</v>
      </c>
      <c r="AN2651" s="55" t="s">
        <v>186</v>
      </c>
      <c r="AO2651" s="55">
        <v>21</v>
      </c>
      <c r="AP2651" s="55">
        <v>9</v>
      </c>
      <c r="AQ2651" s="55">
        <v>31676</v>
      </c>
      <c r="AR2651" s="55">
        <v>28500</v>
      </c>
      <c r="AS2651" s="78">
        <f t="shared" si="45"/>
        <v>1.1114385964912281</v>
      </c>
    </row>
    <row r="2652" spans="39:45">
      <c r="AM2652" s="54">
        <v>2019</v>
      </c>
      <c r="AN2652" s="54" t="s">
        <v>186</v>
      </c>
      <c r="AO2652" s="54">
        <v>21</v>
      </c>
      <c r="AP2652" s="54">
        <v>10</v>
      </c>
      <c r="AQ2652" s="54">
        <v>37815</v>
      </c>
      <c r="AR2652" s="55">
        <v>28500</v>
      </c>
      <c r="AS2652" s="78">
        <f t="shared" si="45"/>
        <v>1.3268421052631578</v>
      </c>
    </row>
    <row r="2653" spans="39:45">
      <c r="AM2653" s="55">
        <v>2019</v>
      </c>
      <c r="AN2653" s="55" t="s">
        <v>186</v>
      </c>
      <c r="AO2653" s="55">
        <v>21</v>
      </c>
      <c r="AP2653" s="55">
        <v>11</v>
      </c>
      <c r="AQ2653" s="55">
        <v>40902</v>
      </c>
      <c r="AR2653" s="55">
        <v>28500</v>
      </c>
      <c r="AS2653" s="78">
        <f t="shared" si="45"/>
        <v>1.4351578947368422</v>
      </c>
    </row>
    <row r="2654" spans="39:45">
      <c r="AM2654" s="54">
        <v>2019</v>
      </c>
      <c r="AN2654" s="54" t="s">
        <v>186</v>
      </c>
      <c r="AO2654" s="54">
        <v>21</v>
      </c>
      <c r="AP2654" s="54">
        <v>12</v>
      </c>
      <c r="AQ2654" s="54">
        <v>41900.5</v>
      </c>
      <c r="AR2654" s="55">
        <v>28500</v>
      </c>
      <c r="AS2654" s="78">
        <f t="shared" si="45"/>
        <v>1.4701929824561404</v>
      </c>
    </row>
    <row r="2655" spans="39:45">
      <c r="AM2655" s="55">
        <v>2019</v>
      </c>
      <c r="AN2655" s="55" t="s">
        <v>186</v>
      </c>
      <c r="AO2655" s="55">
        <v>21</v>
      </c>
      <c r="AP2655" s="55">
        <v>13</v>
      </c>
      <c r="AQ2655" s="55">
        <v>39811.5</v>
      </c>
      <c r="AR2655" s="55">
        <v>28500</v>
      </c>
      <c r="AS2655" s="78">
        <f t="shared" si="45"/>
        <v>1.3968947368421052</v>
      </c>
    </row>
    <row r="2656" spans="39:45">
      <c r="AM2656" s="54">
        <v>2019</v>
      </c>
      <c r="AN2656" s="54" t="s">
        <v>186</v>
      </c>
      <c r="AO2656" s="54">
        <v>21</v>
      </c>
      <c r="AP2656" s="54">
        <v>14</v>
      </c>
      <c r="AQ2656" s="54">
        <v>34972</v>
      </c>
      <c r="AR2656" s="55">
        <v>28500</v>
      </c>
      <c r="AS2656" s="78">
        <f t="shared" si="45"/>
        <v>1.2270877192982457</v>
      </c>
    </row>
    <row r="2657" spans="39:45">
      <c r="AM2657" s="55">
        <v>2019</v>
      </c>
      <c r="AN2657" s="55" t="s">
        <v>186</v>
      </c>
      <c r="AO2657" s="55">
        <v>21</v>
      </c>
      <c r="AP2657" s="55">
        <v>15</v>
      </c>
      <c r="AQ2657" s="55">
        <v>27430.5</v>
      </c>
      <c r="AR2657" s="55">
        <v>28500</v>
      </c>
      <c r="AS2657" s="78">
        <f t="shared" si="45"/>
        <v>0.96247368421052637</v>
      </c>
    </row>
    <row r="2658" spans="39:45">
      <c r="AM2658" s="54">
        <v>2019</v>
      </c>
      <c r="AN2658" s="54" t="s">
        <v>186</v>
      </c>
      <c r="AO2658" s="54">
        <v>21</v>
      </c>
      <c r="AP2658" s="54">
        <v>16</v>
      </c>
      <c r="AQ2658" s="54">
        <v>18132</v>
      </c>
      <c r="AR2658" s="55">
        <v>28500</v>
      </c>
      <c r="AS2658" s="78">
        <f t="shared" si="45"/>
        <v>0.63621052631578945</v>
      </c>
    </row>
    <row r="2659" spans="39:45">
      <c r="AM2659" s="55">
        <v>2019</v>
      </c>
      <c r="AN2659" s="55" t="s">
        <v>186</v>
      </c>
      <c r="AO2659" s="55">
        <v>21</v>
      </c>
      <c r="AP2659" s="55">
        <v>17</v>
      </c>
      <c r="AQ2659" s="55">
        <v>7432.5</v>
      </c>
      <c r="AR2659" s="55">
        <v>28500</v>
      </c>
      <c r="AS2659" s="78">
        <f t="shared" si="45"/>
        <v>0.26078947368421052</v>
      </c>
    </row>
    <row r="2660" spans="39:45">
      <c r="AM2660" s="54">
        <v>2019</v>
      </c>
      <c r="AN2660" s="54" t="s">
        <v>186</v>
      </c>
      <c r="AO2660" s="54">
        <v>21</v>
      </c>
      <c r="AP2660" s="54">
        <v>18</v>
      </c>
      <c r="AQ2660" s="54">
        <v>870</v>
      </c>
      <c r="AR2660" s="55">
        <v>28500</v>
      </c>
      <c r="AS2660" s="78">
        <f t="shared" si="45"/>
        <v>3.0526315789473683E-2</v>
      </c>
    </row>
    <row r="2661" spans="39:45">
      <c r="AM2661" s="55">
        <v>2019</v>
      </c>
      <c r="AN2661" s="55" t="s">
        <v>186</v>
      </c>
      <c r="AO2661" s="55">
        <v>21</v>
      </c>
      <c r="AP2661" s="55">
        <v>19</v>
      </c>
      <c r="AQ2661" s="55">
        <v>0</v>
      </c>
      <c r="AR2661" s="55">
        <v>28500</v>
      </c>
      <c r="AS2661" s="78">
        <f t="shared" si="45"/>
        <v>0</v>
      </c>
    </row>
    <row r="2662" spans="39:45">
      <c r="AM2662" s="54">
        <v>2019</v>
      </c>
      <c r="AN2662" s="54" t="s">
        <v>186</v>
      </c>
      <c r="AO2662" s="54">
        <v>21</v>
      </c>
      <c r="AP2662" s="54">
        <v>20</v>
      </c>
      <c r="AQ2662" s="54">
        <v>0</v>
      </c>
      <c r="AR2662" s="55">
        <v>28500</v>
      </c>
      <c r="AS2662" s="78">
        <f t="shared" si="45"/>
        <v>0</v>
      </c>
    </row>
    <row r="2663" spans="39:45">
      <c r="AM2663" s="55">
        <v>2019</v>
      </c>
      <c r="AN2663" s="55" t="s">
        <v>186</v>
      </c>
      <c r="AO2663" s="55">
        <v>21</v>
      </c>
      <c r="AP2663" s="55">
        <v>21</v>
      </c>
      <c r="AQ2663" s="55">
        <v>0</v>
      </c>
      <c r="AR2663" s="55">
        <v>28500</v>
      </c>
      <c r="AS2663" s="78">
        <f t="shared" si="45"/>
        <v>0</v>
      </c>
    </row>
    <row r="2664" spans="39:45">
      <c r="AM2664" s="54">
        <v>2019</v>
      </c>
      <c r="AN2664" s="54" t="s">
        <v>186</v>
      </c>
      <c r="AO2664" s="54">
        <v>21</v>
      </c>
      <c r="AP2664" s="54">
        <v>22</v>
      </c>
      <c r="AQ2664" s="54">
        <v>0</v>
      </c>
      <c r="AR2664" s="55">
        <v>28500</v>
      </c>
      <c r="AS2664" s="78">
        <f t="shared" si="45"/>
        <v>0</v>
      </c>
    </row>
    <row r="2665" spans="39:45">
      <c r="AM2665" s="55">
        <v>2019</v>
      </c>
      <c r="AN2665" s="55" t="s">
        <v>186</v>
      </c>
      <c r="AO2665" s="55">
        <v>21</v>
      </c>
      <c r="AP2665" s="55">
        <v>23</v>
      </c>
      <c r="AQ2665" s="55">
        <v>0</v>
      </c>
      <c r="AR2665" s="55">
        <v>28500</v>
      </c>
      <c r="AS2665" s="78">
        <f t="shared" si="45"/>
        <v>0</v>
      </c>
    </row>
    <row r="2666" spans="39:45">
      <c r="AM2666" s="54">
        <v>2019</v>
      </c>
      <c r="AN2666" s="54" t="s">
        <v>186</v>
      </c>
      <c r="AO2666" s="54">
        <v>22</v>
      </c>
      <c r="AP2666" s="54">
        <v>24</v>
      </c>
      <c r="AQ2666" s="54">
        <v>0</v>
      </c>
      <c r="AR2666" s="55">
        <v>28500</v>
      </c>
      <c r="AS2666" s="78">
        <f t="shared" si="45"/>
        <v>0</v>
      </c>
    </row>
    <row r="2667" spans="39:45">
      <c r="AM2667" s="55">
        <v>2019</v>
      </c>
      <c r="AN2667" s="55" t="s">
        <v>186</v>
      </c>
      <c r="AO2667" s="55">
        <v>22</v>
      </c>
      <c r="AP2667" s="55">
        <v>1</v>
      </c>
      <c r="AQ2667" s="55">
        <v>0</v>
      </c>
      <c r="AR2667" s="55">
        <v>28500</v>
      </c>
      <c r="AS2667" s="78">
        <f t="shared" si="45"/>
        <v>0</v>
      </c>
    </row>
    <row r="2668" spans="39:45">
      <c r="AM2668" s="54">
        <v>2019</v>
      </c>
      <c r="AN2668" s="54" t="s">
        <v>186</v>
      </c>
      <c r="AO2668" s="54">
        <v>22</v>
      </c>
      <c r="AP2668" s="54">
        <v>2</v>
      </c>
      <c r="AQ2668" s="54">
        <v>0</v>
      </c>
      <c r="AR2668" s="55">
        <v>28500</v>
      </c>
      <c r="AS2668" s="78">
        <f t="shared" si="45"/>
        <v>0</v>
      </c>
    </row>
    <row r="2669" spans="39:45">
      <c r="AM2669" s="55">
        <v>2019</v>
      </c>
      <c r="AN2669" s="55" t="s">
        <v>186</v>
      </c>
      <c r="AO2669" s="55">
        <v>22</v>
      </c>
      <c r="AP2669" s="55">
        <v>3</v>
      </c>
      <c r="AQ2669" s="55">
        <v>0</v>
      </c>
      <c r="AR2669" s="55">
        <v>28500</v>
      </c>
      <c r="AS2669" s="78">
        <f t="shared" si="45"/>
        <v>0</v>
      </c>
    </row>
    <row r="2670" spans="39:45">
      <c r="AM2670" s="54">
        <v>2019</v>
      </c>
      <c r="AN2670" s="54" t="s">
        <v>186</v>
      </c>
      <c r="AO2670" s="54">
        <v>22</v>
      </c>
      <c r="AP2670" s="54">
        <v>4</v>
      </c>
      <c r="AQ2670" s="54">
        <v>0</v>
      </c>
      <c r="AR2670" s="55">
        <v>28500</v>
      </c>
      <c r="AS2670" s="78">
        <f t="shared" si="45"/>
        <v>0</v>
      </c>
    </row>
    <row r="2671" spans="39:45">
      <c r="AM2671" s="55">
        <v>2019</v>
      </c>
      <c r="AN2671" s="55" t="s">
        <v>186</v>
      </c>
      <c r="AO2671" s="55">
        <v>22</v>
      </c>
      <c r="AP2671" s="55">
        <v>5</v>
      </c>
      <c r="AQ2671" s="55">
        <v>0</v>
      </c>
      <c r="AR2671" s="55">
        <v>28500</v>
      </c>
      <c r="AS2671" s="78">
        <f t="shared" si="45"/>
        <v>0</v>
      </c>
    </row>
    <row r="2672" spans="39:45">
      <c r="AM2672" s="54">
        <v>2019</v>
      </c>
      <c r="AN2672" s="54" t="s">
        <v>186</v>
      </c>
      <c r="AO2672" s="54">
        <v>22</v>
      </c>
      <c r="AP2672" s="54">
        <v>6</v>
      </c>
      <c r="AQ2672" s="54">
        <v>1706.5</v>
      </c>
      <c r="AR2672" s="55">
        <v>28500</v>
      </c>
      <c r="AS2672" s="78">
        <f t="shared" si="45"/>
        <v>5.987719298245614E-2</v>
      </c>
    </row>
    <row r="2673" spans="39:45">
      <c r="AM2673" s="55">
        <v>2019</v>
      </c>
      <c r="AN2673" s="55" t="s">
        <v>186</v>
      </c>
      <c r="AO2673" s="55">
        <v>22</v>
      </c>
      <c r="AP2673" s="55">
        <v>7</v>
      </c>
      <c r="AQ2673" s="55">
        <v>11235</v>
      </c>
      <c r="AR2673" s="55">
        <v>28500</v>
      </c>
      <c r="AS2673" s="78">
        <f t="shared" si="45"/>
        <v>0.39421052631578946</v>
      </c>
    </row>
    <row r="2674" spans="39:45">
      <c r="AM2674" s="54">
        <v>2019</v>
      </c>
      <c r="AN2674" s="54" t="s">
        <v>186</v>
      </c>
      <c r="AO2674" s="54">
        <v>22</v>
      </c>
      <c r="AP2674" s="54">
        <v>8</v>
      </c>
      <c r="AQ2674" s="54">
        <v>15943</v>
      </c>
      <c r="AR2674" s="55">
        <v>28500</v>
      </c>
      <c r="AS2674" s="78">
        <f t="shared" si="45"/>
        <v>0.55940350877192979</v>
      </c>
    </row>
    <row r="2675" spans="39:45">
      <c r="AM2675" s="55">
        <v>2019</v>
      </c>
      <c r="AN2675" s="55" t="s">
        <v>186</v>
      </c>
      <c r="AO2675" s="55">
        <v>22</v>
      </c>
      <c r="AP2675" s="55">
        <v>9</v>
      </c>
      <c r="AQ2675" s="55">
        <v>28521.5</v>
      </c>
      <c r="AR2675" s="55">
        <v>28500</v>
      </c>
      <c r="AS2675" s="78">
        <f t="shared" si="45"/>
        <v>1.0007543859649122</v>
      </c>
    </row>
    <row r="2676" spans="39:45">
      <c r="AM2676" s="54">
        <v>2019</v>
      </c>
      <c r="AN2676" s="54" t="s">
        <v>186</v>
      </c>
      <c r="AO2676" s="54">
        <v>22</v>
      </c>
      <c r="AP2676" s="54">
        <v>10</v>
      </c>
      <c r="AQ2676" s="54">
        <v>33470</v>
      </c>
      <c r="AR2676" s="55">
        <v>28500</v>
      </c>
      <c r="AS2676" s="78">
        <f t="shared" si="45"/>
        <v>1.1743859649122808</v>
      </c>
    </row>
    <row r="2677" spans="39:45">
      <c r="AM2677" s="55">
        <v>2019</v>
      </c>
      <c r="AN2677" s="55" t="s">
        <v>186</v>
      </c>
      <c r="AO2677" s="55">
        <v>22</v>
      </c>
      <c r="AP2677" s="55">
        <v>11</v>
      </c>
      <c r="AQ2677" s="55">
        <v>40181</v>
      </c>
      <c r="AR2677" s="55">
        <v>28500</v>
      </c>
      <c r="AS2677" s="78">
        <f t="shared" si="45"/>
        <v>1.409859649122807</v>
      </c>
    </row>
    <row r="2678" spans="39:45">
      <c r="AM2678" s="54">
        <v>2019</v>
      </c>
      <c r="AN2678" s="54" t="s">
        <v>186</v>
      </c>
      <c r="AO2678" s="54">
        <v>22</v>
      </c>
      <c r="AP2678" s="54">
        <v>12</v>
      </c>
      <c r="AQ2678" s="54">
        <v>40850</v>
      </c>
      <c r="AR2678" s="55">
        <v>28500</v>
      </c>
      <c r="AS2678" s="78">
        <f t="shared" si="45"/>
        <v>1.4333333333333333</v>
      </c>
    </row>
    <row r="2679" spans="39:45">
      <c r="AM2679" s="55">
        <v>2019</v>
      </c>
      <c r="AN2679" s="55" t="s">
        <v>186</v>
      </c>
      <c r="AO2679" s="55">
        <v>22</v>
      </c>
      <c r="AP2679" s="55">
        <v>13</v>
      </c>
      <c r="AQ2679" s="55">
        <v>34846</v>
      </c>
      <c r="AR2679" s="55">
        <v>28500</v>
      </c>
      <c r="AS2679" s="78">
        <f t="shared" si="45"/>
        <v>1.2226666666666666</v>
      </c>
    </row>
    <row r="2680" spans="39:45">
      <c r="AM2680" s="54">
        <v>2019</v>
      </c>
      <c r="AN2680" s="54" t="s">
        <v>186</v>
      </c>
      <c r="AO2680" s="54">
        <v>22</v>
      </c>
      <c r="AP2680" s="54">
        <v>14</v>
      </c>
      <c r="AQ2680" s="54">
        <v>31591.5</v>
      </c>
      <c r="AR2680" s="55">
        <v>28500</v>
      </c>
      <c r="AS2680" s="78">
        <f t="shared" si="45"/>
        <v>1.1084736842105263</v>
      </c>
    </row>
    <row r="2681" spans="39:45">
      <c r="AM2681" s="55">
        <v>2019</v>
      </c>
      <c r="AN2681" s="55" t="s">
        <v>186</v>
      </c>
      <c r="AO2681" s="55">
        <v>22</v>
      </c>
      <c r="AP2681" s="55">
        <v>15</v>
      </c>
      <c r="AQ2681" s="55">
        <v>25785.5</v>
      </c>
      <c r="AR2681" s="55">
        <v>28500</v>
      </c>
      <c r="AS2681" s="78">
        <f t="shared" si="45"/>
        <v>0.90475438596491231</v>
      </c>
    </row>
    <row r="2682" spans="39:45">
      <c r="AM2682" s="54">
        <v>2019</v>
      </c>
      <c r="AN2682" s="54" t="s">
        <v>186</v>
      </c>
      <c r="AO2682" s="54">
        <v>22</v>
      </c>
      <c r="AP2682" s="54">
        <v>16</v>
      </c>
      <c r="AQ2682" s="54">
        <v>10396.5</v>
      </c>
      <c r="AR2682" s="55">
        <v>28500</v>
      </c>
      <c r="AS2682" s="78">
        <f t="shared" si="45"/>
        <v>0.36478947368421055</v>
      </c>
    </row>
    <row r="2683" spans="39:45">
      <c r="AM2683" s="55">
        <v>2019</v>
      </c>
      <c r="AN2683" s="55" t="s">
        <v>186</v>
      </c>
      <c r="AO2683" s="55">
        <v>22</v>
      </c>
      <c r="AP2683" s="55">
        <v>17</v>
      </c>
      <c r="AQ2683" s="55">
        <v>3299.5</v>
      </c>
      <c r="AR2683" s="55">
        <v>28500</v>
      </c>
      <c r="AS2683" s="78">
        <f t="shared" si="45"/>
        <v>0.1157719298245614</v>
      </c>
    </row>
    <row r="2684" spans="39:45">
      <c r="AM2684" s="54">
        <v>2019</v>
      </c>
      <c r="AN2684" s="54" t="s">
        <v>186</v>
      </c>
      <c r="AO2684" s="54">
        <v>22</v>
      </c>
      <c r="AP2684" s="54">
        <v>18</v>
      </c>
      <c r="AQ2684" s="54">
        <v>802</v>
      </c>
      <c r="AR2684" s="55">
        <v>28500</v>
      </c>
      <c r="AS2684" s="78">
        <f t="shared" si="45"/>
        <v>2.8140350877192983E-2</v>
      </c>
    </row>
    <row r="2685" spans="39:45">
      <c r="AM2685" s="55">
        <v>2019</v>
      </c>
      <c r="AN2685" s="55" t="s">
        <v>186</v>
      </c>
      <c r="AO2685" s="55">
        <v>22</v>
      </c>
      <c r="AP2685" s="55">
        <v>19</v>
      </c>
      <c r="AQ2685" s="55">
        <v>0</v>
      </c>
      <c r="AR2685" s="55">
        <v>28500</v>
      </c>
      <c r="AS2685" s="78">
        <f t="shared" si="45"/>
        <v>0</v>
      </c>
    </row>
    <row r="2686" spans="39:45">
      <c r="AM2686" s="54">
        <v>2019</v>
      </c>
      <c r="AN2686" s="54" t="s">
        <v>186</v>
      </c>
      <c r="AO2686" s="54">
        <v>22</v>
      </c>
      <c r="AP2686" s="54">
        <v>20</v>
      </c>
      <c r="AQ2686" s="54">
        <v>0</v>
      </c>
      <c r="AR2686" s="55">
        <v>28500</v>
      </c>
      <c r="AS2686" s="78">
        <f t="shared" si="45"/>
        <v>0</v>
      </c>
    </row>
    <row r="2687" spans="39:45">
      <c r="AM2687" s="55">
        <v>2019</v>
      </c>
      <c r="AN2687" s="55" t="s">
        <v>186</v>
      </c>
      <c r="AO2687" s="55">
        <v>22</v>
      </c>
      <c r="AP2687" s="55">
        <v>21</v>
      </c>
      <c r="AQ2687" s="55">
        <v>0</v>
      </c>
      <c r="AR2687" s="55">
        <v>28500</v>
      </c>
      <c r="AS2687" s="78">
        <f t="shared" si="45"/>
        <v>0</v>
      </c>
    </row>
    <row r="2688" spans="39:45">
      <c r="AM2688" s="54">
        <v>2019</v>
      </c>
      <c r="AN2688" s="54" t="s">
        <v>186</v>
      </c>
      <c r="AO2688" s="54">
        <v>22</v>
      </c>
      <c r="AP2688" s="54">
        <v>22</v>
      </c>
      <c r="AQ2688" s="54">
        <v>0</v>
      </c>
      <c r="AR2688" s="55">
        <v>28500</v>
      </c>
      <c r="AS2688" s="78">
        <f t="shared" si="45"/>
        <v>0</v>
      </c>
    </row>
    <row r="2689" spans="39:45">
      <c r="AM2689" s="55">
        <v>2019</v>
      </c>
      <c r="AN2689" s="55" t="s">
        <v>186</v>
      </c>
      <c r="AO2689" s="55">
        <v>22</v>
      </c>
      <c r="AP2689" s="55">
        <v>23</v>
      </c>
      <c r="AQ2689" s="55">
        <v>0</v>
      </c>
      <c r="AR2689" s="55">
        <v>28500</v>
      </c>
      <c r="AS2689" s="78">
        <f t="shared" si="45"/>
        <v>0</v>
      </c>
    </row>
    <row r="2690" spans="39:45">
      <c r="AM2690" s="54">
        <v>2019</v>
      </c>
      <c r="AN2690" s="54" t="s">
        <v>186</v>
      </c>
      <c r="AO2690" s="54">
        <v>23</v>
      </c>
      <c r="AP2690" s="54">
        <v>24</v>
      </c>
      <c r="AQ2690" s="54">
        <v>0</v>
      </c>
      <c r="AR2690" s="55">
        <v>28500</v>
      </c>
      <c r="AS2690" s="78">
        <f t="shared" ref="AS2690:AS2753" si="46">AQ2690/AR2690</f>
        <v>0</v>
      </c>
    </row>
    <row r="2691" spans="39:45">
      <c r="AM2691" s="55">
        <v>2019</v>
      </c>
      <c r="AN2691" s="55" t="s">
        <v>186</v>
      </c>
      <c r="AO2691" s="55">
        <v>23</v>
      </c>
      <c r="AP2691" s="55">
        <v>1</v>
      </c>
      <c r="AQ2691" s="55">
        <v>0</v>
      </c>
      <c r="AR2691" s="55">
        <v>28500</v>
      </c>
      <c r="AS2691" s="78">
        <f t="shared" si="46"/>
        <v>0</v>
      </c>
    </row>
    <row r="2692" spans="39:45">
      <c r="AM2692" s="54">
        <v>2019</v>
      </c>
      <c r="AN2692" s="54" t="s">
        <v>186</v>
      </c>
      <c r="AO2692" s="54">
        <v>23</v>
      </c>
      <c r="AP2692" s="54">
        <v>2</v>
      </c>
      <c r="AQ2692" s="54">
        <v>0</v>
      </c>
      <c r="AR2692" s="55">
        <v>28500</v>
      </c>
      <c r="AS2692" s="78">
        <f t="shared" si="46"/>
        <v>0</v>
      </c>
    </row>
    <row r="2693" spans="39:45">
      <c r="AM2693" s="55">
        <v>2019</v>
      </c>
      <c r="AN2693" s="55" t="s">
        <v>186</v>
      </c>
      <c r="AO2693" s="55">
        <v>23</v>
      </c>
      <c r="AP2693" s="55">
        <v>3</v>
      </c>
      <c r="AQ2693" s="55">
        <v>0</v>
      </c>
      <c r="AR2693" s="55">
        <v>28500</v>
      </c>
      <c r="AS2693" s="78">
        <f t="shared" si="46"/>
        <v>0</v>
      </c>
    </row>
    <row r="2694" spans="39:45">
      <c r="AM2694" s="54">
        <v>2019</v>
      </c>
      <c r="AN2694" s="54" t="s">
        <v>186</v>
      </c>
      <c r="AO2694" s="54">
        <v>23</v>
      </c>
      <c r="AP2694" s="54">
        <v>4</v>
      </c>
      <c r="AQ2694" s="54">
        <v>0</v>
      </c>
      <c r="AR2694" s="55">
        <v>28500</v>
      </c>
      <c r="AS2694" s="78">
        <f t="shared" si="46"/>
        <v>0</v>
      </c>
    </row>
    <row r="2695" spans="39:45">
      <c r="AM2695" s="55">
        <v>2019</v>
      </c>
      <c r="AN2695" s="55" t="s">
        <v>186</v>
      </c>
      <c r="AO2695" s="55">
        <v>23</v>
      </c>
      <c r="AP2695" s="55">
        <v>5</v>
      </c>
      <c r="AQ2695" s="55">
        <v>0</v>
      </c>
      <c r="AR2695" s="55">
        <v>28500</v>
      </c>
      <c r="AS2695" s="78">
        <f t="shared" si="46"/>
        <v>0</v>
      </c>
    </row>
    <row r="2696" spans="39:45">
      <c r="AM2696" s="54">
        <v>2019</v>
      </c>
      <c r="AN2696" s="54" t="s">
        <v>186</v>
      </c>
      <c r="AO2696" s="54">
        <v>23</v>
      </c>
      <c r="AP2696" s="54">
        <v>6</v>
      </c>
      <c r="AQ2696" s="54">
        <v>2153.5</v>
      </c>
      <c r="AR2696" s="55">
        <v>28500</v>
      </c>
      <c r="AS2696" s="78">
        <f t="shared" si="46"/>
        <v>7.5561403508771927E-2</v>
      </c>
    </row>
    <row r="2697" spans="39:45">
      <c r="AM2697" s="55">
        <v>2019</v>
      </c>
      <c r="AN2697" s="55" t="s">
        <v>186</v>
      </c>
      <c r="AO2697" s="55">
        <v>23</v>
      </c>
      <c r="AP2697" s="55">
        <v>7</v>
      </c>
      <c r="AQ2697" s="55">
        <v>7518</v>
      </c>
      <c r="AR2697" s="55">
        <v>28500</v>
      </c>
      <c r="AS2697" s="78">
        <f t="shared" si="46"/>
        <v>0.26378947368421052</v>
      </c>
    </row>
    <row r="2698" spans="39:45">
      <c r="AM2698" s="54">
        <v>2019</v>
      </c>
      <c r="AN2698" s="54" t="s">
        <v>186</v>
      </c>
      <c r="AO2698" s="54">
        <v>23</v>
      </c>
      <c r="AP2698" s="54">
        <v>8</v>
      </c>
      <c r="AQ2698" s="54">
        <v>10714</v>
      </c>
      <c r="AR2698" s="55">
        <v>28500</v>
      </c>
      <c r="AS2698" s="78">
        <f t="shared" si="46"/>
        <v>0.3759298245614035</v>
      </c>
    </row>
    <row r="2699" spans="39:45">
      <c r="AM2699" s="55">
        <v>2019</v>
      </c>
      <c r="AN2699" s="55" t="s">
        <v>186</v>
      </c>
      <c r="AO2699" s="55">
        <v>23</v>
      </c>
      <c r="AP2699" s="55">
        <v>9</v>
      </c>
      <c r="AQ2699" s="55">
        <v>16138</v>
      </c>
      <c r="AR2699" s="55">
        <v>28500</v>
      </c>
      <c r="AS2699" s="78">
        <f t="shared" si="46"/>
        <v>0.56624561403508777</v>
      </c>
    </row>
    <row r="2700" spans="39:45">
      <c r="AM2700" s="54">
        <v>2019</v>
      </c>
      <c r="AN2700" s="54" t="s">
        <v>186</v>
      </c>
      <c r="AO2700" s="54">
        <v>23</v>
      </c>
      <c r="AP2700" s="54">
        <v>10</v>
      </c>
      <c r="AQ2700" s="54">
        <v>18107.5</v>
      </c>
      <c r="AR2700" s="55">
        <v>28500</v>
      </c>
      <c r="AS2700" s="78">
        <f t="shared" si="46"/>
        <v>0.63535087719298244</v>
      </c>
    </row>
    <row r="2701" spans="39:45">
      <c r="AM2701" s="55">
        <v>2019</v>
      </c>
      <c r="AN2701" s="55" t="s">
        <v>186</v>
      </c>
      <c r="AO2701" s="55">
        <v>23</v>
      </c>
      <c r="AP2701" s="55">
        <v>11</v>
      </c>
      <c r="AQ2701" s="55">
        <v>24989.5</v>
      </c>
      <c r="AR2701" s="55">
        <v>28500</v>
      </c>
      <c r="AS2701" s="78">
        <f t="shared" si="46"/>
        <v>0.87682456140350873</v>
      </c>
    </row>
    <row r="2702" spans="39:45">
      <c r="AM2702" s="54">
        <v>2019</v>
      </c>
      <c r="AN2702" s="54" t="s">
        <v>186</v>
      </c>
      <c r="AO2702" s="54">
        <v>23</v>
      </c>
      <c r="AP2702" s="54">
        <v>12</v>
      </c>
      <c r="AQ2702" s="54">
        <v>22473</v>
      </c>
      <c r="AR2702" s="55">
        <v>28500</v>
      </c>
      <c r="AS2702" s="78">
        <f t="shared" si="46"/>
        <v>0.78852631578947363</v>
      </c>
    </row>
    <row r="2703" spans="39:45">
      <c r="AM2703" s="55">
        <v>2019</v>
      </c>
      <c r="AN2703" s="55" t="s">
        <v>186</v>
      </c>
      <c r="AO2703" s="55">
        <v>23</v>
      </c>
      <c r="AP2703" s="55">
        <v>13</v>
      </c>
      <c r="AQ2703" s="55">
        <v>18768</v>
      </c>
      <c r="AR2703" s="55">
        <v>28500</v>
      </c>
      <c r="AS2703" s="78">
        <f t="shared" si="46"/>
        <v>0.65852631578947374</v>
      </c>
    </row>
    <row r="2704" spans="39:45">
      <c r="AM2704" s="54">
        <v>2019</v>
      </c>
      <c r="AN2704" s="54" t="s">
        <v>186</v>
      </c>
      <c r="AO2704" s="54">
        <v>23</v>
      </c>
      <c r="AP2704" s="54">
        <v>14</v>
      </c>
      <c r="AQ2704" s="54">
        <v>13496.5</v>
      </c>
      <c r="AR2704" s="55">
        <v>28500</v>
      </c>
      <c r="AS2704" s="78">
        <f t="shared" si="46"/>
        <v>0.47356140350877191</v>
      </c>
    </row>
    <row r="2705" spans="39:45">
      <c r="AM2705" s="55">
        <v>2019</v>
      </c>
      <c r="AN2705" s="55" t="s">
        <v>186</v>
      </c>
      <c r="AO2705" s="55">
        <v>23</v>
      </c>
      <c r="AP2705" s="55">
        <v>15</v>
      </c>
      <c r="AQ2705" s="55">
        <v>13728</v>
      </c>
      <c r="AR2705" s="55">
        <v>28500</v>
      </c>
      <c r="AS2705" s="78">
        <f t="shared" si="46"/>
        <v>0.48168421052631577</v>
      </c>
    </row>
    <row r="2706" spans="39:45">
      <c r="AM2706" s="54">
        <v>2019</v>
      </c>
      <c r="AN2706" s="54" t="s">
        <v>186</v>
      </c>
      <c r="AO2706" s="54">
        <v>23</v>
      </c>
      <c r="AP2706" s="54">
        <v>16</v>
      </c>
      <c r="AQ2706" s="54">
        <v>1936</v>
      </c>
      <c r="AR2706" s="55">
        <v>28500</v>
      </c>
      <c r="AS2706" s="78">
        <f t="shared" si="46"/>
        <v>6.7929824561403507E-2</v>
      </c>
    </row>
    <row r="2707" spans="39:45">
      <c r="AM2707" s="55">
        <v>2019</v>
      </c>
      <c r="AN2707" s="55" t="s">
        <v>186</v>
      </c>
      <c r="AO2707" s="55">
        <v>23</v>
      </c>
      <c r="AP2707" s="55">
        <v>17</v>
      </c>
      <c r="AQ2707" s="55">
        <v>3981</v>
      </c>
      <c r="AR2707" s="55">
        <v>28500</v>
      </c>
      <c r="AS2707" s="78">
        <f t="shared" si="46"/>
        <v>0.1396842105263158</v>
      </c>
    </row>
    <row r="2708" spans="39:45">
      <c r="AM2708" s="54">
        <v>2019</v>
      </c>
      <c r="AN2708" s="54" t="s">
        <v>186</v>
      </c>
      <c r="AO2708" s="54">
        <v>23</v>
      </c>
      <c r="AP2708" s="54">
        <v>18</v>
      </c>
      <c r="AQ2708" s="54">
        <v>1156.5</v>
      </c>
      <c r="AR2708" s="55">
        <v>28500</v>
      </c>
      <c r="AS2708" s="78">
        <f t="shared" si="46"/>
        <v>4.0578947368421055E-2</v>
      </c>
    </row>
    <row r="2709" spans="39:45">
      <c r="AM2709" s="55">
        <v>2019</v>
      </c>
      <c r="AN2709" s="55" t="s">
        <v>186</v>
      </c>
      <c r="AO2709" s="55">
        <v>23</v>
      </c>
      <c r="AP2709" s="55">
        <v>19</v>
      </c>
      <c r="AQ2709" s="55">
        <v>0</v>
      </c>
      <c r="AR2709" s="55">
        <v>28500</v>
      </c>
      <c r="AS2709" s="78">
        <f t="shared" si="46"/>
        <v>0</v>
      </c>
    </row>
    <row r="2710" spans="39:45">
      <c r="AM2710" s="54">
        <v>2019</v>
      </c>
      <c r="AN2710" s="54" t="s">
        <v>186</v>
      </c>
      <c r="AO2710" s="54">
        <v>23</v>
      </c>
      <c r="AP2710" s="54">
        <v>20</v>
      </c>
      <c r="AQ2710" s="54">
        <v>0</v>
      </c>
      <c r="AR2710" s="55">
        <v>28500</v>
      </c>
      <c r="AS2710" s="78">
        <f t="shared" si="46"/>
        <v>0</v>
      </c>
    </row>
    <row r="2711" spans="39:45">
      <c r="AM2711" s="55">
        <v>2019</v>
      </c>
      <c r="AN2711" s="55" t="s">
        <v>186</v>
      </c>
      <c r="AO2711" s="55">
        <v>23</v>
      </c>
      <c r="AP2711" s="55">
        <v>21</v>
      </c>
      <c r="AQ2711" s="55">
        <v>0</v>
      </c>
      <c r="AR2711" s="55">
        <v>28500</v>
      </c>
      <c r="AS2711" s="78">
        <f t="shared" si="46"/>
        <v>0</v>
      </c>
    </row>
    <row r="2712" spans="39:45">
      <c r="AM2712" s="54">
        <v>2019</v>
      </c>
      <c r="AN2712" s="54" t="s">
        <v>186</v>
      </c>
      <c r="AO2712" s="54">
        <v>23</v>
      </c>
      <c r="AP2712" s="54">
        <v>22</v>
      </c>
      <c r="AQ2712" s="54">
        <v>0</v>
      </c>
      <c r="AR2712" s="55">
        <v>28500</v>
      </c>
      <c r="AS2712" s="78">
        <f t="shared" si="46"/>
        <v>0</v>
      </c>
    </row>
    <row r="2713" spans="39:45">
      <c r="AM2713" s="55">
        <v>2019</v>
      </c>
      <c r="AN2713" s="55" t="s">
        <v>186</v>
      </c>
      <c r="AO2713" s="55">
        <v>23</v>
      </c>
      <c r="AP2713" s="55">
        <v>23</v>
      </c>
      <c r="AQ2713" s="55">
        <v>0</v>
      </c>
      <c r="AR2713" s="55">
        <v>28500</v>
      </c>
      <c r="AS2713" s="78">
        <f t="shared" si="46"/>
        <v>0</v>
      </c>
    </row>
    <row r="2714" spans="39:45">
      <c r="AM2714" s="54">
        <v>2019</v>
      </c>
      <c r="AN2714" s="54" t="s">
        <v>186</v>
      </c>
      <c r="AO2714" s="54">
        <v>24</v>
      </c>
      <c r="AP2714" s="54">
        <v>24</v>
      </c>
      <c r="AQ2714" s="54">
        <v>0</v>
      </c>
      <c r="AR2714" s="55">
        <v>28500</v>
      </c>
      <c r="AS2714" s="78">
        <f t="shared" si="46"/>
        <v>0</v>
      </c>
    </row>
    <row r="2715" spans="39:45">
      <c r="AM2715" s="55">
        <v>2019</v>
      </c>
      <c r="AN2715" s="55" t="s">
        <v>186</v>
      </c>
      <c r="AO2715" s="55">
        <v>24</v>
      </c>
      <c r="AP2715" s="55">
        <v>1</v>
      </c>
      <c r="AQ2715" s="55">
        <v>0</v>
      </c>
      <c r="AR2715" s="55">
        <v>28500</v>
      </c>
      <c r="AS2715" s="78">
        <f t="shared" si="46"/>
        <v>0</v>
      </c>
    </row>
    <row r="2716" spans="39:45">
      <c r="AM2716" s="54">
        <v>2019</v>
      </c>
      <c r="AN2716" s="54" t="s">
        <v>186</v>
      </c>
      <c r="AO2716" s="54">
        <v>24</v>
      </c>
      <c r="AP2716" s="54">
        <v>2</v>
      </c>
      <c r="AQ2716" s="54">
        <v>0</v>
      </c>
      <c r="AR2716" s="55">
        <v>28500</v>
      </c>
      <c r="AS2716" s="78">
        <f t="shared" si="46"/>
        <v>0</v>
      </c>
    </row>
    <row r="2717" spans="39:45">
      <c r="AM2717" s="55">
        <v>2019</v>
      </c>
      <c r="AN2717" s="55" t="s">
        <v>186</v>
      </c>
      <c r="AO2717" s="55">
        <v>24</v>
      </c>
      <c r="AP2717" s="55">
        <v>3</v>
      </c>
      <c r="AQ2717" s="55">
        <v>0</v>
      </c>
      <c r="AR2717" s="55">
        <v>28500</v>
      </c>
      <c r="AS2717" s="78">
        <f t="shared" si="46"/>
        <v>0</v>
      </c>
    </row>
    <row r="2718" spans="39:45">
      <c r="AM2718" s="54">
        <v>2019</v>
      </c>
      <c r="AN2718" s="54" t="s">
        <v>186</v>
      </c>
      <c r="AO2718" s="54">
        <v>24</v>
      </c>
      <c r="AP2718" s="54">
        <v>4</v>
      </c>
      <c r="AQ2718" s="54">
        <v>0</v>
      </c>
      <c r="AR2718" s="55">
        <v>28500</v>
      </c>
      <c r="AS2718" s="78">
        <f t="shared" si="46"/>
        <v>0</v>
      </c>
    </row>
    <row r="2719" spans="39:45">
      <c r="AM2719" s="55">
        <v>2019</v>
      </c>
      <c r="AN2719" s="55" t="s">
        <v>186</v>
      </c>
      <c r="AO2719" s="55">
        <v>24</v>
      </c>
      <c r="AP2719" s="55">
        <v>5</v>
      </c>
      <c r="AQ2719" s="55">
        <v>0</v>
      </c>
      <c r="AR2719" s="55">
        <v>28500</v>
      </c>
      <c r="AS2719" s="78">
        <f t="shared" si="46"/>
        <v>0</v>
      </c>
    </row>
    <row r="2720" spans="39:45">
      <c r="AM2720" s="54">
        <v>2019</v>
      </c>
      <c r="AN2720" s="54" t="s">
        <v>186</v>
      </c>
      <c r="AO2720" s="54">
        <v>24</v>
      </c>
      <c r="AP2720" s="54">
        <v>6</v>
      </c>
      <c r="AQ2720" s="54">
        <v>2670</v>
      </c>
      <c r="AR2720" s="55">
        <v>28500</v>
      </c>
      <c r="AS2720" s="78">
        <f t="shared" si="46"/>
        <v>9.3684210526315786E-2</v>
      </c>
    </row>
    <row r="2721" spans="39:45">
      <c r="AM2721" s="55">
        <v>2019</v>
      </c>
      <c r="AN2721" s="55" t="s">
        <v>186</v>
      </c>
      <c r="AO2721" s="55">
        <v>24</v>
      </c>
      <c r="AP2721" s="55">
        <v>7</v>
      </c>
      <c r="AQ2721" s="55">
        <v>10753.5</v>
      </c>
      <c r="AR2721" s="55">
        <v>28500</v>
      </c>
      <c r="AS2721" s="78">
        <f t="shared" si="46"/>
        <v>0.37731578947368422</v>
      </c>
    </row>
    <row r="2722" spans="39:45">
      <c r="AM2722" s="54">
        <v>2019</v>
      </c>
      <c r="AN2722" s="54" t="s">
        <v>186</v>
      </c>
      <c r="AO2722" s="54">
        <v>24</v>
      </c>
      <c r="AP2722" s="54">
        <v>8</v>
      </c>
      <c r="AQ2722" s="54">
        <v>13431.5</v>
      </c>
      <c r="AR2722" s="55">
        <v>28500</v>
      </c>
      <c r="AS2722" s="78">
        <f t="shared" si="46"/>
        <v>0.47128070175438597</v>
      </c>
    </row>
    <row r="2723" spans="39:45">
      <c r="AM2723" s="55">
        <v>2019</v>
      </c>
      <c r="AN2723" s="55" t="s">
        <v>186</v>
      </c>
      <c r="AO2723" s="55">
        <v>24</v>
      </c>
      <c r="AP2723" s="55">
        <v>9</v>
      </c>
      <c r="AQ2723" s="55">
        <v>11654.5</v>
      </c>
      <c r="AR2723" s="55">
        <v>28500</v>
      </c>
      <c r="AS2723" s="78">
        <f t="shared" si="46"/>
        <v>0.40892982456140353</v>
      </c>
    </row>
    <row r="2724" spans="39:45">
      <c r="AM2724" s="54">
        <v>2019</v>
      </c>
      <c r="AN2724" s="54" t="s">
        <v>186</v>
      </c>
      <c r="AO2724" s="54">
        <v>24</v>
      </c>
      <c r="AP2724" s="54">
        <v>10</v>
      </c>
      <c r="AQ2724" s="54">
        <v>2676</v>
      </c>
      <c r="AR2724" s="55">
        <v>28500</v>
      </c>
      <c r="AS2724" s="78">
        <f t="shared" si="46"/>
        <v>9.3894736842105267E-2</v>
      </c>
    </row>
    <row r="2725" spans="39:45">
      <c r="AM2725" s="55">
        <v>2019</v>
      </c>
      <c r="AN2725" s="55" t="s">
        <v>186</v>
      </c>
      <c r="AO2725" s="55">
        <v>24</v>
      </c>
      <c r="AP2725" s="55">
        <v>11</v>
      </c>
      <c r="AQ2725" s="55">
        <v>3252.5</v>
      </c>
      <c r="AR2725" s="55">
        <v>28500</v>
      </c>
      <c r="AS2725" s="78">
        <f t="shared" si="46"/>
        <v>0.11412280701754386</v>
      </c>
    </row>
    <row r="2726" spans="39:45">
      <c r="AM2726" s="54">
        <v>2019</v>
      </c>
      <c r="AN2726" s="54" t="s">
        <v>186</v>
      </c>
      <c r="AO2726" s="54">
        <v>24</v>
      </c>
      <c r="AP2726" s="54">
        <v>12</v>
      </c>
      <c r="AQ2726" s="54">
        <v>20543</v>
      </c>
      <c r="AR2726" s="55">
        <v>28500</v>
      </c>
      <c r="AS2726" s="78">
        <f t="shared" si="46"/>
        <v>0.72080701754385967</v>
      </c>
    </row>
    <row r="2727" spans="39:45">
      <c r="AM2727" s="55">
        <v>2019</v>
      </c>
      <c r="AN2727" s="55" t="s">
        <v>186</v>
      </c>
      <c r="AO2727" s="55">
        <v>24</v>
      </c>
      <c r="AP2727" s="55">
        <v>13</v>
      </c>
      <c r="AQ2727" s="55">
        <v>11669</v>
      </c>
      <c r="AR2727" s="55">
        <v>28500</v>
      </c>
      <c r="AS2727" s="78">
        <f t="shared" si="46"/>
        <v>0.40943859649122805</v>
      </c>
    </row>
    <row r="2728" spans="39:45">
      <c r="AM2728" s="54">
        <v>2019</v>
      </c>
      <c r="AN2728" s="54" t="s">
        <v>186</v>
      </c>
      <c r="AO2728" s="54">
        <v>24</v>
      </c>
      <c r="AP2728" s="54">
        <v>14</v>
      </c>
      <c r="AQ2728" s="54">
        <v>10321.5</v>
      </c>
      <c r="AR2728" s="55">
        <v>28500</v>
      </c>
      <c r="AS2728" s="78">
        <f t="shared" si="46"/>
        <v>0.36215789473684212</v>
      </c>
    </row>
    <row r="2729" spans="39:45">
      <c r="AM2729" s="55">
        <v>2019</v>
      </c>
      <c r="AN2729" s="55" t="s">
        <v>186</v>
      </c>
      <c r="AO2729" s="55">
        <v>24</v>
      </c>
      <c r="AP2729" s="55">
        <v>15</v>
      </c>
      <c r="AQ2729" s="55">
        <v>23205.5</v>
      </c>
      <c r="AR2729" s="55">
        <v>28500</v>
      </c>
      <c r="AS2729" s="78">
        <f t="shared" si="46"/>
        <v>0.81422807017543863</v>
      </c>
    </row>
    <row r="2730" spans="39:45">
      <c r="AM2730" s="54">
        <v>2019</v>
      </c>
      <c r="AN2730" s="54" t="s">
        <v>186</v>
      </c>
      <c r="AO2730" s="54">
        <v>24</v>
      </c>
      <c r="AP2730" s="54">
        <v>16</v>
      </c>
      <c r="AQ2730" s="54">
        <v>15952.5</v>
      </c>
      <c r="AR2730" s="55">
        <v>28500</v>
      </c>
      <c r="AS2730" s="78">
        <f t="shared" si="46"/>
        <v>0.5597368421052632</v>
      </c>
    </row>
    <row r="2731" spans="39:45">
      <c r="AM2731" s="55">
        <v>2019</v>
      </c>
      <c r="AN2731" s="55" t="s">
        <v>186</v>
      </c>
      <c r="AO2731" s="55">
        <v>24</v>
      </c>
      <c r="AP2731" s="55">
        <v>17</v>
      </c>
      <c r="AQ2731" s="55">
        <v>7094</v>
      </c>
      <c r="AR2731" s="55">
        <v>28500</v>
      </c>
      <c r="AS2731" s="78">
        <f t="shared" si="46"/>
        <v>0.24891228070175439</v>
      </c>
    </row>
    <row r="2732" spans="39:45">
      <c r="AM2732" s="54">
        <v>2019</v>
      </c>
      <c r="AN2732" s="54" t="s">
        <v>186</v>
      </c>
      <c r="AO2732" s="54">
        <v>24</v>
      </c>
      <c r="AP2732" s="54">
        <v>18</v>
      </c>
      <c r="AQ2732" s="54">
        <v>1143</v>
      </c>
      <c r="AR2732" s="55">
        <v>28500</v>
      </c>
      <c r="AS2732" s="78">
        <f t="shared" si="46"/>
        <v>4.0105263157894734E-2</v>
      </c>
    </row>
    <row r="2733" spans="39:45">
      <c r="AM2733" s="55">
        <v>2019</v>
      </c>
      <c r="AN2733" s="55" t="s">
        <v>186</v>
      </c>
      <c r="AO2733" s="55">
        <v>24</v>
      </c>
      <c r="AP2733" s="55">
        <v>19</v>
      </c>
      <c r="AQ2733" s="55">
        <v>0</v>
      </c>
      <c r="AR2733" s="55">
        <v>28500</v>
      </c>
      <c r="AS2733" s="78">
        <f t="shared" si="46"/>
        <v>0</v>
      </c>
    </row>
    <row r="2734" spans="39:45">
      <c r="AM2734" s="54">
        <v>2019</v>
      </c>
      <c r="AN2734" s="54" t="s">
        <v>186</v>
      </c>
      <c r="AO2734" s="54">
        <v>24</v>
      </c>
      <c r="AP2734" s="54">
        <v>20</v>
      </c>
      <c r="AQ2734" s="54">
        <v>0</v>
      </c>
      <c r="AR2734" s="55">
        <v>28500</v>
      </c>
      <c r="AS2734" s="78">
        <f t="shared" si="46"/>
        <v>0</v>
      </c>
    </row>
    <row r="2735" spans="39:45">
      <c r="AM2735" s="55">
        <v>2019</v>
      </c>
      <c r="AN2735" s="55" t="s">
        <v>186</v>
      </c>
      <c r="AO2735" s="55">
        <v>24</v>
      </c>
      <c r="AP2735" s="55">
        <v>21</v>
      </c>
      <c r="AQ2735" s="55">
        <v>0</v>
      </c>
      <c r="AR2735" s="55">
        <v>28500</v>
      </c>
      <c r="AS2735" s="78">
        <f t="shared" si="46"/>
        <v>0</v>
      </c>
    </row>
    <row r="2736" spans="39:45">
      <c r="AM2736" s="54">
        <v>2019</v>
      </c>
      <c r="AN2736" s="54" t="s">
        <v>186</v>
      </c>
      <c r="AO2736" s="54">
        <v>24</v>
      </c>
      <c r="AP2736" s="54">
        <v>22</v>
      </c>
      <c r="AQ2736" s="54">
        <v>0</v>
      </c>
      <c r="AR2736" s="55">
        <v>28500</v>
      </c>
      <c r="AS2736" s="78">
        <f t="shared" si="46"/>
        <v>0</v>
      </c>
    </row>
    <row r="2737" spans="39:45">
      <c r="AM2737" s="55">
        <v>2019</v>
      </c>
      <c r="AN2737" s="55" t="s">
        <v>186</v>
      </c>
      <c r="AO2737" s="55">
        <v>24</v>
      </c>
      <c r="AP2737" s="55">
        <v>23</v>
      </c>
      <c r="AQ2737" s="55">
        <v>0</v>
      </c>
      <c r="AR2737" s="55">
        <v>28500</v>
      </c>
      <c r="AS2737" s="78">
        <f t="shared" si="46"/>
        <v>0</v>
      </c>
    </row>
    <row r="2738" spans="39:45">
      <c r="AM2738" s="54">
        <v>2019</v>
      </c>
      <c r="AN2738" s="54" t="s">
        <v>186</v>
      </c>
      <c r="AO2738" s="54">
        <v>25</v>
      </c>
      <c r="AP2738" s="54">
        <v>24</v>
      </c>
      <c r="AQ2738" s="54">
        <v>0</v>
      </c>
      <c r="AR2738" s="55">
        <v>28500</v>
      </c>
      <c r="AS2738" s="78">
        <f t="shared" si="46"/>
        <v>0</v>
      </c>
    </row>
    <row r="2739" spans="39:45">
      <c r="AM2739" s="55">
        <v>2019</v>
      </c>
      <c r="AN2739" s="55" t="s">
        <v>186</v>
      </c>
      <c r="AO2739" s="55">
        <v>25</v>
      </c>
      <c r="AP2739" s="55">
        <v>1</v>
      </c>
      <c r="AQ2739" s="55">
        <v>0</v>
      </c>
      <c r="AR2739" s="55">
        <v>28500</v>
      </c>
      <c r="AS2739" s="78">
        <f t="shared" si="46"/>
        <v>0</v>
      </c>
    </row>
    <row r="2740" spans="39:45">
      <c r="AM2740" s="54">
        <v>2019</v>
      </c>
      <c r="AN2740" s="54" t="s">
        <v>186</v>
      </c>
      <c r="AO2740" s="54">
        <v>25</v>
      </c>
      <c r="AP2740" s="54">
        <v>2</v>
      </c>
      <c r="AQ2740" s="54">
        <v>0</v>
      </c>
      <c r="AR2740" s="55">
        <v>28500</v>
      </c>
      <c r="AS2740" s="78">
        <f t="shared" si="46"/>
        <v>0</v>
      </c>
    </row>
    <row r="2741" spans="39:45">
      <c r="AM2741" s="55">
        <v>2019</v>
      </c>
      <c r="AN2741" s="55" t="s">
        <v>186</v>
      </c>
      <c r="AO2741" s="55">
        <v>25</v>
      </c>
      <c r="AP2741" s="55">
        <v>3</v>
      </c>
      <c r="AQ2741" s="55">
        <v>0</v>
      </c>
      <c r="AR2741" s="55">
        <v>28500</v>
      </c>
      <c r="AS2741" s="78">
        <f t="shared" si="46"/>
        <v>0</v>
      </c>
    </row>
    <row r="2742" spans="39:45">
      <c r="AM2742" s="54">
        <v>2019</v>
      </c>
      <c r="AN2742" s="54" t="s">
        <v>186</v>
      </c>
      <c r="AO2742" s="54">
        <v>25</v>
      </c>
      <c r="AP2742" s="54">
        <v>4</v>
      </c>
      <c r="AQ2742" s="54">
        <v>0</v>
      </c>
      <c r="AR2742" s="55">
        <v>28500</v>
      </c>
      <c r="AS2742" s="78">
        <f t="shared" si="46"/>
        <v>0</v>
      </c>
    </row>
    <row r="2743" spans="39:45">
      <c r="AM2743" s="55">
        <v>2019</v>
      </c>
      <c r="AN2743" s="55" t="s">
        <v>186</v>
      </c>
      <c r="AO2743" s="55">
        <v>25</v>
      </c>
      <c r="AP2743" s="55">
        <v>5</v>
      </c>
      <c r="AQ2743" s="55">
        <v>0</v>
      </c>
      <c r="AR2743" s="55">
        <v>28500</v>
      </c>
      <c r="AS2743" s="78">
        <f t="shared" si="46"/>
        <v>0</v>
      </c>
    </row>
    <row r="2744" spans="39:45">
      <c r="AM2744" s="54">
        <v>2019</v>
      </c>
      <c r="AN2744" s="54" t="s">
        <v>186</v>
      </c>
      <c r="AO2744" s="54">
        <v>25</v>
      </c>
      <c r="AP2744" s="54">
        <v>6</v>
      </c>
      <c r="AQ2744" s="54">
        <v>3012</v>
      </c>
      <c r="AR2744" s="55">
        <v>28500</v>
      </c>
      <c r="AS2744" s="78">
        <f t="shared" si="46"/>
        <v>0.10568421052631578</v>
      </c>
    </row>
    <row r="2745" spans="39:45">
      <c r="AM2745" s="55">
        <v>2019</v>
      </c>
      <c r="AN2745" s="55" t="s">
        <v>186</v>
      </c>
      <c r="AO2745" s="55">
        <v>25</v>
      </c>
      <c r="AP2745" s="55">
        <v>7</v>
      </c>
      <c r="AQ2745" s="55">
        <v>4043</v>
      </c>
      <c r="AR2745" s="55">
        <v>28500</v>
      </c>
      <c r="AS2745" s="78">
        <f t="shared" si="46"/>
        <v>0.14185964912280702</v>
      </c>
    </row>
    <row r="2746" spans="39:45">
      <c r="AM2746" s="54">
        <v>2019</v>
      </c>
      <c r="AN2746" s="54" t="s">
        <v>186</v>
      </c>
      <c r="AO2746" s="54">
        <v>25</v>
      </c>
      <c r="AP2746" s="54">
        <v>8</v>
      </c>
      <c r="AQ2746" s="54">
        <v>12402</v>
      </c>
      <c r="AR2746" s="55">
        <v>28500</v>
      </c>
      <c r="AS2746" s="78">
        <f t="shared" si="46"/>
        <v>0.43515789473684213</v>
      </c>
    </row>
    <row r="2747" spans="39:45">
      <c r="AM2747" s="55">
        <v>2019</v>
      </c>
      <c r="AN2747" s="55" t="s">
        <v>186</v>
      </c>
      <c r="AO2747" s="55">
        <v>25</v>
      </c>
      <c r="AP2747" s="55">
        <v>9</v>
      </c>
      <c r="AQ2747" s="55">
        <v>8097.5</v>
      </c>
      <c r="AR2747" s="55">
        <v>28500</v>
      </c>
      <c r="AS2747" s="78">
        <f t="shared" si="46"/>
        <v>0.28412280701754383</v>
      </c>
    </row>
    <row r="2748" spans="39:45">
      <c r="AM2748" s="54">
        <v>2019</v>
      </c>
      <c r="AN2748" s="54" t="s">
        <v>186</v>
      </c>
      <c r="AO2748" s="54">
        <v>25</v>
      </c>
      <c r="AP2748" s="54">
        <v>10</v>
      </c>
      <c r="AQ2748" s="54">
        <v>24549.5</v>
      </c>
      <c r="AR2748" s="55">
        <v>28500</v>
      </c>
      <c r="AS2748" s="78">
        <f t="shared" si="46"/>
        <v>0.8613859649122807</v>
      </c>
    </row>
    <row r="2749" spans="39:45">
      <c r="AM2749" s="55">
        <v>2019</v>
      </c>
      <c r="AN2749" s="55" t="s">
        <v>186</v>
      </c>
      <c r="AO2749" s="55">
        <v>25</v>
      </c>
      <c r="AP2749" s="55">
        <v>11</v>
      </c>
      <c r="AQ2749" s="55">
        <v>25505</v>
      </c>
      <c r="AR2749" s="55">
        <v>28500</v>
      </c>
      <c r="AS2749" s="78">
        <f t="shared" si="46"/>
        <v>0.89491228070175444</v>
      </c>
    </row>
    <row r="2750" spans="39:45">
      <c r="AM2750" s="54">
        <v>2019</v>
      </c>
      <c r="AN2750" s="54" t="s">
        <v>186</v>
      </c>
      <c r="AO2750" s="54">
        <v>25</v>
      </c>
      <c r="AP2750" s="54">
        <v>12</v>
      </c>
      <c r="AQ2750" s="54">
        <v>26312.5</v>
      </c>
      <c r="AR2750" s="55">
        <v>28500</v>
      </c>
      <c r="AS2750" s="78">
        <f t="shared" si="46"/>
        <v>0.92324561403508776</v>
      </c>
    </row>
    <row r="2751" spans="39:45">
      <c r="AM2751" s="55">
        <v>2019</v>
      </c>
      <c r="AN2751" s="55" t="s">
        <v>186</v>
      </c>
      <c r="AO2751" s="55">
        <v>25</v>
      </c>
      <c r="AP2751" s="55">
        <v>13</v>
      </c>
      <c r="AQ2751" s="55">
        <v>31813</v>
      </c>
      <c r="AR2751" s="55">
        <v>28500</v>
      </c>
      <c r="AS2751" s="78">
        <f t="shared" si="46"/>
        <v>1.1162456140350878</v>
      </c>
    </row>
    <row r="2752" spans="39:45">
      <c r="AM2752" s="54">
        <v>2019</v>
      </c>
      <c r="AN2752" s="54" t="s">
        <v>186</v>
      </c>
      <c r="AO2752" s="54">
        <v>25</v>
      </c>
      <c r="AP2752" s="54">
        <v>14</v>
      </c>
      <c r="AQ2752" s="54">
        <v>24729</v>
      </c>
      <c r="AR2752" s="55">
        <v>28500</v>
      </c>
      <c r="AS2752" s="78">
        <f t="shared" si="46"/>
        <v>0.86768421052631584</v>
      </c>
    </row>
    <row r="2753" spans="39:45">
      <c r="AM2753" s="55">
        <v>2019</v>
      </c>
      <c r="AN2753" s="55" t="s">
        <v>186</v>
      </c>
      <c r="AO2753" s="55">
        <v>25</v>
      </c>
      <c r="AP2753" s="55">
        <v>15</v>
      </c>
      <c r="AQ2753" s="55">
        <v>13753</v>
      </c>
      <c r="AR2753" s="55">
        <v>28500</v>
      </c>
      <c r="AS2753" s="78">
        <f t="shared" si="46"/>
        <v>0.48256140350877191</v>
      </c>
    </row>
    <row r="2754" spans="39:45">
      <c r="AM2754" s="54">
        <v>2019</v>
      </c>
      <c r="AN2754" s="54" t="s">
        <v>186</v>
      </c>
      <c r="AO2754" s="54">
        <v>25</v>
      </c>
      <c r="AP2754" s="54">
        <v>16</v>
      </c>
      <c r="AQ2754" s="54">
        <v>18577.5</v>
      </c>
      <c r="AR2754" s="55">
        <v>28500</v>
      </c>
      <c r="AS2754" s="78">
        <f t="shared" ref="AS2754:AS2817" si="47">AQ2754/AR2754</f>
        <v>0.65184210526315789</v>
      </c>
    </row>
    <row r="2755" spans="39:45">
      <c r="AM2755" s="55">
        <v>2019</v>
      </c>
      <c r="AN2755" s="55" t="s">
        <v>186</v>
      </c>
      <c r="AO2755" s="55">
        <v>25</v>
      </c>
      <c r="AP2755" s="55">
        <v>17</v>
      </c>
      <c r="AQ2755" s="55">
        <v>7726.5</v>
      </c>
      <c r="AR2755" s="55">
        <v>28500</v>
      </c>
      <c r="AS2755" s="78">
        <f t="shared" si="47"/>
        <v>0.27110526315789474</v>
      </c>
    </row>
    <row r="2756" spans="39:45">
      <c r="AM2756" s="54">
        <v>2019</v>
      </c>
      <c r="AN2756" s="54" t="s">
        <v>186</v>
      </c>
      <c r="AO2756" s="54">
        <v>25</v>
      </c>
      <c r="AP2756" s="54">
        <v>18</v>
      </c>
      <c r="AQ2756" s="54">
        <v>889.5</v>
      </c>
      <c r="AR2756" s="55">
        <v>28500</v>
      </c>
      <c r="AS2756" s="78">
        <f t="shared" si="47"/>
        <v>3.1210526315789473E-2</v>
      </c>
    </row>
    <row r="2757" spans="39:45">
      <c r="AM2757" s="55">
        <v>2019</v>
      </c>
      <c r="AN2757" s="55" t="s">
        <v>186</v>
      </c>
      <c r="AO2757" s="55">
        <v>25</v>
      </c>
      <c r="AP2757" s="55">
        <v>19</v>
      </c>
      <c r="AQ2757" s="55">
        <v>0</v>
      </c>
      <c r="AR2757" s="55">
        <v>28500</v>
      </c>
      <c r="AS2757" s="78">
        <f t="shared" si="47"/>
        <v>0</v>
      </c>
    </row>
    <row r="2758" spans="39:45">
      <c r="AM2758" s="54">
        <v>2019</v>
      </c>
      <c r="AN2758" s="54" t="s">
        <v>186</v>
      </c>
      <c r="AO2758" s="54">
        <v>25</v>
      </c>
      <c r="AP2758" s="54">
        <v>20</v>
      </c>
      <c r="AQ2758" s="54">
        <v>0</v>
      </c>
      <c r="AR2758" s="55">
        <v>28500</v>
      </c>
      <c r="AS2758" s="78">
        <f t="shared" si="47"/>
        <v>0</v>
      </c>
    </row>
    <row r="2759" spans="39:45">
      <c r="AM2759" s="55">
        <v>2019</v>
      </c>
      <c r="AN2759" s="55" t="s">
        <v>186</v>
      </c>
      <c r="AO2759" s="55">
        <v>25</v>
      </c>
      <c r="AP2759" s="55">
        <v>21</v>
      </c>
      <c r="AQ2759" s="55">
        <v>0</v>
      </c>
      <c r="AR2759" s="55">
        <v>28500</v>
      </c>
      <c r="AS2759" s="78">
        <f t="shared" si="47"/>
        <v>0</v>
      </c>
    </row>
    <row r="2760" spans="39:45">
      <c r="AM2760" s="54">
        <v>2019</v>
      </c>
      <c r="AN2760" s="54" t="s">
        <v>186</v>
      </c>
      <c r="AO2760" s="54">
        <v>25</v>
      </c>
      <c r="AP2760" s="54">
        <v>22</v>
      </c>
      <c r="AQ2760" s="54">
        <v>0</v>
      </c>
      <c r="AR2760" s="55">
        <v>28500</v>
      </c>
      <c r="AS2760" s="78">
        <f t="shared" si="47"/>
        <v>0</v>
      </c>
    </row>
    <row r="2761" spans="39:45">
      <c r="AM2761" s="55">
        <v>2019</v>
      </c>
      <c r="AN2761" s="55" t="s">
        <v>186</v>
      </c>
      <c r="AO2761" s="55">
        <v>25</v>
      </c>
      <c r="AP2761" s="55">
        <v>23</v>
      </c>
      <c r="AQ2761" s="55">
        <v>0</v>
      </c>
      <c r="AR2761" s="55">
        <v>28500</v>
      </c>
      <c r="AS2761" s="78">
        <f t="shared" si="47"/>
        <v>0</v>
      </c>
    </row>
    <row r="2762" spans="39:45">
      <c r="AM2762" s="54">
        <v>2019</v>
      </c>
      <c r="AN2762" s="54" t="s">
        <v>186</v>
      </c>
      <c r="AO2762" s="54">
        <v>26</v>
      </c>
      <c r="AP2762" s="54">
        <v>24</v>
      </c>
      <c r="AQ2762" s="54">
        <v>0</v>
      </c>
      <c r="AR2762" s="55">
        <v>28500</v>
      </c>
      <c r="AS2762" s="78">
        <f t="shared" si="47"/>
        <v>0</v>
      </c>
    </row>
    <row r="2763" spans="39:45">
      <c r="AM2763" s="55">
        <v>2019</v>
      </c>
      <c r="AN2763" s="55" t="s">
        <v>186</v>
      </c>
      <c r="AO2763" s="55">
        <v>26</v>
      </c>
      <c r="AP2763" s="55">
        <v>1</v>
      </c>
      <c r="AQ2763" s="55">
        <v>0</v>
      </c>
      <c r="AR2763" s="55">
        <v>28500</v>
      </c>
      <c r="AS2763" s="78">
        <f t="shared" si="47"/>
        <v>0</v>
      </c>
    </row>
    <row r="2764" spans="39:45">
      <c r="AM2764" s="54">
        <v>2019</v>
      </c>
      <c r="AN2764" s="54" t="s">
        <v>186</v>
      </c>
      <c r="AO2764" s="54">
        <v>26</v>
      </c>
      <c r="AP2764" s="54">
        <v>2</v>
      </c>
      <c r="AQ2764" s="54">
        <v>0</v>
      </c>
      <c r="AR2764" s="55">
        <v>28500</v>
      </c>
      <c r="AS2764" s="78">
        <f t="shared" si="47"/>
        <v>0</v>
      </c>
    </row>
    <row r="2765" spans="39:45">
      <c r="AM2765" s="55">
        <v>2019</v>
      </c>
      <c r="AN2765" s="55" t="s">
        <v>186</v>
      </c>
      <c r="AO2765" s="55">
        <v>26</v>
      </c>
      <c r="AP2765" s="55">
        <v>3</v>
      </c>
      <c r="AQ2765" s="55">
        <v>0</v>
      </c>
      <c r="AR2765" s="55">
        <v>28500</v>
      </c>
      <c r="AS2765" s="78">
        <f t="shared" si="47"/>
        <v>0</v>
      </c>
    </row>
    <row r="2766" spans="39:45">
      <c r="AM2766" s="54">
        <v>2019</v>
      </c>
      <c r="AN2766" s="54" t="s">
        <v>186</v>
      </c>
      <c r="AO2766" s="54">
        <v>26</v>
      </c>
      <c r="AP2766" s="54">
        <v>4</v>
      </c>
      <c r="AQ2766" s="54">
        <v>0</v>
      </c>
      <c r="AR2766" s="55">
        <v>28500</v>
      </c>
      <c r="AS2766" s="78">
        <f t="shared" si="47"/>
        <v>0</v>
      </c>
    </row>
    <row r="2767" spans="39:45">
      <c r="AM2767" s="55">
        <v>2019</v>
      </c>
      <c r="AN2767" s="55" t="s">
        <v>186</v>
      </c>
      <c r="AO2767" s="55">
        <v>26</v>
      </c>
      <c r="AP2767" s="55">
        <v>5</v>
      </c>
      <c r="AQ2767" s="55">
        <v>122.5</v>
      </c>
      <c r="AR2767" s="55">
        <v>28500</v>
      </c>
      <c r="AS2767" s="78">
        <f t="shared" si="47"/>
        <v>4.2982456140350876E-3</v>
      </c>
    </row>
    <row r="2768" spans="39:45">
      <c r="AM2768" s="54">
        <v>2019</v>
      </c>
      <c r="AN2768" s="54" t="s">
        <v>186</v>
      </c>
      <c r="AO2768" s="54">
        <v>26</v>
      </c>
      <c r="AP2768" s="54">
        <v>6</v>
      </c>
      <c r="AQ2768" s="54">
        <v>2738.5</v>
      </c>
      <c r="AR2768" s="55">
        <v>28500</v>
      </c>
      <c r="AS2768" s="78">
        <f t="shared" si="47"/>
        <v>9.6087719298245611E-2</v>
      </c>
    </row>
    <row r="2769" spans="39:45">
      <c r="AM2769" s="55">
        <v>2019</v>
      </c>
      <c r="AN2769" s="55" t="s">
        <v>186</v>
      </c>
      <c r="AO2769" s="55">
        <v>26</v>
      </c>
      <c r="AP2769" s="55">
        <v>7</v>
      </c>
      <c r="AQ2769" s="55">
        <v>8700.5</v>
      </c>
      <c r="AR2769" s="55">
        <v>28500</v>
      </c>
      <c r="AS2769" s="78">
        <f t="shared" si="47"/>
        <v>0.30528070175438599</v>
      </c>
    </row>
    <row r="2770" spans="39:45">
      <c r="AM2770" s="54">
        <v>2019</v>
      </c>
      <c r="AN2770" s="54" t="s">
        <v>186</v>
      </c>
      <c r="AO2770" s="54">
        <v>26</v>
      </c>
      <c r="AP2770" s="54">
        <v>8</v>
      </c>
      <c r="AQ2770" s="54">
        <v>21294.5</v>
      </c>
      <c r="AR2770" s="55">
        <v>28500</v>
      </c>
      <c r="AS2770" s="78">
        <f t="shared" si="47"/>
        <v>0.74717543859649127</v>
      </c>
    </row>
    <row r="2771" spans="39:45">
      <c r="AM2771" s="55">
        <v>2019</v>
      </c>
      <c r="AN2771" s="55" t="s">
        <v>186</v>
      </c>
      <c r="AO2771" s="55">
        <v>26</v>
      </c>
      <c r="AP2771" s="55">
        <v>9</v>
      </c>
      <c r="AQ2771" s="55">
        <v>15931</v>
      </c>
      <c r="AR2771" s="55">
        <v>28500</v>
      </c>
      <c r="AS2771" s="78">
        <f t="shared" si="47"/>
        <v>0.55898245614035091</v>
      </c>
    </row>
    <row r="2772" spans="39:45">
      <c r="AM2772" s="54">
        <v>2019</v>
      </c>
      <c r="AN2772" s="54" t="s">
        <v>186</v>
      </c>
      <c r="AO2772" s="54">
        <v>26</v>
      </c>
      <c r="AP2772" s="54">
        <v>10</v>
      </c>
      <c r="AQ2772" s="54">
        <v>16497</v>
      </c>
      <c r="AR2772" s="55">
        <v>28500</v>
      </c>
      <c r="AS2772" s="78">
        <f t="shared" si="47"/>
        <v>0.57884210526315794</v>
      </c>
    </row>
    <row r="2773" spans="39:45">
      <c r="AM2773" s="55">
        <v>2019</v>
      </c>
      <c r="AN2773" s="55" t="s">
        <v>186</v>
      </c>
      <c r="AO2773" s="55">
        <v>26</v>
      </c>
      <c r="AP2773" s="55">
        <v>11</v>
      </c>
      <c r="AQ2773" s="55">
        <v>22522</v>
      </c>
      <c r="AR2773" s="55">
        <v>28500</v>
      </c>
      <c r="AS2773" s="78">
        <f t="shared" si="47"/>
        <v>0.79024561403508775</v>
      </c>
    </row>
    <row r="2774" spans="39:45">
      <c r="AM2774" s="54">
        <v>2019</v>
      </c>
      <c r="AN2774" s="54" t="s">
        <v>186</v>
      </c>
      <c r="AO2774" s="54">
        <v>26</v>
      </c>
      <c r="AP2774" s="54">
        <v>12</v>
      </c>
      <c r="AQ2774" s="54">
        <v>32686.5</v>
      </c>
      <c r="AR2774" s="55">
        <v>28500</v>
      </c>
      <c r="AS2774" s="78">
        <f t="shared" si="47"/>
        <v>1.1468947368421052</v>
      </c>
    </row>
    <row r="2775" spans="39:45">
      <c r="AM2775" s="55">
        <v>2019</v>
      </c>
      <c r="AN2775" s="55" t="s">
        <v>186</v>
      </c>
      <c r="AO2775" s="55">
        <v>26</v>
      </c>
      <c r="AP2775" s="55">
        <v>13</v>
      </c>
      <c r="AQ2775" s="55">
        <v>33424.5</v>
      </c>
      <c r="AR2775" s="55">
        <v>28500</v>
      </c>
      <c r="AS2775" s="78">
        <f t="shared" si="47"/>
        <v>1.1727894736842106</v>
      </c>
    </row>
    <row r="2776" spans="39:45">
      <c r="AM2776" s="54">
        <v>2019</v>
      </c>
      <c r="AN2776" s="54" t="s">
        <v>186</v>
      </c>
      <c r="AO2776" s="54">
        <v>26</v>
      </c>
      <c r="AP2776" s="54">
        <v>14</v>
      </c>
      <c r="AQ2776" s="54">
        <v>34718</v>
      </c>
      <c r="AR2776" s="55">
        <v>28500</v>
      </c>
      <c r="AS2776" s="78">
        <f t="shared" si="47"/>
        <v>1.2181754385964911</v>
      </c>
    </row>
    <row r="2777" spans="39:45">
      <c r="AM2777" s="55">
        <v>2019</v>
      </c>
      <c r="AN2777" s="55" t="s">
        <v>186</v>
      </c>
      <c r="AO2777" s="55">
        <v>26</v>
      </c>
      <c r="AP2777" s="55">
        <v>15</v>
      </c>
      <c r="AQ2777" s="55">
        <v>16102</v>
      </c>
      <c r="AR2777" s="55">
        <v>28500</v>
      </c>
      <c r="AS2777" s="78">
        <f t="shared" si="47"/>
        <v>0.56498245614035092</v>
      </c>
    </row>
    <row r="2778" spans="39:45">
      <c r="AM2778" s="54">
        <v>2019</v>
      </c>
      <c r="AN2778" s="54" t="s">
        <v>186</v>
      </c>
      <c r="AO2778" s="54">
        <v>26</v>
      </c>
      <c r="AP2778" s="54">
        <v>16</v>
      </c>
      <c r="AQ2778" s="54">
        <v>8737</v>
      </c>
      <c r="AR2778" s="55">
        <v>28500</v>
      </c>
      <c r="AS2778" s="78">
        <f t="shared" si="47"/>
        <v>0.30656140350877192</v>
      </c>
    </row>
    <row r="2779" spans="39:45">
      <c r="AM2779" s="55">
        <v>2019</v>
      </c>
      <c r="AN2779" s="55" t="s">
        <v>186</v>
      </c>
      <c r="AO2779" s="55">
        <v>26</v>
      </c>
      <c r="AP2779" s="55">
        <v>17</v>
      </c>
      <c r="AQ2779" s="55">
        <v>5268</v>
      </c>
      <c r="AR2779" s="55">
        <v>28500</v>
      </c>
      <c r="AS2779" s="78">
        <f t="shared" si="47"/>
        <v>0.18484210526315789</v>
      </c>
    </row>
    <row r="2780" spans="39:45">
      <c r="AM2780" s="54">
        <v>2019</v>
      </c>
      <c r="AN2780" s="54" t="s">
        <v>186</v>
      </c>
      <c r="AO2780" s="54">
        <v>26</v>
      </c>
      <c r="AP2780" s="54">
        <v>18</v>
      </c>
      <c r="AQ2780" s="54">
        <v>1377.5</v>
      </c>
      <c r="AR2780" s="55">
        <v>28500</v>
      </c>
      <c r="AS2780" s="78">
        <f t="shared" si="47"/>
        <v>4.8333333333333332E-2</v>
      </c>
    </row>
    <row r="2781" spans="39:45">
      <c r="AM2781" s="55">
        <v>2019</v>
      </c>
      <c r="AN2781" s="55" t="s">
        <v>186</v>
      </c>
      <c r="AO2781" s="55">
        <v>26</v>
      </c>
      <c r="AP2781" s="55">
        <v>19</v>
      </c>
      <c r="AQ2781" s="55">
        <v>0</v>
      </c>
      <c r="AR2781" s="55">
        <v>28500</v>
      </c>
      <c r="AS2781" s="78">
        <f t="shared" si="47"/>
        <v>0</v>
      </c>
    </row>
    <row r="2782" spans="39:45">
      <c r="AM2782" s="54">
        <v>2019</v>
      </c>
      <c r="AN2782" s="54" t="s">
        <v>186</v>
      </c>
      <c r="AO2782" s="54">
        <v>26</v>
      </c>
      <c r="AP2782" s="54">
        <v>20</v>
      </c>
      <c r="AQ2782" s="54">
        <v>0</v>
      </c>
      <c r="AR2782" s="55">
        <v>28500</v>
      </c>
      <c r="AS2782" s="78">
        <f t="shared" si="47"/>
        <v>0</v>
      </c>
    </row>
    <row r="2783" spans="39:45">
      <c r="AM2783" s="55">
        <v>2019</v>
      </c>
      <c r="AN2783" s="55" t="s">
        <v>186</v>
      </c>
      <c r="AO2783" s="55">
        <v>26</v>
      </c>
      <c r="AP2783" s="55">
        <v>21</v>
      </c>
      <c r="AQ2783" s="55">
        <v>0</v>
      </c>
      <c r="AR2783" s="55">
        <v>28500</v>
      </c>
      <c r="AS2783" s="78">
        <f t="shared" si="47"/>
        <v>0</v>
      </c>
    </row>
    <row r="2784" spans="39:45">
      <c r="AM2784" s="54">
        <v>2019</v>
      </c>
      <c r="AN2784" s="54" t="s">
        <v>186</v>
      </c>
      <c r="AO2784" s="54">
        <v>26</v>
      </c>
      <c r="AP2784" s="54">
        <v>22</v>
      </c>
      <c r="AQ2784" s="54">
        <v>0</v>
      </c>
      <c r="AR2784" s="55">
        <v>28500</v>
      </c>
      <c r="AS2784" s="78">
        <f t="shared" si="47"/>
        <v>0</v>
      </c>
    </row>
    <row r="2785" spans="39:45">
      <c r="AM2785" s="55">
        <v>2019</v>
      </c>
      <c r="AN2785" s="55" t="s">
        <v>186</v>
      </c>
      <c r="AO2785" s="55">
        <v>26</v>
      </c>
      <c r="AP2785" s="55">
        <v>23</v>
      </c>
      <c r="AQ2785" s="55">
        <v>0</v>
      </c>
      <c r="AR2785" s="55">
        <v>28500</v>
      </c>
      <c r="AS2785" s="78">
        <f t="shared" si="47"/>
        <v>0</v>
      </c>
    </row>
    <row r="2786" spans="39:45">
      <c r="AM2786" s="54">
        <v>2019</v>
      </c>
      <c r="AN2786" s="54" t="s">
        <v>186</v>
      </c>
      <c r="AO2786" s="54">
        <v>27</v>
      </c>
      <c r="AP2786" s="54">
        <v>24</v>
      </c>
      <c r="AQ2786" s="54">
        <v>0</v>
      </c>
      <c r="AR2786" s="55">
        <v>28500</v>
      </c>
      <c r="AS2786" s="78">
        <f t="shared" si="47"/>
        <v>0</v>
      </c>
    </row>
    <row r="2787" spans="39:45">
      <c r="AM2787" s="55">
        <v>2019</v>
      </c>
      <c r="AN2787" s="55" t="s">
        <v>186</v>
      </c>
      <c r="AO2787" s="55">
        <v>27</v>
      </c>
      <c r="AP2787" s="55">
        <v>1</v>
      </c>
      <c r="AQ2787" s="55">
        <v>0</v>
      </c>
      <c r="AR2787" s="55">
        <v>28500</v>
      </c>
      <c r="AS2787" s="78">
        <f t="shared" si="47"/>
        <v>0</v>
      </c>
    </row>
    <row r="2788" spans="39:45">
      <c r="AM2788" s="54">
        <v>2019</v>
      </c>
      <c r="AN2788" s="54" t="s">
        <v>186</v>
      </c>
      <c r="AO2788" s="54">
        <v>27</v>
      </c>
      <c r="AP2788" s="54">
        <v>2</v>
      </c>
      <c r="AQ2788" s="54">
        <v>0</v>
      </c>
      <c r="AR2788" s="55">
        <v>28500</v>
      </c>
      <c r="AS2788" s="78">
        <f t="shared" si="47"/>
        <v>0</v>
      </c>
    </row>
    <row r="2789" spans="39:45">
      <c r="AM2789" s="55">
        <v>2019</v>
      </c>
      <c r="AN2789" s="55" t="s">
        <v>186</v>
      </c>
      <c r="AO2789" s="55">
        <v>27</v>
      </c>
      <c r="AP2789" s="55">
        <v>3</v>
      </c>
      <c r="AQ2789" s="55">
        <v>0</v>
      </c>
      <c r="AR2789" s="55">
        <v>28500</v>
      </c>
      <c r="AS2789" s="78">
        <f t="shared" si="47"/>
        <v>0</v>
      </c>
    </row>
    <row r="2790" spans="39:45">
      <c r="AM2790" s="54">
        <v>2019</v>
      </c>
      <c r="AN2790" s="54" t="s">
        <v>186</v>
      </c>
      <c r="AO2790" s="54">
        <v>27</v>
      </c>
      <c r="AP2790" s="54">
        <v>4</v>
      </c>
      <c r="AQ2790" s="54">
        <v>0</v>
      </c>
      <c r="AR2790" s="55">
        <v>28500</v>
      </c>
      <c r="AS2790" s="78">
        <f t="shared" si="47"/>
        <v>0</v>
      </c>
    </row>
    <row r="2791" spans="39:45">
      <c r="AM2791" s="55">
        <v>2019</v>
      </c>
      <c r="AN2791" s="55" t="s">
        <v>186</v>
      </c>
      <c r="AO2791" s="55">
        <v>27</v>
      </c>
      <c r="AP2791" s="55">
        <v>5</v>
      </c>
      <c r="AQ2791" s="55">
        <v>59</v>
      </c>
      <c r="AR2791" s="55">
        <v>28500</v>
      </c>
      <c r="AS2791" s="78">
        <f t="shared" si="47"/>
        <v>2.0701754385964912E-3</v>
      </c>
    </row>
    <row r="2792" spans="39:45">
      <c r="AM2792" s="54">
        <v>2019</v>
      </c>
      <c r="AN2792" s="54" t="s">
        <v>186</v>
      </c>
      <c r="AO2792" s="54">
        <v>27</v>
      </c>
      <c r="AP2792" s="54">
        <v>6</v>
      </c>
      <c r="AQ2792" s="54">
        <v>457.5</v>
      </c>
      <c r="AR2792" s="55">
        <v>28500</v>
      </c>
      <c r="AS2792" s="78">
        <f t="shared" si="47"/>
        <v>1.6052631578947367E-2</v>
      </c>
    </row>
    <row r="2793" spans="39:45">
      <c r="AM2793" s="55">
        <v>2019</v>
      </c>
      <c r="AN2793" s="55" t="s">
        <v>186</v>
      </c>
      <c r="AO2793" s="55">
        <v>27</v>
      </c>
      <c r="AP2793" s="55">
        <v>7</v>
      </c>
      <c r="AQ2793" s="55">
        <v>4913.5</v>
      </c>
      <c r="AR2793" s="55">
        <v>28500</v>
      </c>
      <c r="AS2793" s="78">
        <f t="shared" si="47"/>
        <v>0.17240350877192984</v>
      </c>
    </row>
    <row r="2794" spans="39:45">
      <c r="AM2794" s="54">
        <v>2019</v>
      </c>
      <c r="AN2794" s="54" t="s">
        <v>186</v>
      </c>
      <c r="AO2794" s="54">
        <v>27</v>
      </c>
      <c r="AP2794" s="54">
        <v>8</v>
      </c>
      <c r="AQ2794" s="54">
        <v>10314</v>
      </c>
      <c r="AR2794" s="55">
        <v>28500</v>
      </c>
      <c r="AS2794" s="78">
        <f t="shared" si="47"/>
        <v>0.36189473684210527</v>
      </c>
    </row>
    <row r="2795" spans="39:45">
      <c r="AM2795" s="55">
        <v>2019</v>
      </c>
      <c r="AN2795" s="55" t="s">
        <v>186</v>
      </c>
      <c r="AO2795" s="55">
        <v>27</v>
      </c>
      <c r="AP2795" s="55">
        <v>9</v>
      </c>
      <c r="AQ2795" s="55">
        <v>7231</v>
      </c>
      <c r="AR2795" s="55">
        <v>28500</v>
      </c>
      <c r="AS2795" s="78">
        <f t="shared" si="47"/>
        <v>0.25371929824561401</v>
      </c>
    </row>
    <row r="2796" spans="39:45">
      <c r="AM2796" s="54">
        <v>2019</v>
      </c>
      <c r="AN2796" s="54" t="s">
        <v>186</v>
      </c>
      <c r="AO2796" s="54">
        <v>27</v>
      </c>
      <c r="AP2796" s="54">
        <v>10</v>
      </c>
      <c r="AQ2796" s="54">
        <v>13120.5</v>
      </c>
      <c r="AR2796" s="55">
        <v>28500</v>
      </c>
      <c r="AS2796" s="78">
        <f t="shared" si="47"/>
        <v>0.46036842105263159</v>
      </c>
    </row>
    <row r="2797" spans="39:45">
      <c r="AM2797" s="55">
        <v>2019</v>
      </c>
      <c r="AN2797" s="55" t="s">
        <v>186</v>
      </c>
      <c r="AO2797" s="55">
        <v>27</v>
      </c>
      <c r="AP2797" s="55">
        <v>11</v>
      </c>
      <c r="AQ2797" s="55">
        <v>13062.5</v>
      </c>
      <c r="AR2797" s="55">
        <v>28500</v>
      </c>
      <c r="AS2797" s="78">
        <f t="shared" si="47"/>
        <v>0.45833333333333331</v>
      </c>
    </row>
    <row r="2798" spans="39:45">
      <c r="AM2798" s="54">
        <v>2019</v>
      </c>
      <c r="AN2798" s="54" t="s">
        <v>186</v>
      </c>
      <c r="AO2798" s="54">
        <v>27</v>
      </c>
      <c r="AP2798" s="54">
        <v>12</v>
      </c>
      <c r="AQ2798" s="54">
        <v>7692</v>
      </c>
      <c r="AR2798" s="55">
        <v>28500</v>
      </c>
      <c r="AS2798" s="78">
        <f t="shared" si="47"/>
        <v>0.26989473684210524</v>
      </c>
    </row>
    <row r="2799" spans="39:45">
      <c r="AM2799" s="55">
        <v>2019</v>
      </c>
      <c r="AN2799" s="55" t="s">
        <v>186</v>
      </c>
      <c r="AO2799" s="55">
        <v>27</v>
      </c>
      <c r="AP2799" s="55">
        <v>13</v>
      </c>
      <c r="AQ2799" s="55">
        <v>18144</v>
      </c>
      <c r="AR2799" s="55">
        <v>28500</v>
      </c>
      <c r="AS2799" s="78">
        <f t="shared" si="47"/>
        <v>0.63663157894736844</v>
      </c>
    </row>
    <row r="2800" spans="39:45">
      <c r="AM2800" s="54">
        <v>2019</v>
      </c>
      <c r="AN2800" s="54" t="s">
        <v>186</v>
      </c>
      <c r="AO2800" s="54">
        <v>27</v>
      </c>
      <c r="AP2800" s="54">
        <v>14</v>
      </c>
      <c r="AQ2800" s="54">
        <v>5187.5</v>
      </c>
      <c r="AR2800" s="55">
        <v>28500</v>
      </c>
      <c r="AS2800" s="78">
        <f t="shared" si="47"/>
        <v>0.18201754385964913</v>
      </c>
    </row>
    <row r="2801" spans="39:45">
      <c r="AM2801" s="55">
        <v>2019</v>
      </c>
      <c r="AN2801" s="55" t="s">
        <v>186</v>
      </c>
      <c r="AO2801" s="55">
        <v>27</v>
      </c>
      <c r="AP2801" s="55">
        <v>15</v>
      </c>
      <c r="AQ2801" s="55">
        <v>11761.5</v>
      </c>
      <c r="AR2801" s="55">
        <v>28500</v>
      </c>
      <c r="AS2801" s="78">
        <f t="shared" si="47"/>
        <v>0.41268421052631576</v>
      </c>
    </row>
    <row r="2802" spans="39:45">
      <c r="AM2802" s="54">
        <v>2019</v>
      </c>
      <c r="AN2802" s="54" t="s">
        <v>186</v>
      </c>
      <c r="AO2802" s="54">
        <v>27</v>
      </c>
      <c r="AP2802" s="54">
        <v>16</v>
      </c>
      <c r="AQ2802" s="54">
        <v>4596</v>
      </c>
      <c r="AR2802" s="55">
        <v>28500</v>
      </c>
      <c r="AS2802" s="78">
        <f t="shared" si="47"/>
        <v>0.16126315789473683</v>
      </c>
    </row>
    <row r="2803" spans="39:45">
      <c r="AM2803" s="55">
        <v>2019</v>
      </c>
      <c r="AN2803" s="55" t="s">
        <v>186</v>
      </c>
      <c r="AO2803" s="55">
        <v>27</v>
      </c>
      <c r="AP2803" s="55">
        <v>17</v>
      </c>
      <c r="AQ2803" s="55">
        <v>5686.5</v>
      </c>
      <c r="AR2803" s="55">
        <v>28500</v>
      </c>
      <c r="AS2803" s="78">
        <f t="shared" si="47"/>
        <v>0.19952631578947369</v>
      </c>
    </row>
    <row r="2804" spans="39:45">
      <c r="AM2804" s="54">
        <v>2019</v>
      </c>
      <c r="AN2804" s="54" t="s">
        <v>186</v>
      </c>
      <c r="AO2804" s="54">
        <v>27</v>
      </c>
      <c r="AP2804" s="54">
        <v>18</v>
      </c>
      <c r="AQ2804" s="54">
        <v>1127.5</v>
      </c>
      <c r="AR2804" s="55">
        <v>28500</v>
      </c>
      <c r="AS2804" s="78">
        <f t="shared" si="47"/>
        <v>3.9561403508771929E-2</v>
      </c>
    </row>
    <row r="2805" spans="39:45">
      <c r="AM2805" s="55">
        <v>2019</v>
      </c>
      <c r="AN2805" s="55" t="s">
        <v>186</v>
      </c>
      <c r="AO2805" s="55">
        <v>27</v>
      </c>
      <c r="AP2805" s="55">
        <v>19</v>
      </c>
      <c r="AQ2805" s="55">
        <v>0</v>
      </c>
      <c r="AR2805" s="55">
        <v>28500</v>
      </c>
      <c r="AS2805" s="78">
        <f t="shared" si="47"/>
        <v>0</v>
      </c>
    </row>
    <row r="2806" spans="39:45">
      <c r="AM2806" s="54">
        <v>2019</v>
      </c>
      <c r="AN2806" s="54" t="s">
        <v>186</v>
      </c>
      <c r="AO2806" s="54">
        <v>27</v>
      </c>
      <c r="AP2806" s="54">
        <v>20</v>
      </c>
      <c r="AQ2806" s="54">
        <v>0</v>
      </c>
      <c r="AR2806" s="55">
        <v>28500</v>
      </c>
      <c r="AS2806" s="78">
        <f t="shared" si="47"/>
        <v>0</v>
      </c>
    </row>
    <row r="2807" spans="39:45">
      <c r="AM2807" s="55">
        <v>2019</v>
      </c>
      <c r="AN2807" s="55" t="s">
        <v>186</v>
      </c>
      <c r="AO2807" s="55">
        <v>27</v>
      </c>
      <c r="AP2807" s="55">
        <v>21</v>
      </c>
      <c r="AQ2807" s="55">
        <v>0</v>
      </c>
      <c r="AR2807" s="55">
        <v>28500</v>
      </c>
      <c r="AS2807" s="78">
        <f t="shared" si="47"/>
        <v>0</v>
      </c>
    </row>
    <row r="2808" spans="39:45">
      <c r="AM2808" s="54">
        <v>2019</v>
      </c>
      <c r="AN2808" s="54" t="s">
        <v>186</v>
      </c>
      <c r="AO2808" s="54">
        <v>27</v>
      </c>
      <c r="AP2808" s="54">
        <v>22</v>
      </c>
      <c r="AQ2808" s="54">
        <v>0</v>
      </c>
      <c r="AR2808" s="55">
        <v>28500</v>
      </c>
      <c r="AS2808" s="78">
        <f t="shared" si="47"/>
        <v>0</v>
      </c>
    </row>
    <row r="2809" spans="39:45">
      <c r="AM2809" s="55">
        <v>2019</v>
      </c>
      <c r="AN2809" s="55" t="s">
        <v>186</v>
      </c>
      <c r="AO2809" s="55">
        <v>27</v>
      </c>
      <c r="AP2809" s="55">
        <v>23</v>
      </c>
      <c r="AQ2809" s="55">
        <v>0</v>
      </c>
      <c r="AR2809" s="55">
        <v>28500</v>
      </c>
      <c r="AS2809" s="78">
        <f t="shared" si="47"/>
        <v>0</v>
      </c>
    </row>
    <row r="2810" spans="39:45">
      <c r="AM2810" s="54">
        <v>2019</v>
      </c>
      <c r="AN2810" s="54" t="s">
        <v>186</v>
      </c>
      <c r="AO2810" s="54">
        <v>28</v>
      </c>
      <c r="AP2810" s="54">
        <v>24</v>
      </c>
      <c r="AQ2810" s="54">
        <v>0</v>
      </c>
      <c r="AR2810" s="55">
        <v>28500</v>
      </c>
      <c r="AS2810" s="78">
        <f t="shared" si="47"/>
        <v>0</v>
      </c>
    </row>
    <row r="2811" spans="39:45">
      <c r="AM2811" s="55">
        <v>2019</v>
      </c>
      <c r="AN2811" s="55" t="s">
        <v>186</v>
      </c>
      <c r="AO2811" s="55">
        <v>28</v>
      </c>
      <c r="AP2811" s="55">
        <v>1</v>
      </c>
      <c r="AQ2811" s="55">
        <v>0</v>
      </c>
      <c r="AR2811" s="55">
        <v>28500</v>
      </c>
      <c r="AS2811" s="78">
        <f t="shared" si="47"/>
        <v>0</v>
      </c>
    </row>
    <row r="2812" spans="39:45">
      <c r="AM2812" s="54">
        <v>2019</v>
      </c>
      <c r="AN2812" s="54" t="s">
        <v>186</v>
      </c>
      <c r="AO2812" s="54">
        <v>28</v>
      </c>
      <c r="AP2812" s="54">
        <v>2</v>
      </c>
      <c r="AQ2812" s="54">
        <v>0</v>
      </c>
      <c r="AR2812" s="55">
        <v>28500</v>
      </c>
      <c r="AS2812" s="78">
        <f t="shared" si="47"/>
        <v>0</v>
      </c>
    </row>
    <row r="2813" spans="39:45">
      <c r="AM2813" s="55">
        <v>2019</v>
      </c>
      <c r="AN2813" s="55" t="s">
        <v>186</v>
      </c>
      <c r="AO2813" s="55">
        <v>28</v>
      </c>
      <c r="AP2813" s="55">
        <v>3</v>
      </c>
      <c r="AQ2813" s="55">
        <v>0</v>
      </c>
      <c r="AR2813" s="55">
        <v>28500</v>
      </c>
      <c r="AS2813" s="78">
        <f t="shared" si="47"/>
        <v>0</v>
      </c>
    </row>
    <row r="2814" spans="39:45">
      <c r="AM2814" s="54">
        <v>2019</v>
      </c>
      <c r="AN2814" s="54" t="s">
        <v>186</v>
      </c>
      <c r="AO2814" s="54">
        <v>28</v>
      </c>
      <c r="AP2814" s="54">
        <v>4</v>
      </c>
      <c r="AQ2814" s="54">
        <v>0</v>
      </c>
      <c r="AR2814" s="55">
        <v>28500</v>
      </c>
      <c r="AS2814" s="78">
        <f t="shared" si="47"/>
        <v>0</v>
      </c>
    </row>
    <row r="2815" spans="39:45">
      <c r="AM2815" s="55">
        <v>2019</v>
      </c>
      <c r="AN2815" s="55" t="s">
        <v>186</v>
      </c>
      <c r="AO2815" s="55">
        <v>28</v>
      </c>
      <c r="AP2815" s="55">
        <v>5</v>
      </c>
      <c r="AQ2815" s="55">
        <v>59.5</v>
      </c>
      <c r="AR2815" s="55">
        <v>28500</v>
      </c>
      <c r="AS2815" s="78">
        <f t="shared" si="47"/>
        <v>2.087719298245614E-3</v>
      </c>
    </row>
    <row r="2816" spans="39:45">
      <c r="AM2816" s="54">
        <v>2019</v>
      </c>
      <c r="AN2816" s="54" t="s">
        <v>186</v>
      </c>
      <c r="AO2816" s="54">
        <v>28</v>
      </c>
      <c r="AP2816" s="54">
        <v>6</v>
      </c>
      <c r="AQ2816" s="54">
        <v>2258</v>
      </c>
      <c r="AR2816" s="55">
        <v>28500</v>
      </c>
      <c r="AS2816" s="78">
        <f t="shared" si="47"/>
        <v>7.9228070175438592E-2</v>
      </c>
    </row>
    <row r="2817" spans="39:45">
      <c r="AM2817" s="55">
        <v>2019</v>
      </c>
      <c r="AN2817" s="55" t="s">
        <v>186</v>
      </c>
      <c r="AO2817" s="55">
        <v>28</v>
      </c>
      <c r="AP2817" s="55">
        <v>7</v>
      </c>
      <c r="AQ2817" s="55">
        <v>9153</v>
      </c>
      <c r="AR2817" s="55">
        <v>28500</v>
      </c>
      <c r="AS2817" s="78">
        <f t="shared" si="47"/>
        <v>0.32115789473684209</v>
      </c>
    </row>
    <row r="2818" spans="39:45">
      <c r="AM2818" s="54">
        <v>2019</v>
      </c>
      <c r="AN2818" s="54" t="s">
        <v>186</v>
      </c>
      <c r="AO2818" s="54">
        <v>28</v>
      </c>
      <c r="AP2818" s="54">
        <v>8</v>
      </c>
      <c r="AQ2818" s="54">
        <v>12170.5</v>
      </c>
      <c r="AR2818" s="55">
        <v>28500</v>
      </c>
      <c r="AS2818" s="78">
        <f t="shared" ref="AS2818:AS2881" si="48">AQ2818/AR2818</f>
        <v>0.42703508771929827</v>
      </c>
    </row>
    <row r="2819" spans="39:45">
      <c r="AM2819" s="55">
        <v>2019</v>
      </c>
      <c r="AN2819" s="55" t="s">
        <v>186</v>
      </c>
      <c r="AO2819" s="55">
        <v>28</v>
      </c>
      <c r="AP2819" s="55">
        <v>9</v>
      </c>
      <c r="AQ2819" s="55">
        <v>8972.5</v>
      </c>
      <c r="AR2819" s="55">
        <v>28500</v>
      </c>
      <c r="AS2819" s="78">
        <f t="shared" si="48"/>
        <v>0.31482456140350878</v>
      </c>
    </row>
    <row r="2820" spans="39:45">
      <c r="AM2820" s="54">
        <v>2019</v>
      </c>
      <c r="AN2820" s="54" t="s">
        <v>186</v>
      </c>
      <c r="AO2820" s="54">
        <v>28</v>
      </c>
      <c r="AP2820" s="54">
        <v>10</v>
      </c>
      <c r="AQ2820" s="54">
        <v>5068.5</v>
      </c>
      <c r="AR2820" s="55">
        <v>28500</v>
      </c>
      <c r="AS2820" s="78">
        <f t="shared" si="48"/>
        <v>0.17784210526315788</v>
      </c>
    </row>
    <row r="2821" spans="39:45">
      <c r="AM2821" s="55">
        <v>2019</v>
      </c>
      <c r="AN2821" s="55" t="s">
        <v>186</v>
      </c>
      <c r="AO2821" s="55">
        <v>28</v>
      </c>
      <c r="AP2821" s="55">
        <v>11</v>
      </c>
      <c r="AQ2821" s="55">
        <v>9608</v>
      </c>
      <c r="AR2821" s="55">
        <v>28500</v>
      </c>
      <c r="AS2821" s="78">
        <f t="shared" si="48"/>
        <v>0.33712280701754388</v>
      </c>
    </row>
    <row r="2822" spans="39:45">
      <c r="AM2822" s="54">
        <v>2019</v>
      </c>
      <c r="AN2822" s="54" t="s">
        <v>186</v>
      </c>
      <c r="AO2822" s="54">
        <v>28</v>
      </c>
      <c r="AP2822" s="54">
        <v>12</v>
      </c>
      <c r="AQ2822" s="54">
        <v>6380</v>
      </c>
      <c r="AR2822" s="55">
        <v>28500</v>
      </c>
      <c r="AS2822" s="78">
        <f t="shared" si="48"/>
        <v>0.22385964912280701</v>
      </c>
    </row>
    <row r="2823" spans="39:45">
      <c r="AM2823" s="55">
        <v>2019</v>
      </c>
      <c r="AN2823" s="55" t="s">
        <v>186</v>
      </c>
      <c r="AO2823" s="55">
        <v>28</v>
      </c>
      <c r="AP2823" s="55">
        <v>13</v>
      </c>
      <c r="AQ2823" s="55">
        <v>7932.5</v>
      </c>
      <c r="AR2823" s="55">
        <v>28500</v>
      </c>
      <c r="AS2823" s="78">
        <f t="shared" si="48"/>
        <v>0.27833333333333332</v>
      </c>
    </row>
    <row r="2824" spans="39:45">
      <c r="AM2824" s="54">
        <v>2019</v>
      </c>
      <c r="AN2824" s="54" t="s">
        <v>186</v>
      </c>
      <c r="AO2824" s="54">
        <v>28</v>
      </c>
      <c r="AP2824" s="54">
        <v>14</v>
      </c>
      <c r="AQ2824" s="54">
        <v>20415</v>
      </c>
      <c r="AR2824" s="55">
        <v>28500</v>
      </c>
      <c r="AS2824" s="78">
        <f t="shared" si="48"/>
        <v>0.71631578947368424</v>
      </c>
    </row>
    <row r="2825" spans="39:45">
      <c r="AM2825" s="55">
        <v>2019</v>
      </c>
      <c r="AN2825" s="55" t="s">
        <v>186</v>
      </c>
      <c r="AO2825" s="55">
        <v>28</v>
      </c>
      <c r="AP2825" s="55">
        <v>15</v>
      </c>
      <c r="AQ2825" s="55">
        <v>5100</v>
      </c>
      <c r="AR2825" s="55">
        <v>28500</v>
      </c>
      <c r="AS2825" s="78">
        <f t="shared" si="48"/>
        <v>0.17894736842105263</v>
      </c>
    </row>
    <row r="2826" spans="39:45">
      <c r="AM2826" s="54">
        <v>2019</v>
      </c>
      <c r="AN2826" s="54" t="s">
        <v>186</v>
      </c>
      <c r="AO2826" s="54">
        <v>28</v>
      </c>
      <c r="AP2826" s="54">
        <v>16</v>
      </c>
      <c r="AQ2826" s="54">
        <v>10832.5</v>
      </c>
      <c r="AR2826" s="55">
        <v>28500</v>
      </c>
      <c r="AS2826" s="78">
        <f t="shared" si="48"/>
        <v>0.38008771929824564</v>
      </c>
    </row>
    <row r="2827" spans="39:45">
      <c r="AM2827" s="55">
        <v>2019</v>
      </c>
      <c r="AN2827" s="55" t="s">
        <v>186</v>
      </c>
      <c r="AO2827" s="55">
        <v>28</v>
      </c>
      <c r="AP2827" s="55">
        <v>17</v>
      </c>
      <c r="AQ2827" s="55">
        <v>2393.5</v>
      </c>
      <c r="AR2827" s="55">
        <v>28500</v>
      </c>
      <c r="AS2827" s="78">
        <f t="shared" si="48"/>
        <v>8.3982456140350881E-2</v>
      </c>
    </row>
    <row r="2828" spans="39:45">
      <c r="AM2828" s="54">
        <v>2019</v>
      </c>
      <c r="AN2828" s="54" t="s">
        <v>186</v>
      </c>
      <c r="AO2828" s="54">
        <v>28</v>
      </c>
      <c r="AP2828" s="54">
        <v>18</v>
      </c>
      <c r="AQ2828" s="54">
        <v>1050.5</v>
      </c>
      <c r="AR2828" s="55">
        <v>28500</v>
      </c>
      <c r="AS2828" s="78">
        <f t="shared" si="48"/>
        <v>3.6859649122807016E-2</v>
      </c>
    </row>
    <row r="2829" spans="39:45">
      <c r="AM2829" s="55">
        <v>2019</v>
      </c>
      <c r="AN2829" s="55" t="s">
        <v>186</v>
      </c>
      <c r="AO2829" s="55">
        <v>28</v>
      </c>
      <c r="AP2829" s="55">
        <v>19</v>
      </c>
      <c r="AQ2829" s="55">
        <v>0</v>
      </c>
      <c r="AR2829" s="55">
        <v>28500</v>
      </c>
      <c r="AS2829" s="78">
        <f t="shared" si="48"/>
        <v>0</v>
      </c>
    </row>
    <row r="2830" spans="39:45">
      <c r="AM2830" s="54">
        <v>2019</v>
      </c>
      <c r="AN2830" s="54" t="s">
        <v>186</v>
      </c>
      <c r="AO2830" s="54">
        <v>28</v>
      </c>
      <c r="AP2830" s="54">
        <v>20</v>
      </c>
      <c r="AQ2830" s="54">
        <v>0</v>
      </c>
      <c r="AR2830" s="55">
        <v>28500</v>
      </c>
      <c r="AS2830" s="78">
        <f t="shared" si="48"/>
        <v>0</v>
      </c>
    </row>
    <row r="2831" spans="39:45">
      <c r="AM2831" s="55">
        <v>2019</v>
      </c>
      <c r="AN2831" s="55" t="s">
        <v>186</v>
      </c>
      <c r="AO2831" s="55">
        <v>28</v>
      </c>
      <c r="AP2831" s="55">
        <v>21</v>
      </c>
      <c r="AQ2831" s="55">
        <v>0</v>
      </c>
      <c r="AR2831" s="55">
        <v>28500</v>
      </c>
      <c r="AS2831" s="78">
        <f t="shared" si="48"/>
        <v>0</v>
      </c>
    </row>
    <row r="2832" spans="39:45">
      <c r="AM2832" s="54">
        <v>2019</v>
      </c>
      <c r="AN2832" s="54" t="s">
        <v>186</v>
      </c>
      <c r="AO2832" s="54">
        <v>28</v>
      </c>
      <c r="AP2832" s="54">
        <v>22</v>
      </c>
      <c r="AQ2832" s="54">
        <v>0</v>
      </c>
      <c r="AR2832" s="55">
        <v>28500</v>
      </c>
      <c r="AS2832" s="78">
        <f t="shared" si="48"/>
        <v>0</v>
      </c>
    </row>
    <row r="2833" spans="39:45">
      <c r="AM2833" s="55">
        <v>2019</v>
      </c>
      <c r="AN2833" s="55" t="s">
        <v>186</v>
      </c>
      <c r="AO2833" s="55">
        <v>28</v>
      </c>
      <c r="AP2833" s="55">
        <v>23</v>
      </c>
      <c r="AQ2833" s="55">
        <v>0</v>
      </c>
      <c r="AR2833" s="55">
        <v>28500</v>
      </c>
      <c r="AS2833" s="78">
        <f t="shared" si="48"/>
        <v>0</v>
      </c>
    </row>
    <row r="2834" spans="39:45">
      <c r="AM2834" s="54">
        <v>2019</v>
      </c>
      <c r="AN2834" s="54" t="s">
        <v>186</v>
      </c>
      <c r="AO2834" s="54">
        <v>29</v>
      </c>
      <c r="AP2834" s="54">
        <v>24</v>
      </c>
      <c r="AQ2834" s="54">
        <v>0</v>
      </c>
      <c r="AR2834" s="55">
        <v>28500</v>
      </c>
      <c r="AS2834" s="78">
        <f t="shared" si="48"/>
        <v>0</v>
      </c>
    </row>
    <row r="2835" spans="39:45">
      <c r="AM2835" s="55">
        <v>2019</v>
      </c>
      <c r="AN2835" s="55" t="s">
        <v>186</v>
      </c>
      <c r="AO2835" s="55">
        <v>29</v>
      </c>
      <c r="AP2835" s="55">
        <v>1</v>
      </c>
      <c r="AQ2835" s="55">
        <v>0</v>
      </c>
      <c r="AR2835" s="55">
        <v>28500</v>
      </c>
      <c r="AS2835" s="78">
        <f t="shared" si="48"/>
        <v>0</v>
      </c>
    </row>
    <row r="2836" spans="39:45">
      <c r="AM2836" s="54">
        <v>2019</v>
      </c>
      <c r="AN2836" s="54" t="s">
        <v>186</v>
      </c>
      <c r="AO2836" s="54">
        <v>29</v>
      </c>
      <c r="AP2836" s="54">
        <v>2</v>
      </c>
      <c r="AQ2836" s="54">
        <v>0</v>
      </c>
      <c r="AR2836" s="55">
        <v>28500</v>
      </c>
      <c r="AS2836" s="78">
        <f t="shared" si="48"/>
        <v>0</v>
      </c>
    </row>
    <row r="2837" spans="39:45">
      <c r="AM2837" s="55">
        <v>2019</v>
      </c>
      <c r="AN2837" s="55" t="s">
        <v>186</v>
      </c>
      <c r="AO2837" s="55">
        <v>29</v>
      </c>
      <c r="AP2837" s="55">
        <v>3</v>
      </c>
      <c r="AQ2837" s="55">
        <v>0</v>
      </c>
      <c r="AR2837" s="55">
        <v>28500</v>
      </c>
      <c r="AS2837" s="78">
        <f t="shared" si="48"/>
        <v>0</v>
      </c>
    </row>
    <row r="2838" spans="39:45">
      <c r="AM2838" s="54">
        <v>2019</v>
      </c>
      <c r="AN2838" s="54" t="s">
        <v>186</v>
      </c>
      <c r="AO2838" s="54">
        <v>29</v>
      </c>
      <c r="AP2838" s="54">
        <v>4</v>
      </c>
      <c r="AQ2838" s="54">
        <v>0</v>
      </c>
      <c r="AR2838" s="55">
        <v>28500</v>
      </c>
      <c r="AS2838" s="78">
        <f t="shared" si="48"/>
        <v>0</v>
      </c>
    </row>
    <row r="2839" spans="39:45">
      <c r="AM2839" s="55">
        <v>2019</v>
      </c>
      <c r="AN2839" s="55" t="s">
        <v>186</v>
      </c>
      <c r="AO2839" s="55">
        <v>29</v>
      </c>
      <c r="AP2839" s="55">
        <v>5</v>
      </c>
      <c r="AQ2839" s="55">
        <v>82</v>
      </c>
      <c r="AR2839" s="55">
        <v>28500</v>
      </c>
      <c r="AS2839" s="78">
        <f t="shared" si="48"/>
        <v>2.8771929824561405E-3</v>
      </c>
    </row>
    <row r="2840" spans="39:45">
      <c r="AM2840" s="54">
        <v>2019</v>
      </c>
      <c r="AN2840" s="54" t="s">
        <v>186</v>
      </c>
      <c r="AO2840" s="54">
        <v>29</v>
      </c>
      <c r="AP2840" s="54">
        <v>6</v>
      </c>
      <c r="AQ2840" s="54">
        <v>2762.5</v>
      </c>
      <c r="AR2840" s="55">
        <v>28500</v>
      </c>
      <c r="AS2840" s="78">
        <f t="shared" si="48"/>
        <v>9.6929824561403505E-2</v>
      </c>
    </row>
    <row r="2841" spans="39:45">
      <c r="AM2841" s="55">
        <v>2019</v>
      </c>
      <c r="AN2841" s="55" t="s">
        <v>186</v>
      </c>
      <c r="AO2841" s="55">
        <v>29</v>
      </c>
      <c r="AP2841" s="55">
        <v>7</v>
      </c>
      <c r="AQ2841" s="55">
        <v>7425.5</v>
      </c>
      <c r="AR2841" s="55">
        <v>28500</v>
      </c>
      <c r="AS2841" s="78">
        <f t="shared" si="48"/>
        <v>0.2605438596491228</v>
      </c>
    </row>
    <row r="2842" spans="39:45">
      <c r="AM2842" s="54">
        <v>2019</v>
      </c>
      <c r="AN2842" s="54" t="s">
        <v>186</v>
      </c>
      <c r="AO2842" s="54">
        <v>29</v>
      </c>
      <c r="AP2842" s="54">
        <v>8</v>
      </c>
      <c r="AQ2842" s="54">
        <v>10333.5</v>
      </c>
      <c r="AR2842" s="55">
        <v>28500</v>
      </c>
      <c r="AS2842" s="78">
        <f t="shared" si="48"/>
        <v>0.36257894736842106</v>
      </c>
    </row>
    <row r="2843" spans="39:45">
      <c r="AM2843" s="55">
        <v>2019</v>
      </c>
      <c r="AN2843" s="55" t="s">
        <v>186</v>
      </c>
      <c r="AO2843" s="55">
        <v>29</v>
      </c>
      <c r="AP2843" s="55">
        <v>9</v>
      </c>
      <c r="AQ2843" s="55">
        <v>19653.5</v>
      </c>
      <c r="AR2843" s="55">
        <v>28500</v>
      </c>
      <c r="AS2843" s="78">
        <f t="shared" si="48"/>
        <v>0.68959649122807021</v>
      </c>
    </row>
    <row r="2844" spans="39:45">
      <c r="AM2844" s="54">
        <v>2019</v>
      </c>
      <c r="AN2844" s="54" t="s">
        <v>186</v>
      </c>
      <c r="AO2844" s="54">
        <v>29</v>
      </c>
      <c r="AP2844" s="54">
        <v>10</v>
      </c>
      <c r="AQ2844" s="54">
        <v>12275.5</v>
      </c>
      <c r="AR2844" s="55">
        <v>28500</v>
      </c>
      <c r="AS2844" s="78">
        <f t="shared" si="48"/>
        <v>0.43071929824561406</v>
      </c>
    </row>
    <row r="2845" spans="39:45">
      <c r="AM2845" s="55">
        <v>2019</v>
      </c>
      <c r="AN2845" s="55" t="s">
        <v>186</v>
      </c>
      <c r="AO2845" s="55">
        <v>29</v>
      </c>
      <c r="AP2845" s="55">
        <v>11</v>
      </c>
      <c r="AQ2845" s="55">
        <v>17023</v>
      </c>
      <c r="AR2845" s="55">
        <v>28500</v>
      </c>
      <c r="AS2845" s="78">
        <f t="shared" si="48"/>
        <v>0.59729824561403511</v>
      </c>
    </row>
    <row r="2846" spans="39:45">
      <c r="AM2846" s="54">
        <v>2019</v>
      </c>
      <c r="AN2846" s="54" t="s">
        <v>186</v>
      </c>
      <c r="AO2846" s="54">
        <v>29</v>
      </c>
      <c r="AP2846" s="54">
        <v>12</v>
      </c>
      <c r="AQ2846" s="54">
        <v>21065</v>
      </c>
      <c r="AR2846" s="55">
        <v>28500</v>
      </c>
      <c r="AS2846" s="78">
        <f t="shared" si="48"/>
        <v>0.73912280701754385</v>
      </c>
    </row>
    <row r="2847" spans="39:45">
      <c r="AM2847" s="55">
        <v>2019</v>
      </c>
      <c r="AN2847" s="55" t="s">
        <v>186</v>
      </c>
      <c r="AO2847" s="55">
        <v>29</v>
      </c>
      <c r="AP2847" s="55">
        <v>13</v>
      </c>
      <c r="AQ2847" s="55">
        <v>21974.5</v>
      </c>
      <c r="AR2847" s="55">
        <v>28500</v>
      </c>
      <c r="AS2847" s="78">
        <f t="shared" si="48"/>
        <v>0.7710350877192983</v>
      </c>
    </row>
    <row r="2848" spans="39:45">
      <c r="AM2848" s="54">
        <v>2019</v>
      </c>
      <c r="AN2848" s="54" t="s">
        <v>186</v>
      </c>
      <c r="AO2848" s="54">
        <v>29</v>
      </c>
      <c r="AP2848" s="54">
        <v>14</v>
      </c>
      <c r="AQ2848" s="54">
        <v>11726.5</v>
      </c>
      <c r="AR2848" s="55">
        <v>28500</v>
      </c>
      <c r="AS2848" s="78">
        <f t="shared" si="48"/>
        <v>0.41145614035087719</v>
      </c>
    </row>
    <row r="2849" spans="39:45">
      <c r="AM2849" s="55">
        <v>2019</v>
      </c>
      <c r="AN2849" s="55" t="s">
        <v>186</v>
      </c>
      <c r="AO2849" s="55">
        <v>29</v>
      </c>
      <c r="AP2849" s="55">
        <v>15</v>
      </c>
      <c r="AQ2849" s="55">
        <v>7596</v>
      </c>
      <c r="AR2849" s="55">
        <v>28500</v>
      </c>
      <c r="AS2849" s="78">
        <f t="shared" si="48"/>
        <v>0.26652631578947367</v>
      </c>
    </row>
    <row r="2850" spans="39:45">
      <c r="AM2850" s="54">
        <v>2019</v>
      </c>
      <c r="AN2850" s="54" t="s">
        <v>186</v>
      </c>
      <c r="AO2850" s="54">
        <v>29</v>
      </c>
      <c r="AP2850" s="54">
        <v>16</v>
      </c>
      <c r="AQ2850" s="54">
        <v>15190.5</v>
      </c>
      <c r="AR2850" s="55">
        <v>28500</v>
      </c>
      <c r="AS2850" s="78">
        <f t="shared" si="48"/>
        <v>0.53300000000000003</v>
      </c>
    </row>
    <row r="2851" spans="39:45">
      <c r="AM2851" s="55">
        <v>2019</v>
      </c>
      <c r="AN2851" s="55" t="s">
        <v>186</v>
      </c>
      <c r="AO2851" s="55">
        <v>29</v>
      </c>
      <c r="AP2851" s="55">
        <v>17</v>
      </c>
      <c r="AQ2851" s="55">
        <v>4545.5</v>
      </c>
      <c r="AR2851" s="55">
        <v>28500</v>
      </c>
      <c r="AS2851" s="78">
        <f t="shared" si="48"/>
        <v>0.15949122807017543</v>
      </c>
    </row>
    <row r="2852" spans="39:45">
      <c r="AM2852" s="54">
        <v>2019</v>
      </c>
      <c r="AN2852" s="54" t="s">
        <v>186</v>
      </c>
      <c r="AO2852" s="54">
        <v>29</v>
      </c>
      <c r="AP2852" s="54">
        <v>18</v>
      </c>
      <c r="AQ2852" s="54">
        <v>1503</v>
      </c>
      <c r="AR2852" s="55">
        <v>28500</v>
      </c>
      <c r="AS2852" s="78">
        <f t="shared" si="48"/>
        <v>5.2736842105263158E-2</v>
      </c>
    </row>
    <row r="2853" spans="39:45">
      <c r="AM2853" s="55">
        <v>2019</v>
      </c>
      <c r="AN2853" s="55" t="s">
        <v>186</v>
      </c>
      <c r="AO2853" s="55">
        <v>29</v>
      </c>
      <c r="AP2853" s="55">
        <v>19</v>
      </c>
      <c r="AQ2853" s="55">
        <v>0</v>
      </c>
      <c r="AR2853" s="55">
        <v>28500</v>
      </c>
      <c r="AS2853" s="78">
        <f t="shared" si="48"/>
        <v>0</v>
      </c>
    </row>
    <row r="2854" spans="39:45">
      <c r="AM2854" s="54">
        <v>2019</v>
      </c>
      <c r="AN2854" s="54" t="s">
        <v>186</v>
      </c>
      <c r="AO2854" s="54">
        <v>29</v>
      </c>
      <c r="AP2854" s="54">
        <v>20</v>
      </c>
      <c r="AQ2854" s="54">
        <v>0</v>
      </c>
      <c r="AR2854" s="55">
        <v>28500</v>
      </c>
      <c r="AS2854" s="78">
        <f t="shared" si="48"/>
        <v>0</v>
      </c>
    </row>
    <row r="2855" spans="39:45">
      <c r="AM2855" s="55">
        <v>2019</v>
      </c>
      <c r="AN2855" s="55" t="s">
        <v>186</v>
      </c>
      <c r="AO2855" s="55">
        <v>29</v>
      </c>
      <c r="AP2855" s="55">
        <v>21</v>
      </c>
      <c r="AQ2855" s="55">
        <v>0</v>
      </c>
      <c r="AR2855" s="55">
        <v>28500</v>
      </c>
      <c r="AS2855" s="78">
        <f t="shared" si="48"/>
        <v>0</v>
      </c>
    </row>
    <row r="2856" spans="39:45">
      <c r="AM2856" s="54">
        <v>2019</v>
      </c>
      <c r="AN2856" s="54" t="s">
        <v>186</v>
      </c>
      <c r="AO2856" s="54">
        <v>29</v>
      </c>
      <c r="AP2856" s="54">
        <v>22</v>
      </c>
      <c r="AQ2856" s="54">
        <v>0</v>
      </c>
      <c r="AR2856" s="55">
        <v>28500</v>
      </c>
      <c r="AS2856" s="78">
        <f t="shared" si="48"/>
        <v>0</v>
      </c>
    </row>
    <row r="2857" spans="39:45">
      <c r="AM2857" s="55">
        <v>2019</v>
      </c>
      <c r="AN2857" s="55" t="s">
        <v>186</v>
      </c>
      <c r="AO2857" s="55">
        <v>29</v>
      </c>
      <c r="AP2857" s="55">
        <v>23</v>
      </c>
      <c r="AQ2857" s="55">
        <v>0</v>
      </c>
      <c r="AR2857" s="55">
        <v>28500</v>
      </c>
      <c r="AS2857" s="78">
        <f t="shared" si="48"/>
        <v>0</v>
      </c>
    </row>
    <row r="2858" spans="39:45">
      <c r="AM2858" s="54">
        <v>2019</v>
      </c>
      <c r="AN2858" s="54" t="s">
        <v>186</v>
      </c>
      <c r="AO2858" s="54">
        <v>30</v>
      </c>
      <c r="AP2858" s="54">
        <v>24</v>
      </c>
      <c r="AQ2858" s="54">
        <v>0</v>
      </c>
      <c r="AR2858" s="55">
        <v>28500</v>
      </c>
      <c r="AS2858" s="78">
        <f t="shared" si="48"/>
        <v>0</v>
      </c>
    </row>
    <row r="2859" spans="39:45">
      <c r="AM2859" s="55">
        <v>2019</v>
      </c>
      <c r="AN2859" s="55" t="s">
        <v>186</v>
      </c>
      <c r="AO2859" s="55">
        <v>30</v>
      </c>
      <c r="AP2859" s="55">
        <v>1</v>
      </c>
      <c r="AQ2859" s="55">
        <v>0</v>
      </c>
      <c r="AR2859" s="55">
        <v>28500</v>
      </c>
      <c r="AS2859" s="78">
        <f t="shared" si="48"/>
        <v>0</v>
      </c>
    </row>
    <row r="2860" spans="39:45">
      <c r="AM2860" s="54">
        <v>2019</v>
      </c>
      <c r="AN2860" s="54" t="s">
        <v>186</v>
      </c>
      <c r="AO2860" s="54">
        <v>30</v>
      </c>
      <c r="AP2860" s="54">
        <v>2</v>
      </c>
      <c r="AQ2860" s="54">
        <v>0</v>
      </c>
      <c r="AR2860" s="55">
        <v>28500</v>
      </c>
      <c r="AS2860" s="78">
        <f t="shared" si="48"/>
        <v>0</v>
      </c>
    </row>
    <row r="2861" spans="39:45">
      <c r="AM2861" s="55">
        <v>2019</v>
      </c>
      <c r="AN2861" s="55" t="s">
        <v>186</v>
      </c>
      <c r="AO2861" s="55">
        <v>30</v>
      </c>
      <c r="AP2861" s="55">
        <v>3</v>
      </c>
      <c r="AQ2861" s="55">
        <v>0</v>
      </c>
      <c r="AR2861" s="55">
        <v>28500</v>
      </c>
      <c r="AS2861" s="78">
        <f t="shared" si="48"/>
        <v>0</v>
      </c>
    </row>
    <row r="2862" spans="39:45">
      <c r="AM2862" s="54">
        <v>2019</v>
      </c>
      <c r="AN2862" s="54" t="s">
        <v>186</v>
      </c>
      <c r="AO2862" s="54">
        <v>30</v>
      </c>
      <c r="AP2862" s="54">
        <v>4</v>
      </c>
      <c r="AQ2862" s="54">
        <v>0</v>
      </c>
      <c r="AR2862" s="55">
        <v>28500</v>
      </c>
      <c r="AS2862" s="78">
        <f t="shared" si="48"/>
        <v>0</v>
      </c>
    </row>
    <row r="2863" spans="39:45">
      <c r="AM2863" s="55">
        <v>2019</v>
      </c>
      <c r="AN2863" s="55" t="s">
        <v>186</v>
      </c>
      <c r="AO2863" s="55">
        <v>30</v>
      </c>
      <c r="AP2863" s="55">
        <v>5</v>
      </c>
      <c r="AQ2863" s="55">
        <v>323.5</v>
      </c>
      <c r="AR2863" s="55">
        <v>28500</v>
      </c>
      <c r="AS2863" s="78">
        <f t="shared" si="48"/>
        <v>1.1350877192982457E-2</v>
      </c>
    </row>
    <row r="2864" spans="39:45">
      <c r="AM2864" s="54">
        <v>2019</v>
      </c>
      <c r="AN2864" s="54" t="s">
        <v>186</v>
      </c>
      <c r="AO2864" s="54">
        <v>30</v>
      </c>
      <c r="AP2864" s="54">
        <v>6</v>
      </c>
      <c r="AQ2864" s="54">
        <v>3092</v>
      </c>
      <c r="AR2864" s="55">
        <v>28500</v>
      </c>
      <c r="AS2864" s="78">
        <f t="shared" si="48"/>
        <v>0.10849122807017544</v>
      </c>
    </row>
    <row r="2865" spans="39:45">
      <c r="AM2865" s="55">
        <v>2019</v>
      </c>
      <c r="AN2865" s="55" t="s">
        <v>186</v>
      </c>
      <c r="AO2865" s="55">
        <v>30</v>
      </c>
      <c r="AP2865" s="55">
        <v>7</v>
      </c>
      <c r="AQ2865" s="55">
        <v>7157</v>
      </c>
      <c r="AR2865" s="55">
        <v>28500</v>
      </c>
      <c r="AS2865" s="78">
        <f t="shared" si="48"/>
        <v>0.25112280701754386</v>
      </c>
    </row>
    <row r="2866" spans="39:45">
      <c r="AM2866" s="54">
        <v>2019</v>
      </c>
      <c r="AN2866" s="54" t="s">
        <v>186</v>
      </c>
      <c r="AO2866" s="54">
        <v>30</v>
      </c>
      <c r="AP2866" s="54">
        <v>8</v>
      </c>
      <c r="AQ2866" s="54">
        <v>10614</v>
      </c>
      <c r="AR2866" s="55">
        <v>28500</v>
      </c>
      <c r="AS2866" s="78">
        <f t="shared" si="48"/>
        <v>0.37242105263157893</v>
      </c>
    </row>
    <row r="2867" spans="39:45">
      <c r="AM2867" s="55">
        <v>2019</v>
      </c>
      <c r="AN2867" s="55" t="s">
        <v>186</v>
      </c>
      <c r="AO2867" s="55">
        <v>30</v>
      </c>
      <c r="AP2867" s="55">
        <v>9</v>
      </c>
      <c r="AQ2867" s="55">
        <v>20698.5</v>
      </c>
      <c r="AR2867" s="55">
        <v>28500</v>
      </c>
      <c r="AS2867" s="78">
        <f t="shared" si="48"/>
        <v>0.72626315789473683</v>
      </c>
    </row>
    <row r="2868" spans="39:45">
      <c r="AM2868" s="54">
        <v>2019</v>
      </c>
      <c r="AN2868" s="54" t="s">
        <v>186</v>
      </c>
      <c r="AO2868" s="54">
        <v>30</v>
      </c>
      <c r="AP2868" s="54">
        <v>10</v>
      </c>
      <c r="AQ2868" s="54">
        <v>25116.5</v>
      </c>
      <c r="AR2868" s="55">
        <v>28500</v>
      </c>
      <c r="AS2868" s="78">
        <f t="shared" si="48"/>
        <v>0.881280701754386</v>
      </c>
    </row>
    <row r="2869" spans="39:45">
      <c r="AM2869" s="55">
        <v>2019</v>
      </c>
      <c r="AN2869" s="55" t="s">
        <v>186</v>
      </c>
      <c r="AO2869" s="55">
        <v>30</v>
      </c>
      <c r="AP2869" s="55">
        <v>11</v>
      </c>
      <c r="AQ2869" s="55">
        <v>28663</v>
      </c>
      <c r="AR2869" s="55">
        <v>28500</v>
      </c>
      <c r="AS2869" s="78">
        <f t="shared" si="48"/>
        <v>1.005719298245614</v>
      </c>
    </row>
    <row r="2870" spans="39:45">
      <c r="AM2870" s="54">
        <v>2019</v>
      </c>
      <c r="AN2870" s="54" t="s">
        <v>186</v>
      </c>
      <c r="AO2870" s="54">
        <v>30</v>
      </c>
      <c r="AP2870" s="54">
        <v>12</v>
      </c>
      <c r="AQ2870" s="54">
        <v>34658</v>
      </c>
      <c r="AR2870" s="55">
        <v>28500</v>
      </c>
      <c r="AS2870" s="78">
        <f t="shared" si="48"/>
        <v>1.2160701754385965</v>
      </c>
    </row>
    <row r="2871" spans="39:45">
      <c r="AM2871" s="55">
        <v>2019</v>
      </c>
      <c r="AN2871" s="55" t="s">
        <v>186</v>
      </c>
      <c r="AO2871" s="55">
        <v>30</v>
      </c>
      <c r="AP2871" s="55">
        <v>13</v>
      </c>
      <c r="AQ2871" s="55">
        <v>31386.5</v>
      </c>
      <c r="AR2871" s="55">
        <v>28500</v>
      </c>
      <c r="AS2871" s="78">
        <f t="shared" si="48"/>
        <v>1.101280701754386</v>
      </c>
    </row>
    <row r="2872" spans="39:45">
      <c r="AM2872" s="54">
        <v>2019</v>
      </c>
      <c r="AN2872" s="54" t="s">
        <v>186</v>
      </c>
      <c r="AO2872" s="54">
        <v>30</v>
      </c>
      <c r="AP2872" s="54">
        <v>14</v>
      </c>
      <c r="AQ2872" s="54">
        <v>30018.5</v>
      </c>
      <c r="AR2872" s="55">
        <v>28500</v>
      </c>
      <c r="AS2872" s="78">
        <f t="shared" si="48"/>
        <v>1.0532807017543859</v>
      </c>
    </row>
    <row r="2873" spans="39:45">
      <c r="AM2873" s="55">
        <v>2019</v>
      </c>
      <c r="AN2873" s="55" t="s">
        <v>186</v>
      </c>
      <c r="AO2873" s="55">
        <v>30</v>
      </c>
      <c r="AP2873" s="55">
        <v>15</v>
      </c>
      <c r="AQ2873" s="55">
        <v>24225.5</v>
      </c>
      <c r="AR2873" s="55">
        <v>28500</v>
      </c>
      <c r="AS2873" s="78">
        <f t="shared" si="48"/>
        <v>0.85001754385964912</v>
      </c>
    </row>
    <row r="2874" spans="39:45">
      <c r="AM2874" s="54">
        <v>2019</v>
      </c>
      <c r="AN2874" s="54" t="s">
        <v>186</v>
      </c>
      <c r="AO2874" s="54">
        <v>30</v>
      </c>
      <c r="AP2874" s="54">
        <v>16</v>
      </c>
      <c r="AQ2874" s="54">
        <v>16669.5</v>
      </c>
      <c r="AR2874" s="55">
        <v>28500</v>
      </c>
      <c r="AS2874" s="78">
        <f t="shared" si="48"/>
        <v>0.58489473684210525</v>
      </c>
    </row>
    <row r="2875" spans="39:45">
      <c r="AM2875" s="55">
        <v>2019</v>
      </c>
      <c r="AN2875" s="55" t="s">
        <v>186</v>
      </c>
      <c r="AO2875" s="55">
        <v>30</v>
      </c>
      <c r="AP2875" s="55">
        <v>17</v>
      </c>
      <c r="AQ2875" s="55">
        <v>7512.5</v>
      </c>
      <c r="AR2875" s="55">
        <v>28500</v>
      </c>
      <c r="AS2875" s="78">
        <f t="shared" si="48"/>
        <v>0.26359649122807016</v>
      </c>
    </row>
    <row r="2876" spans="39:45">
      <c r="AM2876" s="54">
        <v>2019</v>
      </c>
      <c r="AN2876" s="54" t="s">
        <v>186</v>
      </c>
      <c r="AO2876" s="54">
        <v>30</v>
      </c>
      <c r="AP2876" s="54">
        <v>18</v>
      </c>
      <c r="AQ2876" s="54">
        <v>1394</v>
      </c>
      <c r="AR2876" s="55">
        <v>28500</v>
      </c>
      <c r="AS2876" s="78">
        <f t="shared" si="48"/>
        <v>4.8912280701754386E-2</v>
      </c>
    </row>
    <row r="2877" spans="39:45">
      <c r="AM2877" s="55">
        <v>2019</v>
      </c>
      <c r="AN2877" s="55" t="s">
        <v>186</v>
      </c>
      <c r="AO2877" s="55">
        <v>30</v>
      </c>
      <c r="AP2877" s="55">
        <v>19</v>
      </c>
      <c r="AQ2877" s="55">
        <v>0</v>
      </c>
      <c r="AR2877" s="55">
        <v>28500</v>
      </c>
      <c r="AS2877" s="78">
        <f t="shared" si="48"/>
        <v>0</v>
      </c>
    </row>
    <row r="2878" spans="39:45">
      <c r="AM2878" s="54">
        <v>2019</v>
      </c>
      <c r="AN2878" s="54" t="s">
        <v>186</v>
      </c>
      <c r="AO2878" s="54">
        <v>30</v>
      </c>
      <c r="AP2878" s="54">
        <v>20</v>
      </c>
      <c r="AQ2878" s="54">
        <v>0</v>
      </c>
      <c r="AR2878" s="55">
        <v>28500</v>
      </c>
      <c r="AS2878" s="78">
        <f t="shared" si="48"/>
        <v>0</v>
      </c>
    </row>
    <row r="2879" spans="39:45">
      <c r="AM2879" s="55">
        <v>2019</v>
      </c>
      <c r="AN2879" s="55" t="s">
        <v>186</v>
      </c>
      <c r="AO2879" s="55">
        <v>30</v>
      </c>
      <c r="AP2879" s="55">
        <v>21</v>
      </c>
      <c r="AQ2879" s="55">
        <v>0</v>
      </c>
      <c r="AR2879" s="55">
        <v>28500</v>
      </c>
      <c r="AS2879" s="78">
        <f t="shared" si="48"/>
        <v>0</v>
      </c>
    </row>
    <row r="2880" spans="39:45">
      <c r="AM2880" s="54">
        <v>2019</v>
      </c>
      <c r="AN2880" s="54" t="s">
        <v>186</v>
      </c>
      <c r="AO2880" s="54">
        <v>30</v>
      </c>
      <c r="AP2880" s="54">
        <v>22</v>
      </c>
      <c r="AQ2880" s="54">
        <v>0</v>
      </c>
      <c r="AR2880" s="55">
        <v>28500</v>
      </c>
      <c r="AS2880" s="78">
        <f t="shared" si="48"/>
        <v>0</v>
      </c>
    </row>
    <row r="2881" spans="39:45">
      <c r="AM2881" s="55">
        <v>2019</v>
      </c>
      <c r="AN2881" s="55" t="s">
        <v>186</v>
      </c>
      <c r="AO2881" s="55">
        <v>30</v>
      </c>
      <c r="AP2881" s="55">
        <v>23</v>
      </c>
      <c r="AQ2881" s="55">
        <v>0</v>
      </c>
      <c r="AR2881" s="55">
        <v>28500</v>
      </c>
      <c r="AS2881" s="78">
        <f t="shared" si="48"/>
        <v>0</v>
      </c>
    </row>
    <row r="2882" spans="39:45">
      <c r="AM2882" s="54">
        <v>2019</v>
      </c>
      <c r="AN2882" s="54" t="s">
        <v>96</v>
      </c>
      <c r="AO2882" s="54">
        <v>1</v>
      </c>
      <c r="AP2882" s="54">
        <v>24</v>
      </c>
      <c r="AQ2882" s="54">
        <v>0</v>
      </c>
      <c r="AR2882" s="55">
        <v>28500</v>
      </c>
      <c r="AS2882" s="78">
        <f t="shared" ref="AS2882:AS2945" si="49">AQ2882/AR2882</f>
        <v>0</v>
      </c>
    </row>
    <row r="2883" spans="39:45">
      <c r="AM2883" s="55">
        <v>2019</v>
      </c>
      <c r="AN2883" s="55" t="s">
        <v>96</v>
      </c>
      <c r="AO2883" s="55">
        <v>1</v>
      </c>
      <c r="AP2883" s="55">
        <v>1</v>
      </c>
      <c r="AQ2883" s="55">
        <v>0</v>
      </c>
      <c r="AR2883" s="55">
        <v>28500</v>
      </c>
      <c r="AS2883" s="78">
        <f t="shared" si="49"/>
        <v>0</v>
      </c>
    </row>
    <row r="2884" spans="39:45">
      <c r="AM2884" s="54">
        <v>2019</v>
      </c>
      <c r="AN2884" s="54" t="s">
        <v>96</v>
      </c>
      <c r="AO2884" s="54">
        <v>1</v>
      </c>
      <c r="AP2884" s="54">
        <v>2</v>
      </c>
      <c r="AQ2884" s="54">
        <v>0</v>
      </c>
      <c r="AR2884" s="55">
        <v>28500</v>
      </c>
      <c r="AS2884" s="78">
        <f t="shared" si="49"/>
        <v>0</v>
      </c>
    </row>
    <row r="2885" spans="39:45">
      <c r="AM2885" s="55">
        <v>2019</v>
      </c>
      <c r="AN2885" s="55" t="s">
        <v>96</v>
      </c>
      <c r="AO2885" s="55">
        <v>1</v>
      </c>
      <c r="AP2885" s="55">
        <v>3</v>
      </c>
      <c r="AQ2885" s="55">
        <v>0</v>
      </c>
      <c r="AR2885" s="55">
        <v>28500</v>
      </c>
      <c r="AS2885" s="78">
        <f t="shared" si="49"/>
        <v>0</v>
      </c>
    </row>
    <row r="2886" spans="39:45">
      <c r="AM2886" s="54">
        <v>2019</v>
      </c>
      <c r="AN2886" s="54" t="s">
        <v>96</v>
      </c>
      <c r="AO2886" s="54">
        <v>1</v>
      </c>
      <c r="AP2886" s="54">
        <v>4</v>
      </c>
      <c r="AQ2886" s="54">
        <v>0</v>
      </c>
      <c r="AR2886" s="55">
        <v>28500</v>
      </c>
      <c r="AS2886" s="78">
        <f t="shared" si="49"/>
        <v>0</v>
      </c>
    </row>
    <row r="2887" spans="39:45">
      <c r="AM2887" s="55">
        <v>2019</v>
      </c>
      <c r="AN2887" s="55" t="s">
        <v>96</v>
      </c>
      <c r="AO2887" s="55">
        <v>1</v>
      </c>
      <c r="AP2887" s="55">
        <v>5</v>
      </c>
      <c r="AQ2887" s="55">
        <v>0</v>
      </c>
      <c r="AR2887" s="55">
        <v>28500</v>
      </c>
      <c r="AS2887" s="78">
        <f t="shared" si="49"/>
        <v>0</v>
      </c>
    </row>
    <row r="2888" spans="39:45">
      <c r="AM2888" s="54">
        <v>2019</v>
      </c>
      <c r="AN2888" s="54" t="s">
        <v>96</v>
      </c>
      <c r="AO2888" s="54">
        <v>1</v>
      </c>
      <c r="AP2888" s="54">
        <v>6</v>
      </c>
      <c r="AQ2888" s="54">
        <v>2564.5</v>
      </c>
      <c r="AR2888" s="55">
        <v>28500</v>
      </c>
      <c r="AS2888" s="78">
        <f t="shared" si="49"/>
        <v>8.9982456140350872E-2</v>
      </c>
    </row>
    <row r="2889" spans="39:45">
      <c r="AM2889" s="55">
        <v>2019</v>
      </c>
      <c r="AN2889" s="55" t="s">
        <v>96</v>
      </c>
      <c r="AO2889" s="55">
        <v>1</v>
      </c>
      <c r="AP2889" s="55">
        <v>7</v>
      </c>
      <c r="AQ2889" s="55">
        <v>5321</v>
      </c>
      <c r="AR2889" s="55">
        <v>28500</v>
      </c>
      <c r="AS2889" s="78">
        <f t="shared" si="49"/>
        <v>0.18670175438596492</v>
      </c>
    </row>
    <row r="2890" spans="39:45">
      <c r="AM2890" s="54">
        <v>2019</v>
      </c>
      <c r="AN2890" s="54" t="s">
        <v>96</v>
      </c>
      <c r="AO2890" s="54">
        <v>1</v>
      </c>
      <c r="AP2890" s="54">
        <v>8</v>
      </c>
      <c r="AQ2890" s="54">
        <v>9357</v>
      </c>
      <c r="AR2890" s="55">
        <v>28500</v>
      </c>
      <c r="AS2890" s="78">
        <f t="shared" si="49"/>
        <v>0.32831578947368423</v>
      </c>
    </row>
    <row r="2891" spans="39:45">
      <c r="AM2891" s="55">
        <v>2019</v>
      </c>
      <c r="AN2891" s="55" t="s">
        <v>96</v>
      </c>
      <c r="AO2891" s="55">
        <v>1</v>
      </c>
      <c r="AP2891" s="55">
        <v>9</v>
      </c>
      <c r="AQ2891" s="55">
        <v>29711</v>
      </c>
      <c r="AR2891" s="55">
        <v>28500</v>
      </c>
      <c r="AS2891" s="78">
        <f t="shared" si="49"/>
        <v>1.0424912280701755</v>
      </c>
    </row>
    <row r="2892" spans="39:45">
      <c r="AM2892" s="54">
        <v>2019</v>
      </c>
      <c r="AN2892" s="54" t="s">
        <v>96</v>
      </c>
      <c r="AO2892" s="54">
        <v>1</v>
      </c>
      <c r="AP2892" s="54">
        <v>10</v>
      </c>
      <c r="AQ2892" s="54">
        <v>27312</v>
      </c>
      <c r="AR2892" s="55">
        <v>28500</v>
      </c>
      <c r="AS2892" s="78">
        <f t="shared" si="49"/>
        <v>0.95831578947368423</v>
      </c>
    </row>
    <row r="2893" spans="39:45">
      <c r="AM2893" s="55">
        <v>2019</v>
      </c>
      <c r="AN2893" s="55" t="s">
        <v>96</v>
      </c>
      <c r="AO2893" s="55">
        <v>1</v>
      </c>
      <c r="AP2893" s="55">
        <v>11</v>
      </c>
      <c r="AQ2893" s="55">
        <v>23230</v>
      </c>
      <c r="AR2893" s="55">
        <v>28500</v>
      </c>
      <c r="AS2893" s="78">
        <f t="shared" si="49"/>
        <v>0.81508771929824564</v>
      </c>
    </row>
    <row r="2894" spans="39:45">
      <c r="AM2894" s="54">
        <v>2019</v>
      </c>
      <c r="AN2894" s="54" t="s">
        <v>96</v>
      </c>
      <c r="AO2894" s="54">
        <v>1</v>
      </c>
      <c r="AP2894" s="54">
        <v>12</v>
      </c>
      <c r="AQ2894" s="54">
        <v>17209.5</v>
      </c>
      <c r="AR2894" s="55">
        <v>28500</v>
      </c>
      <c r="AS2894" s="78">
        <f t="shared" si="49"/>
        <v>0.60384210526315785</v>
      </c>
    </row>
    <row r="2895" spans="39:45">
      <c r="AM2895" s="55">
        <v>2019</v>
      </c>
      <c r="AN2895" s="55" t="s">
        <v>96</v>
      </c>
      <c r="AO2895" s="55">
        <v>1</v>
      </c>
      <c r="AP2895" s="55">
        <v>13</v>
      </c>
      <c r="AQ2895" s="55">
        <v>18090.5</v>
      </c>
      <c r="AR2895" s="55">
        <v>28500</v>
      </c>
      <c r="AS2895" s="78">
        <f t="shared" si="49"/>
        <v>0.63475438596491229</v>
      </c>
    </row>
    <row r="2896" spans="39:45">
      <c r="AM2896" s="54">
        <v>2019</v>
      </c>
      <c r="AN2896" s="54" t="s">
        <v>96</v>
      </c>
      <c r="AO2896" s="54">
        <v>1</v>
      </c>
      <c r="AP2896" s="54">
        <v>14</v>
      </c>
      <c r="AQ2896" s="54">
        <v>22626</v>
      </c>
      <c r="AR2896" s="55">
        <v>28500</v>
      </c>
      <c r="AS2896" s="78">
        <f t="shared" si="49"/>
        <v>0.79389473684210521</v>
      </c>
    </row>
    <row r="2897" spans="39:45">
      <c r="AM2897" s="55">
        <v>2019</v>
      </c>
      <c r="AN2897" s="55" t="s">
        <v>96</v>
      </c>
      <c r="AO2897" s="55">
        <v>1</v>
      </c>
      <c r="AP2897" s="55">
        <v>15</v>
      </c>
      <c r="AQ2897" s="55">
        <v>7309</v>
      </c>
      <c r="AR2897" s="55">
        <v>28500</v>
      </c>
      <c r="AS2897" s="78">
        <f t="shared" si="49"/>
        <v>0.25645614035087722</v>
      </c>
    </row>
    <row r="2898" spans="39:45">
      <c r="AM2898" s="54">
        <v>2019</v>
      </c>
      <c r="AN2898" s="54" t="s">
        <v>96</v>
      </c>
      <c r="AO2898" s="54">
        <v>1</v>
      </c>
      <c r="AP2898" s="54">
        <v>16</v>
      </c>
      <c r="AQ2898" s="54">
        <v>5521</v>
      </c>
      <c r="AR2898" s="55">
        <v>28500</v>
      </c>
      <c r="AS2898" s="78">
        <f t="shared" si="49"/>
        <v>0.19371929824561404</v>
      </c>
    </row>
    <row r="2899" spans="39:45">
      <c r="AM2899" s="55">
        <v>2019</v>
      </c>
      <c r="AN2899" s="55" t="s">
        <v>96</v>
      </c>
      <c r="AO2899" s="55">
        <v>1</v>
      </c>
      <c r="AP2899" s="55">
        <v>17</v>
      </c>
      <c r="AQ2899" s="55">
        <v>2619.5</v>
      </c>
      <c r="AR2899" s="55">
        <v>28500</v>
      </c>
      <c r="AS2899" s="78">
        <f t="shared" si="49"/>
        <v>9.191228070175439E-2</v>
      </c>
    </row>
    <row r="2900" spans="39:45">
      <c r="AM2900" s="54">
        <v>2019</v>
      </c>
      <c r="AN2900" s="54" t="s">
        <v>96</v>
      </c>
      <c r="AO2900" s="54">
        <v>1</v>
      </c>
      <c r="AP2900" s="54">
        <v>18</v>
      </c>
      <c r="AQ2900" s="54">
        <v>55</v>
      </c>
      <c r="AR2900" s="55">
        <v>28500</v>
      </c>
      <c r="AS2900" s="78">
        <f t="shared" si="49"/>
        <v>1.9298245614035089E-3</v>
      </c>
    </row>
    <row r="2901" spans="39:45">
      <c r="AM2901" s="55">
        <v>2019</v>
      </c>
      <c r="AN2901" s="55" t="s">
        <v>96</v>
      </c>
      <c r="AO2901" s="55">
        <v>1</v>
      </c>
      <c r="AP2901" s="55">
        <v>19</v>
      </c>
      <c r="AQ2901" s="55">
        <v>0</v>
      </c>
      <c r="AR2901" s="55">
        <v>28500</v>
      </c>
      <c r="AS2901" s="78">
        <f t="shared" si="49"/>
        <v>0</v>
      </c>
    </row>
    <row r="2902" spans="39:45">
      <c r="AM2902" s="54">
        <v>2019</v>
      </c>
      <c r="AN2902" s="54" t="s">
        <v>96</v>
      </c>
      <c r="AO2902" s="54">
        <v>1</v>
      </c>
      <c r="AP2902" s="54">
        <v>20</v>
      </c>
      <c r="AQ2902" s="54">
        <v>0</v>
      </c>
      <c r="AR2902" s="55">
        <v>28500</v>
      </c>
      <c r="AS2902" s="78">
        <f t="shared" si="49"/>
        <v>0</v>
      </c>
    </row>
    <row r="2903" spans="39:45">
      <c r="AM2903" s="55">
        <v>2019</v>
      </c>
      <c r="AN2903" s="55" t="s">
        <v>96</v>
      </c>
      <c r="AO2903" s="55">
        <v>1</v>
      </c>
      <c r="AP2903" s="55">
        <v>21</v>
      </c>
      <c r="AQ2903" s="55">
        <v>0</v>
      </c>
      <c r="AR2903" s="55">
        <v>28500</v>
      </c>
      <c r="AS2903" s="78">
        <f t="shared" si="49"/>
        <v>0</v>
      </c>
    </row>
    <row r="2904" spans="39:45">
      <c r="AM2904" s="54">
        <v>2019</v>
      </c>
      <c r="AN2904" s="54" t="s">
        <v>96</v>
      </c>
      <c r="AO2904" s="54">
        <v>1</v>
      </c>
      <c r="AP2904" s="54">
        <v>22</v>
      </c>
      <c r="AQ2904" s="54">
        <v>0</v>
      </c>
      <c r="AR2904" s="55">
        <v>28500</v>
      </c>
      <c r="AS2904" s="78">
        <f t="shared" si="49"/>
        <v>0</v>
      </c>
    </row>
    <row r="2905" spans="39:45">
      <c r="AM2905" s="55">
        <v>2019</v>
      </c>
      <c r="AN2905" s="55" t="s">
        <v>96</v>
      </c>
      <c r="AO2905" s="55">
        <v>1</v>
      </c>
      <c r="AP2905" s="55">
        <v>23</v>
      </c>
      <c r="AQ2905" s="55">
        <v>0</v>
      </c>
      <c r="AR2905" s="55">
        <v>28500</v>
      </c>
      <c r="AS2905" s="78">
        <f t="shared" si="49"/>
        <v>0</v>
      </c>
    </row>
    <row r="2906" spans="39:45">
      <c r="AM2906" s="54">
        <v>2019</v>
      </c>
      <c r="AN2906" s="54" t="s">
        <v>96</v>
      </c>
      <c r="AO2906" s="54">
        <v>2</v>
      </c>
      <c r="AP2906" s="54">
        <v>24</v>
      </c>
      <c r="AQ2906" s="54">
        <v>0</v>
      </c>
      <c r="AR2906" s="55">
        <v>28500</v>
      </c>
      <c r="AS2906" s="78">
        <f t="shared" si="49"/>
        <v>0</v>
      </c>
    </row>
    <row r="2907" spans="39:45">
      <c r="AM2907" s="55">
        <v>2019</v>
      </c>
      <c r="AN2907" s="55" t="s">
        <v>96</v>
      </c>
      <c r="AO2907" s="55">
        <v>2</v>
      </c>
      <c r="AP2907" s="55">
        <v>1</v>
      </c>
      <c r="AQ2907" s="55">
        <v>0</v>
      </c>
      <c r="AR2907" s="55">
        <v>28500</v>
      </c>
      <c r="AS2907" s="78">
        <f t="shared" si="49"/>
        <v>0</v>
      </c>
    </row>
    <row r="2908" spans="39:45">
      <c r="AM2908" s="54">
        <v>2019</v>
      </c>
      <c r="AN2908" s="54" t="s">
        <v>96</v>
      </c>
      <c r="AO2908" s="54">
        <v>2</v>
      </c>
      <c r="AP2908" s="54">
        <v>2</v>
      </c>
      <c r="AQ2908" s="54">
        <v>0</v>
      </c>
      <c r="AR2908" s="55">
        <v>28500</v>
      </c>
      <c r="AS2908" s="78">
        <f t="shared" si="49"/>
        <v>0</v>
      </c>
    </row>
    <row r="2909" spans="39:45">
      <c r="AM2909" s="55">
        <v>2019</v>
      </c>
      <c r="AN2909" s="55" t="s">
        <v>96</v>
      </c>
      <c r="AO2909" s="55">
        <v>2</v>
      </c>
      <c r="AP2909" s="55">
        <v>3</v>
      </c>
      <c r="AQ2909" s="55">
        <v>0</v>
      </c>
      <c r="AR2909" s="55">
        <v>28500</v>
      </c>
      <c r="AS2909" s="78">
        <f t="shared" si="49"/>
        <v>0</v>
      </c>
    </row>
    <row r="2910" spans="39:45">
      <c r="AM2910" s="54">
        <v>2019</v>
      </c>
      <c r="AN2910" s="54" t="s">
        <v>96</v>
      </c>
      <c r="AO2910" s="54">
        <v>2</v>
      </c>
      <c r="AP2910" s="54">
        <v>4</v>
      </c>
      <c r="AQ2910" s="54">
        <v>0</v>
      </c>
      <c r="AR2910" s="55">
        <v>28500</v>
      </c>
      <c r="AS2910" s="78">
        <f t="shared" si="49"/>
        <v>0</v>
      </c>
    </row>
    <row r="2911" spans="39:45">
      <c r="AM2911" s="55">
        <v>2019</v>
      </c>
      <c r="AN2911" s="55" t="s">
        <v>96</v>
      </c>
      <c r="AO2911" s="55">
        <v>2</v>
      </c>
      <c r="AP2911" s="55">
        <v>5</v>
      </c>
      <c r="AQ2911" s="55">
        <v>0</v>
      </c>
      <c r="AR2911" s="55">
        <v>28500</v>
      </c>
      <c r="AS2911" s="78">
        <f t="shared" si="49"/>
        <v>0</v>
      </c>
    </row>
    <row r="2912" spans="39:45">
      <c r="AM2912" s="54">
        <v>2019</v>
      </c>
      <c r="AN2912" s="54" t="s">
        <v>96</v>
      </c>
      <c r="AO2912" s="54">
        <v>2</v>
      </c>
      <c r="AP2912" s="54">
        <v>6</v>
      </c>
      <c r="AQ2912" s="54">
        <v>3656</v>
      </c>
      <c r="AR2912" s="55">
        <v>28500</v>
      </c>
      <c r="AS2912" s="78">
        <f t="shared" si="49"/>
        <v>0.12828070175438597</v>
      </c>
    </row>
    <row r="2913" spans="39:45">
      <c r="AM2913" s="55">
        <v>2019</v>
      </c>
      <c r="AN2913" s="55" t="s">
        <v>96</v>
      </c>
      <c r="AO2913" s="55">
        <v>2</v>
      </c>
      <c r="AP2913" s="55">
        <v>7</v>
      </c>
      <c r="AQ2913" s="55">
        <v>13172.5</v>
      </c>
      <c r="AR2913" s="55">
        <v>28500</v>
      </c>
      <c r="AS2913" s="78">
        <f t="shared" si="49"/>
        <v>0.46219298245614038</v>
      </c>
    </row>
    <row r="2914" spans="39:45">
      <c r="AM2914" s="54">
        <v>2019</v>
      </c>
      <c r="AN2914" s="54" t="s">
        <v>96</v>
      </c>
      <c r="AO2914" s="54">
        <v>2</v>
      </c>
      <c r="AP2914" s="54">
        <v>8</v>
      </c>
      <c r="AQ2914" s="54">
        <v>22429</v>
      </c>
      <c r="AR2914" s="55">
        <v>28500</v>
      </c>
      <c r="AS2914" s="78">
        <f t="shared" si="49"/>
        <v>0.78698245614035089</v>
      </c>
    </row>
    <row r="2915" spans="39:45">
      <c r="AM2915" s="55">
        <v>2019</v>
      </c>
      <c r="AN2915" s="55" t="s">
        <v>96</v>
      </c>
      <c r="AO2915" s="55">
        <v>2</v>
      </c>
      <c r="AP2915" s="55">
        <v>9</v>
      </c>
      <c r="AQ2915" s="55">
        <v>28960</v>
      </c>
      <c r="AR2915" s="55">
        <v>28500</v>
      </c>
      <c r="AS2915" s="78">
        <f t="shared" si="49"/>
        <v>1.0161403508771929</v>
      </c>
    </row>
    <row r="2916" spans="39:45">
      <c r="AM2916" s="54">
        <v>2019</v>
      </c>
      <c r="AN2916" s="54" t="s">
        <v>96</v>
      </c>
      <c r="AO2916" s="54">
        <v>2</v>
      </c>
      <c r="AP2916" s="54">
        <v>10</v>
      </c>
      <c r="AQ2916" s="54">
        <v>23091</v>
      </c>
      <c r="AR2916" s="55">
        <v>28500</v>
      </c>
      <c r="AS2916" s="78">
        <f t="shared" si="49"/>
        <v>0.81021052631578949</v>
      </c>
    </row>
    <row r="2917" spans="39:45">
      <c r="AM2917" s="55">
        <v>2019</v>
      </c>
      <c r="AN2917" s="55" t="s">
        <v>96</v>
      </c>
      <c r="AO2917" s="55">
        <v>2</v>
      </c>
      <c r="AP2917" s="55">
        <v>11</v>
      </c>
      <c r="AQ2917" s="55">
        <v>9909</v>
      </c>
      <c r="AR2917" s="55">
        <v>28500</v>
      </c>
      <c r="AS2917" s="78">
        <f t="shared" si="49"/>
        <v>0.34768421052631576</v>
      </c>
    </row>
    <row r="2918" spans="39:45">
      <c r="AM2918" s="54">
        <v>2019</v>
      </c>
      <c r="AN2918" s="54" t="s">
        <v>96</v>
      </c>
      <c r="AO2918" s="54">
        <v>2</v>
      </c>
      <c r="AP2918" s="54">
        <v>12</v>
      </c>
      <c r="AQ2918" s="54">
        <v>5866.5</v>
      </c>
      <c r="AR2918" s="55">
        <v>28500</v>
      </c>
      <c r="AS2918" s="78">
        <f t="shared" si="49"/>
        <v>0.20584210526315788</v>
      </c>
    </row>
    <row r="2919" spans="39:45">
      <c r="AM2919" s="55">
        <v>2019</v>
      </c>
      <c r="AN2919" s="55" t="s">
        <v>96</v>
      </c>
      <c r="AO2919" s="55">
        <v>2</v>
      </c>
      <c r="AP2919" s="55">
        <v>13</v>
      </c>
      <c r="AQ2919" s="55">
        <v>22898</v>
      </c>
      <c r="AR2919" s="55">
        <v>28500</v>
      </c>
      <c r="AS2919" s="78">
        <f t="shared" si="49"/>
        <v>0.80343859649122806</v>
      </c>
    </row>
    <row r="2920" spans="39:45">
      <c r="AM2920" s="54">
        <v>2019</v>
      </c>
      <c r="AN2920" s="54" t="s">
        <v>96</v>
      </c>
      <c r="AO2920" s="54">
        <v>2</v>
      </c>
      <c r="AP2920" s="54">
        <v>14</v>
      </c>
      <c r="AQ2920" s="54">
        <v>12743.5</v>
      </c>
      <c r="AR2920" s="55">
        <v>28500</v>
      </c>
      <c r="AS2920" s="78">
        <f t="shared" si="49"/>
        <v>0.447140350877193</v>
      </c>
    </row>
    <row r="2921" spans="39:45">
      <c r="AM2921" s="55">
        <v>2019</v>
      </c>
      <c r="AN2921" s="55" t="s">
        <v>96</v>
      </c>
      <c r="AO2921" s="55">
        <v>2</v>
      </c>
      <c r="AP2921" s="55">
        <v>15</v>
      </c>
      <c r="AQ2921" s="55">
        <v>4880</v>
      </c>
      <c r="AR2921" s="55">
        <v>28500</v>
      </c>
      <c r="AS2921" s="78">
        <f t="shared" si="49"/>
        <v>0.17122807017543859</v>
      </c>
    </row>
    <row r="2922" spans="39:45">
      <c r="AM2922" s="54">
        <v>2019</v>
      </c>
      <c r="AN2922" s="54" t="s">
        <v>96</v>
      </c>
      <c r="AO2922" s="54">
        <v>2</v>
      </c>
      <c r="AP2922" s="54">
        <v>16</v>
      </c>
      <c r="AQ2922" s="54">
        <v>4228</v>
      </c>
      <c r="AR2922" s="55">
        <v>28500</v>
      </c>
      <c r="AS2922" s="78">
        <f t="shared" si="49"/>
        <v>0.14835087719298246</v>
      </c>
    </row>
    <row r="2923" spans="39:45">
      <c r="AM2923" s="55">
        <v>2019</v>
      </c>
      <c r="AN2923" s="55" t="s">
        <v>96</v>
      </c>
      <c r="AO2923" s="55">
        <v>2</v>
      </c>
      <c r="AP2923" s="55">
        <v>17</v>
      </c>
      <c r="AQ2923" s="55">
        <v>1473.5</v>
      </c>
      <c r="AR2923" s="55">
        <v>28500</v>
      </c>
      <c r="AS2923" s="78">
        <f t="shared" si="49"/>
        <v>5.1701754385964915E-2</v>
      </c>
    </row>
    <row r="2924" spans="39:45">
      <c r="AM2924" s="54">
        <v>2019</v>
      </c>
      <c r="AN2924" s="54" t="s">
        <v>96</v>
      </c>
      <c r="AO2924" s="54">
        <v>2</v>
      </c>
      <c r="AP2924" s="54">
        <v>18</v>
      </c>
      <c r="AQ2924" s="54">
        <v>118.5</v>
      </c>
      <c r="AR2924" s="55">
        <v>28500</v>
      </c>
      <c r="AS2924" s="78">
        <f t="shared" si="49"/>
        <v>4.1578947368421052E-3</v>
      </c>
    </row>
    <row r="2925" spans="39:45">
      <c r="AM2925" s="55">
        <v>2019</v>
      </c>
      <c r="AN2925" s="55" t="s">
        <v>96</v>
      </c>
      <c r="AO2925" s="55">
        <v>2</v>
      </c>
      <c r="AP2925" s="55">
        <v>19</v>
      </c>
      <c r="AQ2925" s="55">
        <v>0</v>
      </c>
      <c r="AR2925" s="55">
        <v>28500</v>
      </c>
      <c r="AS2925" s="78">
        <f t="shared" si="49"/>
        <v>0</v>
      </c>
    </row>
    <row r="2926" spans="39:45">
      <c r="AM2926" s="54">
        <v>2019</v>
      </c>
      <c r="AN2926" s="54" t="s">
        <v>96</v>
      </c>
      <c r="AO2926" s="54">
        <v>2</v>
      </c>
      <c r="AP2926" s="54">
        <v>20</v>
      </c>
      <c r="AQ2926" s="54">
        <v>0</v>
      </c>
      <c r="AR2926" s="55">
        <v>28500</v>
      </c>
      <c r="AS2926" s="78">
        <f t="shared" si="49"/>
        <v>0</v>
      </c>
    </row>
    <row r="2927" spans="39:45">
      <c r="AM2927" s="55">
        <v>2019</v>
      </c>
      <c r="AN2927" s="55" t="s">
        <v>96</v>
      </c>
      <c r="AO2927" s="55">
        <v>2</v>
      </c>
      <c r="AP2927" s="55">
        <v>21</v>
      </c>
      <c r="AQ2927" s="55">
        <v>0</v>
      </c>
      <c r="AR2927" s="55">
        <v>28500</v>
      </c>
      <c r="AS2927" s="78">
        <f t="shared" si="49"/>
        <v>0</v>
      </c>
    </row>
    <row r="2928" spans="39:45">
      <c r="AM2928" s="54">
        <v>2019</v>
      </c>
      <c r="AN2928" s="54" t="s">
        <v>96</v>
      </c>
      <c r="AO2928" s="54">
        <v>2</v>
      </c>
      <c r="AP2928" s="54">
        <v>22</v>
      </c>
      <c r="AQ2928" s="54">
        <v>0</v>
      </c>
      <c r="AR2928" s="55">
        <v>28500</v>
      </c>
      <c r="AS2928" s="78">
        <f t="shared" si="49"/>
        <v>0</v>
      </c>
    </row>
    <row r="2929" spans="39:45">
      <c r="AM2929" s="55">
        <v>2019</v>
      </c>
      <c r="AN2929" s="55" t="s">
        <v>96</v>
      </c>
      <c r="AO2929" s="55">
        <v>2</v>
      </c>
      <c r="AP2929" s="55">
        <v>23</v>
      </c>
      <c r="AQ2929" s="55">
        <v>0</v>
      </c>
      <c r="AR2929" s="55">
        <v>28500</v>
      </c>
      <c r="AS2929" s="78">
        <f t="shared" si="49"/>
        <v>0</v>
      </c>
    </row>
    <row r="2930" spans="39:45">
      <c r="AM2930" s="54">
        <v>2019</v>
      </c>
      <c r="AN2930" s="54" t="s">
        <v>96</v>
      </c>
      <c r="AO2930" s="54">
        <v>3</v>
      </c>
      <c r="AP2930" s="54">
        <v>24</v>
      </c>
      <c r="AQ2930" s="54">
        <v>0</v>
      </c>
      <c r="AR2930" s="55">
        <v>28500</v>
      </c>
      <c r="AS2930" s="78">
        <f t="shared" si="49"/>
        <v>0</v>
      </c>
    </row>
    <row r="2931" spans="39:45">
      <c r="AM2931" s="55">
        <v>2019</v>
      </c>
      <c r="AN2931" s="55" t="s">
        <v>96</v>
      </c>
      <c r="AO2931" s="55">
        <v>3</v>
      </c>
      <c r="AP2931" s="55">
        <v>1</v>
      </c>
      <c r="AQ2931" s="55">
        <v>0</v>
      </c>
      <c r="AR2931" s="55">
        <v>28500</v>
      </c>
      <c r="AS2931" s="78">
        <f t="shared" si="49"/>
        <v>0</v>
      </c>
    </row>
    <row r="2932" spans="39:45">
      <c r="AM2932" s="54">
        <v>2019</v>
      </c>
      <c r="AN2932" s="54" t="s">
        <v>96</v>
      </c>
      <c r="AO2932" s="54">
        <v>3</v>
      </c>
      <c r="AP2932" s="54">
        <v>2</v>
      </c>
      <c r="AQ2932" s="54">
        <v>0</v>
      </c>
      <c r="AR2932" s="55">
        <v>28500</v>
      </c>
      <c r="AS2932" s="78">
        <f t="shared" si="49"/>
        <v>0</v>
      </c>
    </row>
    <row r="2933" spans="39:45">
      <c r="AM2933" s="55">
        <v>2019</v>
      </c>
      <c r="AN2933" s="55" t="s">
        <v>96</v>
      </c>
      <c r="AO2933" s="55">
        <v>3</v>
      </c>
      <c r="AP2933" s="55">
        <v>3</v>
      </c>
      <c r="AQ2933" s="55">
        <v>0</v>
      </c>
      <c r="AR2933" s="55">
        <v>28500</v>
      </c>
      <c r="AS2933" s="78">
        <f t="shared" si="49"/>
        <v>0</v>
      </c>
    </row>
    <row r="2934" spans="39:45">
      <c r="AM2934" s="54">
        <v>2019</v>
      </c>
      <c r="AN2934" s="54" t="s">
        <v>96</v>
      </c>
      <c r="AO2934" s="54">
        <v>3</v>
      </c>
      <c r="AP2934" s="54">
        <v>4</v>
      </c>
      <c r="AQ2934" s="54">
        <v>0</v>
      </c>
      <c r="AR2934" s="55">
        <v>28500</v>
      </c>
      <c r="AS2934" s="78">
        <f t="shared" si="49"/>
        <v>0</v>
      </c>
    </row>
    <row r="2935" spans="39:45">
      <c r="AM2935" s="55">
        <v>2019</v>
      </c>
      <c r="AN2935" s="55" t="s">
        <v>96</v>
      </c>
      <c r="AO2935" s="55">
        <v>3</v>
      </c>
      <c r="AP2935" s="55">
        <v>5</v>
      </c>
      <c r="AQ2935" s="55">
        <v>436.5</v>
      </c>
      <c r="AR2935" s="55">
        <v>28500</v>
      </c>
      <c r="AS2935" s="78">
        <f t="shared" si="49"/>
        <v>1.531578947368421E-2</v>
      </c>
    </row>
    <row r="2936" spans="39:45">
      <c r="AM2936" s="54">
        <v>2019</v>
      </c>
      <c r="AN2936" s="54" t="s">
        <v>96</v>
      </c>
      <c r="AO2936" s="54">
        <v>3</v>
      </c>
      <c r="AP2936" s="54">
        <v>6</v>
      </c>
      <c r="AQ2936" s="54">
        <v>3784</v>
      </c>
      <c r="AR2936" s="55">
        <v>28500</v>
      </c>
      <c r="AS2936" s="78">
        <f t="shared" si="49"/>
        <v>0.1327719298245614</v>
      </c>
    </row>
    <row r="2937" spans="39:45">
      <c r="AM2937" s="55">
        <v>2019</v>
      </c>
      <c r="AN2937" s="55" t="s">
        <v>96</v>
      </c>
      <c r="AO2937" s="55">
        <v>3</v>
      </c>
      <c r="AP2937" s="55">
        <v>7</v>
      </c>
      <c r="AQ2937" s="55">
        <v>5194</v>
      </c>
      <c r="AR2937" s="55">
        <v>28500</v>
      </c>
      <c r="AS2937" s="78">
        <f t="shared" si="49"/>
        <v>0.18224561403508771</v>
      </c>
    </row>
    <row r="2938" spans="39:45">
      <c r="AM2938" s="54">
        <v>2019</v>
      </c>
      <c r="AN2938" s="54" t="s">
        <v>96</v>
      </c>
      <c r="AO2938" s="54">
        <v>3</v>
      </c>
      <c r="AP2938" s="54">
        <v>8</v>
      </c>
      <c r="AQ2938" s="54">
        <v>5080</v>
      </c>
      <c r="AR2938" s="55">
        <v>28500</v>
      </c>
      <c r="AS2938" s="78">
        <f t="shared" si="49"/>
        <v>0.17824561403508771</v>
      </c>
    </row>
    <row r="2939" spans="39:45">
      <c r="AM2939" s="55">
        <v>2019</v>
      </c>
      <c r="AN2939" s="55" t="s">
        <v>96</v>
      </c>
      <c r="AO2939" s="55">
        <v>3</v>
      </c>
      <c r="AP2939" s="55">
        <v>9</v>
      </c>
      <c r="AQ2939" s="55">
        <v>6434.5</v>
      </c>
      <c r="AR2939" s="55">
        <v>28500</v>
      </c>
      <c r="AS2939" s="78">
        <f t="shared" si="49"/>
        <v>0.2257719298245614</v>
      </c>
    </row>
    <row r="2940" spans="39:45">
      <c r="AM2940" s="54">
        <v>2019</v>
      </c>
      <c r="AN2940" s="54" t="s">
        <v>96</v>
      </c>
      <c r="AO2940" s="54">
        <v>3</v>
      </c>
      <c r="AP2940" s="54">
        <v>10</v>
      </c>
      <c r="AQ2940" s="54">
        <v>5025</v>
      </c>
      <c r="AR2940" s="55">
        <v>28500</v>
      </c>
      <c r="AS2940" s="78">
        <f t="shared" si="49"/>
        <v>0.1763157894736842</v>
      </c>
    </row>
    <row r="2941" spans="39:45">
      <c r="AM2941" s="55">
        <v>2019</v>
      </c>
      <c r="AN2941" s="55" t="s">
        <v>96</v>
      </c>
      <c r="AO2941" s="55">
        <v>3</v>
      </c>
      <c r="AP2941" s="55">
        <v>11</v>
      </c>
      <c r="AQ2941" s="55">
        <v>10587.5</v>
      </c>
      <c r="AR2941" s="55">
        <v>28500</v>
      </c>
      <c r="AS2941" s="78">
        <f t="shared" si="49"/>
        <v>0.37149122807017543</v>
      </c>
    </row>
    <row r="2942" spans="39:45">
      <c r="AM2942" s="54">
        <v>2019</v>
      </c>
      <c r="AN2942" s="54" t="s">
        <v>96</v>
      </c>
      <c r="AO2942" s="54">
        <v>3</v>
      </c>
      <c r="AP2942" s="54">
        <v>12</v>
      </c>
      <c r="AQ2942" s="54">
        <v>24051</v>
      </c>
      <c r="AR2942" s="55">
        <v>28500</v>
      </c>
      <c r="AS2942" s="78">
        <f t="shared" si="49"/>
        <v>0.84389473684210525</v>
      </c>
    </row>
    <row r="2943" spans="39:45">
      <c r="AM2943" s="55">
        <v>2019</v>
      </c>
      <c r="AN2943" s="55" t="s">
        <v>96</v>
      </c>
      <c r="AO2943" s="55">
        <v>3</v>
      </c>
      <c r="AP2943" s="55">
        <v>13</v>
      </c>
      <c r="AQ2943" s="55">
        <v>18569.5</v>
      </c>
      <c r="AR2943" s="55">
        <v>28500</v>
      </c>
      <c r="AS2943" s="78">
        <f t="shared" si="49"/>
        <v>0.6515614035087719</v>
      </c>
    </row>
    <row r="2944" spans="39:45">
      <c r="AM2944" s="54">
        <v>2019</v>
      </c>
      <c r="AN2944" s="54" t="s">
        <v>96</v>
      </c>
      <c r="AO2944" s="54">
        <v>3</v>
      </c>
      <c r="AP2944" s="54">
        <v>14</v>
      </c>
      <c r="AQ2944" s="54">
        <v>13620.5</v>
      </c>
      <c r="AR2944" s="55">
        <v>28500</v>
      </c>
      <c r="AS2944" s="78">
        <f t="shared" si="49"/>
        <v>0.4779122807017544</v>
      </c>
    </row>
    <row r="2945" spans="39:45">
      <c r="AM2945" s="55">
        <v>2019</v>
      </c>
      <c r="AN2945" s="55" t="s">
        <v>96</v>
      </c>
      <c r="AO2945" s="55">
        <v>3</v>
      </c>
      <c r="AP2945" s="55">
        <v>15</v>
      </c>
      <c r="AQ2945" s="55">
        <v>7874</v>
      </c>
      <c r="AR2945" s="55">
        <v>28500</v>
      </c>
      <c r="AS2945" s="78">
        <f t="shared" si="49"/>
        <v>0.27628070175438596</v>
      </c>
    </row>
    <row r="2946" spans="39:45">
      <c r="AM2946" s="54">
        <v>2019</v>
      </c>
      <c r="AN2946" s="54" t="s">
        <v>96</v>
      </c>
      <c r="AO2946" s="54">
        <v>3</v>
      </c>
      <c r="AP2946" s="54">
        <v>16</v>
      </c>
      <c r="AQ2946" s="54">
        <v>8280</v>
      </c>
      <c r="AR2946" s="55">
        <v>28500</v>
      </c>
      <c r="AS2946" s="78">
        <f t="shared" ref="AS2946:AS3009" si="50">AQ2946/AR2946</f>
        <v>0.29052631578947369</v>
      </c>
    </row>
    <row r="2947" spans="39:45">
      <c r="AM2947" s="55">
        <v>2019</v>
      </c>
      <c r="AN2947" s="55" t="s">
        <v>96</v>
      </c>
      <c r="AO2947" s="55">
        <v>3</v>
      </c>
      <c r="AP2947" s="55">
        <v>17</v>
      </c>
      <c r="AQ2947" s="55">
        <v>4250</v>
      </c>
      <c r="AR2947" s="55">
        <v>28500</v>
      </c>
      <c r="AS2947" s="78">
        <f t="shared" si="50"/>
        <v>0.14912280701754385</v>
      </c>
    </row>
    <row r="2948" spans="39:45">
      <c r="AM2948" s="54">
        <v>2019</v>
      </c>
      <c r="AN2948" s="54" t="s">
        <v>96</v>
      </c>
      <c r="AO2948" s="54">
        <v>3</v>
      </c>
      <c r="AP2948" s="54">
        <v>18</v>
      </c>
      <c r="AQ2948" s="54">
        <v>622</v>
      </c>
      <c r="AR2948" s="55">
        <v>28500</v>
      </c>
      <c r="AS2948" s="78">
        <f t="shared" si="50"/>
        <v>2.1824561403508771E-2</v>
      </c>
    </row>
    <row r="2949" spans="39:45">
      <c r="AM2949" s="55">
        <v>2019</v>
      </c>
      <c r="AN2949" s="55" t="s">
        <v>96</v>
      </c>
      <c r="AO2949" s="55">
        <v>3</v>
      </c>
      <c r="AP2949" s="55">
        <v>19</v>
      </c>
      <c r="AQ2949" s="55">
        <v>0</v>
      </c>
      <c r="AR2949" s="55">
        <v>28500</v>
      </c>
      <c r="AS2949" s="78">
        <f t="shared" si="50"/>
        <v>0</v>
      </c>
    </row>
    <row r="2950" spans="39:45">
      <c r="AM2950" s="54">
        <v>2019</v>
      </c>
      <c r="AN2950" s="54" t="s">
        <v>96</v>
      </c>
      <c r="AO2950" s="54">
        <v>3</v>
      </c>
      <c r="AP2950" s="54">
        <v>20</v>
      </c>
      <c r="AQ2950" s="54">
        <v>0</v>
      </c>
      <c r="AR2950" s="55">
        <v>28500</v>
      </c>
      <c r="AS2950" s="78">
        <f t="shared" si="50"/>
        <v>0</v>
      </c>
    </row>
    <row r="2951" spans="39:45">
      <c r="AM2951" s="55">
        <v>2019</v>
      </c>
      <c r="AN2951" s="55" t="s">
        <v>96</v>
      </c>
      <c r="AO2951" s="55">
        <v>3</v>
      </c>
      <c r="AP2951" s="55">
        <v>21</v>
      </c>
      <c r="AQ2951" s="55">
        <v>0</v>
      </c>
      <c r="AR2951" s="55">
        <v>28500</v>
      </c>
      <c r="AS2951" s="78">
        <f t="shared" si="50"/>
        <v>0</v>
      </c>
    </row>
    <row r="2952" spans="39:45">
      <c r="AM2952" s="54">
        <v>2019</v>
      </c>
      <c r="AN2952" s="54" t="s">
        <v>96</v>
      </c>
      <c r="AO2952" s="54">
        <v>3</v>
      </c>
      <c r="AP2952" s="54">
        <v>22</v>
      </c>
      <c r="AQ2952" s="54">
        <v>0</v>
      </c>
      <c r="AR2952" s="55">
        <v>28500</v>
      </c>
      <c r="AS2952" s="78">
        <f t="shared" si="50"/>
        <v>0</v>
      </c>
    </row>
    <row r="2953" spans="39:45">
      <c r="AM2953" s="55">
        <v>2019</v>
      </c>
      <c r="AN2953" s="55" t="s">
        <v>96</v>
      </c>
      <c r="AO2953" s="55">
        <v>3</v>
      </c>
      <c r="AP2953" s="55">
        <v>23</v>
      </c>
      <c r="AQ2953" s="55">
        <v>0</v>
      </c>
      <c r="AR2953" s="55">
        <v>28500</v>
      </c>
      <c r="AS2953" s="78">
        <f t="shared" si="50"/>
        <v>0</v>
      </c>
    </row>
    <row r="2954" spans="39:45">
      <c r="AM2954" s="54">
        <v>2019</v>
      </c>
      <c r="AN2954" s="54" t="s">
        <v>96</v>
      </c>
      <c r="AO2954" s="54">
        <v>4</v>
      </c>
      <c r="AP2954" s="54">
        <v>24</v>
      </c>
      <c r="AQ2954" s="54">
        <v>0</v>
      </c>
      <c r="AR2954" s="55">
        <v>28500</v>
      </c>
      <c r="AS2954" s="78">
        <f t="shared" si="50"/>
        <v>0</v>
      </c>
    </row>
    <row r="2955" spans="39:45">
      <c r="AM2955" s="55">
        <v>2019</v>
      </c>
      <c r="AN2955" s="55" t="s">
        <v>96</v>
      </c>
      <c r="AO2955" s="55">
        <v>4</v>
      </c>
      <c r="AP2955" s="55">
        <v>1</v>
      </c>
      <c r="AQ2955" s="55">
        <v>0</v>
      </c>
      <c r="AR2955" s="55">
        <v>28500</v>
      </c>
      <c r="AS2955" s="78">
        <f t="shared" si="50"/>
        <v>0</v>
      </c>
    </row>
    <row r="2956" spans="39:45">
      <c r="AM2956" s="54">
        <v>2019</v>
      </c>
      <c r="AN2956" s="54" t="s">
        <v>96</v>
      </c>
      <c r="AO2956" s="54">
        <v>4</v>
      </c>
      <c r="AP2956" s="54">
        <v>2</v>
      </c>
      <c r="AQ2956" s="54">
        <v>0</v>
      </c>
      <c r="AR2956" s="55">
        <v>28500</v>
      </c>
      <c r="AS2956" s="78">
        <f t="shared" si="50"/>
        <v>0</v>
      </c>
    </row>
    <row r="2957" spans="39:45">
      <c r="AM2957" s="55">
        <v>2019</v>
      </c>
      <c r="AN2957" s="55" t="s">
        <v>96</v>
      </c>
      <c r="AO2957" s="55">
        <v>4</v>
      </c>
      <c r="AP2957" s="55">
        <v>3</v>
      </c>
      <c r="AQ2957" s="55">
        <v>0</v>
      </c>
      <c r="AR2957" s="55">
        <v>28500</v>
      </c>
      <c r="AS2957" s="78">
        <f t="shared" si="50"/>
        <v>0</v>
      </c>
    </row>
    <row r="2958" spans="39:45">
      <c r="AM2958" s="54">
        <v>2019</v>
      </c>
      <c r="AN2958" s="54" t="s">
        <v>96</v>
      </c>
      <c r="AO2958" s="54">
        <v>4</v>
      </c>
      <c r="AP2958" s="54">
        <v>4</v>
      </c>
      <c r="AQ2958" s="54">
        <v>0</v>
      </c>
      <c r="AR2958" s="55">
        <v>28500</v>
      </c>
      <c r="AS2958" s="78">
        <f t="shared" si="50"/>
        <v>0</v>
      </c>
    </row>
    <row r="2959" spans="39:45">
      <c r="AM2959" s="55">
        <v>2019</v>
      </c>
      <c r="AN2959" s="55" t="s">
        <v>96</v>
      </c>
      <c r="AO2959" s="55">
        <v>4</v>
      </c>
      <c r="AP2959" s="55">
        <v>5</v>
      </c>
      <c r="AQ2959" s="55">
        <v>382</v>
      </c>
      <c r="AR2959" s="55">
        <v>28500</v>
      </c>
      <c r="AS2959" s="78">
        <f t="shared" si="50"/>
        <v>1.3403508771929825E-2</v>
      </c>
    </row>
    <row r="2960" spans="39:45">
      <c r="AM2960" s="54">
        <v>2019</v>
      </c>
      <c r="AN2960" s="54" t="s">
        <v>96</v>
      </c>
      <c r="AO2960" s="54">
        <v>4</v>
      </c>
      <c r="AP2960" s="54">
        <v>6</v>
      </c>
      <c r="AQ2960" s="54">
        <v>3776</v>
      </c>
      <c r="AR2960" s="55">
        <v>28500</v>
      </c>
      <c r="AS2960" s="78">
        <f t="shared" si="50"/>
        <v>0.13249122807017544</v>
      </c>
    </row>
    <row r="2961" spans="39:45">
      <c r="AM2961" s="55">
        <v>2019</v>
      </c>
      <c r="AN2961" s="55" t="s">
        <v>96</v>
      </c>
      <c r="AO2961" s="55">
        <v>4</v>
      </c>
      <c r="AP2961" s="55">
        <v>7</v>
      </c>
      <c r="AQ2961" s="55">
        <v>14560</v>
      </c>
      <c r="AR2961" s="55">
        <v>28500</v>
      </c>
      <c r="AS2961" s="78">
        <f t="shared" si="50"/>
        <v>0.51087719298245615</v>
      </c>
    </row>
    <row r="2962" spans="39:45">
      <c r="AM2962" s="54">
        <v>2019</v>
      </c>
      <c r="AN2962" s="54" t="s">
        <v>96</v>
      </c>
      <c r="AO2962" s="54">
        <v>4</v>
      </c>
      <c r="AP2962" s="54">
        <v>8</v>
      </c>
      <c r="AQ2962" s="54">
        <v>22891</v>
      </c>
      <c r="AR2962" s="55">
        <v>28500</v>
      </c>
      <c r="AS2962" s="78">
        <f t="shared" si="50"/>
        <v>0.80319298245614035</v>
      </c>
    </row>
    <row r="2963" spans="39:45">
      <c r="AM2963" s="55">
        <v>2019</v>
      </c>
      <c r="AN2963" s="55" t="s">
        <v>96</v>
      </c>
      <c r="AO2963" s="55">
        <v>4</v>
      </c>
      <c r="AP2963" s="55">
        <v>9</v>
      </c>
      <c r="AQ2963" s="55">
        <v>26519</v>
      </c>
      <c r="AR2963" s="55">
        <v>28500</v>
      </c>
      <c r="AS2963" s="78">
        <f t="shared" si="50"/>
        <v>0.93049122807017548</v>
      </c>
    </row>
    <row r="2964" spans="39:45">
      <c r="AM2964" s="54">
        <v>2019</v>
      </c>
      <c r="AN2964" s="54" t="s">
        <v>96</v>
      </c>
      <c r="AO2964" s="54">
        <v>4</v>
      </c>
      <c r="AP2964" s="54">
        <v>10</v>
      </c>
      <c r="AQ2964" s="54">
        <v>35592.5</v>
      </c>
      <c r="AR2964" s="55">
        <v>28500</v>
      </c>
      <c r="AS2964" s="78">
        <f t="shared" si="50"/>
        <v>1.248859649122807</v>
      </c>
    </row>
    <row r="2965" spans="39:45">
      <c r="AM2965" s="55">
        <v>2019</v>
      </c>
      <c r="AN2965" s="55" t="s">
        <v>96</v>
      </c>
      <c r="AO2965" s="55">
        <v>4</v>
      </c>
      <c r="AP2965" s="55">
        <v>11</v>
      </c>
      <c r="AQ2965" s="55">
        <v>35364.5</v>
      </c>
      <c r="AR2965" s="55">
        <v>28500</v>
      </c>
      <c r="AS2965" s="78">
        <f t="shared" si="50"/>
        <v>1.240859649122807</v>
      </c>
    </row>
    <row r="2966" spans="39:45">
      <c r="AM2966" s="54">
        <v>2019</v>
      </c>
      <c r="AN2966" s="54" t="s">
        <v>96</v>
      </c>
      <c r="AO2966" s="54">
        <v>4</v>
      </c>
      <c r="AP2966" s="54">
        <v>12</v>
      </c>
      <c r="AQ2966" s="54">
        <v>18985</v>
      </c>
      <c r="AR2966" s="55">
        <v>28500</v>
      </c>
      <c r="AS2966" s="78">
        <f t="shared" si="50"/>
        <v>0.66614035087719303</v>
      </c>
    </row>
    <row r="2967" spans="39:45">
      <c r="AM2967" s="55">
        <v>2019</v>
      </c>
      <c r="AN2967" s="55" t="s">
        <v>96</v>
      </c>
      <c r="AO2967" s="55">
        <v>4</v>
      </c>
      <c r="AP2967" s="55">
        <v>13</v>
      </c>
      <c r="AQ2967" s="55">
        <v>35803.5</v>
      </c>
      <c r="AR2967" s="55">
        <v>28500</v>
      </c>
      <c r="AS2967" s="78">
        <f t="shared" si="50"/>
        <v>1.2562631578947367</v>
      </c>
    </row>
    <row r="2968" spans="39:45">
      <c r="AM2968" s="54">
        <v>2019</v>
      </c>
      <c r="AN2968" s="54" t="s">
        <v>96</v>
      </c>
      <c r="AO2968" s="54">
        <v>4</v>
      </c>
      <c r="AP2968" s="54">
        <v>14</v>
      </c>
      <c r="AQ2968" s="54">
        <v>29458</v>
      </c>
      <c r="AR2968" s="55">
        <v>28500</v>
      </c>
      <c r="AS2968" s="78">
        <f t="shared" si="50"/>
        <v>1.0336140350877192</v>
      </c>
    </row>
    <row r="2969" spans="39:45">
      <c r="AM2969" s="55">
        <v>2019</v>
      </c>
      <c r="AN2969" s="55" t="s">
        <v>96</v>
      </c>
      <c r="AO2969" s="55">
        <v>4</v>
      </c>
      <c r="AP2969" s="55">
        <v>15</v>
      </c>
      <c r="AQ2969" s="55">
        <v>14534.5</v>
      </c>
      <c r="AR2969" s="55">
        <v>28500</v>
      </c>
      <c r="AS2969" s="78">
        <f t="shared" si="50"/>
        <v>0.50998245614035087</v>
      </c>
    </row>
    <row r="2970" spans="39:45">
      <c r="AM2970" s="54">
        <v>2019</v>
      </c>
      <c r="AN2970" s="54" t="s">
        <v>96</v>
      </c>
      <c r="AO2970" s="54">
        <v>4</v>
      </c>
      <c r="AP2970" s="54">
        <v>16</v>
      </c>
      <c r="AQ2970" s="54">
        <v>18938</v>
      </c>
      <c r="AR2970" s="55">
        <v>28500</v>
      </c>
      <c r="AS2970" s="78">
        <f t="shared" si="50"/>
        <v>0.66449122807017547</v>
      </c>
    </row>
    <row r="2971" spans="39:45">
      <c r="AM2971" s="55">
        <v>2019</v>
      </c>
      <c r="AN2971" s="55" t="s">
        <v>96</v>
      </c>
      <c r="AO2971" s="55">
        <v>4</v>
      </c>
      <c r="AP2971" s="55">
        <v>17</v>
      </c>
      <c r="AQ2971" s="55">
        <v>6967</v>
      </c>
      <c r="AR2971" s="55">
        <v>28500</v>
      </c>
      <c r="AS2971" s="78">
        <f t="shared" si="50"/>
        <v>0.2444561403508772</v>
      </c>
    </row>
    <row r="2972" spans="39:45">
      <c r="AM2972" s="54">
        <v>2019</v>
      </c>
      <c r="AN2972" s="54" t="s">
        <v>96</v>
      </c>
      <c r="AO2972" s="54">
        <v>4</v>
      </c>
      <c r="AP2972" s="54">
        <v>18</v>
      </c>
      <c r="AQ2972" s="54">
        <v>1370.5</v>
      </c>
      <c r="AR2972" s="55">
        <v>28500</v>
      </c>
      <c r="AS2972" s="78">
        <f t="shared" si="50"/>
        <v>4.8087719298245617E-2</v>
      </c>
    </row>
    <row r="2973" spans="39:45">
      <c r="AM2973" s="55">
        <v>2019</v>
      </c>
      <c r="AN2973" s="55" t="s">
        <v>96</v>
      </c>
      <c r="AO2973" s="55">
        <v>4</v>
      </c>
      <c r="AP2973" s="55">
        <v>19</v>
      </c>
      <c r="AQ2973" s="55">
        <v>0</v>
      </c>
      <c r="AR2973" s="55">
        <v>28500</v>
      </c>
      <c r="AS2973" s="78">
        <f t="shared" si="50"/>
        <v>0</v>
      </c>
    </row>
    <row r="2974" spans="39:45">
      <c r="AM2974" s="54">
        <v>2019</v>
      </c>
      <c r="AN2974" s="54" t="s">
        <v>96</v>
      </c>
      <c r="AO2974" s="54">
        <v>4</v>
      </c>
      <c r="AP2974" s="54">
        <v>20</v>
      </c>
      <c r="AQ2974" s="54">
        <v>0</v>
      </c>
      <c r="AR2974" s="55">
        <v>28500</v>
      </c>
      <c r="AS2974" s="78">
        <f t="shared" si="50"/>
        <v>0</v>
      </c>
    </row>
    <row r="2975" spans="39:45">
      <c r="AM2975" s="55">
        <v>2019</v>
      </c>
      <c r="AN2975" s="55" t="s">
        <v>96</v>
      </c>
      <c r="AO2975" s="55">
        <v>4</v>
      </c>
      <c r="AP2975" s="55">
        <v>21</v>
      </c>
      <c r="AQ2975" s="55">
        <v>0</v>
      </c>
      <c r="AR2975" s="55">
        <v>28500</v>
      </c>
      <c r="AS2975" s="78">
        <f t="shared" si="50"/>
        <v>0</v>
      </c>
    </row>
    <row r="2976" spans="39:45">
      <c r="AM2976" s="54">
        <v>2019</v>
      </c>
      <c r="AN2976" s="54" t="s">
        <v>96</v>
      </c>
      <c r="AO2976" s="54">
        <v>4</v>
      </c>
      <c r="AP2976" s="54">
        <v>22</v>
      </c>
      <c r="AQ2976" s="54">
        <v>0</v>
      </c>
      <c r="AR2976" s="55">
        <v>28500</v>
      </c>
      <c r="AS2976" s="78">
        <f t="shared" si="50"/>
        <v>0</v>
      </c>
    </row>
    <row r="2977" spans="39:45">
      <c r="AM2977" s="55">
        <v>2019</v>
      </c>
      <c r="AN2977" s="55" t="s">
        <v>96</v>
      </c>
      <c r="AO2977" s="55">
        <v>4</v>
      </c>
      <c r="AP2977" s="55">
        <v>23</v>
      </c>
      <c r="AQ2977" s="55">
        <v>0</v>
      </c>
      <c r="AR2977" s="55">
        <v>28500</v>
      </c>
      <c r="AS2977" s="78">
        <f t="shared" si="50"/>
        <v>0</v>
      </c>
    </row>
    <row r="2978" spans="39:45">
      <c r="AM2978" s="54">
        <v>2019</v>
      </c>
      <c r="AN2978" s="54" t="s">
        <v>96</v>
      </c>
      <c r="AO2978" s="54">
        <v>5</v>
      </c>
      <c r="AP2978" s="54">
        <v>24</v>
      </c>
      <c r="AQ2978" s="54">
        <v>0</v>
      </c>
      <c r="AR2978" s="55">
        <v>28500</v>
      </c>
      <c r="AS2978" s="78">
        <f t="shared" si="50"/>
        <v>0</v>
      </c>
    </row>
    <row r="2979" spans="39:45">
      <c r="AM2979" s="55">
        <v>2019</v>
      </c>
      <c r="AN2979" s="55" t="s">
        <v>96</v>
      </c>
      <c r="AO2979" s="55">
        <v>5</v>
      </c>
      <c r="AP2979" s="55">
        <v>1</v>
      </c>
      <c r="AQ2979" s="55">
        <v>0</v>
      </c>
      <c r="AR2979" s="55">
        <v>28500</v>
      </c>
      <c r="AS2979" s="78">
        <f t="shared" si="50"/>
        <v>0</v>
      </c>
    </row>
    <row r="2980" spans="39:45">
      <c r="AM2980" s="54">
        <v>2019</v>
      </c>
      <c r="AN2980" s="54" t="s">
        <v>96</v>
      </c>
      <c r="AO2980" s="54">
        <v>5</v>
      </c>
      <c r="AP2980" s="54">
        <v>2</v>
      </c>
      <c r="AQ2980" s="54">
        <v>0</v>
      </c>
      <c r="AR2980" s="55">
        <v>28500</v>
      </c>
      <c r="AS2980" s="78">
        <f t="shared" si="50"/>
        <v>0</v>
      </c>
    </row>
    <row r="2981" spans="39:45">
      <c r="AM2981" s="55">
        <v>2019</v>
      </c>
      <c r="AN2981" s="55" t="s">
        <v>96</v>
      </c>
      <c r="AO2981" s="55">
        <v>5</v>
      </c>
      <c r="AP2981" s="55">
        <v>3</v>
      </c>
      <c r="AQ2981" s="55">
        <v>0</v>
      </c>
      <c r="AR2981" s="55">
        <v>28500</v>
      </c>
      <c r="AS2981" s="78">
        <f t="shared" si="50"/>
        <v>0</v>
      </c>
    </row>
    <row r="2982" spans="39:45">
      <c r="AM2982" s="54">
        <v>2019</v>
      </c>
      <c r="AN2982" s="54" t="s">
        <v>96</v>
      </c>
      <c r="AO2982" s="54">
        <v>5</v>
      </c>
      <c r="AP2982" s="54">
        <v>4</v>
      </c>
      <c r="AQ2982" s="54">
        <v>0</v>
      </c>
      <c r="AR2982" s="55">
        <v>28500</v>
      </c>
      <c r="AS2982" s="78">
        <f t="shared" si="50"/>
        <v>0</v>
      </c>
    </row>
    <row r="2983" spans="39:45">
      <c r="AM2983" s="55">
        <v>2019</v>
      </c>
      <c r="AN2983" s="55" t="s">
        <v>96</v>
      </c>
      <c r="AO2983" s="55">
        <v>5</v>
      </c>
      <c r="AP2983" s="55">
        <v>5</v>
      </c>
      <c r="AQ2983" s="55">
        <v>620.5</v>
      </c>
      <c r="AR2983" s="55">
        <v>28500</v>
      </c>
      <c r="AS2983" s="78">
        <f t="shared" si="50"/>
        <v>2.1771929824561404E-2</v>
      </c>
    </row>
    <row r="2984" spans="39:45">
      <c r="AM2984" s="54">
        <v>2019</v>
      </c>
      <c r="AN2984" s="54" t="s">
        <v>96</v>
      </c>
      <c r="AO2984" s="54">
        <v>5</v>
      </c>
      <c r="AP2984" s="54">
        <v>6</v>
      </c>
      <c r="AQ2984" s="54">
        <v>3514.5</v>
      </c>
      <c r="AR2984" s="55">
        <v>28500</v>
      </c>
      <c r="AS2984" s="78">
        <f t="shared" si="50"/>
        <v>0.12331578947368421</v>
      </c>
    </row>
    <row r="2985" spans="39:45">
      <c r="AM2985" s="55">
        <v>2019</v>
      </c>
      <c r="AN2985" s="55" t="s">
        <v>96</v>
      </c>
      <c r="AO2985" s="55">
        <v>5</v>
      </c>
      <c r="AP2985" s="55">
        <v>7</v>
      </c>
      <c r="AQ2985" s="55">
        <v>14556.5</v>
      </c>
      <c r="AR2985" s="55">
        <v>28500</v>
      </c>
      <c r="AS2985" s="78">
        <f t="shared" si="50"/>
        <v>0.51075438596491229</v>
      </c>
    </row>
    <row r="2986" spans="39:45">
      <c r="AM2986" s="54">
        <v>2019</v>
      </c>
      <c r="AN2986" s="54" t="s">
        <v>96</v>
      </c>
      <c r="AO2986" s="54">
        <v>5</v>
      </c>
      <c r="AP2986" s="54">
        <v>8</v>
      </c>
      <c r="AQ2986" s="54">
        <v>25326</v>
      </c>
      <c r="AR2986" s="55">
        <v>28500</v>
      </c>
      <c r="AS2986" s="78">
        <f t="shared" si="50"/>
        <v>0.88863157894736844</v>
      </c>
    </row>
    <row r="2987" spans="39:45">
      <c r="AM2987" s="55">
        <v>2019</v>
      </c>
      <c r="AN2987" s="55" t="s">
        <v>96</v>
      </c>
      <c r="AO2987" s="55">
        <v>5</v>
      </c>
      <c r="AP2987" s="55">
        <v>9</v>
      </c>
      <c r="AQ2987" s="55">
        <v>24840.5</v>
      </c>
      <c r="AR2987" s="55">
        <v>28500</v>
      </c>
      <c r="AS2987" s="78">
        <f t="shared" si="50"/>
        <v>0.87159649122807015</v>
      </c>
    </row>
    <row r="2988" spans="39:45">
      <c r="AM2988" s="54">
        <v>2019</v>
      </c>
      <c r="AN2988" s="54" t="s">
        <v>96</v>
      </c>
      <c r="AO2988" s="54">
        <v>5</v>
      </c>
      <c r="AP2988" s="54">
        <v>10</v>
      </c>
      <c r="AQ2988" s="54">
        <v>21896</v>
      </c>
      <c r="AR2988" s="55">
        <v>28500</v>
      </c>
      <c r="AS2988" s="78">
        <f t="shared" si="50"/>
        <v>0.76828070175438601</v>
      </c>
    </row>
    <row r="2989" spans="39:45">
      <c r="AM2989" s="55">
        <v>2019</v>
      </c>
      <c r="AN2989" s="55" t="s">
        <v>96</v>
      </c>
      <c r="AO2989" s="55">
        <v>5</v>
      </c>
      <c r="AP2989" s="55">
        <v>11</v>
      </c>
      <c r="AQ2989" s="55">
        <v>14200</v>
      </c>
      <c r="AR2989" s="55">
        <v>28500</v>
      </c>
      <c r="AS2989" s="78">
        <f t="shared" si="50"/>
        <v>0.49824561403508771</v>
      </c>
    </row>
    <row r="2990" spans="39:45">
      <c r="AM2990" s="54">
        <v>2019</v>
      </c>
      <c r="AN2990" s="54" t="s">
        <v>96</v>
      </c>
      <c r="AO2990" s="54">
        <v>5</v>
      </c>
      <c r="AP2990" s="54">
        <v>12</v>
      </c>
      <c r="AQ2990" s="54">
        <v>17883.5</v>
      </c>
      <c r="AR2990" s="55">
        <v>28500</v>
      </c>
      <c r="AS2990" s="78">
        <f t="shared" si="50"/>
        <v>0.62749122807017543</v>
      </c>
    </row>
    <row r="2991" spans="39:45">
      <c r="AM2991" s="55">
        <v>2019</v>
      </c>
      <c r="AN2991" s="55" t="s">
        <v>96</v>
      </c>
      <c r="AO2991" s="55">
        <v>5</v>
      </c>
      <c r="AP2991" s="55">
        <v>13</v>
      </c>
      <c r="AQ2991" s="55">
        <v>13452</v>
      </c>
      <c r="AR2991" s="55">
        <v>28500</v>
      </c>
      <c r="AS2991" s="78">
        <f t="shared" si="50"/>
        <v>0.47199999999999998</v>
      </c>
    </row>
    <row r="2992" spans="39:45">
      <c r="AM2992" s="54">
        <v>2019</v>
      </c>
      <c r="AN2992" s="54" t="s">
        <v>96</v>
      </c>
      <c r="AO2992" s="54">
        <v>5</v>
      </c>
      <c r="AP2992" s="54">
        <v>14</v>
      </c>
      <c r="AQ2992" s="54">
        <v>7215</v>
      </c>
      <c r="AR2992" s="55">
        <v>28500</v>
      </c>
      <c r="AS2992" s="78">
        <f t="shared" si="50"/>
        <v>0.25315789473684208</v>
      </c>
    </row>
    <row r="2993" spans="39:45">
      <c r="AM2993" s="55">
        <v>2019</v>
      </c>
      <c r="AN2993" s="55" t="s">
        <v>96</v>
      </c>
      <c r="AO2993" s="55">
        <v>5</v>
      </c>
      <c r="AP2993" s="55">
        <v>15</v>
      </c>
      <c r="AQ2993" s="55">
        <v>13435.5</v>
      </c>
      <c r="AR2993" s="55">
        <v>28500</v>
      </c>
      <c r="AS2993" s="78">
        <f t="shared" si="50"/>
        <v>0.47142105263157896</v>
      </c>
    </row>
    <row r="2994" spans="39:45">
      <c r="AM2994" s="54">
        <v>2019</v>
      </c>
      <c r="AN2994" s="54" t="s">
        <v>96</v>
      </c>
      <c r="AO2994" s="54">
        <v>5</v>
      </c>
      <c r="AP2994" s="54">
        <v>16</v>
      </c>
      <c r="AQ2994" s="54">
        <v>13129.5</v>
      </c>
      <c r="AR2994" s="55">
        <v>28500</v>
      </c>
      <c r="AS2994" s="78">
        <f t="shared" si="50"/>
        <v>0.46068421052631581</v>
      </c>
    </row>
    <row r="2995" spans="39:45">
      <c r="AM2995" s="55">
        <v>2019</v>
      </c>
      <c r="AN2995" s="55" t="s">
        <v>96</v>
      </c>
      <c r="AO2995" s="55">
        <v>5</v>
      </c>
      <c r="AP2995" s="55">
        <v>17</v>
      </c>
      <c r="AQ2995" s="55">
        <v>8168</v>
      </c>
      <c r="AR2995" s="55">
        <v>28500</v>
      </c>
      <c r="AS2995" s="78">
        <f t="shared" si="50"/>
        <v>0.28659649122807018</v>
      </c>
    </row>
    <row r="2996" spans="39:45">
      <c r="AM2996" s="54">
        <v>2019</v>
      </c>
      <c r="AN2996" s="54" t="s">
        <v>96</v>
      </c>
      <c r="AO2996" s="54">
        <v>5</v>
      </c>
      <c r="AP2996" s="54">
        <v>18</v>
      </c>
      <c r="AQ2996" s="54">
        <v>1415.5</v>
      </c>
      <c r="AR2996" s="55">
        <v>28500</v>
      </c>
      <c r="AS2996" s="78">
        <f t="shared" si="50"/>
        <v>4.9666666666666665E-2</v>
      </c>
    </row>
    <row r="2997" spans="39:45">
      <c r="AM2997" s="55">
        <v>2019</v>
      </c>
      <c r="AN2997" s="55" t="s">
        <v>96</v>
      </c>
      <c r="AO2997" s="55">
        <v>5</v>
      </c>
      <c r="AP2997" s="55">
        <v>19</v>
      </c>
      <c r="AQ2997" s="55">
        <v>0</v>
      </c>
      <c r="AR2997" s="55">
        <v>28500</v>
      </c>
      <c r="AS2997" s="78">
        <f t="shared" si="50"/>
        <v>0</v>
      </c>
    </row>
    <row r="2998" spans="39:45">
      <c r="AM2998" s="54">
        <v>2019</v>
      </c>
      <c r="AN2998" s="54" t="s">
        <v>96</v>
      </c>
      <c r="AO2998" s="54">
        <v>5</v>
      </c>
      <c r="AP2998" s="54">
        <v>20</v>
      </c>
      <c r="AQ2998" s="54">
        <v>0</v>
      </c>
      <c r="AR2998" s="55">
        <v>28500</v>
      </c>
      <c r="AS2998" s="78">
        <f t="shared" si="50"/>
        <v>0</v>
      </c>
    </row>
    <row r="2999" spans="39:45">
      <c r="AM2999" s="55">
        <v>2019</v>
      </c>
      <c r="AN2999" s="55" t="s">
        <v>96</v>
      </c>
      <c r="AO2999" s="55">
        <v>5</v>
      </c>
      <c r="AP2999" s="55">
        <v>21</v>
      </c>
      <c r="AQ2999" s="55">
        <v>0</v>
      </c>
      <c r="AR2999" s="55">
        <v>28500</v>
      </c>
      <c r="AS2999" s="78">
        <f t="shared" si="50"/>
        <v>0</v>
      </c>
    </row>
    <row r="3000" spans="39:45">
      <c r="AM3000" s="54">
        <v>2019</v>
      </c>
      <c r="AN3000" s="54" t="s">
        <v>96</v>
      </c>
      <c r="AO3000" s="54">
        <v>5</v>
      </c>
      <c r="AP3000" s="54">
        <v>22</v>
      </c>
      <c r="AQ3000" s="54">
        <v>0</v>
      </c>
      <c r="AR3000" s="55">
        <v>28500</v>
      </c>
      <c r="AS3000" s="78">
        <f t="shared" si="50"/>
        <v>0</v>
      </c>
    </row>
    <row r="3001" spans="39:45">
      <c r="AM3001" s="55">
        <v>2019</v>
      </c>
      <c r="AN3001" s="55" t="s">
        <v>96</v>
      </c>
      <c r="AO3001" s="55">
        <v>5</v>
      </c>
      <c r="AP3001" s="55">
        <v>23</v>
      </c>
      <c r="AQ3001" s="55">
        <v>0</v>
      </c>
      <c r="AR3001" s="55">
        <v>28500</v>
      </c>
      <c r="AS3001" s="78">
        <f t="shared" si="50"/>
        <v>0</v>
      </c>
    </row>
    <row r="3002" spans="39:45">
      <c r="AM3002" s="54">
        <v>2019</v>
      </c>
      <c r="AN3002" s="54" t="s">
        <v>96</v>
      </c>
      <c r="AO3002" s="54">
        <v>6</v>
      </c>
      <c r="AP3002" s="54">
        <v>24</v>
      </c>
      <c r="AQ3002" s="54">
        <v>0</v>
      </c>
      <c r="AR3002" s="55">
        <v>28500</v>
      </c>
      <c r="AS3002" s="78">
        <f t="shared" si="50"/>
        <v>0</v>
      </c>
    </row>
    <row r="3003" spans="39:45">
      <c r="AM3003" s="55">
        <v>2019</v>
      </c>
      <c r="AN3003" s="55" t="s">
        <v>96</v>
      </c>
      <c r="AO3003" s="55">
        <v>6</v>
      </c>
      <c r="AP3003" s="55">
        <v>1</v>
      </c>
      <c r="AQ3003" s="55">
        <v>0</v>
      </c>
      <c r="AR3003" s="55">
        <v>28500</v>
      </c>
      <c r="AS3003" s="78">
        <f t="shared" si="50"/>
        <v>0</v>
      </c>
    </row>
    <row r="3004" spans="39:45">
      <c r="AM3004" s="54">
        <v>2019</v>
      </c>
      <c r="AN3004" s="54" t="s">
        <v>96</v>
      </c>
      <c r="AO3004" s="54">
        <v>6</v>
      </c>
      <c r="AP3004" s="54">
        <v>2</v>
      </c>
      <c r="AQ3004" s="54">
        <v>0</v>
      </c>
      <c r="AR3004" s="55">
        <v>28500</v>
      </c>
      <c r="AS3004" s="78">
        <f t="shared" si="50"/>
        <v>0</v>
      </c>
    </row>
    <row r="3005" spans="39:45">
      <c r="AM3005" s="55">
        <v>2019</v>
      </c>
      <c r="AN3005" s="55" t="s">
        <v>96</v>
      </c>
      <c r="AO3005" s="55">
        <v>6</v>
      </c>
      <c r="AP3005" s="55">
        <v>3</v>
      </c>
      <c r="AQ3005" s="55">
        <v>0</v>
      </c>
      <c r="AR3005" s="55">
        <v>28500</v>
      </c>
      <c r="AS3005" s="78">
        <f t="shared" si="50"/>
        <v>0</v>
      </c>
    </row>
    <row r="3006" spans="39:45">
      <c r="AM3006" s="54">
        <v>2019</v>
      </c>
      <c r="AN3006" s="54" t="s">
        <v>96</v>
      </c>
      <c r="AO3006" s="54">
        <v>6</v>
      </c>
      <c r="AP3006" s="54">
        <v>4</v>
      </c>
      <c r="AQ3006" s="54">
        <v>0</v>
      </c>
      <c r="AR3006" s="55">
        <v>28500</v>
      </c>
      <c r="AS3006" s="78">
        <f t="shared" si="50"/>
        <v>0</v>
      </c>
    </row>
    <row r="3007" spans="39:45">
      <c r="AM3007" s="55">
        <v>2019</v>
      </c>
      <c r="AN3007" s="55" t="s">
        <v>96</v>
      </c>
      <c r="AO3007" s="55">
        <v>6</v>
      </c>
      <c r="AP3007" s="55">
        <v>5</v>
      </c>
      <c r="AQ3007" s="55">
        <v>705.5</v>
      </c>
      <c r="AR3007" s="55">
        <v>28500</v>
      </c>
      <c r="AS3007" s="78">
        <f t="shared" si="50"/>
        <v>2.4754385964912282E-2</v>
      </c>
    </row>
    <row r="3008" spans="39:45">
      <c r="AM3008" s="54">
        <v>2019</v>
      </c>
      <c r="AN3008" s="54" t="s">
        <v>96</v>
      </c>
      <c r="AO3008" s="54">
        <v>6</v>
      </c>
      <c r="AP3008" s="54">
        <v>6</v>
      </c>
      <c r="AQ3008" s="54">
        <v>3270</v>
      </c>
      <c r="AR3008" s="55">
        <v>28500</v>
      </c>
      <c r="AS3008" s="78">
        <f t="shared" si="50"/>
        <v>0.11473684210526315</v>
      </c>
    </row>
    <row r="3009" spans="39:45">
      <c r="AM3009" s="55">
        <v>2019</v>
      </c>
      <c r="AN3009" s="55" t="s">
        <v>96</v>
      </c>
      <c r="AO3009" s="55">
        <v>6</v>
      </c>
      <c r="AP3009" s="55">
        <v>7</v>
      </c>
      <c r="AQ3009" s="55">
        <v>12700.5</v>
      </c>
      <c r="AR3009" s="55">
        <v>28500</v>
      </c>
      <c r="AS3009" s="78">
        <f t="shared" si="50"/>
        <v>0.44563157894736843</v>
      </c>
    </row>
    <row r="3010" spans="39:45">
      <c r="AM3010" s="54">
        <v>2019</v>
      </c>
      <c r="AN3010" s="54" t="s">
        <v>96</v>
      </c>
      <c r="AO3010" s="54">
        <v>6</v>
      </c>
      <c r="AP3010" s="54">
        <v>8</v>
      </c>
      <c r="AQ3010" s="54">
        <v>17556.5</v>
      </c>
      <c r="AR3010" s="55">
        <v>28500</v>
      </c>
      <c r="AS3010" s="78">
        <f t="shared" ref="AS3010:AS3073" si="51">AQ3010/AR3010</f>
        <v>0.61601754385964913</v>
      </c>
    </row>
    <row r="3011" spans="39:45">
      <c r="AM3011" s="55">
        <v>2019</v>
      </c>
      <c r="AN3011" s="55" t="s">
        <v>96</v>
      </c>
      <c r="AO3011" s="55">
        <v>6</v>
      </c>
      <c r="AP3011" s="55">
        <v>9</v>
      </c>
      <c r="AQ3011" s="55">
        <v>13940</v>
      </c>
      <c r="AR3011" s="55">
        <v>28500</v>
      </c>
      <c r="AS3011" s="78">
        <f t="shared" si="51"/>
        <v>0.48912280701754385</v>
      </c>
    </row>
    <row r="3012" spans="39:45">
      <c r="AM3012" s="54">
        <v>2019</v>
      </c>
      <c r="AN3012" s="54" t="s">
        <v>96</v>
      </c>
      <c r="AO3012" s="54">
        <v>6</v>
      </c>
      <c r="AP3012" s="54">
        <v>10</v>
      </c>
      <c r="AQ3012" s="54">
        <v>10373</v>
      </c>
      <c r="AR3012" s="55">
        <v>28500</v>
      </c>
      <c r="AS3012" s="78">
        <f t="shared" si="51"/>
        <v>0.36396491228070177</v>
      </c>
    </row>
    <row r="3013" spans="39:45">
      <c r="AM3013" s="55">
        <v>2019</v>
      </c>
      <c r="AN3013" s="55" t="s">
        <v>96</v>
      </c>
      <c r="AO3013" s="55">
        <v>6</v>
      </c>
      <c r="AP3013" s="55">
        <v>11</v>
      </c>
      <c r="AQ3013" s="55">
        <v>14342</v>
      </c>
      <c r="AR3013" s="55">
        <v>28500</v>
      </c>
      <c r="AS3013" s="78">
        <f t="shared" si="51"/>
        <v>0.50322807017543858</v>
      </c>
    </row>
    <row r="3014" spans="39:45">
      <c r="AM3014" s="54">
        <v>2019</v>
      </c>
      <c r="AN3014" s="54" t="s">
        <v>96</v>
      </c>
      <c r="AO3014" s="54">
        <v>6</v>
      </c>
      <c r="AP3014" s="54">
        <v>12</v>
      </c>
      <c r="AQ3014" s="54">
        <v>14166</v>
      </c>
      <c r="AR3014" s="55">
        <v>28500</v>
      </c>
      <c r="AS3014" s="78">
        <f t="shared" si="51"/>
        <v>0.49705263157894736</v>
      </c>
    </row>
    <row r="3015" spans="39:45">
      <c r="AM3015" s="55">
        <v>2019</v>
      </c>
      <c r="AN3015" s="55" t="s">
        <v>96</v>
      </c>
      <c r="AO3015" s="55">
        <v>6</v>
      </c>
      <c r="AP3015" s="55">
        <v>13</v>
      </c>
      <c r="AQ3015" s="55">
        <v>10154</v>
      </c>
      <c r="AR3015" s="55">
        <v>28500</v>
      </c>
      <c r="AS3015" s="78">
        <f t="shared" si="51"/>
        <v>0.35628070175438598</v>
      </c>
    </row>
    <row r="3016" spans="39:45">
      <c r="AM3016" s="54">
        <v>2019</v>
      </c>
      <c r="AN3016" s="54" t="s">
        <v>96</v>
      </c>
      <c r="AO3016" s="54">
        <v>6</v>
      </c>
      <c r="AP3016" s="54">
        <v>14</v>
      </c>
      <c r="AQ3016" s="54">
        <v>14345</v>
      </c>
      <c r="AR3016" s="55">
        <v>28500</v>
      </c>
      <c r="AS3016" s="78">
        <f t="shared" si="51"/>
        <v>0.5033333333333333</v>
      </c>
    </row>
    <row r="3017" spans="39:45">
      <c r="AM3017" s="55">
        <v>2019</v>
      </c>
      <c r="AN3017" s="55" t="s">
        <v>96</v>
      </c>
      <c r="AO3017" s="55">
        <v>6</v>
      </c>
      <c r="AP3017" s="55">
        <v>15</v>
      </c>
      <c r="AQ3017" s="55">
        <v>17941</v>
      </c>
      <c r="AR3017" s="55">
        <v>28500</v>
      </c>
      <c r="AS3017" s="78">
        <f t="shared" si="51"/>
        <v>0.62950877192982457</v>
      </c>
    </row>
    <row r="3018" spans="39:45">
      <c r="AM3018" s="54">
        <v>2019</v>
      </c>
      <c r="AN3018" s="54" t="s">
        <v>96</v>
      </c>
      <c r="AO3018" s="54">
        <v>6</v>
      </c>
      <c r="AP3018" s="54">
        <v>16</v>
      </c>
      <c r="AQ3018" s="54">
        <v>12191</v>
      </c>
      <c r="AR3018" s="55">
        <v>28500</v>
      </c>
      <c r="AS3018" s="78">
        <f t="shared" si="51"/>
        <v>0.42775438596491228</v>
      </c>
    </row>
    <row r="3019" spans="39:45">
      <c r="AM3019" s="55">
        <v>2019</v>
      </c>
      <c r="AN3019" s="55" t="s">
        <v>96</v>
      </c>
      <c r="AO3019" s="55">
        <v>6</v>
      </c>
      <c r="AP3019" s="55">
        <v>17</v>
      </c>
      <c r="AQ3019" s="55">
        <v>5792.5</v>
      </c>
      <c r="AR3019" s="55">
        <v>28500</v>
      </c>
      <c r="AS3019" s="78">
        <f t="shared" si="51"/>
        <v>0.20324561403508773</v>
      </c>
    </row>
    <row r="3020" spans="39:45">
      <c r="AM3020" s="54">
        <v>2019</v>
      </c>
      <c r="AN3020" s="54" t="s">
        <v>96</v>
      </c>
      <c r="AO3020" s="54">
        <v>6</v>
      </c>
      <c r="AP3020" s="54">
        <v>18</v>
      </c>
      <c r="AQ3020" s="54">
        <v>1985</v>
      </c>
      <c r="AR3020" s="55">
        <v>28500</v>
      </c>
      <c r="AS3020" s="78">
        <f t="shared" si="51"/>
        <v>6.9649122807017544E-2</v>
      </c>
    </row>
    <row r="3021" spans="39:45">
      <c r="AM3021" s="55">
        <v>2019</v>
      </c>
      <c r="AN3021" s="55" t="s">
        <v>96</v>
      </c>
      <c r="AO3021" s="55">
        <v>6</v>
      </c>
      <c r="AP3021" s="55">
        <v>19</v>
      </c>
      <c r="AQ3021" s="55">
        <v>0</v>
      </c>
      <c r="AR3021" s="55">
        <v>28500</v>
      </c>
      <c r="AS3021" s="78">
        <f t="shared" si="51"/>
        <v>0</v>
      </c>
    </row>
    <row r="3022" spans="39:45">
      <c r="AM3022" s="54">
        <v>2019</v>
      </c>
      <c r="AN3022" s="54" t="s">
        <v>96</v>
      </c>
      <c r="AO3022" s="54">
        <v>6</v>
      </c>
      <c r="AP3022" s="54">
        <v>20</v>
      </c>
      <c r="AQ3022" s="54">
        <v>0</v>
      </c>
      <c r="AR3022" s="55">
        <v>28500</v>
      </c>
      <c r="AS3022" s="78">
        <f t="shared" si="51"/>
        <v>0</v>
      </c>
    </row>
    <row r="3023" spans="39:45">
      <c r="AM3023" s="55">
        <v>2019</v>
      </c>
      <c r="AN3023" s="55" t="s">
        <v>96</v>
      </c>
      <c r="AO3023" s="55">
        <v>6</v>
      </c>
      <c r="AP3023" s="55">
        <v>21</v>
      </c>
      <c r="AQ3023" s="55">
        <v>0</v>
      </c>
      <c r="AR3023" s="55">
        <v>28500</v>
      </c>
      <c r="AS3023" s="78">
        <f t="shared" si="51"/>
        <v>0</v>
      </c>
    </row>
    <row r="3024" spans="39:45">
      <c r="AM3024" s="54">
        <v>2019</v>
      </c>
      <c r="AN3024" s="54" t="s">
        <v>96</v>
      </c>
      <c r="AO3024" s="54">
        <v>6</v>
      </c>
      <c r="AP3024" s="54">
        <v>22</v>
      </c>
      <c r="AQ3024" s="54">
        <v>0</v>
      </c>
      <c r="AR3024" s="55">
        <v>28500</v>
      </c>
      <c r="AS3024" s="78">
        <f t="shared" si="51"/>
        <v>0</v>
      </c>
    </row>
    <row r="3025" spans="39:45">
      <c r="AM3025" s="55">
        <v>2019</v>
      </c>
      <c r="AN3025" s="55" t="s">
        <v>96</v>
      </c>
      <c r="AO3025" s="55">
        <v>6</v>
      </c>
      <c r="AP3025" s="55">
        <v>23</v>
      </c>
      <c r="AQ3025" s="55">
        <v>0</v>
      </c>
      <c r="AR3025" s="55">
        <v>28500</v>
      </c>
      <c r="AS3025" s="78">
        <f t="shared" si="51"/>
        <v>0</v>
      </c>
    </row>
    <row r="3026" spans="39:45">
      <c r="AM3026" s="54">
        <v>2019</v>
      </c>
      <c r="AN3026" s="54" t="s">
        <v>96</v>
      </c>
      <c r="AO3026" s="54">
        <v>7</v>
      </c>
      <c r="AP3026" s="54">
        <v>24</v>
      </c>
      <c r="AQ3026" s="54">
        <v>0</v>
      </c>
      <c r="AR3026" s="55">
        <v>28500</v>
      </c>
      <c r="AS3026" s="78">
        <f t="shared" si="51"/>
        <v>0</v>
      </c>
    </row>
    <row r="3027" spans="39:45">
      <c r="AM3027" s="55">
        <v>2019</v>
      </c>
      <c r="AN3027" s="55" t="s">
        <v>96</v>
      </c>
      <c r="AO3027" s="55">
        <v>7</v>
      </c>
      <c r="AP3027" s="55">
        <v>1</v>
      </c>
      <c r="AQ3027" s="55">
        <v>0</v>
      </c>
      <c r="AR3027" s="55">
        <v>28500</v>
      </c>
      <c r="AS3027" s="78">
        <f t="shared" si="51"/>
        <v>0</v>
      </c>
    </row>
    <row r="3028" spans="39:45">
      <c r="AM3028" s="54">
        <v>2019</v>
      </c>
      <c r="AN3028" s="54" t="s">
        <v>96</v>
      </c>
      <c r="AO3028" s="54">
        <v>7</v>
      </c>
      <c r="AP3028" s="54">
        <v>2</v>
      </c>
      <c r="AQ3028" s="54">
        <v>0</v>
      </c>
      <c r="AR3028" s="55">
        <v>28500</v>
      </c>
      <c r="AS3028" s="78">
        <f t="shared" si="51"/>
        <v>0</v>
      </c>
    </row>
    <row r="3029" spans="39:45">
      <c r="AM3029" s="55">
        <v>2019</v>
      </c>
      <c r="AN3029" s="55" t="s">
        <v>96</v>
      </c>
      <c r="AO3029" s="55">
        <v>7</v>
      </c>
      <c r="AP3029" s="55">
        <v>3</v>
      </c>
      <c r="AQ3029" s="55">
        <v>0</v>
      </c>
      <c r="AR3029" s="55">
        <v>28500</v>
      </c>
      <c r="AS3029" s="78">
        <f t="shared" si="51"/>
        <v>0</v>
      </c>
    </row>
    <row r="3030" spans="39:45">
      <c r="AM3030" s="54">
        <v>2019</v>
      </c>
      <c r="AN3030" s="54" t="s">
        <v>96</v>
      </c>
      <c r="AO3030" s="54">
        <v>7</v>
      </c>
      <c r="AP3030" s="54">
        <v>4</v>
      </c>
      <c r="AQ3030" s="54">
        <v>0</v>
      </c>
      <c r="AR3030" s="55">
        <v>28500</v>
      </c>
      <c r="AS3030" s="78">
        <f t="shared" si="51"/>
        <v>0</v>
      </c>
    </row>
    <row r="3031" spans="39:45">
      <c r="AM3031" s="55">
        <v>2019</v>
      </c>
      <c r="AN3031" s="55" t="s">
        <v>96</v>
      </c>
      <c r="AO3031" s="55">
        <v>7</v>
      </c>
      <c r="AP3031" s="55">
        <v>5</v>
      </c>
      <c r="AQ3031" s="55">
        <v>800.5</v>
      </c>
      <c r="AR3031" s="55">
        <v>28500</v>
      </c>
      <c r="AS3031" s="78">
        <f t="shared" si="51"/>
        <v>2.8087719298245613E-2</v>
      </c>
    </row>
    <row r="3032" spans="39:45">
      <c r="AM3032" s="54">
        <v>2019</v>
      </c>
      <c r="AN3032" s="54" t="s">
        <v>96</v>
      </c>
      <c r="AO3032" s="54">
        <v>7</v>
      </c>
      <c r="AP3032" s="54">
        <v>6</v>
      </c>
      <c r="AQ3032" s="54">
        <v>3992.5</v>
      </c>
      <c r="AR3032" s="55">
        <v>28500</v>
      </c>
      <c r="AS3032" s="78">
        <f t="shared" si="51"/>
        <v>0.14008771929824562</v>
      </c>
    </row>
    <row r="3033" spans="39:45">
      <c r="AM3033" s="55">
        <v>2019</v>
      </c>
      <c r="AN3033" s="55" t="s">
        <v>96</v>
      </c>
      <c r="AO3033" s="55">
        <v>7</v>
      </c>
      <c r="AP3033" s="55">
        <v>7</v>
      </c>
      <c r="AQ3033" s="55">
        <v>11776</v>
      </c>
      <c r="AR3033" s="55">
        <v>28500</v>
      </c>
      <c r="AS3033" s="78">
        <f t="shared" si="51"/>
        <v>0.41319298245614033</v>
      </c>
    </row>
    <row r="3034" spans="39:45">
      <c r="AM3034" s="54">
        <v>2019</v>
      </c>
      <c r="AN3034" s="54" t="s">
        <v>96</v>
      </c>
      <c r="AO3034" s="54">
        <v>7</v>
      </c>
      <c r="AP3034" s="54">
        <v>8</v>
      </c>
      <c r="AQ3034" s="54">
        <v>21783</v>
      </c>
      <c r="AR3034" s="55">
        <v>28500</v>
      </c>
      <c r="AS3034" s="78">
        <f t="shared" si="51"/>
        <v>0.76431578947368417</v>
      </c>
    </row>
    <row r="3035" spans="39:45">
      <c r="AM3035" s="55">
        <v>2019</v>
      </c>
      <c r="AN3035" s="55" t="s">
        <v>96</v>
      </c>
      <c r="AO3035" s="55">
        <v>7</v>
      </c>
      <c r="AP3035" s="55">
        <v>9</v>
      </c>
      <c r="AQ3035" s="55">
        <v>30505</v>
      </c>
      <c r="AR3035" s="55">
        <v>28500</v>
      </c>
      <c r="AS3035" s="78">
        <f t="shared" si="51"/>
        <v>1.0703508771929824</v>
      </c>
    </row>
    <row r="3036" spans="39:45">
      <c r="AM3036" s="54">
        <v>2019</v>
      </c>
      <c r="AN3036" s="54" t="s">
        <v>96</v>
      </c>
      <c r="AO3036" s="54">
        <v>7</v>
      </c>
      <c r="AP3036" s="54">
        <v>10</v>
      </c>
      <c r="AQ3036" s="54">
        <v>30330.5</v>
      </c>
      <c r="AR3036" s="55">
        <v>28500</v>
      </c>
      <c r="AS3036" s="78">
        <f t="shared" si="51"/>
        <v>1.0642280701754385</v>
      </c>
    </row>
    <row r="3037" spans="39:45">
      <c r="AM3037" s="55">
        <v>2019</v>
      </c>
      <c r="AN3037" s="55" t="s">
        <v>96</v>
      </c>
      <c r="AO3037" s="55">
        <v>7</v>
      </c>
      <c r="AP3037" s="55">
        <v>11</v>
      </c>
      <c r="AQ3037" s="55">
        <v>26606</v>
      </c>
      <c r="AR3037" s="55">
        <v>28500</v>
      </c>
      <c r="AS3037" s="78">
        <f t="shared" si="51"/>
        <v>0.93354385964912279</v>
      </c>
    </row>
    <row r="3038" spans="39:45">
      <c r="AM3038" s="54">
        <v>2019</v>
      </c>
      <c r="AN3038" s="54" t="s">
        <v>96</v>
      </c>
      <c r="AO3038" s="54">
        <v>7</v>
      </c>
      <c r="AP3038" s="54">
        <v>12</v>
      </c>
      <c r="AQ3038" s="54">
        <v>26540.5</v>
      </c>
      <c r="AR3038" s="55">
        <v>28500</v>
      </c>
      <c r="AS3038" s="78">
        <f t="shared" si="51"/>
        <v>0.93124561403508777</v>
      </c>
    </row>
    <row r="3039" spans="39:45">
      <c r="AM3039" s="55">
        <v>2019</v>
      </c>
      <c r="AN3039" s="55" t="s">
        <v>96</v>
      </c>
      <c r="AO3039" s="55">
        <v>7</v>
      </c>
      <c r="AP3039" s="55">
        <v>13</v>
      </c>
      <c r="AQ3039" s="55">
        <v>16688</v>
      </c>
      <c r="AR3039" s="55">
        <v>28500</v>
      </c>
      <c r="AS3039" s="78">
        <f t="shared" si="51"/>
        <v>0.58554385964912281</v>
      </c>
    </row>
    <row r="3040" spans="39:45">
      <c r="AM3040" s="54">
        <v>2019</v>
      </c>
      <c r="AN3040" s="54" t="s">
        <v>96</v>
      </c>
      <c r="AO3040" s="54">
        <v>7</v>
      </c>
      <c r="AP3040" s="54">
        <v>14</v>
      </c>
      <c r="AQ3040" s="54">
        <v>15600.5</v>
      </c>
      <c r="AR3040" s="55">
        <v>28500</v>
      </c>
      <c r="AS3040" s="78">
        <f t="shared" si="51"/>
        <v>0.54738596491228075</v>
      </c>
    </row>
    <row r="3041" spans="39:45">
      <c r="AM3041" s="55">
        <v>2019</v>
      </c>
      <c r="AN3041" s="55" t="s">
        <v>96</v>
      </c>
      <c r="AO3041" s="55">
        <v>7</v>
      </c>
      <c r="AP3041" s="55">
        <v>15</v>
      </c>
      <c r="AQ3041" s="55">
        <v>22218.5</v>
      </c>
      <c r="AR3041" s="55">
        <v>28500</v>
      </c>
      <c r="AS3041" s="78">
        <f t="shared" si="51"/>
        <v>0.77959649122807018</v>
      </c>
    </row>
    <row r="3042" spans="39:45">
      <c r="AM3042" s="54">
        <v>2019</v>
      </c>
      <c r="AN3042" s="54" t="s">
        <v>96</v>
      </c>
      <c r="AO3042" s="54">
        <v>7</v>
      </c>
      <c r="AP3042" s="54">
        <v>16</v>
      </c>
      <c r="AQ3042" s="54">
        <v>12425</v>
      </c>
      <c r="AR3042" s="55">
        <v>28500</v>
      </c>
      <c r="AS3042" s="78">
        <f t="shared" si="51"/>
        <v>0.43596491228070178</v>
      </c>
    </row>
    <row r="3043" spans="39:45">
      <c r="AM3043" s="55">
        <v>2019</v>
      </c>
      <c r="AN3043" s="55" t="s">
        <v>96</v>
      </c>
      <c r="AO3043" s="55">
        <v>7</v>
      </c>
      <c r="AP3043" s="55">
        <v>17</v>
      </c>
      <c r="AQ3043" s="55">
        <v>6898</v>
      </c>
      <c r="AR3043" s="55">
        <v>28500</v>
      </c>
      <c r="AS3043" s="78">
        <f t="shared" si="51"/>
        <v>0.24203508771929824</v>
      </c>
    </row>
    <row r="3044" spans="39:45">
      <c r="AM3044" s="54">
        <v>2019</v>
      </c>
      <c r="AN3044" s="54" t="s">
        <v>96</v>
      </c>
      <c r="AO3044" s="54">
        <v>7</v>
      </c>
      <c r="AP3044" s="54">
        <v>18</v>
      </c>
      <c r="AQ3044" s="54">
        <v>1903</v>
      </c>
      <c r="AR3044" s="55">
        <v>28500</v>
      </c>
      <c r="AS3044" s="78">
        <f t="shared" si="51"/>
        <v>6.6771929824561399E-2</v>
      </c>
    </row>
    <row r="3045" spans="39:45">
      <c r="AM3045" s="55">
        <v>2019</v>
      </c>
      <c r="AN3045" s="55" t="s">
        <v>96</v>
      </c>
      <c r="AO3045" s="55">
        <v>7</v>
      </c>
      <c r="AP3045" s="55">
        <v>19</v>
      </c>
      <c r="AQ3045" s="55">
        <v>0</v>
      </c>
      <c r="AR3045" s="55">
        <v>28500</v>
      </c>
      <c r="AS3045" s="78">
        <f t="shared" si="51"/>
        <v>0</v>
      </c>
    </row>
    <row r="3046" spans="39:45">
      <c r="AM3046" s="54">
        <v>2019</v>
      </c>
      <c r="AN3046" s="54" t="s">
        <v>96</v>
      </c>
      <c r="AO3046" s="54">
        <v>7</v>
      </c>
      <c r="AP3046" s="54">
        <v>20</v>
      </c>
      <c r="AQ3046" s="54">
        <v>0</v>
      </c>
      <c r="AR3046" s="55">
        <v>28500</v>
      </c>
      <c r="AS3046" s="78">
        <f t="shared" si="51"/>
        <v>0</v>
      </c>
    </row>
    <row r="3047" spans="39:45">
      <c r="AM3047" s="55">
        <v>2019</v>
      </c>
      <c r="AN3047" s="55" t="s">
        <v>96</v>
      </c>
      <c r="AO3047" s="55">
        <v>7</v>
      </c>
      <c r="AP3047" s="55">
        <v>21</v>
      </c>
      <c r="AQ3047" s="55">
        <v>0</v>
      </c>
      <c r="AR3047" s="55">
        <v>28500</v>
      </c>
      <c r="AS3047" s="78">
        <f t="shared" si="51"/>
        <v>0</v>
      </c>
    </row>
    <row r="3048" spans="39:45">
      <c r="AM3048" s="54">
        <v>2019</v>
      </c>
      <c r="AN3048" s="54" t="s">
        <v>96</v>
      </c>
      <c r="AO3048" s="54">
        <v>7</v>
      </c>
      <c r="AP3048" s="54">
        <v>22</v>
      </c>
      <c r="AQ3048" s="54">
        <v>0</v>
      </c>
      <c r="AR3048" s="55">
        <v>28500</v>
      </c>
      <c r="AS3048" s="78">
        <f t="shared" si="51"/>
        <v>0</v>
      </c>
    </row>
    <row r="3049" spans="39:45">
      <c r="AM3049" s="55">
        <v>2019</v>
      </c>
      <c r="AN3049" s="55" t="s">
        <v>96</v>
      </c>
      <c r="AO3049" s="55">
        <v>7</v>
      </c>
      <c r="AP3049" s="55">
        <v>23</v>
      </c>
      <c r="AQ3049" s="55">
        <v>0</v>
      </c>
      <c r="AR3049" s="55">
        <v>28500</v>
      </c>
      <c r="AS3049" s="78">
        <f t="shared" si="51"/>
        <v>0</v>
      </c>
    </row>
    <row r="3050" spans="39:45">
      <c r="AM3050" s="54">
        <v>2019</v>
      </c>
      <c r="AN3050" s="54" t="s">
        <v>96</v>
      </c>
      <c r="AO3050" s="54">
        <v>8</v>
      </c>
      <c r="AP3050" s="54">
        <v>24</v>
      </c>
      <c r="AQ3050" s="54">
        <v>0</v>
      </c>
      <c r="AR3050" s="55">
        <v>28500</v>
      </c>
      <c r="AS3050" s="78">
        <f t="shared" si="51"/>
        <v>0</v>
      </c>
    </row>
    <row r="3051" spans="39:45">
      <c r="AM3051" s="55">
        <v>2019</v>
      </c>
      <c r="AN3051" s="55" t="s">
        <v>96</v>
      </c>
      <c r="AO3051" s="55">
        <v>8</v>
      </c>
      <c r="AP3051" s="55">
        <v>1</v>
      </c>
      <c r="AQ3051" s="55">
        <v>0</v>
      </c>
      <c r="AR3051" s="55">
        <v>28500</v>
      </c>
      <c r="AS3051" s="78">
        <f t="shared" si="51"/>
        <v>0</v>
      </c>
    </row>
    <row r="3052" spans="39:45">
      <c r="AM3052" s="54">
        <v>2019</v>
      </c>
      <c r="AN3052" s="54" t="s">
        <v>96</v>
      </c>
      <c r="AO3052" s="54">
        <v>8</v>
      </c>
      <c r="AP3052" s="54">
        <v>2</v>
      </c>
      <c r="AQ3052" s="54">
        <v>0</v>
      </c>
      <c r="AR3052" s="55">
        <v>28500</v>
      </c>
      <c r="AS3052" s="78">
        <f t="shared" si="51"/>
        <v>0</v>
      </c>
    </row>
    <row r="3053" spans="39:45">
      <c r="AM3053" s="55">
        <v>2019</v>
      </c>
      <c r="AN3053" s="55" t="s">
        <v>96</v>
      </c>
      <c r="AO3053" s="55">
        <v>8</v>
      </c>
      <c r="AP3053" s="55">
        <v>3</v>
      </c>
      <c r="AQ3053" s="55">
        <v>0</v>
      </c>
      <c r="AR3053" s="55">
        <v>28500</v>
      </c>
      <c r="AS3053" s="78">
        <f t="shared" si="51"/>
        <v>0</v>
      </c>
    </row>
    <row r="3054" spans="39:45">
      <c r="AM3054" s="54">
        <v>2019</v>
      </c>
      <c r="AN3054" s="54" t="s">
        <v>96</v>
      </c>
      <c r="AO3054" s="54">
        <v>8</v>
      </c>
      <c r="AP3054" s="54">
        <v>4</v>
      </c>
      <c r="AQ3054" s="54">
        <v>0</v>
      </c>
      <c r="AR3054" s="55">
        <v>28500</v>
      </c>
      <c r="AS3054" s="78">
        <f t="shared" si="51"/>
        <v>0</v>
      </c>
    </row>
    <row r="3055" spans="39:45">
      <c r="AM3055" s="55">
        <v>2019</v>
      </c>
      <c r="AN3055" s="55" t="s">
        <v>96</v>
      </c>
      <c r="AO3055" s="55">
        <v>8</v>
      </c>
      <c r="AP3055" s="55">
        <v>5</v>
      </c>
      <c r="AQ3055" s="55">
        <v>0</v>
      </c>
      <c r="AR3055" s="55">
        <v>28500</v>
      </c>
      <c r="AS3055" s="78">
        <f t="shared" si="51"/>
        <v>0</v>
      </c>
    </row>
    <row r="3056" spans="39:45">
      <c r="AM3056" s="54">
        <v>2019</v>
      </c>
      <c r="AN3056" s="54" t="s">
        <v>96</v>
      </c>
      <c r="AO3056" s="54">
        <v>8</v>
      </c>
      <c r="AP3056" s="54">
        <v>6</v>
      </c>
      <c r="AQ3056" s="54">
        <v>4069.5</v>
      </c>
      <c r="AR3056" s="55">
        <v>28500</v>
      </c>
      <c r="AS3056" s="78">
        <f t="shared" si="51"/>
        <v>0.14278947368421052</v>
      </c>
    </row>
    <row r="3057" spans="39:45">
      <c r="AM3057" s="55">
        <v>2019</v>
      </c>
      <c r="AN3057" s="55" t="s">
        <v>96</v>
      </c>
      <c r="AO3057" s="55">
        <v>8</v>
      </c>
      <c r="AP3057" s="55">
        <v>7</v>
      </c>
      <c r="AQ3057" s="55">
        <v>5493.5</v>
      </c>
      <c r="AR3057" s="55">
        <v>28500</v>
      </c>
      <c r="AS3057" s="78">
        <f t="shared" si="51"/>
        <v>0.19275438596491229</v>
      </c>
    </row>
    <row r="3058" spans="39:45">
      <c r="AM3058" s="54">
        <v>2019</v>
      </c>
      <c r="AN3058" s="54" t="s">
        <v>96</v>
      </c>
      <c r="AO3058" s="54">
        <v>8</v>
      </c>
      <c r="AP3058" s="54">
        <v>8</v>
      </c>
      <c r="AQ3058" s="54">
        <v>1833</v>
      </c>
      <c r="AR3058" s="55">
        <v>28500</v>
      </c>
      <c r="AS3058" s="78">
        <f t="shared" si="51"/>
        <v>6.4315789473684215E-2</v>
      </c>
    </row>
    <row r="3059" spans="39:45">
      <c r="AM3059" s="55">
        <v>2019</v>
      </c>
      <c r="AN3059" s="55" t="s">
        <v>96</v>
      </c>
      <c r="AO3059" s="55">
        <v>8</v>
      </c>
      <c r="AP3059" s="55">
        <v>9</v>
      </c>
      <c r="AQ3059" s="55">
        <v>3775.5</v>
      </c>
      <c r="AR3059" s="55">
        <v>28500</v>
      </c>
      <c r="AS3059" s="78">
        <f t="shared" si="51"/>
        <v>0.13247368421052633</v>
      </c>
    </row>
    <row r="3060" spans="39:45">
      <c r="AM3060" s="54">
        <v>2019</v>
      </c>
      <c r="AN3060" s="54" t="s">
        <v>96</v>
      </c>
      <c r="AO3060" s="54">
        <v>8</v>
      </c>
      <c r="AP3060" s="54">
        <v>10</v>
      </c>
      <c r="AQ3060" s="54">
        <v>3252</v>
      </c>
      <c r="AR3060" s="55">
        <v>28500</v>
      </c>
      <c r="AS3060" s="78">
        <f t="shared" si="51"/>
        <v>0.11410526315789474</v>
      </c>
    </row>
    <row r="3061" spans="39:45">
      <c r="AM3061" s="55">
        <v>2019</v>
      </c>
      <c r="AN3061" s="55" t="s">
        <v>96</v>
      </c>
      <c r="AO3061" s="55">
        <v>8</v>
      </c>
      <c r="AP3061" s="55">
        <v>11</v>
      </c>
      <c r="AQ3061" s="55">
        <v>7231</v>
      </c>
      <c r="AR3061" s="55">
        <v>28500</v>
      </c>
      <c r="AS3061" s="78">
        <f t="shared" si="51"/>
        <v>0.25371929824561401</v>
      </c>
    </row>
    <row r="3062" spans="39:45">
      <c r="AM3062" s="54">
        <v>2019</v>
      </c>
      <c r="AN3062" s="54" t="s">
        <v>96</v>
      </c>
      <c r="AO3062" s="54">
        <v>8</v>
      </c>
      <c r="AP3062" s="54">
        <v>12</v>
      </c>
      <c r="AQ3062" s="54">
        <v>22706</v>
      </c>
      <c r="AR3062" s="55">
        <v>28500</v>
      </c>
      <c r="AS3062" s="78">
        <f t="shared" si="51"/>
        <v>0.79670175438596491</v>
      </c>
    </row>
    <row r="3063" spans="39:45">
      <c r="AM3063" s="55">
        <v>2019</v>
      </c>
      <c r="AN3063" s="55" t="s">
        <v>96</v>
      </c>
      <c r="AO3063" s="55">
        <v>8</v>
      </c>
      <c r="AP3063" s="55">
        <v>13</v>
      </c>
      <c r="AQ3063" s="55">
        <v>31996.5</v>
      </c>
      <c r="AR3063" s="55">
        <v>28500</v>
      </c>
      <c r="AS3063" s="78">
        <f t="shared" si="51"/>
        <v>1.1226842105263157</v>
      </c>
    </row>
    <row r="3064" spans="39:45">
      <c r="AM3064" s="54">
        <v>2019</v>
      </c>
      <c r="AN3064" s="54" t="s">
        <v>96</v>
      </c>
      <c r="AO3064" s="54">
        <v>8</v>
      </c>
      <c r="AP3064" s="54">
        <v>14</v>
      </c>
      <c r="AQ3064" s="54">
        <v>25947</v>
      </c>
      <c r="AR3064" s="55">
        <v>28500</v>
      </c>
      <c r="AS3064" s="78">
        <f t="shared" si="51"/>
        <v>0.91042105263157891</v>
      </c>
    </row>
    <row r="3065" spans="39:45">
      <c r="AM3065" s="55">
        <v>2019</v>
      </c>
      <c r="AN3065" s="55" t="s">
        <v>96</v>
      </c>
      <c r="AO3065" s="55">
        <v>8</v>
      </c>
      <c r="AP3065" s="55">
        <v>15</v>
      </c>
      <c r="AQ3065" s="55">
        <v>23936</v>
      </c>
      <c r="AR3065" s="55">
        <v>28500</v>
      </c>
      <c r="AS3065" s="78">
        <f t="shared" si="51"/>
        <v>0.83985964912280697</v>
      </c>
    </row>
    <row r="3066" spans="39:45">
      <c r="AM3066" s="54">
        <v>2019</v>
      </c>
      <c r="AN3066" s="54" t="s">
        <v>96</v>
      </c>
      <c r="AO3066" s="54">
        <v>8</v>
      </c>
      <c r="AP3066" s="54">
        <v>16</v>
      </c>
      <c r="AQ3066" s="54">
        <v>16092</v>
      </c>
      <c r="AR3066" s="55">
        <v>28500</v>
      </c>
      <c r="AS3066" s="78">
        <f t="shared" si="51"/>
        <v>0.56463157894736837</v>
      </c>
    </row>
    <row r="3067" spans="39:45">
      <c r="AM3067" s="55">
        <v>2019</v>
      </c>
      <c r="AN3067" s="55" t="s">
        <v>96</v>
      </c>
      <c r="AO3067" s="55">
        <v>8</v>
      </c>
      <c r="AP3067" s="55">
        <v>17</v>
      </c>
      <c r="AQ3067" s="55">
        <v>7113.5</v>
      </c>
      <c r="AR3067" s="55">
        <v>28500</v>
      </c>
      <c r="AS3067" s="78">
        <f t="shared" si="51"/>
        <v>0.24959649122807018</v>
      </c>
    </row>
    <row r="3068" spans="39:45">
      <c r="AM3068" s="54">
        <v>2019</v>
      </c>
      <c r="AN3068" s="54" t="s">
        <v>96</v>
      </c>
      <c r="AO3068" s="54">
        <v>8</v>
      </c>
      <c r="AP3068" s="54">
        <v>18</v>
      </c>
      <c r="AQ3068" s="54">
        <v>984</v>
      </c>
      <c r="AR3068" s="55">
        <v>28500</v>
      </c>
      <c r="AS3068" s="78">
        <f t="shared" si="51"/>
        <v>3.4526315789473683E-2</v>
      </c>
    </row>
    <row r="3069" spans="39:45">
      <c r="AM3069" s="55">
        <v>2019</v>
      </c>
      <c r="AN3069" s="55" t="s">
        <v>96</v>
      </c>
      <c r="AO3069" s="55">
        <v>8</v>
      </c>
      <c r="AP3069" s="55">
        <v>19</v>
      </c>
      <c r="AQ3069" s="55">
        <v>0</v>
      </c>
      <c r="AR3069" s="55">
        <v>28500</v>
      </c>
      <c r="AS3069" s="78">
        <f t="shared" si="51"/>
        <v>0</v>
      </c>
    </row>
    <row r="3070" spans="39:45">
      <c r="AM3070" s="54">
        <v>2019</v>
      </c>
      <c r="AN3070" s="54" t="s">
        <v>96</v>
      </c>
      <c r="AO3070" s="54">
        <v>8</v>
      </c>
      <c r="AP3070" s="54">
        <v>20</v>
      </c>
      <c r="AQ3070" s="54">
        <v>0</v>
      </c>
      <c r="AR3070" s="55">
        <v>28500</v>
      </c>
      <c r="AS3070" s="78">
        <f t="shared" si="51"/>
        <v>0</v>
      </c>
    </row>
    <row r="3071" spans="39:45">
      <c r="AM3071" s="55">
        <v>2019</v>
      </c>
      <c r="AN3071" s="55" t="s">
        <v>96</v>
      </c>
      <c r="AO3071" s="55">
        <v>8</v>
      </c>
      <c r="AP3071" s="55">
        <v>21</v>
      </c>
      <c r="AQ3071" s="55">
        <v>0</v>
      </c>
      <c r="AR3071" s="55">
        <v>28500</v>
      </c>
      <c r="AS3071" s="78">
        <f t="shared" si="51"/>
        <v>0</v>
      </c>
    </row>
    <row r="3072" spans="39:45">
      <c r="AM3072" s="54">
        <v>2019</v>
      </c>
      <c r="AN3072" s="54" t="s">
        <v>96</v>
      </c>
      <c r="AO3072" s="54">
        <v>8</v>
      </c>
      <c r="AP3072" s="54">
        <v>22</v>
      </c>
      <c r="AQ3072" s="54">
        <v>0</v>
      </c>
      <c r="AR3072" s="55">
        <v>28500</v>
      </c>
      <c r="AS3072" s="78">
        <f t="shared" si="51"/>
        <v>0</v>
      </c>
    </row>
    <row r="3073" spans="39:45">
      <c r="AM3073" s="55">
        <v>2019</v>
      </c>
      <c r="AN3073" s="55" t="s">
        <v>96</v>
      </c>
      <c r="AO3073" s="55">
        <v>8</v>
      </c>
      <c r="AP3073" s="55">
        <v>23</v>
      </c>
      <c r="AQ3073" s="55">
        <v>0</v>
      </c>
      <c r="AR3073" s="55">
        <v>28500</v>
      </c>
      <c r="AS3073" s="78">
        <f t="shared" si="51"/>
        <v>0</v>
      </c>
    </row>
    <row r="3074" spans="39:45">
      <c r="AM3074" s="54">
        <v>2019</v>
      </c>
      <c r="AN3074" s="54" t="s">
        <v>96</v>
      </c>
      <c r="AO3074" s="54">
        <v>9</v>
      </c>
      <c r="AP3074" s="54">
        <v>24</v>
      </c>
      <c r="AQ3074" s="54">
        <v>0</v>
      </c>
      <c r="AR3074" s="55">
        <v>28500</v>
      </c>
      <c r="AS3074" s="78">
        <f t="shared" ref="AS3074:AS3137" si="52">AQ3074/AR3074</f>
        <v>0</v>
      </c>
    </row>
    <row r="3075" spans="39:45">
      <c r="AM3075" s="55">
        <v>2019</v>
      </c>
      <c r="AN3075" s="55" t="s">
        <v>96</v>
      </c>
      <c r="AO3075" s="55">
        <v>9</v>
      </c>
      <c r="AP3075" s="55">
        <v>1</v>
      </c>
      <c r="AQ3075" s="55">
        <v>0</v>
      </c>
      <c r="AR3075" s="55">
        <v>28500</v>
      </c>
      <c r="AS3075" s="78">
        <f t="shared" si="52"/>
        <v>0</v>
      </c>
    </row>
    <row r="3076" spans="39:45">
      <c r="AM3076" s="54">
        <v>2019</v>
      </c>
      <c r="AN3076" s="54" t="s">
        <v>96</v>
      </c>
      <c r="AO3076" s="54">
        <v>9</v>
      </c>
      <c r="AP3076" s="54">
        <v>2</v>
      </c>
      <c r="AQ3076" s="54">
        <v>0</v>
      </c>
      <c r="AR3076" s="55">
        <v>28500</v>
      </c>
      <c r="AS3076" s="78">
        <f t="shared" si="52"/>
        <v>0</v>
      </c>
    </row>
    <row r="3077" spans="39:45">
      <c r="AM3077" s="55">
        <v>2019</v>
      </c>
      <c r="AN3077" s="55" t="s">
        <v>96</v>
      </c>
      <c r="AO3077" s="55">
        <v>9</v>
      </c>
      <c r="AP3077" s="55">
        <v>3</v>
      </c>
      <c r="AQ3077" s="55">
        <v>0</v>
      </c>
      <c r="AR3077" s="55">
        <v>28500</v>
      </c>
      <c r="AS3077" s="78">
        <f t="shared" si="52"/>
        <v>0</v>
      </c>
    </row>
    <row r="3078" spans="39:45">
      <c r="AM3078" s="54">
        <v>2019</v>
      </c>
      <c r="AN3078" s="54" t="s">
        <v>96</v>
      </c>
      <c r="AO3078" s="54">
        <v>9</v>
      </c>
      <c r="AP3078" s="54">
        <v>4</v>
      </c>
      <c r="AQ3078" s="54">
        <v>0</v>
      </c>
      <c r="AR3078" s="55">
        <v>28500</v>
      </c>
      <c r="AS3078" s="78">
        <f t="shared" si="52"/>
        <v>0</v>
      </c>
    </row>
    <row r="3079" spans="39:45">
      <c r="AM3079" s="55">
        <v>2019</v>
      </c>
      <c r="AN3079" s="55" t="s">
        <v>96</v>
      </c>
      <c r="AO3079" s="55">
        <v>9</v>
      </c>
      <c r="AP3079" s="55">
        <v>5</v>
      </c>
      <c r="AQ3079" s="55">
        <v>791</v>
      </c>
      <c r="AR3079" s="55">
        <v>28500</v>
      </c>
      <c r="AS3079" s="78">
        <f t="shared" si="52"/>
        <v>2.7754385964912281E-2</v>
      </c>
    </row>
    <row r="3080" spans="39:45">
      <c r="AM3080" s="54">
        <v>2019</v>
      </c>
      <c r="AN3080" s="54" t="s">
        <v>96</v>
      </c>
      <c r="AO3080" s="54">
        <v>9</v>
      </c>
      <c r="AP3080" s="54">
        <v>6</v>
      </c>
      <c r="AQ3080" s="54">
        <v>3394</v>
      </c>
      <c r="AR3080" s="55">
        <v>28500</v>
      </c>
      <c r="AS3080" s="78">
        <f t="shared" si="52"/>
        <v>0.11908771929824562</v>
      </c>
    </row>
    <row r="3081" spans="39:45">
      <c r="AM3081" s="55">
        <v>2019</v>
      </c>
      <c r="AN3081" s="55" t="s">
        <v>96</v>
      </c>
      <c r="AO3081" s="55">
        <v>9</v>
      </c>
      <c r="AP3081" s="55">
        <v>7</v>
      </c>
      <c r="AQ3081" s="55">
        <v>13611.5</v>
      </c>
      <c r="AR3081" s="55">
        <v>28500</v>
      </c>
      <c r="AS3081" s="78">
        <f t="shared" si="52"/>
        <v>0.47759649122807019</v>
      </c>
    </row>
    <row r="3082" spans="39:45">
      <c r="AM3082" s="54">
        <v>2019</v>
      </c>
      <c r="AN3082" s="54" t="s">
        <v>96</v>
      </c>
      <c r="AO3082" s="54">
        <v>9</v>
      </c>
      <c r="AP3082" s="54">
        <v>8</v>
      </c>
      <c r="AQ3082" s="54">
        <v>17539.5</v>
      </c>
      <c r="AR3082" s="55">
        <v>28500</v>
      </c>
      <c r="AS3082" s="78">
        <f t="shared" si="52"/>
        <v>0.61542105263157898</v>
      </c>
    </row>
    <row r="3083" spans="39:45">
      <c r="AM3083" s="55">
        <v>2019</v>
      </c>
      <c r="AN3083" s="55" t="s">
        <v>96</v>
      </c>
      <c r="AO3083" s="55">
        <v>9</v>
      </c>
      <c r="AP3083" s="55">
        <v>9</v>
      </c>
      <c r="AQ3083" s="55">
        <v>19596.5</v>
      </c>
      <c r="AR3083" s="55">
        <v>28500</v>
      </c>
      <c r="AS3083" s="78">
        <f t="shared" si="52"/>
        <v>0.68759649122807021</v>
      </c>
    </row>
    <row r="3084" spans="39:45">
      <c r="AM3084" s="54">
        <v>2019</v>
      </c>
      <c r="AN3084" s="54" t="s">
        <v>96</v>
      </c>
      <c r="AO3084" s="54">
        <v>9</v>
      </c>
      <c r="AP3084" s="54">
        <v>10</v>
      </c>
      <c r="AQ3084" s="54">
        <v>16424.5</v>
      </c>
      <c r="AR3084" s="55">
        <v>28500</v>
      </c>
      <c r="AS3084" s="78">
        <f t="shared" si="52"/>
        <v>0.57629824561403509</v>
      </c>
    </row>
    <row r="3085" spans="39:45">
      <c r="AM3085" s="55">
        <v>2019</v>
      </c>
      <c r="AN3085" s="55" t="s">
        <v>96</v>
      </c>
      <c r="AO3085" s="55">
        <v>9</v>
      </c>
      <c r="AP3085" s="55">
        <v>11</v>
      </c>
      <c r="AQ3085" s="55">
        <v>34346.5</v>
      </c>
      <c r="AR3085" s="55">
        <v>28500</v>
      </c>
      <c r="AS3085" s="78">
        <f t="shared" si="52"/>
        <v>1.205140350877193</v>
      </c>
    </row>
    <row r="3086" spans="39:45">
      <c r="AM3086" s="54">
        <v>2019</v>
      </c>
      <c r="AN3086" s="54" t="s">
        <v>96</v>
      </c>
      <c r="AO3086" s="54">
        <v>9</v>
      </c>
      <c r="AP3086" s="54">
        <v>12</v>
      </c>
      <c r="AQ3086" s="54">
        <v>4727</v>
      </c>
      <c r="AR3086" s="55">
        <v>28500</v>
      </c>
      <c r="AS3086" s="78">
        <f t="shared" si="52"/>
        <v>0.16585964912280701</v>
      </c>
    </row>
    <row r="3087" spans="39:45">
      <c r="AM3087" s="55">
        <v>2019</v>
      </c>
      <c r="AN3087" s="55" t="s">
        <v>96</v>
      </c>
      <c r="AO3087" s="55">
        <v>9</v>
      </c>
      <c r="AP3087" s="55">
        <v>13</v>
      </c>
      <c r="AQ3087" s="55">
        <v>2489.5</v>
      </c>
      <c r="AR3087" s="55">
        <v>28500</v>
      </c>
      <c r="AS3087" s="78">
        <f t="shared" si="52"/>
        <v>8.7350877192982457E-2</v>
      </c>
    </row>
    <row r="3088" spans="39:45">
      <c r="AM3088" s="54">
        <v>2019</v>
      </c>
      <c r="AN3088" s="54" t="s">
        <v>96</v>
      </c>
      <c r="AO3088" s="54">
        <v>9</v>
      </c>
      <c r="AP3088" s="54">
        <v>14</v>
      </c>
      <c r="AQ3088" s="54">
        <v>6295.5</v>
      </c>
      <c r="AR3088" s="55">
        <v>28500</v>
      </c>
      <c r="AS3088" s="78">
        <f t="shared" si="52"/>
        <v>0.22089473684210525</v>
      </c>
    </row>
    <row r="3089" spans="39:45">
      <c r="AM3089" s="55">
        <v>2019</v>
      </c>
      <c r="AN3089" s="55" t="s">
        <v>96</v>
      </c>
      <c r="AO3089" s="55">
        <v>9</v>
      </c>
      <c r="AP3089" s="55">
        <v>15</v>
      </c>
      <c r="AQ3089" s="55">
        <v>6451.5</v>
      </c>
      <c r="AR3089" s="55">
        <v>28500</v>
      </c>
      <c r="AS3089" s="78">
        <f t="shared" si="52"/>
        <v>0.22636842105263158</v>
      </c>
    </row>
    <row r="3090" spans="39:45">
      <c r="AM3090" s="54">
        <v>2019</v>
      </c>
      <c r="AN3090" s="54" t="s">
        <v>96</v>
      </c>
      <c r="AO3090" s="54">
        <v>9</v>
      </c>
      <c r="AP3090" s="54">
        <v>16</v>
      </c>
      <c r="AQ3090" s="54">
        <v>3022</v>
      </c>
      <c r="AR3090" s="55">
        <v>28500</v>
      </c>
      <c r="AS3090" s="78">
        <f t="shared" si="52"/>
        <v>0.10603508771929825</v>
      </c>
    </row>
    <row r="3091" spans="39:45">
      <c r="AM3091" s="55">
        <v>2019</v>
      </c>
      <c r="AN3091" s="55" t="s">
        <v>96</v>
      </c>
      <c r="AO3091" s="55">
        <v>9</v>
      </c>
      <c r="AP3091" s="55">
        <v>17</v>
      </c>
      <c r="AQ3091" s="55">
        <v>2810.5</v>
      </c>
      <c r="AR3091" s="55">
        <v>28500</v>
      </c>
      <c r="AS3091" s="78">
        <f t="shared" si="52"/>
        <v>9.8614035087719293E-2</v>
      </c>
    </row>
    <row r="3092" spans="39:45">
      <c r="AM3092" s="54">
        <v>2019</v>
      </c>
      <c r="AN3092" s="54" t="s">
        <v>96</v>
      </c>
      <c r="AO3092" s="54">
        <v>9</v>
      </c>
      <c r="AP3092" s="54">
        <v>18</v>
      </c>
      <c r="AQ3092" s="54">
        <v>119</v>
      </c>
      <c r="AR3092" s="55">
        <v>28500</v>
      </c>
      <c r="AS3092" s="78">
        <f t="shared" si="52"/>
        <v>4.175438596491228E-3</v>
      </c>
    </row>
    <row r="3093" spans="39:45">
      <c r="AM3093" s="55">
        <v>2019</v>
      </c>
      <c r="AN3093" s="55" t="s">
        <v>96</v>
      </c>
      <c r="AO3093" s="55">
        <v>9</v>
      </c>
      <c r="AP3093" s="55">
        <v>19</v>
      </c>
      <c r="AQ3093" s="55">
        <v>0</v>
      </c>
      <c r="AR3093" s="55">
        <v>28500</v>
      </c>
      <c r="AS3093" s="78">
        <f t="shared" si="52"/>
        <v>0</v>
      </c>
    </row>
    <row r="3094" spans="39:45">
      <c r="AM3094" s="54">
        <v>2019</v>
      </c>
      <c r="AN3094" s="54" t="s">
        <v>96</v>
      </c>
      <c r="AO3094" s="54">
        <v>9</v>
      </c>
      <c r="AP3094" s="54">
        <v>20</v>
      </c>
      <c r="AQ3094" s="54">
        <v>0</v>
      </c>
      <c r="AR3094" s="55">
        <v>28500</v>
      </c>
      <c r="AS3094" s="78">
        <f t="shared" si="52"/>
        <v>0</v>
      </c>
    </row>
    <row r="3095" spans="39:45">
      <c r="AM3095" s="55">
        <v>2019</v>
      </c>
      <c r="AN3095" s="55" t="s">
        <v>96</v>
      </c>
      <c r="AO3095" s="55">
        <v>9</v>
      </c>
      <c r="AP3095" s="55">
        <v>21</v>
      </c>
      <c r="AQ3095" s="55">
        <v>0</v>
      </c>
      <c r="AR3095" s="55">
        <v>28500</v>
      </c>
      <c r="AS3095" s="78">
        <f t="shared" si="52"/>
        <v>0</v>
      </c>
    </row>
    <row r="3096" spans="39:45">
      <c r="AM3096" s="54">
        <v>2019</v>
      </c>
      <c r="AN3096" s="54" t="s">
        <v>96</v>
      </c>
      <c r="AO3096" s="54">
        <v>9</v>
      </c>
      <c r="AP3096" s="54">
        <v>22</v>
      </c>
      <c r="AQ3096" s="54">
        <v>0</v>
      </c>
      <c r="AR3096" s="55">
        <v>28500</v>
      </c>
      <c r="AS3096" s="78">
        <f t="shared" si="52"/>
        <v>0</v>
      </c>
    </row>
    <row r="3097" spans="39:45">
      <c r="AM3097" s="55">
        <v>2019</v>
      </c>
      <c r="AN3097" s="55" t="s">
        <v>96</v>
      </c>
      <c r="AO3097" s="55">
        <v>9</v>
      </c>
      <c r="AP3097" s="55">
        <v>23</v>
      </c>
      <c r="AQ3097" s="55">
        <v>0</v>
      </c>
      <c r="AR3097" s="55">
        <v>28500</v>
      </c>
      <c r="AS3097" s="78">
        <f t="shared" si="52"/>
        <v>0</v>
      </c>
    </row>
    <row r="3098" spans="39:45">
      <c r="AM3098" s="54">
        <v>2019</v>
      </c>
      <c r="AN3098" s="54" t="s">
        <v>96</v>
      </c>
      <c r="AO3098" s="54">
        <v>10</v>
      </c>
      <c r="AP3098" s="54">
        <v>24</v>
      </c>
      <c r="AQ3098" s="54">
        <v>0</v>
      </c>
      <c r="AR3098" s="55">
        <v>28500</v>
      </c>
      <c r="AS3098" s="78">
        <f t="shared" si="52"/>
        <v>0</v>
      </c>
    </row>
    <row r="3099" spans="39:45">
      <c r="AM3099" s="55">
        <v>2019</v>
      </c>
      <c r="AN3099" s="55" t="s">
        <v>96</v>
      </c>
      <c r="AO3099" s="55">
        <v>10</v>
      </c>
      <c r="AP3099" s="55">
        <v>1</v>
      </c>
      <c r="AQ3099" s="55">
        <v>0</v>
      </c>
      <c r="AR3099" s="55">
        <v>28500</v>
      </c>
      <c r="AS3099" s="78">
        <f t="shared" si="52"/>
        <v>0</v>
      </c>
    </row>
    <row r="3100" spans="39:45">
      <c r="AM3100" s="54">
        <v>2019</v>
      </c>
      <c r="AN3100" s="54" t="s">
        <v>96</v>
      </c>
      <c r="AO3100" s="54">
        <v>10</v>
      </c>
      <c r="AP3100" s="54">
        <v>2</v>
      </c>
      <c r="AQ3100" s="54">
        <v>0</v>
      </c>
      <c r="AR3100" s="55">
        <v>28500</v>
      </c>
      <c r="AS3100" s="78">
        <f t="shared" si="52"/>
        <v>0</v>
      </c>
    </row>
    <row r="3101" spans="39:45">
      <c r="AM3101" s="55">
        <v>2019</v>
      </c>
      <c r="AN3101" s="55" t="s">
        <v>96</v>
      </c>
      <c r="AO3101" s="55">
        <v>10</v>
      </c>
      <c r="AP3101" s="55">
        <v>3</v>
      </c>
      <c r="AQ3101" s="55">
        <v>0</v>
      </c>
      <c r="AR3101" s="55">
        <v>28500</v>
      </c>
      <c r="AS3101" s="78">
        <f t="shared" si="52"/>
        <v>0</v>
      </c>
    </row>
    <row r="3102" spans="39:45">
      <c r="AM3102" s="54">
        <v>2019</v>
      </c>
      <c r="AN3102" s="54" t="s">
        <v>96</v>
      </c>
      <c r="AO3102" s="54">
        <v>10</v>
      </c>
      <c r="AP3102" s="54">
        <v>4</v>
      </c>
      <c r="AQ3102" s="54">
        <v>0</v>
      </c>
      <c r="AR3102" s="55">
        <v>28500</v>
      </c>
      <c r="AS3102" s="78">
        <f t="shared" si="52"/>
        <v>0</v>
      </c>
    </row>
    <row r="3103" spans="39:45">
      <c r="AM3103" s="55">
        <v>2019</v>
      </c>
      <c r="AN3103" s="55" t="s">
        <v>96</v>
      </c>
      <c r="AO3103" s="55">
        <v>10</v>
      </c>
      <c r="AP3103" s="55">
        <v>5</v>
      </c>
      <c r="AQ3103" s="55">
        <v>194</v>
      </c>
      <c r="AR3103" s="55">
        <v>28500</v>
      </c>
      <c r="AS3103" s="78">
        <f t="shared" si="52"/>
        <v>6.8070175438596494E-3</v>
      </c>
    </row>
    <row r="3104" spans="39:45">
      <c r="AM3104" s="54">
        <v>2019</v>
      </c>
      <c r="AN3104" s="54" t="s">
        <v>96</v>
      </c>
      <c r="AO3104" s="54">
        <v>10</v>
      </c>
      <c r="AP3104" s="54">
        <v>6</v>
      </c>
      <c r="AQ3104" s="54">
        <v>3759.5</v>
      </c>
      <c r="AR3104" s="55">
        <v>28500</v>
      </c>
      <c r="AS3104" s="78">
        <f t="shared" si="52"/>
        <v>0.1319122807017544</v>
      </c>
    </row>
    <row r="3105" spans="39:45">
      <c r="AM3105" s="55">
        <v>2019</v>
      </c>
      <c r="AN3105" s="55" t="s">
        <v>96</v>
      </c>
      <c r="AO3105" s="55">
        <v>10</v>
      </c>
      <c r="AP3105" s="55">
        <v>7</v>
      </c>
      <c r="AQ3105" s="55">
        <v>6222</v>
      </c>
      <c r="AR3105" s="55">
        <v>28500</v>
      </c>
      <c r="AS3105" s="78">
        <f t="shared" si="52"/>
        <v>0.21831578947368421</v>
      </c>
    </row>
    <row r="3106" spans="39:45">
      <c r="AM3106" s="54">
        <v>2019</v>
      </c>
      <c r="AN3106" s="54" t="s">
        <v>96</v>
      </c>
      <c r="AO3106" s="54">
        <v>10</v>
      </c>
      <c r="AP3106" s="54">
        <v>8</v>
      </c>
      <c r="AQ3106" s="54">
        <v>12014</v>
      </c>
      <c r="AR3106" s="55">
        <v>28500</v>
      </c>
      <c r="AS3106" s="78">
        <f t="shared" si="52"/>
        <v>0.42154385964912283</v>
      </c>
    </row>
    <row r="3107" spans="39:45">
      <c r="AM3107" s="55">
        <v>2019</v>
      </c>
      <c r="AN3107" s="55" t="s">
        <v>96</v>
      </c>
      <c r="AO3107" s="55">
        <v>10</v>
      </c>
      <c r="AP3107" s="55">
        <v>9</v>
      </c>
      <c r="AQ3107" s="55">
        <v>26048</v>
      </c>
      <c r="AR3107" s="55">
        <v>28500</v>
      </c>
      <c r="AS3107" s="78">
        <f t="shared" si="52"/>
        <v>0.91396491228070176</v>
      </c>
    </row>
    <row r="3108" spans="39:45">
      <c r="AM3108" s="54">
        <v>2019</v>
      </c>
      <c r="AN3108" s="54" t="s">
        <v>96</v>
      </c>
      <c r="AO3108" s="54">
        <v>10</v>
      </c>
      <c r="AP3108" s="54">
        <v>10</v>
      </c>
      <c r="AQ3108" s="54">
        <v>22922.5</v>
      </c>
      <c r="AR3108" s="55">
        <v>28500</v>
      </c>
      <c r="AS3108" s="78">
        <f t="shared" si="52"/>
        <v>0.80429824561403507</v>
      </c>
    </row>
    <row r="3109" spans="39:45">
      <c r="AM3109" s="55">
        <v>2019</v>
      </c>
      <c r="AN3109" s="55" t="s">
        <v>96</v>
      </c>
      <c r="AO3109" s="55">
        <v>10</v>
      </c>
      <c r="AP3109" s="55">
        <v>11</v>
      </c>
      <c r="AQ3109" s="55">
        <v>26300.5</v>
      </c>
      <c r="AR3109" s="55">
        <v>28500</v>
      </c>
      <c r="AS3109" s="78">
        <f t="shared" si="52"/>
        <v>0.92282456140350877</v>
      </c>
    </row>
    <row r="3110" spans="39:45">
      <c r="AM3110" s="54">
        <v>2019</v>
      </c>
      <c r="AN3110" s="54" t="s">
        <v>96</v>
      </c>
      <c r="AO3110" s="54">
        <v>10</v>
      </c>
      <c r="AP3110" s="54">
        <v>12</v>
      </c>
      <c r="AQ3110" s="54">
        <v>9439</v>
      </c>
      <c r="AR3110" s="55">
        <v>28500</v>
      </c>
      <c r="AS3110" s="78">
        <f t="shared" si="52"/>
        <v>0.33119298245614037</v>
      </c>
    </row>
    <row r="3111" spans="39:45">
      <c r="AM3111" s="55">
        <v>2019</v>
      </c>
      <c r="AN3111" s="55" t="s">
        <v>96</v>
      </c>
      <c r="AO3111" s="55">
        <v>10</v>
      </c>
      <c r="AP3111" s="55">
        <v>13</v>
      </c>
      <c r="AQ3111" s="55">
        <v>9894.5</v>
      </c>
      <c r="AR3111" s="55">
        <v>28500</v>
      </c>
      <c r="AS3111" s="78">
        <f t="shared" si="52"/>
        <v>0.34717543859649125</v>
      </c>
    </row>
    <row r="3112" spans="39:45">
      <c r="AM3112" s="54">
        <v>2019</v>
      </c>
      <c r="AN3112" s="54" t="s">
        <v>96</v>
      </c>
      <c r="AO3112" s="54">
        <v>10</v>
      </c>
      <c r="AP3112" s="54">
        <v>14</v>
      </c>
      <c r="AQ3112" s="54">
        <v>28987.5</v>
      </c>
      <c r="AR3112" s="55">
        <v>28500</v>
      </c>
      <c r="AS3112" s="78">
        <f t="shared" si="52"/>
        <v>1.0171052631578947</v>
      </c>
    </row>
    <row r="3113" spans="39:45">
      <c r="AM3113" s="55">
        <v>2019</v>
      </c>
      <c r="AN3113" s="55" t="s">
        <v>96</v>
      </c>
      <c r="AO3113" s="55">
        <v>10</v>
      </c>
      <c r="AP3113" s="55">
        <v>15</v>
      </c>
      <c r="AQ3113" s="55">
        <v>27034.5</v>
      </c>
      <c r="AR3113" s="55">
        <v>28500</v>
      </c>
      <c r="AS3113" s="78">
        <f t="shared" si="52"/>
        <v>0.94857894736842108</v>
      </c>
    </row>
    <row r="3114" spans="39:45">
      <c r="AM3114" s="54">
        <v>2019</v>
      </c>
      <c r="AN3114" s="54" t="s">
        <v>96</v>
      </c>
      <c r="AO3114" s="54">
        <v>10</v>
      </c>
      <c r="AP3114" s="54">
        <v>16</v>
      </c>
      <c r="AQ3114" s="54">
        <v>15114</v>
      </c>
      <c r="AR3114" s="55">
        <v>28500</v>
      </c>
      <c r="AS3114" s="78">
        <f t="shared" si="52"/>
        <v>0.53031578947368418</v>
      </c>
    </row>
    <row r="3115" spans="39:45">
      <c r="AM3115" s="55">
        <v>2019</v>
      </c>
      <c r="AN3115" s="55" t="s">
        <v>96</v>
      </c>
      <c r="AO3115" s="55">
        <v>10</v>
      </c>
      <c r="AP3115" s="55">
        <v>17</v>
      </c>
      <c r="AQ3115" s="55">
        <v>7176</v>
      </c>
      <c r="AR3115" s="55">
        <v>28500</v>
      </c>
      <c r="AS3115" s="78">
        <f t="shared" si="52"/>
        <v>0.25178947368421051</v>
      </c>
    </row>
    <row r="3116" spans="39:45">
      <c r="AM3116" s="54">
        <v>2019</v>
      </c>
      <c r="AN3116" s="54" t="s">
        <v>96</v>
      </c>
      <c r="AO3116" s="54">
        <v>10</v>
      </c>
      <c r="AP3116" s="54">
        <v>18</v>
      </c>
      <c r="AQ3116" s="54">
        <v>1504</v>
      </c>
      <c r="AR3116" s="55">
        <v>28500</v>
      </c>
      <c r="AS3116" s="78">
        <f t="shared" si="52"/>
        <v>5.27719298245614E-2</v>
      </c>
    </row>
    <row r="3117" spans="39:45">
      <c r="AM3117" s="55">
        <v>2019</v>
      </c>
      <c r="AN3117" s="55" t="s">
        <v>96</v>
      </c>
      <c r="AO3117" s="55">
        <v>10</v>
      </c>
      <c r="AP3117" s="55">
        <v>19</v>
      </c>
      <c r="AQ3117" s="55">
        <v>20.5</v>
      </c>
      <c r="AR3117" s="55">
        <v>28500</v>
      </c>
      <c r="AS3117" s="78">
        <f t="shared" si="52"/>
        <v>7.1929824561403513E-4</v>
      </c>
    </row>
    <row r="3118" spans="39:45">
      <c r="AM3118" s="54">
        <v>2019</v>
      </c>
      <c r="AN3118" s="54" t="s">
        <v>96</v>
      </c>
      <c r="AO3118" s="54">
        <v>10</v>
      </c>
      <c r="AP3118" s="54">
        <v>20</v>
      </c>
      <c r="AQ3118" s="54">
        <v>0</v>
      </c>
      <c r="AR3118" s="55">
        <v>28500</v>
      </c>
      <c r="AS3118" s="78">
        <f t="shared" si="52"/>
        <v>0</v>
      </c>
    </row>
    <row r="3119" spans="39:45">
      <c r="AM3119" s="55">
        <v>2019</v>
      </c>
      <c r="AN3119" s="55" t="s">
        <v>96</v>
      </c>
      <c r="AO3119" s="55">
        <v>10</v>
      </c>
      <c r="AP3119" s="55">
        <v>21</v>
      </c>
      <c r="AQ3119" s="55">
        <v>0</v>
      </c>
      <c r="AR3119" s="55">
        <v>28500</v>
      </c>
      <c r="AS3119" s="78">
        <f t="shared" si="52"/>
        <v>0</v>
      </c>
    </row>
    <row r="3120" spans="39:45">
      <c r="AM3120" s="54">
        <v>2019</v>
      </c>
      <c r="AN3120" s="54" t="s">
        <v>96</v>
      </c>
      <c r="AO3120" s="54">
        <v>10</v>
      </c>
      <c r="AP3120" s="54">
        <v>22</v>
      </c>
      <c r="AQ3120" s="54">
        <v>0</v>
      </c>
      <c r="AR3120" s="55">
        <v>28500</v>
      </c>
      <c r="AS3120" s="78">
        <f t="shared" si="52"/>
        <v>0</v>
      </c>
    </row>
    <row r="3121" spans="39:45">
      <c r="AM3121" s="55">
        <v>2019</v>
      </c>
      <c r="AN3121" s="55" t="s">
        <v>96</v>
      </c>
      <c r="AO3121" s="55">
        <v>10</v>
      </c>
      <c r="AP3121" s="55">
        <v>23</v>
      </c>
      <c r="AQ3121" s="55">
        <v>0</v>
      </c>
      <c r="AR3121" s="55">
        <v>28500</v>
      </c>
      <c r="AS3121" s="78">
        <f t="shared" si="52"/>
        <v>0</v>
      </c>
    </row>
    <row r="3122" spans="39:45">
      <c r="AM3122" s="54">
        <v>2019</v>
      </c>
      <c r="AN3122" s="54" t="s">
        <v>96</v>
      </c>
      <c r="AO3122" s="54">
        <v>11</v>
      </c>
      <c r="AP3122" s="54">
        <v>24</v>
      </c>
      <c r="AQ3122" s="54">
        <v>0</v>
      </c>
      <c r="AR3122" s="55">
        <v>28500</v>
      </c>
      <c r="AS3122" s="78">
        <f t="shared" si="52"/>
        <v>0</v>
      </c>
    </row>
    <row r="3123" spans="39:45">
      <c r="AM3123" s="55">
        <v>2019</v>
      </c>
      <c r="AN3123" s="55" t="s">
        <v>96</v>
      </c>
      <c r="AO3123" s="55">
        <v>11</v>
      </c>
      <c r="AP3123" s="55">
        <v>1</v>
      </c>
      <c r="AQ3123" s="55">
        <v>0</v>
      </c>
      <c r="AR3123" s="55">
        <v>28500</v>
      </c>
      <c r="AS3123" s="78">
        <f t="shared" si="52"/>
        <v>0</v>
      </c>
    </row>
    <row r="3124" spans="39:45">
      <c r="AM3124" s="54">
        <v>2019</v>
      </c>
      <c r="AN3124" s="54" t="s">
        <v>96</v>
      </c>
      <c r="AO3124" s="54">
        <v>11</v>
      </c>
      <c r="AP3124" s="54">
        <v>2</v>
      </c>
      <c r="AQ3124" s="54">
        <v>0</v>
      </c>
      <c r="AR3124" s="55">
        <v>28500</v>
      </c>
      <c r="AS3124" s="78">
        <f t="shared" si="52"/>
        <v>0</v>
      </c>
    </row>
    <row r="3125" spans="39:45">
      <c r="AM3125" s="55">
        <v>2019</v>
      </c>
      <c r="AN3125" s="55" t="s">
        <v>96</v>
      </c>
      <c r="AO3125" s="55">
        <v>11</v>
      </c>
      <c r="AP3125" s="55">
        <v>3</v>
      </c>
      <c r="AQ3125" s="55">
        <v>0</v>
      </c>
      <c r="AR3125" s="55">
        <v>28500</v>
      </c>
      <c r="AS3125" s="78">
        <f t="shared" si="52"/>
        <v>0</v>
      </c>
    </row>
    <row r="3126" spans="39:45">
      <c r="AM3126" s="54">
        <v>2019</v>
      </c>
      <c r="AN3126" s="54" t="s">
        <v>96</v>
      </c>
      <c r="AO3126" s="54">
        <v>11</v>
      </c>
      <c r="AP3126" s="54">
        <v>4</v>
      </c>
      <c r="AQ3126" s="54">
        <v>0</v>
      </c>
      <c r="AR3126" s="55">
        <v>28500</v>
      </c>
      <c r="AS3126" s="78">
        <f t="shared" si="52"/>
        <v>0</v>
      </c>
    </row>
    <row r="3127" spans="39:45">
      <c r="AM3127" s="55">
        <v>2019</v>
      </c>
      <c r="AN3127" s="55" t="s">
        <v>96</v>
      </c>
      <c r="AO3127" s="55">
        <v>11</v>
      </c>
      <c r="AP3127" s="55">
        <v>5</v>
      </c>
      <c r="AQ3127" s="55">
        <v>674</v>
      </c>
      <c r="AR3127" s="55">
        <v>28500</v>
      </c>
      <c r="AS3127" s="78">
        <f t="shared" si="52"/>
        <v>2.3649122807017545E-2</v>
      </c>
    </row>
    <row r="3128" spans="39:45">
      <c r="AM3128" s="54">
        <v>2019</v>
      </c>
      <c r="AN3128" s="54" t="s">
        <v>96</v>
      </c>
      <c r="AO3128" s="54">
        <v>11</v>
      </c>
      <c r="AP3128" s="54">
        <v>6</v>
      </c>
      <c r="AQ3128" s="54">
        <v>4004.5</v>
      </c>
      <c r="AR3128" s="55">
        <v>28500</v>
      </c>
      <c r="AS3128" s="78">
        <f t="shared" si="52"/>
        <v>0.14050877192982456</v>
      </c>
    </row>
    <row r="3129" spans="39:45">
      <c r="AM3129" s="55">
        <v>2019</v>
      </c>
      <c r="AN3129" s="55" t="s">
        <v>96</v>
      </c>
      <c r="AO3129" s="55">
        <v>11</v>
      </c>
      <c r="AP3129" s="55">
        <v>7</v>
      </c>
      <c r="AQ3129" s="55">
        <v>2473</v>
      </c>
      <c r="AR3129" s="55">
        <v>28500</v>
      </c>
      <c r="AS3129" s="78">
        <f t="shared" si="52"/>
        <v>8.6771929824561403E-2</v>
      </c>
    </row>
    <row r="3130" spans="39:45">
      <c r="AM3130" s="54">
        <v>2019</v>
      </c>
      <c r="AN3130" s="54" t="s">
        <v>96</v>
      </c>
      <c r="AO3130" s="54">
        <v>11</v>
      </c>
      <c r="AP3130" s="54">
        <v>8</v>
      </c>
      <c r="AQ3130" s="54">
        <v>2915</v>
      </c>
      <c r="AR3130" s="55">
        <v>28500</v>
      </c>
      <c r="AS3130" s="78">
        <f t="shared" si="52"/>
        <v>0.10228070175438596</v>
      </c>
    </row>
    <row r="3131" spans="39:45">
      <c r="AM3131" s="55">
        <v>2019</v>
      </c>
      <c r="AN3131" s="55" t="s">
        <v>96</v>
      </c>
      <c r="AO3131" s="55">
        <v>11</v>
      </c>
      <c r="AP3131" s="55">
        <v>9</v>
      </c>
      <c r="AQ3131" s="55">
        <v>3901.5</v>
      </c>
      <c r="AR3131" s="55">
        <v>28500</v>
      </c>
      <c r="AS3131" s="78">
        <f t="shared" si="52"/>
        <v>0.13689473684210526</v>
      </c>
    </row>
    <row r="3132" spans="39:45">
      <c r="AM3132" s="54">
        <v>2019</v>
      </c>
      <c r="AN3132" s="54" t="s">
        <v>96</v>
      </c>
      <c r="AO3132" s="54">
        <v>11</v>
      </c>
      <c r="AP3132" s="54">
        <v>10</v>
      </c>
      <c r="AQ3132" s="54">
        <v>16118</v>
      </c>
      <c r="AR3132" s="55">
        <v>28500</v>
      </c>
      <c r="AS3132" s="78">
        <f t="shared" si="52"/>
        <v>0.56554385964912279</v>
      </c>
    </row>
    <row r="3133" spans="39:45">
      <c r="AM3133" s="55">
        <v>2019</v>
      </c>
      <c r="AN3133" s="55" t="s">
        <v>96</v>
      </c>
      <c r="AO3133" s="55">
        <v>11</v>
      </c>
      <c r="AP3133" s="55">
        <v>11</v>
      </c>
      <c r="AQ3133" s="55">
        <v>19731.5</v>
      </c>
      <c r="AR3133" s="55">
        <v>28500</v>
      </c>
      <c r="AS3133" s="78">
        <f t="shared" si="52"/>
        <v>0.69233333333333336</v>
      </c>
    </row>
    <row r="3134" spans="39:45">
      <c r="AM3134" s="54">
        <v>2019</v>
      </c>
      <c r="AN3134" s="54" t="s">
        <v>96</v>
      </c>
      <c r="AO3134" s="54">
        <v>11</v>
      </c>
      <c r="AP3134" s="54">
        <v>12</v>
      </c>
      <c r="AQ3134" s="54">
        <v>8731.5</v>
      </c>
      <c r="AR3134" s="55">
        <v>28500</v>
      </c>
      <c r="AS3134" s="78">
        <f t="shared" si="52"/>
        <v>0.30636842105263157</v>
      </c>
    </row>
    <row r="3135" spans="39:45">
      <c r="AM3135" s="55">
        <v>2019</v>
      </c>
      <c r="AN3135" s="55" t="s">
        <v>96</v>
      </c>
      <c r="AO3135" s="55">
        <v>11</v>
      </c>
      <c r="AP3135" s="55">
        <v>13</v>
      </c>
      <c r="AQ3135" s="55">
        <v>23509</v>
      </c>
      <c r="AR3135" s="55">
        <v>28500</v>
      </c>
      <c r="AS3135" s="78">
        <f t="shared" si="52"/>
        <v>0.8248771929824561</v>
      </c>
    </row>
    <row r="3136" spans="39:45">
      <c r="AM3136" s="54">
        <v>2019</v>
      </c>
      <c r="AN3136" s="54" t="s">
        <v>96</v>
      </c>
      <c r="AO3136" s="54">
        <v>11</v>
      </c>
      <c r="AP3136" s="54">
        <v>14</v>
      </c>
      <c r="AQ3136" s="54">
        <v>23520</v>
      </c>
      <c r="AR3136" s="55">
        <v>28500</v>
      </c>
      <c r="AS3136" s="78">
        <f t="shared" si="52"/>
        <v>0.82526315789473681</v>
      </c>
    </row>
    <row r="3137" spans="39:45">
      <c r="AM3137" s="55">
        <v>2019</v>
      </c>
      <c r="AN3137" s="55" t="s">
        <v>96</v>
      </c>
      <c r="AO3137" s="55">
        <v>11</v>
      </c>
      <c r="AP3137" s="55">
        <v>15</v>
      </c>
      <c r="AQ3137" s="55">
        <v>11240.5</v>
      </c>
      <c r="AR3137" s="55">
        <v>28500</v>
      </c>
      <c r="AS3137" s="78">
        <f t="shared" si="52"/>
        <v>0.39440350877192981</v>
      </c>
    </row>
    <row r="3138" spans="39:45">
      <c r="AM3138" s="54">
        <v>2019</v>
      </c>
      <c r="AN3138" s="54" t="s">
        <v>96</v>
      </c>
      <c r="AO3138" s="54">
        <v>11</v>
      </c>
      <c r="AP3138" s="54">
        <v>16</v>
      </c>
      <c r="AQ3138" s="54">
        <v>13791</v>
      </c>
      <c r="AR3138" s="55">
        <v>28500</v>
      </c>
      <c r="AS3138" s="78">
        <f t="shared" ref="AS3138:AS3201" si="53">AQ3138/AR3138</f>
        <v>0.48389473684210527</v>
      </c>
    </row>
    <row r="3139" spans="39:45">
      <c r="AM3139" s="55">
        <v>2019</v>
      </c>
      <c r="AN3139" s="55" t="s">
        <v>96</v>
      </c>
      <c r="AO3139" s="55">
        <v>11</v>
      </c>
      <c r="AP3139" s="55">
        <v>17</v>
      </c>
      <c r="AQ3139" s="55">
        <v>8364</v>
      </c>
      <c r="AR3139" s="55">
        <v>28500</v>
      </c>
      <c r="AS3139" s="78">
        <f t="shared" si="53"/>
        <v>0.29347368421052633</v>
      </c>
    </row>
    <row r="3140" spans="39:45">
      <c r="AM3140" s="54">
        <v>2019</v>
      </c>
      <c r="AN3140" s="54" t="s">
        <v>96</v>
      </c>
      <c r="AO3140" s="54">
        <v>11</v>
      </c>
      <c r="AP3140" s="54">
        <v>18</v>
      </c>
      <c r="AQ3140" s="54">
        <v>1672.5</v>
      </c>
      <c r="AR3140" s="55">
        <v>28500</v>
      </c>
      <c r="AS3140" s="78">
        <f t="shared" si="53"/>
        <v>5.868421052631579E-2</v>
      </c>
    </row>
    <row r="3141" spans="39:45">
      <c r="AM3141" s="55">
        <v>2019</v>
      </c>
      <c r="AN3141" s="55" t="s">
        <v>96</v>
      </c>
      <c r="AO3141" s="55">
        <v>11</v>
      </c>
      <c r="AP3141" s="55">
        <v>19</v>
      </c>
      <c r="AQ3141" s="55">
        <v>0</v>
      </c>
      <c r="AR3141" s="55">
        <v>28500</v>
      </c>
      <c r="AS3141" s="78">
        <f t="shared" si="53"/>
        <v>0</v>
      </c>
    </row>
    <row r="3142" spans="39:45">
      <c r="AM3142" s="54">
        <v>2019</v>
      </c>
      <c r="AN3142" s="54" t="s">
        <v>96</v>
      </c>
      <c r="AO3142" s="54">
        <v>11</v>
      </c>
      <c r="AP3142" s="54">
        <v>20</v>
      </c>
      <c r="AQ3142" s="54">
        <v>0</v>
      </c>
      <c r="AR3142" s="55">
        <v>28500</v>
      </c>
      <c r="AS3142" s="78">
        <f t="shared" si="53"/>
        <v>0</v>
      </c>
    </row>
    <row r="3143" spans="39:45">
      <c r="AM3143" s="55">
        <v>2019</v>
      </c>
      <c r="AN3143" s="55" t="s">
        <v>96</v>
      </c>
      <c r="AO3143" s="55">
        <v>11</v>
      </c>
      <c r="AP3143" s="55">
        <v>21</v>
      </c>
      <c r="AQ3143" s="55">
        <v>0</v>
      </c>
      <c r="AR3143" s="55">
        <v>28500</v>
      </c>
      <c r="AS3143" s="78">
        <f t="shared" si="53"/>
        <v>0</v>
      </c>
    </row>
    <row r="3144" spans="39:45">
      <c r="AM3144" s="54">
        <v>2019</v>
      </c>
      <c r="AN3144" s="54" t="s">
        <v>96</v>
      </c>
      <c r="AO3144" s="54">
        <v>11</v>
      </c>
      <c r="AP3144" s="54">
        <v>22</v>
      </c>
      <c r="AQ3144" s="54">
        <v>0</v>
      </c>
      <c r="AR3144" s="55">
        <v>28500</v>
      </c>
      <c r="AS3144" s="78">
        <f t="shared" si="53"/>
        <v>0</v>
      </c>
    </row>
    <row r="3145" spans="39:45">
      <c r="AM3145" s="55">
        <v>2019</v>
      </c>
      <c r="AN3145" s="55" t="s">
        <v>96</v>
      </c>
      <c r="AO3145" s="55">
        <v>11</v>
      </c>
      <c r="AP3145" s="55">
        <v>23</v>
      </c>
      <c r="AQ3145" s="55">
        <v>0</v>
      </c>
      <c r="AR3145" s="55">
        <v>28500</v>
      </c>
      <c r="AS3145" s="78">
        <f t="shared" si="53"/>
        <v>0</v>
      </c>
    </row>
    <row r="3146" spans="39:45">
      <c r="AM3146" s="54">
        <v>2019</v>
      </c>
      <c r="AN3146" s="54" t="s">
        <v>96</v>
      </c>
      <c r="AO3146" s="54">
        <v>12</v>
      </c>
      <c r="AP3146" s="54">
        <v>24</v>
      </c>
      <c r="AQ3146" s="54">
        <v>0</v>
      </c>
      <c r="AR3146" s="55">
        <v>28500</v>
      </c>
      <c r="AS3146" s="78">
        <f t="shared" si="53"/>
        <v>0</v>
      </c>
    </row>
    <row r="3147" spans="39:45">
      <c r="AM3147" s="55">
        <v>2019</v>
      </c>
      <c r="AN3147" s="55" t="s">
        <v>96</v>
      </c>
      <c r="AO3147" s="55">
        <v>12</v>
      </c>
      <c r="AP3147" s="55">
        <v>1</v>
      </c>
      <c r="AQ3147" s="55">
        <v>0</v>
      </c>
      <c r="AR3147" s="55">
        <v>28500</v>
      </c>
      <c r="AS3147" s="78">
        <f t="shared" si="53"/>
        <v>0</v>
      </c>
    </row>
    <row r="3148" spans="39:45">
      <c r="AM3148" s="54">
        <v>2019</v>
      </c>
      <c r="AN3148" s="54" t="s">
        <v>96</v>
      </c>
      <c r="AO3148" s="54">
        <v>12</v>
      </c>
      <c r="AP3148" s="54">
        <v>2</v>
      </c>
      <c r="AQ3148" s="54">
        <v>0</v>
      </c>
      <c r="AR3148" s="55">
        <v>28500</v>
      </c>
      <c r="AS3148" s="78">
        <f t="shared" si="53"/>
        <v>0</v>
      </c>
    </row>
    <row r="3149" spans="39:45">
      <c r="AM3149" s="55">
        <v>2019</v>
      </c>
      <c r="AN3149" s="55" t="s">
        <v>96</v>
      </c>
      <c r="AO3149" s="55">
        <v>12</v>
      </c>
      <c r="AP3149" s="55">
        <v>3</v>
      </c>
      <c r="AQ3149" s="55">
        <v>0</v>
      </c>
      <c r="AR3149" s="55">
        <v>28500</v>
      </c>
      <c r="AS3149" s="78">
        <f t="shared" si="53"/>
        <v>0</v>
      </c>
    </row>
    <row r="3150" spans="39:45">
      <c r="AM3150" s="54">
        <v>2019</v>
      </c>
      <c r="AN3150" s="54" t="s">
        <v>96</v>
      </c>
      <c r="AO3150" s="54">
        <v>12</v>
      </c>
      <c r="AP3150" s="54">
        <v>4</v>
      </c>
      <c r="AQ3150" s="54">
        <v>0</v>
      </c>
      <c r="AR3150" s="55">
        <v>28500</v>
      </c>
      <c r="AS3150" s="78">
        <f t="shared" si="53"/>
        <v>0</v>
      </c>
    </row>
    <row r="3151" spans="39:45">
      <c r="AM3151" s="55">
        <v>2019</v>
      </c>
      <c r="AN3151" s="55" t="s">
        <v>96</v>
      </c>
      <c r="AO3151" s="55">
        <v>12</v>
      </c>
      <c r="AP3151" s="55">
        <v>5</v>
      </c>
      <c r="AQ3151" s="55">
        <v>1089.5</v>
      </c>
      <c r="AR3151" s="55">
        <v>28500</v>
      </c>
      <c r="AS3151" s="78">
        <f t="shared" si="53"/>
        <v>3.8228070175438597E-2</v>
      </c>
    </row>
    <row r="3152" spans="39:45">
      <c r="AM3152" s="54">
        <v>2019</v>
      </c>
      <c r="AN3152" s="54" t="s">
        <v>96</v>
      </c>
      <c r="AO3152" s="54">
        <v>12</v>
      </c>
      <c r="AP3152" s="54">
        <v>6</v>
      </c>
      <c r="AQ3152" s="54">
        <v>3655</v>
      </c>
      <c r="AR3152" s="55">
        <v>28500</v>
      </c>
      <c r="AS3152" s="78">
        <f t="shared" si="53"/>
        <v>0.12824561403508772</v>
      </c>
    </row>
    <row r="3153" spans="39:45">
      <c r="AM3153" s="55">
        <v>2019</v>
      </c>
      <c r="AN3153" s="55" t="s">
        <v>96</v>
      </c>
      <c r="AO3153" s="55">
        <v>12</v>
      </c>
      <c r="AP3153" s="55">
        <v>7</v>
      </c>
      <c r="AQ3153" s="55">
        <v>14102</v>
      </c>
      <c r="AR3153" s="55">
        <v>28500</v>
      </c>
      <c r="AS3153" s="78">
        <f t="shared" si="53"/>
        <v>0.49480701754385964</v>
      </c>
    </row>
    <row r="3154" spans="39:45">
      <c r="AM3154" s="54">
        <v>2019</v>
      </c>
      <c r="AN3154" s="54" t="s">
        <v>96</v>
      </c>
      <c r="AO3154" s="54">
        <v>12</v>
      </c>
      <c r="AP3154" s="54">
        <v>8</v>
      </c>
      <c r="AQ3154" s="54">
        <v>24566.5</v>
      </c>
      <c r="AR3154" s="55">
        <v>28500</v>
      </c>
      <c r="AS3154" s="78">
        <f t="shared" si="53"/>
        <v>0.86198245614035085</v>
      </c>
    </row>
    <row r="3155" spans="39:45">
      <c r="AM3155" s="55">
        <v>2019</v>
      </c>
      <c r="AN3155" s="55" t="s">
        <v>96</v>
      </c>
      <c r="AO3155" s="55">
        <v>12</v>
      </c>
      <c r="AP3155" s="55">
        <v>9</v>
      </c>
      <c r="AQ3155" s="55">
        <v>33538.5</v>
      </c>
      <c r="AR3155" s="55">
        <v>28500</v>
      </c>
      <c r="AS3155" s="78">
        <f t="shared" si="53"/>
        <v>1.1767894736842106</v>
      </c>
    </row>
    <row r="3156" spans="39:45">
      <c r="AM3156" s="54">
        <v>2019</v>
      </c>
      <c r="AN3156" s="54" t="s">
        <v>96</v>
      </c>
      <c r="AO3156" s="54">
        <v>12</v>
      </c>
      <c r="AP3156" s="54">
        <v>10</v>
      </c>
      <c r="AQ3156" s="54">
        <v>38412</v>
      </c>
      <c r="AR3156" s="55">
        <v>28500</v>
      </c>
      <c r="AS3156" s="78">
        <f t="shared" si="53"/>
        <v>1.3477894736842104</v>
      </c>
    </row>
    <row r="3157" spans="39:45">
      <c r="AM3157" s="55">
        <v>2019</v>
      </c>
      <c r="AN3157" s="55" t="s">
        <v>96</v>
      </c>
      <c r="AO3157" s="55">
        <v>12</v>
      </c>
      <c r="AP3157" s="55">
        <v>11</v>
      </c>
      <c r="AQ3157" s="55">
        <v>41201.5</v>
      </c>
      <c r="AR3157" s="55">
        <v>28500</v>
      </c>
      <c r="AS3157" s="78">
        <f t="shared" si="53"/>
        <v>1.4456666666666667</v>
      </c>
    </row>
    <row r="3158" spans="39:45">
      <c r="AM3158" s="54">
        <v>2019</v>
      </c>
      <c r="AN3158" s="54" t="s">
        <v>96</v>
      </c>
      <c r="AO3158" s="54">
        <v>12</v>
      </c>
      <c r="AP3158" s="54">
        <v>12</v>
      </c>
      <c r="AQ3158" s="54">
        <v>37018.5</v>
      </c>
      <c r="AR3158" s="55">
        <v>28500</v>
      </c>
      <c r="AS3158" s="78">
        <f t="shared" si="53"/>
        <v>1.2988947368421053</v>
      </c>
    </row>
    <row r="3159" spans="39:45">
      <c r="AM3159" s="55">
        <v>2019</v>
      </c>
      <c r="AN3159" s="55" t="s">
        <v>96</v>
      </c>
      <c r="AO3159" s="55">
        <v>12</v>
      </c>
      <c r="AP3159" s="55">
        <v>13</v>
      </c>
      <c r="AQ3159" s="55">
        <v>27179</v>
      </c>
      <c r="AR3159" s="55">
        <v>28500</v>
      </c>
      <c r="AS3159" s="78">
        <f t="shared" si="53"/>
        <v>0.95364912280701752</v>
      </c>
    </row>
    <row r="3160" spans="39:45">
      <c r="AM3160" s="54">
        <v>2019</v>
      </c>
      <c r="AN3160" s="54" t="s">
        <v>96</v>
      </c>
      <c r="AO3160" s="54">
        <v>12</v>
      </c>
      <c r="AP3160" s="54">
        <v>14</v>
      </c>
      <c r="AQ3160" s="54">
        <v>23441.5</v>
      </c>
      <c r="AR3160" s="55">
        <v>28500</v>
      </c>
      <c r="AS3160" s="78">
        <f t="shared" si="53"/>
        <v>0.82250877192982452</v>
      </c>
    </row>
    <row r="3161" spans="39:45">
      <c r="AM3161" s="55">
        <v>2019</v>
      </c>
      <c r="AN3161" s="55" t="s">
        <v>96</v>
      </c>
      <c r="AO3161" s="55">
        <v>12</v>
      </c>
      <c r="AP3161" s="55">
        <v>15</v>
      </c>
      <c r="AQ3161" s="55">
        <v>19951</v>
      </c>
      <c r="AR3161" s="55">
        <v>28500</v>
      </c>
      <c r="AS3161" s="78">
        <f t="shared" si="53"/>
        <v>0.70003508771929823</v>
      </c>
    </row>
    <row r="3162" spans="39:45">
      <c r="AM3162" s="54">
        <v>2019</v>
      </c>
      <c r="AN3162" s="54" t="s">
        <v>96</v>
      </c>
      <c r="AO3162" s="54">
        <v>12</v>
      </c>
      <c r="AP3162" s="54">
        <v>16</v>
      </c>
      <c r="AQ3162" s="54">
        <v>19231</v>
      </c>
      <c r="AR3162" s="55">
        <v>28500</v>
      </c>
      <c r="AS3162" s="78">
        <f t="shared" si="53"/>
        <v>0.67477192982456136</v>
      </c>
    </row>
    <row r="3163" spans="39:45">
      <c r="AM3163" s="55">
        <v>2019</v>
      </c>
      <c r="AN3163" s="55" t="s">
        <v>96</v>
      </c>
      <c r="AO3163" s="55">
        <v>12</v>
      </c>
      <c r="AP3163" s="55">
        <v>17</v>
      </c>
      <c r="AQ3163" s="55">
        <v>8296</v>
      </c>
      <c r="AR3163" s="55">
        <v>28500</v>
      </c>
      <c r="AS3163" s="78">
        <f t="shared" si="53"/>
        <v>0.29108771929824562</v>
      </c>
    </row>
    <row r="3164" spans="39:45">
      <c r="AM3164" s="54">
        <v>2019</v>
      </c>
      <c r="AN3164" s="54" t="s">
        <v>96</v>
      </c>
      <c r="AO3164" s="54">
        <v>12</v>
      </c>
      <c r="AP3164" s="54">
        <v>18</v>
      </c>
      <c r="AQ3164" s="54">
        <v>1059</v>
      </c>
      <c r="AR3164" s="55">
        <v>28500</v>
      </c>
      <c r="AS3164" s="78">
        <f t="shared" si="53"/>
        <v>3.7157894736842105E-2</v>
      </c>
    </row>
    <row r="3165" spans="39:45">
      <c r="AM3165" s="55">
        <v>2019</v>
      </c>
      <c r="AN3165" s="55" t="s">
        <v>96</v>
      </c>
      <c r="AO3165" s="55">
        <v>12</v>
      </c>
      <c r="AP3165" s="55">
        <v>19</v>
      </c>
      <c r="AQ3165" s="55">
        <v>57</v>
      </c>
      <c r="AR3165" s="55">
        <v>28500</v>
      </c>
      <c r="AS3165" s="78">
        <f t="shared" si="53"/>
        <v>2E-3</v>
      </c>
    </row>
    <row r="3166" spans="39:45">
      <c r="AM3166" s="54">
        <v>2019</v>
      </c>
      <c r="AN3166" s="54" t="s">
        <v>96</v>
      </c>
      <c r="AO3166" s="54">
        <v>12</v>
      </c>
      <c r="AP3166" s="54">
        <v>20</v>
      </c>
      <c r="AQ3166" s="54">
        <v>0</v>
      </c>
      <c r="AR3166" s="55">
        <v>28500</v>
      </c>
      <c r="AS3166" s="78">
        <f t="shared" si="53"/>
        <v>0</v>
      </c>
    </row>
    <row r="3167" spans="39:45">
      <c r="AM3167" s="55">
        <v>2019</v>
      </c>
      <c r="AN3167" s="55" t="s">
        <v>96</v>
      </c>
      <c r="AO3167" s="55">
        <v>12</v>
      </c>
      <c r="AP3167" s="55">
        <v>21</v>
      </c>
      <c r="AQ3167" s="55">
        <v>0</v>
      </c>
      <c r="AR3167" s="55">
        <v>28500</v>
      </c>
      <c r="AS3167" s="78">
        <f t="shared" si="53"/>
        <v>0</v>
      </c>
    </row>
    <row r="3168" spans="39:45">
      <c r="AM3168" s="54">
        <v>2019</v>
      </c>
      <c r="AN3168" s="54" t="s">
        <v>96</v>
      </c>
      <c r="AO3168" s="54">
        <v>12</v>
      </c>
      <c r="AP3168" s="54">
        <v>22</v>
      </c>
      <c r="AQ3168" s="54">
        <v>0</v>
      </c>
      <c r="AR3168" s="55">
        <v>28500</v>
      </c>
      <c r="AS3168" s="78">
        <f t="shared" si="53"/>
        <v>0</v>
      </c>
    </row>
    <row r="3169" spans="39:45">
      <c r="AM3169" s="55">
        <v>2019</v>
      </c>
      <c r="AN3169" s="55" t="s">
        <v>96</v>
      </c>
      <c r="AO3169" s="55">
        <v>12</v>
      </c>
      <c r="AP3169" s="55">
        <v>23</v>
      </c>
      <c r="AQ3169" s="55">
        <v>0</v>
      </c>
      <c r="AR3169" s="55">
        <v>28500</v>
      </c>
      <c r="AS3169" s="78">
        <f t="shared" si="53"/>
        <v>0</v>
      </c>
    </row>
    <row r="3170" spans="39:45">
      <c r="AM3170" s="54">
        <v>2019</v>
      </c>
      <c r="AN3170" s="54" t="s">
        <v>96</v>
      </c>
      <c r="AO3170" s="54">
        <v>13</v>
      </c>
      <c r="AP3170" s="54">
        <v>24</v>
      </c>
      <c r="AQ3170" s="54">
        <v>0</v>
      </c>
      <c r="AR3170" s="55">
        <v>28500</v>
      </c>
      <c r="AS3170" s="78">
        <f t="shared" si="53"/>
        <v>0</v>
      </c>
    </row>
    <row r="3171" spans="39:45">
      <c r="AM3171" s="55">
        <v>2019</v>
      </c>
      <c r="AN3171" s="55" t="s">
        <v>96</v>
      </c>
      <c r="AO3171" s="55">
        <v>13</v>
      </c>
      <c r="AP3171" s="55">
        <v>1</v>
      </c>
      <c r="AQ3171" s="55">
        <v>0</v>
      </c>
      <c r="AR3171" s="55">
        <v>28500</v>
      </c>
      <c r="AS3171" s="78">
        <f t="shared" si="53"/>
        <v>0</v>
      </c>
    </row>
    <row r="3172" spans="39:45">
      <c r="AM3172" s="54">
        <v>2019</v>
      </c>
      <c r="AN3172" s="54" t="s">
        <v>96</v>
      </c>
      <c r="AO3172" s="54">
        <v>13</v>
      </c>
      <c r="AP3172" s="54">
        <v>2</v>
      </c>
      <c r="AQ3172" s="54">
        <v>0</v>
      </c>
      <c r="AR3172" s="55">
        <v>28500</v>
      </c>
      <c r="AS3172" s="78">
        <f t="shared" si="53"/>
        <v>0</v>
      </c>
    </row>
    <row r="3173" spans="39:45">
      <c r="AM3173" s="55">
        <v>2019</v>
      </c>
      <c r="AN3173" s="55" t="s">
        <v>96</v>
      </c>
      <c r="AO3173" s="55">
        <v>13</v>
      </c>
      <c r="AP3173" s="55">
        <v>3</v>
      </c>
      <c r="AQ3173" s="55">
        <v>0</v>
      </c>
      <c r="AR3173" s="55">
        <v>28500</v>
      </c>
      <c r="AS3173" s="78">
        <f t="shared" si="53"/>
        <v>0</v>
      </c>
    </row>
    <row r="3174" spans="39:45">
      <c r="AM3174" s="54">
        <v>2019</v>
      </c>
      <c r="AN3174" s="54" t="s">
        <v>96</v>
      </c>
      <c r="AO3174" s="54">
        <v>13</v>
      </c>
      <c r="AP3174" s="54">
        <v>4</v>
      </c>
      <c r="AQ3174" s="54">
        <v>0</v>
      </c>
      <c r="AR3174" s="55">
        <v>28500</v>
      </c>
      <c r="AS3174" s="78">
        <f t="shared" si="53"/>
        <v>0</v>
      </c>
    </row>
    <row r="3175" spans="39:45">
      <c r="AM3175" s="55">
        <v>2019</v>
      </c>
      <c r="AN3175" s="55" t="s">
        <v>96</v>
      </c>
      <c r="AO3175" s="55">
        <v>13</v>
      </c>
      <c r="AP3175" s="55">
        <v>5</v>
      </c>
      <c r="AQ3175" s="55">
        <v>998.5</v>
      </c>
      <c r="AR3175" s="55">
        <v>28500</v>
      </c>
      <c r="AS3175" s="78">
        <f t="shared" si="53"/>
        <v>3.5035087719298245E-2</v>
      </c>
    </row>
    <row r="3176" spans="39:45">
      <c r="AM3176" s="54">
        <v>2019</v>
      </c>
      <c r="AN3176" s="54" t="s">
        <v>96</v>
      </c>
      <c r="AO3176" s="54">
        <v>13</v>
      </c>
      <c r="AP3176" s="54">
        <v>6</v>
      </c>
      <c r="AQ3176" s="54">
        <v>3723.5</v>
      </c>
      <c r="AR3176" s="55">
        <v>28500</v>
      </c>
      <c r="AS3176" s="78">
        <f t="shared" si="53"/>
        <v>0.13064912280701754</v>
      </c>
    </row>
    <row r="3177" spans="39:45">
      <c r="AM3177" s="55">
        <v>2019</v>
      </c>
      <c r="AN3177" s="55" t="s">
        <v>96</v>
      </c>
      <c r="AO3177" s="55">
        <v>13</v>
      </c>
      <c r="AP3177" s="55">
        <v>7</v>
      </c>
      <c r="AQ3177" s="55">
        <v>14153</v>
      </c>
      <c r="AR3177" s="55">
        <v>28500</v>
      </c>
      <c r="AS3177" s="78">
        <f t="shared" si="53"/>
        <v>0.4965964912280702</v>
      </c>
    </row>
    <row r="3178" spans="39:45">
      <c r="AM3178" s="54">
        <v>2019</v>
      </c>
      <c r="AN3178" s="54" t="s">
        <v>96</v>
      </c>
      <c r="AO3178" s="54">
        <v>13</v>
      </c>
      <c r="AP3178" s="54">
        <v>8</v>
      </c>
      <c r="AQ3178" s="54">
        <v>21662</v>
      </c>
      <c r="AR3178" s="55">
        <v>28500</v>
      </c>
      <c r="AS3178" s="78">
        <f t="shared" si="53"/>
        <v>0.76007017543859645</v>
      </c>
    </row>
    <row r="3179" spans="39:45">
      <c r="AM3179" s="55">
        <v>2019</v>
      </c>
      <c r="AN3179" s="55" t="s">
        <v>96</v>
      </c>
      <c r="AO3179" s="55">
        <v>13</v>
      </c>
      <c r="AP3179" s="55">
        <v>9</v>
      </c>
      <c r="AQ3179" s="55">
        <v>32302.5</v>
      </c>
      <c r="AR3179" s="55">
        <v>28500</v>
      </c>
      <c r="AS3179" s="78">
        <f t="shared" si="53"/>
        <v>1.1334210526315789</v>
      </c>
    </row>
    <row r="3180" spans="39:45">
      <c r="AM3180" s="54">
        <v>2019</v>
      </c>
      <c r="AN3180" s="54" t="s">
        <v>96</v>
      </c>
      <c r="AO3180" s="54">
        <v>13</v>
      </c>
      <c r="AP3180" s="54">
        <v>10</v>
      </c>
      <c r="AQ3180" s="54">
        <v>39168.5</v>
      </c>
      <c r="AR3180" s="55">
        <v>28500</v>
      </c>
      <c r="AS3180" s="78">
        <f t="shared" si="53"/>
        <v>1.3743333333333334</v>
      </c>
    </row>
    <row r="3181" spans="39:45">
      <c r="AM3181" s="55">
        <v>2019</v>
      </c>
      <c r="AN3181" s="55" t="s">
        <v>96</v>
      </c>
      <c r="AO3181" s="55">
        <v>13</v>
      </c>
      <c r="AP3181" s="55">
        <v>11</v>
      </c>
      <c r="AQ3181" s="55">
        <v>42280.5</v>
      </c>
      <c r="AR3181" s="55">
        <v>28500</v>
      </c>
      <c r="AS3181" s="78">
        <f t="shared" si="53"/>
        <v>1.4835263157894736</v>
      </c>
    </row>
    <row r="3182" spans="39:45">
      <c r="AM3182" s="54">
        <v>2019</v>
      </c>
      <c r="AN3182" s="54" t="s">
        <v>96</v>
      </c>
      <c r="AO3182" s="54">
        <v>13</v>
      </c>
      <c r="AP3182" s="54">
        <v>12</v>
      </c>
      <c r="AQ3182" s="54">
        <v>43132</v>
      </c>
      <c r="AR3182" s="55">
        <v>28500</v>
      </c>
      <c r="AS3182" s="78">
        <f t="shared" si="53"/>
        <v>1.5134035087719298</v>
      </c>
    </row>
    <row r="3183" spans="39:45">
      <c r="AM3183" s="55">
        <v>2019</v>
      </c>
      <c r="AN3183" s="55" t="s">
        <v>96</v>
      </c>
      <c r="AO3183" s="55">
        <v>13</v>
      </c>
      <c r="AP3183" s="55">
        <v>13</v>
      </c>
      <c r="AQ3183" s="55">
        <v>41294.5</v>
      </c>
      <c r="AR3183" s="55">
        <v>28500</v>
      </c>
      <c r="AS3183" s="78">
        <f t="shared" si="53"/>
        <v>1.4489298245614035</v>
      </c>
    </row>
    <row r="3184" spans="39:45">
      <c r="AM3184" s="54">
        <v>2019</v>
      </c>
      <c r="AN3184" s="54" t="s">
        <v>96</v>
      </c>
      <c r="AO3184" s="54">
        <v>13</v>
      </c>
      <c r="AP3184" s="54">
        <v>14</v>
      </c>
      <c r="AQ3184" s="54">
        <v>35974</v>
      </c>
      <c r="AR3184" s="55">
        <v>28500</v>
      </c>
      <c r="AS3184" s="78">
        <f t="shared" si="53"/>
        <v>1.2622456140350877</v>
      </c>
    </row>
    <row r="3185" spans="39:45">
      <c r="AM3185" s="55">
        <v>2019</v>
      </c>
      <c r="AN3185" s="55" t="s">
        <v>96</v>
      </c>
      <c r="AO3185" s="55">
        <v>13</v>
      </c>
      <c r="AP3185" s="55">
        <v>15</v>
      </c>
      <c r="AQ3185" s="55">
        <v>28670.5</v>
      </c>
      <c r="AR3185" s="55">
        <v>28500</v>
      </c>
      <c r="AS3185" s="78">
        <f t="shared" si="53"/>
        <v>1.005982456140351</v>
      </c>
    </row>
    <row r="3186" spans="39:45">
      <c r="AM3186" s="54">
        <v>2019</v>
      </c>
      <c r="AN3186" s="54" t="s">
        <v>96</v>
      </c>
      <c r="AO3186" s="54">
        <v>13</v>
      </c>
      <c r="AP3186" s="54">
        <v>16</v>
      </c>
      <c r="AQ3186" s="54">
        <v>19715</v>
      </c>
      <c r="AR3186" s="55">
        <v>28500</v>
      </c>
      <c r="AS3186" s="78">
        <f t="shared" si="53"/>
        <v>0.69175438596491223</v>
      </c>
    </row>
    <row r="3187" spans="39:45">
      <c r="AM3187" s="55">
        <v>2019</v>
      </c>
      <c r="AN3187" s="55" t="s">
        <v>96</v>
      </c>
      <c r="AO3187" s="55">
        <v>13</v>
      </c>
      <c r="AP3187" s="55">
        <v>17</v>
      </c>
      <c r="AQ3187" s="55">
        <v>6334.5</v>
      </c>
      <c r="AR3187" s="55">
        <v>28500</v>
      </c>
      <c r="AS3187" s="78">
        <f t="shared" si="53"/>
        <v>0.22226315789473683</v>
      </c>
    </row>
    <row r="3188" spans="39:45">
      <c r="AM3188" s="54">
        <v>2019</v>
      </c>
      <c r="AN3188" s="54" t="s">
        <v>96</v>
      </c>
      <c r="AO3188" s="54">
        <v>13</v>
      </c>
      <c r="AP3188" s="54">
        <v>18</v>
      </c>
      <c r="AQ3188" s="54">
        <v>2313.5</v>
      </c>
      <c r="AR3188" s="55">
        <v>28500</v>
      </c>
      <c r="AS3188" s="78">
        <f t="shared" si="53"/>
        <v>8.1175438596491234E-2</v>
      </c>
    </row>
    <row r="3189" spans="39:45">
      <c r="AM3189" s="55">
        <v>2019</v>
      </c>
      <c r="AN3189" s="55" t="s">
        <v>96</v>
      </c>
      <c r="AO3189" s="55">
        <v>13</v>
      </c>
      <c r="AP3189" s="55">
        <v>19</v>
      </c>
      <c r="AQ3189" s="55">
        <v>98</v>
      </c>
      <c r="AR3189" s="55">
        <v>28500</v>
      </c>
      <c r="AS3189" s="78">
        <f t="shared" si="53"/>
        <v>3.4385964912280703E-3</v>
      </c>
    </row>
    <row r="3190" spans="39:45">
      <c r="AM3190" s="54">
        <v>2019</v>
      </c>
      <c r="AN3190" s="54" t="s">
        <v>96</v>
      </c>
      <c r="AO3190" s="54">
        <v>13</v>
      </c>
      <c r="AP3190" s="54">
        <v>20</v>
      </c>
      <c r="AQ3190" s="54">
        <v>0</v>
      </c>
      <c r="AR3190" s="55">
        <v>28500</v>
      </c>
      <c r="AS3190" s="78">
        <f t="shared" si="53"/>
        <v>0</v>
      </c>
    </row>
    <row r="3191" spans="39:45">
      <c r="AM3191" s="55">
        <v>2019</v>
      </c>
      <c r="AN3191" s="55" t="s">
        <v>96</v>
      </c>
      <c r="AO3191" s="55">
        <v>13</v>
      </c>
      <c r="AP3191" s="55">
        <v>21</v>
      </c>
      <c r="AQ3191" s="55">
        <v>0</v>
      </c>
      <c r="AR3191" s="55">
        <v>28500</v>
      </c>
      <c r="AS3191" s="78">
        <f t="shared" si="53"/>
        <v>0</v>
      </c>
    </row>
    <row r="3192" spans="39:45">
      <c r="AM3192" s="54">
        <v>2019</v>
      </c>
      <c r="AN3192" s="54" t="s">
        <v>96</v>
      </c>
      <c r="AO3192" s="54">
        <v>13</v>
      </c>
      <c r="AP3192" s="54">
        <v>22</v>
      </c>
      <c r="AQ3192" s="54">
        <v>0</v>
      </c>
      <c r="AR3192" s="55">
        <v>28500</v>
      </c>
      <c r="AS3192" s="78">
        <f t="shared" si="53"/>
        <v>0</v>
      </c>
    </row>
    <row r="3193" spans="39:45">
      <c r="AM3193" s="55">
        <v>2019</v>
      </c>
      <c r="AN3193" s="55" t="s">
        <v>96</v>
      </c>
      <c r="AO3193" s="55">
        <v>13</v>
      </c>
      <c r="AP3193" s="55">
        <v>23</v>
      </c>
      <c r="AQ3193" s="55">
        <v>0</v>
      </c>
      <c r="AR3193" s="55">
        <v>28500</v>
      </c>
      <c r="AS3193" s="78">
        <f t="shared" si="53"/>
        <v>0</v>
      </c>
    </row>
    <row r="3194" spans="39:45">
      <c r="AM3194" s="54">
        <v>2019</v>
      </c>
      <c r="AN3194" s="54" t="s">
        <v>96</v>
      </c>
      <c r="AO3194" s="54">
        <v>14</v>
      </c>
      <c r="AP3194" s="54">
        <v>24</v>
      </c>
      <c r="AQ3194" s="54">
        <v>0</v>
      </c>
      <c r="AR3194" s="55">
        <v>28500</v>
      </c>
      <c r="AS3194" s="78">
        <f t="shared" si="53"/>
        <v>0</v>
      </c>
    </row>
    <row r="3195" spans="39:45">
      <c r="AM3195" s="55">
        <v>2019</v>
      </c>
      <c r="AN3195" s="55" t="s">
        <v>96</v>
      </c>
      <c r="AO3195" s="55">
        <v>14</v>
      </c>
      <c r="AP3195" s="55">
        <v>1</v>
      </c>
      <c r="AQ3195" s="55">
        <v>0</v>
      </c>
      <c r="AR3195" s="55">
        <v>28500</v>
      </c>
      <c r="AS3195" s="78">
        <f t="shared" si="53"/>
        <v>0</v>
      </c>
    </row>
    <row r="3196" spans="39:45">
      <c r="AM3196" s="54">
        <v>2019</v>
      </c>
      <c r="AN3196" s="54" t="s">
        <v>96</v>
      </c>
      <c r="AO3196" s="54">
        <v>14</v>
      </c>
      <c r="AP3196" s="54">
        <v>2</v>
      </c>
      <c r="AQ3196" s="54">
        <v>0</v>
      </c>
      <c r="AR3196" s="55">
        <v>28500</v>
      </c>
      <c r="AS3196" s="78">
        <f t="shared" si="53"/>
        <v>0</v>
      </c>
    </row>
    <row r="3197" spans="39:45">
      <c r="AM3197" s="55">
        <v>2019</v>
      </c>
      <c r="AN3197" s="55" t="s">
        <v>96</v>
      </c>
      <c r="AO3197" s="55">
        <v>14</v>
      </c>
      <c r="AP3197" s="55">
        <v>3</v>
      </c>
      <c r="AQ3197" s="55">
        <v>0</v>
      </c>
      <c r="AR3197" s="55">
        <v>28500</v>
      </c>
      <c r="AS3197" s="78">
        <f t="shared" si="53"/>
        <v>0</v>
      </c>
    </row>
    <row r="3198" spans="39:45">
      <c r="AM3198" s="54">
        <v>2019</v>
      </c>
      <c r="AN3198" s="54" t="s">
        <v>96</v>
      </c>
      <c r="AO3198" s="54">
        <v>14</v>
      </c>
      <c r="AP3198" s="54">
        <v>4</v>
      </c>
      <c r="AQ3198" s="54">
        <v>0</v>
      </c>
      <c r="AR3198" s="55">
        <v>28500</v>
      </c>
      <c r="AS3198" s="78">
        <f t="shared" si="53"/>
        <v>0</v>
      </c>
    </row>
    <row r="3199" spans="39:45">
      <c r="AM3199" s="55">
        <v>2019</v>
      </c>
      <c r="AN3199" s="55" t="s">
        <v>96</v>
      </c>
      <c r="AO3199" s="55">
        <v>14</v>
      </c>
      <c r="AP3199" s="55">
        <v>5</v>
      </c>
      <c r="AQ3199" s="55">
        <v>1048.5</v>
      </c>
      <c r="AR3199" s="55">
        <v>28500</v>
      </c>
      <c r="AS3199" s="78">
        <f t="shared" si="53"/>
        <v>3.6789473684210525E-2</v>
      </c>
    </row>
    <row r="3200" spans="39:45">
      <c r="AM3200" s="54">
        <v>2019</v>
      </c>
      <c r="AN3200" s="54" t="s">
        <v>96</v>
      </c>
      <c r="AO3200" s="54">
        <v>14</v>
      </c>
      <c r="AP3200" s="54">
        <v>6</v>
      </c>
      <c r="AQ3200" s="54">
        <v>3857.5</v>
      </c>
      <c r="AR3200" s="55">
        <v>28500</v>
      </c>
      <c r="AS3200" s="78">
        <f t="shared" si="53"/>
        <v>0.13535087719298244</v>
      </c>
    </row>
    <row r="3201" spans="39:45">
      <c r="AM3201" s="55">
        <v>2019</v>
      </c>
      <c r="AN3201" s="55" t="s">
        <v>96</v>
      </c>
      <c r="AO3201" s="55">
        <v>14</v>
      </c>
      <c r="AP3201" s="55">
        <v>7</v>
      </c>
      <c r="AQ3201" s="55">
        <v>14196</v>
      </c>
      <c r="AR3201" s="55">
        <v>28500</v>
      </c>
      <c r="AS3201" s="78">
        <f t="shared" si="53"/>
        <v>0.49810526315789472</v>
      </c>
    </row>
    <row r="3202" spans="39:45">
      <c r="AM3202" s="54">
        <v>2019</v>
      </c>
      <c r="AN3202" s="54" t="s">
        <v>96</v>
      </c>
      <c r="AO3202" s="54">
        <v>14</v>
      </c>
      <c r="AP3202" s="54">
        <v>8</v>
      </c>
      <c r="AQ3202" s="54">
        <v>24721</v>
      </c>
      <c r="AR3202" s="55">
        <v>28500</v>
      </c>
      <c r="AS3202" s="78">
        <f t="shared" ref="AS3202:AS3265" si="54">AQ3202/AR3202</f>
        <v>0.86740350877192984</v>
      </c>
    </row>
    <row r="3203" spans="39:45">
      <c r="AM3203" s="55">
        <v>2019</v>
      </c>
      <c r="AN3203" s="55" t="s">
        <v>96</v>
      </c>
      <c r="AO3203" s="55">
        <v>14</v>
      </c>
      <c r="AP3203" s="55">
        <v>9</v>
      </c>
      <c r="AQ3203" s="55">
        <v>33179.5</v>
      </c>
      <c r="AR3203" s="55">
        <v>28500</v>
      </c>
      <c r="AS3203" s="78">
        <f t="shared" si="54"/>
        <v>1.1641929824561403</v>
      </c>
    </row>
    <row r="3204" spans="39:45">
      <c r="AM3204" s="54">
        <v>2019</v>
      </c>
      <c r="AN3204" s="54" t="s">
        <v>96</v>
      </c>
      <c r="AO3204" s="54">
        <v>14</v>
      </c>
      <c r="AP3204" s="54">
        <v>10</v>
      </c>
      <c r="AQ3204" s="54">
        <v>38763</v>
      </c>
      <c r="AR3204" s="55">
        <v>28500</v>
      </c>
      <c r="AS3204" s="78">
        <f t="shared" si="54"/>
        <v>1.3601052631578947</v>
      </c>
    </row>
    <row r="3205" spans="39:45">
      <c r="AM3205" s="55">
        <v>2019</v>
      </c>
      <c r="AN3205" s="55" t="s">
        <v>96</v>
      </c>
      <c r="AO3205" s="55">
        <v>14</v>
      </c>
      <c r="AP3205" s="55">
        <v>11</v>
      </c>
      <c r="AQ3205" s="55">
        <v>42321.5</v>
      </c>
      <c r="AR3205" s="55">
        <v>28500</v>
      </c>
      <c r="AS3205" s="78">
        <f t="shared" si="54"/>
        <v>1.4849649122807018</v>
      </c>
    </row>
    <row r="3206" spans="39:45">
      <c r="AM3206" s="54">
        <v>2019</v>
      </c>
      <c r="AN3206" s="54" t="s">
        <v>96</v>
      </c>
      <c r="AO3206" s="54">
        <v>14</v>
      </c>
      <c r="AP3206" s="54">
        <v>12</v>
      </c>
      <c r="AQ3206" s="54">
        <v>43000</v>
      </c>
      <c r="AR3206" s="55">
        <v>28500</v>
      </c>
      <c r="AS3206" s="78">
        <f t="shared" si="54"/>
        <v>1.5087719298245614</v>
      </c>
    </row>
    <row r="3207" spans="39:45">
      <c r="AM3207" s="55">
        <v>2019</v>
      </c>
      <c r="AN3207" s="55" t="s">
        <v>96</v>
      </c>
      <c r="AO3207" s="55">
        <v>14</v>
      </c>
      <c r="AP3207" s="55">
        <v>13</v>
      </c>
      <c r="AQ3207" s="55">
        <v>40955.5</v>
      </c>
      <c r="AR3207" s="55">
        <v>28500</v>
      </c>
      <c r="AS3207" s="78">
        <f t="shared" si="54"/>
        <v>1.4370350877192983</v>
      </c>
    </row>
    <row r="3208" spans="39:45">
      <c r="AM3208" s="54">
        <v>2019</v>
      </c>
      <c r="AN3208" s="54" t="s">
        <v>96</v>
      </c>
      <c r="AO3208" s="54">
        <v>14</v>
      </c>
      <c r="AP3208" s="54">
        <v>14</v>
      </c>
      <c r="AQ3208" s="54">
        <v>35720.5</v>
      </c>
      <c r="AR3208" s="55">
        <v>28500</v>
      </c>
      <c r="AS3208" s="78">
        <f t="shared" si="54"/>
        <v>1.2533508771929824</v>
      </c>
    </row>
    <row r="3209" spans="39:45">
      <c r="AM3209" s="55">
        <v>2019</v>
      </c>
      <c r="AN3209" s="55" t="s">
        <v>96</v>
      </c>
      <c r="AO3209" s="55">
        <v>14</v>
      </c>
      <c r="AP3209" s="55">
        <v>15</v>
      </c>
      <c r="AQ3209" s="55">
        <v>28817</v>
      </c>
      <c r="AR3209" s="55">
        <v>28500</v>
      </c>
      <c r="AS3209" s="78">
        <f t="shared" si="54"/>
        <v>1.0111228070175438</v>
      </c>
    </row>
    <row r="3210" spans="39:45">
      <c r="AM3210" s="54">
        <v>2019</v>
      </c>
      <c r="AN3210" s="54" t="s">
        <v>96</v>
      </c>
      <c r="AO3210" s="54">
        <v>14</v>
      </c>
      <c r="AP3210" s="54">
        <v>16</v>
      </c>
      <c r="AQ3210" s="54">
        <v>19399.5</v>
      </c>
      <c r="AR3210" s="55">
        <v>28500</v>
      </c>
      <c r="AS3210" s="78">
        <f t="shared" si="54"/>
        <v>0.68068421052631578</v>
      </c>
    </row>
    <row r="3211" spans="39:45">
      <c r="AM3211" s="55">
        <v>2019</v>
      </c>
      <c r="AN3211" s="55" t="s">
        <v>96</v>
      </c>
      <c r="AO3211" s="55">
        <v>14</v>
      </c>
      <c r="AP3211" s="55">
        <v>17</v>
      </c>
      <c r="AQ3211" s="55">
        <v>8514.5</v>
      </c>
      <c r="AR3211" s="55">
        <v>28500</v>
      </c>
      <c r="AS3211" s="78">
        <f t="shared" si="54"/>
        <v>0.29875438596491227</v>
      </c>
    </row>
    <row r="3212" spans="39:45">
      <c r="AM3212" s="54">
        <v>2019</v>
      </c>
      <c r="AN3212" s="54" t="s">
        <v>96</v>
      </c>
      <c r="AO3212" s="54">
        <v>14</v>
      </c>
      <c r="AP3212" s="54">
        <v>18</v>
      </c>
      <c r="AQ3212" s="54">
        <v>958</v>
      </c>
      <c r="AR3212" s="55">
        <v>28500</v>
      </c>
      <c r="AS3212" s="78">
        <f t="shared" si="54"/>
        <v>3.3614035087719298E-2</v>
      </c>
    </row>
    <row r="3213" spans="39:45">
      <c r="AM3213" s="55">
        <v>2019</v>
      </c>
      <c r="AN3213" s="55" t="s">
        <v>96</v>
      </c>
      <c r="AO3213" s="55">
        <v>14</v>
      </c>
      <c r="AP3213" s="55">
        <v>19</v>
      </c>
      <c r="AQ3213" s="55">
        <v>119</v>
      </c>
      <c r="AR3213" s="55">
        <v>28500</v>
      </c>
      <c r="AS3213" s="78">
        <f t="shared" si="54"/>
        <v>4.175438596491228E-3</v>
      </c>
    </row>
    <row r="3214" spans="39:45">
      <c r="AM3214" s="54">
        <v>2019</v>
      </c>
      <c r="AN3214" s="54" t="s">
        <v>96</v>
      </c>
      <c r="AO3214" s="54">
        <v>14</v>
      </c>
      <c r="AP3214" s="54">
        <v>20</v>
      </c>
      <c r="AQ3214" s="54">
        <v>0</v>
      </c>
      <c r="AR3214" s="55">
        <v>28500</v>
      </c>
      <c r="AS3214" s="78">
        <f t="shared" si="54"/>
        <v>0</v>
      </c>
    </row>
    <row r="3215" spans="39:45">
      <c r="AM3215" s="55">
        <v>2019</v>
      </c>
      <c r="AN3215" s="55" t="s">
        <v>96</v>
      </c>
      <c r="AO3215" s="55">
        <v>14</v>
      </c>
      <c r="AP3215" s="55">
        <v>21</v>
      </c>
      <c r="AQ3215" s="55">
        <v>0</v>
      </c>
      <c r="AR3215" s="55">
        <v>28500</v>
      </c>
      <c r="AS3215" s="78">
        <f t="shared" si="54"/>
        <v>0</v>
      </c>
    </row>
    <row r="3216" spans="39:45">
      <c r="AM3216" s="54">
        <v>2019</v>
      </c>
      <c r="AN3216" s="54" t="s">
        <v>96</v>
      </c>
      <c r="AO3216" s="54">
        <v>14</v>
      </c>
      <c r="AP3216" s="54">
        <v>22</v>
      </c>
      <c r="AQ3216" s="54">
        <v>0</v>
      </c>
      <c r="AR3216" s="55">
        <v>28500</v>
      </c>
      <c r="AS3216" s="78">
        <f t="shared" si="54"/>
        <v>0</v>
      </c>
    </row>
    <row r="3217" spans="39:45">
      <c r="AM3217" s="55">
        <v>2019</v>
      </c>
      <c r="AN3217" s="55" t="s">
        <v>96</v>
      </c>
      <c r="AO3217" s="55">
        <v>14</v>
      </c>
      <c r="AP3217" s="55">
        <v>23</v>
      </c>
      <c r="AQ3217" s="55">
        <v>0</v>
      </c>
      <c r="AR3217" s="55">
        <v>28500</v>
      </c>
      <c r="AS3217" s="78">
        <f t="shared" si="54"/>
        <v>0</v>
      </c>
    </row>
    <row r="3218" spans="39:45">
      <c r="AM3218" s="54">
        <v>2019</v>
      </c>
      <c r="AN3218" s="54" t="s">
        <v>96</v>
      </c>
      <c r="AO3218" s="54">
        <v>15</v>
      </c>
      <c r="AP3218" s="54">
        <v>24</v>
      </c>
      <c r="AQ3218" s="54">
        <v>0</v>
      </c>
      <c r="AR3218" s="55">
        <v>28500</v>
      </c>
      <c r="AS3218" s="78">
        <f t="shared" si="54"/>
        <v>0</v>
      </c>
    </row>
    <row r="3219" spans="39:45">
      <c r="AM3219" s="55">
        <v>2019</v>
      </c>
      <c r="AN3219" s="55" t="s">
        <v>96</v>
      </c>
      <c r="AO3219" s="55">
        <v>15</v>
      </c>
      <c r="AP3219" s="55">
        <v>1</v>
      </c>
      <c r="AQ3219" s="55">
        <v>0</v>
      </c>
      <c r="AR3219" s="55">
        <v>28500</v>
      </c>
      <c r="AS3219" s="78">
        <f t="shared" si="54"/>
        <v>0</v>
      </c>
    </row>
    <row r="3220" spans="39:45">
      <c r="AM3220" s="54">
        <v>2019</v>
      </c>
      <c r="AN3220" s="54" t="s">
        <v>96</v>
      </c>
      <c r="AO3220" s="54">
        <v>15</v>
      </c>
      <c r="AP3220" s="54">
        <v>2</v>
      </c>
      <c r="AQ3220" s="54">
        <v>0</v>
      </c>
      <c r="AR3220" s="55">
        <v>28500</v>
      </c>
      <c r="AS3220" s="78">
        <f t="shared" si="54"/>
        <v>0</v>
      </c>
    </row>
    <row r="3221" spans="39:45">
      <c r="AM3221" s="55">
        <v>2019</v>
      </c>
      <c r="AN3221" s="55" t="s">
        <v>96</v>
      </c>
      <c r="AO3221" s="55">
        <v>15</v>
      </c>
      <c r="AP3221" s="55">
        <v>3</v>
      </c>
      <c r="AQ3221" s="55">
        <v>0</v>
      </c>
      <c r="AR3221" s="55">
        <v>28500</v>
      </c>
      <c r="AS3221" s="78">
        <f t="shared" si="54"/>
        <v>0</v>
      </c>
    </row>
    <row r="3222" spans="39:45">
      <c r="AM3222" s="54">
        <v>2019</v>
      </c>
      <c r="AN3222" s="54" t="s">
        <v>96</v>
      </c>
      <c r="AO3222" s="54">
        <v>15</v>
      </c>
      <c r="AP3222" s="54">
        <v>4</v>
      </c>
      <c r="AQ3222" s="54">
        <v>0</v>
      </c>
      <c r="AR3222" s="55">
        <v>28500</v>
      </c>
      <c r="AS3222" s="78">
        <f t="shared" si="54"/>
        <v>0</v>
      </c>
    </row>
    <row r="3223" spans="39:45">
      <c r="AM3223" s="55">
        <v>2019</v>
      </c>
      <c r="AN3223" s="55" t="s">
        <v>96</v>
      </c>
      <c r="AO3223" s="55">
        <v>15</v>
      </c>
      <c r="AP3223" s="55">
        <v>5</v>
      </c>
      <c r="AQ3223" s="55">
        <v>1209</v>
      </c>
      <c r="AR3223" s="55">
        <v>28500</v>
      </c>
      <c r="AS3223" s="78">
        <f t="shared" si="54"/>
        <v>4.242105263157895E-2</v>
      </c>
    </row>
    <row r="3224" spans="39:45">
      <c r="AM3224" s="54">
        <v>2019</v>
      </c>
      <c r="AN3224" s="54" t="s">
        <v>96</v>
      </c>
      <c r="AO3224" s="54">
        <v>15</v>
      </c>
      <c r="AP3224" s="54">
        <v>6</v>
      </c>
      <c r="AQ3224" s="54">
        <v>4279</v>
      </c>
      <c r="AR3224" s="55">
        <v>28500</v>
      </c>
      <c r="AS3224" s="78">
        <f t="shared" si="54"/>
        <v>0.15014035087719299</v>
      </c>
    </row>
    <row r="3225" spans="39:45">
      <c r="AM3225" s="55">
        <v>2019</v>
      </c>
      <c r="AN3225" s="55" t="s">
        <v>96</v>
      </c>
      <c r="AO3225" s="55">
        <v>15</v>
      </c>
      <c r="AP3225" s="55">
        <v>7</v>
      </c>
      <c r="AQ3225" s="55">
        <v>13911</v>
      </c>
      <c r="AR3225" s="55">
        <v>28500</v>
      </c>
      <c r="AS3225" s="78">
        <f t="shared" si="54"/>
        <v>0.48810526315789476</v>
      </c>
    </row>
    <row r="3226" spans="39:45">
      <c r="AM3226" s="54">
        <v>2019</v>
      </c>
      <c r="AN3226" s="54" t="s">
        <v>96</v>
      </c>
      <c r="AO3226" s="54">
        <v>15</v>
      </c>
      <c r="AP3226" s="54">
        <v>8</v>
      </c>
      <c r="AQ3226" s="54">
        <v>24005</v>
      </c>
      <c r="AR3226" s="55">
        <v>28500</v>
      </c>
      <c r="AS3226" s="78">
        <f t="shared" si="54"/>
        <v>0.84228070175438596</v>
      </c>
    </row>
    <row r="3227" spans="39:45">
      <c r="AM3227" s="55">
        <v>2019</v>
      </c>
      <c r="AN3227" s="55" t="s">
        <v>96</v>
      </c>
      <c r="AO3227" s="55">
        <v>15</v>
      </c>
      <c r="AP3227" s="55">
        <v>9</v>
      </c>
      <c r="AQ3227" s="55">
        <v>32083</v>
      </c>
      <c r="AR3227" s="55">
        <v>28500</v>
      </c>
      <c r="AS3227" s="78">
        <f t="shared" si="54"/>
        <v>1.1257192982456141</v>
      </c>
    </row>
    <row r="3228" spans="39:45">
      <c r="AM3228" s="54">
        <v>2019</v>
      </c>
      <c r="AN3228" s="54" t="s">
        <v>96</v>
      </c>
      <c r="AO3228" s="54">
        <v>15</v>
      </c>
      <c r="AP3228" s="54">
        <v>10</v>
      </c>
      <c r="AQ3228" s="54">
        <v>36389.5</v>
      </c>
      <c r="AR3228" s="55">
        <v>28500</v>
      </c>
      <c r="AS3228" s="78">
        <f t="shared" si="54"/>
        <v>1.2768245614035088</v>
      </c>
    </row>
    <row r="3229" spans="39:45">
      <c r="AM3229" s="55">
        <v>2019</v>
      </c>
      <c r="AN3229" s="55" t="s">
        <v>96</v>
      </c>
      <c r="AO3229" s="55">
        <v>15</v>
      </c>
      <c r="AP3229" s="55">
        <v>11</v>
      </c>
      <c r="AQ3229" s="55">
        <v>39573</v>
      </c>
      <c r="AR3229" s="55">
        <v>28500</v>
      </c>
      <c r="AS3229" s="78">
        <f t="shared" si="54"/>
        <v>1.3885263157894736</v>
      </c>
    </row>
    <row r="3230" spans="39:45">
      <c r="AM3230" s="54">
        <v>2019</v>
      </c>
      <c r="AN3230" s="54" t="s">
        <v>96</v>
      </c>
      <c r="AO3230" s="54">
        <v>15</v>
      </c>
      <c r="AP3230" s="54">
        <v>12</v>
      </c>
      <c r="AQ3230" s="54">
        <v>40046</v>
      </c>
      <c r="AR3230" s="55">
        <v>28500</v>
      </c>
      <c r="AS3230" s="78">
        <f t="shared" si="54"/>
        <v>1.4051228070175439</v>
      </c>
    </row>
    <row r="3231" spans="39:45">
      <c r="AM3231" s="55">
        <v>2019</v>
      </c>
      <c r="AN3231" s="55" t="s">
        <v>96</v>
      </c>
      <c r="AO3231" s="55">
        <v>15</v>
      </c>
      <c r="AP3231" s="55">
        <v>13</v>
      </c>
      <c r="AQ3231" s="55">
        <v>38281.5</v>
      </c>
      <c r="AR3231" s="55">
        <v>28500</v>
      </c>
      <c r="AS3231" s="78">
        <f t="shared" si="54"/>
        <v>1.3432105263157894</v>
      </c>
    </row>
    <row r="3232" spans="39:45">
      <c r="AM3232" s="54">
        <v>2019</v>
      </c>
      <c r="AN3232" s="54" t="s">
        <v>96</v>
      </c>
      <c r="AO3232" s="54">
        <v>15</v>
      </c>
      <c r="AP3232" s="54">
        <v>14</v>
      </c>
      <c r="AQ3232" s="54">
        <v>32813</v>
      </c>
      <c r="AR3232" s="55">
        <v>28500</v>
      </c>
      <c r="AS3232" s="78">
        <f t="shared" si="54"/>
        <v>1.1513333333333333</v>
      </c>
    </row>
    <row r="3233" spans="39:45">
      <c r="AM3233" s="55">
        <v>2019</v>
      </c>
      <c r="AN3233" s="55" t="s">
        <v>96</v>
      </c>
      <c r="AO3233" s="55">
        <v>15</v>
      </c>
      <c r="AP3233" s="55">
        <v>15</v>
      </c>
      <c r="AQ3233" s="55">
        <v>25780.5</v>
      </c>
      <c r="AR3233" s="55">
        <v>28500</v>
      </c>
      <c r="AS3233" s="78">
        <f t="shared" si="54"/>
        <v>0.90457894736842104</v>
      </c>
    </row>
    <row r="3234" spans="39:45">
      <c r="AM3234" s="54">
        <v>2019</v>
      </c>
      <c r="AN3234" s="54" t="s">
        <v>96</v>
      </c>
      <c r="AO3234" s="54">
        <v>15</v>
      </c>
      <c r="AP3234" s="54">
        <v>16</v>
      </c>
      <c r="AQ3234" s="54">
        <v>16159</v>
      </c>
      <c r="AR3234" s="55">
        <v>28500</v>
      </c>
      <c r="AS3234" s="78">
        <f t="shared" si="54"/>
        <v>0.56698245614035092</v>
      </c>
    </row>
    <row r="3235" spans="39:45">
      <c r="AM3235" s="55">
        <v>2019</v>
      </c>
      <c r="AN3235" s="55" t="s">
        <v>96</v>
      </c>
      <c r="AO3235" s="55">
        <v>15</v>
      </c>
      <c r="AP3235" s="55">
        <v>17</v>
      </c>
      <c r="AQ3235" s="55">
        <v>8176</v>
      </c>
      <c r="AR3235" s="55">
        <v>28500</v>
      </c>
      <c r="AS3235" s="78">
        <f t="shared" si="54"/>
        <v>0.28687719298245612</v>
      </c>
    </row>
    <row r="3236" spans="39:45">
      <c r="AM3236" s="54">
        <v>2019</v>
      </c>
      <c r="AN3236" s="54" t="s">
        <v>96</v>
      </c>
      <c r="AO3236" s="54">
        <v>15</v>
      </c>
      <c r="AP3236" s="54">
        <v>18</v>
      </c>
      <c r="AQ3236" s="54">
        <v>977</v>
      </c>
      <c r="AR3236" s="55">
        <v>28500</v>
      </c>
      <c r="AS3236" s="78">
        <f t="shared" si="54"/>
        <v>3.4280701754385967E-2</v>
      </c>
    </row>
    <row r="3237" spans="39:45">
      <c r="AM3237" s="55">
        <v>2019</v>
      </c>
      <c r="AN3237" s="55" t="s">
        <v>96</v>
      </c>
      <c r="AO3237" s="55">
        <v>15</v>
      </c>
      <c r="AP3237" s="55">
        <v>19</v>
      </c>
      <c r="AQ3237" s="55">
        <v>4</v>
      </c>
      <c r="AR3237" s="55">
        <v>28500</v>
      </c>
      <c r="AS3237" s="78">
        <f t="shared" si="54"/>
        <v>1.4035087719298245E-4</v>
      </c>
    </row>
    <row r="3238" spans="39:45">
      <c r="AM3238" s="54">
        <v>2019</v>
      </c>
      <c r="AN3238" s="54" t="s">
        <v>96</v>
      </c>
      <c r="AO3238" s="54">
        <v>15</v>
      </c>
      <c r="AP3238" s="54">
        <v>20</v>
      </c>
      <c r="AQ3238" s="54">
        <v>0</v>
      </c>
      <c r="AR3238" s="55">
        <v>28500</v>
      </c>
      <c r="AS3238" s="78">
        <f t="shared" si="54"/>
        <v>0</v>
      </c>
    </row>
    <row r="3239" spans="39:45">
      <c r="AM3239" s="55">
        <v>2019</v>
      </c>
      <c r="AN3239" s="55" t="s">
        <v>96</v>
      </c>
      <c r="AO3239" s="55">
        <v>15</v>
      </c>
      <c r="AP3239" s="55">
        <v>21</v>
      </c>
      <c r="AQ3239" s="55">
        <v>0</v>
      </c>
      <c r="AR3239" s="55">
        <v>28500</v>
      </c>
      <c r="AS3239" s="78">
        <f t="shared" si="54"/>
        <v>0</v>
      </c>
    </row>
    <row r="3240" spans="39:45">
      <c r="AM3240" s="54">
        <v>2019</v>
      </c>
      <c r="AN3240" s="54" t="s">
        <v>96</v>
      </c>
      <c r="AO3240" s="54">
        <v>15</v>
      </c>
      <c r="AP3240" s="54">
        <v>22</v>
      </c>
      <c r="AQ3240" s="54">
        <v>0</v>
      </c>
      <c r="AR3240" s="55">
        <v>28500</v>
      </c>
      <c r="AS3240" s="78">
        <f t="shared" si="54"/>
        <v>0</v>
      </c>
    </row>
    <row r="3241" spans="39:45">
      <c r="AM3241" s="55">
        <v>2019</v>
      </c>
      <c r="AN3241" s="55" t="s">
        <v>96</v>
      </c>
      <c r="AO3241" s="55">
        <v>15</v>
      </c>
      <c r="AP3241" s="55">
        <v>23</v>
      </c>
      <c r="AQ3241" s="55">
        <v>0</v>
      </c>
      <c r="AR3241" s="55">
        <v>28500</v>
      </c>
      <c r="AS3241" s="78">
        <f t="shared" si="54"/>
        <v>0</v>
      </c>
    </row>
    <row r="3242" spans="39:45">
      <c r="AM3242" s="54">
        <v>2019</v>
      </c>
      <c r="AN3242" s="54" t="s">
        <v>96</v>
      </c>
      <c r="AO3242" s="54">
        <v>16</v>
      </c>
      <c r="AP3242" s="54">
        <v>24</v>
      </c>
      <c r="AQ3242" s="54">
        <v>0</v>
      </c>
      <c r="AR3242" s="55">
        <v>28500</v>
      </c>
      <c r="AS3242" s="78">
        <f t="shared" si="54"/>
        <v>0</v>
      </c>
    </row>
    <row r="3243" spans="39:45">
      <c r="AM3243" s="55">
        <v>2019</v>
      </c>
      <c r="AN3243" s="55" t="s">
        <v>96</v>
      </c>
      <c r="AO3243" s="55">
        <v>16</v>
      </c>
      <c r="AP3243" s="55">
        <v>1</v>
      </c>
      <c r="AQ3243" s="55">
        <v>0</v>
      </c>
      <c r="AR3243" s="55">
        <v>28500</v>
      </c>
      <c r="AS3243" s="78">
        <f t="shared" si="54"/>
        <v>0</v>
      </c>
    </row>
    <row r="3244" spans="39:45">
      <c r="AM3244" s="54">
        <v>2019</v>
      </c>
      <c r="AN3244" s="54" t="s">
        <v>96</v>
      </c>
      <c r="AO3244" s="54">
        <v>16</v>
      </c>
      <c r="AP3244" s="54">
        <v>2</v>
      </c>
      <c r="AQ3244" s="54">
        <v>0</v>
      </c>
      <c r="AR3244" s="55">
        <v>28500</v>
      </c>
      <c r="AS3244" s="78">
        <f t="shared" si="54"/>
        <v>0</v>
      </c>
    </row>
    <row r="3245" spans="39:45">
      <c r="AM3245" s="55">
        <v>2019</v>
      </c>
      <c r="AN3245" s="55" t="s">
        <v>96</v>
      </c>
      <c r="AO3245" s="55">
        <v>16</v>
      </c>
      <c r="AP3245" s="55">
        <v>3</v>
      </c>
      <c r="AQ3245" s="55">
        <v>0</v>
      </c>
      <c r="AR3245" s="55">
        <v>28500</v>
      </c>
      <c r="AS3245" s="78">
        <f t="shared" si="54"/>
        <v>0</v>
      </c>
    </row>
    <row r="3246" spans="39:45">
      <c r="AM3246" s="54">
        <v>2019</v>
      </c>
      <c r="AN3246" s="54" t="s">
        <v>96</v>
      </c>
      <c r="AO3246" s="54">
        <v>16</v>
      </c>
      <c r="AP3246" s="54">
        <v>4</v>
      </c>
      <c r="AQ3246" s="54">
        <v>0</v>
      </c>
      <c r="AR3246" s="55">
        <v>28500</v>
      </c>
      <c r="AS3246" s="78">
        <f t="shared" si="54"/>
        <v>0</v>
      </c>
    </row>
    <row r="3247" spans="39:45">
      <c r="AM3247" s="55">
        <v>2019</v>
      </c>
      <c r="AN3247" s="55" t="s">
        <v>96</v>
      </c>
      <c r="AO3247" s="55">
        <v>16</v>
      </c>
      <c r="AP3247" s="55">
        <v>5</v>
      </c>
      <c r="AQ3247" s="55">
        <v>1273.5</v>
      </c>
      <c r="AR3247" s="55">
        <v>28500</v>
      </c>
      <c r="AS3247" s="78">
        <f t="shared" si="54"/>
        <v>4.4684210526315792E-2</v>
      </c>
    </row>
    <row r="3248" spans="39:45">
      <c r="AM3248" s="54">
        <v>2019</v>
      </c>
      <c r="AN3248" s="54" t="s">
        <v>96</v>
      </c>
      <c r="AO3248" s="54">
        <v>16</v>
      </c>
      <c r="AP3248" s="54">
        <v>6</v>
      </c>
      <c r="AQ3248" s="54">
        <v>4061</v>
      </c>
      <c r="AR3248" s="55">
        <v>28500</v>
      </c>
      <c r="AS3248" s="78">
        <f t="shared" si="54"/>
        <v>0.14249122807017545</v>
      </c>
    </row>
    <row r="3249" spans="39:45">
      <c r="AM3249" s="55">
        <v>2019</v>
      </c>
      <c r="AN3249" s="55" t="s">
        <v>96</v>
      </c>
      <c r="AO3249" s="55">
        <v>16</v>
      </c>
      <c r="AP3249" s="55">
        <v>7</v>
      </c>
      <c r="AQ3249" s="55">
        <v>13672.5</v>
      </c>
      <c r="AR3249" s="55">
        <v>28500</v>
      </c>
      <c r="AS3249" s="78">
        <f t="shared" si="54"/>
        <v>0.47973684210526318</v>
      </c>
    </row>
    <row r="3250" spans="39:45">
      <c r="AM3250" s="54">
        <v>2019</v>
      </c>
      <c r="AN3250" s="54" t="s">
        <v>96</v>
      </c>
      <c r="AO3250" s="54">
        <v>16</v>
      </c>
      <c r="AP3250" s="54">
        <v>8</v>
      </c>
      <c r="AQ3250" s="54">
        <v>24319</v>
      </c>
      <c r="AR3250" s="55">
        <v>28500</v>
      </c>
      <c r="AS3250" s="78">
        <f t="shared" si="54"/>
        <v>0.85329824561403511</v>
      </c>
    </row>
    <row r="3251" spans="39:45">
      <c r="AM3251" s="55">
        <v>2019</v>
      </c>
      <c r="AN3251" s="55" t="s">
        <v>96</v>
      </c>
      <c r="AO3251" s="55">
        <v>16</v>
      </c>
      <c r="AP3251" s="55">
        <v>9</v>
      </c>
      <c r="AQ3251" s="55">
        <v>30941.5</v>
      </c>
      <c r="AR3251" s="55">
        <v>28500</v>
      </c>
      <c r="AS3251" s="78">
        <f t="shared" si="54"/>
        <v>1.0856666666666666</v>
      </c>
    </row>
    <row r="3252" spans="39:45">
      <c r="AM3252" s="54">
        <v>2019</v>
      </c>
      <c r="AN3252" s="54" t="s">
        <v>96</v>
      </c>
      <c r="AO3252" s="54">
        <v>16</v>
      </c>
      <c r="AP3252" s="54">
        <v>10</v>
      </c>
      <c r="AQ3252" s="54">
        <v>35528.5</v>
      </c>
      <c r="AR3252" s="55">
        <v>28500</v>
      </c>
      <c r="AS3252" s="78">
        <f t="shared" si="54"/>
        <v>1.2466140350877193</v>
      </c>
    </row>
    <row r="3253" spans="39:45">
      <c r="AM3253" s="55">
        <v>2019</v>
      </c>
      <c r="AN3253" s="55" t="s">
        <v>96</v>
      </c>
      <c r="AO3253" s="55">
        <v>16</v>
      </c>
      <c r="AP3253" s="55">
        <v>11</v>
      </c>
      <c r="AQ3253" s="55">
        <v>33575</v>
      </c>
      <c r="AR3253" s="55">
        <v>28500</v>
      </c>
      <c r="AS3253" s="78">
        <f t="shared" si="54"/>
        <v>1.1780701754385965</v>
      </c>
    </row>
    <row r="3254" spans="39:45">
      <c r="AM3254" s="54">
        <v>2019</v>
      </c>
      <c r="AN3254" s="54" t="s">
        <v>96</v>
      </c>
      <c r="AO3254" s="54">
        <v>16</v>
      </c>
      <c r="AP3254" s="54">
        <v>12</v>
      </c>
      <c r="AQ3254" s="54">
        <v>39323</v>
      </c>
      <c r="AR3254" s="55">
        <v>28500</v>
      </c>
      <c r="AS3254" s="78">
        <f t="shared" si="54"/>
        <v>1.3797543859649122</v>
      </c>
    </row>
    <row r="3255" spans="39:45">
      <c r="AM3255" s="55">
        <v>2019</v>
      </c>
      <c r="AN3255" s="55" t="s">
        <v>96</v>
      </c>
      <c r="AO3255" s="55">
        <v>16</v>
      </c>
      <c r="AP3255" s="55">
        <v>13</v>
      </c>
      <c r="AQ3255" s="55">
        <v>41259.5</v>
      </c>
      <c r="AR3255" s="55">
        <v>28500</v>
      </c>
      <c r="AS3255" s="78">
        <f t="shared" si="54"/>
        <v>1.4477017543859649</v>
      </c>
    </row>
    <row r="3256" spans="39:45">
      <c r="AM3256" s="54">
        <v>2019</v>
      </c>
      <c r="AN3256" s="54" t="s">
        <v>96</v>
      </c>
      <c r="AO3256" s="54">
        <v>16</v>
      </c>
      <c r="AP3256" s="54">
        <v>14</v>
      </c>
      <c r="AQ3256" s="54">
        <v>36215.5</v>
      </c>
      <c r="AR3256" s="55">
        <v>28500</v>
      </c>
      <c r="AS3256" s="78">
        <f t="shared" si="54"/>
        <v>1.2707192982456141</v>
      </c>
    </row>
    <row r="3257" spans="39:45">
      <c r="AM3257" s="55">
        <v>2019</v>
      </c>
      <c r="AN3257" s="55" t="s">
        <v>96</v>
      </c>
      <c r="AO3257" s="55">
        <v>16</v>
      </c>
      <c r="AP3257" s="55">
        <v>15</v>
      </c>
      <c r="AQ3257" s="55">
        <v>29353</v>
      </c>
      <c r="AR3257" s="55">
        <v>28500</v>
      </c>
      <c r="AS3257" s="78">
        <f t="shared" si="54"/>
        <v>1.0299298245614035</v>
      </c>
    </row>
    <row r="3258" spans="39:45">
      <c r="AM3258" s="54">
        <v>2019</v>
      </c>
      <c r="AN3258" s="54" t="s">
        <v>96</v>
      </c>
      <c r="AO3258" s="54">
        <v>16</v>
      </c>
      <c r="AP3258" s="54">
        <v>16</v>
      </c>
      <c r="AQ3258" s="54">
        <v>19800.5</v>
      </c>
      <c r="AR3258" s="55">
        <v>28500</v>
      </c>
      <c r="AS3258" s="78">
        <f t="shared" si="54"/>
        <v>0.69475438596491224</v>
      </c>
    </row>
    <row r="3259" spans="39:45">
      <c r="AM3259" s="55">
        <v>2019</v>
      </c>
      <c r="AN3259" s="55" t="s">
        <v>96</v>
      </c>
      <c r="AO3259" s="55">
        <v>16</v>
      </c>
      <c r="AP3259" s="55">
        <v>17</v>
      </c>
      <c r="AQ3259" s="55">
        <v>8688.5</v>
      </c>
      <c r="AR3259" s="55">
        <v>28500</v>
      </c>
      <c r="AS3259" s="78">
        <f t="shared" si="54"/>
        <v>0.304859649122807</v>
      </c>
    </row>
    <row r="3260" spans="39:45">
      <c r="AM3260" s="54">
        <v>2019</v>
      </c>
      <c r="AN3260" s="54" t="s">
        <v>96</v>
      </c>
      <c r="AO3260" s="54">
        <v>16</v>
      </c>
      <c r="AP3260" s="54">
        <v>18</v>
      </c>
      <c r="AQ3260" s="54">
        <v>1111</v>
      </c>
      <c r="AR3260" s="55">
        <v>28500</v>
      </c>
      <c r="AS3260" s="78">
        <f t="shared" si="54"/>
        <v>3.8982456140350875E-2</v>
      </c>
    </row>
    <row r="3261" spans="39:45">
      <c r="AM3261" s="55">
        <v>2019</v>
      </c>
      <c r="AN3261" s="55" t="s">
        <v>96</v>
      </c>
      <c r="AO3261" s="55">
        <v>16</v>
      </c>
      <c r="AP3261" s="55">
        <v>19</v>
      </c>
      <c r="AQ3261" s="55">
        <v>164</v>
      </c>
      <c r="AR3261" s="55">
        <v>28500</v>
      </c>
      <c r="AS3261" s="78">
        <f t="shared" si="54"/>
        <v>5.754385964912281E-3</v>
      </c>
    </row>
    <row r="3262" spans="39:45">
      <c r="AM3262" s="54">
        <v>2019</v>
      </c>
      <c r="AN3262" s="54" t="s">
        <v>96</v>
      </c>
      <c r="AO3262" s="54">
        <v>16</v>
      </c>
      <c r="AP3262" s="54">
        <v>20</v>
      </c>
      <c r="AQ3262" s="54">
        <v>0</v>
      </c>
      <c r="AR3262" s="55">
        <v>28500</v>
      </c>
      <c r="AS3262" s="78">
        <f t="shared" si="54"/>
        <v>0</v>
      </c>
    </row>
    <row r="3263" spans="39:45">
      <c r="AM3263" s="55">
        <v>2019</v>
      </c>
      <c r="AN3263" s="55" t="s">
        <v>96</v>
      </c>
      <c r="AO3263" s="55">
        <v>16</v>
      </c>
      <c r="AP3263" s="55">
        <v>21</v>
      </c>
      <c r="AQ3263" s="55">
        <v>0</v>
      </c>
      <c r="AR3263" s="55">
        <v>28500</v>
      </c>
      <c r="AS3263" s="78">
        <f t="shared" si="54"/>
        <v>0</v>
      </c>
    </row>
    <row r="3264" spans="39:45">
      <c r="AM3264" s="54">
        <v>2019</v>
      </c>
      <c r="AN3264" s="54" t="s">
        <v>96</v>
      </c>
      <c r="AO3264" s="54">
        <v>16</v>
      </c>
      <c r="AP3264" s="54">
        <v>22</v>
      </c>
      <c r="AQ3264" s="54">
        <v>0</v>
      </c>
      <c r="AR3264" s="55">
        <v>28500</v>
      </c>
      <c r="AS3264" s="78">
        <f t="shared" si="54"/>
        <v>0</v>
      </c>
    </row>
    <row r="3265" spans="39:45">
      <c r="AM3265" s="55">
        <v>2019</v>
      </c>
      <c r="AN3265" s="55" t="s">
        <v>96</v>
      </c>
      <c r="AO3265" s="55">
        <v>16</v>
      </c>
      <c r="AP3265" s="55">
        <v>23</v>
      </c>
      <c r="AQ3265" s="55">
        <v>0</v>
      </c>
      <c r="AR3265" s="55">
        <v>28500</v>
      </c>
      <c r="AS3265" s="78">
        <f t="shared" si="54"/>
        <v>0</v>
      </c>
    </row>
    <row r="3266" spans="39:45">
      <c r="AM3266" s="54">
        <v>2019</v>
      </c>
      <c r="AN3266" s="54" t="s">
        <v>96</v>
      </c>
      <c r="AO3266" s="54">
        <v>17</v>
      </c>
      <c r="AP3266" s="54">
        <v>24</v>
      </c>
      <c r="AQ3266" s="54">
        <v>0</v>
      </c>
      <c r="AR3266" s="55">
        <v>28500</v>
      </c>
      <c r="AS3266" s="78">
        <f t="shared" ref="AS3266:AS3329" si="55">AQ3266/AR3266</f>
        <v>0</v>
      </c>
    </row>
    <row r="3267" spans="39:45">
      <c r="AM3267" s="55">
        <v>2019</v>
      </c>
      <c r="AN3267" s="55" t="s">
        <v>96</v>
      </c>
      <c r="AO3267" s="55">
        <v>17</v>
      </c>
      <c r="AP3267" s="55">
        <v>1</v>
      </c>
      <c r="AQ3267" s="55">
        <v>0</v>
      </c>
      <c r="AR3267" s="55">
        <v>28500</v>
      </c>
      <c r="AS3267" s="78">
        <f t="shared" si="55"/>
        <v>0</v>
      </c>
    </row>
    <row r="3268" spans="39:45">
      <c r="AM3268" s="54">
        <v>2019</v>
      </c>
      <c r="AN3268" s="54" t="s">
        <v>96</v>
      </c>
      <c r="AO3268" s="54">
        <v>17</v>
      </c>
      <c r="AP3268" s="54">
        <v>2</v>
      </c>
      <c r="AQ3268" s="54">
        <v>0</v>
      </c>
      <c r="AR3268" s="55">
        <v>28500</v>
      </c>
      <c r="AS3268" s="78">
        <f t="shared" si="55"/>
        <v>0</v>
      </c>
    </row>
    <row r="3269" spans="39:45">
      <c r="AM3269" s="55">
        <v>2019</v>
      </c>
      <c r="AN3269" s="55" t="s">
        <v>96</v>
      </c>
      <c r="AO3269" s="55">
        <v>17</v>
      </c>
      <c r="AP3269" s="55">
        <v>3</v>
      </c>
      <c r="AQ3269" s="55">
        <v>0</v>
      </c>
      <c r="AR3269" s="55">
        <v>28500</v>
      </c>
      <c r="AS3269" s="78">
        <f t="shared" si="55"/>
        <v>0</v>
      </c>
    </row>
    <row r="3270" spans="39:45">
      <c r="AM3270" s="54">
        <v>2019</v>
      </c>
      <c r="AN3270" s="54" t="s">
        <v>96</v>
      </c>
      <c r="AO3270" s="54">
        <v>17</v>
      </c>
      <c r="AP3270" s="54">
        <v>4</v>
      </c>
      <c r="AQ3270" s="54">
        <v>0</v>
      </c>
      <c r="AR3270" s="55">
        <v>28500</v>
      </c>
      <c r="AS3270" s="78">
        <f t="shared" si="55"/>
        <v>0</v>
      </c>
    </row>
    <row r="3271" spans="39:45">
      <c r="AM3271" s="55">
        <v>2019</v>
      </c>
      <c r="AN3271" s="55" t="s">
        <v>96</v>
      </c>
      <c r="AO3271" s="55">
        <v>17</v>
      </c>
      <c r="AP3271" s="55">
        <v>5</v>
      </c>
      <c r="AQ3271" s="55">
        <v>454.5</v>
      </c>
      <c r="AR3271" s="55">
        <v>28500</v>
      </c>
      <c r="AS3271" s="78">
        <f t="shared" si="55"/>
        <v>1.594736842105263E-2</v>
      </c>
    </row>
    <row r="3272" spans="39:45">
      <c r="AM3272" s="54">
        <v>2019</v>
      </c>
      <c r="AN3272" s="54" t="s">
        <v>96</v>
      </c>
      <c r="AO3272" s="54">
        <v>17</v>
      </c>
      <c r="AP3272" s="54">
        <v>6</v>
      </c>
      <c r="AQ3272" s="54">
        <v>702</v>
      </c>
      <c r="AR3272" s="55">
        <v>28500</v>
      </c>
      <c r="AS3272" s="78">
        <f t="shared" si="55"/>
        <v>2.4631578947368421E-2</v>
      </c>
    </row>
    <row r="3273" spans="39:45">
      <c r="AM3273" s="55">
        <v>2019</v>
      </c>
      <c r="AN3273" s="55" t="s">
        <v>96</v>
      </c>
      <c r="AO3273" s="55">
        <v>17</v>
      </c>
      <c r="AP3273" s="55">
        <v>7</v>
      </c>
      <c r="AQ3273" s="55">
        <v>3726.5</v>
      </c>
      <c r="AR3273" s="55">
        <v>28500</v>
      </c>
      <c r="AS3273" s="78">
        <f t="shared" si="55"/>
        <v>0.13075438596491229</v>
      </c>
    </row>
    <row r="3274" spans="39:45">
      <c r="AM3274" s="54">
        <v>2019</v>
      </c>
      <c r="AN3274" s="54" t="s">
        <v>96</v>
      </c>
      <c r="AO3274" s="54">
        <v>17</v>
      </c>
      <c r="AP3274" s="54">
        <v>8</v>
      </c>
      <c r="AQ3274" s="54">
        <v>5566.5</v>
      </c>
      <c r="AR3274" s="55">
        <v>28500</v>
      </c>
      <c r="AS3274" s="78">
        <f t="shared" si="55"/>
        <v>0.19531578947368422</v>
      </c>
    </row>
    <row r="3275" spans="39:45">
      <c r="AM3275" s="55">
        <v>2019</v>
      </c>
      <c r="AN3275" s="55" t="s">
        <v>96</v>
      </c>
      <c r="AO3275" s="55">
        <v>17</v>
      </c>
      <c r="AP3275" s="55">
        <v>9</v>
      </c>
      <c r="AQ3275" s="55">
        <v>2628.5</v>
      </c>
      <c r="AR3275" s="55">
        <v>28500</v>
      </c>
      <c r="AS3275" s="78">
        <f t="shared" si="55"/>
        <v>9.2228070175438603E-2</v>
      </c>
    </row>
    <row r="3276" spans="39:45">
      <c r="AM3276" s="54">
        <v>2019</v>
      </c>
      <c r="AN3276" s="54" t="s">
        <v>96</v>
      </c>
      <c r="AO3276" s="54">
        <v>17</v>
      </c>
      <c r="AP3276" s="54">
        <v>10</v>
      </c>
      <c r="AQ3276" s="54">
        <v>4621</v>
      </c>
      <c r="AR3276" s="55">
        <v>28500</v>
      </c>
      <c r="AS3276" s="78">
        <f t="shared" si="55"/>
        <v>0.16214035087719297</v>
      </c>
    </row>
    <row r="3277" spans="39:45">
      <c r="AM3277" s="55">
        <v>2019</v>
      </c>
      <c r="AN3277" s="55" t="s">
        <v>96</v>
      </c>
      <c r="AO3277" s="55">
        <v>17</v>
      </c>
      <c r="AP3277" s="55">
        <v>11</v>
      </c>
      <c r="AQ3277" s="55">
        <v>8075.5</v>
      </c>
      <c r="AR3277" s="55">
        <v>28500</v>
      </c>
      <c r="AS3277" s="78">
        <f t="shared" si="55"/>
        <v>0.28335087719298246</v>
      </c>
    </row>
    <row r="3278" spans="39:45">
      <c r="AM3278" s="54">
        <v>2019</v>
      </c>
      <c r="AN3278" s="54" t="s">
        <v>96</v>
      </c>
      <c r="AO3278" s="54">
        <v>17</v>
      </c>
      <c r="AP3278" s="54">
        <v>12</v>
      </c>
      <c r="AQ3278" s="54">
        <v>3444.5</v>
      </c>
      <c r="AR3278" s="55">
        <v>28500</v>
      </c>
      <c r="AS3278" s="78">
        <f t="shared" si="55"/>
        <v>0.12085964912280701</v>
      </c>
    </row>
    <row r="3279" spans="39:45">
      <c r="AM3279" s="55">
        <v>2019</v>
      </c>
      <c r="AN3279" s="55" t="s">
        <v>96</v>
      </c>
      <c r="AO3279" s="55">
        <v>17</v>
      </c>
      <c r="AP3279" s="55">
        <v>13</v>
      </c>
      <c r="AQ3279" s="55">
        <v>3858.5</v>
      </c>
      <c r="AR3279" s="55">
        <v>28500</v>
      </c>
      <c r="AS3279" s="78">
        <f t="shared" si="55"/>
        <v>0.13538596491228069</v>
      </c>
    </row>
    <row r="3280" spans="39:45">
      <c r="AM3280" s="54">
        <v>2019</v>
      </c>
      <c r="AN3280" s="54" t="s">
        <v>96</v>
      </c>
      <c r="AO3280" s="54">
        <v>17</v>
      </c>
      <c r="AP3280" s="54">
        <v>14</v>
      </c>
      <c r="AQ3280" s="54">
        <v>3022.5</v>
      </c>
      <c r="AR3280" s="55">
        <v>28500</v>
      </c>
      <c r="AS3280" s="78">
        <f t="shared" si="55"/>
        <v>0.10605263157894737</v>
      </c>
    </row>
    <row r="3281" spans="39:45">
      <c r="AM3281" s="55">
        <v>2019</v>
      </c>
      <c r="AN3281" s="55" t="s">
        <v>96</v>
      </c>
      <c r="AO3281" s="55">
        <v>17</v>
      </c>
      <c r="AP3281" s="55">
        <v>15</v>
      </c>
      <c r="AQ3281" s="55">
        <v>4289.5</v>
      </c>
      <c r="AR3281" s="55">
        <v>28500</v>
      </c>
      <c r="AS3281" s="78">
        <f t="shared" si="55"/>
        <v>0.15050877192982456</v>
      </c>
    </row>
    <row r="3282" spans="39:45">
      <c r="AM3282" s="54">
        <v>2019</v>
      </c>
      <c r="AN3282" s="54" t="s">
        <v>96</v>
      </c>
      <c r="AO3282" s="54">
        <v>17</v>
      </c>
      <c r="AP3282" s="54">
        <v>16</v>
      </c>
      <c r="AQ3282" s="54">
        <v>2987</v>
      </c>
      <c r="AR3282" s="55">
        <v>28500</v>
      </c>
      <c r="AS3282" s="78">
        <f t="shared" si="55"/>
        <v>0.10480701754385965</v>
      </c>
    </row>
    <row r="3283" spans="39:45">
      <c r="AM3283" s="55">
        <v>2019</v>
      </c>
      <c r="AN3283" s="55" t="s">
        <v>96</v>
      </c>
      <c r="AO3283" s="55">
        <v>17</v>
      </c>
      <c r="AP3283" s="55">
        <v>17</v>
      </c>
      <c r="AQ3283" s="55">
        <v>1652.5</v>
      </c>
      <c r="AR3283" s="55">
        <v>28500</v>
      </c>
      <c r="AS3283" s="78">
        <f t="shared" si="55"/>
        <v>5.7982456140350878E-2</v>
      </c>
    </row>
    <row r="3284" spans="39:45">
      <c r="AM3284" s="54">
        <v>2019</v>
      </c>
      <c r="AN3284" s="54" t="s">
        <v>96</v>
      </c>
      <c r="AO3284" s="54">
        <v>17</v>
      </c>
      <c r="AP3284" s="54">
        <v>18</v>
      </c>
      <c r="AQ3284" s="54">
        <v>691.5</v>
      </c>
      <c r="AR3284" s="55">
        <v>28500</v>
      </c>
      <c r="AS3284" s="78">
        <f t="shared" si="55"/>
        <v>2.4263157894736841E-2</v>
      </c>
    </row>
    <row r="3285" spans="39:45">
      <c r="AM3285" s="55">
        <v>2019</v>
      </c>
      <c r="AN3285" s="55" t="s">
        <v>96</v>
      </c>
      <c r="AO3285" s="55">
        <v>17</v>
      </c>
      <c r="AP3285" s="55">
        <v>19</v>
      </c>
      <c r="AQ3285" s="55">
        <v>0</v>
      </c>
      <c r="AR3285" s="55">
        <v>28500</v>
      </c>
      <c r="AS3285" s="78">
        <f t="shared" si="55"/>
        <v>0</v>
      </c>
    </row>
    <row r="3286" spans="39:45">
      <c r="AM3286" s="54">
        <v>2019</v>
      </c>
      <c r="AN3286" s="54" t="s">
        <v>96</v>
      </c>
      <c r="AO3286" s="54">
        <v>17</v>
      </c>
      <c r="AP3286" s="54">
        <v>20</v>
      </c>
      <c r="AQ3286" s="54">
        <v>0</v>
      </c>
      <c r="AR3286" s="55">
        <v>28500</v>
      </c>
      <c r="AS3286" s="78">
        <f t="shared" si="55"/>
        <v>0</v>
      </c>
    </row>
    <row r="3287" spans="39:45">
      <c r="AM3287" s="55">
        <v>2019</v>
      </c>
      <c r="AN3287" s="55" t="s">
        <v>96</v>
      </c>
      <c r="AO3287" s="55">
        <v>17</v>
      </c>
      <c r="AP3287" s="55">
        <v>21</v>
      </c>
      <c r="AQ3287" s="55">
        <v>0</v>
      </c>
      <c r="AR3287" s="55">
        <v>28500</v>
      </c>
      <c r="AS3287" s="78">
        <f t="shared" si="55"/>
        <v>0</v>
      </c>
    </row>
    <row r="3288" spans="39:45">
      <c r="AM3288" s="54">
        <v>2019</v>
      </c>
      <c r="AN3288" s="54" t="s">
        <v>96</v>
      </c>
      <c r="AO3288" s="54">
        <v>17</v>
      </c>
      <c r="AP3288" s="54">
        <v>22</v>
      </c>
      <c r="AQ3288" s="54">
        <v>0</v>
      </c>
      <c r="AR3288" s="55">
        <v>28500</v>
      </c>
      <c r="AS3288" s="78">
        <f t="shared" si="55"/>
        <v>0</v>
      </c>
    </row>
    <row r="3289" spans="39:45">
      <c r="AM3289" s="55">
        <v>2019</v>
      </c>
      <c r="AN3289" s="55" t="s">
        <v>96</v>
      </c>
      <c r="AO3289" s="55">
        <v>17</v>
      </c>
      <c r="AP3289" s="55">
        <v>23</v>
      </c>
      <c r="AQ3289" s="55">
        <v>0</v>
      </c>
      <c r="AR3289" s="55">
        <v>28500</v>
      </c>
      <c r="AS3289" s="78">
        <f t="shared" si="55"/>
        <v>0</v>
      </c>
    </row>
    <row r="3290" spans="39:45">
      <c r="AM3290" s="54">
        <v>2019</v>
      </c>
      <c r="AN3290" s="54" t="s">
        <v>96</v>
      </c>
      <c r="AO3290" s="54">
        <v>18</v>
      </c>
      <c r="AP3290" s="54">
        <v>24</v>
      </c>
      <c r="AQ3290" s="54">
        <v>0</v>
      </c>
      <c r="AR3290" s="55">
        <v>28500</v>
      </c>
      <c r="AS3290" s="78">
        <f t="shared" si="55"/>
        <v>0</v>
      </c>
    </row>
    <row r="3291" spans="39:45">
      <c r="AM3291" s="55">
        <v>2019</v>
      </c>
      <c r="AN3291" s="55" t="s">
        <v>96</v>
      </c>
      <c r="AO3291" s="55">
        <v>18</v>
      </c>
      <c r="AP3291" s="55">
        <v>1</v>
      </c>
      <c r="AQ3291" s="55">
        <v>0</v>
      </c>
      <c r="AR3291" s="55">
        <v>28500</v>
      </c>
      <c r="AS3291" s="78">
        <f t="shared" si="55"/>
        <v>0</v>
      </c>
    </row>
    <row r="3292" spans="39:45">
      <c r="AM3292" s="54">
        <v>2019</v>
      </c>
      <c r="AN3292" s="54" t="s">
        <v>96</v>
      </c>
      <c r="AO3292" s="54">
        <v>18</v>
      </c>
      <c r="AP3292" s="54">
        <v>2</v>
      </c>
      <c r="AQ3292" s="54">
        <v>0</v>
      </c>
      <c r="AR3292" s="55">
        <v>28500</v>
      </c>
      <c r="AS3292" s="78">
        <f t="shared" si="55"/>
        <v>0</v>
      </c>
    </row>
    <row r="3293" spans="39:45">
      <c r="AM3293" s="55">
        <v>2019</v>
      </c>
      <c r="AN3293" s="55" t="s">
        <v>96</v>
      </c>
      <c r="AO3293" s="55">
        <v>18</v>
      </c>
      <c r="AP3293" s="55">
        <v>3</v>
      </c>
      <c r="AQ3293" s="55">
        <v>0</v>
      </c>
      <c r="AR3293" s="55">
        <v>28500</v>
      </c>
      <c r="AS3293" s="78">
        <f t="shared" si="55"/>
        <v>0</v>
      </c>
    </row>
    <row r="3294" spans="39:45">
      <c r="AM3294" s="54">
        <v>2019</v>
      </c>
      <c r="AN3294" s="54" t="s">
        <v>96</v>
      </c>
      <c r="AO3294" s="54">
        <v>18</v>
      </c>
      <c r="AP3294" s="54">
        <v>4</v>
      </c>
      <c r="AQ3294" s="54">
        <v>0</v>
      </c>
      <c r="AR3294" s="55">
        <v>28500</v>
      </c>
      <c r="AS3294" s="78">
        <f t="shared" si="55"/>
        <v>0</v>
      </c>
    </row>
    <row r="3295" spans="39:45">
      <c r="AM3295" s="55">
        <v>2019</v>
      </c>
      <c r="AN3295" s="55" t="s">
        <v>96</v>
      </c>
      <c r="AO3295" s="55">
        <v>18</v>
      </c>
      <c r="AP3295" s="55">
        <v>5</v>
      </c>
      <c r="AQ3295" s="55">
        <v>1128</v>
      </c>
      <c r="AR3295" s="55">
        <v>28500</v>
      </c>
      <c r="AS3295" s="78">
        <f t="shared" si="55"/>
        <v>3.9578947368421054E-2</v>
      </c>
    </row>
    <row r="3296" spans="39:45">
      <c r="AM3296" s="54">
        <v>2019</v>
      </c>
      <c r="AN3296" s="54" t="s">
        <v>96</v>
      </c>
      <c r="AO3296" s="54">
        <v>18</v>
      </c>
      <c r="AP3296" s="54">
        <v>6</v>
      </c>
      <c r="AQ3296" s="54">
        <v>4615</v>
      </c>
      <c r="AR3296" s="55">
        <v>28500</v>
      </c>
      <c r="AS3296" s="78">
        <f t="shared" si="55"/>
        <v>0.16192982456140351</v>
      </c>
    </row>
    <row r="3297" spans="39:45">
      <c r="AM3297" s="55">
        <v>2019</v>
      </c>
      <c r="AN3297" s="55" t="s">
        <v>96</v>
      </c>
      <c r="AO3297" s="55">
        <v>18</v>
      </c>
      <c r="AP3297" s="55">
        <v>7</v>
      </c>
      <c r="AQ3297" s="55">
        <v>8733.5</v>
      </c>
      <c r="AR3297" s="55">
        <v>28500</v>
      </c>
      <c r="AS3297" s="78">
        <f t="shared" si="55"/>
        <v>0.30643859649122807</v>
      </c>
    </row>
    <row r="3298" spans="39:45">
      <c r="AM3298" s="54">
        <v>2019</v>
      </c>
      <c r="AN3298" s="54" t="s">
        <v>96</v>
      </c>
      <c r="AO3298" s="54">
        <v>18</v>
      </c>
      <c r="AP3298" s="54">
        <v>8</v>
      </c>
      <c r="AQ3298" s="54">
        <v>15818</v>
      </c>
      <c r="AR3298" s="55">
        <v>28500</v>
      </c>
      <c r="AS3298" s="78">
        <f t="shared" si="55"/>
        <v>0.55501754385964908</v>
      </c>
    </row>
    <row r="3299" spans="39:45">
      <c r="AM3299" s="55">
        <v>2019</v>
      </c>
      <c r="AN3299" s="55" t="s">
        <v>96</v>
      </c>
      <c r="AO3299" s="55">
        <v>18</v>
      </c>
      <c r="AP3299" s="55">
        <v>9</v>
      </c>
      <c r="AQ3299" s="55">
        <v>10689.5</v>
      </c>
      <c r="AR3299" s="55">
        <v>28500</v>
      </c>
      <c r="AS3299" s="78">
        <f t="shared" si="55"/>
        <v>0.3750701754385965</v>
      </c>
    </row>
    <row r="3300" spans="39:45">
      <c r="AM3300" s="54">
        <v>2019</v>
      </c>
      <c r="AN3300" s="54" t="s">
        <v>96</v>
      </c>
      <c r="AO3300" s="54">
        <v>18</v>
      </c>
      <c r="AP3300" s="54">
        <v>10</v>
      </c>
      <c r="AQ3300" s="54">
        <v>3908</v>
      </c>
      <c r="AR3300" s="55">
        <v>28500</v>
      </c>
      <c r="AS3300" s="78">
        <f t="shared" si="55"/>
        <v>0.13712280701754387</v>
      </c>
    </row>
    <row r="3301" spans="39:45">
      <c r="AM3301" s="55">
        <v>2019</v>
      </c>
      <c r="AN3301" s="55" t="s">
        <v>96</v>
      </c>
      <c r="AO3301" s="55">
        <v>18</v>
      </c>
      <c r="AP3301" s="55">
        <v>11</v>
      </c>
      <c r="AQ3301" s="55">
        <v>7398</v>
      </c>
      <c r="AR3301" s="55">
        <v>28500</v>
      </c>
      <c r="AS3301" s="78">
        <f t="shared" si="55"/>
        <v>0.25957894736842108</v>
      </c>
    </row>
    <row r="3302" spans="39:45">
      <c r="AM3302" s="54">
        <v>2019</v>
      </c>
      <c r="AN3302" s="54" t="s">
        <v>96</v>
      </c>
      <c r="AO3302" s="54">
        <v>18</v>
      </c>
      <c r="AP3302" s="54">
        <v>12</v>
      </c>
      <c r="AQ3302" s="54">
        <v>17301</v>
      </c>
      <c r="AR3302" s="55">
        <v>28500</v>
      </c>
      <c r="AS3302" s="78">
        <f t="shared" si="55"/>
        <v>0.6070526315789474</v>
      </c>
    </row>
    <row r="3303" spans="39:45">
      <c r="AM3303" s="55">
        <v>2019</v>
      </c>
      <c r="AN3303" s="55" t="s">
        <v>96</v>
      </c>
      <c r="AO3303" s="55">
        <v>18</v>
      </c>
      <c r="AP3303" s="55">
        <v>13</v>
      </c>
      <c r="AQ3303" s="55">
        <v>17754.5</v>
      </c>
      <c r="AR3303" s="55">
        <v>28500</v>
      </c>
      <c r="AS3303" s="78">
        <f t="shared" si="55"/>
        <v>0.62296491228070172</v>
      </c>
    </row>
    <row r="3304" spans="39:45">
      <c r="AM3304" s="54">
        <v>2019</v>
      </c>
      <c r="AN3304" s="54" t="s">
        <v>96</v>
      </c>
      <c r="AO3304" s="54">
        <v>18</v>
      </c>
      <c r="AP3304" s="54">
        <v>14</v>
      </c>
      <c r="AQ3304" s="54">
        <v>3447.5</v>
      </c>
      <c r="AR3304" s="55">
        <v>28500</v>
      </c>
      <c r="AS3304" s="78">
        <f t="shared" si="55"/>
        <v>0.12096491228070176</v>
      </c>
    </row>
    <row r="3305" spans="39:45">
      <c r="AM3305" s="55">
        <v>2019</v>
      </c>
      <c r="AN3305" s="55" t="s">
        <v>96</v>
      </c>
      <c r="AO3305" s="55">
        <v>18</v>
      </c>
      <c r="AP3305" s="55">
        <v>15</v>
      </c>
      <c r="AQ3305" s="55">
        <v>8191.5</v>
      </c>
      <c r="AR3305" s="55">
        <v>28500</v>
      </c>
      <c r="AS3305" s="78">
        <f t="shared" si="55"/>
        <v>0.28742105263157897</v>
      </c>
    </row>
    <row r="3306" spans="39:45">
      <c r="AM3306" s="54">
        <v>2019</v>
      </c>
      <c r="AN3306" s="54" t="s">
        <v>96</v>
      </c>
      <c r="AO3306" s="54">
        <v>18</v>
      </c>
      <c r="AP3306" s="54">
        <v>16</v>
      </c>
      <c r="AQ3306" s="54">
        <v>3004</v>
      </c>
      <c r="AR3306" s="55">
        <v>28500</v>
      </c>
      <c r="AS3306" s="78">
        <f t="shared" si="55"/>
        <v>0.10540350877192982</v>
      </c>
    </row>
    <row r="3307" spans="39:45">
      <c r="AM3307" s="55">
        <v>2019</v>
      </c>
      <c r="AN3307" s="55" t="s">
        <v>96</v>
      </c>
      <c r="AO3307" s="55">
        <v>18</v>
      </c>
      <c r="AP3307" s="55">
        <v>17</v>
      </c>
      <c r="AQ3307" s="55">
        <v>5194</v>
      </c>
      <c r="AR3307" s="55">
        <v>28500</v>
      </c>
      <c r="AS3307" s="78">
        <f t="shared" si="55"/>
        <v>0.18224561403508771</v>
      </c>
    </row>
    <row r="3308" spans="39:45">
      <c r="AM3308" s="54">
        <v>2019</v>
      </c>
      <c r="AN3308" s="54" t="s">
        <v>96</v>
      </c>
      <c r="AO3308" s="54">
        <v>18</v>
      </c>
      <c r="AP3308" s="54">
        <v>18</v>
      </c>
      <c r="AQ3308" s="54">
        <v>616.5</v>
      </c>
      <c r="AR3308" s="55">
        <v>28500</v>
      </c>
      <c r="AS3308" s="78">
        <f t="shared" si="55"/>
        <v>2.1631578947368422E-2</v>
      </c>
    </row>
    <row r="3309" spans="39:45">
      <c r="AM3309" s="55">
        <v>2019</v>
      </c>
      <c r="AN3309" s="55" t="s">
        <v>96</v>
      </c>
      <c r="AO3309" s="55">
        <v>18</v>
      </c>
      <c r="AP3309" s="55">
        <v>19</v>
      </c>
      <c r="AQ3309" s="55">
        <v>0</v>
      </c>
      <c r="AR3309" s="55">
        <v>28500</v>
      </c>
      <c r="AS3309" s="78">
        <f t="shared" si="55"/>
        <v>0</v>
      </c>
    </row>
    <row r="3310" spans="39:45">
      <c r="AM3310" s="54">
        <v>2019</v>
      </c>
      <c r="AN3310" s="54" t="s">
        <v>96</v>
      </c>
      <c r="AO3310" s="54">
        <v>18</v>
      </c>
      <c r="AP3310" s="54">
        <v>20</v>
      </c>
      <c r="AQ3310" s="54">
        <v>0</v>
      </c>
      <c r="AR3310" s="55">
        <v>28500</v>
      </c>
      <c r="AS3310" s="78">
        <f t="shared" si="55"/>
        <v>0</v>
      </c>
    </row>
    <row r="3311" spans="39:45">
      <c r="AM3311" s="55">
        <v>2019</v>
      </c>
      <c r="AN3311" s="55" t="s">
        <v>96</v>
      </c>
      <c r="AO3311" s="55">
        <v>18</v>
      </c>
      <c r="AP3311" s="55">
        <v>21</v>
      </c>
      <c r="AQ3311" s="55">
        <v>0</v>
      </c>
      <c r="AR3311" s="55">
        <v>28500</v>
      </c>
      <c r="AS3311" s="78">
        <f t="shared" si="55"/>
        <v>0</v>
      </c>
    </row>
    <row r="3312" spans="39:45">
      <c r="AM3312" s="54">
        <v>2019</v>
      </c>
      <c r="AN3312" s="54" t="s">
        <v>96</v>
      </c>
      <c r="AO3312" s="54">
        <v>18</v>
      </c>
      <c r="AP3312" s="54">
        <v>22</v>
      </c>
      <c r="AQ3312" s="54">
        <v>0</v>
      </c>
      <c r="AR3312" s="55">
        <v>28500</v>
      </c>
      <c r="AS3312" s="78">
        <f t="shared" si="55"/>
        <v>0</v>
      </c>
    </row>
    <row r="3313" spans="39:45">
      <c r="AM3313" s="55">
        <v>2019</v>
      </c>
      <c r="AN3313" s="55" t="s">
        <v>96</v>
      </c>
      <c r="AO3313" s="55">
        <v>18</v>
      </c>
      <c r="AP3313" s="55">
        <v>23</v>
      </c>
      <c r="AQ3313" s="55">
        <v>0</v>
      </c>
      <c r="AR3313" s="55">
        <v>28500</v>
      </c>
      <c r="AS3313" s="78">
        <f t="shared" si="55"/>
        <v>0</v>
      </c>
    </row>
    <row r="3314" spans="39:45">
      <c r="AM3314" s="54">
        <v>2019</v>
      </c>
      <c r="AN3314" s="54" t="s">
        <v>96</v>
      </c>
      <c r="AO3314" s="54">
        <v>19</v>
      </c>
      <c r="AP3314" s="54">
        <v>24</v>
      </c>
      <c r="AQ3314" s="54">
        <v>0</v>
      </c>
      <c r="AR3314" s="55">
        <v>28500</v>
      </c>
      <c r="AS3314" s="78">
        <f t="shared" si="55"/>
        <v>0</v>
      </c>
    </row>
    <row r="3315" spans="39:45">
      <c r="AM3315" s="55">
        <v>2019</v>
      </c>
      <c r="AN3315" s="55" t="s">
        <v>96</v>
      </c>
      <c r="AO3315" s="55">
        <v>19</v>
      </c>
      <c r="AP3315" s="55">
        <v>1</v>
      </c>
      <c r="AQ3315" s="55">
        <v>0</v>
      </c>
      <c r="AR3315" s="55">
        <v>28500</v>
      </c>
      <c r="AS3315" s="78">
        <f t="shared" si="55"/>
        <v>0</v>
      </c>
    </row>
    <row r="3316" spans="39:45">
      <c r="AM3316" s="54">
        <v>2019</v>
      </c>
      <c r="AN3316" s="54" t="s">
        <v>96</v>
      </c>
      <c r="AO3316" s="54">
        <v>19</v>
      </c>
      <c r="AP3316" s="54">
        <v>2</v>
      </c>
      <c r="AQ3316" s="54">
        <v>0</v>
      </c>
      <c r="AR3316" s="55">
        <v>28500</v>
      </c>
      <c r="AS3316" s="78">
        <f t="shared" si="55"/>
        <v>0</v>
      </c>
    </row>
    <row r="3317" spans="39:45">
      <c r="AM3317" s="55">
        <v>2019</v>
      </c>
      <c r="AN3317" s="55" t="s">
        <v>96</v>
      </c>
      <c r="AO3317" s="55">
        <v>19</v>
      </c>
      <c r="AP3317" s="55">
        <v>3</v>
      </c>
      <c r="AQ3317" s="55">
        <v>0</v>
      </c>
      <c r="AR3317" s="55">
        <v>28500</v>
      </c>
      <c r="AS3317" s="78">
        <f t="shared" si="55"/>
        <v>0</v>
      </c>
    </row>
    <row r="3318" spans="39:45">
      <c r="AM3318" s="54">
        <v>2019</v>
      </c>
      <c r="AN3318" s="54" t="s">
        <v>96</v>
      </c>
      <c r="AO3318" s="54">
        <v>19</v>
      </c>
      <c r="AP3318" s="54">
        <v>4</v>
      </c>
      <c r="AQ3318" s="54">
        <v>0</v>
      </c>
      <c r="AR3318" s="55">
        <v>28500</v>
      </c>
      <c r="AS3318" s="78">
        <f t="shared" si="55"/>
        <v>0</v>
      </c>
    </row>
    <row r="3319" spans="39:45">
      <c r="AM3319" s="55">
        <v>2019</v>
      </c>
      <c r="AN3319" s="55" t="s">
        <v>96</v>
      </c>
      <c r="AO3319" s="55">
        <v>19</v>
      </c>
      <c r="AP3319" s="55">
        <v>5</v>
      </c>
      <c r="AQ3319" s="55">
        <v>749.5</v>
      </c>
      <c r="AR3319" s="55">
        <v>28500</v>
      </c>
      <c r="AS3319" s="78">
        <f t="shared" si="55"/>
        <v>2.6298245614035088E-2</v>
      </c>
    </row>
    <row r="3320" spans="39:45">
      <c r="AM3320" s="54">
        <v>2019</v>
      </c>
      <c r="AN3320" s="54" t="s">
        <v>96</v>
      </c>
      <c r="AO3320" s="54">
        <v>19</v>
      </c>
      <c r="AP3320" s="54">
        <v>6</v>
      </c>
      <c r="AQ3320" s="54">
        <v>1998.5</v>
      </c>
      <c r="AR3320" s="55">
        <v>28500</v>
      </c>
      <c r="AS3320" s="78">
        <f t="shared" si="55"/>
        <v>7.0122807017543864E-2</v>
      </c>
    </row>
    <row r="3321" spans="39:45">
      <c r="AM3321" s="55">
        <v>2019</v>
      </c>
      <c r="AN3321" s="55" t="s">
        <v>96</v>
      </c>
      <c r="AO3321" s="55">
        <v>19</v>
      </c>
      <c r="AP3321" s="55">
        <v>7</v>
      </c>
      <c r="AQ3321" s="55">
        <v>8739</v>
      </c>
      <c r="AR3321" s="55">
        <v>28500</v>
      </c>
      <c r="AS3321" s="78">
        <f t="shared" si="55"/>
        <v>0.30663157894736842</v>
      </c>
    </row>
    <row r="3322" spans="39:45">
      <c r="AM3322" s="54">
        <v>2019</v>
      </c>
      <c r="AN3322" s="54" t="s">
        <v>96</v>
      </c>
      <c r="AO3322" s="54">
        <v>19</v>
      </c>
      <c r="AP3322" s="54">
        <v>8</v>
      </c>
      <c r="AQ3322" s="54">
        <v>9317</v>
      </c>
      <c r="AR3322" s="55">
        <v>28500</v>
      </c>
      <c r="AS3322" s="78">
        <f t="shared" si="55"/>
        <v>0.32691228070175438</v>
      </c>
    </row>
    <row r="3323" spans="39:45">
      <c r="AM3323" s="55">
        <v>2019</v>
      </c>
      <c r="AN3323" s="55" t="s">
        <v>96</v>
      </c>
      <c r="AO3323" s="55">
        <v>19</v>
      </c>
      <c r="AP3323" s="55">
        <v>9</v>
      </c>
      <c r="AQ3323" s="55">
        <v>11600</v>
      </c>
      <c r="AR3323" s="55">
        <v>28500</v>
      </c>
      <c r="AS3323" s="78">
        <f t="shared" si="55"/>
        <v>0.40701754385964911</v>
      </c>
    </row>
    <row r="3324" spans="39:45">
      <c r="AM3324" s="54">
        <v>2019</v>
      </c>
      <c r="AN3324" s="54" t="s">
        <v>96</v>
      </c>
      <c r="AO3324" s="54">
        <v>19</v>
      </c>
      <c r="AP3324" s="54">
        <v>10</v>
      </c>
      <c r="AQ3324" s="54">
        <v>14495</v>
      </c>
      <c r="AR3324" s="55">
        <v>28500</v>
      </c>
      <c r="AS3324" s="78">
        <f t="shared" si="55"/>
        <v>0.50859649122807016</v>
      </c>
    </row>
    <row r="3325" spans="39:45">
      <c r="AM3325" s="55">
        <v>2019</v>
      </c>
      <c r="AN3325" s="55" t="s">
        <v>96</v>
      </c>
      <c r="AO3325" s="55">
        <v>19</v>
      </c>
      <c r="AP3325" s="55">
        <v>11</v>
      </c>
      <c r="AQ3325" s="55">
        <v>19475</v>
      </c>
      <c r="AR3325" s="55">
        <v>28500</v>
      </c>
      <c r="AS3325" s="78">
        <f t="shared" si="55"/>
        <v>0.68333333333333335</v>
      </c>
    </row>
    <row r="3326" spans="39:45">
      <c r="AM3326" s="54">
        <v>2019</v>
      </c>
      <c r="AN3326" s="54" t="s">
        <v>96</v>
      </c>
      <c r="AO3326" s="54">
        <v>19</v>
      </c>
      <c r="AP3326" s="54">
        <v>12</v>
      </c>
      <c r="AQ3326" s="54">
        <v>20656</v>
      </c>
      <c r="AR3326" s="55">
        <v>28500</v>
      </c>
      <c r="AS3326" s="78">
        <f t="shared" si="55"/>
        <v>0.7247719298245614</v>
      </c>
    </row>
    <row r="3327" spans="39:45">
      <c r="AM3327" s="55">
        <v>2019</v>
      </c>
      <c r="AN3327" s="55" t="s">
        <v>96</v>
      </c>
      <c r="AO3327" s="55">
        <v>19</v>
      </c>
      <c r="AP3327" s="55">
        <v>13</v>
      </c>
      <c r="AQ3327" s="55">
        <v>27849.5</v>
      </c>
      <c r="AR3327" s="55">
        <v>28500</v>
      </c>
      <c r="AS3327" s="78">
        <f t="shared" si="55"/>
        <v>0.97717543859649125</v>
      </c>
    </row>
    <row r="3328" spans="39:45">
      <c r="AM3328" s="54">
        <v>2019</v>
      </c>
      <c r="AN3328" s="54" t="s">
        <v>96</v>
      </c>
      <c r="AO3328" s="54">
        <v>19</v>
      </c>
      <c r="AP3328" s="54">
        <v>14</v>
      </c>
      <c r="AQ3328" s="54">
        <v>19988</v>
      </c>
      <c r="AR3328" s="55">
        <v>28500</v>
      </c>
      <c r="AS3328" s="78">
        <f t="shared" si="55"/>
        <v>0.70133333333333336</v>
      </c>
    </row>
    <row r="3329" spans="39:45">
      <c r="AM3329" s="55">
        <v>2019</v>
      </c>
      <c r="AN3329" s="55" t="s">
        <v>96</v>
      </c>
      <c r="AO3329" s="55">
        <v>19</v>
      </c>
      <c r="AP3329" s="55">
        <v>15</v>
      </c>
      <c r="AQ3329" s="55">
        <v>12417</v>
      </c>
      <c r="AR3329" s="55">
        <v>28500</v>
      </c>
      <c r="AS3329" s="78">
        <f t="shared" si="55"/>
        <v>0.43568421052631578</v>
      </c>
    </row>
    <row r="3330" spans="39:45">
      <c r="AM3330" s="54">
        <v>2019</v>
      </c>
      <c r="AN3330" s="54" t="s">
        <v>96</v>
      </c>
      <c r="AO3330" s="54">
        <v>19</v>
      </c>
      <c r="AP3330" s="54">
        <v>16</v>
      </c>
      <c r="AQ3330" s="54">
        <v>8350</v>
      </c>
      <c r="AR3330" s="55">
        <v>28500</v>
      </c>
      <c r="AS3330" s="78">
        <f t="shared" ref="AS3330:AS3393" si="56">AQ3330/AR3330</f>
        <v>0.2929824561403509</v>
      </c>
    </row>
    <row r="3331" spans="39:45">
      <c r="AM3331" s="55">
        <v>2019</v>
      </c>
      <c r="AN3331" s="55" t="s">
        <v>96</v>
      </c>
      <c r="AO3331" s="55">
        <v>19</v>
      </c>
      <c r="AP3331" s="55">
        <v>17</v>
      </c>
      <c r="AQ3331" s="55">
        <v>7172.5</v>
      </c>
      <c r="AR3331" s="55">
        <v>28500</v>
      </c>
      <c r="AS3331" s="78">
        <f t="shared" si="56"/>
        <v>0.25166666666666665</v>
      </c>
    </row>
    <row r="3332" spans="39:45">
      <c r="AM3332" s="54">
        <v>2019</v>
      </c>
      <c r="AN3332" s="54" t="s">
        <v>96</v>
      </c>
      <c r="AO3332" s="54">
        <v>19</v>
      </c>
      <c r="AP3332" s="54">
        <v>18</v>
      </c>
      <c r="AQ3332" s="54">
        <v>1655</v>
      </c>
      <c r="AR3332" s="55">
        <v>28500</v>
      </c>
      <c r="AS3332" s="78">
        <f t="shared" si="56"/>
        <v>5.8070175438596494E-2</v>
      </c>
    </row>
    <row r="3333" spans="39:45">
      <c r="AM3333" s="55">
        <v>2019</v>
      </c>
      <c r="AN3333" s="55" t="s">
        <v>96</v>
      </c>
      <c r="AO3333" s="55">
        <v>19</v>
      </c>
      <c r="AP3333" s="55">
        <v>19</v>
      </c>
      <c r="AQ3333" s="55">
        <v>3.5</v>
      </c>
      <c r="AR3333" s="55">
        <v>28500</v>
      </c>
      <c r="AS3333" s="78">
        <f t="shared" si="56"/>
        <v>1.2280701754385965E-4</v>
      </c>
    </row>
    <row r="3334" spans="39:45">
      <c r="AM3334" s="54">
        <v>2019</v>
      </c>
      <c r="AN3334" s="54" t="s">
        <v>96</v>
      </c>
      <c r="AO3334" s="54">
        <v>19</v>
      </c>
      <c r="AP3334" s="54">
        <v>20</v>
      </c>
      <c r="AQ3334" s="54">
        <v>0</v>
      </c>
      <c r="AR3334" s="55">
        <v>28500</v>
      </c>
      <c r="AS3334" s="78">
        <f t="shared" si="56"/>
        <v>0</v>
      </c>
    </row>
    <row r="3335" spans="39:45">
      <c r="AM3335" s="55">
        <v>2019</v>
      </c>
      <c r="AN3335" s="55" t="s">
        <v>96</v>
      </c>
      <c r="AO3335" s="55">
        <v>19</v>
      </c>
      <c r="AP3335" s="55">
        <v>21</v>
      </c>
      <c r="AQ3335" s="55">
        <v>0</v>
      </c>
      <c r="AR3335" s="55">
        <v>28500</v>
      </c>
      <c r="AS3335" s="78">
        <f t="shared" si="56"/>
        <v>0</v>
      </c>
    </row>
    <row r="3336" spans="39:45">
      <c r="AM3336" s="54">
        <v>2019</v>
      </c>
      <c r="AN3336" s="54" t="s">
        <v>96</v>
      </c>
      <c r="AO3336" s="54">
        <v>19</v>
      </c>
      <c r="AP3336" s="54">
        <v>22</v>
      </c>
      <c r="AQ3336" s="54">
        <v>0</v>
      </c>
      <c r="AR3336" s="55">
        <v>28500</v>
      </c>
      <c r="AS3336" s="78">
        <f t="shared" si="56"/>
        <v>0</v>
      </c>
    </row>
    <row r="3337" spans="39:45">
      <c r="AM3337" s="55">
        <v>2019</v>
      </c>
      <c r="AN3337" s="55" t="s">
        <v>96</v>
      </c>
      <c r="AO3337" s="55">
        <v>19</v>
      </c>
      <c r="AP3337" s="55">
        <v>23</v>
      </c>
      <c r="AQ3337" s="55">
        <v>0</v>
      </c>
      <c r="AR3337" s="55">
        <v>28500</v>
      </c>
      <c r="AS3337" s="78">
        <f t="shared" si="56"/>
        <v>0</v>
      </c>
    </row>
    <row r="3338" spans="39:45">
      <c r="AM3338" s="54">
        <v>2019</v>
      </c>
      <c r="AN3338" s="54" t="s">
        <v>96</v>
      </c>
      <c r="AO3338" s="54">
        <v>20</v>
      </c>
      <c r="AP3338" s="54">
        <v>24</v>
      </c>
      <c r="AQ3338" s="54">
        <v>0</v>
      </c>
      <c r="AR3338" s="55">
        <v>28500</v>
      </c>
      <c r="AS3338" s="78">
        <f t="shared" si="56"/>
        <v>0</v>
      </c>
    </row>
    <row r="3339" spans="39:45">
      <c r="AM3339" s="55">
        <v>2019</v>
      </c>
      <c r="AN3339" s="55" t="s">
        <v>96</v>
      </c>
      <c r="AO3339" s="55">
        <v>20</v>
      </c>
      <c r="AP3339" s="55">
        <v>1</v>
      </c>
      <c r="AQ3339" s="55">
        <v>0</v>
      </c>
      <c r="AR3339" s="55">
        <v>28500</v>
      </c>
      <c r="AS3339" s="78">
        <f t="shared" si="56"/>
        <v>0</v>
      </c>
    </row>
    <row r="3340" spans="39:45">
      <c r="AM3340" s="54">
        <v>2019</v>
      </c>
      <c r="AN3340" s="54" t="s">
        <v>96</v>
      </c>
      <c r="AO3340" s="54">
        <v>20</v>
      </c>
      <c r="AP3340" s="54">
        <v>2</v>
      </c>
      <c r="AQ3340" s="54">
        <v>0</v>
      </c>
      <c r="AR3340" s="55">
        <v>28500</v>
      </c>
      <c r="AS3340" s="78">
        <f t="shared" si="56"/>
        <v>0</v>
      </c>
    </row>
    <row r="3341" spans="39:45">
      <c r="AM3341" s="55">
        <v>2019</v>
      </c>
      <c r="AN3341" s="55" t="s">
        <v>96</v>
      </c>
      <c r="AO3341" s="55">
        <v>20</v>
      </c>
      <c r="AP3341" s="55">
        <v>3</v>
      </c>
      <c r="AQ3341" s="55">
        <v>0</v>
      </c>
      <c r="AR3341" s="55">
        <v>28500</v>
      </c>
      <c r="AS3341" s="78">
        <f t="shared" si="56"/>
        <v>0</v>
      </c>
    </row>
    <row r="3342" spans="39:45">
      <c r="AM3342" s="54">
        <v>2019</v>
      </c>
      <c r="AN3342" s="54" t="s">
        <v>96</v>
      </c>
      <c r="AO3342" s="54">
        <v>20</v>
      </c>
      <c r="AP3342" s="54">
        <v>4</v>
      </c>
      <c r="AQ3342" s="54">
        <v>0</v>
      </c>
      <c r="AR3342" s="55">
        <v>28500</v>
      </c>
      <c r="AS3342" s="78">
        <f t="shared" si="56"/>
        <v>0</v>
      </c>
    </row>
    <row r="3343" spans="39:45">
      <c r="AM3343" s="55">
        <v>2019</v>
      </c>
      <c r="AN3343" s="55" t="s">
        <v>96</v>
      </c>
      <c r="AO3343" s="55">
        <v>20</v>
      </c>
      <c r="AP3343" s="55">
        <v>5</v>
      </c>
      <c r="AQ3343" s="55">
        <v>1426.5</v>
      </c>
      <c r="AR3343" s="55">
        <v>28500</v>
      </c>
      <c r="AS3343" s="78">
        <f t="shared" si="56"/>
        <v>5.0052631578947369E-2</v>
      </c>
    </row>
    <row r="3344" spans="39:45">
      <c r="AM3344" s="54">
        <v>2019</v>
      </c>
      <c r="AN3344" s="54" t="s">
        <v>96</v>
      </c>
      <c r="AO3344" s="54">
        <v>20</v>
      </c>
      <c r="AP3344" s="54">
        <v>6</v>
      </c>
      <c r="AQ3344" s="54">
        <v>4046.5</v>
      </c>
      <c r="AR3344" s="55">
        <v>28500</v>
      </c>
      <c r="AS3344" s="78">
        <f t="shared" si="56"/>
        <v>0.14198245614035088</v>
      </c>
    </row>
    <row r="3345" spans="39:45">
      <c r="AM3345" s="55">
        <v>2019</v>
      </c>
      <c r="AN3345" s="55" t="s">
        <v>96</v>
      </c>
      <c r="AO3345" s="55">
        <v>20</v>
      </c>
      <c r="AP3345" s="55">
        <v>7</v>
      </c>
      <c r="AQ3345" s="55">
        <v>8341</v>
      </c>
      <c r="AR3345" s="55">
        <v>28500</v>
      </c>
      <c r="AS3345" s="78">
        <f t="shared" si="56"/>
        <v>0.29266666666666669</v>
      </c>
    </row>
    <row r="3346" spans="39:45">
      <c r="AM3346" s="54">
        <v>2019</v>
      </c>
      <c r="AN3346" s="54" t="s">
        <v>96</v>
      </c>
      <c r="AO3346" s="54">
        <v>20</v>
      </c>
      <c r="AP3346" s="54">
        <v>8</v>
      </c>
      <c r="AQ3346" s="54">
        <v>20590</v>
      </c>
      <c r="AR3346" s="55">
        <v>28500</v>
      </c>
      <c r="AS3346" s="78">
        <f t="shared" si="56"/>
        <v>0.72245614035087724</v>
      </c>
    </row>
    <row r="3347" spans="39:45">
      <c r="AM3347" s="55">
        <v>2019</v>
      </c>
      <c r="AN3347" s="55" t="s">
        <v>96</v>
      </c>
      <c r="AO3347" s="55">
        <v>20</v>
      </c>
      <c r="AP3347" s="55">
        <v>9</v>
      </c>
      <c r="AQ3347" s="55">
        <v>19302</v>
      </c>
      <c r="AR3347" s="55">
        <v>28500</v>
      </c>
      <c r="AS3347" s="78">
        <f t="shared" si="56"/>
        <v>0.67726315789473679</v>
      </c>
    </row>
    <row r="3348" spans="39:45">
      <c r="AM3348" s="54">
        <v>2019</v>
      </c>
      <c r="AN3348" s="54" t="s">
        <v>96</v>
      </c>
      <c r="AO3348" s="54">
        <v>20</v>
      </c>
      <c r="AP3348" s="54">
        <v>10</v>
      </c>
      <c r="AQ3348" s="54">
        <v>22688</v>
      </c>
      <c r="AR3348" s="55">
        <v>28500</v>
      </c>
      <c r="AS3348" s="78">
        <f t="shared" si="56"/>
        <v>0.79607017543859648</v>
      </c>
    </row>
    <row r="3349" spans="39:45">
      <c r="AM3349" s="55">
        <v>2019</v>
      </c>
      <c r="AN3349" s="55" t="s">
        <v>96</v>
      </c>
      <c r="AO3349" s="55">
        <v>20</v>
      </c>
      <c r="AP3349" s="55">
        <v>11</v>
      </c>
      <c r="AQ3349" s="55">
        <v>16186</v>
      </c>
      <c r="AR3349" s="55">
        <v>28500</v>
      </c>
      <c r="AS3349" s="78">
        <f t="shared" si="56"/>
        <v>0.56792982456140351</v>
      </c>
    </row>
    <row r="3350" spans="39:45">
      <c r="AM3350" s="54">
        <v>2019</v>
      </c>
      <c r="AN3350" s="54" t="s">
        <v>96</v>
      </c>
      <c r="AO3350" s="54">
        <v>20</v>
      </c>
      <c r="AP3350" s="54">
        <v>12</v>
      </c>
      <c r="AQ3350" s="54">
        <v>9891</v>
      </c>
      <c r="AR3350" s="55">
        <v>28500</v>
      </c>
      <c r="AS3350" s="78">
        <f t="shared" si="56"/>
        <v>0.34705263157894739</v>
      </c>
    </row>
    <row r="3351" spans="39:45">
      <c r="AM3351" s="55">
        <v>2019</v>
      </c>
      <c r="AN3351" s="55" t="s">
        <v>96</v>
      </c>
      <c r="AO3351" s="55">
        <v>20</v>
      </c>
      <c r="AP3351" s="55">
        <v>13</v>
      </c>
      <c r="AQ3351" s="55">
        <v>7336</v>
      </c>
      <c r="AR3351" s="55">
        <v>28500</v>
      </c>
      <c r="AS3351" s="78">
        <f t="shared" si="56"/>
        <v>0.2574035087719298</v>
      </c>
    </row>
    <row r="3352" spans="39:45">
      <c r="AM3352" s="54">
        <v>2019</v>
      </c>
      <c r="AN3352" s="54" t="s">
        <v>96</v>
      </c>
      <c r="AO3352" s="54">
        <v>20</v>
      </c>
      <c r="AP3352" s="54">
        <v>14</v>
      </c>
      <c r="AQ3352" s="54">
        <v>9234</v>
      </c>
      <c r="AR3352" s="55">
        <v>28500</v>
      </c>
      <c r="AS3352" s="78">
        <f t="shared" si="56"/>
        <v>0.32400000000000001</v>
      </c>
    </row>
    <row r="3353" spans="39:45">
      <c r="AM3353" s="55">
        <v>2019</v>
      </c>
      <c r="AN3353" s="55" t="s">
        <v>96</v>
      </c>
      <c r="AO3353" s="55">
        <v>20</v>
      </c>
      <c r="AP3353" s="55">
        <v>15</v>
      </c>
      <c r="AQ3353" s="55">
        <v>21757.5</v>
      </c>
      <c r="AR3353" s="55">
        <v>28500</v>
      </c>
      <c r="AS3353" s="78">
        <f t="shared" si="56"/>
        <v>0.763421052631579</v>
      </c>
    </row>
    <row r="3354" spans="39:45">
      <c r="AM3354" s="54">
        <v>2019</v>
      </c>
      <c r="AN3354" s="54" t="s">
        <v>96</v>
      </c>
      <c r="AO3354" s="54">
        <v>20</v>
      </c>
      <c r="AP3354" s="54">
        <v>16</v>
      </c>
      <c r="AQ3354" s="54">
        <v>11513.5</v>
      </c>
      <c r="AR3354" s="55">
        <v>28500</v>
      </c>
      <c r="AS3354" s="78">
        <f t="shared" si="56"/>
        <v>0.40398245614035089</v>
      </c>
    </row>
    <row r="3355" spans="39:45">
      <c r="AM3355" s="55">
        <v>2019</v>
      </c>
      <c r="AN3355" s="55" t="s">
        <v>96</v>
      </c>
      <c r="AO3355" s="55">
        <v>20</v>
      </c>
      <c r="AP3355" s="55">
        <v>17</v>
      </c>
      <c r="AQ3355" s="55">
        <v>2735</v>
      </c>
      <c r="AR3355" s="55">
        <v>28500</v>
      </c>
      <c r="AS3355" s="78">
        <f t="shared" si="56"/>
        <v>9.5964912280701753E-2</v>
      </c>
    </row>
    <row r="3356" spans="39:45">
      <c r="AM3356" s="54">
        <v>2019</v>
      </c>
      <c r="AN3356" s="54" t="s">
        <v>96</v>
      </c>
      <c r="AO3356" s="54">
        <v>20</v>
      </c>
      <c r="AP3356" s="54">
        <v>18</v>
      </c>
      <c r="AQ3356" s="54">
        <v>2442.5</v>
      </c>
      <c r="AR3356" s="55">
        <v>28500</v>
      </c>
      <c r="AS3356" s="78">
        <f t="shared" si="56"/>
        <v>8.5701754385964918E-2</v>
      </c>
    </row>
    <row r="3357" spans="39:45">
      <c r="AM3357" s="55">
        <v>2019</v>
      </c>
      <c r="AN3357" s="55" t="s">
        <v>96</v>
      </c>
      <c r="AO3357" s="55">
        <v>20</v>
      </c>
      <c r="AP3357" s="55">
        <v>19</v>
      </c>
      <c r="AQ3357" s="55">
        <v>93.5</v>
      </c>
      <c r="AR3357" s="55">
        <v>28500</v>
      </c>
      <c r="AS3357" s="78">
        <f t="shared" si="56"/>
        <v>3.2807017543859647E-3</v>
      </c>
    </row>
    <row r="3358" spans="39:45">
      <c r="AM3358" s="54">
        <v>2019</v>
      </c>
      <c r="AN3358" s="54" t="s">
        <v>96</v>
      </c>
      <c r="AO3358" s="54">
        <v>20</v>
      </c>
      <c r="AP3358" s="54">
        <v>20</v>
      </c>
      <c r="AQ3358" s="54">
        <v>0</v>
      </c>
      <c r="AR3358" s="55">
        <v>28500</v>
      </c>
      <c r="AS3358" s="78">
        <f t="shared" si="56"/>
        <v>0</v>
      </c>
    </row>
    <row r="3359" spans="39:45">
      <c r="AM3359" s="55">
        <v>2019</v>
      </c>
      <c r="AN3359" s="55" t="s">
        <v>96</v>
      </c>
      <c r="AO3359" s="55">
        <v>20</v>
      </c>
      <c r="AP3359" s="55">
        <v>21</v>
      </c>
      <c r="AQ3359" s="55">
        <v>0</v>
      </c>
      <c r="AR3359" s="55">
        <v>28500</v>
      </c>
      <c r="AS3359" s="78">
        <f t="shared" si="56"/>
        <v>0</v>
      </c>
    </row>
    <row r="3360" spans="39:45">
      <c r="AM3360" s="54">
        <v>2019</v>
      </c>
      <c r="AN3360" s="54" t="s">
        <v>96</v>
      </c>
      <c r="AO3360" s="54">
        <v>20</v>
      </c>
      <c r="AP3360" s="54">
        <v>22</v>
      </c>
      <c r="AQ3360" s="54">
        <v>0</v>
      </c>
      <c r="AR3360" s="55">
        <v>28500</v>
      </c>
      <c r="AS3360" s="78">
        <f t="shared" si="56"/>
        <v>0</v>
      </c>
    </row>
    <row r="3361" spans="39:45">
      <c r="AM3361" s="55">
        <v>2019</v>
      </c>
      <c r="AN3361" s="55" t="s">
        <v>96</v>
      </c>
      <c r="AO3361" s="55">
        <v>20</v>
      </c>
      <c r="AP3361" s="55">
        <v>23</v>
      </c>
      <c r="AQ3361" s="55">
        <v>0</v>
      </c>
      <c r="AR3361" s="55">
        <v>28500</v>
      </c>
      <c r="AS3361" s="78">
        <f t="shared" si="56"/>
        <v>0</v>
      </c>
    </row>
    <row r="3362" spans="39:45">
      <c r="AM3362" s="54">
        <v>2019</v>
      </c>
      <c r="AN3362" s="54" t="s">
        <v>96</v>
      </c>
      <c r="AO3362" s="54">
        <v>21</v>
      </c>
      <c r="AP3362" s="54">
        <v>24</v>
      </c>
      <c r="AQ3362" s="54">
        <v>0</v>
      </c>
      <c r="AR3362" s="55">
        <v>28500</v>
      </c>
      <c r="AS3362" s="78">
        <f t="shared" si="56"/>
        <v>0</v>
      </c>
    </row>
    <row r="3363" spans="39:45">
      <c r="AM3363" s="55">
        <v>2019</v>
      </c>
      <c r="AN3363" s="55" t="s">
        <v>96</v>
      </c>
      <c r="AO3363" s="55">
        <v>21</v>
      </c>
      <c r="AP3363" s="55">
        <v>1</v>
      </c>
      <c r="AQ3363" s="55">
        <v>0</v>
      </c>
      <c r="AR3363" s="55">
        <v>28500</v>
      </c>
      <c r="AS3363" s="78">
        <f t="shared" si="56"/>
        <v>0</v>
      </c>
    </row>
    <row r="3364" spans="39:45">
      <c r="AM3364" s="54">
        <v>2019</v>
      </c>
      <c r="AN3364" s="54" t="s">
        <v>96</v>
      </c>
      <c r="AO3364" s="54">
        <v>21</v>
      </c>
      <c r="AP3364" s="54">
        <v>2</v>
      </c>
      <c r="AQ3364" s="54">
        <v>0</v>
      </c>
      <c r="AR3364" s="55">
        <v>28500</v>
      </c>
      <c r="AS3364" s="78">
        <f t="shared" si="56"/>
        <v>0</v>
      </c>
    </row>
    <row r="3365" spans="39:45">
      <c r="AM3365" s="55">
        <v>2019</v>
      </c>
      <c r="AN3365" s="55" t="s">
        <v>96</v>
      </c>
      <c r="AO3365" s="55">
        <v>21</v>
      </c>
      <c r="AP3365" s="55">
        <v>3</v>
      </c>
      <c r="AQ3365" s="55">
        <v>0</v>
      </c>
      <c r="AR3365" s="55">
        <v>28500</v>
      </c>
      <c r="AS3365" s="78">
        <f t="shared" si="56"/>
        <v>0</v>
      </c>
    </row>
    <row r="3366" spans="39:45">
      <c r="AM3366" s="54">
        <v>2019</v>
      </c>
      <c r="AN3366" s="54" t="s">
        <v>96</v>
      </c>
      <c r="AO3366" s="54">
        <v>21</v>
      </c>
      <c r="AP3366" s="54">
        <v>4</v>
      </c>
      <c r="AQ3366" s="54">
        <v>0</v>
      </c>
      <c r="AR3366" s="55">
        <v>28500</v>
      </c>
      <c r="AS3366" s="78">
        <f t="shared" si="56"/>
        <v>0</v>
      </c>
    </row>
    <row r="3367" spans="39:45">
      <c r="AM3367" s="55">
        <v>2019</v>
      </c>
      <c r="AN3367" s="55" t="s">
        <v>96</v>
      </c>
      <c r="AO3367" s="55">
        <v>21</v>
      </c>
      <c r="AP3367" s="55">
        <v>5</v>
      </c>
      <c r="AQ3367" s="55">
        <v>1264.5</v>
      </c>
      <c r="AR3367" s="55">
        <v>28500</v>
      </c>
      <c r="AS3367" s="78">
        <f t="shared" si="56"/>
        <v>4.4368421052631578E-2</v>
      </c>
    </row>
    <row r="3368" spans="39:45">
      <c r="AM3368" s="54">
        <v>2019</v>
      </c>
      <c r="AN3368" s="54" t="s">
        <v>96</v>
      </c>
      <c r="AO3368" s="54">
        <v>21</v>
      </c>
      <c r="AP3368" s="54">
        <v>6</v>
      </c>
      <c r="AQ3368" s="54">
        <v>4387.5</v>
      </c>
      <c r="AR3368" s="55">
        <v>28500</v>
      </c>
      <c r="AS3368" s="78">
        <f t="shared" si="56"/>
        <v>0.15394736842105264</v>
      </c>
    </row>
    <row r="3369" spans="39:45">
      <c r="AM3369" s="55">
        <v>2019</v>
      </c>
      <c r="AN3369" s="55" t="s">
        <v>96</v>
      </c>
      <c r="AO3369" s="55">
        <v>21</v>
      </c>
      <c r="AP3369" s="55">
        <v>7</v>
      </c>
      <c r="AQ3369" s="55">
        <v>14270</v>
      </c>
      <c r="AR3369" s="55">
        <v>28500</v>
      </c>
      <c r="AS3369" s="78">
        <f t="shared" si="56"/>
        <v>0.50070175438596487</v>
      </c>
    </row>
    <row r="3370" spans="39:45">
      <c r="AM3370" s="54">
        <v>2019</v>
      </c>
      <c r="AN3370" s="54" t="s">
        <v>96</v>
      </c>
      <c r="AO3370" s="54">
        <v>21</v>
      </c>
      <c r="AP3370" s="54">
        <v>8</v>
      </c>
      <c r="AQ3370" s="54">
        <v>24132</v>
      </c>
      <c r="AR3370" s="55">
        <v>28500</v>
      </c>
      <c r="AS3370" s="78">
        <f t="shared" si="56"/>
        <v>0.84673684210526312</v>
      </c>
    </row>
    <row r="3371" spans="39:45">
      <c r="AM3371" s="55">
        <v>2019</v>
      </c>
      <c r="AN3371" s="55" t="s">
        <v>96</v>
      </c>
      <c r="AO3371" s="55">
        <v>21</v>
      </c>
      <c r="AP3371" s="55">
        <v>9</v>
      </c>
      <c r="AQ3371" s="55">
        <v>32417.5</v>
      </c>
      <c r="AR3371" s="55">
        <v>28500</v>
      </c>
      <c r="AS3371" s="78">
        <f t="shared" si="56"/>
        <v>1.1374561403508772</v>
      </c>
    </row>
    <row r="3372" spans="39:45">
      <c r="AM3372" s="54">
        <v>2019</v>
      </c>
      <c r="AN3372" s="54" t="s">
        <v>96</v>
      </c>
      <c r="AO3372" s="54">
        <v>21</v>
      </c>
      <c r="AP3372" s="54">
        <v>10</v>
      </c>
      <c r="AQ3372" s="54">
        <v>37937.5</v>
      </c>
      <c r="AR3372" s="55">
        <v>28500</v>
      </c>
      <c r="AS3372" s="78">
        <f t="shared" si="56"/>
        <v>1.3311403508771931</v>
      </c>
    </row>
    <row r="3373" spans="39:45">
      <c r="AM3373" s="55">
        <v>2019</v>
      </c>
      <c r="AN3373" s="55" t="s">
        <v>96</v>
      </c>
      <c r="AO3373" s="55">
        <v>21</v>
      </c>
      <c r="AP3373" s="55">
        <v>11</v>
      </c>
      <c r="AQ3373" s="55">
        <v>41003.5</v>
      </c>
      <c r="AR3373" s="55">
        <v>28500</v>
      </c>
      <c r="AS3373" s="78">
        <f t="shared" si="56"/>
        <v>1.4387192982456141</v>
      </c>
    </row>
    <row r="3374" spans="39:45">
      <c r="AM3374" s="54">
        <v>2019</v>
      </c>
      <c r="AN3374" s="54" t="s">
        <v>96</v>
      </c>
      <c r="AO3374" s="54">
        <v>21</v>
      </c>
      <c r="AP3374" s="54">
        <v>12</v>
      </c>
      <c r="AQ3374" s="54">
        <v>39744</v>
      </c>
      <c r="AR3374" s="55">
        <v>28500</v>
      </c>
      <c r="AS3374" s="78">
        <f t="shared" si="56"/>
        <v>1.3945263157894736</v>
      </c>
    </row>
    <row r="3375" spans="39:45">
      <c r="AM3375" s="55">
        <v>2019</v>
      </c>
      <c r="AN3375" s="55" t="s">
        <v>96</v>
      </c>
      <c r="AO3375" s="55">
        <v>21</v>
      </c>
      <c r="AP3375" s="55">
        <v>13</v>
      </c>
      <c r="AQ3375" s="55">
        <v>29401.5</v>
      </c>
      <c r="AR3375" s="55">
        <v>28500</v>
      </c>
      <c r="AS3375" s="78">
        <f t="shared" si="56"/>
        <v>1.0316315789473685</v>
      </c>
    </row>
    <row r="3376" spans="39:45">
      <c r="AM3376" s="54">
        <v>2019</v>
      </c>
      <c r="AN3376" s="54" t="s">
        <v>96</v>
      </c>
      <c r="AO3376" s="54">
        <v>21</v>
      </c>
      <c r="AP3376" s="54">
        <v>14</v>
      </c>
      <c r="AQ3376" s="54">
        <v>24783.5</v>
      </c>
      <c r="AR3376" s="55">
        <v>28500</v>
      </c>
      <c r="AS3376" s="78">
        <f t="shared" si="56"/>
        <v>0.86959649122807015</v>
      </c>
    </row>
    <row r="3377" spans="39:45">
      <c r="AM3377" s="55">
        <v>2019</v>
      </c>
      <c r="AN3377" s="55" t="s">
        <v>96</v>
      </c>
      <c r="AO3377" s="55">
        <v>21</v>
      </c>
      <c r="AP3377" s="55">
        <v>15</v>
      </c>
      <c r="AQ3377" s="55">
        <v>16856.5</v>
      </c>
      <c r="AR3377" s="55">
        <v>28500</v>
      </c>
      <c r="AS3377" s="78">
        <f t="shared" si="56"/>
        <v>0.59145614035087724</v>
      </c>
    </row>
    <row r="3378" spans="39:45">
      <c r="AM3378" s="54">
        <v>2019</v>
      </c>
      <c r="AN3378" s="54" t="s">
        <v>96</v>
      </c>
      <c r="AO3378" s="54">
        <v>21</v>
      </c>
      <c r="AP3378" s="54">
        <v>16</v>
      </c>
      <c r="AQ3378" s="54">
        <v>12554</v>
      </c>
      <c r="AR3378" s="55">
        <v>28500</v>
      </c>
      <c r="AS3378" s="78">
        <f t="shared" si="56"/>
        <v>0.44049122807017543</v>
      </c>
    </row>
    <row r="3379" spans="39:45">
      <c r="AM3379" s="55">
        <v>2019</v>
      </c>
      <c r="AN3379" s="55" t="s">
        <v>96</v>
      </c>
      <c r="AO3379" s="55">
        <v>21</v>
      </c>
      <c r="AP3379" s="55">
        <v>17</v>
      </c>
      <c r="AQ3379" s="55">
        <v>7157</v>
      </c>
      <c r="AR3379" s="55">
        <v>28500</v>
      </c>
      <c r="AS3379" s="78">
        <f t="shared" si="56"/>
        <v>0.25112280701754386</v>
      </c>
    </row>
    <row r="3380" spans="39:45">
      <c r="AM3380" s="54">
        <v>2019</v>
      </c>
      <c r="AN3380" s="54" t="s">
        <v>96</v>
      </c>
      <c r="AO3380" s="54">
        <v>21</v>
      </c>
      <c r="AP3380" s="54">
        <v>18</v>
      </c>
      <c r="AQ3380" s="54">
        <v>2768</v>
      </c>
      <c r="AR3380" s="55">
        <v>28500</v>
      </c>
      <c r="AS3380" s="78">
        <f t="shared" si="56"/>
        <v>9.7122807017543861E-2</v>
      </c>
    </row>
    <row r="3381" spans="39:45">
      <c r="AM3381" s="55">
        <v>2019</v>
      </c>
      <c r="AN3381" s="55" t="s">
        <v>96</v>
      </c>
      <c r="AO3381" s="55">
        <v>21</v>
      </c>
      <c r="AP3381" s="55">
        <v>19</v>
      </c>
      <c r="AQ3381" s="55">
        <v>181.5</v>
      </c>
      <c r="AR3381" s="55">
        <v>28500</v>
      </c>
      <c r="AS3381" s="78">
        <f t="shared" si="56"/>
        <v>6.3684210526315788E-3</v>
      </c>
    </row>
    <row r="3382" spans="39:45">
      <c r="AM3382" s="54">
        <v>2019</v>
      </c>
      <c r="AN3382" s="54" t="s">
        <v>96</v>
      </c>
      <c r="AO3382" s="54">
        <v>21</v>
      </c>
      <c r="AP3382" s="54">
        <v>20</v>
      </c>
      <c r="AQ3382" s="54">
        <v>0</v>
      </c>
      <c r="AR3382" s="55">
        <v>28500</v>
      </c>
      <c r="AS3382" s="78">
        <f t="shared" si="56"/>
        <v>0</v>
      </c>
    </row>
    <row r="3383" spans="39:45">
      <c r="AM3383" s="55">
        <v>2019</v>
      </c>
      <c r="AN3383" s="55" t="s">
        <v>96</v>
      </c>
      <c r="AO3383" s="55">
        <v>21</v>
      </c>
      <c r="AP3383" s="55">
        <v>21</v>
      </c>
      <c r="AQ3383" s="55">
        <v>0</v>
      </c>
      <c r="AR3383" s="55">
        <v>28500</v>
      </c>
      <c r="AS3383" s="78">
        <f t="shared" si="56"/>
        <v>0</v>
      </c>
    </row>
    <row r="3384" spans="39:45">
      <c r="AM3384" s="54">
        <v>2019</v>
      </c>
      <c r="AN3384" s="54" t="s">
        <v>96</v>
      </c>
      <c r="AO3384" s="54">
        <v>21</v>
      </c>
      <c r="AP3384" s="54">
        <v>22</v>
      </c>
      <c r="AQ3384" s="54">
        <v>0</v>
      </c>
      <c r="AR3384" s="55">
        <v>28500</v>
      </c>
      <c r="AS3384" s="78">
        <f t="shared" si="56"/>
        <v>0</v>
      </c>
    </row>
    <row r="3385" spans="39:45">
      <c r="AM3385" s="55">
        <v>2019</v>
      </c>
      <c r="AN3385" s="55" t="s">
        <v>96</v>
      </c>
      <c r="AO3385" s="55">
        <v>21</v>
      </c>
      <c r="AP3385" s="55">
        <v>23</v>
      </c>
      <c r="AQ3385" s="55">
        <v>0</v>
      </c>
      <c r="AR3385" s="55">
        <v>28500</v>
      </c>
      <c r="AS3385" s="78">
        <f t="shared" si="56"/>
        <v>0</v>
      </c>
    </row>
    <row r="3386" spans="39:45">
      <c r="AM3386" s="54">
        <v>2019</v>
      </c>
      <c r="AN3386" s="54" t="s">
        <v>96</v>
      </c>
      <c r="AO3386" s="54">
        <v>22</v>
      </c>
      <c r="AP3386" s="54">
        <v>24</v>
      </c>
      <c r="AQ3386" s="54">
        <v>0</v>
      </c>
      <c r="AR3386" s="55">
        <v>28500</v>
      </c>
      <c r="AS3386" s="78">
        <f t="shared" si="56"/>
        <v>0</v>
      </c>
    </row>
    <row r="3387" spans="39:45">
      <c r="AM3387" s="55">
        <v>2019</v>
      </c>
      <c r="AN3387" s="55" t="s">
        <v>96</v>
      </c>
      <c r="AO3387" s="55">
        <v>22</v>
      </c>
      <c r="AP3387" s="55">
        <v>1</v>
      </c>
      <c r="AQ3387" s="55">
        <v>0</v>
      </c>
      <c r="AR3387" s="55">
        <v>28500</v>
      </c>
      <c r="AS3387" s="78">
        <f t="shared" si="56"/>
        <v>0</v>
      </c>
    </row>
    <row r="3388" spans="39:45">
      <c r="AM3388" s="54">
        <v>2019</v>
      </c>
      <c r="AN3388" s="54" t="s">
        <v>96</v>
      </c>
      <c r="AO3388" s="54">
        <v>22</v>
      </c>
      <c r="AP3388" s="54">
        <v>2</v>
      </c>
      <c r="AQ3388" s="54">
        <v>0</v>
      </c>
      <c r="AR3388" s="55">
        <v>28500</v>
      </c>
      <c r="AS3388" s="78">
        <f t="shared" si="56"/>
        <v>0</v>
      </c>
    </row>
    <row r="3389" spans="39:45">
      <c r="AM3389" s="55">
        <v>2019</v>
      </c>
      <c r="AN3389" s="55" t="s">
        <v>96</v>
      </c>
      <c r="AO3389" s="55">
        <v>22</v>
      </c>
      <c r="AP3389" s="55">
        <v>3</v>
      </c>
      <c r="AQ3389" s="55">
        <v>0</v>
      </c>
      <c r="AR3389" s="55">
        <v>28500</v>
      </c>
      <c r="AS3389" s="78">
        <f t="shared" si="56"/>
        <v>0</v>
      </c>
    </row>
    <row r="3390" spans="39:45">
      <c r="AM3390" s="54">
        <v>2019</v>
      </c>
      <c r="AN3390" s="54" t="s">
        <v>96</v>
      </c>
      <c r="AO3390" s="54">
        <v>22</v>
      </c>
      <c r="AP3390" s="54">
        <v>4</v>
      </c>
      <c r="AQ3390" s="54">
        <v>0</v>
      </c>
      <c r="AR3390" s="55">
        <v>28500</v>
      </c>
      <c r="AS3390" s="78">
        <f t="shared" si="56"/>
        <v>0</v>
      </c>
    </row>
    <row r="3391" spans="39:45">
      <c r="AM3391" s="55">
        <v>2019</v>
      </c>
      <c r="AN3391" s="55" t="s">
        <v>96</v>
      </c>
      <c r="AO3391" s="55">
        <v>22</v>
      </c>
      <c r="AP3391" s="55">
        <v>5</v>
      </c>
      <c r="AQ3391" s="55">
        <v>214.5</v>
      </c>
      <c r="AR3391" s="55">
        <v>28500</v>
      </c>
      <c r="AS3391" s="78">
        <f t="shared" si="56"/>
        <v>7.5263157894736839E-3</v>
      </c>
    </row>
    <row r="3392" spans="39:45">
      <c r="AM3392" s="54">
        <v>2019</v>
      </c>
      <c r="AN3392" s="54" t="s">
        <v>96</v>
      </c>
      <c r="AO3392" s="54">
        <v>22</v>
      </c>
      <c r="AP3392" s="54">
        <v>6</v>
      </c>
      <c r="AQ3392" s="54">
        <v>3849.5</v>
      </c>
      <c r="AR3392" s="55">
        <v>28500</v>
      </c>
      <c r="AS3392" s="78">
        <f t="shared" si="56"/>
        <v>0.13507017543859648</v>
      </c>
    </row>
    <row r="3393" spans="39:45">
      <c r="AM3393" s="55">
        <v>2019</v>
      </c>
      <c r="AN3393" s="55" t="s">
        <v>96</v>
      </c>
      <c r="AO3393" s="55">
        <v>22</v>
      </c>
      <c r="AP3393" s="55">
        <v>7</v>
      </c>
      <c r="AQ3393" s="55">
        <v>7380</v>
      </c>
      <c r="AR3393" s="55">
        <v>28500</v>
      </c>
      <c r="AS3393" s="78">
        <f t="shared" si="56"/>
        <v>0.25894736842105265</v>
      </c>
    </row>
    <row r="3394" spans="39:45">
      <c r="AM3394" s="54">
        <v>2019</v>
      </c>
      <c r="AN3394" s="54" t="s">
        <v>96</v>
      </c>
      <c r="AO3394" s="54">
        <v>22</v>
      </c>
      <c r="AP3394" s="54">
        <v>8</v>
      </c>
      <c r="AQ3394" s="54">
        <v>20916.5</v>
      </c>
      <c r="AR3394" s="55">
        <v>28500</v>
      </c>
      <c r="AS3394" s="78">
        <f t="shared" ref="AS3394:AS3457" si="57">AQ3394/AR3394</f>
        <v>0.7339122807017544</v>
      </c>
    </row>
    <row r="3395" spans="39:45">
      <c r="AM3395" s="55">
        <v>2019</v>
      </c>
      <c r="AN3395" s="55" t="s">
        <v>96</v>
      </c>
      <c r="AO3395" s="55">
        <v>22</v>
      </c>
      <c r="AP3395" s="55">
        <v>9</v>
      </c>
      <c r="AQ3395" s="55">
        <v>26666</v>
      </c>
      <c r="AR3395" s="55">
        <v>28500</v>
      </c>
      <c r="AS3395" s="78">
        <f t="shared" si="57"/>
        <v>0.93564912280701751</v>
      </c>
    </row>
    <row r="3396" spans="39:45">
      <c r="AM3396" s="54">
        <v>2019</v>
      </c>
      <c r="AN3396" s="54" t="s">
        <v>96</v>
      </c>
      <c r="AO3396" s="54">
        <v>22</v>
      </c>
      <c r="AP3396" s="54">
        <v>10</v>
      </c>
      <c r="AQ3396" s="54">
        <v>30253.5</v>
      </c>
      <c r="AR3396" s="55">
        <v>28500</v>
      </c>
      <c r="AS3396" s="78">
        <f t="shared" si="57"/>
        <v>1.0615263157894737</v>
      </c>
    </row>
    <row r="3397" spans="39:45">
      <c r="AM3397" s="55">
        <v>2019</v>
      </c>
      <c r="AN3397" s="55" t="s">
        <v>96</v>
      </c>
      <c r="AO3397" s="55">
        <v>22</v>
      </c>
      <c r="AP3397" s="55">
        <v>11</v>
      </c>
      <c r="AQ3397" s="55">
        <v>29175</v>
      </c>
      <c r="AR3397" s="55">
        <v>28500</v>
      </c>
      <c r="AS3397" s="78">
        <f t="shared" si="57"/>
        <v>1.0236842105263158</v>
      </c>
    </row>
    <row r="3398" spans="39:45">
      <c r="AM3398" s="54">
        <v>2019</v>
      </c>
      <c r="AN3398" s="54" t="s">
        <v>96</v>
      </c>
      <c r="AO3398" s="54">
        <v>22</v>
      </c>
      <c r="AP3398" s="54">
        <v>12</v>
      </c>
      <c r="AQ3398" s="54">
        <v>22103.5</v>
      </c>
      <c r="AR3398" s="55">
        <v>28500</v>
      </c>
      <c r="AS3398" s="78">
        <f t="shared" si="57"/>
        <v>0.7755614035087719</v>
      </c>
    </row>
    <row r="3399" spans="39:45">
      <c r="AM3399" s="55">
        <v>2019</v>
      </c>
      <c r="AN3399" s="55" t="s">
        <v>96</v>
      </c>
      <c r="AO3399" s="55">
        <v>22</v>
      </c>
      <c r="AP3399" s="55">
        <v>13</v>
      </c>
      <c r="AQ3399" s="55">
        <v>19654</v>
      </c>
      <c r="AR3399" s="55">
        <v>28500</v>
      </c>
      <c r="AS3399" s="78">
        <f t="shared" si="57"/>
        <v>0.68961403508771935</v>
      </c>
    </row>
    <row r="3400" spans="39:45">
      <c r="AM3400" s="54">
        <v>2019</v>
      </c>
      <c r="AN3400" s="54" t="s">
        <v>96</v>
      </c>
      <c r="AO3400" s="54">
        <v>22</v>
      </c>
      <c r="AP3400" s="54">
        <v>14</v>
      </c>
      <c r="AQ3400" s="54">
        <v>30762.5</v>
      </c>
      <c r="AR3400" s="55">
        <v>28500</v>
      </c>
      <c r="AS3400" s="78">
        <f t="shared" si="57"/>
        <v>1.0793859649122808</v>
      </c>
    </row>
    <row r="3401" spans="39:45">
      <c r="AM3401" s="55">
        <v>2019</v>
      </c>
      <c r="AN3401" s="55" t="s">
        <v>96</v>
      </c>
      <c r="AO3401" s="55">
        <v>22</v>
      </c>
      <c r="AP3401" s="55">
        <v>15</v>
      </c>
      <c r="AQ3401" s="55">
        <v>26867.5</v>
      </c>
      <c r="AR3401" s="55">
        <v>28500</v>
      </c>
      <c r="AS3401" s="78">
        <f t="shared" si="57"/>
        <v>0.94271929824561407</v>
      </c>
    </row>
    <row r="3402" spans="39:45">
      <c r="AM3402" s="54">
        <v>2019</v>
      </c>
      <c r="AN3402" s="54" t="s">
        <v>96</v>
      </c>
      <c r="AO3402" s="54">
        <v>22</v>
      </c>
      <c r="AP3402" s="54">
        <v>16</v>
      </c>
      <c r="AQ3402" s="54">
        <v>18891.5</v>
      </c>
      <c r="AR3402" s="55">
        <v>28500</v>
      </c>
      <c r="AS3402" s="78">
        <f t="shared" si="57"/>
        <v>0.66285964912280704</v>
      </c>
    </row>
    <row r="3403" spans="39:45">
      <c r="AM3403" s="55">
        <v>2019</v>
      </c>
      <c r="AN3403" s="55" t="s">
        <v>96</v>
      </c>
      <c r="AO3403" s="55">
        <v>22</v>
      </c>
      <c r="AP3403" s="55">
        <v>17</v>
      </c>
      <c r="AQ3403" s="55">
        <v>8545</v>
      </c>
      <c r="AR3403" s="55">
        <v>28500</v>
      </c>
      <c r="AS3403" s="78">
        <f t="shared" si="57"/>
        <v>0.29982456140350877</v>
      </c>
    </row>
    <row r="3404" spans="39:45">
      <c r="AM3404" s="54">
        <v>2019</v>
      </c>
      <c r="AN3404" s="54" t="s">
        <v>96</v>
      </c>
      <c r="AO3404" s="54">
        <v>22</v>
      </c>
      <c r="AP3404" s="54">
        <v>18</v>
      </c>
      <c r="AQ3404" s="54">
        <v>1513.5</v>
      </c>
      <c r="AR3404" s="55">
        <v>28500</v>
      </c>
      <c r="AS3404" s="78">
        <f t="shared" si="57"/>
        <v>5.3105263157894739E-2</v>
      </c>
    </row>
    <row r="3405" spans="39:45">
      <c r="AM3405" s="55">
        <v>2019</v>
      </c>
      <c r="AN3405" s="55" t="s">
        <v>96</v>
      </c>
      <c r="AO3405" s="55">
        <v>22</v>
      </c>
      <c r="AP3405" s="55">
        <v>19</v>
      </c>
      <c r="AQ3405" s="55">
        <v>410.5</v>
      </c>
      <c r="AR3405" s="55">
        <v>28500</v>
      </c>
      <c r="AS3405" s="78">
        <f t="shared" si="57"/>
        <v>1.4403508771929825E-2</v>
      </c>
    </row>
    <row r="3406" spans="39:45">
      <c r="AM3406" s="54">
        <v>2019</v>
      </c>
      <c r="AN3406" s="54" t="s">
        <v>96</v>
      </c>
      <c r="AO3406" s="54">
        <v>22</v>
      </c>
      <c r="AP3406" s="54">
        <v>20</v>
      </c>
      <c r="AQ3406" s="54">
        <v>0</v>
      </c>
      <c r="AR3406" s="55">
        <v>28500</v>
      </c>
      <c r="AS3406" s="78">
        <f t="shared" si="57"/>
        <v>0</v>
      </c>
    </row>
    <row r="3407" spans="39:45">
      <c r="AM3407" s="55">
        <v>2019</v>
      </c>
      <c r="AN3407" s="55" t="s">
        <v>96</v>
      </c>
      <c r="AO3407" s="55">
        <v>22</v>
      </c>
      <c r="AP3407" s="55">
        <v>21</v>
      </c>
      <c r="AQ3407" s="55">
        <v>0</v>
      </c>
      <c r="AR3407" s="55">
        <v>28500</v>
      </c>
      <c r="AS3407" s="78">
        <f t="shared" si="57"/>
        <v>0</v>
      </c>
    </row>
    <row r="3408" spans="39:45">
      <c r="AM3408" s="54">
        <v>2019</v>
      </c>
      <c r="AN3408" s="54" t="s">
        <v>96</v>
      </c>
      <c r="AO3408" s="54">
        <v>22</v>
      </c>
      <c r="AP3408" s="54">
        <v>22</v>
      </c>
      <c r="AQ3408" s="54">
        <v>0</v>
      </c>
      <c r="AR3408" s="55">
        <v>28500</v>
      </c>
      <c r="AS3408" s="78">
        <f t="shared" si="57"/>
        <v>0</v>
      </c>
    </row>
    <row r="3409" spans="39:45">
      <c r="AM3409" s="55">
        <v>2019</v>
      </c>
      <c r="AN3409" s="55" t="s">
        <v>96</v>
      </c>
      <c r="AO3409" s="55">
        <v>22</v>
      </c>
      <c r="AP3409" s="55">
        <v>23</v>
      </c>
      <c r="AQ3409" s="55">
        <v>0</v>
      </c>
      <c r="AR3409" s="55">
        <v>28500</v>
      </c>
      <c r="AS3409" s="78">
        <f t="shared" si="57"/>
        <v>0</v>
      </c>
    </row>
    <row r="3410" spans="39:45">
      <c r="AM3410" s="54">
        <v>2019</v>
      </c>
      <c r="AN3410" s="54" t="s">
        <v>96</v>
      </c>
      <c r="AO3410" s="54">
        <v>23</v>
      </c>
      <c r="AP3410" s="54">
        <v>24</v>
      </c>
      <c r="AQ3410" s="54">
        <v>0</v>
      </c>
      <c r="AR3410" s="55">
        <v>28500</v>
      </c>
      <c r="AS3410" s="78">
        <f t="shared" si="57"/>
        <v>0</v>
      </c>
    </row>
    <row r="3411" spans="39:45">
      <c r="AM3411" s="55">
        <v>2019</v>
      </c>
      <c r="AN3411" s="55" t="s">
        <v>96</v>
      </c>
      <c r="AO3411" s="55">
        <v>23</v>
      </c>
      <c r="AP3411" s="55">
        <v>1</v>
      </c>
      <c r="AQ3411" s="55">
        <v>0</v>
      </c>
      <c r="AR3411" s="55">
        <v>28500</v>
      </c>
      <c r="AS3411" s="78">
        <f t="shared" si="57"/>
        <v>0</v>
      </c>
    </row>
    <row r="3412" spans="39:45">
      <c r="AM3412" s="54">
        <v>2019</v>
      </c>
      <c r="AN3412" s="54" t="s">
        <v>96</v>
      </c>
      <c r="AO3412" s="54">
        <v>23</v>
      </c>
      <c r="AP3412" s="54">
        <v>2</v>
      </c>
      <c r="AQ3412" s="54">
        <v>0</v>
      </c>
      <c r="AR3412" s="55">
        <v>28500</v>
      </c>
      <c r="AS3412" s="78">
        <f t="shared" si="57"/>
        <v>0</v>
      </c>
    </row>
    <row r="3413" spans="39:45">
      <c r="AM3413" s="55">
        <v>2019</v>
      </c>
      <c r="AN3413" s="55" t="s">
        <v>96</v>
      </c>
      <c r="AO3413" s="55">
        <v>23</v>
      </c>
      <c r="AP3413" s="55">
        <v>3</v>
      </c>
      <c r="AQ3413" s="55">
        <v>0</v>
      </c>
      <c r="AR3413" s="55">
        <v>28500</v>
      </c>
      <c r="AS3413" s="78">
        <f t="shared" si="57"/>
        <v>0</v>
      </c>
    </row>
    <row r="3414" spans="39:45">
      <c r="AM3414" s="54">
        <v>2019</v>
      </c>
      <c r="AN3414" s="54" t="s">
        <v>96</v>
      </c>
      <c r="AO3414" s="54">
        <v>23</v>
      </c>
      <c r="AP3414" s="54">
        <v>4</v>
      </c>
      <c r="AQ3414" s="54">
        <v>0</v>
      </c>
      <c r="AR3414" s="55">
        <v>28500</v>
      </c>
      <c r="AS3414" s="78">
        <f t="shared" si="57"/>
        <v>0</v>
      </c>
    </row>
    <row r="3415" spans="39:45">
      <c r="AM3415" s="55">
        <v>2019</v>
      </c>
      <c r="AN3415" s="55" t="s">
        <v>96</v>
      </c>
      <c r="AO3415" s="55">
        <v>23</v>
      </c>
      <c r="AP3415" s="55">
        <v>5</v>
      </c>
      <c r="AQ3415" s="55">
        <v>1033.5</v>
      </c>
      <c r="AR3415" s="55">
        <v>28500</v>
      </c>
      <c r="AS3415" s="78">
        <f t="shared" si="57"/>
        <v>3.6263157894736844E-2</v>
      </c>
    </row>
    <row r="3416" spans="39:45">
      <c r="AM3416" s="54">
        <v>2019</v>
      </c>
      <c r="AN3416" s="54" t="s">
        <v>96</v>
      </c>
      <c r="AO3416" s="54">
        <v>23</v>
      </c>
      <c r="AP3416" s="54">
        <v>6</v>
      </c>
      <c r="AQ3416" s="54">
        <v>3792</v>
      </c>
      <c r="AR3416" s="55">
        <v>28500</v>
      </c>
      <c r="AS3416" s="78">
        <f t="shared" si="57"/>
        <v>0.13305263157894737</v>
      </c>
    </row>
    <row r="3417" spans="39:45">
      <c r="AM3417" s="55">
        <v>2019</v>
      </c>
      <c r="AN3417" s="55" t="s">
        <v>96</v>
      </c>
      <c r="AO3417" s="55">
        <v>23</v>
      </c>
      <c r="AP3417" s="55">
        <v>7</v>
      </c>
      <c r="AQ3417" s="55">
        <v>13463</v>
      </c>
      <c r="AR3417" s="55">
        <v>28500</v>
      </c>
      <c r="AS3417" s="78">
        <f t="shared" si="57"/>
        <v>0.47238596491228069</v>
      </c>
    </row>
    <row r="3418" spans="39:45">
      <c r="AM3418" s="54">
        <v>2019</v>
      </c>
      <c r="AN3418" s="54" t="s">
        <v>96</v>
      </c>
      <c r="AO3418" s="54">
        <v>23</v>
      </c>
      <c r="AP3418" s="54">
        <v>8</v>
      </c>
      <c r="AQ3418" s="54">
        <v>18974.5</v>
      </c>
      <c r="AR3418" s="55">
        <v>28500</v>
      </c>
      <c r="AS3418" s="78">
        <f t="shared" si="57"/>
        <v>0.66577192982456135</v>
      </c>
    </row>
    <row r="3419" spans="39:45">
      <c r="AM3419" s="55">
        <v>2019</v>
      </c>
      <c r="AN3419" s="55" t="s">
        <v>96</v>
      </c>
      <c r="AO3419" s="55">
        <v>23</v>
      </c>
      <c r="AP3419" s="55">
        <v>9</v>
      </c>
      <c r="AQ3419" s="55">
        <v>29910.5</v>
      </c>
      <c r="AR3419" s="55">
        <v>28500</v>
      </c>
      <c r="AS3419" s="78">
        <f t="shared" si="57"/>
        <v>1.0494912280701754</v>
      </c>
    </row>
    <row r="3420" spans="39:45">
      <c r="AM3420" s="54">
        <v>2019</v>
      </c>
      <c r="AN3420" s="54" t="s">
        <v>96</v>
      </c>
      <c r="AO3420" s="54">
        <v>23</v>
      </c>
      <c r="AP3420" s="54">
        <v>10</v>
      </c>
      <c r="AQ3420" s="54">
        <v>36701.5</v>
      </c>
      <c r="AR3420" s="55">
        <v>28500</v>
      </c>
      <c r="AS3420" s="78">
        <f t="shared" si="57"/>
        <v>1.2877719298245613</v>
      </c>
    </row>
    <row r="3421" spans="39:45">
      <c r="AM3421" s="55">
        <v>2019</v>
      </c>
      <c r="AN3421" s="55" t="s">
        <v>96</v>
      </c>
      <c r="AO3421" s="55">
        <v>23</v>
      </c>
      <c r="AP3421" s="55">
        <v>11</v>
      </c>
      <c r="AQ3421" s="55">
        <v>39254</v>
      </c>
      <c r="AR3421" s="55">
        <v>28500</v>
      </c>
      <c r="AS3421" s="78">
        <f t="shared" si="57"/>
        <v>1.3773333333333333</v>
      </c>
    </row>
    <row r="3422" spans="39:45">
      <c r="AM3422" s="54">
        <v>2019</v>
      </c>
      <c r="AN3422" s="54" t="s">
        <v>96</v>
      </c>
      <c r="AO3422" s="54">
        <v>23</v>
      </c>
      <c r="AP3422" s="54">
        <v>12</v>
      </c>
      <c r="AQ3422" s="54">
        <v>36196.5</v>
      </c>
      <c r="AR3422" s="55">
        <v>28500</v>
      </c>
      <c r="AS3422" s="78">
        <f t="shared" si="57"/>
        <v>1.2700526315789473</v>
      </c>
    </row>
    <row r="3423" spans="39:45">
      <c r="AM3423" s="55">
        <v>2019</v>
      </c>
      <c r="AN3423" s="55" t="s">
        <v>96</v>
      </c>
      <c r="AO3423" s="55">
        <v>23</v>
      </c>
      <c r="AP3423" s="55">
        <v>13</v>
      </c>
      <c r="AQ3423" s="55">
        <v>34743</v>
      </c>
      <c r="AR3423" s="55">
        <v>28500</v>
      </c>
      <c r="AS3423" s="78">
        <f t="shared" si="57"/>
        <v>1.2190526315789474</v>
      </c>
    </row>
    <row r="3424" spans="39:45">
      <c r="AM3424" s="54">
        <v>2019</v>
      </c>
      <c r="AN3424" s="54" t="s">
        <v>96</v>
      </c>
      <c r="AO3424" s="54">
        <v>23</v>
      </c>
      <c r="AP3424" s="54">
        <v>14</v>
      </c>
      <c r="AQ3424" s="54">
        <v>30325</v>
      </c>
      <c r="AR3424" s="55">
        <v>28500</v>
      </c>
      <c r="AS3424" s="78">
        <f t="shared" si="57"/>
        <v>1.0640350877192983</v>
      </c>
    </row>
    <row r="3425" spans="39:45">
      <c r="AM3425" s="55">
        <v>2019</v>
      </c>
      <c r="AN3425" s="55" t="s">
        <v>96</v>
      </c>
      <c r="AO3425" s="55">
        <v>23</v>
      </c>
      <c r="AP3425" s="55">
        <v>15</v>
      </c>
      <c r="AQ3425" s="55">
        <v>26422.5</v>
      </c>
      <c r="AR3425" s="55">
        <v>28500</v>
      </c>
      <c r="AS3425" s="78">
        <f t="shared" si="57"/>
        <v>0.92710526315789477</v>
      </c>
    </row>
    <row r="3426" spans="39:45">
      <c r="AM3426" s="54">
        <v>2019</v>
      </c>
      <c r="AN3426" s="54" t="s">
        <v>96</v>
      </c>
      <c r="AO3426" s="54">
        <v>23</v>
      </c>
      <c r="AP3426" s="54">
        <v>16</v>
      </c>
      <c r="AQ3426" s="54">
        <v>14497</v>
      </c>
      <c r="AR3426" s="55">
        <v>28500</v>
      </c>
      <c r="AS3426" s="78">
        <f t="shared" si="57"/>
        <v>0.50866666666666671</v>
      </c>
    </row>
    <row r="3427" spans="39:45">
      <c r="AM3427" s="55">
        <v>2019</v>
      </c>
      <c r="AN3427" s="55" t="s">
        <v>96</v>
      </c>
      <c r="AO3427" s="55">
        <v>23</v>
      </c>
      <c r="AP3427" s="55">
        <v>17</v>
      </c>
      <c r="AQ3427" s="55">
        <v>8507.5</v>
      </c>
      <c r="AR3427" s="55">
        <v>28500</v>
      </c>
      <c r="AS3427" s="78">
        <f t="shared" si="57"/>
        <v>0.29850877192982456</v>
      </c>
    </row>
    <row r="3428" spans="39:45">
      <c r="AM3428" s="54">
        <v>2019</v>
      </c>
      <c r="AN3428" s="54" t="s">
        <v>96</v>
      </c>
      <c r="AO3428" s="54">
        <v>23</v>
      </c>
      <c r="AP3428" s="54">
        <v>18</v>
      </c>
      <c r="AQ3428" s="54">
        <v>1457.5</v>
      </c>
      <c r="AR3428" s="55">
        <v>28500</v>
      </c>
      <c r="AS3428" s="78">
        <f t="shared" si="57"/>
        <v>5.1140350877192979E-2</v>
      </c>
    </row>
    <row r="3429" spans="39:45">
      <c r="AM3429" s="55">
        <v>2019</v>
      </c>
      <c r="AN3429" s="55" t="s">
        <v>96</v>
      </c>
      <c r="AO3429" s="55">
        <v>23</v>
      </c>
      <c r="AP3429" s="55">
        <v>19</v>
      </c>
      <c r="AQ3429" s="55">
        <v>228</v>
      </c>
      <c r="AR3429" s="55">
        <v>28500</v>
      </c>
      <c r="AS3429" s="78">
        <f t="shared" si="57"/>
        <v>8.0000000000000002E-3</v>
      </c>
    </row>
    <row r="3430" spans="39:45">
      <c r="AM3430" s="54">
        <v>2019</v>
      </c>
      <c r="AN3430" s="54" t="s">
        <v>96</v>
      </c>
      <c r="AO3430" s="54">
        <v>23</v>
      </c>
      <c r="AP3430" s="54">
        <v>20</v>
      </c>
      <c r="AQ3430" s="54">
        <v>0</v>
      </c>
      <c r="AR3430" s="55">
        <v>28500</v>
      </c>
      <c r="AS3430" s="78">
        <f t="shared" si="57"/>
        <v>0</v>
      </c>
    </row>
    <row r="3431" spans="39:45">
      <c r="AM3431" s="55">
        <v>2019</v>
      </c>
      <c r="AN3431" s="55" t="s">
        <v>96</v>
      </c>
      <c r="AO3431" s="55">
        <v>23</v>
      </c>
      <c r="AP3431" s="55">
        <v>21</v>
      </c>
      <c r="AQ3431" s="55">
        <v>0</v>
      </c>
      <c r="AR3431" s="55">
        <v>28500</v>
      </c>
      <c r="AS3431" s="78">
        <f t="shared" si="57"/>
        <v>0</v>
      </c>
    </row>
    <row r="3432" spans="39:45">
      <c r="AM3432" s="54">
        <v>2019</v>
      </c>
      <c r="AN3432" s="54" t="s">
        <v>96</v>
      </c>
      <c r="AO3432" s="54">
        <v>23</v>
      </c>
      <c r="AP3432" s="54">
        <v>22</v>
      </c>
      <c r="AQ3432" s="54">
        <v>0</v>
      </c>
      <c r="AR3432" s="55">
        <v>28500</v>
      </c>
      <c r="AS3432" s="78">
        <f t="shared" si="57"/>
        <v>0</v>
      </c>
    </row>
    <row r="3433" spans="39:45">
      <c r="AM3433" s="55">
        <v>2019</v>
      </c>
      <c r="AN3433" s="55" t="s">
        <v>96</v>
      </c>
      <c r="AO3433" s="55">
        <v>23</v>
      </c>
      <c r="AP3433" s="55">
        <v>23</v>
      </c>
      <c r="AQ3433" s="55">
        <v>0</v>
      </c>
      <c r="AR3433" s="55">
        <v>28500</v>
      </c>
      <c r="AS3433" s="78">
        <f t="shared" si="57"/>
        <v>0</v>
      </c>
    </row>
    <row r="3434" spans="39:45">
      <c r="AM3434" s="54">
        <v>2019</v>
      </c>
      <c r="AN3434" s="54" t="s">
        <v>96</v>
      </c>
      <c r="AO3434" s="54">
        <v>24</v>
      </c>
      <c r="AP3434" s="54">
        <v>24</v>
      </c>
      <c r="AQ3434" s="54">
        <v>0</v>
      </c>
      <c r="AR3434" s="55">
        <v>28500</v>
      </c>
      <c r="AS3434" s="78">
        <f t="shared" si="57"/>
        <v>0</v>
      </c>
    </row>
    <row r="3435" spans="39:45">
      <c r="AM3435" s="55">
        <v>2019</v>
      </c>
      <c r="AN3435" s="55" t="s">
        <v>96</v>
      </c>
      <c r="AO3435" s="55">
        <v>24</v>
      </c>
      <c r="AP3435" s="55">
        <v>1</v>
      </c>
      <c r="AQ3435" s="55">
        <v>0</v>
      </c>
      <c r="AR3435" s="55">
        <v>28500</v>
      </c>
      <c r="AS3435" s="78">
        <f t="shared" si="57"/>
        <v>0</v>
      </c>
    </row>
    <row r="3436" spans="39:45">
      <c r="AM3436" s="54">
        <v>2019</v>
      </c>
      <c r="AN3436" s="54" t="s">
        <v>96</v>
      </c>
      <c r="AO3436" s="54">
        <v>24</v>
      </c>
      <c r="AP3436" s="54">
        <v>2</v>
      </c>
      <c r="AQ3436" s="54">
        <v>0</v>
      </c>
      <c r="AR3436" s="55">
        <v>28500</v>
      </c>
      <c r="AS3436" s="78">
        <f t="shared" si="57"/>
        <v>0</v>
      </c>
    </row>
    <row r="3437" spans="39:45">
      <c r="AM3437" s="55">
        <v>2019</v>
      </c>
      <c r="AN3437" s="55" t="s">
        <v>96</v>
      </c>
      <c r="AO3437" s="55">
        <v>24</v>
      </c>
      <c r="AP3437" s="55">
        <v>3</v>
      </c>
      <c r="AQ3437" s="55">
        <v>0</v>
      </c>
      <c r="AR3437" s="55">
        <v>28500</v>
      </c>
      <c r="AS3437" s="78">
        <f t="shared" si="57"/>
        <v>0</v>
      </c>
    </row>
    <row r="3438" spans="39:45">
      <c r="AM3438" s="54">
        <v>2019</v>
      </c>
      <c r="AN3438" s="54" t="s">
        <v>96</v>
      </c>
      <c r="AO3438" s="54">
        <v>24</v>
      </c>
      <c r="AP3438" s="54">
        <v>4</v>
      </c>
      <c r="AQ3438" s="54">
        <v>0</v>
      </c>
      <c r="AR3438" s="55">
        <v>28500</v>
      </c>
      <c r="AS3438" s="78">
        <f t="shared" si="57"/>
        <v>0</v>
      </c>
    </row>
    <row r="3439" spans="39:45">
      <c r="AM3439" s="55">
        <v>2019</v>
      </c>
      <c r="AN3439" s="55" t="s">
        <v>96</v>
      </c>
      <c r="AO3439" s="55">
        <v>24</v>
      </c>
      <c r="AP3439" s="55">
        <v>5</v>
      </c>
      <c r="AQ3439" s="55">
        <v>1187.5</v>
      </c>
      <c r="AR3439" s="55">
        <v>28500</v>
      </c>
      <c r="AS3439" s="78">
        <f t="shared" si="57"/>
        <v>4.1666666666666664E-2</v>
      </c>
    </row>
    <row r="3440" spans="39:45">
      <c r="AM3440" s="54">
        <v>2019</v>
      </c>
      <c r="AN3440" s="54" t="s">
        <v>96</v>
      </c>
      <c r="AO3440" s="54">
        <v>24</v>
      </c>
      <c r="AP3440" s="54">
        <v>6</v>
      </c>
      <c r="AQ3440" s="54">
        <v>4067</v>
      </c>
      <c r="AR3440" s="55">
        <v>28500</v>
      </c>
      <c r="AS3440" s="78">
        <f t="shared" si="57"/>
        <v>0.14270175438596491</v>
      </c>
    </row>
    <row r="3441" spans="39:45">
      <c r="AM3441" s="55">
        <v>2019</v>
      </c>
      <c r="AN3441" s="55" t="s">
        <v>96</v>
      </c>
      <c r="AO3441" s="55">
        <v>24</v>
      </c>
      <c r="AP3441" s="55">
        <v>7</v>
      </c>
      <c r="AQ3441" s="55">
        <v>13834.5</v>
      </c>
      <c r="AR3441" s="55">
        <v>28500</v>
      </c>
      <c r="AS3441" s="78">
        <f t="shared" si="57"/>
        <v>0.48542105263157892</v>
      </c>
    </row>
    <row r="3442" spans="39:45">
      <c r="AM3442" s="54">
        <v>2019</v>
      </c>
      <c r="AN3442" s="54" t="s">
        <v>96</v>
      </c>
      <c r="AO3442" s="54">
        <v>24</v>
      </c>
      <c r="AP3442" s="54">
        <v>8</v>
      </c>
      <c r="AQ3442" s="54">
        <v>23388.5</v>
      </c>
      <c r="AR3442" s="55">
        <v>28500</v>
      </c>
      <c r="AS3442" s="78">
        <f t="shared" si="57"/>
        <v>0.82064912280701752</v>
      </c>
    </row>
    <row r="3443" spans="39:45">
      <c r="AM3443" s="55">
        <v>2019</v>
      </c>
      <c r="AN3443" s="55" t="s">
        <v>96</v>
      </c>
      <c r="AO3443" s="55">
        <v>24</v>
      </c>
      <c r="AP3443" s="55">
        <v>9</v>
      </c>
      <c r="AQ3443" s="55">
        <v>31129</v>
      </c>
      <c r="AR3443" s="55">
        <v>28500</v>
      </c>
      <c r="AS3443" s="78">
        <f t="shared" si="57"/>
        <v>1.0922456140350878</v>
      </c>
    </row>
    <row r="3444" spans="39:45">
      <c r="AM3444" s="54">
        <v>2019</v>
      </c>
      <c r="AN3444" s="54" t="s">
        <v>96</v>
      </c>
      <c r="AO3444" s="54">
        <v>24</v>
      </c>
      <c r="AP3444" s="54">
        <v>10</v>
      </c>
      <c r="AQ3444" s="54">
        <v>35908</v>
      </c>
      <c r="AR3444" s="55">
        <v>28500</v>
      </c>
      <c r="AS3444" s="78">
        <f t="shared" si="57"/>
        <v>1.2599298245614035</v>
      </c>
    </row>
    <row r="3445" spans="39:45">
      <c r="AM3445" s="55">
        <v>2019</v>
      </c>
      <c r="AN3445" s="55" t="s">
        <v>96</v>
      </c>
      <c r="AO3445" s="55">
        <v>24</v>
      </c>
      <c r="AP3445" s="55">
        <v>11</v>
      </c>
      <c r="AQ3445" s="55">
        <v>25952</v>
      </c>
      <c r="AR3445" s="55">
        <v>28500</v>
      </c>
      <c r="AS3445" s="78">
        <f t="shared" si="57"/>
        <v>0.91059649122807018</v>
      </c>
    </row>
    <row r="3446" spans="39:45">
      <c r="AM3446" s="54">
        <v>2019</v>
      </c>
      <c r="AN3446" s="54" t="s">
        <v>96</v>
      </c>
      <c r="AO3446" s="54">
        <v>24</v>
      </c>
      <c r="AP3446" s="54">
        <v>12</v>
      </c>
      <c r="AQ3446" s="54">
        <v>30695</v>
      </c>
      <c r="AR3446" s="55">
        <v>28500</v>
      </c>
      <c r="AS3446" s="78">
        <f t="shared" si="57"/>
        <v>1.0770175438596492</v>
      </c>
    </row>
    <row r="3447" spans="39:45">
      <c r="AM3447" s="55">
        <v>2019</v>
      </c>
      <c r="AN3447" s="55" t="s">
        <v>96</v>
      </c>
      <c r="AO3447" s="55">
        <v>24</v>
      </c>
      <c r="AP3447" s="55">
        <v>13</v>
      </c>
      <c r="AQ3447" s="55">
        <v>22684</v>
      </c>
      <c r="AR3447" s="55">
        <v>28500</v>
      </c>
      <c r="AS3447" s="78">
        <f t="shared" si="57"/>
        <v>0.79592982456140349</v>
      </c>
    </row>
    <row r="3448" spans="39:45">
      <c r="AM3448" s="54">
        <v>2019</v>
      </c>
      <c r="AN3448" s="54" t="s">
        <v>96</v>
      </c>
      <c r="AO3448" s="54">
        <v>24</v>
      </c>
      <c r="AP3448" s="54">
        <v>14</v>
      </c>
      <c r="AQ3448" s="54">
        <v>0</v>
      </c>
      <c r="AR3448" s="55">
        <v>28500</v>
      </c>
      <c r="AS3448" s="78">
        <f t="shared" si="57"/>
        <v>0</v>
      </c>
    </row>
    <row r="3449" spans="39:45">
      <c r="AM3449" s="55">
        <v>2019</v>
      </c>
      <c r="AN3449" s="55" t="s">
        <v>96</v>
      </c>
      <c r="AO3449" s="55">
        <v>24</v>
      </c>
      <c r="AP3449" s="55">
        <v>15</v>
      </c>
      <c r="AQ3449" s="55">
        <v>3937.5</v>
      </c>
      <c r="AR3449" s="55">
        <v>28500</v>
      </c>
      <c r="AS3449" s="78">
        <f t="shared" si="57"/>
        <v>0.13815789473684212</v>
      </c>
    </row>
    <row r="3450" spans="39:45">
      <c r="AM3450" s="54">
        <v>2019</v>
      </c>
      <c r="AN3450" s="54" t="s">
        <v>96</v>
      </c>
      <c r="AO3450" s="54">
        <v>24</v>
      </c>
      <c r="AP3450" s="54">
        <v>16</v>
      </c>
      <c r="AQ3450" s="54">
        <v>5183</v>
      </c>
      <c r="AR3450" s="55">
        <v>28500</v>
      </c>
      <c r="AS3450" s="78">
        <f t="shared" si="57"/>
        <v>0.18185964912280703</v>
      </c>
    </row>
    <row r="3451" spans="39:45">
      <c r="AM3451" s="55">
        <v>2019</v>
      </c>
      <c r="AN3451" s="55" t="s">
        <v>96</v>
      </c>
      <c r="AO3451" s="55">
        <v>24</v>
      </c>
      <c r="AP3451" s="55">
        <v>17</v>
      </c>
      <c r="AQ3451" s="55">
        <v>2497</v>
      </c>
      <c r="AR3451" s="55">
        <v>28500</v>
      </c>
      <c r="AS3451" s="78">
        <f t="shared" si="57"/>
        <v>8.7614035087719297E-2</v>
      </c>
    </row>
    <row r="3452" spans="39:45">
      <c r="AM3452" s="54">
        <v>2019</v>
      </c>
      <c r="AN3452" s="54" t="s">
        <v>96</v>
      </c>
      <c r="AO3452" s="54">
        <v>24</v>
      </c>
      <c r="AP3452" s="54">
        <v>18</v>
      </c>
      <c r="AQ3452" s="54">
        <v>399</v>
      </c>
      <c r="AR3452" s="55">
        <v>28500</v>
      </c>
      <c r="AS3452" s="78">
        <f t="shared" si="57"/>
        <v>1.4E-2</v>
      </c>
    </row>
    <row r="3453" spans="39:45">
      <c r="AM3453" s="55">
        <v>2019</v>
      </c>
      <c r="AN3453" s="55" t="s">
        <v>96</v>
      </c>
      <c r="AO3453" s="55">
        <v>24</v>
      </c>
      <c r="AP3453" s="55">
        <v>19</v>
      </c>
      <c r="AQ3453" s="55">
        <v>92.5</v>
      </c>
      <c r="AR3453" s="55">
        <v>28500</v>
      </c>
      <c r="AS3453" s="78">
        <f t="shared" si="57"/>
        <v>3.2456140350877192E-3</v>
      </c>
    </row>
    <row r="3454" spans="39:45">
      <c r="AM3454" s="54">
        <v>2019</v>
      </c>
      <c r="AN3454" s="54" t="s">
        <v>96</v>
      </c>
      <c r="AO3454" s="54">
        <v>24</v>
      </c>
      <c r="AP3454" s="54">
        <v>20</v>
      </c>
      <c r="AQ3454" s="54">
        <v>0</v>
      </c>
      <c r="AR3454" s="55">
        <v>28500</v>
      </c>
      <c r="AS3454" s="78">
        <f t="shared" si="57"/>
        <v>0</v>
      </c>
    </row>
    <row r="3455" spans="39:45">
      <c r="AM3455" s="55">
        <v>2019</v>
      </c>
      <c r="AN3455" s="55" t="s">
        <v>96</v>
      </c>
      <c r="AO3455" s="55">
        <v>24</v>
      </c>
      <c r="AP3455" s="55">
        <v>21</v>
      </c>
      <c r="AQ3455" s="55">
        <v>0</v>
      </c>
      <c r="AR3455" s="55">
        <v>28500</v>
      </c>
      <c r="AS3455" s="78">
        <f t="shared" si="57"/>
        <v>0</v>
      </c>
    </row>
    <row r="3456" spans="39:45">
      <c r="AM3456" s="54">
        <v>2019</v>
      </c>
      <c r="AN3456" s="54" t="s">
        <v>96</v>
      </c>
      <c r="AO3456" s="54">
        <v>24</v>
      </c>
      <c r="AP3456" s="54">
        <v>22</v>
      </c>
      <c r="AQ3456" s="54">
        <v>0</v>
      </c>
      <c r="AR3456" s="55">
        <v>28500</v>
      </c>
      <c r="AS3456" s="78">
        <f t="shared" si="57"/>
        <v>0</v>
      </c>
    </row>
    <row r="3457" spans="39:45">
      <c r="AM3457" s="55">
        <v>2019</v>
      </c>
      <c r="AN3457" s="55" t="s">
        <v>96</v>
      </c>
      <c r="AO3457" s="55">
        <v>24</v>
      </c>
      <c r="AP3457" s="55">
        <v>23</v>
      </c>
      <c r="AQ3457" s="55">
        <v>0</v>
      </c>
      <c r="AR3457" s="55">
        <v>28500</v>
      </c>
      <c r="AS3457" s="78">
        <f t="shared" si="57"/>
        <v>0</v>
      </c>
    </row>
    <row r="3458" spans="39:45">
      <c r="AM3458" s="54">
        <v>2019</v>
      </c>
      <c r="AN3458" s="54" t="s">
        <v>96</v>
      </c>
      <c r="AO3458" s="54">
        <v>25</v>
      </c>
      <c r="AP3458" s="54">
        <v>24</v>
      </c>
      <c r="AQ3458" s="54">
        <v>0</v>
      </c>
      <c r="AR3458" s="55">
        <v>28500</v>
      </c>
      <c r="AS3458" s="78">
        <f t="shared" ref="AS3458:AS3521" si="58">AQ3458/AR3458</f>
        <v>0</v>
      </c>
    </row>
    <row r="3459" spans="39:45">
      <c r="AM3459" s="55">
        <v>2019</v>
      </c>
      <c r="AN3459" s="55" t="s">
        <v>96</v>
      </c>
      <c r="AO3459" s="55">
        <v>25</v>
      </c>
      <c r="AP3459" s="55">
        <v>1</v>
      </c>
      <c r="AQ3459" s="55">
        <v>0</v>
      </c>
      <c r="AR3459" s="55">
        <v>28500</v>
      </c>
      <c r="AS3459" s="78">
        <f t="shared" si="58"/>
        <v>0</v>
      </c>
    </row>
    <row r="3460" spans="39:45">
      <c r="AM3460" s="54">
        <v>2019</v>
      </c>
      <c r="AN3460" s="54" t="s">
        <v>96</v>
      </c>
      <c r="AO3460" s="54">
        <v>25</v>
      </c>
      <c r="AP3460" s="54">
        <v>2</v>
      </c>
      <c r="AQ3460" s="54">
        <v>0</v>
      </c>
      <c r="AR3460" s="55">
        <v>28500</v>
      </c>
      <c r="AS3460" s="78">
        <f t="shared" si="58"/>
        <v>0</v>
      </c>
    </row>
    <row r="3461" spans="39:45">
      <c r="AM3461" s="55">
        <v>2019</v>
      </c>
      <c r="AN3461" s="55" t="s">
        <v>96</v>
      </c>
      <c r="AO3461" s="55">
        <v>25</v>
      </c>
      <c r="AP3461" s="55">
        <v>3</v>
      </c>
      <c r="AQ3461" s="55">
        <v>0</v>
      </c>
      <c r="AR3461" s="55">
        <v>28500</v>
      </c>
      <c r="AS3461" s="78">
        <f t="shared" si="58"/>
        <v>0</v>
      </c>
    </row>
    <row r="3462" spans="39:45">
      <c r="AM3462" s="54">
        <v>2019</v>
      </c>
      <c r="AN3462" s="54" t="s">
        <v>96</v>
      </c>
      <c r="AO3462" s="54">
        <v>25</v>
      </c>
      <c r="AP3462" s="54">
        <v>4</v>
      </c>
      <c r="AQ3462" s="54">
        <v>0</v>
      </c>
      <c r="AR3462" s="55">
        <v>28500</v>
      </c>
      <c r="AS3462" s="78">
        <f t="shared" si="58"/>
        <v>0</v>
      </c>
    </row>
    <row r="3463" spans="39:45">
      <c r="AM3463" s="55">
        <v>2019</v>
      </c>
      <c r="AN3463" s="55" t="s">
        <v>96</v>
      </c>
      <c r="AO3463" s="55">
        <v>25</v>
      </c>
      <c r="AP3463" s="55">
        <v>5</v>
      </c>
      <c r="AQ3463" s="55">
        <v>1444.5</v>
      </c>
      <c r="AR3463" s="55">
        <v>28500</v>
      </c>
      <c r="AS3463" s="78">
        <f t="shared" si="58"/>
        <v>5.068421052631579E-2</v>
      </c>
    </row>
    <row r="3464" spans="39:45">
      <c r="AM3464" s="54">
        <v>2019</v>
      </c>
      <c r="AN3464" s="54" t="s">
        <v>96</v>
      </c>
      <c r="AO3464" s="54">
        <v>25</v>
      </c>
      <c r="AP3464" s="54">
        <v>6</v>
      </c>
      <c r="AQ3464" s="54">
        <v>4863.5</v>
      </c>
      <c r="AR3464" s="55">
        <v>28500</v>
      </c>
      <c r="AS3464" s="78">
        <f t="shared" si="58"/>
        <v>0.17064912280701755</v>
      </c>
    </row>
    <row r="3465" spans="39:45">
      <c r="AM3465" s="55">
        <v>2019</v>
      </c>
      <c r="AN3465" s="55" t="s">
        <v>96</v>
      </c>
      <c r="AO3465" s="55">
        <v>25</v>
      </c>
      <c r="AP3465" s="55">
        <v>7</v>
      </c>
      <c r="AQ3465" s="55">
        <v>7477.5</v>
      </c>
      <c r="AR3465" s="55">
        <v>28500</v>
      </c>
      <c r="AS3465" s="78">
        <f t="shared" si="58"/>
        <v>0.26236842105263158</v>
      </c>
    </row>
    <row r="3466" spans="39:45">
      <c r="AM3466" s="54">
        <v>2019</v>
      </c>
      <c r="AN3466" s="54" t="s">
        <v>96</v>
      </c>
      <c r="AO3466" s="54">
        <v>25</v>
      </c>
      <c r="AP3466" s="54">
        <v>8</v>
      </c>
      <c r="AQ3466" s="54">
        <v>3788.5</v>
      </c>
      <c r="AR3466" s="55">
        <v>28500</v>
      </c>
      <c r="AS3466" s="78">
        <f t="shared" si="58"/>
        <v>0.13292982456140351</v>
      </c>
    </row>
    <row r="3467" spans="39:45">
      <c r="AM3467" s="55">
        <v>2019</v>
      </c>
      <c r="AN3467" s="55" t="s">
        <v>96</v>
      </c>
      <c r="AO3467" s="55">
        <v>25</v>
      </c>
      <c r="AP3467" s="55">
        <v>9</v>
      </c>
      <c r="AQ3467" s="55">
        <v>24008</v>
      </c>
      <c r="AR3467" s="55">
        <v>28500</v>
      </c>
      <c r="AS3467" s="78">
        <f t="shared" si="58"/>
        <v>0.84238596491228068</v>
      </c>
    </row>
    <row r="3468" spans="39:45">
      <c r="AM3468" s="54">
        <v>2019</v>
      </c>
      <c r="AN3468" s="54" t="s">
        <v>96</v>
      </c>
      <c r="AO3468" s="54">
        <v>25</v>
      </c>
      <c r="AP3468" s="54">
        <v>10</v>
      </c>
      <c r="AQ3468" s="54">
        <v>20479</v>
      </c>
      <c r="AR3468" s="55">
        <v>28500</v>
      </c>
      <c r="AS3468" s="78">
        <f t="shared" si="58"/>
        <v>0.71856140350877196</v>
      </c>
    </row>
    <row r="3469" spans="39:45">
      <c r="AM3469" s="55">
        <v>2019</v>
      </c>
      <c r="AN3469" s="55" t="s">
        <v>96</v>
      </c>
      <c r="AO3469" s="55">
        <v>25</v>
      </c>
      <c r="AP3469" s="55">
        <v>11</v>
      </c>
      <c r="AQ3469" s="55">
        <v>8876.5</v>
      </c>
      <c r="AR3469" s="55">
        <v>28500</v>
      </c>
      <c r="AS3469" s="78">
        <f t="shared" si="58"/>
        <v>0.31145614035087721</v>
      </c>
    </row>
    <row r="3470" spans="39:45">
      <c r="AM3470" s="54">
        <v>2019</v>
      </c>
      <c r="AN3470" s="54" t="s">
        <v>96</v>
      </c>
      <c r="AO3470" s="54">
        <v>25</v>
      </c>
      <c r="AP3470" s="54">
        <v>12</v>
      </c>
      <c r="AQ3470" s="54">
        <v>35209</v>
      </c>
      <c r="AR3470" s="55">
        <v>28500</v>
      </c>
      <c r="AS3470" s="78">
        <f t="shared" si="58"/>
        <v>1.2354035087719297</v>
      </c>
    </row>
    <row r="3471" spans="39:45">
      <c r="AM3471" s="55">
        <v>2019</v>
      </c>
      <c r="AN3471" s="55" t="s">
        <v>96</v>
      </c>
      <c r="AO3471" s="55">
        <v>25</v>
      </c>
      <c r="AP3471" s="55">
        <v>13</v>
      </c>
      <c r="AQ3471" s="55">
        <v>33516.5</v>
      </c>
      <c r="AR3471" s="55">
        <v>28500</v>
      </c>
      <c r="AS3471" s="78">
        <f t="shared" si="58"/>
        <v>1.1760175438596492</v>
      </c>
    </row>
    <row r="3472" spans="39:45">
      <c r="AM3472" s="54">
        <v>2019</v>
      </c>
      <c r="AN3472" s="54" t="s">
        <v>96</v>
      </c>
      <c r="AO3472" s="54">
        <v>25</v>
      </c>
      <c r="AP3472" s="54">
        <v>14</v>
      </c>
      <c r="AQ3472" s="54">
        <v>23063.5</v>
      </c>
      <c r="AR3472" s="55">
        <v>28500</v>
      </c>
      <c r="AS3472" s="78">
        <f t="shared" si="58"/>
        <v>0.80924561403508777</v>
      </c>
    </row>
    <row r="3473" spans="39:45">
      <c r="AM3473" s="55">
        <v>2019</v>
      </c>
      <c r="AN3473" s="55" t="s">
        <v>96</v>
      </c>
      <c r="AO3473" s="55">
        <v>25</v>
      </c>
      <c r="AP3473" s="55">
        <v>15</v>
      </c>
      <c r="AQ3473" s="55">
        <v>21516</v>
      </c>
      <c r="AR3473" s="55">
        <v>28500</v>
      </c>
      <c r="AS3473" s="78">
        <f t="shared" si="58"/>
        <v>0.75494736842105259</v>
      </c>
    </row>
    <row r="3474" spans="39:45">
      <c r="AM3474" s="54">
        <v>2019</v>
      </c>
      <c r="AN3474" s="54" t="s">
        <v>96</v>
      </c>
      <c r="AO3474" s="54">
        <v>25</v>
      </c>
      <c r="AP3474" s="54">
        <v>16</v>
      </c>
      <c r="AQ3474" s="54">
        <v>12199</v>
      </c>
      <c r="AR3474" s="55">
        <v>28500</v>
      </c>
      <c r="AS3474" s="78">
        <f t="shared" si="58"/>
        <v>0.42803508771929827</v>
      </c>
    </row>
    <row r="3475" spans="39:45">
      <c r="AM3475" s="55">
        <v>2019</v>
      </c>
      <c r="AN3475" s="55" t="s">
        <v>96</v>
      </c>
      <c r="AO3475" s="55">
        <v>25</v>
      </c>
      <c r="AP3475" s="55">
        <v>17</v>
      </c>
      <c r="AQ3475" s="55">
        <v>8324</v>
      </c>
      <c r="AR3475" s="55">
        <v>28500</v>
      </c>
      <c r="AS3475" s="78">
        <f t="shared" si="58"/>
        <v>0.29207017543859648</v>
      </c>
    </row>
    <row r="3476" spans="39:45">
      <c r="AM3476" s="54">
        <v>2019</v>
      </c>
      <c r="AN3476" s="54" t="s">
        <v>96</v>
      </c>
      <c r="AO3476" s="54">
        <v>25</v>
      </c>
      <c r="AP3476" s="54">
        <v>18</v>
      </c>
      <c r="AQ3476" s="54">
        <v>2816</v>
      </c>
      <c r="AR3476" s="55">
        <v>28500</v>
      </c>
      <c r="AS3476" s="78">
        <f t="shared" si="58"/>
        <v>9.8807017543859649E-2</v>
      </c>
    </row>
    <row r="3477" spans="39:45">
      <c r="AM3477" s="55">
        <v>2019</v>
      </c>
      <c r="AN3477" s="55" t="s">
        <v>96</v>
      </c>
      <c r="AO3477" s="55">
        <v>25</v>
      </c>
      <c r="AP3477" s="55">
        <v>19</v>
      </c>
      <c r="AQ3477" s="55">
        <v>52.5</v>
      </c>
      <c r="AR3477" s="55">
        <v>28500</v>
      </c>
      <c r="AS3477" s="78">
        <f t="shared" si="58"/>
        <v>1.8421052631578947E-3</v>
      </c>
    </row>
    <row r="3478" spans="39:45">
      <c r="AM3478" s="54">
        <v>2019</v>
      </c>
      <c r="AN3478" s="54" t="s">
        <v>96</v>
      </c>
      <c r="AO3478" s="54">
        <v>25</v>
      </c>
      <c r="AP3478" s="54">
        <v>20</v>
      </c>
      <c r="AQ3478" s="54">
        <v>0</v>
      </c>
      <c r="AR3478" s="55">
        <v>28500</v>
      </c>
      <c r="AS3478" s="78">
        <f t="shared" si="58"/>
        <v>0</v>
      </c>
    </row>
    <row r="3479" spans="39:45">
      <c r="AM3479" s="55">
        <v>2019</v>
      </c>
      <c r="AN3479" s="55" t="s">
        <v>96</v>
      </c>
      <c r="AO3479" s="55">
        <v>25</v>
      </c>
      <c r="AP3479" s="55">
        <v>21</v>
      </c>
      <c r="AQ3479" s="55">
        <v>0</v>
      </c>
      <c r="AR3479" s="55">
        <v>28500</v>
      </c>
      <c r="AS3479" s="78">
        <f t="shared" si="58"/>
        <v>0</v>
      </c>
    </row>
    <row r="3480" spans="39:45">
      <c r="AM3480" s="54">
        <v>2019</v>
      </c>
      <c r="AN3480" s="54" t="s">
        <v>96</v>
      </c>
      <c r="AO3480" s="54">
        <v>25</v>
      </c>
      <c r="AP3480" s="54">
        <v>22</v>
      </c>
      <c r="AQ3480" s="54">
        <v>0</v>
      </c>
      <c r="AR3480" s="55">
        <v>28500</v>
      </c>
      <c r="AS3480" s="78">
        <f t="shared" si="58"/>
        <v>0</v>
      </c>
    </row>
    <row r="3481" spans="39:45">
      <c r="AM3481" s="55">
        <v>2019</v>
      </c>
      <c r="AN3481" s="55" t="s">
        <v>96</v>
      </c>
      <c r="AO3481" s="55">
        <v>25</v>
      </c>
      <c r="AP3481" s="55">
        <v>23</v>
      </c>
      <c r="AQ3481" s="55">
        <v>0</v>
      </c>
      <c r="AR3481" s="55">
        <v>28500</v>
      </c>
      <c r="AS3481" s="78">
        <f t="shared" si="58"/>
        <v>0</v>
      </c>
    </row>
    <row r="3482" spans="39:45">
      <c r="AM3482" s="54">
        <v>2019</v>
      </c>
      <c r="AN3482" s="54" t="s">
        <v>96</v>
      </c>
      <c r="AO3482" s="54">
        <v>26</v>
      </c>
      <c r="AP3482" s="54">
        <v>24</v>
      </c>
      <c r="AQ3482" s="54">
        <v>0</v>
      </c>
      <c r="AR3482" s="55">
        <v>28500</v>
      </c>
      <c r="AS3482" s="78">
        <f t="shared" si="58"/>
        <v>0</v>
      </c>
    </row>
    <row r="3483" spans="39:45">
      <c r="AM3483" s="55">
        <v>2019</v>
      </c>
      <c r="AN3483" s="55" t="s">
        <v>96</v>
      </c>
      <c r="AO3483" s="55">
        <v>26</v>
      </c>
      <c r="AP3483" s="55">
        <v>1</v>
      </c>
      <c r="AQ3483" s="55">
        <v>0</v>
      </c>
      <c r="AR3483" s="55">
        <v>28500</v>
      </c>
      <c r="AS3483" s="78">
        <f t="shared" si="58"/>
        <v>0</v>
      </c>
    </row>
    <row r="3484" spans="39:45">
      <c r="AM3484" s="54">
        <v>2019</v>
      </c>
      <c r="AN3484" s="54" t="s">
        <v>96</v>
      </c>
      <c r="AO3484" s="54">
        <v>26</v>
      </c>
      <c r="AP3484" s="54">
        <v>2</v>
      </c>
      <c r="AQ3484" s="54">
        <v>0</v>
      </c>
      <c r="AR3484" s="55">
        <v>28500</v>
      </c>
      <c r="AS3484" s="78">
        <f t="shared" si="58"/>
        <v>0</v>
      </c>
    </row>
    <row r="3485" spans="39:45">
      <c r="AM3485" s="55">
        <v>2019</v>
      </c>
      <c r="AN3485" s="55" t="s">
        <v>96</v>
      </c>
      <c r="AO3485" s="55">
        <v>26</v>
      </c>
      <c r="AP3485" s="55">
        <v>3</v>
      </c>
      <c r="AQ3485" s="55">
        <v>0</v>
      </c>
      <c r="AR3485" s="55">
        <v>28500</v>
      </c>
      <c r="AS3485" s="78">
        <f t="shared" si="58"/>
        <v>0</v>
      </c>
    </row>
    <row r="3486" spans="39:45">
      <c r="AM3486" s="54">
        <v>2019</v>
      </c>
      <c r="AN3486" s="54" t="s">
        <v>96</v>
      </c>
      <c r="AO3486" s="54">
        <v>26</v>
      </c>
      <c r="AP3486" s="54">
        <v>4</v>
      </c>
      <c r="AQ3486" s="54">
        <v>0</v>
      </c>
      <c r="AR3486" s="55">
        <v>28500</v>
      </c>
      <c r="AS3486" s="78">
        <f t="shared" si="58"/>
        <v>0</v>
      </c>
    </row>
    <row r="3487" spans="39:45">
      <c r="AM3487" s="55">
        <v>2019</v>
      </c>
      <c r="AN3487" s="55" t="s">
        <v>96</v>
      </c>
      <c r="AO3487" s="55">
        <v>26</v>
      </c>
      <c r="AP3487" s="55">
        <v>5</v>
      </c>
      <c r="AQ3487" s="55">
        <v>925</v>
      </c>
      <c r="AR3487" s="55">
        <v>28500</v>
      </c>
      <c r="AS3487" s="78">
        <f t="shared" si="58"/>
        <v>3.245614035087719E-2</v>
      </c>
    </row>
    <row r="3488" spans="39:45">
      <c r="AM3488" s="54">
        <v>2019</v>
      </c>
      <c r="AN3488" s="54" t="s">
        <v>96</v>
      </c>
      <c r="AO3488" s="54">
        <v>26</v>
      </c>
      <c r="AP3488" s="54">
        <v>6</v>
      </c>
      <c r="AQ3488" s="54">
        <v>4293.5</v>
      </c>
      <c r="AR3488" s="55">
        <v>28500</v>
      </c>
      <c r="AS3488" s="78">
        <f t="shared" si="58"/>
        <v>0.15064912280701753</v>
      </c>
    </row>
    <row r="3489" spans="39:45">
      <c r="AM3489" s="55">
        <v>2019</v>
      </c>
      <c r="AN3489" s="55" t="s">
        <v>96</v>
      </c>
      <c r="AO3489" s="55">
        <v>26</v>
      </c>
      <c r="AP3489" s="55">
        <v>7</v>
      </c>
      <c r="AQ3489" s="55">
        <v>11059</v>
      </c>
      <c r="AR3489" s="55">
        <v>28500</v>
      </c>
      <c r="AS3489" s="78">
        <f t="shared" si="58"/>
        <v>0.38803508771929823</v>
      </c>
    </row>
    <row r="3490" spans="39:45">
      <c r="AM3490" s="54">
        <v>2019</v>
      </c>
      <c r="AN3490" s="54" t="s">
        <v>96</v>
      </c>
      <c r="AO3490" s="54">
        <v>26</v>
      </c>
      <c r="AP3490" s="54">
        <v>8</v>
      </c>
      <c r="AQ3490" s="54">
        <v>19888.5</v>
      </c>
      <c r="AR3490" s="55">
        <v>28500</v>
      </c>
      <c r="AS3490" s="78">
        <f t="shared" si="58"/>
        <v>0.69784210526315793</v>
      </c>
    </row>
    <row r="3491" spans="39:45">
      <c r="AM3491" s="55">
        <v>2019</v>
      </c>
      <c r="AN3491" s="55" t="s">
        <v>96</v>
      </c>
      <c r="AO3491" s="55">
        <v>26</v>
      </c>
      <c r="AP3491" s="55">
        <v>9</v>
      </c>
      <c r="AQ3491" s="55">
        <v>29514.5</v>
      </c>
      <c r="AR3491" s="55">
        <v>28500</v>
      </c>
      <c r="AS3491" s="78">
        <f t="shared" si="58"/>
        <v>1.0355964912280702</v>
      </c>
    </row>
    <row r="3492" spans="39:45">
      <c r="AM3492" s="54">
        <v>2019</v>
      </c>
      <c r="AN3492" s="54" t="s">
        <v>96</v>
      </c>
      <c r="AO3492" s="54">
        <v>26</v>
      </c>
      <c r="AP3492" s="54">
        <v>10</v>
      </c>
      <c r="AQ3492" s="54">
        <v>31854</v>
      </c>
      <c r="AR3492" s="55">
        <v>28500</v>
      </c>
      <c r="AS3492" s="78">
        <f t="shared" si="58"/>
        <v>1.1176842105263158</v>
      </c>
    </row>
    <row r="3493" spans="39:45">
      <c r="AM3493" s="55">
        <v>2019</v>
      </c>
      <c r="AN3493" s="55" t="s">
        <v>96</v>
      </c>
      <c r="AO3493" s="55">
        <v>26</v>
      </c>
      <c r="AP3493" s="55">
        <v>11</v>
      </c>
      <c r="AQ3493" s="55">
        <v>38135</v>
      </c>
      <c r="AR3493" s="55">
        <v>28500</v>
      </c>
      <c r="AS3493" s="78">
        <f t="shared" si="58"/>
        <v>1.3380701754385964</v>
      </c>
    </row>
    <row r="3494" spans="39:45">
      <c r="AM3494" s="54">
        <v>2019</v>
      </c>
      <c r="AN3494" s="54" t="s">
        <v>96</v>
      </c>
      <c r="AO3494" s="54">
        <v>26</v>
      </c>
      <c r="AP3494" s="54">
        <v>12</v>
      </c>
      <c r="AQ3494" s="54">
        <v>20366</v>
      </c>
      <c r="AR3494" s="55">
        <v>28500</v>
      </c>
      <c r="AS3494" s="78">
        <f t="shared" si="58"/>
        <v>0.71459649122807023</v>
      </c>
    </row>
    <row r="3495" spans="39:45">
      <c r="AM3495" s="55">
        <v>2019</v>
      </c>
      <c r="AN3495" s="55" t="s">
        <v>96</v>
      </c>
      <c r="AO3495" s="55">
        <v>26</v>
      </c>
      <c r="AP3495" s="55">
        <v>13</v>
      </c>
      <c r="AQ3495" s="55">
        <v>13372</v>
      </c>
      <c r="AR3495" s="55">
        <v>28500</v>
      </c>
      <c r="AS3495" s="78">
        <f t="shared" si="58"/>
        <v>0.46919298245614033</v>
      </c>
    </row>
    <row r="3496" spans="39:45">
      <c r="AM3496" s="54">
        <v>2019</v>
      </c>
      <c r="AN3496" s="54" t="s">
        <v>96</v>
      </c>
      <c r="AO3496" s="54">
        <v>26</v>
      </c>
      <c r="AP3496" s="54">
        <v>14</v>
      </c>
      <c r="AQ3496" s="54">
        <v>6593</v>
      </c>
      <c r="AR3496" s="55">
        <v>28500</v>
      </c>
      <c r="AS3496" s="78">
        <f t="shared" si="58"/>
        <v>0.23133333333333334</v>
      </c>
    </row>
    <row r="3497" spans="39:45">
      <c r="AM3497" s="55">
        <v>2019</v>
      </c>
      <c r="AN3497" s="55" t="s">
        <v>96</v>
      </c>
      <c r="AO3497" s="55">
        <v>26</v>
      </c>
      <c r="AP3497" s="55">
        <v>15</v>
      </c>
      <c r="AQ3497" s="55">
        <v>4527</v>
      </c>
      <c r="AR3497" s="55">
        <v>28500</v>
      </c>
      <c r="AS3497" s="78">
        <f t="shared" si="58"/>
        <v>0.1588421052631579</v>
      </c>
    </row>
    <row r="3498" spans="39:45">
      <c r="AM3498" s="54">
        <v>2019</v>
      </c>
      <c r="AN3498" s="54" t="s">
        <v>96</v>
      </c>
      <c r="AO3498" s="54">
        <v>26</v>
      </c>
      <c r="AP3498" s="54">
        <v>16</v>
      </c>
      <c r="AQ3498" s="54">
        <v>4377.5</v>
      </c>
      <c r="AR3498" s="55">
        <v>28500</v>
      </c>
      <c r="AS3498" s="78">
        <f t="shared" si="58"/>
        <v>0.15359649122807018</v>
      </c>
    </row>
    <row r="3499" spans="39:45">
      <c r="AM3499" s="55">
        <v>2019</v>
      </c>
      <c r="AN3499" s="55" t="s">
        <v>96</v>
      </c>
      <c r="AO3499" s="55">
        <v>26</v>
      </c>
      <c r="AP3499" s="55">
        <v>17</v>
      </c>
      <c r="AQ3499" s="55">
        <v>1661.5</v>
      </c>
      <c r="AR3499" s="55">
        <v>28500</v>
      </c>
      <c r="AS3499" s="78">
        <f t="shared" si="58"/>
        <v>5.8298245614035085E-2</v>
      </c>
    </row>
    <row r="3500" spans="39:45">
      <c r="AM3500" s="54">
        <v>2019</v>
      </c>
      <c r="AN3500" s="54" t="s">
        <v>96</v>
      </c>
      <c r="AO3500" s="54">
        <v>26</v>
      </c>
      <c r="AP3500" s="54">
        <v>18</v>
      </c>
      <c r="AQ3500" s="54">
        <v>742.5</v>
      </c>
      <c r="AR3500" s="55">
        <v>28500</v>
      </c>
      <c r="AS3500" s="78">
        <f t="shared" si="58"/>
        <v>2.6052631578947369E-2</v>
      </c>
    </row>
    <row r="3501" spans="39:45">
      <c r="AM3501" s="55">
        <v>2019</v>
      </c>
      <c r="AN3501" s="55" t="s">
        <v>96</v>
      </c>
      <c r="AO3501" s="55">
        <v>26</v>
      </c>
      <c r="AP3501" s="55">
        <v>19</v>
      </c>
      <c r="AQ3501" s="55">
        <v>0</v>
      </c>
      <c r="AR3501" s="55">
        <v>28500</v>
      </c>
      <c r="AS3501" s="78">
        <f t="shared" si="58"/>
        <v>0</v>
      </c>
    </row>
    <row r="3502" spans="39:45">
      <c r="AM3502" s="54">
        <v>2019</v>
      </c>
      <c r="AN3502" s="54" t="s">
        <v>96</v>
      </c>
      <c r="AO3502" s="54">
        <v>26</v>
      </c>
      <c r="AP3502" s="54">
        <v>20</v>
      </c>
      <c r="AQ3502" s="54">
        <v>0</v>
      </c>
      <c r="AR3502" s="55">
        <v>28500</v>
      </c>
      <c r="AS3502" s="78">
        <f t="shared" si="58"/>
        <v>0</v>
      </c>
    </row>
    <row r="3503" spans="39:45">
      <c r="AM3503" s="55">
        <v>2019</v>
      </c>
      <c r="AN3503" s="55" t="s">
        <v>96</v>
      </c>
      <c r="AO3503" s="55">
        <v>26</v>
      </c>
      <c r="AP3503" s="55">
        <v>21</v>
      </c>
      <c r="AQ3503" s="55">
        <v>0</v>
      </c>
      <c r="AR3503" s="55">
        <v>28500</v>
      </c>
      <c r="AS3503" s="78">
        <f t="shared" si="58"/>
        <v>0</v>
      </c>
    </row>
    <row r="3504" spans="39:45">
      <c r="AM3504" s="54">
        <v>2019</v>
      </c>
      <c r="AN3504" s="54" t="s">
        <v>96</v>
      </c>
      <c r="AO3504" s="54">
        <v>26</v>
      </c>
      <c r="AP3504" s="54">
        <v>22</v>
      </c>
      <c r="AQ3504" s="54">
        <v>0</v>
      </c>
      <c r="AR3504" s="55">
        <v>28500</v>
      </c>
      <c r="AS3504" s="78">
        <f t="shared" si="58"/>
        <v>0</v>
      </c>
    </row>
    <row r="3505" spans="39:45">
      <c r="AM3505" s="55">
        <v>2019</v>
      </c>
      <c r="AN3505" s="55" t="s">
        <v>96</v>
      </c>
      <c r="AO3505" s="55">
        <v>26</v>
      </c>
      <c r="AP3505" s="55">
        <v>23</v>
      </c>
      <c r="AQ3505" s="55">
        <v>0</v>
      </c>
      <c r="AR3505" s="55">
        <v>28500</v>
      </c>
      <c r="AS3505" s="78">
        <f t="shared" si="58"/>
        <v>0</v>
      </c>
    </row>
    <row r="3506" spans="39:45">
      <c r="AM3506" s="54">
        <v>2019</v>
      </c>
      <c r="AN3506" s="54" t="s">
        <v>96</v>
      </c>
      <c r="AO3506" s="54">
        <v>27</v>
      </c>
      <c r="AP3506" s="54">
        <v>24</v>
      </c>
      <c r="AQ3506" s="54">
        <v>0</v>
      </c>
      <c r="AR3506" s="55">
        <v>28500</v>
      </c>
      <c r="AS3506" s="78">
        <f t="shared" si="58"/>
        <v>0</v>
      </c>
    </row>
    <row r="3507" spans="39:45">
      <c r="AM3507" s="55">
        <v>2019</v>
      </c>
      <c r="AN3507" s="55" t="s">
        <v>96</v>
      </c>
      <c r="AO3507" s="55">
        <v>27</v>
      </c>
      <c r="AP3507" s="55">
        <v>1</v>
      </c>
      <c r="AQ3507" s="55">
        <v>0</v>
      </c>
      <c r="AR3507" s="55">
        <v>28500</v>
      </c>
      <c r="AS3507" s="78">
        <f t="shared" si="58"/>
        <v>0</v>
      </c>
    </row>
    <row r="3508" spans="39:45">
      <c r="AM3508" s="54">
        <v>2019</v>
      </c>
      <c r="AN3508" s="54" t="s">
        <v>96</v>
      </c>
      <c r="AO3508" s="54">
        <v>27</v>
      </c>
      <c r="AP3508" s="54">
        <v>2</v>
      </c>
      <c r="AQ3508" s="54">
        <v>0</v>
      </c>
      <c r="AR3508" s="55">
        <v>28500</v>
      </c>
      <c r="AS3508" s="78">
        <f t="shared" si="58"/>
        <v>0</v>
      </c>
    </row>
    <row r="3509" spans="39:45">
      <c r="AM3509" s="55">
        <v>2019</v>
      </c>
      <c r="AN3509" s="55" t="s">
        <v>96</v>
      </c>
      <c r="AO3509" s="55">
        <v>27</v>
      </c>
      <c r="AP3509" s="55">
        <v>3</v>
      </c>
      <c r="AQ3509" s="55">
        <v>0</v>
      </c>
      <c r="AR3509" s="55">
        <v>28500</v>
      </c>
      <c r="AS3509" s="78">
        <f t="shared" si="58"/>
        <v>0</v>
      </c>
    </row>
    <row r="3510" spans="39:45">
      <c r="AM3510" s="54">
        <v>2019</v>
      </c>
      <c r="AN3510" s="54" t="s">
        <v>96</v>
      </c>
      <c r="AO3510" s="54">
        <v>27</v>
      </c>
      <c r="AP3510" s="54">
        <v>4</v>
      </c>
      <c r="AQ3510" s="54">
        <v>0</v>
      </c>
      <c r="AR3510" s="55">
        <v>28500</v>
      </c>
      <c r="AS3510" s="78">
        <f t="shared" si="58"/>
        <v>0</v>
      </c>
    </row>
    <row r="3511" spans="39:45">
      <c r="AM3511" s="55">
        <v>2019</v>
      </c>
      <c r="AN3511" s="55" t="s">
        <v>96</v>
      </c>
      <c r="AO3511" s="55">
        <v>27</v>
      </c>
      <c r="AP3511" s="55">
        <v>5</v>
      </c>
      <c r="AQ3511" s="55">
        <v>1358</v>
      </c>
      <c r="AR3511" s="55">
        <v>28500</v>
      </c>
      <c r="AS3511" s="78">
        <f t="shared" si="58"/>
        <v>4.7649122807017545E-2</v>
      </c>
    </row>
    <row r="3512" spans="39:45">
      <c r="AM3512" s="54">
        <v>2019</v>
      </c>
      <c r="AN3512" s="54" t="s">
        <v>96</v>
      </c>
      <c r="AO3512" s="54">
        <v>27</v>
      </c>
      <c r="AP3512" s="54">
        <v>6</v>
      </c>
      <c r="AQ3512" s="54">
        <v>4486</v>
      </c>
      <c r="AR3512" s="55">
        <v>28500</v>
      </c>
      <c r="AS3512" s="78">
        <f t="shared" si="58"/>
        <v>0.15740350877192982</v>
      </c>
    </row>
    <row r="3513" spans="39:45">
      <c r="AM3513" s="55">
        <v>2019</v>
      </c>
      <c r="AN3513" s="55" t="s">
        <v>96</v>
      </c>
      <c r="AO3513" s="55">
        <v>27</v>
      </c>
      <c r="AP3513" s="55">
        <v>7</v>
      </c>
      <c r="AQ3513" s="55">
        <v>11614</v>
      </c>
      <c r="AR3513" s="55">
        <v>28500</v>
      </c>
      <c r="AS3513" s="78">
        <f t="shared" si="58"/>
        <v>0.40750877192982454</v>
      </c>
    </row>
    <row r="3514" spans="39:45">
      <c r="AM3514" s="54">
        <v>2019</v>
      </c>
      <c r="AN3514" s="54" t="s">
        <v>96</v>
      </c>
      <c r="AO3514" s="54">
        <v>27</v>
      </c>
      <c r="AP3514" s="54">
        <v>8</v>
      </c>
      <c r="AQ3514" s="54">
        <v>3753</v>
      </c>
      <c r="AR3514" s="55">
        <v>28500</v>
      </c>
      <c r="AS3514" s="78">
        <f t="shared" si="58"/>
        <v>0.13168421052631579</v>
      </c>
    </row>
    <row r="3515" spans="39:45">
      <c r="AM3515" s="55">
        <v>2019</v>
      </c>
      <c r="AN3515" s="55" t="s">
        <v>96</v>
      </c>
      <c r="AO3515" s="55">
        <v>27</v>
      </c>
      <c r="AP3515" s="55">
        <v>9</v>
      </c>
      <c r="AQ3515" s="55">
        <v>27339</v>
      </c>
      <c r="AR3515" s="55">
        <v>28500</v>
      </c>
      <c r="AS3515" s="78">
        <f t="shared" si="58"/>
        <v>0.95926315789473682</v>
      </c>
    </row>
    <row r="3516" spans="39:45">
      <c r="AM3516" s="54">
        <v>2019</v>
      </c>
      <c r="AN3516" s="54" t="s">
        <v>96</v>
      </c>
      <c r="AO3516" s="54">
        <v>27</v>
      </c>
      <c r="AP3516" s="54">
        <v>10</v>
      </c>
      <c r="AQ3516" s="54">
        <v>32603</v>
      </c>
      <c r="AR3516" s="55">
        <v>28500</v>
      </c>
      <c r="AS3516" s="78">
        <f t="shared" si="58"/>
        <v>1.1439649122807019</v>
      </c>
    </row>
    <row r="3517" spans="39:45">
      <c r="AM3517" s="55">
        <v>2019</v>
      </c>
      <c r="AN3517" s="55" t="s">
        <v>96</v>
      </c>
      <c r="AO3517" s="55">
        <v>27</v>
      </c>
      <c r="AP3517" s="55">
        <v>11</v>
      </c>
      <c r="AQ3517" s="55">
        <v>20409</v>
      </c>
      <c r="AR3517" s="55">
        <v>28500</v>
      </c>
      <c r="AS3517" s="78">
        <f t="shared" si="58"/>
        <v>0.71610526315789469</v>
      </c>
    </row>
    <row r="3518" spans="39:45">
      <c r="AM3518" s="54">
        <v>2019</v>
      </c>
      <c r="AN3518" s="54" t="s">
        <v>96</v>
      </c>
      <c r="AO3518" s="54">
        <v>27</v>
      </c>
      <c r="AP3518" s="54">
        <v>12</v>
      </c>
      <c r="AQ3518" s="54">
        <v>32133</v>
      </c>
      <c r="AR3518" s="55">
        <v>28500</v>
      </c>
      <c r="AS3518" s="78">
        <f t="shared" si="58"/>
        <v>1.1274736842105264</v>
      </c>
    </row>
    <row r="3519" spans="39:45">
      <c r="AM3519" s="55">
        <v>2019</v>
      </c>
      <c r="AN3519" s="55" t="s">
        <v>96</v>
      </c>
      <c r="AO3519" s="55">
        <v>27</v>
      </c>
      <c r="AP3519" s="55">
        <v>13</v>
      </c>
      <c r="AQ3519" s="55">
        <v>3385</v>
      </c>
      <c r="AR3519" s="55">
        <v>28500</v>
      </c>
      <c r="AS3519" s="78">
        <f t="shared" si="58"/>
        <v>0.1187719298245614</v>
      </c>
    </row>
    <row r="3520" spans="39:45">
      <c r="AM3520" s="54">
        <v>2019</v>
      </c>
      <c r="AN3520" s="54" t="s">
        <v>96</v>
      </c>
      <c r="AO3520" s="54">
        <v>27</v>
      </c>
      <c r="AP3520" s="54">
        <v>14</v>
      </c>
      <c r="AQ3520" s="54">
        <v>7105.5</v>
      </c>
      <c r="AR3520" s="55">
        <v>28500</v>
      </c>
      <c r="AS3520" s="78">
        <f t="shared" si="58"/>
        <v>0.24931578947368421</v>
      </c>
    </row>
    <row r="3521" spans="39:45">
      <c r="AM3521" s="55">
        <v>2019</v>
      </c>
      <c r="AN3521" s="55" t="s">
        <v>96</v>
      </c>
      <c r="AO3521" s="55">
        <v>27</v>
      </c>
      <c r="AP3521" s="55">
        <v>15</v>
      </c>
      <c r="AQ3521" s="55">
        <v>16286</v>
      </c>
      <c r="AR3521" s="55">
        <v>28500</v>
      </c>
      <c r="AS3521" s="78">
        <f t="shared" si="58"/>
        <v>0.57143859649122808</v>
      </c>
    </row>
    <row r="3522" spans="39:45">
      <c r="AM3522" s="54">
        <v>2019</v>
      </c>
      <c r="AN3522" s="54" t="s">
        <v>96</v>
      </c>
      <c r="AO3522" s="54">
        <v>27</v>
      </c>
      <c r="AP3522" s="54">
        <v>16</v>
      </c>
      <c r="AQ3522" s="54">
        <v>9548.5</v>
      </c>
      <c r="AR3522" s="55">
        <v>28500</v>
      </c>
      <c r="AS3522" s="78">
        <f t="shared" ref="AS3522:AS3585" si="59">AQ3522/AR3522</f>
        <v>0.33503508771929824</v>
      </c>
    </row>
    <row r="3523" spans="39:45">
      <c r="AM3523" s="55">
        <v>2019</v>
      </c>
      <c r="AN3523" s="55" t="s">
        <v>96</v>
      </c>
      <c r="AO3523" s="55">
        <v>27</v>
      </c>
      <c r="AP3523" s="55">
        <v>17</v>
      </c>
      <c r="AQ3523" s="55">
        <v>679</v>
      </c>
      <c r="AR3523" s="55">
        <v>28500</v>
      </c>
      <c r="AS3523" s="78">
        <f t="shared" si="59"/>
        <v>2.3824561403508773E-2</v>
      </c>
    </row>
    <row r="3524" spans="39:45">
      <c r="AM3524" s="54">
        <v>2019</v>
      </c>
      <c r="AN3524" s="54" t="s">
        <v>96</v>
      </c>
      <c r="AO3524" s="54">
        <v>27</v>
      </c>
      <c r="AP3524" s="54">
        <v>18</v>
      </c>
      <c r="AQ3524" s="54">
        <v>1317.5</v>
      </c>
      <c r="AR3524" s="55">
        <v>28500</v>
      </c>
      <c r="AS3524" s="78">
        <f t="shared" si="59"/>
        <v>4.6228070175438597E-2</v>
      </c>
    </row>
    <row r="3525" spans="39:45">
      <c r="AM3525" s="55">
        <v>2019</v>
      </c>
      <c r="AN3525" s="55" t="s">
        <v>96</v>
      </c>
      <c r="AO3525" s="55">
        <v>27</v>
      </c>
      <c r="AP3525" s="55">
        <v>19</v>
      </c>
      <c r="AQ3525" s="55">
        <v>115.5</v>
      </c>
      <c r="AR3525" s="55">
        <v>28500</v>
      </c>
      <c r="AS3525" s="78">
        <f t="shared" si="59"/>
        <v>4.0526315789473685E-3</v>
      </c>
    </row>
    <row r="3526" spans="39:45">
      <c r="AM3526" s="54">
        <v>2019</v>
      </c>
      <c r="AN3526" s="54" t="s">
        <v>96</v>
      </c>
      <c r="AO3526" s="54">
        <v>27</v>
      </c>
      <c r="AP3526" s="54">
        <v>20</v>
      </c>
      <c r="AQ3526" s="54">
        <v>0</v>
      </c>
      <c r="AR3526" s="55">
        <v>28500</v>
      </c>
      <c r="AS3526" s="78">
        <f t="shared" si="59"/>
        <v>0</v>
      </c>
    </row>
    <row r="3527" spans="39:45">
      <c r="AM3527" s="55">
        <v>2019</v>
      </c>
      <c r="AN3527" s="55" t="s">
        <v>96</v>
      </c>
      <c r="AO3527" s="55">
        <v>27</v>
      </c>
      <c r="AP3527" s="55">
        <v>21</v>
      </c>
      <c r="AQ3527" s="55">
        <v>0</v>
      </c>
      <c r="AR3527" s="55">
        <v>28500</v>
      </c>
      <c r="AS3527" s="78">
        <f t="shared" si="59"/>
        <v>0</v>
      </c>
    </row>
    <row r="3528" spans="39:45">
      <c r="AM3528" s="54">
        <v>2019</v>
      </c>
      <c r="AN3528" s="54" t="s">
        <v>96</v>
      </c>
      <c r="AO3528" s="54">
        <v>27</v>
      </c>
      <c r="AP3528" s="54">
        <v>22</v>
      </c>
      <c r="AQ3528" s="54">
        <v>0</v>
      </c>
      <c r="AR3528" s="55">
        <v>28500</v>
      </c>
      <c r="AS3528" s="78">
        <f t="shared" si="59"/>
        <v>0</v>
      </c>
    </row>
    <row r="3529" spans="39:45">
      <c r="AM3529" s="55">
        <v>2019</v>
      </c>
      <c r="AN3529" s="55" t="s">
        <v>96</v>
      </c>
      <c r="AO3529" s="55">
        <v>27</v>
      </c>
      <c r="AP3529" s="55">
        <v>23</v>
      </c>
      <c r="AQ3529" s="55">
        <v>0</v>
      </c>
      <c r="AR3529" s="55">
        <v>28500</v>
      </c>
      <c r="AS3529" s="78">
        <f t="shared" si="59"/>
        <v>0</v>
      </c>
    </row>
    <row r="3530" spans="39:45">
      <c r="AM3530" s="54">
        <v>2019</v>
      </c>
      <c r="AN3530" s="54" t="s">
        <v>96</v>
      </c>
      <c r="AO3530" s="54">
        <v>28</v>
      </c>
      <c r="AP3530" s="54">
        <v>24</v>
      </c>
      <c r="AQ3530" s="54">
        <v>0</v>
      </c>
      <c r="AR3530" s="55">
        <v>28500</v>
      </c>
      <c r="AS3530" s="78">
        <f t="shared" si="59"/>
        <v>0</v>
      </c>
    </row>
    <row r="3531" spans="39:45">
      <c r="AM3531" s="55">
        <v>2019</v>
      </c>
      <c r="AN3531" s="55" t="s">
        <v>96</v>
      </c>
      <c r="AO3531" s="55">
        <v>28</v>
      </c>
      <c r="AP3531" s="55">
        <v>1</v>
      </c>
      <c r="AQ3531" s="55">
        <v>0</v>
      </c>
      <c r="AR3531" s="55">
        <v>28500</v>
      </c>
      <c r="AS3531" s="78">
        <f t="shared" si="59"/>
        <v>0</v>
      </c>
    </row>
    <row r="3532" spans="39:45">
      <c r="AM3532" s="54">
        <v>2019</v>
      </c>
      <c r="AN3532" s="54" t="s">
        <v>96</v>
      </c>
      <c r="AO3532" s="54">
        <v>28</v>
      </c>
      <c r="AP3532" s="54">
        <v>2</v>
      </c>
      <c r="AQ3532" s="54">
        <v>0</v>
      </c>
      <c r="AR3532" s="55">
        <v>28500</v>
      </c>
      <c r="AS3532" s="78">
        <f t="shared" si="59"/>
        <v>0</v>
      </c>
    </row>
    <row r="3533" spans="39:45">
      <c r="AM3533" s="55">
        <v>2019</v>
      </c>
      <c r="AN3533" s="55" t="s">
        <v>96</v>
      </c>
      <c r="AO3533" s="55">
        <v>28</v>
      </c>
      <c r="AP3533" s="55">
        <v>3</v>
      </c>
      <c r="AQ3533" s="55">
        <v>0</v>
      </c>
      <c r="AR3533" s="55">
        <v>28500</v>
      </c>
      <c r="AS3533" s="78">
        <f t="shared" si="59"/>
        <v>0</v>
      </c>
    </row>
    <row r="3534" spans="39:45">
      <c r="AM3534" s="54">
        <v>2019</v>
      </c>
      <c r="AN3534" s="54" t="s">
        <v>96</v>
      </c>
      <c r="AO3534" s="54">
        <v>28</v>
      </c>
      <c r="AP3534" s="54">
        <v>4</v>
      </c>
      <c r="AQ3534" s="54">
        <v>0</v>
      </c>
      <c r="AR3534" s="55">
        <v>28500</v>
      </c>
      <c r="AS3534" s="78">
        <f t="shared" si="59"/>
        <v>0</v>
      </c>
    </row>
    <row r="3535" spans="39:45">
      <c r="AM3535" s="55">
        <v>2019</v>
      </c>
      <c r="AN3535" s="55" t="s">
        <v>96</v>
      </c>
      <c r="AO3535" s="55">
        <v>28</v>
      </c>
      <c r="AP3535" s="55">
        <v>5</v>
      </c>
      <c r="AQ3535" s="55">
        <v>1701.5</v>
      </c>
      <c r="AR3535" s="55">
        <v>28500</v>
      </c>
      <c r="AS3535" s="78">
        <f t="shared" si="59"/>
        <v>5.9701754385964916E-2</v>
      </c>
    </row>
    <row r="3536" spans="39:45">
      <c r="AM3536" s="54">
        <v>2019</v>
      </c>
      <c r="AN3536" s="54" t="s">
        <v>96</v>
      </c>
      <c r="AO3536" s="54">
        <v>28</v>
      </c>
      <c r="AP3536" s="54">
        <v>6</v>
      </c>
      <c r="AQ3536" s="54">
        <v>4990.5</v>
      </c>
      <c r="AR3536" s="55">
        <v>28500</v>
      </c>
      <c r="AS3536" s="78">
        <f t="shared" si="59"/>
        <v>0.17510526315789474</v>
      </c>
    </row>
    <row r="3537" spans="39:45">
      <c r="AM3537" s="55">
        <v>2019</v>
      </c>
      <c r="AN3537" s="55" t="s">
        <v>96</v>
      </c>
      <c r="AO3537" s="55">
        <v>28</v>
      </c>
      <c r="AP3537" s="55">
        <v>7</v>
      </c>
      <c r="AQ3537" s="55">
        <v>9778</v>
      </c>
      <c r="AR3537" s="55">
        <v>28500</v>
      </c>
      <c r="AS3537" s="78">
        <f t="shared" si="59"/>
        <v>0.34308771929824561</v>
      </c>
    </row>
    <row r="3538" spans="39:45">
      <c r="AM3538" s="54">
        <v>2019</v>
      </c>
      <c r="AN3538" s="54" t="s">
        <v>96</v>
      </c>
      <c r="AO3538" s="54">
        <v>28</v>
      </c>
      <c r="AP3538" s="54">
        <v>8</v>
      </c>
      <c r="AQ3538" s="54">
        <v>16217.5</v>
      </c>
      <c r="AR3538" s="55">
        <v>28500</v>
      </c>
      <c r="AS3538" s="78">
        <f t="shared" si="59"/>
        <v>0.56903508771929823</v>
      </c>
    </row>
    <row r="3539" spans="39:45">
      <c r="AM3539" s="55">
        <v>2019</v>
      </c>
      <c r="AN3539" s="55" t="s">
        <v>96</v>
      </c>
      <c r="AO3539" s="55">
        <v>28</v>
      </c>
      <c r="AP3539" s="55">
        <v>9</v>
      </c>
      <c r="AQ3539" s="55">
        <v>15706</v>
      </c>
      <c r="AR3539" s="55">
        <v>28500</v>
      </c>
      <c r="AS3539" s="78">
        <f t="shared" si="59"/>
        <v>0.55108771929824563</v>
      </c>
    </row>
    <row r="3540" spans="39:45">
      <c r="AM3540" s="54">
        <v>2019</v>
      </c>
      <c r="AN3540" s="54" t="s">
        <v>96</v>
      </c>
      <c r="AO3540" s="54">
        <v>28</v>
      </c>
      <c r="AP3540" s="54">
        <v>10</v>
      </c>
      <c r="AQ3540" s="54">
        <v>2820.5</v>
      </c>
      <c r="AR3540" s="55">
        <v>28500</v>
      </c>
      <c r="AS3540" s="78">
        <f t="shared" si="59"/>
        <v>9.8964912280701756E-2</v>
      </c>
    </row>
    <row r="3541" spans="39:45">
      <c r="AM3541" s="55">
        <v>2019</v>
      </c>
      <c r="AN3541" s="55" t="s">
        <v>96</v>
      </c>
      <c r="AO3541" s="55">
        <v>28</v>
      </c>
      <c r="AP3541" s="55">
        <v>11</v>
      </c>
      <c r="AQ3541" s="55">
        <v>3987.5</v>
      </c>
      <c r="AR3541" s="55">
        <v>28500</v>
      </c>
      <c r="AS3541" s="78">
        <f t="shared" si="59"/>
        <v>0.13991228070175438</v>
      </c>
    </row>
    <row r="3542" spans="39:45">
      <c r="AM3542" s="54">
        <v>2019</v>
      </c>
      <c r="AN3542" s="54" t="s">
        <v>96</v>
      </c>
      <c r="AO3542" s="54">
        <v>28</v>
      </c>
      <c r="AP3542" s="54">
        <v>12</v>
      </c>
      <c r="AQ3542" s="54">
        <v>28218.5</v>
      </c>
      <c r="AR3542" s="55">
        <v>28500</v>
      </c>
      <c r="AS3542" s="78">
        <f t="shared" si="59"/>
        <v>0.99012280701754385</v>
      </c>
    </row>
    <row r="3543" spans="39:45">
      <c r="AM3543" s="55">
        <v>2019</v>
      </c>
      <c r="AN3543" s="55" t="s">
        <v>96</v>
      </c>
      <c r="AO3543" s="55">
        <v>28</v>
      </c>
      <c r="AP3543" s="55">
        <v>13</v>
      </c>
      <c r="AQ3543" s="55">
        <v>18560.5</v>
      </c>
      <c r="AR3543" s="55">
        <v>28500</v>
      </c>
      <c r="AS3543" s="78">
        <f t="shared" si="59"/>
        <v>0.65124561403508774</v>
      </c>
    </row>
    <row r="3544" spans="39:45">
      <c r="AM3544" s="54">
        <v>2019</v>
      </c>
      <c r="AN3544" s="54" t="s">
        <v>96</v>
      </c>
      <c r="AO3544" s="54">
        <v>28</v>
      </c>
      <c r="AP3544" s="54">
        <v>14</v>
      </c>
      <c r="AQ3544" s="54">
        <v>6483.5</v>
      </c>
      <c r="AR3544" s="55">
        <v>28500</v>
      </c>
      <c r="AS3544" s="78">
        <f t="shared" si="59"/>
        <v>0.22749122807017544</v>
      </c>
    </row>
    <row r="3545" spans="39:45">
      <c r="AM3545" s="55">
        <v>2019</v>
      </c>
      <c r="AN3545" s="55" t="s">
        <v>96</v>
      </c>
      <c r="AO3545" s="55">
        <v>28</v>
      </c>
      <c r="AP3545" s="55">
        <v>15</v>
      </c>
      <c r="AQ3545" s="55">
        <v>4268.5</v>
      </c>
      <c r="AR3545" s="55">
        <v>28500</v>
      </c>
      <c r="AS3545" s="78">
        <f t="shared" si="59"/>
        <v>0.14977192982456142</v>
      </c>
    </row>
    <row r="3546" spans="39:45">
      <c r="AM3546" s="54">
        <v>2019</v>
      </c>
      <c r="AN3546" s="54" t="s">
        <v>96</v>
      </c>
      <c r="AO3546" s="54">
        <v>28</v>
      </c>
      <c r="AP3546" s="54">
        <v>16</v>
      </c>
      <c r="AQ3546" s="54">
        <v>9074.5</v>
      </c>
      <c r="AR3546" s="55">
        <v>28500</v>
      </c>
      <c r="AS3546" s="78">
        <f t="shared" si="59"/>
        <v>0.3184035087719298</v>
      </c>
    </row>
    <row r="3547" spans="39:45">
      <c r="AM3547" s="55">
        <v>2019</v>
      </c>
      <c r="AN3547" s="55" t="s">
        <v>96</v>
      </c>
      <c r="AO3547" s="55">
        <v>28</v>
      </c>
      <c r="AP3547" s="55">
        <v>17</v>
      </c>
      <c r="AQ3547" s="55">
        <v>5663.5</v>
      </c>
      <c r="AR3547" s="55">
        <v>28500</v>
      </c>
      <c r="AS3547" s="78">
        <f t="shared" si="59"/>
        <v>0.19871929824561405</v>
      </c>
    </row>
    <row r="3548" spans="39:45">
      <c r="AM3548" s="54">
        <v>2019</v>
      </c>
      <c r="AN3548" s="54" t="s">
        <v>96</v>
      </c>
      <c r="AO3548" s="54">
        <v>28</v>
      </c>
      <c r="AP3548" s="54">
        <v>18</v>
      </c>
      <c r="AQ3548" s="54">
        <v>3000</v>
      </c>
      <c r="AR3548" s="55">
        <v>28500</v>
      </c>
      <c r="AS3548" s="78">
        <f t="shared" si="59"/>
        <v>0.10526315789473684</v>
      </c>
    </row>
    <row r="3549" spans="39:45">
      <c r="AM3549" s="55">
        <v>2019</v>
      </c>
      <c r="AN3549" s="55" t="s">
        <v>96</v>
      </c>
      <c r="AO3549" s="55">
        <v>28</v>
      </c>
      <c r="AP3549" s="55">
        <v>19</v>
      </c>
      <c r="AQ3549" s="55">
        <v>706</v>
      </c>
      <c r="AR3549" s="55">
        <v>28500</v>
      </c>
      <c r="AS3549" s="78">
        <f t="shared" si="59"/>
        <v>2.4771929824561403E-2</v>
      </c>
    </row>
    <row r="3550" spans="39:45">
      <c r="AM3550" s="54">
        <v>2019</v>
      </c>
      <c r="AN3550" s="54" t="s">
        <v>96</v>
      </c>
      <c r="AO3550" s="54">
        <v>28</v>
      </c>
      <c r="AP3550" s="54">
        <v>20</v>
      </c>
      <c r="AQ3550" s="54">
        <v>0</v>
      </c>
      <c r="AR3550" s="55">
        <v>28500</v>
      </c>
      <c r="AS3550" s="78">
        <f t="shared" si="59"/>
        <v>0</v>
      </c>
    </row>
    <row r="3551" spans="39:45">
      <c r="AM3551" s="55">
        <v>2019</v>
      </c>
      <c r="AN3551" s="55" t="s">
        <v>96</v>
      </c>
      <c r="AO3551" s="55">
        <v>28</v>
      </c>
      <c r="AP3551" s="55">
        <v>21</v>
      </c>
      <c r="AQ3551" s="55">
        <v>0</v>
      </c>
      <c r="AR3551" s="55">
        <v>28500</v>
      </c>
      <c r="AS3551" s="78">
        <f t="shared" si="59"/>
        <v>0</v>
      </c>
    </row>
    <row r="3552" spans="39:45">
      <c r="AM3552" s="54">
        <v>2019</v>
      </c>
      <c r="AN3552" s="54" t="s">
        <v>96</v>
      </c>
      <c r="AO3552" s="54">
        <v>28</v>
      </c>
      <c r="AP3552" s="54">
        <v>22</v>
      </c>
      <c r="AQ3552" s="54">
        <v>0</v>
      </c>
      <c r="AR3552" s="55">
        <v>28500</v>
      </c>
      <c r="AS3552" s="78">
        <f t="shared" si="59"/>
        <v>0</v>
      </c>
    </row>
    <row r="3553" spans="39:45">
      <c r="AM3553" s="55">
        <v>2019</v>
      </c>
      <c r="AN3553" s="55" t="s">
        <v>96</v>
      </c>
      <c r="AO3553" s="55">
        <v>28</v>
      </c>
      <c r="AP3553" s="55">
        <v>23</v>
      </c>
      <c r="AQ3553" s="55">
        <v>0</v>
      </c>
      <c r="AR3553" s="55">
        <v>28500</v>
      </c>
      <c r="AS3553" s="78">
        <f t="shared" si="59"/>
        <v>0</v>
      </c>
    </row>
    <row r="3554" spans="39:45">
      <c r="AM3554" s="54">
        <v>2019</v>
      </c>
      <c r="AN3554" s="54" t="s">
        <v>96</v>
      </c>
      <c r="AO3554" s="54">
        <v>29</v>
      </c>
      <c r="AP3554" s="54">
        <v>24</v>
      </c>
      <c r="AQ3554" s="54">
        <v>0</v>
      </c>
      <c r="AR3554" s="55">
        <v>28500</v>
      </c>
      <c r="AS3554" s="78">
        <f t="shared" si="59"/>
        <v>0</v>
      </c>
    </row>
    <row r="3555" spans="39:45">
      <c r="AM3555" s="55">
        <v>2019</v>
      </c>
      <c r="AN3555" s="55" t="s">
        <v>96</v>
      </c>
      <c r="AO3555" s="55">
        <v>29</v>
      </c>
      <c r="AP3555" s="55">
        <v>1</v>
      </c>
      <c r="AQ3555" s="55">
        <v>0</v>
      </c>
      <c r="AR3555" s="55">
        <v>28500</v>
      </c>
      <c r="AS3555" s="78">
        <f t="shared" si="59"/>
        <v>0</v>
      </c>
    </row>
    <row r="3556" spans="39:45">
      <c r="AM3556" s="54">
        <v>2019</v>
      </c>
      <c r="AN3556" s="54" t="s">
        <v>96</v>
      </c>
      <c r="AO3556" s="54">
        <v>29</v>
      </c>
      <c r="AP3556" s="54">
        <v>2</v>
      </c>
      <c r="AQ3556" s="54">
        <v>0</v>
      </c>
      <c r="AR3556" s="55">
        <v>28500</v>
      </c>
      <c r="AS3556" s="78">
        <f t="shared" si="59"/>
        <v>0</v>
      </c>
    </row>
    <row r="3557" spans="39:45">
      <c r="AM3557" s="55">
        <v>2019</v>
      </c>
      <c r="AN3557" s="55" t="s">
        <v>96</v>
      </c>
      <c r="AO3557" s="55">
        <v>29</v>
      </c>
      <c r="AP3557" s="55">
        <v>3</v>
      </c>
      <c r="AQ3557" s="55">
        <v>0</v>
      </c>
      <c r="AR3557" s="55">
        <v>28500</v>
      </c>
      <c r="AS3557" s="78">
        <f t="shared" si="59"/>
        <v>0</v>
      </c>
    </row>
    <row r="3558" spans="39:45">
      <c r="AM3558" s="54">
        <v>2019</v>
      </c>
      <c r="AN3558" s="54" t="s">
        <v>96</v>
      </c>
      <c r="AO3558" s="54">
        <v>29</v>
      </c>
      <c r="AP3558" s="54">
        <v>4</v>
      </c>
      <c r="AQ3558" s="54">
        <v>0</v>
      </c>
      <c r="AR3558" s="55">
        <v>28500</v>
      </c>
      <c r="AS3558" s="78">
        <f t="shared" si="59"/>
        <v>0</v>
      </c>
    </row>
    <row r="3559" spans="39:45">
      <c r="AM3559" s="55">
        <v>2019</v>
      </c>
      <c r="AN3559" s="55" t="s">
        <v>96</v>
      </c>
      <c r="AO3559" s="55">
        <v>29</v>
      </c>
      <c r="AP3559" s="55">
        <v>5</v>
      </c>
      <c r="AQ3559" s="55">
        <v>1494.5</v>
      </c>
      <c r="AR3559" s="55">
        <v>28500</v>
      </c>
      <c r="AS3559" s="78">
        <f t="shared" si="59"/>
        <v>5.2438596491228069E-2</v>
      </c>
    </row>
    <row r="3560" spans="39:45">
      <c r="AM3560" s="54">
        <v>2019</v>
      </c>
      <c r="AN3560" s="54" t="s">
        <v>96</v>
      </c>
      <c r="AO3560" s="54">
        <v>29</v>
      </c>
      <c r="AP3560" s="54">
        <v>6</v>
      </c>
      <c r="AQ3560" s="54">
        <v>4322.5</v>
      </c>
      <c r="AR3560" s="55">
        <v>28500</v>
      </c>
      <c r="AS3560" s="78">
        <f t="shared" si="59"/>
        <v>0.15166666666666667</v>
      </c>
    </row>
    <row r="3561" spans="39:45">
      <c r="AM3561" s="55">
        <v>2019</v>
      </c>
      <c r="AN3561" s="55" t="s">
        <v>96</v>
      </c>
      <c r="AO3561" s="55">
        <v>29</v>
      </c>
      <c r="AP3561" s="55">
        <v>7</v>
      </c>
      <c r="AQ3561" s="55">
        <v>7989.5</v>
      </c>
      <c r="AR3561" s="55">
        <v>28500</v>
      </c>
      <c r="AS3561" s="78">
        <f t="shared" si="59"/>
        <v>0.28033333333333332</v>
      </c>
    </row>
    <row r="3562" spans="39:45">
      <c r="AM3562" s="54">
        <v>2019</v>
      </c>
      <c r="AN3562" s="54" t="s">
        <v>96</v>
      </c>
      <c r="AO3562" s="54">
        <v>29</v>
      </c>
      <c r="AP3562" s="54">
        <v>8</v>
      </c>
      <c r="AQ3562" s="54">
        <v>12538</v>
      </c>
      <c r="AR3562" s="55">
        <v>28500</v>
      </c>
      <c r="AS3562" s="78">
        <f t="shared" si="59"/>
        <v>0.4399298245614035</v>
      </c>
    </row>
    <row r="3563" spans="39:45">
      <c r="AM3563" s="55">
        <v>2019</v>
      </c>
      <c r="AN3563" s="55" t="s">
        <v>96</v>
      </c>
      <c r="AO3563" s="55">
        <v>29</v>
      </c>
      <c r="AP3563" s="55">
        <v>9</v>
      </c>
      <c r="AQ3563" s="55">
        <v>22722</v>
      </c>
      <c r="AR3563" s="55">
        <v>28500</v>
      </c>
      <c r="AS3563" s="78">
        <f t="shared" si="59"/>
        <v>0.7972631578947369</v>
      </c>
    </row>
    <row r="3564" spans="39:45">
      <c r="AM3564" s="54">
        <v>2019</v>
      </c>
      <c r="AN3564" s="54" t="s">
        <v>96</v>
      </c>
      <c r="AO3564" s="54">
        <v>29</v>
      </c>
      <c r="AP3564" s="54">
        <v>10</v>
      </c>
      <c r="AQ3564" s="54">
        <v>12946.5</v>
      </c>
      <c r="AR3564" s="55">
        <v>28500</v>
      </c>
      <c r="AS3564" s="78">
        <f t="shared" si="59"/>
        <v>0.45426315789473687</v>
      </c>
    </row>
    <row r="3565" spans="39:45">
      <c r="AM3565" s="55">
        <v>2019</v>
      </c>
      <c r="AN3565" s="55" t="s">
        <v>96</v>
      </c>
      <c r="AO3565" s="55">
        <v>29</v>
      </c>
      <c r="AP3565" s="55">
        <v>11</v>
      </c>
      <c r="AQ3565" s="55">
        <v>21832.5</v>
      </c>
      <c r="AR3565" s="55">
        <v>28500</v>
      </c>
      <c r="AS3565" s="78">
        <f t="shared" si="59"/>
        <v>0.76605263157894732</v>
      </c>
    </row>
    <row r="3566" spans="39:45">
      <c r="AM3566" s="54">
        <v>2019</v>
      </c>
      <c r="AN3566" s="54" t="s">
        <v>96</v>
      </c>
      <c r="AO3566" s="54">
        <v>29</v>
      </c>
      <c r="AP3566" s="54">
        <v>12</v>
      </c>
      <c r="AQ3566" s="54">
        <v>19987</v>
      </c>
      <c r="AR3566" s="55">
        <v>28500</v>
      </c>
      <c r="AS3566" s="78">
        <f t="shared" si="59"/>
        <v>0.70129824561403509</v>
      </c>
    </row>
    <row r="3567" spans="39:45">
      <c r="AM3567" s="55">
        <v>2019</v>
      </c>
      <c r="AN3567" s="55" t="s">
        <v>96</v>
      </c>
      <c r="AO3567" s="55">
        <v>29</v>
      </c>
      <c r="AP3567" s="55">
        <v>13</v>
      </c>
      <c r="AQ3567" s="55">
        <v>8281</v>
      </c>
      <c r="AR3567" s="55">
        <v>28500</v>
      </c>
      <c r="AS3567" s="78">
        <f t="shared" si="59"/>
        <v>0.29056140350877191</v>
      </c>
    </row>
    <row r="3568" spans="39:45">
      <c r="AM3568" s="54">
        <v>2019</v>
      </c>
      <c r="AN3568" s="54" t="s">
        <v>96</v>
      </c>
      <c r="AO3568" s="54">
        <v>29</v>
      </c>
      <c r="AP3568" s="54">
        <v>14</v>
      </c>
      <c r="AQ3568" s="54">
        <v>7457.5</v>
      </c>
      <c r="AR3568" s="55">
        <v>28500</v>
      </c>
      <c r="AS3568" s="78">
        <f t="shared" si="59"/>
        <v>0.26166666666666666</v>
      </c>
    </row>
    <row r="3569" spans="39:45">
      <c r="AM3569" s="55">
        <v>2019</v>
      </c>
      <c r="AN3569" s="55" t="s">
        <v>96</v>
      </c>
      <c r="AO3569" s="55">
        <v>29</v>
      </c>
      <c r="AP3569" s="55">
        <v>15</v>
      </c>
      <c r="AQ3569" s="55">
        <v>3368</v>
      </c>
      <c r="AR3569" s="55">
        <v>28500</v>
      </c>
      <c r="AS3569" s="78">
        <f t="shared" si="59"/>
        <v>0.11817543859649123</v>
      </c>
    </row>
    <row r="3570" spans="39:45">
      <c r="AM3570" s="54">
        <v>2019</v>
      </c>
      <c r="AN3570" s="54" t="s">
        <v>96</v>
      </c>
      <c r="AO3570" s="54">
        <v>29</v>
      </c>
      <c r="AP3570" s="54">
        <v>16</v>
      </c>
      <c r="AQ3570" s="54">
        <v>2578.5</v>
      </c>
      <c r="AR3570" s="55">
        <v>28500</v>
      </c>
      <c r="AS3570" s="78">
        <f t="shared" si="59"/>
        <v>9.0473684210526317E-2</v>
      </c>
    </row>
    <row r="3571" spans="39:45">
      <c r="AM3571" s="55">
        <v>2019</v>
      </c>
      <c r="AN3571" s="55" t="s">
        <v>96</v>
      </c>
      <c r="AO3571" s="55">
        <v>29</v>
      </c>
      <c r="AP3571" s="55">
        <v>17</v>
      </c>
      <c r="AQ3571" s="55">
        <v>920</v>
      </c>
      <c r="AR3571" s="55">
        <v>28500</v>
      </c>
      <c r="AS3571" s="78">
        <f t="shared" si="59"/>
        <v>3.2280701754385965E-2</v>
      </c>
    </row>
    <row r="3572" spans="39:45">
      <c r="AM3572" s="54">
        <v>2019</v>
      </c>
      <c r="AN3572" s="54" t="s">
        <v>96</v>
      </c>
      <c r="AO3572" s="54">
        <v>29</v>
      </c>
      <c r="AP3572" s="54">
        <v>18</v>
      </c>
      <c r="AQ3572" s="54">
        <v>323.5</v>
      </c>
      <c r="AR3572" s="55">
        <v>28500</v>
      </c>
      <c r="AS3572" s="78">
        <f t="shared" si="59"/>
        <v>1.1350877192982457E-2</v>
      </c>
    </row>
    <row r="3573" spans="39:45">
      <c r="AM3573" s="55">
        <v>2019</v>
      </c>
      <c r="AN3573" s="55" t="s">
        <v>96</v>
      </c>
      <c r="AO3573" s="55">
        <v>29</v>
      </c>
      <c r="AP3573" s="55">
        <v>19</v>
      </c>
      <c r="AQ3573" s="55">
        <v>37</v>
      </c>
      <c r="AR3573" s="55">
        <v>28500</v>
      </c>
      <c r="AS3573" s="78">
        <f t="shared" si="59"/>
        <v>1.2982456140350877E-3</v>
      </c>
    </row>
    <row r="3574" spans="39:45">
      <c r="AM3574" s="54">
        <v>2019</v>
      </c>
      <c r="AN3574" s="54" t="s">
        <v>96</v>
      </c>
      <c r="AO3574" s="54">
        <v>29</v>
      </c>
      <c r="AP3574" s="54">
        <v>20</v>
      </c>
      <c r="AQ3574" s="54">
        <v>0</v>
      </c>
      <c r="AR3574" s="55">
        <v>28500</v>
      </c>
      <c r="AS3574" s="78">
        <f t="shared" si="59"/>
        <v>0</v>
      </c>
    </row>
    <row r="3575" spans="39:45">
      <c r="AM3575" s="55">
        <v>2019</v>
      </c>
      <c r="AN3575" s="55" t="s">
        <v>96</v>
      </c>
      <c r="AO3575" s="55">
        <v>29</v>
      </c>
      <c r="AP3575" s="55">
        <v>21</v>
      </c>
      <c r="AQ3575" s="55">
        <v>0</v>
      </c>
      <c r="AR3575" s="55">
        <v>28500</v>
      </c>
      <c r="AS3575" s="78">
        <f t="shared" si="59"/>
        <v>0</v>
      </c>
    </row>
    <row r="3576" spans="39:45">
      <c r="AM3576" s="54">
        <v>2019</v>
      </c>
      <c r="AN3576" s="54" t="s">
        <v>96</v>
      </c>
      <c r="AO3576" s="54">
        <v>29</v>
      </c>
      <c r="AP3576" s="54">
        <v>22</v>
      </c>
      <c r="AQ3576" s="54">
        <v>0</v>
      </c>
      <c r="AR3576" s="55">
        <v>28500</v>
      </c>
      <c r="AS3576" s="78">
        <f t="shared" si="59"/>
        <v>0</v>
      </c>
    </row>
    <row r="3577" spans="39:45">
      <c r="AM3577" s="55">
        <v>2019</v>
      </c>
      <c r="AN3577" s="55" t="s">
        <v>96</v>
      </c>
      <c r="AO3577" s="55">
        <v>29</v>
      </c>
      <c r="AP3577" s="55">
        <v>23</v>
      </c>
      <c r="AQ3577" s="55">
        <v>0</v>
      </c>
      <c r="AR3577" s="55">
        <v>28500</v>
      </c>
      <c r="AS3577" s="78">
        <f t="shared" si="59"/>
        <v>0</v>
      </c>
    </row>
    <row r="3578" spans="39:45">
      <c r="AM3578" s="54">
        <v>2019</v>
      </c>
      <c r="AN3578" s="54" t="s">
        <v>96</v>
      </c>
      <c r="AO3578" s="54">
        <v>30</v>
      </c>
      <c r="AP3578" s="54">
        <v>24</v>
      </c>
      <c r="AQ3578" s="54">
        <v>0</v>
      </c>
      <c r="AR3578" s="55">
        <v>28500</v>
      </c>
      <c r="AS3578" s="78">
        <f t="shared" si="59"/>
        <v>0</v>
      </c>
    </row>
    <row r="3579" spans="39:45">
      <c r="AM3579" s="55">
        <v>2019</v>
      </c>
      <c r="AN3579" s="55" t="s">
        <v>96</v>
      </c>
      <c r="AO3579" s="55">
        <v>30</v>
      </c>
      <c r="AP3579" s="55">
        <v>1</v>
      </c>
      <c r="AQ3579" s="55">
        <v>0</v>
      </c>
      <c r="AR3579" s="55">
        <v>28500</v>
      </c>
      <c r="AS3579" s="78">
        <f t="shared" si="59"/>
        <v>0</v>
      </c>
    </row>
    <row r="3580" spans="39:45">
      <c r="AM3580" s="54">
        <v>2019</v>
      </c>
      <c r="AN3580" s="54" t="s">
        <v>96</v>
      </c>
      <c r="AO3580" s="54">
        <v>30</v>
      </c>
      <c r="AP3580" s="54">
        <v>2</v>
      </c>
      <c r="AQ3580" s="54">
        <v>0</v>
      </c>
      <c r="AR3580" s="55">
        <v>28500</v>
      </c>
      <c r="AS3580" s="78">
        <f t="shared" si="59"/>
        <v>0</v>
      </c>
    </row>
    <row r="3581" spans="39:45">
      <c r="AM3581" s="55">
        <v>2019</v>
      </c>
      <c r="AN3581" s="55" t="s">
        <v>96</v>
      </c>
      <c r="AO3581" s="55">
        <v>30</v>
      </c>
      <c r="AP3581" s="55">
        <v>3</v>
      </c>
      <c r="AQ3581" s="55">
        <v>0</v>
      </c>
      <c r="AR3581" s="55">
        <v>28500</v>
      </c>
      <c r="AS3581" s="78">
        <f t="shared" si="59"/>
        <v>0</v>
      </c>
    </row>
    <row r="3582" spans="39:45">
      <c r="AM3582" s="54">
        <v>2019</v>
      </c>
      <c r="AN3582" s="54" t="s">
        <v>96</v>
      </c>
      <c r="AO3582" s="54">
        <v>30</v>
      </c>
      <c r="AP3582" s="54">
        <v>4</v>
      </c>
      <c r="AQ3582" s="54">
        <v>0</v>
      </c>
      <c r="AR3582" s="55">
        <v>28500</v>
      </c>
      <c r="AS3582" s="78">
        <f t="shared" si="59"/>
        <v>0</v>
      </c>
    </row>
    <row r="3583" spans="39:45">
      <c r="AM3583" s="55">
        <v>2019</v>
      </c>
      <c r="AN3583" s="55" t="s">
        <v>96</v>
      </c>
      <c r="AO3583" s="55">
        <v>30</v>
      </c>
      <c r="AP3583" s="55">
        <v>5</v>
      </c>
      <c r="AQ3583" s="55">
        <v>1268</v>
      </c>
      <c r="AR3583" s="55">
        <v>28500</v>
      </c>
      <c r="AS3583" s="78">
        <f t="shared" si="59"/>
        <v>4.4491228070175436E-2</v>
      </c>
    </row>
    <row r="3584" spans="39:45">
      <c r="AM3584" s="54">
        <v>2019</v>
      </c>
      <c r="AN3584" s="54" t="s">
        <v>96</v>
      </c>
      <c r="AO3584" s="54">
        <v>30</v>
      </c>
      <c r="AP3584" s="54">
        <v>6</v>
      </c>
      <c r="AQ3584" s="54">
        <v>5017.5</v>
      </c>
      <c r="AR3584" s="55">
        <v>28500</v>
      </c>
      <c r="AS3584" s="78">
        <f t="shared" si="59"/>
        <v>0.17605263157894738</v>
      </c>
    </row>
    <row r="3585" spans="39:45">
      <c r="AM3585" s="55">
        <v>2019</v>
      </c>
      <c r="AN3585" s="55" t="s">
        <v>96</v>
      </c>
      <c r="AO3585" s="55">
        <v>30</v>
      </c>
      <c r="AP3585" s="55">
        <v>7</v>
      </c>
      <c r="AQ3585" s="55">
        <v>13312</v>
      </c>
      <c r="AR3585" s="55">
        <v>28500</v>
      </c>
      <c r="AS3585" s="78">
        <f t="shared" si="59"/>
        <v>0.46708771929824561</v>
      </c>
    </row>
    <row r="3586" spans="39:45">
      <c r="AM3586" s="54">
        <v>2019</v>
      </c>
      <c r="AN3586" s="54" t="s">
        <v>96</v>
      </c>
      <c r="AO3586" s="54">
        <v>30</v>
      </c>
      <c r="AP3586" s="54">
        <v>8</v>
      </c>
      <c r="AQ3586" s="54">
        <v>23186</v>
      </c>
      <c r="AR3586" s="55">
        <v>28500</v>
      </c>
      <c r="AS3586" s="78">
        <f t="shared" ref="AS3586:AS3649" si="60">AQ3586/AR3586</f>
        <v>0.81354385964912279</v>
      </c>
    </row>
    <row r="3587" spans="39:45">
      <c r="AM3587" s="55">
        <v>2019</v>
      </c>
      <c r="AN3587" s="55" t="s">
        <v>96</v>
      </c>
      <c r="AO3587" s="55">
        <v>30</v>
      </c>
      <c r="AP3587" s="55">
        <v>9</v>
      </c>
      <c r="AQ3587" s="55">
        <v>15450.5</v>
      </c>
      <c r="AR3587" s="55">
        <v>28500</v>
      </c>
      <c r="AS3587" s="78">
        <f t="shared" si="60"/>
        <v>0.5421228070175439</v>
      </c>
    </row>
    <row r="3588" spans="39:45">
      <c r="AM3588" s="54">
        <v>2019</v>
      </c>
      <c r="AN3588" s="54" t="s">
        <v>96</v>
      </c>
      <c r="AO3588" s="54">
        <v>30</v>
      </c>
      <c r="AP3588" s="54">
        <v>10</v>
      </c>
      <c r="AQ3588" s="54">
        <v>30848</v>
      </c>
      <c r="AR3588" s="55">
        <v>28500</v>
      </c>
      <c r="AS3588" s="78">
        <f t="shared" si="60"/>
        <v>1.0823859649122807</v>
      </c>
    </row>
    <row r="3589" spans="39:45">
      <c r="AM3589" s="55">
        <v>2019</v>
      </c>
      <c r="AN3589" s="55" t="s">
        <v>96</v>
      </c>
      <c r="AO3589" s="55">
        <v>30</v>
      </c>
      <c r="AP3589" s="55">
        <v>11</v>
      </c>
      <c r="AQ3589" s="55">
        <v>16206.5</v>
      </c>
      <c r="AR3589" s="55">
        <v>28500</v>
      </c>
      <c r="AS3589" s="78">
        <f t="shared" si="60"/>
        <v>0.56864912280701752</v>
      </c>
    </row>
    <row r="3590" spans="39:45">
      <c r="AM3590" s="54">
        <v>2019</v>
      </c>
      <c r="AN3590" s="54" t="s">
        <v>96</v>
      </c>
      <c r="AO3590" s="54">
        <v>30</v>
      </c>
      <c r="AP3590" s="54">
        <v>12</v>
      </c>
      <c r="AQ3590" s="54">
        <v>6939.5</v>
      </c>
      <c r="AR3590" s="55">
        <v>28500</v>
      </c>
      <c r="AS3590" s="78">
        <f t="shared" si="60"/>
        <v>0.24349122807017543</v>
      </c>
    </row>
    <row r="3591" spans="39:45">
      <c r="AM3591" s="55">
        <v>2019</v>
      </c>
      <c r="AN3591" s="55" t="s">
        <v>96</v>
      </c>
      <c r="AO3591" s="55">
        <v>30</v>
      </c>
      <c r="AP3591" s="55">
        <v>13</v>
      </c>
      <c r="AQ3591" s="55">
        <v>18995.5</v>
      </c>
      <c r="AR3591" s="55">
        <v>28500</v>
      </c>
      <c r="AS3591" s="78">
        <f t="shared" si="60"/>
        <v>0.66650877192982461</v>
      </c>
    </row>
    <row r="3592" spans="39:45">
      <c r="AM3592" s="54">
        <v>2019</v>
      </c>
      <c r="AN3592" s="54" t="s">
        <v>96</v>
      </c>
      <c r="AO3592" s="54">
        <v>30</v>
      </c>
      <c r="AP3592" s="54">
        <v>14</v>
      </c>
      <c r="AQ3592" s="54">
        <v>4974</v>
      </c>
      <c r="AR3592" s="55">
        <v>28500</v>
      </c>
      <c r="AS3592" s="78">
        <f t="shared" si="60"/>
        <v>0.1745263157894737</v>
      </c>
    </row>
    <row r="3593" spans="39:45">
      <c r="AM3593" s="55">
        <v>2019</v>
      </c>
      <c r="AN3593" s="55" t="s">
        <v>96</v>
      </c>
      <c r="AO3593" s="55">
        <v>30</v>
      </c>
      <c r="AP3593" s="55">
        <v>15</v>
      </c>
      <c r="AQ3593" s="55">
        <v>8015</v>
      </c>
      <c r="AR3593" s="55">
        <v>28500</v>
      </c>
      <c r="AS3593" s="78">
        <f t="shared" si="60"/>
        <v>0.2812280701754386</v>
      </c>
    </row>
    <row r="3594" spans="39:45">
      <c r="AM3594" s="54">
        <v>2019</v>
      </c>
      <c r="AN3594" s="54" t="s">
        <v>96</v>
      </c>
      <c r="AO3594" s="54">
        <v>30</v>
      </c>
      <c r="AP3594" s="54">
        <v>16</v>
      </c>
      <c r="AQ3594" s="54">
        <v>8968</v>
      </c>
      <c r="AR3594" s="55">
        <v>28500</v>
      </c>
      <c r="AS3594" s="78">
        <f t="shared" si="60"/>
        <v>0.31466666666666665</v>
      </c>
    </row>
    <row r="3595" spans="39:45">
      <c r="AM3595" s="55">
        <v>2019</v>
      </c>
      <c r="AN3595" s="55" t="s">
        <v>96</v>
      </c>
      <c r="AO3595" s="55">
        <v>30</v>
      </c>
      <c r="AP3595" s="55">
        <v>17</v>
      </c>
      <c r="AQ3595" s="55">
        <v>3020.5</v>
      </c>
      <c r="AR3595" s="55">
        <v>28500</v>
      </c>
      <c r="AS3595" s="78">
        <f t="shared" si="60"/>
        <v>0.10598245614035087</v>
      </c>
    </row>
    <row r="3596" spans="39:45">
      <c r="AM3596" s="54">
        <v>2019</v>
      </c>
      <c r="AN3596" s="54" t="s">
        <v>96</v>
      </c>
      <c r="AO3596" s="54">
        <v>30</v>
      </c>
      <c r="AP3596" s="54">
        <v>18</v>
      </c>
      <c r="AQ3596" s="54">
        <v>2360</v>
      </c>
      <c r="AR3596" s="55">
        <v>28500</v>
      </c>
      <c r="AS3596" s="78">
        <f t="shared" si="60"/>
        <v>8.2807017543859648E-2</v>
      </c>
    </row>
    <row r="3597" spans="39:45">
      <c r="AM3597" s="55">
        <v>2019</v>
      </c>
      <c r="AN3597" s="55" t="s">
        <v>96</v>
      </c>
      <c r="AO3597" s="55">
        <v>30</v>
      </c>
      <c r="AP3597" s="55">
        <v>19</v>
      </c>
      <c r="AQ3597" s="55">
        <v>430.5</v>
      </c>
      <c r="AR3597" s="55">
        <v>28500</v>
      </c>
      <c r="AS3597" s="78">
        <f t="shared" si="60"/>
        <v>1.5105263157894736E-2</v>
      </c>
    </row>
    <row r="3598" spans="39:45">
      <c r="AM3598" s="54">
        <v>2019</v>
      </c>
      <c r="AN3598" s="54" t="s">
        <v>96</v>
      </c>
      <c r="AO3598" s="54">
        <v>30</v>
      </c>
      <c r="AP3598" s="54">
        <v>20</v>
      </c>
      <c r="AQ3598" s="54">
        <v>0</v>
      </c>
      <c r="AR3598" s="55">
        <v>28500</v>
      </c>
      <c r="AS3598" s="78">
        <f t="shared" si="60"/>
        <v>0</v>
      </c>
    </row>
    <row r="3599" spans="39:45">
      <c r="AM3599" s="55">
        <v>2019</v>
      </c>
      <c r="AN3599" s="55" t="s">
        <v>96</v>
      </c>
      <c r="AO3599" s="55">
        <v>30</v>
      </c>
      <c r="AP3599" s="55">
        <v>21</v>
      </c>
      <c r="AQ3599" s="55">
        <v>0</v>
      </c>
      <c r="AR3599" s="55">
        <v>28500</v>
      </c>
      <c r="AS3599" s="78">
        <f t="shared" si="60"/>
        <v>0</v>
      </c>
    </row>
    <row r="3600" spans="39:45">
      <c r="AM3600" s="54">
        <v>2019</v>
      </c>
      <c r="AN3600" s="54" t="s">
        <v>96</v>
      </c>
      <c r="AO3600" s="54">
        <v>30</v>
      </c>
      <c r="AP3600" s="54">
        <v>22</v>
      </c>
      <c r="AQ3600" s="54">
        <v>0</v>
      </c>
      <c r="AR3600" s="55">
        <v>28500</v>
      </c>
      <c r="AS3600" s="78">
        <f t="shared" si="60"/>
        <v>0</v>
      </c>
    </row>
    <row r="3601" spans="39:45">
      <c r="AM3601" s="55">
        <v>2019</v>
      </c>
      <c r="AN3601" s="55" t="s">
        <v>96</v>
      </c>
      <c r="AO3601" s="55">
        <v>30</v>
      </c>
      <c r="AP3601" s="55">
        <v>23</v>
      </c>
      <c r="AQ3601" s="55">
        <v>0</v>
      </c>
      <c r="AR3601" s="55">
        <v>28500</v>
      </c>
      <c r="AS3601" s="78">
        <f t="shared" si="60"/>
        <v>0</v>
      </c>
    </row>
    <row r="3602" spans="39:45">
      <c r="AM3602" s="54">
        <v>2019</v>
      </c>
      <c r="AN3602" s="54" t="s">
        <v>96</v>
      </c>
      <c r="AO3602" s="54">
        <v>31</v>
      </c>
      <c r="AP3602" s="54">
        <v>24</v>
      </c>
      <c r="AQ3602" s="54">
        <v>0</v>
      </c>
      <c r="AR3602" s="55">
        <v>28500</v>
      </c>
      <c r="AS3602" s="78">
        <f t="shared" si="60"/>
        <v>0</v>
      </c>
    </row>
    <row r="3603" spans="39:45">
      <c r="AM3603" s="55">
        <v>2019</v>
      </c>
      <c r="AN3603" s="55" t="s">
        <v>96</v>
      </c>
      <c r="AO3603" s="55">
        <v>31</v>
      </c>
      <c r="AP3603" s="55">
        <v>1</v>
      </c>
      <c r="AQ3603" s="55">
        <v>0</v>
      </c>
      <c r="AR3603" s="55">
        <v>28500</v>
      </c>
      <c r="AS3603" s="78">
        <f t="shared" si="60"/>
        <v>0</v>
      </c>
    </row>
    <row r="3604" spans="39:45">
      <c r="AM3604" s="54">
        <v>2019</v>
      </c>
      <c r="AN3604" s="54" t="s">
        <v>96</v>
      </c>
      <c r="AO3604" s="54">
        <v>31</v>
      </c>
      <c r="AP3604" s="54">
        <v>2</v>
      </c>
      <c r="AQ3604" s="54">
        <v>0</v>
      </c>
      <c r="AR3604" s="55">
        <v>28500</v>
      </c>
      <c r="AS3604" s="78">
        <f t="shared" si="60"/>
        <v>0</v>
      </c>
    </row>
    <row r="3605" spans="39:45">
      <c r="AM3605" s="55">
        <v>2019</v>
      </c>
      <c r="AN3605" s="55" t="s">
        <v>96</v>
      </c>
      <c r="AO3605" s="55">
        <v>31</v>
      </c>
      <c r="AP3605" s="55">
        <v>3</v>
      </c>
      <c r="AQ3605" s="55">
        <v>0</v>
      </c>
      <c r="AR3605" s="55">
        <v>28500</v>
      </c>
      <c r="AS3605" s="78">
        <f t="shared" si="60"/>
        <v>0</v>
      </c>
    </row>
    <row r="3606" spans="39:45">
      <c r="AM3606" s="54">
        <v>2019</v>
      </c>
      <c r="AN3606" s="54" t="s">
        <v>96</v>
      </c>
      <c r="AO3606" s="54">
        <v>31</v>
      </c>
      <c r="AP3606" s="54">
        <v>4</v>
      </c>
      <c r="AQ3606" s="54">
        <v>0</v>
      </c>
      <c r="AR3606" s="55">
        <v>28500</v>
      </c>
      <c r="AS3606" s="78">
        <f t="shared" si="60"/>
        <v>0</v>
      </c>
    </row>
    <row r="3607" spans="39:45">
      <c r="AM3607" s="55">
        <v>2019</v>
      </c>
      <c r="AN3607" s="55" t="s">
        <v>96</v>
      </c>
      <c r="AO3607" s="55">
        <v>31</v>
      </c>
      <c r="AP3607" s="55">
        <v>5</v>
      </c>
      <c r="AQ3607" s="55">
        <v>590.5</v>
      </c>
      <c r="AR3607" s="55">
        <v>28500</v>
      </c>
      <c r="AS3607" s="78">
        <f t="shared" si="60"/>
        <v>2.0719298245614037E-2</v>
      </c>
    </row>
    <row r="3608" spans="39:45">
      <c r="AM3608" s="54">
        <v>2019</v>
      </c>
      <c r="AN3608" s="54" t="s">
        <v>96</v>
      </c>
      <c r="AO3608" s="54">
        <v>31</v>
      </c>
      <c r="AP3608" s="54">
        <v>6</v>
      </c>
      <c r="AQ3608" s="54">
        <v>2639.5</v>
      </c>
      <c r="AR3608" s="55">
        <v>28500</v>
      </c>
      <c r="AS3608" s="78">
        <f t="shared" si="60"/>
        <v>9.2614035087719301E-2</v>
      </c>
    </row>
    <row r="3609" spans="39:45">
      <c r="AM3609" s="55">
        <v>2019</v>
      </c>
      <c r="AN3609" s="55" t="s">
        <v>96</v>
      </c>
      <c r="AO3609" s="55">
        <v>31</v>
      </c>
      <c r="AP3609" s="55">
        <v>7</v>
      </c>
      <c r="AQ3609" s="55">
        <v>3143.5</v>
      </c>
      <c r="AR3609" s="55">
        <v>28500</v>
      </c>
      <c r="AS3609" s="78">
        <f t="shared" si="60"/>
        <v>0.11029824561403509</v>
      </c>
    </row>
    <row r="3610" spans="39:45">
      <c r="AM3610" s="54">
        <v>2019</v>
      </c>
      <c r="AN3610" s="54" t="s">
        <v>96</v>
      </c>
      <c r="AO3610" s="54">
        <v>31</v>
      </c>
      <c r="AP3610" s="54">
        <v>8</v>
      </c>
      <c r="AQ3610" s="54">
        <v>9725</v>
      </c>
      <c r="AR3610" s="55">
        <v>28500</v>
      </c>
      <c r="AS3610" s="78">
        <f t="shared" si="60"/>
        <v>0.3412280701754386</v>
      </c>
    </row>
    <row r="3611" spans="39:45">
      <c r="AM3611" s="55">
        <v>2019</v>
      </c>
      <c r="AN3611" s="55" t="s">
        <v>96</v>
      </c>
      <c r="AO3611" s="55">
        <v>31</v>
      </c>
      <c r="AP3611" s="55">
        <v>9</v>
      </c>
      <c r="AQ3611" s="55">
        <v>12622</v>
      </c>
      <c r="AR3611" s="55">
        <v>28500</v>
      </c>
      <c r="AS3611" s="78">
        <f t="shared" si="60"/>
        <v>0.44287719298245615</v>
      </c>
    </row>
    <row r="3612" spans="39:45">
      <c r="AM3612" s="54">
        <v>2019</v>
      </c>
      <c r="AN3612" s="54" t="s">
        <v>96</v>
      </c>
      <c r="AO3612" s="54">
        <v>31</v>
      </c>
      <c r="AP3612" s="54">
        <v>10</v>
      </c>
      <c r="AQ3612" s="54">
        <v>5492</v>
      </c>
      <c r="AR3612" s="55">
        <v>28500</v>
      </c>
      <c r="AS3612" s="78">
        <f t="shared" si="60"/>
        <v>0.1927017543859649</v>
      </c>
    </row>
    <row r="3613" spans="39:45">
      <c r="AM3613" s="55">
        <v>2019</v>
      </c>
      <c r="AN3613" s="55" t="s">
        <v>96</v>
      </c>
      <c r="AO3613" s="55">
        <v>31</v>
      </c>
      <c r="AP3613" s="55">
        <v>11</v>
      </c>
      <c r="AQ3613" s="55">
        <v>11638.5</v>
      </c>
      <c r="AR3613" s="55">
        <v>28500</v>
      </c>
      <c r="AS3613" s="78">
        <f t="shared" si="60"/>
        <v>0.4083684210526316</v>
      </c>
    </row>
    <row r="3614" spans="39:45">
      <c r="AM3614" s="54">
        <v>2019</v>
      </c>
      <c r="AN3614" s="54" t="s">
        <v>96</v>
      </c>
      <c r="AO3614" s="54">
        <v>31</v>
      </c>
      <c r="AP3614" s="54">
        <v>12</v>
      </c>
      <c r="AQ3614" s="54">
        <v>4896</v>
      </c>
      <c r="AR3614" s="55">
        <v>28500</v>
      </c>
      <c r="AS3614" s="78">
        <f t="shared" si="60"/>
        <v>0.17178947368421052</v>
      </c>
    </row>
    <row r="3615" spans="39:45">
      <c r="AM3615" s="55">
        <v>2019</v>
      </c>
      <c r="AN3615" s="55" t="s">
        <v>96</v>
      </c>
      <c r="AO3615" s="55">
        <v>31</v>
      </c>
      <c r="AP3615" s="55">
        <v>13</v>
      </c>
      <c r="AQ3615" s="55">
        <v>4582</v>
      </c>
      <c r="AR3615" s="55">
        <v>28500</v>
      </c>
      <c r="AS3615" s="78">
        <f t="shared" si="60"/>
        <v>0.1607719298245614</v>
      </c>
    </row>
    <row r="3616" spans="39:45">
      <c r="AM3616" s="54">
        <v>2019</v>
      </c>
      <c r="AN3616" s="54" t="s">
        <v>96</v>
      </c>
      <c r="AO3616" s="54">
        <v>31</v>
      </c>
      <c r="AP3616" s="54">
        <v>14</v>
      </c>
      <c r="AQ3616" s="54">
        <v>5899.5</v>
      </c>
      <c r="AR3616" s="55">
        <v>28500</v>
      </c>
      <c r="AS3616" s="78">
        <f t="shared" si="60"/>
        <v>0.20699999999999999</v>
      </c>
    </row>
    <row r="3617" spans="39:45">
      <c r="AM3617" s="55">
        <v>2019</v>
      </c>
      <c r="AN3617" s="55" t="s">
        <v>96</v>
      </c>
      <c r="AO3617" s="55">
        <v>31</v>
      </c>
      <c r="AP3617" s="55">
        <v>15</v>
      </c>
      <c r="AQ3617" s="55">
        <v>12279.5</v>
      </c>
      <c r="AR3617" s="55">
        <v>28500</v>
      </c>
      <c r="AS3617" s="78">
        <f t="shared" si="60"/>
        <v>0.430859649122807</v>
      </c>
    </row>
    <row r="3618" spans="39:45">
      <c r="AM3618" s="54">
        <v>2019</v>
      </c>
      <c r="AN3618" s="54" t="s">
        <v>96</v>
      </c>
      <c r="AO3618" s="54">
        <v>31</v>
      </c>
      <c r="AP3618" s="54">
        <v>16</v>
      </c>
      <c r="AQ3618" s="54">
        <v>12468.5</v>
      </c>
      <c r="AR3618" s="55">
        <v>28500</v>
      </c>
      <c r="AS3618" s="78">
        <f t="shared" si="60"/>
        <v>0.43749122807017543</v>
      </c>
    </row>
    <row r="3619" spans="39:45">
      <c r="AM3619" s="55">
        <v>2019</v>
      </c>
      <c r="AN3619" s="55" t="s">
        <v>96</v>
      </c>
      <c r="AO3619" s="55">
        <v>31</v>
      </c>
      <c r="AP3619" s="55">
        <v>17</v>
      </c>
      <c r="AQ3619" s="55">
        <v>8870</v>
      </c>
      <c r="AR3619" s="55">
        <v>28500</v>
      </c>
      <c r="AS3619" s="78">
        <f t="shared" si="60"/>
        <v>0.31122807017543858</v>
      </c>
    </row>
    <row r="3620" spans="39:45">
      <c r="AM3620" s="54">
        <v>2019</v>
      </c>
      <c r="AN3620" s="54" t="s">
        <v>96</v>
      </c>
      <c r="AO3620" s="54">
        <v>31</v>
      </c>
      <c r="AP3620" s="54">
        <v>18</v>
      </c>
      <c r="AQ3620" s="54">
        <v>2853</v>
      </c>
      <c r="AR3620" s="55">
        <v>28500</v>
      </c>
      <c r="AS3620" s="78">
        <f t="shared" si="60"/>
        <v>0.10010526315789474</v>
      </c>
    </row>
    <row r="3621" spans="39:45">
      <c r="AM3621" s="55">
        <v>2019</v>
      </c>
      <c r="AN3621" s="55" t="s">
        <v>96</v>
      </c>
      <c r="AO3621" s="55">
        <v>31</v>
      </c>
      <c r="AP3621" s="55">
        <v>19</v>
      </c>
      <c r="AQ3621" s="55">
        <v>750</v>
      </c>
      <c r="AR3621" s="55">
        <v>28500</v>
      </c>
      <c r="AS3621" s="78">
        <f t="shared" si="60"/>
        <v>2.6315789473684209E-2</v>
      </c>
    </row>
    <row r="3622" spans="39:45">
      <c r="AM3622" s="54">
        <v>2019</v>
      </c>
      <c r="AN3622" s="54" t="s">
        <v>96</v>
      </c>
      <c r="AO3622" s="54">
        <v>31</v>
      </c>
      <c r="AP3622" s="54">
        <v>20</v>
      </c>
      <c r="AQ3622" s="54">
        <v>0</v>
      </c>
      <c r="AR3622" s="55">
        <v>28500</v>
      </c>
      <c r="AS3622" s="78">
        <f t="shared" si="60"/>
        <v>0</v>
      </c>
    </row>
    <row r="3623" spans="39:45">
      <c r="AM3623" s="55">
        <v>2019</v>
      </c>
      <c r="AN3623" s="55" t="s">
        <v>96</v>
      </c>
      <c r="AO3623" s="55">
        <v>31</v>
      </c>
      <c r="AP3623" s="55">
        <v>21</v>
      </c>
      <c r="AQ3623" s="55">
        <v>0</v>
      </c>
      <c r="AR3623" s="55">
        <v>28500</v>
      </c>
      <c r="AS3623" s="78">
        <f t="shared" si="60"/>
        <v>0</v>
      </c>
    </row>
    <row r="3624" spans="39:45">
      <c r="AM3624" s="54">
        <v>2019</v>
      </c>
      <c r="AN3624" s="54" t="s">
        <v>96</v>
      </c>
      <c r="AO3624" s="54">
        <v>31</v>
      </c>
      <c r="AP3624" s="54">
        <v>22</v>
      </c>
      <c r="AQ3624" s="54">
        <v>0</v>
      </c>
      <c r="AR3624" s="55">
        <v>28500</v>
      </c>
      <c r="AS3624" s="78">
        <f t="shared" si="60"/>
        <v>0</v>
      </c>
    </row>
    <row r="3625" spans="39:45">
      <c r="AM3625" s="55">
        <v>2019</v>
      </c>
      <c r="AN3625" s="55" t="s">
        <v>96</v>
      </c>
      <c r="AO3625" s="55">
        <v>31</v>
      </c>
      <c r="AP3625" s="55">
        <v>23</v>
      </c>
      <c r="AQ3625" s="55">
        <v>0</v>
      </c>
      <c r="AR3625" s="55">
        <v>28500</v>
      </c>
      <c r="AS3625" s="78">
        <f t="shared" si="60"/>
        <v>0</v>
      </c>
    </row>
    <row r="3626" spans="39:45">
      <c r="AM3626" s="54">
        <v>2019</v>
      </c>
      <c r="AN3626" s="54" t="s">
        <v>187</v>
      </c>
      <c r="AO3626" s="54">
        <v>1</v>
      </c>
      <c r="AP3626" s="54">
        <v>24</v>
      </c>
      <c r="AQ3626" s="54">
        <v>0</v>
      </c>
      <c r="AR3626" s="55">
        <v>28500</v>
      </c>
      <c r="AS3626" s="78">
        <f t="shared" si="60"/>
        <v>0</v>
      </c>
    </row>
    <row r="3627" spans="39:45">
      <c r="AM3627" s="55">
        <v>2019</v>
      </c>
      <c r="AN3627" s="55" t="s">
        <v>187</v>
      </c>
      <c r="AO3627" s="55">
        <v>1</v>
      </c>
      <c r="AP3627" s="55">
        <v>1</v>
      </c>
      <c r="AQ3627" s="55">
        <v>0</v>
      </c>
      <c r="AR3627" s="55">
        <v>28500</v>
      </c>
      <c r="AS3627" s="78">
        <f t="shared" si="60"/>
        <v>0</v>
      </c>
    </row>
    <row r="3628" spans="39:45">
      <c r="AM3628" s="54">
        <v>2019</v>
      </c>
      <c r="AN3628" s="54" t="s">
        <v>187</v>
      </c>
      <c r="AO3628" s="54">
        <v>1</v>
      </c>
      <c r="AP3628" s="54">
        <v>2</v>
      </c>
      <c r="AQ3628" s="54">
        <v>0</v>
      </c>
      <c r="AR3628" s="55">
        <v>28500</v>
      </c>
      <c r="AS3628" s="78">
        <f t="shared" si="60"/>
        <v>0</v>
      </c>
    </row>
    <row r="3629" spans="39:45">
      <c r="AM3629" s="55">
        <v>2019</v>
      </c>
      <c r="AN3629" s="55" t="s">
        <v>187</v>
      </c>
      <c r="AO3629" s="55">
        <v>1</v>
      </c>
      <c r="AP3629" s="55">
        <v>3</v>
      </c>
      <c r="AQ3629" s="55">
        <v>0</v>
      </c>
      <c r="AR3629" s="55">
        <v>28500</v>
      </c>
      <c r="AS3629" s="78">
        <f t="shared" si="60"/>
        <v>0</v>
      </c>
    </row>
    <row r="3630" spans="39:45">
      <c r="AM3630" s="54">
        <v>2019</v>
      </c>
      <c r="AN3630" s="54" t="s">
        <v>187</v>
      </c>
      <c r="AO3630" s="54">
        <v>1</v>
      </c>
      <c r="AP3630" s="54">
        <v>4</v>
      </c>
      <c r="AQ3630" s="54">
        <v>0</v>
      </c>
      <c r="AR3630" s="55">
        <v>28500</v>
      </c>
      <c r="AS3630" s="78">
        <f t="shared" si="60"/>
        <v>0</v>
      </c>
    </row>
    <row r="3631" spans="39:45">
      <c r="AM3631" s="55">
        <v>2019</v>
      </c>
      <c r="AN3631" s="55" t="s">
        <v>187</v>
      </c>
      <c r="AO3631" s="55">
        <v>1</v>
      </c>
      <c r="AP3631" s="55">
        <v>5</v>
      </c>
      <c r="AQ3631" s="55">
        <v>1616</v>
      </c>
      <c r="AR3631" s="55">
        <v>28500</v>
      </c>
      <c r="AS3631" s="78">
        <f t="shared" si="60"/>
        <v>5.6701754385964913E-2</v>
      </c>
    </row>
    <row r="3632" spans="39:45">
      <c r="AM3632" s="54">
        <v>2019</v>
      </c>
      <c r="AN3632" s="54" t="s">
        <v>187</v>
      </c>
      <c r="AO3632" s="54">
        <v>1</v>
      </c>
      <c r="AP3632" s="54">
        <v>6</v>
      </c>
      <c r="AQ3632" s="54">
        <v>4027</v>
      </c>
      <c r="AR3632" s="55">
        <v>28500</v>
      </c>
      <c r="AS3632" s="78">
        <f t="shared" si="60"/>
        <v>0.14129824561403509</v>
      </c>
    </row>
    <row r="3633" spans="39:45">
      <c r="AM3633" s="55">
        <v>2019</v>
      </c>
      <c r="AN3633" s="55" t="s">
        <v>187</v>
      </c>
      <c r="AO3633" s="55">
        <v>1</v>
      </c>
      <c r="AP3633" s="55">
        <v>7</v>
      </c>
      <c r="AQ3633" s="55">
        <v>13696</v>
      </c>
      <c r="AR3633" s="55">
        <v>28500</v>
      </c>
      <c r="AS3633" s="78">
        <f t="shared" si="60"/>
        <v>0.48056140350877191</v>
      </c>
    </row>
    <row r="3634" spans="39:45">
      <c r="AM3634" s="54">
        <v>2019</v>
      </c>
      <c r="AN3634" s="54" t="s">
        <v>187</v>
      </c>
      <c r="AO3634" s="54">
        <v>1</v>
      </c>
      <c r="AP3634" s="54">
        <v>8</v>
      </c>
      <c r="AQ3634" s="54">
        <v>22639.5</v>
      </c>
      <c r="AR3634" s="55">
        <v>28500</v>
      </c>
      <c r="AS3634" s="78">
        <f t="shared" si="60"/>
        <v>0.79436842105263161</v>
      </c>
    </row>
    <row r="3635" spans="39:45">
      <c r="AM3635" s="55">
        <v>2019</v>
      </c>
      <c r="AN3635" s="55" t="s">
        <v>187</v>
      </c>
      <c r="AO3635" s="55">
        <v>1</v>
      </c>
      <c r="AP3635" s="55">
        <v>9</v>
      </c>
      <c r="AQ3635" s="55">
        <v>30342</v>
      </c>
      <c r="AR3635" s="55">
        <v>28500</v>
      </c>
      <c r="AS3635" s="78">
        <f t="shared" si="60"/>
        <v>1.0646315789473684</v>
      </c>
    </row>
    <row r="3636" spans="39:45">
      <c r="AM3636" s="54">
        <v>2019</v>
      </c>
      <c r="AN3636" s="54" t="s">
        <v>187</v>
      </c>
      <c r="AO3636" s="54">
        <v>1</v>
      </c>
      <c r="AP3636" s="54">
        <v>10</v>
      </c>
      <c r="AQ3636" s="54">
        <v>36024</v>
      </c>
      <c r="AR3636" s="55">
        <v>28500</v>
      </c>
      <c r="AS3636" s="78">
        <f t="shared" si="60"/>
        <v>1.264</v>
      </c>
    </row>
    <row r="3637" spans="39:45">
      <c r="AM3637" s="55">
        <v>2019</v>
      </c>
      <c r="AN3637" s="55" t="s">
        <v>187</v>
      </c>
      <c r="AO3637" s="55">
        <v>1</v>
      </c>
      <c r="AP3637" s="55">
        <v>11</v>
      </c>
      <c r="AQ3637" s="55">
        <v>38864</v>
      </c>
      <c r="AR3637" s="55">
        <v>28500</v>
      </c>
      <c r="AS3637" s="78">
        <f t="shared" si="60"/>
        <v>1.3636491228070176</v>
      </c>
    </row>
    <row r="3638" spans="39:45">
      <c r="AM3638" s="54">
        <v>2019</v>
      </c>
      <c r="AN3638" s="54" t="s">
        <v>187</v>
      </c>
      <c r="AO3638" s="54">
        <v>1</v>
      </c>
      <c r="AP3638" s="54">
        <v>12</v>
      </c>
      <c r="AQ3638" s="54">
        <v>38181</v>
      </c>
      <c r="AR3638" s="55">
        <v>28500</v>
      </c>
      <c r="AS3638" s="78">
        <f t="shared" si="60"/>
        <v>1.3396842105263158</v>
      </c>
    </row>
    <row r="3639" spans="39:45">
      <c r="AM3639" s="55">
        <v>2019</v>
      </c>
      <c r="AN3639" s="55" t="s">
        <v>187</v>
      </c>
      <c r="AO3639" s="55">
        <v>1</v>
      </c>
      <c r="AP3639" s="55">
        <v>13</v>
      </c>
      <c r="AQ3639" s="55">
        <v>34782.5</v>
      </c>
      <c r="AR3639" s="55">
        <v>28500</v>
      </c>
      <c r="AS3639" s="78">
        <f t="shared" si="60"/>
        <v>1.2204385964912281</v>
      </c>
    </row>
    <row r="3640" spans="39:45">
      <c r="AM3640" s="54">
        <v>2019</v>
      </c>
      <c r="AN3640" s="54" t="s">
        <v>187</v>
      </c>
      <c r="AO3640" s="54">
        <v>1</v>
      </c>
      <c r="AP3640" s="54">
        <v>14</v>
      </c>
      <c r="AQ3640" s="54">
        <v>29365.5</v>
      </c>
      <c r="AR3640" s="55">
        <v>28500</v>
      </c>
      <c r="AS3640" s="78">
        <f t="shared" si="60"/>
        <v>1.0303684210526316</v>
      </c>
    </row>
    <row r="3641" spans="39:45">
      <c r="AM3641" s="55">
        <v>2019</v>
      </c>
      <c r="AN3641" s="55" t="s">
        <v>187</v>
      </c>
      <c r="AO3641" s="55">
        <v>1</v>
      </c>
      <c r="AP3641" s="55">
        <v>15</v>
      </c>
      <c r="AQ3641" s="55">
        <v>23689.5</v>
      </c>
      <c r="AR3641" s="55">
        <v>28500</v>
      </c>
      <c r="AS3641" s="78">
        <f t="shared" si="60"/>
        <v>0.83121052631578951</v>
      </c>
    </row>
    <row r="3642" spans="39:45">
      <c r="AM3642" s="54">
        <v>2019</v>
      </c>
      <c r="AN3642" s="54" t="s">
        <v>187</v>
      </c>
      <c r="AO3642" s="54">
        <v>1</v>
      </c>
      <c r="AP3642" s="54">
        <v>16</v>
      </c>
      <c r="AQ3642" s="54">
        <v>11599</v>
      </c>
      <c r="AR3642" s="55">
        <v>28500</v>
      </c>
      <c r="AS3642" s="78">
        <f t="shared" si="60"/>
        <v>0.40698245614035089</v>
      </c>
    </row>
    <row r="3643" spans="39:45">
      <c r="AM3643" s="55">
        <v>2019</v>
      </c>
      <c r="AN3643" s="55" t="s">
        <v>187</v>
      </c>
      <c r="AO3643" s="55">
        <v>1</v>
      </c>
      <c r="AP3643" s="55">
        <v>17</v>
      </c>
      <c r="AQ3643" s="55">
        <v>8199</v>
      </c>
      <c r="AR3643" s="55">
        <v>28500</v>
      </c>
      <c r="AS3643" s="78">
        <f t="shared" si="60"/>
        <v>0.28768421052631576</v>
      </c>
    </row>
    <row r="3644" spans="39:45">
      <c r="AM3644" s="54">
        <v>2019</v>
      </c>
      <c r="AN3644" s="54" t="s">
        <v>187</v>
      </c>
      <c r="AO3644" s="54">
        <v>1</v>
      </c>
      <c r="AP3644" s="54">
        <v>18</v>
      </c>
      <c r="AQ3644" s="54">
        <v>1228</v>
      </c>
      <c r="AR3644" s="55">
        <v>28500</v>
      </c>
      <c r="AS3644" s="78">
        <f t="shared" si="60"/>
        <v>4.3087719298245612E-2</v>
      </c>
    </row>
    <row r="3645" spans="39:45">
      <c r="AM3645" s="55">
        <v>2019</v>
      </c>
      <c r="AN3645" s="55" t="s">
        <v>187</v>
      </c>
      <c r="AO3645" s="55">
        <v>1</v>
      </c>
      <c r="AP3645" s="55">
        <v>19</v>
      </c>
      <c r="AQ3645" s="55">
        <v>675.5</v>
      </c>
      <c r="AR3645" s="55">
        <v>28500</v>
      </c>
      <c r="AS3645" s="78">
        <f t="shared" si="60"/>
        <v>2.3701754385964911E-2</v>
      </c>
    </row>
    <row r="3646" spans="39:45">
      <c r="AM3646" s="54">
        <v>2019</v>
      </c>
      <c r="AN3646" s="54" t="s">
        <v>187</v>
      </c>
      <c r="AO3646" s="54">
        <v>1</v>
      </c>
      <c r="AP3646" s="54">
        <v>20</v>
      </c>
      <c r="AQ3646" s="54">
        <v>0</v>
      </c>
      <c r="AR3646" s="55">
        <v>28500</v>
      </c>
      <c r="AS3646" s="78">
        <f t="shared" si="60"/>
        <v>0</v>
      </c>
    </row>
    <row r="3647" spans="39:45">
      <c r="AM3647" s="55">
        <v>2019</v>
      </c>
      <c r="AN3647" s="55" t="s">
        <v>187</v>
      </c>
      <c r="AO3647" s="55">
        <v>1</v>
      </c>
      <c r="AP3647" s="55">
        <v>21</v>
      </c>
      <c r="AQ3647" s="55">
        <v>0</v>
      </c>
      <c r="AR3647" s="55">
        <v>28500</v>
      </c>
      <c r="AS3647" s="78">
        <f t="shared" si="60"/>
        <v>0</v>
      </c>
    </row>
    <row r="3648" spans="39:45">
      <c r="AM3648" s="54">
        <v>2019</v>
      </c>
      <c r="AN3648" s="54" t="s">
        <v>187</v>
      </c>
      <c r="AO3648" s="54">
        <v>1</v>
      </c>
      <c r="AP3648" s="54">
        <v>22</v>
      </c>
      <c r="AQ3648" s="54">
        <v>0</v>
      </c>
      <c r="AR3648" s="55">
        <v>28500</v>
      </c>
      <c r="AS3648" s="78">
        <f t="shared" si="60"/>
        <v>0</v>
      </c>
    </row>
    <row r="3649" spans="39:45">
      <c r="AM3649" s="55">
        <v>2019</v>
      </c>
      <c r="AN3649" s="55" t="s">
        <v>187</v>
      </c>
      <c r="AO3649" s="55">
        <v>1</v>
      </c>
      <c r="AP3649" s="55">
        <v>23</v>
      </c>
      <c r="AQ3649" s="55">
        <v>0</v>
      </c>
      <c r="AR3649" s="55">
        <v>28500</v>
      </c>
      <c r="AS3649" s="78">
        <f t="shared" si="60"/>
        <v>0</v>
      </c>
    </row>
    <row r="3650" spans="39:45">
      <c r="AM3650" s="54">
        <v>2019</v>
      </c>
      <c r="AN3650" s="54" t="s">
        <v>187</v>
      </c>
      <c r="AO3650" s="54">
        <v>2</v>
      </c>
      <c r="AP3650" s="54">
        <v>24</v>
      </c>
      <c r="AQ3650" s="54">
        <v>0</v>
      </c>
      <c r="AR3650" s="55">
        <v>28500</v>
      </c>
      <c r="AS3650" s="78">
        <f t="shared" ref="AS3650:AS3713" si="61">AQ3650/AR3650</f>
        <v>0</v>
      </c>
    </row>
    <row r="3651" spans="39:45">
      <c r="AM3651" s="55">
        <v>2019</v>
      </c>
      <c r="AN3651" s="55" t="s">
        <v>187</v>
      </c>
      <c r="AO3651" s="55">
        <v>2</v>
      </c>
      <c r="AP3651" s="55">
        <v>1</v>
      </c>
      <c r="AQ3651" s="55">
        <v>0</v>
      </c>
      <c r="AR3651" s="55">
        <v>28500</v>
      </c>
      <c r="AS3651" s="78">
        <f t="shared" si="61"/>
        <v>0</v>
      </c>
    </row>
    <row r="3652" spans="39:45">
      <c r="AM3652" s="54">
        <v>2019</v>
      </c>
      <c r="AN3652" s="54" t="s">
        <v>187</v>
      </c>
      <c r="AO3652" s="54">
        <v>2</v>
      </c>
      <c r="AP3652" s="54">
        <v>2</v>
      </c>
      <c r="AQ3652" s="54">
        <v>0</v>
      </c>
      <c r="AR3652" s="55">
        <v>28500</v>
      </c>
      <c r="AS3652" s="78">
        <f t="shared" si="61"/>
        <v>0</v>
      </c>
    </row>
    <row r="3653" spans="39:45">
      <c r="AM3653" s="55">
        <v>2019</v>
      </c>
      <c r="AN3653" s="55" t="s">
        <v>187</v>
      </c>
      <c r="AO3653" s="55">
        <v>2</v>
      </c>
      <c r="AP3653" s="55">
        <v>3</v>
      </c>
      <c r="AQ3653" s="55">
        <v>0</v>
      </c>
      <c r="AR3653" s="55">
        <v>28500</v>
      </c>
      <c r="AS3653" s="78">
        <f t="shared" si="61"/>
        <v>0</v>
      </c>
    </row>
    <row r="3654" spans="39:45">
      <c r="AM3654" s="54">
        <v>2019</v>
      </c>
      <c r="AN3654" s="54" t="s">
        <v>187</v>
      </c>
      <c r="AO3654" s="54">
        <v>2</v>
      </c>
      <c r="AP3654" s="54">
        <v>4</v>
      </c>
      <c r="AQ3654" s="54">
        <v>0</v>
      </c>
      <c r="AR3654" s="55">
        <v>28500</v>
      </c>
      <c r="AS3654" s="78">
        <f t="shared" si="61"/>
        <v>0</v>
      </c>
    </row>
    <row r="3655" spans="39:45">
      <c r="AM3655" s="55">
        <v>2019</v>
      </c>
      <c r="AN3655" s="55" t="s">
        <v>187</v>
      </c>
      <c r="AO3655" s="55">
        <v>2</v>
      </c>
      <c r="AP3655" s="55">
        <v>5</v>
      </c>
      <c r="AQ3655" s="55">
        <v>1244.5</v>
      </c>
      <c r="AR3655" s="55">
        <v>28500</v>
      </c>
      <c r="AS3655" s="78">
        <f t="shared" si="61"/>
        <v>4.3666666666666666E-2</v>
      </c>
    </row>
    <row r="3656" spans="39:45">
      <c r="AM3656" s="54">
        <v>2019</v>
      </c>
      <c r="AN3656" s="54" t="s">
        <v>187</v>
      </c>
      <c r="AO3656" s="54">
        <v>2</v>
      </c>
      <c r="AP3656" s="54">
        <v>6</v>
      </c>
      <c r="AQ3656" s="54">
        <v>5045</v>
      </c>
      <c r="AR3656" s="55">
        <v>28500</v>
      </c>
      <c r="AS3656" s="78">
        <f t="shared" si="61"/>
        <v>0.17701754385964913</v>
      </c>
    </row>
    <row r="3657" spans="39:45">
      <c r="AM3657" s="55">
        <v>2019</v>
      </c>
      <c r="AN3657" s="55" t="s">
        <v>187</v>
      </c>
      <c r="AO3657" s="55">
        <v>2</v>
      </c>
      <c r="AP3657" s="55">
        <v>7</v>
      </c>
      <c r="AQ3657" s="55">
        <v>10495.5</v>
      </c>
      <c r="AR3657" s="55">
        <v>28500</v>
      </c>
      <c r="AS3657" s="78">
        <f t="shared" si="61"/>
        <v>0.36826315789473685</v>
      </c>
    </row>
    <row r="3658" spans="39:45">
      <c r="AM3658" s="54">
        <v>2019</v>
      </c>
      <c r="AN3658" s="54" t="s">
        <v>187</v>
      </c>
      <c r="AO3658" s="54">
        <v>2</v>
      </c>
      <c r="AP3658" s="54">
        <v>8</v>
      </c>
      <c r="AQ3658" s="54">
        <v>18310</v>
      </c>
      <c r="AR3658" s="55">
        <v>28500</v>
      </c>
      <c r="AS3658" s="78">
        <f t="shared" si="61"/>
        <v>0.64245614035087717</v>
      </c>
    </row>
    <row r="3659" spans="39:45">
      <c r="AM3659" s="55">
        <v>2019</v>
      </c>
      <c r="AN3659" s="55" t="s">
        <v>187</v>
      </c>
      <c r="AO3659" s="55">
        <v>2</v>
      </c>
      <c r="AP3659" s="55">
        <v>9</v>
      </c>
      <c r="AQ3659" s="55">
        <v>22962.5</v>
      </c>
      <c r="AR3659" s="55">
        <v>28500</v>
      </c>
      <c r="AS3659" s="78">
        <f t="shared" si="61"/>
        <v>0.80570175438596492</v>
      </c>
    </row>
    <row r="3660" spans="39:45">
      <c r="AM3660" s="54">
        <v>2019</v>
      </c>
      <c r="AN3660" s="54" t="s">
        <v>187</v>
      </c>
      <c r="AO3660" s="54">
        <v>2</v>
      </c>
      <c r="AP3660" s="54">
        <v>10</v>
      </c>
      <c r="AQ3660" s="54">
        <v>23146</v>
      </c>
      <c r="AR3660" s="55">
        <v>28500</v>
      </c>
      <c r="AS3660" s="78">
        <f t="shared" si="61"/>
        <v>0.81214035087719294</v>
      </c>
    </row>
    <row r="3661" spans="39:45">
      <c r="AM3661" s="55">
        <v>2019</v>
      </c>
      <c r="AN3661" s="55" t="s">
        <v>187</v>
      </c>
      <c r="AO3661" s="55">
        <v>2</v>
      </c>
      <c r="AP3661" s="55">
        <v>11</v>
      </c>
      <c r="AQ3661" s="55">
        <v>31792.5</v>
      </c>
      <c r="AR3661" s="55">
        <v>28500</v>
      </c>
      <c r="AS3661" s="78">
        <f t="shared" si="61"/>
        <v>1.1155263157894737</v>
      </c>
    </row>
    <row r="3662" spans="39:45">
      <c r="AM3662" s="54">
        <v>2019</v>
      </c>
      <c r="AN3662" s="54" t="s">
        <v>187</v>
      </c>
      <c r="AO3662" s="54">
        <v>2</v>
      </c>
      <c r="AP3662" s="54">
        <v>12</v>
      </c>
      <c r="AQ3662" s="54">
        <v>37319</v>
      </c>
      <c r="AR3662" s="55">
        <v>28500</v>
      </c>
      <c r="AS3662" s="78">
        <f t="shared" si="61"/>
        <v>1.3094385964912281</v>
      </c>
    </row>
    <row r="3663" spans="39:45">
      <c r="AM3663" s="55">
        <v>2019</v>
      </c>
      <c r="AN3663" s="55" t="s">
        <v>187</v>
      </c>
      <c r="AO3663" s="55">
        <v>2</v>
      </c>
      <c r="AP3663" s="55">
        <v>13</v>
      </c>
      <c r="AQ3663" s="55">
        <v>38463.5</v>
      </c>
      <c r="AR3663" s="55">
        <v>28500</v>
      </c>
      <c r="AS3663" s="78">
        <f t="shared" si="61"/>
        <v>1.3495964912280702</v>
      </c>
    </row>
    <row r="3664" spans="39:45">
      <c r="AM3664" s="54">
        <v>2019</v>
      </c>
      <c r="AN3664" s="54" t="s">
        <v>187</v>
      </c>
      <c r="AO3664" s="54">
        <v>2</v>
      </c>
      <c r="AP3664" s="54">
        <v>14</v>
      </c>
      <c r="AQ3664" s="54">
        <v>21016</v>
      </c>
      <c r="AR3664" s="55">
        <v>28500</v>
      </c>
      <c r="AS3664" s="78">
        <f t="shared" si="61"/>
        <v>0.73740350877192984</v>
      </c>
    </row>
    <row r="3665" spans="39:45">
      <c r="AM3665" s="55">
        <v>2019</v>
      </c>
      <c r="AN3665" s="55" t="s">
        <v>187</v>
      </c>
      <c r="AO3665" s="55">
        <v>2</v>
      </c>
      <c r="AP3665" s="55">
        <v>15</v>
      </c>
      <c r="AQ3665" s="55">
        <v>20103.5</v>
      </c>
      <c r="AR3665" s="55">
        <v>28500</v>
      </c>
      <c r="AS3665" s="78">
        <f t="shared" si="61"/>
        <v>0.70538596491228067</v>
      </c>
    </row>
    <row r="3666" spans="39:45">
      <c r="AM3666" s="54">
        <v>2019</v>
      </c>
      <c r="AN3666" s="54" t="s">
        <v>187</v>
      </c>
      <c r="AO3666" s="54">
        <v>2</v>
      </c>
      <c r="AP3666" s="54">
        <v>16</v>
      </c>
      <c r="AQ3666" s="54">
        <v>18756.5</v>
      </c>
      <c r="AR3666" s="55">
        <v>28500</v>
      </c>
      <c r="AS3666" s="78">
        <f t="shared" si="61"/>
        <v>0.65812280701754389</v>
      </c>
    </row>
    <row r="3667" spans="39:45">
      <c r="AM3667" s="55">
        <v>2019</v>
      </c>
      <c r="AN3667" s="55" t="s">
        <v>187</v>
      </c>
      <c r="AO3667" s="55">
        <v>2</v>
      </c>
      <c r="AP3667" s="55">
        <v>17</v>
      </c>
      <c r="AQ3667" s="55">
        <v>4152</v>
      </c>
      <c r="AR3667" s="55">
        <v>28500</v>
      </c>
      <c r="AS3667" s="78">
        <f t="shared" si="61"/>
        <v>0.14568421052631578</v>
      </c>
    </row>
    <row r="3668" spans="39:45">
      <c r="AM3668" s="54">
        <v>2019</v>
      </c>
      <c r="AN3668" s="54" t="s">
        <v>187</v>
      </c>
      <c r="AO3668" s="54">
        <v>2</v>
      </c>
      <c r="AP3668" s="54">
        <v>18</v>
      </c>
      <c r="AQ3668" s="54">
        <v>2703</v>
      </c>
      <c r="AR3668" s="55">
        <v>28500</v>
      </c>
      <c r="AS3668" s="78">
        <f t="shared" si="61"/>
        <v>9.4842105263157894E-2</v>
      </c>
    </row>
    <row r="3669" spans="39:45">
      <c r="AM3669" s="55">
        <v>2019</v>
      </c>
      <c r="AN3669" s="55" t="s">
        <v>187</v>
      </c>
      <c r="AO3669" s="55">
        <v>2</v>
      </c>
      <c r="AP3669" s="55">
        <v>19</v>
      </c>
      <c r="AQ3669" s="55">
        <v>18.5</v>
      </c>
      <c r="AR3669" s="55">
        <v>28500</v>
      </c>
      <c r="AS3669" s="78">
        <f t="shared" si="61"/>
        <v>6.4912280701754385E-4</v>
      </c>
    </row>
    <row r="3670" spans="39:45">
      <c r="AM3670" s="54">
        <v>2019</v>
      </c>
      <c r="AN3670" s="54" t="s">
        <v>187</v>
      </c>
      <c r="AO3670" s="54">
        <v>2</v>
      </c>
      <c r="AP3670" s="54">
        <v>20</v>
      </c>
      <c r="AQ3670" s="54">
        <v>0</v>
      </c>
      <c r="AR3670" s="55">
        <v>28500</v>
      </c>
      <c r="AS3670" s="78">
        <f t="shared" si="61"/>
        <v>0</v>
      </c>
    </row>
    <row r="3671" spans="39:45">
      <c r="AM3671" s="55">
        <v>2019</v>
      </c>
      <c r="AN3671" s="55" t="s">
        <v>187</v>
      </c>
      <c r="AO3671" s="55">
        <v>2</v>
      </c>
      <c r="AP3671" s="55">
        <v>21</v>
      </c>
      <c r="AQ3671" s="55">
        <v>0</v>
      </c>
      <c r="AR3671" s="55">
        <v>28500</v>
      </c>
      <c r="AS3671" s="78">
        <f t="shared" si="61"/>
        <v>0</v>
      </c>
    </row>
    <row r="3672" spans="39:45">
      <c r="AM3672" s="54">
        <v>2019</v>
      </c>
      <c r="AN3672" s="54" t="s">
        <v>187</v>
      </c>
      <c r="AO3672" s="54">
        <v>2</v>
      </c>
      <c r="AP3672" s="54">
        <v>22</v>
      </c>
      <c r="AQ3672" s="54">
        <v>0</v>
      </c>
      <c r="AR3672" s="55">
        <v>28500</v>
      </c>
      <c r="AS3672" s="78">
        <f t="shared" si="61"/>
        <v>0</v>
      </c>
    </row>
    <row r="3673" spans="39:45">
      <c r="AM3673" s="55">
        <v>2019</v>
      </c>
      <c r="AN3673" s="55" t="s">
        <v>187</v>
      </c>
      <c r="AO3673" s="55">
        <v>2</v>
      </c>
      <c r="AP3673" s="55">
        <v>23</v>
      </c>
      <c r="AQ3673" s="55">
        <v>0</v>
      </c>
      <c r="AR3673" s="55">
        <v>28500</v>
      </c>
      <c r="AS3673" s="78">
        <f t="shared" si="61"/>
        <v>0</v>
      </c>
    </row>
    <row r="3674" spans="39:45">
      <c r="AM3674" s="54">
        <v>2019</v>
      </c>
      <c r="AN3674" s="54" t="s">
        <v>187</v>
      </c>
      <c r="AO3674" s="54">
        <v>3</v>
      </c>
      <c r="AP3674" s="54">
        <v>24</v>
      </c>
      <c r="AQ3674" s="54">
        <v>0</v>
      </c>
      <c r="AR3674" s="55">
        <v>28500</v>
      </c>
      <c r="AS3674" s="78">
        <f t="shared" si="61"/>
        <v>0</v>
      </c>
    </row>
    <row r="3675" spans="39:45">
      <c r="AM3675" s="55">
        <v>2019</v>
      </c>
      <c r="AN3675" s="55" t="s">
        <v>187</v>
      </c>
      <c r="AO3675" s="55">
        <v>3</v>
      </c>
      <c r="AP3675" s="55">
        <v>1</v>
      </c>
      <c r="AQ3675" s="55">
        <v>0</v>
      </c>
      <c r="AR3675" s="55">
        <v>28500</v>
      </c>
      <c r="AS3675" s="78">
        <f t="shared" si="61"/>
        <v>0</v>
      </c>
    </row>
    <row r="3676" spans="39:45">
      <c r="AM3676" s="54">
        <v>2019</v>
      </c>
      <c r="AN3676" s="54" t="s">
        <v>187</v>
      </c>
      <c r="AO3676" s="54">
        <v>3</v>
      </c>
      <c r="AP3676" s="54">
        <v>2</v>
      </c>
      <c r="AQ3676" s="54">
        <v>0</v>
      </c>
      <c r="AR3676" s="55">
        <v>28500</v>
      </c>
      <c r="AS3676" s="78">
        <f t="shared" si="61"/>
        <v>0</v>
      </c>
    </row>
    <row r="3677" spans="39:45">
      <c r="AM3677" s="55">
        <v>2019</v>
      </c>
      <c r="AN3677" s="55" t="s">
        <v>187</v>
      </c>
      <c r="AO3677" s="55">
        <v>3</v>
      </c>
      <c r="AP3677" s="55">
        <v>3</v>
      </c>
      <c r="AQ3677" s="55">
        <v>0</v>
      </c>
      <c r="AR3677" s="55">
        <v>28500</v>
      </c>
      <c r="AS3677" s="78">
        <f t="shared" si="61"/>
        <v>0</v>
      </c>
    </row>
    <row r="3678" spans="39:45">
      <c r="AM3678" s="54">
        <v>2019</v>
      </c>
      <c r="AN3678" s="54" t="s">
        <v>187</v>
      </c>
      <c r="AO3678" s="54">
        <v>3</v>
      </c>
      <c r="AP3678" s="54">
        <v>4</v>
      </c>
      <c r="AQ3678" s="54">
        <v>0</v>
      </c>
      <c r="AR3678" s="55">
        <v>28500</v>
      </c>
      <c r="AS3678" s="78">
        <f t="shared" si="61"/>
        <v>0</v>
      </c>
    </row>
    <row r="3679" spans="39:45">
      <c r="AM3679" s="55">
        <v>2019</v>
      </c>
      <c r="AN3679" s="55" t="s">
        <v>187</v>
      </c>
      <c r="AO3679" s="55">
        <v>3</v>
      </c>
      <c r="AP3679" s="55">
        <v>5</v>
      </c>
      <c r="AQ3679" s="55">
        <v>1574.5</v>
      </c>
      <c r="AR3679" s="55">
        <v>28500</v>
      </c>
      <c r="AS3679" s="78">
        <f t="shared" si="61"/>
        <v>5.5245614035087716E-2</v>
      </c>
    </row>
    <row r="3680" spans="39:45">
      <c r="AM3680" s="54">
        <v>2019</v>
      </c>
      <c r="AN3680" s="54" t="s">
        <v>187</v>
      </c>
      <c r="AO3680" s="54">
        <v>3</v>
      </c>
      <c r="AP3680" s="54">
        <v>6</v>
      </c>
      <c r="AQ3680" s="54">
        <v>4723</v>
      </c>
      <c r="AR3680" s="55">
        <v>28500</v>
      </c>
      <c r="AS3680" s="78">
        <f t="shared" si="61"/>
        <v>0.16571929824561404</v>
      </c>
    </row>
    <row r="3681" spans="39:45">
      <c r="AM3681" s="55">
        <v>2019</v>
      </c>
      <c r="AN3681" s="55" t="s">
        <v>187</v>
      </c>
      <c r="AO3681" s="55">
        <v>3</v>
      </c>
      <c r="AP3681" s="55">
        <v>7</v>
      </c>
      <c r="AQ3681" s="55">
        <v>13403.5</v>
      </c>
      <c r="AR3681" s="55">
        <v>28500</v>
      </c>
      <c r="AS3681" s="78">
        <f t="shared" si="61"/>
        <v>0.4702982456140351</v>
      </c>
    </row>
    <row r="3682" spans="39:45">
      <c r="AM3682" s="54">
        <v>2019</v>
      </c>
      <c r="AN3682" s="54" t="s">
        <v>187</v>
      </c>
      <c r="AO3682" s="54">
        <v>3</v>
      </c>
      <c r="AP3682" s="54">
        <v>8</v>
      </c>
      <c r="AQ3682" s="54">
        <v>21825.5</v>
      </c>
      <c r="AR3682" s="55">
        <v>28500</v>
      </c>
      <c r="AS3682" s="78">
        <f t="shared" si="61"/>
        <v>0.7658070175438596</v>
      </c>
    </row>
    <row r="3683" spans="39:45">
      <c r="AM3683" s="55">
        <v>2019</v>
      </c>
      <c r="AN3683" s="55" t="s">
        <v>187</v>
      </c>
      <c r="AO3683" s="55">
        <v>3</v>
      </c>
      <c r="AP3683" s="55">
        <v>9</v>
      </c>
      <c r="AQ3683" s="55">
        <v>26302.5</v>
      </c>
      <c r="AR3683" s="55">
        <v>28500</v>
      </c>
      <c r="AS3683" s="78">
        <f t="shared" si="61"/>
        <v>0.92289473684210521</v>
      </c>
    </row>
    <row r="3684" spans="39:45">
      <c r="AM3684" s="54">
        <v>2019</v>
      </c>
      <c r="AN3684" s="54" t="s">
        <v>187</v>
      </c>
      <c r="AO3684" s="54">
        <v>3</v>
      </c>
      <c r="AP3684" s="54">
        <v>10</v>
      </c>
      <c r="AQ3684" s="54">
        <v>21773.5</v>
      </c>
      <c r="AR3684" s="55">
        <v>28500</v>
      </c>
      <c r="AS3684" s="78">
        <f t="shared" si="61"/>
        <v>0.76398245614035087</v>
      </c>
    </row>
    <row r="3685" spans="39:45">
      <c r="AM3685" s="55">
        <v>2019</v>
      </c>
      <c r="AN3685" s="55" t="s">
        <v>187</v>
      </c>
      <c r="AO3685" s="55">
        <v>3</v>
      </c>
      <c r="AP3685" s="55">
        <v>11</v>
      </c>
      <c r="AQ3685" s="55">
        <v>13925</v>
      </c>
      <c r="AR3685" s="55">
        <v>28500</v>
      </c>
      <c r="AS3685" s="78">
        <f t="shared" si="61"/>
        <v>0.4885964912280702</v>
      </c>
    </row>
    <row r="3686" spans="39:45">
      <c r="AM3686" s="54">
        <v>2019</v>
      </c>
      <c r="AN3686" s="54" t="s">
        <v>187</v>
      </c>
      <c r="AO3686" s="54">
        <v>3</v>
      </c>
      <c r="AP3686" s="54">
        <v>12</v>
      </c>
      <c r="AQ3686" s="54">
        <v>10458.5</v>
      </c>
      <c r="AR3686" s="55">
        <v>28500</v>
      </c>
      <c r="AS3686" s="78">
        <f t="shared" si="61"/>
        <v>0.36696491228070177</v>
      </c>
    </row>
    <row r="3687" spans="39:45">
      <c r="AM3687" s="55">
        <v>2019</v>
      </c>
      <c r="AN3687" s="55" t="s">
        <v>187</v>
      </c>
      <c r="AO3687" s="55">
        <v>3</v>
      </c>
      <c r="AP3687" s="55">
        <v>13</v>
      </c>
      <c r="AQ3687" s="55">
        <v>34956</v>
      </c>
      <c r="AR3687" s="55">
        <v>28500</v>
      </c>
      <c r="AS3687" s="78">
        <f t="shared" si="61"/>
        <v>1.2265263157894737</v>
      </c>
    </row>
    <row r="3688" spans="39:45">
      <c r="AM3688" s="54">
        <v>2019</v>
      </c>
      <c r="AN3688" s="54" t="s">
        <v>187</v>
      </c>
      <c r="AO3688" s="54">
        <v>3</v>
      </c>
      <c r="AP3688" s="54">
        <v>14</v>
      </c>
      <c r="AQ3688" s="54">
        <v>9540</v>
      </c>
      <c r="AR3688" s="55">
        <v>28500</v>
      </c>
      <c r="AS3688" s="78">
        <f t="shared" si="61"/>
        <v>0.33473684210526317</v>
      </c>
    </row>
    <row r="3689" spans="39:45">
      <c r="AM3689" s="55">
        <v>2019</v>
      </c>
      <c r="AN3689" s="55" t="s">
        <v>187</v>
      </c>
      <c r="AO3689" s="55">
        <v>3</v>
      </c>
      <c r="AP3689" s="55">
        <v>15</v>
      </c>
      <c r="AQ3689" s="55">
        <v>23366</v>
      </c>
      <c r="AR3689" s="55">
        <v>28500</v>
      </c>
      <c r="AS3689" s="78">
        <f t="shared" si="61"/>
        <v>0.81985964912280707</v>
      </c>
    </row>
    <row r="3690" spans="39:45">
      <c r="AM3690" s="54">
        <v>2019</v>
      </c>
      <c r="AN3690" s="54" t="s">
        <v>187</v>
      </c>
      <c r="AO3690" s="54">
        <v>3</v>
      </c>
      <c r="AP3690" s="54">
        <v>16</v>
      </c>
      <c r="AQ3690" s="54">
        <v>18303</v>
      </c>
      <c r="AR3690" s="55">
        <v>28500</v>
      </c>
      <c r="AS3690" s="78">
        <f t="shared" si="61"/>
        <v>0.64221052631578945</v>
      </c>
    </row>
    <row r="3691" spans="39:45">
      <c r="AM3691" s="55">
        <v>2019</v>
      </c>
      <c r="AN3691" s="55" t="s">
        <v>187</v>
      </c>
      <c r="AO3691" s="55">
        <v>3</v>
      </c>
      <c r="AP3691" s="55">
        <v>17</v>
      </c>
      <c r="AQ3691" s="55">
        <v>9244</v>
      </c>
      <c r="AR3691" s="55">
        <v>28500</v>
      </c>
      <c r="AS3691" s="78">
        <f t="shared" si="61"/>
        <v>0.32435087719298245</v>
      </c>
    </row>
    <row r="3692" spans="39:45">
      <c r="AM3692" s="54">
        <v>2019</v>
      </c>
      <c r="AN3692" s="54" t="s">
        <v>187</v>
      </c>
      <c r="AO3692" s="54">
        <v>3</v>
      </c>
      <c r="AP3692" s="54">
        <v>18</v>
      </c>
      <c r="AQ3692" s="54">
        <v>2349.5</v>
      </c>
      <c r="AR3692" s="55">
        <v>28500</v>
      </c>
      <c r="AS3692" s="78">
        <f t="shared" si="61"/>
        <v>8.2438596491228075E-2</v>
      </c>
    </row>
    <row r="3693" spans="39:45">
      <c r="AM3693" s="55">
        <v>2019</v>
      </c>
      <c r="AN3693" s="55" t="s">
        <v>187</v>
      </c>
      <c r="AO3693" s="55">
        <v>3</v>
      </c>
      <c r="AP3693" s="55">
        <v>19</v>
      </c>
      <c r="AQ3693" s="55">
        <v>876</v>
      </c>
      <c r="AR3693" s="55">
        <v>28500</v>
      </c>
      <c r="AS3693" s="78">
        <f t="shared" si="61"/>
        <v>3.073684210526316E-2</v>
      </c>
    </row>
    <row r="3694" spans="39:45">
      <c r="AM3694" s="54">
        <v>2019</v>
      </c>
      <c r="AN3694" s="54" t="s">
        <v>187</v>
      </c>
      <c r="AO3694" s="54">
        <v>3</v>
      </c>
      <c r="AP3694" s="54">
        <v>20</v>
      </c>
      <c r="AQ3694" s="54">
        <v>0</v>
      </c>
      <c r="AR3694" s="55">
        <v>28500</v>
      </c>
      <c r="AS3694" s="78">
        <f t="shared" si="61"/>
        <v>0</v>
      </c>
    </row>
    <row r="3695" spans="39:45">
      <c r="AM3695" s="55">
        <v>2019</v>
      </c>
      <c r="AN3695" s="55" t="s">
        <v>187</v>
      </c>
      <c r="AO3695" s="55">
        <v>3</v>
      </c>
      <c r="AP3695" s="55">
        <v>21</v>
      </c>
      <c r="AQ3695" s="55">
        <v>0</v>
      </c>
      <c r="AR3695" s="55">
        <v>28500</v>
      </c>
      <c r="AS3695" s="78">
        <f t="shared" si="61"/>
        <v>0</v>
      </c>
    </row>
    <row r="3696" spans="39:45">
      <c r="AM3696" s="54">
        <v>2019</v>
      </c>
      <c r="AN3696" s="54" t="s">
        <v>187</v>
      </c>
      <c r="AO3696" s="54">
        <v>3</v>
      </c>
      <c r="AP3696" s="54">
        <v>22</v>
      </c>
      <c r="AQ3696" s="54">
        <v>0</v>
      </c>
      <c r="AR3696" s="55">
        <v>28500</v>
      </c>
      <c r="AS3696" s="78">
        <f t="shared" si="61"/>
        <v>0</v>
      </c>
    </row>
    <row r="3697" spans="39:45">
      <c r="AM3697" s="55">
        <v>2019</v>
      </c>
      <c r="AN3697" s="55" t="s">
        <v>187</v>
      </c>
      <c r="AO3697" s="55">
        <v>3</v>
      </c>
      <c r="AP3697" s="55">
        <v>23</v>
      </c>
      <c r="AQ3697" s="55">
        <v>0</v>
      </c>
      <c r="AR3697" s="55">
        <v>28500</v>
      </c>
      <c r="AS3697" s="78">
        <f t="shared" si="61"/>
        <v>0</v>
      </c>
    </row>
    <row r="3698" spans="39:45">
      <c r="AM3698" s="54">
        <v>2019</v>
      </c>
      <c r="AN3698" s="54" t="s">
        <v>187</v>
      </c>
      <c r="AO3698" s="54">
        <v>4</v>
      </c>
      <c r="AP3698" s="54">
        <v>24</v>
      </c>
      <c r="AQ3698" s="54">
        <v>0</v>
      </c>
      <c r="AR3698" s="55">
        <v>28500</v>
      </c>
      <c r="AS3698" s="78">
        <f t="shared" si="61"/>
        <v>0</v>
      </c>
    </row>
    <row r="3699" spans="39:45">
      <c r="AM3699" s="55">
        <v>2019</v>
      </c>
      <c r="AN3699" s="55" t="s">
        <v>187</v>
      </c>
      <c r="AO3699" s="55">
        <v>4</v>
      </c>
      <c r="AP3699" s="55">
        <v>1</v>
      </c>
      <c r="AQ3699" s="55">
        <v>0</v>
      </c>
      <c r="AR3699" s="55">
        <v>28500</v>
      </c>
      <c r="AS3699" s="78">
        <f t="shared" si="61"/>
        <v>0</v>
      </c>
    </row>
    <row r="3700" spans="39:45">
      <c r="AM3700" s="54">
        <v>2019</v>
      </c>
      <c r="AN3700" s="54" t="s">
        <v>187</v>
      </c>
      <c r="AO3700" s="54">
        <v>4</v>
      </c>
      <c r="AP3700" s="54">
        <v>2</v>
      </c>
      <c r="AQ3700" s="54">
        <v>0</v>
      </c>
      <c r="AR3700" s="55">
        <v>28500</v>
      </c>
      <c r="AS3700" s="78">
        <f t="shared" si="61"/>
        <v>0</v>
      </c>
    </row>
    <row r="3701" spans="39:45">
      <c r="AM3701" s="55">
        <v>2019</v>
      </c>
      <c r="AN3701" s="55" t="s">
        <v>187</v>
      </c>
      <c r="AO3701" s="55">
        <v>4</v>
      </c>
      <c r="AP3701" s="55">
        <v>3</v>
      </c>
      <c r="AQ3701" s="55">
        <v>0</v>
      </c>
      <c r="AR3701" s="55">
        <v>28500</v>
      </c>
      <c r="AS3701" s="78">
        <f t="shared" si="61"/>
        <v>0</v>
      </c>
    </row>
    <row r="3702" spans="39:45">
      <c r="AM3702" s="54">
        <v>2019</v>
      </c>
      <c r="AN3702" s="54" t="s">
        <v>187</v>
      </c>
      <c r="AO3702" s="54">
        <v>4</v>
      </c>
      <c r="AP3702" s="54">
        <v>4</v>
      </c>
      <c r="AQ3702" s="54">
        <v>0</v>
      </c>
      <c r="AR3702" s="55">
        <v>28500</v>
      </c>
      <c r="AS3702" s="78">
        <f t="shared" si="61"/>
        <v>0</v>
      </c>
    </row>
    <row r="3703" spans="39:45">
      <c r="AM3703" s="55">
        <v>2019</v>
      </c>
      <c r="AN3703" s="55" t="s">
        <v>187</v>
      </c>
      <c r="AO3703" s="55">
        <v>4</v>
      </c>
      <c r="AP3703" s="55">
        <v>5</v>
      </c>
      <c r="AQ3703" s="55">
        <v>1418.5</v>
      </c>
      <c r="AR3703" s="55">
        <v>28500</v>
      </c>
      <c r="AS3703" s="78">
        <f t="shared" si="61"/>
        <v>4.9771929824561405E-2</v>
      </c>
    </row>
    <row r="3704" spans="39:45">
      <c r="AM3704" s="54">
        <v>2019</v>
      </c>
      <c r="AN3704" s="54" t="s">
        <v>187</v>
      </c>
      <c r="AO3704" s="54">
        <v>4</v>
      </c>
      <c r="AP3704" s="54">
        <v>6</v>
      </c>
      <c r="AQ3704" s="54">
        <v>4080.5</v>
      </c>
      <c r="AR3704" s="55">
        <v>28500</v>
      </c>
      <c r="AS3704" s="78">
        <f t="shared" si="61"/>
        <v>0.14317543859649123</v>
      </c>
    </row>
    <row r="3705" spans="39:45">
      <c r="AM3705" s="55">
        <v>2019</v>
      </c>
      <c r="AN3705" s="55" t="s">
        <v>187</v>
      </c>
      <c r="AO3705" s="55">
        <v>4</v>
      </c>
      <c r="AP3705" s="55">
        <v>7</v>
      </c>
      <c r="AQ3705" s="55">
        <v>7248</v>
      </c>
      <c r="AR3705" s="55">
        <v>28500</v>
      </c>
      <c r="AS3705" s="78">
        <f t="shared" si="61"/>
        <v>0.25431578947368422</v>
      </c>
    </row>
    <row r="3706" spans="39:45">
      <c r="AM3706" s="54">
        <v>2019</v>
      </c>
      <c r="AN3706" s="54" t="s">
        <v>187</v>
      </c>
      <c r="AO3706" s="54">
        <v>4</v>
      </c>
      <c r="AP3706" s="54">
        <v>8</v>
      </c>
      <c r="AQ3706" s="54">
        <v>3989.5</v>
      </c>
      <c r="AR3706" s="55">
        <v>28500</v>
      </c>
      <c r="AS3706" s="78">
        <f t="shared" si="61"/>
        <v>0.13998245614035087</v>
      </c>
    </row>
    <row r="3707" spans="39:45">
      <c r="AM3707" s="55">
        <v>2019</v>
      </c>
      <c r="AN3707" s="55" t="s">
        <v>187</v>
      </c>
      <c r="AO3707" s="55">
        <v>4</v>
      </c>
      <c r="AP3707" s="55">
        <v>9</v>
      </c>
      <c r="AQ3707" s="55">
        <v>6187</v>
      </c>
      <c r="AR3707" s="55">
        <v>28500</v>
      </c>
      <c r="AS3707" s="78">
        <f t="shared" si="61"/>
        <v>0.21708771929824561</v>
      </c>
    </row>
    <row r="3708" spans="39:45">
      <c r="AM3708" s="54">
        <v>2019</v>
      </c>
      <c r="AN3708" s="54" t="s">
        <v>187</v>
      </c>
      <c r="AO3708" s="54">
        <v>4</v>
      </c>
      <c r="AP3708" s="54">
        <v>10</v>
      </c>
      <c r="AQ3708" s="54">
        <v>6952.5</v>
      </c>
      <c r="AR3708" s="55">
        <v>28500</v>
      </c>
      <c r="AS3708" s="78">
        <f t="shared" si="61"/>
        <v>0.24394736842105263</v>
      </c>
    </row>
    <row r="3709" spans="39:45">
      <c r="AM3709" s="55">
        <v>2019</v>
      </c>
      <c r="AN3709" s="55" t="s">
        <v>187</v>
      </c>
      <c r="AO3709" s="55">
        <v>4</v>
      </c>
      <c r="AP3709" s="55">
        <v>11</v>
      </c>
      <c r="AQ3709" s="55">
        <v>4104.5</v>
      </c>
      <c r="AR3709" s="55">
        <v>28500</v>
      </c>
      <c r="AS3709" s="78">
        <f t="shared" si="61"/>
        <v>0.14401754385964913</v>
      </c>
    </row>
    <row r="3710" spans="39:45">
      <c r="AM3710" s="54">
        <v>2019</v>
      </c>
      <c r="AN3710" s="54" t="s">
        <v>187</v>
      </c>
      <c r="AO3710" s="54">
        <v>4</v>
      </c>
      <c r="AP3710" s="54">
        <v>12</v>
      </c>
      <c r="AQ3710" s="54">
        <v>4904.5</v>
      </c>
      <c r="AR3710" s="55">
        <v>28500</v>
      </c>
      <c r="AS3710" s="78">
        <f t="shared" si="61"/>
        <v>0.17208771929824562</v>
      </c>
    </row>
    <row r="3711" spans="39:45">
      <c r="AM3711" s="55">
        <v>2019</v>
      </c>
      <c r="AN3711" s="55" t="s">
        <v>187</v>
      </c>
      <c r="AO3711" s="55">
        <v>4</v>
      </c>
      <c r="AP3711" s="55">
        <v>13</v>
      </c>
      <c r="AQ3711" s="55">
        <v>2675</v>
      </c>
      <c r="AR3711" s="55">
        <v>28500</v>
      </c>
      <c r="AS3711" s="78">
        <f t="shared" si="61"/>
        <v>9.3859649122807018E-2</v>
      </c>
    </row>
    <row r="3712" spans="39:45">
      <c r="AM3712" s="54">
        <v>2019</v>
      </c>
      <c r="AN3712" s="54" t="s">
        <v>187</v>
      </c>
      <c r="AO3712" s="54">
        <v>4</v>
      </c>
      <c r="AP3712" s="54">
        <v>14</v>
      </c>
      <c r="AQ3712" s="54">
        <v>5152.5</v>
      </c>
      <c r="AR3712" s="55">
        <v>28500</v>
      </c>
      <c r="AS3712" s="78">
        <f t="shared" si="61"/>
        <v>0.18078947368421053</v>
      </c>
    </row>
    <row r="3713" spans="39:45">
      <c r="AM3713" s="55">
        <v>2019</v>
      </c>
      <c r="AN3713" s="55" t="s">
        <v>187</v>
      </c>
      <c r="AO3713" s="55">
        <v>4</v>
      </c>
      <c r="AP3713" s="55">
        <v>15</v>
      </c>
      <c r="AQ3713" s="55">
        <v>2015</v>
      </c>
      <c r="AR3713" s="55">
        <v>28500</v>
      </c>
      <c r="AS3713" s="78">
        <f t="shared" si="61"/>
        <v>7.0701754385964918E-2</v>
      </c>
    </row>
    <row r="3714" spans="39:45">
      <c r="AM3714" s="54">
        <v>2019</v>
      </c>
      <c r="AN3714" s="54" t="s">
        <v>187</v>
      </c>
      <c r="AO3714" s="54">
        <v>4</v>
      </c>
      <c r="AP3714" s="54">
        <v>16</v>
      </c>
      <c r="AQ3714" s="54">
        <v>5418.5</v>
      </c>
      <c r="AR3714" s="55">
        <v>28500</v>
      </c>
      <c r="AS3714" s="78">
        <f t="shared" ref="AS3714:AS3777" si="62">AQ3714/AR3714</f>
        <v>0.19012280701754386</v>
      </c>
    </row>
    <row r="3715" spans="39:45">
      <c r="AM3715" s="55">
        <v>2019</v>
      </c>
      <c r="AN3715" s="55" t="s">
        <v>187</v>
      </c>
      <c r="AO3715" s="55">
        <v>4</v>
      </c>
      <c r="AP3715" s="55">
        <v>17</v>
      </c>
      <c r="AQ3715" s="55">
        <v>4849</v>
      </c>
      <c r="AR3715" s="55">
        <v>28500</v>
      </c>
      <c r="AS3715" s="78">
        <f t="shared" si="62"/>
        <v>0.17014035087719298</v>
      </c>
    </row>
    <row r="3716" spans="39:45">
      <c r="AM3716" s="54">
        <v>2019</v>
      </c>
      <c r="AN3716" s="54" t="s">
        <v>187</v>
      </c>
      <c r="AO3716" s="54">
        <v>4</v>
      </c>
      <c r="AP3716" s="54">
        <v>18</v>
      </c>
      <c r="AQ3716" s="54">
        <v>2643.5</v>
      </c>
      <c r="AR3716" s="55">
        <v>28500</v>
      </c>
      <c r="AS3716" s="78">
        <f t="shared" si="62"/>
        <v>9.2754385964912284E-2</v>
      </c>
    </row>
    <row r="3717" spans="39:45">
      <c r="AM3717" s="55">
        <v>2019</v>
      </c>
      <c r="AN3717" s="55" t="s">
        <v>187</v>
      </c>
      <c r="AO3717" s="55">
        <v>4</v>
      </c>
      <c r="AP3717" s="55">
        <v>19</v>
      </c>
      <c r="AQ3717" s="55">
        <v>876.5</v>
      </c>
      <c r="AR3717" s="55">
        <v>28500</v>
      </c>
      <c r="AS3717" s="78">
        <f t="shared" si="62"/>
        <v>3.0754385964912281E-2</v>
      </c>
    </row>
    <row r="3718" spans="39:45">
      <c r="AM3718" s="54">
        <v>2019</v>
      </c>
      <c r="AN3718" s="54" t="s">
        <v>187</v>
      </c>
      <c r="AO3718" s="54">
        <v>4</v>
      </c>
      <c r="AP3718" s="54">
        <v>20</v>
      </c>
      <c r="AQ3718" s="54">
        <v>0</v>
      </c>
      <c r="AR3718" s="55">
        <v>28500</v>
      </c>
      <c r="AS3718" s="78">
        <f t="shared" si="62"/>
        <v>0</v>
      </c>
    </row>
    <row r="3719" spans="39:45">
      <c r="AM3719" s="55">
        <v>2019</v>
      </c>
      <c r="AN3719" s="55" t="s">
        <v>187</v>
      </c>
      <c r="AO3719" s="55">
        <v>4</v>
      </c>
      <c r="AP3719" s="55">
        <v>21</v>
      </c>
      <c r="AQ3719" s="55">
        <v>0</v>
      </c>
      <c r="AR3719" s="55">
        <v>28500</v>
      </c>
      <c r="AS3719" s="78">
        <f t="shared" si="62"/>
        <v>0</v>
      </c>
    </row>
    <row r="3720" spans="39:45">
      <c r="AM3720" s="54">
        <v>2019</v>
      </c>
      <c r="AN3720" s="54" t="s">
        <v>187</v>
      </c>
      <c r="AO3720" s="54">
        <v>4</v>
      </c>
      <c r="AP3720" s="54">
        <v>22</v>
      </c>
      <c r="AQ3720" s="54">
        <v>0</v>
      </c>
      <c r="AR3720" s="55">
        <v>28500</v>
      </c>
      <c r="AS3720" s="78">
        <f t="shared" si="62"/>
        <v>0</v>
      </c>
    </row>
    <row r="3721" spans="39:45">
      <c r="AM3721" s="55">
        <v>2019</v>
      </c>
      <c r="AN3721" s="55" t="s">
        <v>187</v>
      </c>
      <c r="AO3721" s="55">
        <v>4</v>
      </c>
      <c r="AP3721" s="55">
        <v>23</v>
      </c>
      <c r="AQ3721" s="55">
        <v>0</v>
      </c>
      <c r="AR3721" s="55">
        <v>28500</v>
      </c>
      <c r="AS3721" s="78">
        <f t="shared" si="62"/>
        <v>0</v>
      </c>
    </row>
    <row r="3722" spans="39:45">
      <c r="AM3722" s="54">
        <v>2019</v>
      </c>
      <c r="AN3722" s="54" t="s">
        <v>187</v>
      </c>
      <c r="AO3722" s="54">
        <v>5</v>
      </c>
      <c r="AP3722" s="54">
        <v>24</v>
      </c>
      <c r="AQ3722" s="54">
        <v>0</v>
      </c>
      <c r="AR3722" s="55">
        <v>28500</v>
      </c>
      <c r="AS3722" s="78">
        <f t="shared" si="62"/>
        <v>0</v>
      </c>
    </row>
    <row r="3723" spans="39:45">
      <c r="AM3723" s="55">
        <v>2019</v>
      </c>
      <c r="AN3723" s="55" t="s">
        <v>187</v>
      </c>
      <c r="AO3723" s="55">
        <v>5</v>
      </c>
      <c r="AP3723" s="55">
        <v>1</v>
      </c>
      <c r="AQ3723" s="55">
        <v>0</v>
      </c>
      <c r="AR3723" s="55">
        <v>28500</v>
      </c>
      <c r="AS3723" s="78">
        <f t="shared" si="62"/>
        <v>0</v>
      </c>
    </row>
    <row r="3724" spans="39:45">
      <c r="AM3724" s="54">
        <v>2019</v>
      </c>
      <c r="AN3724" s="54" t="s">
        <v>187</v>
      </c>
      <c r="AO3724" s="54">
        <v>5</v>
      </c>
      <c r="AP3724" s="54">
        <v>2</v>
      </c>
      <c r="AQ3724" s="54">
        <v>0</v>
      </c>
      <c r="AR3724" s="55">
        <v>28500</v>
      </c>
      <c r="AS3724" s="78">
        <f t="shared" si="62"/>
        <v>0</v>
      </c>
    </row>
    <row r="3725" spans="39:45">
      <c r="AM3725" s="55">
        <v>2019</v>
      </c>
      <c r="AN3725" s="55" t="s">
        <v>187</v>
      </c>
      <c r="AO3725" s="55">
        <v>5</v>
      </c>
      <c r="AP3725" s="55">
        <v>3</v>
      </c>
      <c r="AQ3725" s="55">
        <v>0</v>
      </c>
      <c r="AR3725" s="55">
        <v>28500</v>
      </c>
      <c r="AS3725" s="78">
        <f t="shared" si="62"/>
        <v>0</v>
      </c>
    </row>
    <row r="3726" spans="39:45">
      <c r="AM3726" s="54">
        <v>2019</v>
      </c>
      <c r="AN3726" s="54" t="s">
        <v>187</v>
      </c>
      <c r="AO3726" s="54">
        <v>5</v>
      </c>
      <c r="AP3726" s="54">
        <v>4</v>
      </c>
      <c r="AQ3726" s="54">
        <v>0</v>
      </c>
      <c r="AR3726" s="55">
        <v>28500</v>
      </c>
      <c r="AS3726" s="78">
        <f t="shared" si="62"/>
        <v>0</v>
      </c>
    </row>
    <row r="3727" spans="39:45">
      <c r="AM3727" s="55">
        <v>2019</v>
      </c>
      <c r="AN3727" s="55" t="s">
        <v>187</v>
      </c>
      <c r="AO3727" s="55">
        <v>5</v>
      </c>
      <c r="AP3727" s="55">
        <v>5</v>
      </c>
      <c r="AQ3727" s="55">
        <v>1575.5</v>
      </c>
      <c r="AR3727" s="55">
        <v>28500</v>
      </c>
      <c r="AS3727" s="78">
        <f t="shared" si="62"/>
        <v>5.5280701754385965E-2</v>
      </c>
    </row>
    <row r="3728" spans="39:45">
      <c r="AM3728" s="54">
        <v>2019</v>
      </c>
      <c r="AN3728" s="54" t="s">
        <v>187</v>
      </c>
      <c r="AO3728" s="54">
        <v>5</v>
      </c>
      <c r="AP3728" s="54">
        <v>6</v>
      </c>
      <c r="AQ3728" s="54">
        <v>5087</v>
      </c>
      <c r="AR3728" s="55">
        <v>28500</v>
      </c>
      <c r="AS3728" s="78">
        <f t="shared" si="62"/>
        <v>0.17849122807017545</v>
      </c>
    </row>
    <row r="3729" spans="39:45">
      <c r="AM3729" s="55">
        <v>2019</v>
      </c>
      <c r="AN3729" s="55" t="s">
        <v>187</v>
      </c>
      <c r="AO3729" s="55">
        <v>5</v>
      </c>
      <c r="AP3729" s="55">
        <v>7</v>
      </c>
      <c r="AQ3729" s="55">
        <v>13635.5</v>
      </c>
      <c r="AR3729" s="55">
        <v>28500</v>
      </c>
      <c r="AS3729" s="78">
        <f t="shared" si="62"/>
        <v>0.47843859649122805</v>
      </c>
    </row>
    <row r="3730" spans="39:45">
      <c r="AM3730" s="54">
        <v>2019</v>
      </c>
      <c r="AN3730" s="54" t="s">
        <v>187</v>
      </c>
      <c r="AO3730" s="54">
        <v>5</v>
      </c>
      <c r="AP3730" s="54">
        <v>8</v>
      </c>
      <c r="AQ3730" s="54">
        <v>19616.5</v>
      </c>
      <c r="AR3730" s="55">
        <v>28500</v>
      </c>
      <c r="AS3730" s="78">
        <f t="shared" si="62"/>
        <v>0.68829824561403508</v>
      </c>
    </row>
    <row r="3731" spans="39:45">
      <c r="AM3731" s="55">
        <v>2019</v>
      </c>
      <c r="AN3731" s="55" t="s">
        <v>187</v>
      </c>
      <c r="AO3731" s="55">
        <v>5</v>
      </c>
      <c r="AP3731" s="55">
        <v>9</v>
      </c>
      <c r="AQ3731" s="55">
        <v>24457</v>
      </c>
      <c r="AR3731" s="55">
        <v>28500</v>
      </c>
      <c r="AS3731" s="78">
        <f t="shared" si="62"/>
        <v>0.85814035087719298</v>
      </c>
    </row>
    <row r="3732" spans="39:45">
      <c r="AM3732" s="54">
        <v>2019</v>
      </c>
      <c r="AN3732" s="54" t="s">
        <v>187</v>
      </c>
      <c r="AO3732" s="54">
        <v>5</v>
      </c>
      <c r="AP3732" s="54">
        <v>10</v>
      </c>
      <c r="AQ3732" s="54">
        <v>23551.5</v>
      </c>
      <c r="AR3732" s="55">
        <v>28500</v>
      </c>
      <c r="AS3732" s="78">
        <f t="shared" si="62"/>
        <v>0.82636842105263153</v>
      </c>
    </row>
    <row r="3733" spans="39:45">
      <c r="AM3733" s="55">
        <v>2019</v>
      </c>
      <c r="AN3733" s="55" t="s">
        <v>187</v>
      </c>
      <c r="AO3733" s="55">
        <v>5</v>
      </c>
      <c r="AP3733" s="55">
        <v>11</v>
      </c>
      <c r="AQ3733" s="55">
        <v>22419</v>
      </c>
      <c r="AR3733" s="55">
        <v>28500</v>
      </c>
      <c r="AS3733" s="78">
        <f t="shared" si="62"/>
        <v>0.78663157894736846</v>
      </c>
    </row>
    <row r="3734" spans="39:45">
      <c r="AM3734" s="54">
        <v>2019</v>
      </c>
      <c r="AN3734" s="54" t="s">
        <v>187</v>
      </c>
      <c r="AO3734" s="54">
        <v>5</v>
      </c>
      <c r="AP3734" s="54">
        <v>12</v>
      </c>
      <c r="AQ3734" s="54">
        <v>19231</v>
      </c>
      <c r="AR3734" s="55">
        <v>28500</v>
      </c>
      <c r="AS3734" s="78">
        <f t="shared" si="62"/>
        <v>0.67477192982456136</v>
      </c>
    </row>
    <row r="3735" spans="39:45">
      <c r="AM3735" s="55">
        <v>2019</v>
      </c>
      <c r="AN3735" s="55" t="s">
        <v>187</v>
      </c>
      <c r="AO3735" s="55">
        <v>5</v>
      </c>
      <c r="AP3735" s="55">
        <v>13</v>
      </c>
      <c r="AQ3735" s="55">
        <v>5805</v>
      </c>
      <c r="AR3735" s="55">
        <v>28500</v>
      </c>
      <c r="AS3735" s="78">
        <f t="shared" si="62"/>
        <v>0.2036842105263158</v>
      </c>
    </row>
    <row r="3736" spans="39:45">
      <c r="AM3736" s="54">
        <v>2019</v>
      </c>
      <c r="AN3736" s="54" t="s">
        <v>187</v>
      </c>
      <c r="AO3736" s="54">
        <v>5</v>
      </c>
      <c r="AP3736" s="54">
        <v>14</v>
      </c>
      <c r="AQ3736" s="54">
        <v>10091.5</v>
      </c>
      <c r="AR3736" s="55">
        <v>28500</v>
      </c>
      <c r="AS3736" s="78">
        <f t="shared" si="62"/>
        <v>0.35408771929824562</v>
      </c>
    </row>
    <row r="3737" spans="39:45">
      <c r="AM3737" s="55">
        <v>2019</v>
      </c>
      <c r="AN3737" s="55" t="s">
        <v>187</v>
      </c>
      <c r="AO3737" s="55">
        <v>5</v>
      </c>
      <c r="AP3737" s="55">
        <v>15</v>
      </c>
      <c r="AQ3737" s="55">
        <v>7061.5</v>
      </c>
      <c r="AR3737" s="55">
        <v>28500</v>
      </c>
      <c r="AS3737" s="78">
        <f t="shared" si="62"/>
        <v>0.24777192982456139</v>
      </c>
    </row>
    <row r="3738" spans="39:45">
      <c r="AM3738" s="54">
        <v>2019</v>
      </c>
      <c r="AN3738" s="54" t="s">
        <v>187</v>
      </c>
      <c r="AO3738" s="54">
        <v>5</v>
      </c>
      <c r="AP3738" s="54">
        <v>16</v>
      </c>
      <c r="AQ3738" s="54">
        <v>3340.5</v>
      </c>
      <c r="AR3738" s="55">
        <v>28500</v>
      </c>
      <c r="AS3738" s="78">
        <f t="shared" si="62"/>
        <v>0.11721052631578947</v>
      </c>
    </row>
    <row r="3739" spans="39:45">
      <c r="AM3739" s="55">
        <v>2019</v>
      </c>
      <c r="AN3739" s="55" t="s">
        <v>187</v>
      </c>
      <c r="AO3739" s="55">
        <v>5</v>
      </c>
      <c r="AP3739" s="55">
        <v>17</v>
      </c>
      <c r="AQ3739" s="55">
        <v>5575.5</v>
      </c>
      <c r="AR3739" s="55">
        <v>28500</v>
      </c>
      <c r="AS3739" s="78">
        <f t="shared" si="62"/>
        <v>0.19563157894736843</v>
      </c>
    </row>
    <row r="3740" spans="39:45">
      <c r="AM3740" s="54">
        <v>2019</v>
      </c>
      <c r="AN3740" s="54" t="s">
        <v>187</v>
      </c>
      <c r="AO3740" s="54">
        <v>5</v>
      </c>
      <c r="AP3740" s="54">
        <v>18</v>
      </c>
      <c r="AQ3740" s="54">
        <v>2771</v>
      </c>
      <c r="AR3740" s="55">
        <v>28500</v>
      </c>
      <c r="AS3740" s="78">
        <f t="shared" si="62"/>
        <v>9.7228070175438594E-2</v>
      </c>
    </row>
    <row r="3741" spans="39:45">
      <c r="AM3741" s="55">
        <v>2019</v>
      </c>
      <c r="AN3741" s="55" t="s">
        <v>187</v>
      </c>
      <c r="AO3741" s="55">
        <v>5</v>
      </c>
      <c r="AP3741" s="55">
        <v>19</v>
      </c>
      <c r="AQ3741" s="55">
        <v>37</v>
      </c>
      <c r="AR3741" s="55">
        <v>28500</v>
      </c>
      <c r="AS3741" s="78">
        <f t="shared" si="62"/>
        <v>1.2982456140350877E-3</v>
      </c>
    </row>
    <row r="3742" spans="39:45">
      <c r="AM3742" s="54">
        <v>2019</v>
      </c>
      <c r="AN3742" s="54" t="s">
        <v>187</v>
      </c>
      <c r="AO3742" s="54">
        <v>5</v>
      </c>
      <c r="AP3742" s="54">
        <v>20</v>
      </c>
      <c r="AQ3742" s="54">
        <v>0</v>
      </c>
      <c r="AR3742" s="55">
        <v>28500</v>
      </c>
      <c r="AS3742" s="78">
        <f t="shared" si="62"/>
        <v>0</v>
      </c>
    </row>
    <row r="3743" spans="39:45">
      <c r="AM3743" s="55">
        <v>2019</v>
      </c>
      <c r="AN3743" s="55" t="s">
        <v>187</v>
      </c>
      <c r="AO3743" s="55">
        <v>5</v>
      </c>
      <c r="AP3743" s="55">
        <v>21</v>
      </c>
      <c r="AQ3743" s="55">
        <v>0</v>
      </c>
      <c r="AR3743" s="55">
        <v>28500</v>
      </c>
      <c r="AS3743" s="78">
        <f t="shared" si="62"/>
        <v>0</v>
      </c>
    </row>
    <row r="3744" spans="39:45">
      <c r="AM3744" s="54">
        <v>2019</v>
      </c>
      <c r="AN3744" s="54" t="s">
        <v>187</v>
      </c>
      <c r="AO3744" s="54">
        <v>5</v>
      </c>
      <c r="AP3744" s="54">
        <v>22</v>
      </c>
      <c r="AQ3744" s="54">
        <v>0</v>
      </c>
      <c r="AR3744" s="55">
        <v>28500</v>
      </c>
      <c r="AS3744" s="78">
        <f t="shared" si="62"/>
        <v>0</v>
      </c>
    </row>
    <row r="3745" spans="39:45">
      <c r="AM3745" s="55">
        <v>2019</v>
      </c>
      <c r="AN3745" s="55" t="s">
        <v>187</v>
      </c>
      <c r="AO3745" s="55">
        <v>5</v>
      </c>
      <c r="AP3745" s="55">
        <v>23</v>
      </c>
      <c r="AQ3745" s="55">
        <v>0</v>
      </c>
      <c r="AR3745" s="55">
        <v>28500</v>
      </c>
      <c r="AS3745" s="78">
        <f t="shared" si="62"/>
        <v>0</v>
      </c>
    </row>
    <row r="3746" spans="39:45">
      <c r="AM3746" s="54">
        <v>2019</v>
      </c>
      <c r="AN3746" s="54" t="s">
        <v>187</v>
      </c>
      <c r="AO3746" s="54">
        <v>6</v>
      </c>
      <c r="AP3746" s="54">
        <v>24</v>
      </c>
      <c r="AQ3746" s="54">
        <v>0</v>
      </c>
      <c r="AR3746" s="55">
        <v>28500</v>
      </c>
      <c r="AS3746" s="78">
        <f t="shared" si="62"/>
        <v>0</v>
      </c>
    </row>
    <row r="3747" spans="39:45">
      <c r="AM3747" s="55">
        <v>2019</v>
      </c>
      <c r="AN3747" s="55" t="s">
        <v>187</v>
      </c>
      <c r="AO3747" s="55">
        <v>6</v>
      </c>
      <c r="AP3747" s="55">
        <v>1</v>
      </c>
      <c r="AQ3747" s="55">
        <v>0</v>
      </c>
      <c r="AR3747" s="55">
        <v>28500</v>
      </c>
      <c r="AS3747" s="78">
        <f t="shared" si="62"/>
        <v>0</v>
      </c>
    </row>
    <row r="3748" spans="39:45">
      <c r="AM3748" s="54">
        <v>2019</v>
      </c>
      <c r="AN3748" s="54" t="s">
        <v>187</v>
      </c>
      <c r="AO3748" s="54">
        <v>6</v>
      </c>
      <c r="AP3748" s="54">
        <v>2</v>
      </c>
      <c r="AQ3748" s="54">
        <v>0</v>
      </c>
      <c r="AR3748" s="55">
        <v>28500</v>
      </c>
      <c r="AS3748" s="78">
        <f t="shared" si="62"/>
        <v>0</v>
      </c>
    </row>
    <row r="3749" spans="39:45">
      <c r="AM3749" s="55">
        <v>2019</v>
      </c>
      <c r="AN3749" s="55" t="s">
        <v>187</v>
      </c>
      <c r="AO3749" s="55">
        <v>6</v>
      </c>
      <c r="AP3749" s="55">
        <v>3</v>
      </c>
      <c r="AQ3749" s="55">
        <v>0</v>
      </c>
      <c r="AR3749" s="55">
        <v>28500</v>
      </c>
      <c r="AS3749" s="78">
        <f t="shared" si="62"/>
        <v>0</v>
      </c>
    </row>
    <row r="3750" spans="39:45">
      <c r="AM3750" s="54">
        <v>2019</v>
      </c>
      <c r="AN3750" s="54" t="s">
        <v>187</v>
      </c>
      <c r="AO3750" s="54">
        <v>6</v>
      </c>
      <c r="AP3750" s="54">
        <v>4</v>
      </c>
      <c r="AQ3750" s="54">
        <v>0</v>
      </c>
      <c r="AR3750" s="55">
        <v>28500</v>
      </c>
      <c r="AS3750" s="78">
        <f t="shared" si="62"/>
        <v>0</v>
      </c>
    </row>
    <row r="3751" spans="39:45">
      <c r="AM3751" s="55">
        <v>2019</v>
      </c>
      <c r="AN3751" s="55" t="s">
        <v>187</v>
      </c>
      <c r="AO3751" s="55">
        <v>6</v>
      </c>
      <c r="AP3751" s="55">
        <v>5</v>
      </c>
      <c r="AQ3751" s="55">
        <v>2001.5</v>
      </c>
      <c r="AR3751" s="55">
        <v>28500</v>
      </c>
      <c r="AS3751" s="78">
        <f t="shared" si="62"/>
        <v>7.0228070175438598E-2</v>
      </c>
    </row>
    <row r="3752" spans="39:45">
      <c r="AM3752" s="54">
        <v>2019</v>
      </c>
      <c r="AN3752" s="54" t="s">
        <v>187</v>
      </c>
      <c r="AO3752" s="54">
        <v>6</v>
      </c>
      <c r="AP3752" s="54">
        <v>6</v>
      </c>
      <c r="AQ3752" s="54">
        <v>4136</v>
      </c>
      <c r="AR3752" s="55">
        <v>28500</v>
      </c>
      <c r="AS3752" s="78">
        <f t="shared" si="62"/>
        <v>0.14512280701754385</v>
      </c>
    </row>
    <row r="3753" spans="39:45">
      <c r="AM3753" s="55">
        <v>2019</v>
      </c>
      <c r="AN3753" s="55" t="s">
        <v>187</v>
      </c>
      <c r="AO3753" s="55">
        <v>6</v>
      </c>
      <c r="AP3753" s="55">
        <v>7</v>
      </c>
      <c r="AQ3753" s="55">
        <v>14247.5</v>
      </c>
      <c r="AR3753" s="55">
        <v>28500</v>
      </c>
      <c r="AS3753" s="78">
        <f t="shared" si="62"/>
        <v>0.49991228070175436</v>
      </c>
    </row>
    <row r="3754" spans="39:45">
      <c r="AM3754" s="54">
        <v>2019</v>
      </c>
      <c r="AN3754" s="54" t="s">
        <v>187</v>
      </c>
      <c r="AO3754" s="54">
        <v>6</v>
      </c>
      <c r="AP3754" s="54">
        <v>8</v>
      </c>
      <c r="AQ3754" s="54">
        <v>23847</v>
      </c>
      <c r="AR3754" s="55">
        <v>28500</v>
      </c>
      <c r="AS3754" s="78">
        <f t="shared" si="62"/>
        <v>0.83673684210526311</v>
      </c>
    </row>
    <row r="3755" spans="39:45">
      <c r="AM3755" s="55">
        <v>2019</v>
      </c>
      <c r="AN3755" s="55" t="s">
        <v>187</v>
      </c>
      <c r="AO3755" s="55">
        <v>6</v>
      </c>
      <c r="AP3755" s="55">
        <v>9</v>
      </c>
      <c r="AQ3755" s="55">
        <v>23102</v>
      </c>
      <c r="AR3755" s="55">
        <v>28500</v>
      </c>
      <c r="AS3755" s="78">
        <f t="shared" si="62"/>
        <v>0.8105964912280702</v>
      </c>
    </row>
    <row r="3756" spans="39:45">
      <c r="AM3756" s="54">
        <v>2019</v>
      </c>
      <c r="AN3756" s="54" t="s">
        <v>187</v>
      </c>
      <c r="AO3756" s="54">
        <v>6</v>
      </c>
      <c r="AP3756" s="54">
        <v>10</v>
      </c>
      <c r="AQ3756" s="54">
        <v>16545</v>
      </c>
      <c r="AR3756" s="55">
        <v>28500</v>
      </c>
      <c r="AS3756" s="78">
        <f t="shared" si="62"/>
        <v>0.58052631578947367</v>
      </c>
    </row>
    <row r="3757" spans="39:45">
      <c r="AM3757" s="55">
        <v>2019</v>
      </c>
      <c r="AN3757" s="55" t="s">
        <v>187</v>
      </c>
      <c r="AO3757" s="55">
        <v>6</v>
      </c>
      <c r="AP3757" s="55">
        <v>11</v>
      </c>
      <c r="AQ3757" s="55">
        <v>14868</v>
      </c>
      <c r="AR3757" s="55">
        <v>28500</v>
      </c>
      <c r="AS3757" s="78">
        <f t="shared" si="62"/>
        <v>0.52168421052631575</v>
      </c>
    </row>
    <row r="3758" spans="39:45">
      <c r="AM3758" s="54">
        <v>2019</v>
      </c>
      <c r="AN3758" s="54" t="s">
        <v>187</v>
      </c>
      <c r="AO3758" s="54">
        <v>6</v>
      </c>
      <c r="AP3758" s="54">
        <v>12</v>
      </c>
      <c r="AQ3758" s="54">
        <v>42274</v>
      </c>
      <c r="AR3758" s="55">
        <v>28500</v>
      </c>
      <c r="AS3758" s="78">
        <f t="shared" si="62"/>
        <v>1.4832982456140351</v>
      </c>
    </row>
    <row r="3759" spans="39:45">
      <c r="AM3759" s="55">
        <v>2019</v>
      </c>
      <c r="AN3759" s="55" t="s">
        <v>187</v>
      </c>
      <c r="AO3759" s="55">
        <v>6</v>
      </c>
      <c r="AP3759" s="55">
        <v>13</v>
      </c>
      <c r="AQ3759" s="55">
        <v>39733</v>
      </c>
      <c r="AR3759" s="55">
        <v>28500</v>
      </c>
      <c r="AS3759" s="78">
        <f t="shared" si="62"/>
        <v>1.394140350877193</v>
      </c>
    </row>
    <row r="3760" spans="39:45">
      <c r="AM3760" s="54">
        <v>2019</v>
      </c>
      <c r="AN3760" s="54" t="s">
        <v>187</v>
      </c>
      <c r="AO3760" s="54">
        <v>6</v>
      </c>
      <c r="AP3760" s="54">
        <v>14</v>
      </c>
      <c r="AQ3760" s="54">
        <v>34604</v>
      </c>
      <c r="AR3760" s="55">
        <v>28500</v>
      </c>
      <c r="AS3760" s="78">
        <f t="shared" si="62"/>
        <v>1.2141754385964911</v>
      </c>
    </row>
    <row r="3761" spans="39:45">
      <c r="AM3761" s="55">
        <v>2019</v>
      </c>
      <c r="AN3761" s="55" t="s">
        <v>187</v>
      </c>
      <c r="AO3761" s="55">
        <v>6</v>
      </c>
      <c r="AP3761" s="55">
        <v>15</v>
      </c>
      <c r="AQ3761" s="55">
        <v>29744</v>
      </c>
      <c r="AR3761" s="55">
        <v>28500</v>
      </c>
      <c r="AS3761" s="78">
        <f t="shared" si="62"/>
        <v>1.0436491228070175</v>
      </c>
    </row>
    <row r="3762" spans="39:45">
      <c r="AM3762" s="54">
        <v>2019</v>
      </c>
      <c r="AN3762" s="54" t="s">
        <v>187</v>
      </c>
      <c r="AO3762" s="54">
        <v>6</v>
      </c>
      <c r="AP3762" s="54">
        <v>16</v>
      </c>
      <c r="AQ3762" s="54">
        <v>20036</v>
      </c>
      <c r="AR3762" s="55">
        <v>28500</v>
      </c>
      <c r="AS3762" s="78">
        <f t="shared" si="62"/>
        <v>0.7030175438596491</v>
      </c>
    </row>
    <row r="3763" spans="39:45">
      <c r="AM3763" s="55">
        <v>2019</v>
      </c>
      <c r="AN3763" s="55" t="s">
        <v>187</v>
      </c>
      <c r="AO3763" s="55">
        <v>6</v>
      </c>
      <c r="AP3763" s="55">
        <v>17</v>
      </c>
      <c r="AQ3763" s="55">
        <v>9510</v>
      </c>
      <c r="AR3763" s="55">
        <v>28500</v>
      </c>
      <c r="AS3763" s="78">
        <f t="shared" si="62"/>
        <v>0.33368421052631581</v>
      </c>
    </row>
    <row r="3764" spans="39:45">
      <c r="AM3764" s="54">
        <v>2019</v>
      </c>
      <c r="AN3764" s="54" t="s">
        <v>187</v>
      </c>
      <c r="AO3764" s="54">
        <v>6</v>
      </c>
      <c r="AP3764" s="54">
        <v>18</v>
      </c>
      <c r="AQ3764" s="54">
        <v>2058.5</v>
      </c>
      <c r="AR3764" s="55">
        <v>28500</v>
      </c>
      <c r="AS3764" s="78">
        <f t="shared" si="62"/>
        <v>7.22280701754386E-2</v>
      </c>
    </row>
    <row r="3765" spans="39:45">
      <c r="AM3765" s="55">
        <v>2019</v>
      </c>
      <c r="AN3765" s="55" t="s">
        <v>187</v>
      </c>
      <c r="AO3765" s="55">
        <v>6</v>
      </c>
      <c r="AP3765" s="55">
        <v>19</v>
      </c>
      <c r="AQ3765" s="55">
        <v>941.5</v>
      </c>
      <c r="AR3765" s="55">
        <v>28500</v>
      </c>
      <c r="AS3765" s="78">
        <f t="shared" si="62"/>
        <v>3.3035087719298244E-2</v>
      </c>
    </row>
    <row r="3766" spans="39:45">
      <c r="AM3766" s="54">
        <v>2019</v>
      </c>
      <c r="AN3766" s="54" t="s">
        <v>187</v>
      </c>
      <c r="AO3766" s="54">
        <v>6</v>
      </c>
      <c r="AP3766" s="54">
        <v>20</v>
      </c>
      <c r="AQ3766" s="54">
        <v>0</v>
      </c>
      <c r="AR3766" s="55">
        <v>28500</v>
      </c>
      <c r="AS3766" s="78">
        <f t="shared" si="62"/>
        <v>0</v>
      </c>
    </row>
    <row r="3767" spans="39:45">
      <c r="AM3767" s="55">
        <v>2019</v>
      </c>
      <c r="AN3767" s="55" t="s">
        <v>187</v>
      </c>
      <c r="AO3767" s="55">
        <v>6</v>
      </c>
      <c r="AP3767" s="55">
        <v>21</v>
      </c>
      <c r="AQ3767" s="55">
        <v>0</v>
      </c>
      <c r="AR3767" s="55">
        <v>28500</v>
      </c>
      <c r="AS3767" s="78">
        <f t="shared" si="62"/>
        <v>0</v>
      </c>
    </row>
    <row r="3768" spans="39:45">
      <c r="AM3768" s="54">
        <v>2019</v>
      </c>
      <c r="AN3768" s="54" t="s">
        <v>187</v>
      </c>
      <c r="AO3768" s="54">
        <v>6</v>
      </c>
      <c r="AP3768" s="54">
        <v>22</v>
      </c>
      <c r="AQ3768" s="54">
        <v>0</v>
      </c>
      <c r="AR3768" s="55">
        <v>28500</v>
      </c>
      <c r="AS3768" s="78">
        <f t="shared" si="62"/>
        <v>0</v>
      </c>
    </row>
    <row r="3769" spans="39:45">
      <c r="AM3769" s="55">
        <v>2019</v>
      </c>
      <c r="AN3769" s="55" t="s">
        <v>187</v>
      </c>
      <c r="AO3769" s="55">
        <v>6</v>
      </c>
      <c r="AP3769" s="55">
        <v>23</v>
      </c>
      <c r="AQ3769" s="55">
        <v>0</v>
      </c>
      <c r="AR3769" s="55">
        <v>28500</v>
      </c>
      <c r="AS3769" s="78">
        <f t="shared" si="62"/>
        <v>0</v>
      </c>
    </row>
    <row r="3770" spans="39:45">
      <c r="AM3770" s="54">
        <v>2019</v>
      </c>
      <c r="AN3770" s="54" t="s">
        <v>187</v>
      </c>
      <c r="AO3770" s="54">
        <v>7</v>
      </c>
      <c r="AP3770" s="54">
        <v>24</v>
      </c>
      <c r="AQ3770" s="54">
        <v>0</v>
      </c>
      <c r="AR3770" s="55">
        <v>28500</v>
      </c>
      <c r="AS3770" s="78">
        <f t="shared" si="62"/>
        <v>0</v>
      </c>
    </row>
    <row r="3771" spans="39:45">
      <c r="AM3771" s="55">
        <v>2019</v>
      </c>
      <c r="AN3771" s="55" t="s">
        <v>187</v>
      </c>
      <c r="AO3771" s="55">
        <v>7</v>
      </c>
      <c r="AP3771" s="55">
        <v>1</v>
      </c>
      <c r="AQ3771" s="55">
        <v>0</v>
      </c>
      <c r="AR3771" s="55">
        <v>28500</v>
      </c>
      <c r="AS3771" s="78">
        <f t="shared" si="62"/>
        <v>0</v>
      </c>
    </row>
    <row r="3772" spans="39:45">
      <c r="AM3772" s="54">
        <v>2019</v>
      </c>
      <c r="AN3772" s="54" t="s">
        <v>187</v>
      </c>
      <c r="AO3772" s="54">
        <v>7</v>
      </c>
      <c r="AP3772" s="54">
        <v>2</v>
      </c>
      <c r="AQ3772" s="54">
        <v>0</v>
      </c>
      <c r="AR3772" s="55">
        <v>28500</v>
      </c>
      <c r="AS3772" s="78">
        <f t="shared" si="62"/>
        <v>0</v>
      </c>
    </row>
    <row r="3773" spans="39:45">
      <c r="AM3773" s="55">
        <v>2019</v>
      </c>
      <c r="AN3773" s="55" t="s">
        <v>187</v>
      </c>
      <c r="AO3773" s="55">
        <v>7</v>
      </c>
      <c r="AP3773" s="55">
        <v>3</v>
      </c>
      <c r="AQ3773" s="55">
        <v>0</v>
      </c>
      <c r="AR3773" s="55">
        <v>28500</v>
      </c>
      <c r="AS3773" s="78">
        <f t="shared" si="62"/>
        <v>0</v>
      </c>
    </row>
    <row r="3774" spans="39:45">
      <c r="AM3774" s="54">
        <v>2019</v>
      </c>
      <c r="AN3774" s="54" t="s">
        <v>187</v>
      </c>
      <c r="AO3774" s="54">
        <v>7</v>
      </c>
      <c r="AP3774" s="54">
        <v>4</v>
      </c>
      <c r="AQ3774" s="54">
        <v>0</v>
      </c>
      <c r="AR3774" s="55">
        <v>28500</v>
      </c>
      <c r="AS3774" s="78">
        <f t="shared" si="62"/>
        <v>0</v>
      </c>
    </row>
    <row r="3775" spans="39:45">
      <c r="AM3775" s="55">
        <v>2019</v>
      </c>
      <c r="AN3775" s="55" t="s">
        <v>187</v>
      </c>
      <c r="AO3775" s="55">
        <v>7</v>
      </c>
      <c r="AP3775" s="55">
        <v>5</v>
      </c>
      <c r="AQ3775" s="55">
        <v>140</v>
      </c>
      <c r="AR3775" s="55">
        <v>28500</v>
      </c>
      <c r="AS3775" s="78">
        <f t="shared" si="62"/>
        <v>4.9122807017543861E-3</v>
      </c>
    </row>
    <row r="3776" spans="39:45">
      <c r="AM3776" s="54">
        <v>2019</v>
      </c>
      <c r="AN3776" s="54" t="s">
        <v>187</v>
      </c>
      <c r="AO3776" s="54">
        <v>7</v>
      </c>
      <c r="AP3776" s="54">
        <v>6</v>
      </c>
      <c r="AQ3776" s="54">
        <v>597.5</v>
      </c>
      <c r="AR3776" s="55">
        <v>28500</v>
      </c>
      <c r="AS3776" s="78">
        <f t="shared" si="62"/>
        <v>2.0964912280701756E-2</v>
      </c>
    </row>
    <row r="3777" spans="39:45">
      <c r="AM3777" s="55">
        <v>2019</v>
      </c>
      <c r="AN3777" s="55" t="s">
        <v>187</v>
      </c>
      <c r="AO3777" s="55">
        <v>7</v>
      </c>
      <c r="AP3777" s="55">
        <v>7</v>
      </c>
      <c r="AQ3777" s="55">
        <v>1612</v>
      </c>
      <c r="AR3777" s="55">
        <v>28500</v>
      </c>
      <c r="AS3777" s="78">
        <f t="shared" si="62"/>
        <v>5.6561403508771931E-2</v>
      </c>
    </row>
    <row r="3778" spans="39:45">
      <c r="AM3778" s="54">
        <v>2019</v>
      </c>
      <c r="AN3778" s="54" t="s">
        <v>187</v>
      </c>
      <c r="AO3778" s="54">
        <v>7</v>
      </c>
      <c r="AP3778" s="54">
        <v>8</v>
      </c>
      <c r="AQ3778" s="54">
        <v>5027</v>
      </c>
      <c r="AR3778" s="55">
        <v>28500</v>
      </c>
      <c r="AS3778" s="78">
        <f t="shared" ref="AS3778:AS3841" si="63">AQ3778/AR3778</f>
        <v>0.1763859649122807</v>
      </c>
    </row>
    <row r="3779" spans="39:45">
      <c r="AM3779" s="55">
        <v>2019</v>
      </c>
      <c r="AN3779" s="55" t="s">
        <v>187</v>
      </c>
      <c r="AO3779" s="55">
        <v>7</v>
      </c>
      <c r="AP3779" s="55">
        <v>9</v>
      </c>
      <c r="AQ3779" s="55">
        <v>5699</v>
      </c>
      <c r="AR3779" s="55">
        <v>28500</v>
      </c>
      <c r="AS3779" s="78">
        <f t="shared" si="63"/>
        <v>0.19996491228070176</v>
      </c>
    </row>
    <row r="3780" spans="39:45">
      <c r="AM3780" s="54">
        <v>2019</v>
      </c>
      <c r="AN3780" s="54" t="s">
        <v>187</v>
      </c>
      <c r="AO3780" s="54">
        <v>7</v>
      </c>
      <c r="AP3780" s="54">
        <v>10</v>
      </c>
      <c r="AQ3780" s="54">
        <v>4638</v>
      </c>
      <c r="AR3780" s="55">
        <v>28500</v>
      </c>
      <c r="AS3780" s="78">
        <f t="shared" si="63"/>
        <v>0.16273684210526315</v>
      </c>
    </row>
    <row r="3781" spans="39:45">
      <c r="AM3781" s="55">
        <v>2019</v>
      </c>
      <c r="AN3781" s="55" t="s">
        <v>187</v>
      </c>
      <c r="AO3781" s="55">
        <v>7</v>
      </c>
      <c r="AP3781" s="55">
        <v>11</v>
      </c>
      <c r="AQ3781" s="55">
        <v>2677.5</v>
      </c>
      <c r="AR3781" s="55">
        <v>28500</v>
      </c>
      <c r="AS3781" s="78">
        <f t="shared" si="63"/>
        <v>9.3947368421052627E-2</v>
      </c>
    </row>
    <row r="3782" spans="39:45">
      <c r="AM3782" s="54">
        <v>2019</v>
      </c>
      <c r="AN3782" s="54" t="s">
        <v>187</v>
      </c>
      <c r="AO3782" s="54">
        <v>7</v>
      </c>
      <c r="AP3782" s="54">
        <v>12</v>
      </c>
      <c r="AQ3782" s="54">
        <v>7239</v>
      </c>
      <c r="AR3782" s="55">
        <v>28500</v>
      </c>
      <c r="AS3782" s="78">
        <f t="shared" si="63"/>
        <v>0.254</v>
      </c>
    </row>
    <row r="3783" spans="39:45">
      <c r="AM3783" s="55">
        <v>2019</v>
      </c>
      <c r="AN3783" s="55" t="s">
        <v>187</v>
      </c>
      <c r="AO3783" s="55">
        <v>7</v>
      </c>
      <c r="AP3783" s="55">
        <v>13</v>
      </c>
      <c r="AQ3783" s="55">
        <v>8926.5</v>
      </c>
      <c r="AR3783" s="55">
        <v>28500</v>
      </c>
      <c r="AS3783" s="78">
        <f t="shared" si="63"/>
        <v>0.31321052631578949</v>
      </c>
    </row>
    <row r="3784" spans="39:45">
      <c r="AM3784" s="54">
        <v>2019</v>
      </c>
      <c r="AN3784" s="54" t="s">
        <v>187</v>
      </c>
      <c r="AO3784" s="54">
        <v>7</v>
      </c>
      <c r="AP3784" s="54">
        <v>14</v>
      </c>
      <c r="AQ3784" s="54">
        <v>13509</v>
      </c>
      <c r="AR3784" s="55">
        <v>28500</v>
      </c>
      <c r="AS3784" s="78">
        <f t="shared" si="63"/>
        <v>0.47399999999999998</v>
      </c>
    </row>
    <row r="3785" spans="39:45">
      <c r="AM3785" s="55">
        <v>2019</v>
      </c>
      <c r="AN3785" s="55" t="s">
        <v>187</v>
      </c>
      <c r="AO3785" s="55">
        <v>7</v>
      </c>
      <c r="AP3785" s="55">
        <v>15</v>
      </c>
      <c r="AQ3785" s="55">
        <v>18443.5</v>
      </c>
      <c r="AR3785" s="55">
        <v>28500</v>
      </c>
      <c r="AS3785" s="78">
        <f t="shared" si="63"/>
        <v>0.64714035087719302</v>
      </c>
    </row>
    <row r="3786" spans="39:45">
      <c r="AM3786" s="54">
        <v>2019</v>
      </c>
      <c r="AN3786" s="54" t="s">
        <v>187</v>
      </c>
      <c r="AO3786" s="54">
        <v>7</v>
      </c>
      <c r="AP3786" s="54">
        <v>16</v>
      </c>
      <c r="AQ3786" s="54">
        <v>4000</v>
      </c>
      <c r="AR3786" s="55">
        <v>28500</v>
      </c>
      <c r="AS3786" s="78">
        <f t="shared" si="63"/>
        <v>0.14035087719298245</v>
      </c>
    </row>
    <row r="3787" spans="39:45">
      <c r="AM3787" s="55">
        <v>2019</v>
      </c>
      <c r="AN3787" s="55" t="s">
        <v>187</v>
      </c>
      <c r="AO3787" s="55">
        <v>7</v>
      </c>
      <c r="AP3787" s="55">
        <v>17</v>
      </c>
      <c r="AQ3787" s="55">
        <v>6204</v>
      </c>
      <c r="AR3787" s="55">
        <v>28500</v>
      </c>
      <c r="AS3787" s="78">
        <f t="shared" si="63"/>
        <v>0.21768421052631579</v>
      </c>
    </row>
    <row r="3788" spans="39:45">
      <c r="AM3788" s="54">
        <v>2019</v>
      </c>
      <c r="AN3788" s="54" t="s">
        <v>187</v>
      </c>
      <c r="AO3788" s="54">
        <v>7</v>
      </c>
      <c r="AP3788" s="54">
        <v>18</v>
      </c>
      <c r="AQ3788" s="54">
        <v>1046</v>
      </c>
      <c r="AR3788" s="55">
        <v>28500</v>
      </c>
      <c r="AS3788" s="78">
        <f t="shared" si="63"/>
        <v>3.6701754385964909E-2</v>
      </c>
    </row>
    <row r="3789" spans="39:45">
      <c r="AM3789" s="55">
        <v>2019</v>
      </c>
      <c r="AN3789" s="55" t="s">
        <v>187</v>
      </c>
      <c r="AO3789" s="55">
        <v>7</v>
      </c>
      <c r="AP3789" s="55">
        <v>19</v>
      </c>
      <c r="AQ3789" s="55">
        <v>823.5</v>
      </c>
      <c r="AR3789" s="55">
        <v>28500</v>
      </c>
      <c r="AS3789" s="78">
        <f t="shared" si="63"/>
        <v>2.8894736842105265E-2</v>
      </c>
    </row>
    <row r="3790" spans="39:45">
      <c r="AM3790" s="54">
        <v>2019</v>
      </c>
      <c r="AN3790" s="54" t="s">
        <v>187</v>
      </c>
      <c r="AO3790" s="54">
        <v>7</v>
      </c>
      <c r="AP3790" s="54">
        <v>20</v>
      </c>
      <c r="AQ3790" s="54">
        <v>0</v>
      </c>
      <c r="AR3790" s="55">
        <v>28500</v>
      </c>
      <c r="AS3790" s="78">
        <f t="shared" si="63"/>
        <v>0</v>
      </c>
    </row>
    <row r="3791" spans="39:45">
      <c r="AM3791" s="55">
        <v>2019</v>
      </c>
      <c r="AN3791" s="55" t="s">
        <v>187</v>
      </c>
      <c r="AO3791" s="55">
        <v>7</v>
      </c>
      <c r="AP3791" s="55">
        <v>21</v>
      </c>
      <c r="AQ3791" s="55">
        <v>0</v>
      </c>
      <c r="AR3791" s="55">
        <v>28500</v>
      </c>
      <c r="AS3791" s="78">
        <f t="shared" si="63"/>
        <v>0</v>
      </c>
    </row>
    <row r="3792" spans="39:45">
      <c r="AM3792" s="54">
        <v>2019</v>
      </c>
      <c r="AN3792" s="54" t="s">
        <v>187</v>
      </c>
      <c r="AO3792" s="54">
        <v>7</v>
      </c>
      <c r="AP3792" s="54">
        <v>22</v>
      </c>
      <c r="AQ3792" s="54">
        <v>0</v>
      </c>
      <c r="AR3792" s="55">
        <v>28500</v>
      </c>
      <c r="AS3792" s="78">
        <f t="shared" si="63"/>
        <v>0</v>
      </c>
    </row>
    <row r="3793" spans="39:45">
      <c r="AM3793" s="55">
        <v>2019</v>
      </c>
      <c r="AN3793" s="55" t="s">
        <v>187</v>
      </c>
      <c r="AO3793" s="55">
        <v>7</v>
      </c>
      <c r="AP3793" s="55">
        <v>23</v>
      </c>
      <c r="AQ3793" s="55">
        <v>0</v>
      </c>
      <c r="AR3793" s="55">
        <v>28500</v>
      </c>
      <c r="AS3793" s="78">
        <f t="shared" si="63"/>
        <v>0</v>
      </c>
    </row>
    <row r="3794" spans="39:45">
      <c r="AM3794" s="54">
        <v>2019</v>
      </c>
      <c r="AN3794" s="54" t="s">
        <v>187</v>
      </c>
      <c r="AO3794" s="54">
        <v>8</v>
      </c>
      <c r="AP3794" s="54">
        <v>24</v>
      </c>
      <c r="AQ3794" s="54">
        <v>0</v>
      </c>
      <c r="AR3794" s="55">
        <v>28500</v>
      </c>
      <c r="AS3794" s="78">
        <f t="shared" si="63"/>
        <v>0</v>
      </c>
    </row>
    <row r="3795" spans="39:45">
      <c r="AM3795" s="55">
        <v>2019</v>
      </c>
      <c r="AN3795" s="55" t="s">
        <v>187</v>
      </c>
      <c r="AO3795" s="55">
        <v>8</v>
      </c>
      <c r="AP3795" s="55">
        <v>1</v>
      </c>
      <c r="AQ3795" s="55">
        <v>0</v>
      </c>
      <c r="AR3795" s="55">
        <v>28500</v>
      </c>
      <c r="AS3795" s="78">
        <f t="shared" si="63"/>
        <v>0</v>
      </c>
    </row>
    <row r="3796" spans="39:45">
      <c r="AM3796" s="54">
        <v>2019</v>
      </c>
      <c r="AN3796" s="54" t="s">
        <v>187</v>
      </c>
      <c r="AO3796" s="54">
        <v>8</v>
      </c>
      <c r="AP3796" s="54">
        <v>2</v>
      </c>
      <c r="AQ3796" s="54">
        <v>0</v>
      </c>
      <c r="AR3796" s="55">
        <v>28500</v>
      </c>
      <c r="AS3796" s="78">
        <f t="shared" si="63"/>
        <v>0</v>
      </c>
    </row>
    <row r="3797" spans="39:45">
      <c r="AM3797" s="55">
        <v>2019</v>
      </c>
      <c r="AN3797" s="55" t="s">
        <v>187</v>
      </c>
      <c r="AO3797" s="55">
        <v>8</v>
      </c>
      <c r="AP3797" s="55">
        <v>3</v>
      </c>
      <c r="AQ3797" s="55">
        <v>0</v>
      </c>
      <c r="AR3797" s="55">
        <v>28500</v>
      </c>
      <c r="AS3797" s="78">
        <f t="shared" si="63"/>
        <v>0</v>
      </c>
    </row>
    <row r="3798" spans="39:45">
      <c r="AM3798" s="54">
        <v>2019</v>
      </c>
      <c r="AN3798" s="54" t="s">
        <v>187</v>
      </c>
      <c r="AO3798" s="54">
        <v>8</v>
      </c>
      <c r="AP3798" s="54">
        <v>4</v>
      </c>
      <c r="AQ3798" s="54">
        <v>0</v>
      </c>
      <c r="AR3798" s="55">
        <v>28500</v>
      </c>
      <c r="AS3798" s="78">
        <f t="shared" si="63"/>
        <v>0</v>
      </c>
    </row>
    <row r="3799" spans="39:45">
      <c r="AM3799" s="55">
        <v>2019</v>
      </c>
      <c r="AN3799" s="55" t="s">
        <v>187</v>
      </c>
      <c r="AO3799" s="55">
        <v>8</v>
      </c>
      <c r="AP3799" s="55">
        <v>5</v>
      </c>
      <c r="AQ3799" s="55">
        <v>537</v>
      </c>
      <c r="AR3799" s="55">
        <v>28500</v>
      </c>
      <c r="AS3799" s="78">
        <f t="shared" si="63"/>
        <v>1.8842105263157896E-2</v>
      </c>
    </row>
    <row r="3800" spans="39:45">
      <c r="AM3800" s="54">
        <v>2019</v>
      </c>
      <c r="AN3800" s="54" t="s">
        <v>187</v>
      </c>
      <c r="AO3800" s="54">
        <v>8</v>
      </c>
      <c r="AP3800" s="54">
        <v>6</v>
      </c>
      <c r="AQ3800" s="54">
        <v>477</v>
      </c>
      <c r="AR3800" s="55">
        <v>28500</v>
      </c>
      <c r="AS3800" s="78">
        <f t="shared" si="63"/>
        <v>1.6736842105263158E-2</v>
      </c>
    </row>
    <row r="3801" spans="39:45">
      <c r="AM3801" s="55">
        <v>2019</v>
      </c>
      <c r="AN3801" s="55" t="s">
        <v>187</v>
      </c>
      <c r="AO3801" s="55">
        <v>8</v>
      </c>
      <c r="AP3801" s="55">
        <v>7</v>
      </c>
      <c r="AQ3801" s="55">
        <v>7862</v>
      </c>
      <c r="AR3801" s="55">
        <v>28500</v>
      </c>
      <c r="AS3801" s="78">
        <f t="shared" si="63"/>
        <v>0.27585964912280703</v>
      </c>
    </row>
    <row r="3802" spans="39:45">
      <c r="AM3802" s="54">
        <v>2019</v>
      </c>
      <c r="AN3802" s="54" t="s">
        <v>187</v>
      </c>
      <c r="AO3802" s="54">
        <v>8</v>
      </c>
      <c r="AP3802" s="54">
        <v>8</v>
      </c>
      <c r="AQ3802" s="54">
        <v>10130.5</v>
      </c>
      <c r="AR3802" s="55">
        <v>28500</v>
      </c>
      <c r="AS3802" s="78">
        <f t="shared" si="63"/>
        <v>0.35545614035087719</v>
      </c>
    </row>
    <row r="3803" spans="39:45">
      <c r="AM3803" s="55">
        <v>2019</v>
      </c>
      <c r="AN3803" s="55" t="s">
        <v>187</v>
      </c>
      <c r="AO3803" s="55">
        <v>8</v>
      </c>
      <c r="AP3803" s="55">
        <v>9</v>
      </c>
      <c r="AQ3803" s="55">
        <v>8823.5</v>
      </c>
      <c r="AR3803" s="55">
        <v>28500</v>
      </c>
      <c r="AS3803" s="78">
        <f t="shared" si="63"/>
        <v>0.3095964912280702</v>
      </c>
    </row>
    <row r="3804" spans="39:45">
      <c r="AM3804" s="54">
        <v>2019</v>
      </c>
      <c r="AN3804" s="54" t="s">
        <v>187</v>
      </c>
      <c r="AO3804" s="54">
        <v>8</v>
      </c>
      <c r="AP3804" s="54">
        <v>10</v>
      </c>
      <c r="AQ3804" s="54">
        <v>14487</v>
      </c>
      <c r="AR3804" s="55">
        <v>28500</v>
      </c>
      <c r="AS3804" s="78">
        <f t="shared" si="63"/>
        <v>0.50831578947368417</v>
      </c>
    </row>
    <row r="3805" spans="39:45">
      <c r="AM3805" s="55">
        <v>2019</v>
      </c>
      <c r="AN3805" s="55" t="s">
        <v>187</v>
      </c>
      <c r="AO3805" s="55">
        <v>8</v>
      </c>
      <c r="AP3805" s="55">
        <v>11</v>
      </c>
      <c r="AQ3805" s="55">
        <v>23598.5</v>
      </c>
      <c r="AR3805" s="55">
        <v>28500</v>
      </c>
      <c r="AS3805" s="78">
        <f t="shared" si="63"/>
        <v>0.8280175438596491</v>
      </c>
    </row>
    <row r="3806" spans="39:45">
      <c r="AM3806" s="54">
        <v>2019</v>
      </c>
      <c r="AN3806" s="54" t="s">
        <v>187</v>
      </c>
      <c r="AO3806" s="54">
        <v>8</v>
      </c>
      <c r="AP3806" s="54">
        <v>12</v>
      </c>
      <c r="AQ3806" s="54">
        <v>36354.5</v>
      </c>
      <c r="AR3806" s="55">
        <v>28500</v>
      </c>
      <c r="AS3806" s="78">
        <f t="shared" si="63"/>
        <v>1.2755964912280702</v>
      </c>
    </row>
    <row r="3807" spans="39:45">
      <c r="AM3807" s="55">
        <v>2019</v>
      </c>
      <c r="AN3807" s="55" t="s">
        <v>187</v>
      </c>
      <c r="AO3807" s="55">
        <v>8</v>
      </c>
      <c r="AP3807" s="55">
        <v>13</v>
      </c>
      <c r="AQ3807" s="55">
        <v>30591</v>
      </c>
      <c r="AR3807" s="55">
        <v>28500</v>
      </c>
      <c r="AS3807" s="78">
        <f t="shared" si="63"/>
        <v>1.0733684210526315</v>
      </c>
    </row>
    <row r="3808" spans="39:45">
      <c r="AM3808" s="54">
        <v>2019</v>
      </c>
      <c r="AN3808" s="54" t="s">
        <v>187</v>
      </c>
      <c r="AO3808" s="54">
        <v>8</v>
      </c>
      <c r="AP3808" s="54">
        <v>14</v>
      </c>
      <c r="AQ3808" s="54">
        <v>20178.5</v>
      </c>
      <c r="AR3808" s="55">
        <v>28500</v>
      </c>
      <c r="AS3808" s="78">
        <f t="shared" si="63"/>
        <v>0.7080175438596491</v>
      </c>
    </row>
    <row r="3809" spans="39:45">
      <c r="AM3809" s="55">
        <v>2019</v>
      </c>
      <c r="AN3809" s="55" t="s">
        <v>187</v>
      </c>
      <c r="AO3809" s="55">
        <v>8</v>
      </c>
      <c r="AP3809" s="55">
        <v>15</v>
      </c>
      <c r="AQ3809" s="55">
        <v>28046</v>
      </c>
      <c r="AR3809" s="55">
        <v>28500</v>
      </c>
      <c r="AS3809" s="78">
        <f t="shared" si="63"/>
        <v>0.98407017543859654</v>
      </c>
    </row>
    <row r="3810" spans="39:45">
      <c r="AM3810" s="54">
        <v>2019</v>
      </c>
      <c r="AN3810" s="54" t="s">
        <v>187</v>
      </c>
      <c r="AO3810" s="54">
        <v>8</v>
      </c>
      <c r="AP3810" s="54">
        <v>16</v>
      </c>
      <c r="AQ3810" s="54">
        <v>15625.5</v>
      </c>
      <c r="AR3810" s="55">
        <v>28500</v>
      </c>
      <c r="AS3810" s="78">
        <f t="shared" si="63"/>
        <v>0.5482631578947369</v>
      </c>
    </row>
    <row r="3811" spans="39:45">
      <c r="AM3811" s="55">
        <v>2019</v>
      </c>
      <c r="AN3811" s="55" t="s">
        <v>187</v>
      </c>
      <c r="AO3811" s="55">
        <v>8</v>
      </c>
      <c r="AP3811" s="55">
        <v>17</v>
      </c>
      <c r="AQ3811" s="55">
        <v>5842</v>
      </c>
      <c r="AR3811" s="55">
        <v>28500</v>
      </c>
      <c r="AS3811" s="78">
        <f t="shared" si="63"/>
        <v>0.20498245614035088</v>
      </c>
    </row>
    <row r="3812" spans="39:45">
      <c r="AM3812" s="54">
        <v>2019</v>
      </c>
      <c r="AN3812" s="54" t="s">
        <v>187</v>
      </c>
      <c r="AO3812" s="54">
        <v>8</v>
      </c>
      <c r="AP3812" s="54">
        <v>18</v>
      </c>
      <c r="AQ3812" s="54">
        <v>1477</v>
      </c>
      <c r="AR3812" s="55">
        <v>28500</v>
      </c>
      <c r="AS3812" s="78">
        <f t="shared" si="63"/>
        <v>5.1824561403508773E-2</v>
      </c>
    </row>
    <row r="3813" spans="39:45">
      <c r="AM3813" s="55">
        <v>2019</v>
      </c>
      <c r="AN3813" s="55" t="s">
        <v>187</v>
      </c>
      <c r="AO3813" s="55">
        <v>8</v>
      </c>
      <c r="AP3813" s="55">
        <v>19</v>
      </c>
      <c r="AQ3813" s="55">
        <v>761.5</v>
      </c>
      <c r="AR3813" s="55">
        <v>28500</v>
      </c>
      <c r="AS3813" s="78">
        <f t="shared" si="63"/>
        <v>2.6719298245614035E-2</v>
      </c>
    </row>
    <row r="3814" spans="39:45">
      <c r="AM3814" s="54">
        <v>2019</v>
      </c>
      <c r="AN3814" s="54" t="s">
        <v>187</v>
      </c>
      <c r="AO3814" s="54">
        <v>8</v>
      </c>
      <c r="AP3814" s="54">
        <v>20</v>
      </c>
      <c r="AQ3814" s="54">
        <v>0</v>
      </c>
      <c r="AR3814" s="55">
        <v>28500</v>
      </c>
      <c r="AS3814" s="78">
        <f t="shared" si="63"/>
        <v>0</v>
      </c>
    </row>
    <row r="3815" spans="39:45">
      <c r="AM3815" s="55">
        <v>2019</v>
      </c>
      <c r="AN3815" s="55" t="s">
        <v>187</v>
      </c>
      <c r="AO3815" s="55">
        <v>8</v>
      </c>
      <c r="AP3815" s="55">
        <v>21</v>
      </c>
      <c r="AQ3815" s="55">
        <v>0</v>
      </c>
      <c r="AR3815" s="55">
        <v>28500</v>
      </c>
      <c r="AS3815" s="78">
        <f t="shared" si="63"/>
        <v>0</v>
      </c>
    </row>
    <row r="3816" spans="39:45">
      <c r="AM3816" s="54">
        <v>2019</v>
      </c>
      <c r="AN3816" s="54" t="s">
        <v>187</v>
      </c>
      <c r="AO3816" s="54">
        <v>8</v>
      </c>
      <c r="AP3816" s="54">
        <v>22</v>
      </c>
      <c r="AQ3816" s="54">
        <v>0</v>
      </c>
      <c r="AR3816" s="55">
        <v>28500</v>
      </c>
      <c r="AS3816" s="78">
        <f t="shared" si="63"/>
        <v>0</v>
      </c>
    </row>
    <row r="3817" spans="39:45">
      <c r="AM3817" s="55">
        <v>2019</v>
      </c>
      <c r="AN3817" s="55" t="s">
        <v>187</v>
      </c>
      <c r="AO3817" s="55">
        <v>8</v>
      </c>
      <c r="AP3817" s="55">
        <v>23</v>
      </c>
      <c r="AQ3817" s="55">
        <v>0</v>
      </c>
      <c r="AR3817" s="55">
        <v>28500</v>
      </c>
      <c r="AS3817" s="78">
        <f t="shared" si="63"/>
        <v>0</v>
      </c>
    </row>
    <row r="3818" spans="39:45">
      <c r="AM3818" s="54">
        <v>2019</v>
      </c>
      <c r="AN3818" s="54" t="s">
        <v>187</v>
      </c>
      <c r="AO3818" s="54">
        <v>9</v>
      </c>
      <c r="AP3818" s="54">
        <v>24</v>
      </c>
      <c r="AQ3818" s="54">
        <v>0</v>
      </c>
      <c r="AR3818" s="55">
        <v>28500</v>
      </c>
      <c r="AS3818" s="78">
        <f t="shared" si="63"/>
        <v>0</v>
      </c>
    </row>
    <row r="3819" spans="39:45">
      <c r="AM3819" s="55">
        <v>2019</v>
      </c>
      <c r="AN3819" s="55" t="s">
        <v>187</v>
      </c>
      <c r="AO3819" s="55">
        <v>9</v>
      </c>
      <c r="AP3819" s="55">
        <v>1</v>
      </c>
      <c r="AQ3819" s="55">
        <v>0</v>
      </c>
      <c r="AR3819" s="55">
        <v>28500</v>
      </c>
      <c r="AS3819" s="78">
        <f t="shared" si="63"/>
        <v>0</v>
      </c>
    </row>
    <row r="3820" spans="39:45">
      <c r="AM3820" s="54">
        <v>2019</v>
      </c>
      <c r="AN3820" s="54" t="s">
        <v>187</v>
      </c>
      <c r="AO3820" s="54">
        <v>9</v>
      </c>
      <c r="AP3820" s="54">
        <v>2</v>
      </c>
      <c r="AQ3820" s="54">
        <v>0</v>
      </c>
      <c r="AR3820" s="55">
        <v>28500</v>
      </c>
      <c r="AS3820" s="78">
        <f t="shared" si="63"/>
        <v>0</v>
      </c>
    </row>
    <row r="3821" spans="39:45">
      <c r="AM3821" s="55">
        <v>2019</v>
      </c>
      <c r="AN3821" s="55" t="s">
        <v>187</v>
      </c>
      <c r="AO3821" s="55">
        <v>9</v>
      </c>
      <c r="AP3821" s="55">
        <v>3</v>
      </c>
      <c r="AQ3821" s="55">
        <v>0</v>
      </c>
      <c r="AR3821" s="55">
        <v>28500</v>
      </c>
      <c r="AS3821" s="78">
        <f t="shared" si="63"/>
        <v>0</v>
      </c>
    </row>
    <row r="3822" spans="39:45">
      <c r="AM3822" s="54">
        <v>2019</v>
      </c>
      <c r="AN3822" s="54" t="s">
        <v>187</v>
      </c>
      <c r="AO3822" s="54">
        <v>9</v>
      </c>
      <c r="AP3822" s="54">
        <v>4</v>
      </c>
      <c r="AQ3822" s="54">
        <v>58</v>
      </c>
      <c r="AR3822" s="55">
        <v>28500</v>
      </c>
      <c r="AS3822" s="78">
        <f t="shared" si="63"/>
        <v>2.0350877192982456E-3</v>
      </c>
    </row>
    <row r="3823" spans="39:45">
      <c r="AM3823" s="55">
        <v>2019</v>
      </c>
      <c r="AN3823" s="55" t="s">
        <v>187</v>
      </c>
      <c r="AO3823" s="55">
        <v>9</v>
      </c>
      <c r="AP3823" s="55">
        <v>5</v>
      </c>
      <c r="AQ3823" s="55">
        <v>2002.5</v>
      </c>
      <c r="AR3823" s="55">
        <v>28500</v>
      </c>
      <c r="AS3823" s="78">
        <f t="shared" si="63"/>
        <v>7.0263157894736847E-2</v>
      </c>
    </row>
    <row r="3824" spans="39:45">
      <c r="AM3824" s="54">
        <v>2019</v>
      </c>
      <c r="AN3824" s="54" t="s">
        <v>187</v>
      </c>
      <c r="AO3824" s="54">
        <v>9</v>
      </c>
      <c r="AP3824" s="54">
        <v>6</v>
      </c>
      <c r="AQ3824" s="54">
        <v>4628</v>
      </c>
      <c r="AR3824" s="55">
        <v>28500</v>
      </c>
      <c r="AS3824" s="78">
        <f t="shared" si="63"/>
        <v>0.16238596491228069</v>
      </c>
    </row>
    <row r="3825" spans="39:45">
      <c r="AM3825" s="55">
        <v>2019</v>
      </c>
      <c r="AN3825" s="55" t="s">
        <v>187</v>
      </c>
      <c r="AO3825" s="55">
        <v>9</v>
      </c>
      <c r="AP3825" s="55">
        <v>7</v>
      </c>
      <c r="AQ3825" s="55">
        <v>13586</v>
      </c>
      <c r="AR3825" s="55">
        <v>28500</v>
      </c>
      <c r="AS3825" s="78">
        <f t="shared" si="63"/>
        <v>0.4767017543859649</v>
      </c>
    </row>
    <row r="3826" spans="39:45">
      <c r="AM3826" s="54">
        <v>2019</v>
      </c>
      <c r="AN3826" s="54" t="s">
        <v>187</v>
      </c>
      <c r="AO3826" s="54">
        <v>9</v>
      </c>
      <c r="AP3826" s="54">
        <v>8</v>
      </c>
      <c r="AQ3826" s="54">
        <v>20467</v>
      </c>
      <c r="AR3826" s="55">
        <v>28500</v>
      </c>
      <c r="AS3826" s="78">
        <f t="shared" si="63"/>
        <v>0.71814035087719297</v>
      </c>
    </row>
    <row r="3827" spans="39:45">
      <c r="AM3827" s="55">
        <v>2019</v>
      </c>
      <c r="AN3827" s="55" t="s">
        <v>187</v>
      </c>
      <c r="AO3827" s="55">
        <v>9</v>
      </c>
      <c r="AP3827" s="55">
        <v>9</v>
      </c>
      <c r="AQ3827" s="55">
        <v>27202</v>
      </c>
      <c r="AR3827" s="55">
        <v>28500</v>
      </c>
      <c r="AS3827" s="78">
        <f t="shared" si="63"/>
        <v>0.95445614035087722</v>
      </c>
    </row>
    <row r="3828" spans="39:45">
      <c r="AM3828" s="54">
        <v>2019</v>
      </c>
      <c r="AN3828" s="54" t="s">
        <v>187</v>
      </c>
      <c r="AO3828" s="54">
        <v>9</v>
      </c>
      <c r="AP3828" s="54">
        <v>10</v>
      </c>
      <c r="AQ3828" s="54">
        <v>31323</v>
      </c>
      <c r="AR3828" s="55">
        <v>28500</v>
      </c>
      <c r="AS3828" s="78">
        <f t="shared" si="63"/>
        <v>1.0990526315789473</v>
      </c>
    </row>
    <row r="3829" spans="39:45">
      <c r="AM3829" s="55">
        <v>2019</v>
      </c>
      <c r="AN3829" s="55" t="s">
        <v>187</v>
      </c>
      <c r="AO3829" s="55">
        <v>9</v>
      </c>
      <c r="AP3829" s="55">
        <v>11</v>
      </c>
      <c r="AQ3829" s="55">
        <v>30132</v>
      </c>
      <c r="AR3829" s="55">
        <v>28500</v>
      </c>
      <c r="AS3829" s="78">
        <f t="shared" si="63"/>
        <v>1.0572631578947369</v>
      </c>
    </row>
    <row r="3830" spans="39:45">
      <c r="AM3830" s="54">
        <v>2019</v>
      </c>
      <c r="AN3830" s="54" t="s">
        <v>187</v>
      </c>
      <c r="AO3830" s="54">
        <v>9</v>
      </c>
      <c r="AP3830" s="54">
        <v>12</v>
      </c>
      <c r="AQ3830" s="54">
        <v>26485.5</v>
      </c>
      <c r="AR3830" s="55">
        <v>28500</v>
      </c>
      <c r="AS3830" s="78">
        <f t="shared" si="63"/>
        <v>0.92931578947368421</v>
      </c>
    </row>
    <row r="3831" spans="39:45">
      <c r="AM3831" s="55">
        <v>2019</v>
      </c>
      <c r="AN3831" s="55" t="s">
        <v>187</v>
      </c>
      <c r="AO3831" s="55">
        <v>9</v>
      </c>
      <c r="AP3831" s="55">
        <v>13</v>
      </c>
      <c r="AQ3831" s="55">
        <v>11286.5</v>
      </c>
      <c r="AR3831" s="55">
        <v>28500</v>
      </c>
      <c r="AS3831" s="78">
        <f t="shared" si="63"/>
        <v>0.3960175438596491</v>
      </c>
    </row>
    <row r="3832" spans="39:45">
      <c r="AM3832" s="54">
        <v>2019</v>
      </c>
      <c r="AN3832" s="54" t="s">
        <v>187</v>
      </c>
      <c r="AO3832" s="54">
        <v>9</v>
      </c>
      <c r="AP3832" s="54">
        <v>14</v>
      </c>
      <c r="AQ3832" s="54">
        <v>9363</v>
      </c>
      <c r="AR3832" s="55">
        <v>28500</v>
      </c>
      <c r="AS3832" s="78">
        <f t="shared" si="63"/>
        <v>0.32852631578947367</v>
      </c>
    </row>
    <row r="3833" spans="39:45">
      <c r="AM3833" s="55">
        <v>2019</v>
      </c>
      <c r="AN3833" s="55" t="s">
        <v>187</v>
      </c>
      <c r="AO3833" s="55">
        <v>9</v>
      </c>
      <c r="AP3833" s="55">
        <v>15</v>
      </c>
      <c r="AQ3833" s="55">
        <v>13013</v>
      </c>
      <c r="AR3833" s="55">
        <v>28500</v>
      </c>
      <c r="AS3833" s="78">
        <f t="shared" si="63"/>
        <v>0.45659649122807017</v>
      </c>
    </row>
    <row r="3834" spans="39:45">
      <c r="AM3834" s="54">
        <v>2019</v>
      </c>
      <c r="AN3834" s="54" t="s">
        <v>187</v>
      </c>
      <c r="AO3834" s="54">
        <v>9</v>
      </c>
      <c r="AP3834" s="54">
        <v>16</v>
      </c>
      <c r="AQ3834" s="54">
        <v>13704</v>
      </c>
      <c r="AR3834" s="55">
        <v>28500</v>
      </c>
      <c r="AS3834" s="78">
        <f t="shared" si="63"/>
        <v>0.4808421052631579</v>
      </c>
    </row>
    <row r="3835" spans="39:45">
      <c r="AM3835" s="55">
        <v>2019</v>
      </c>
      <c r="AN3835" s="55" t="s">
        <v>187</v>
      </c>
      <c r="AO3835" s="55">
        <v>9</v>
      </c>
      <c r="AP3835" s="55">
        <v>17</v>
      </c>
      <c r="AQ3835" s="55">
        <v>4019</v>
      </c>
      <c r="AR3835" s="55">
        <v>28500</v>
      </c>
      <c r="AS3835" s="78">
        <f t="shared" si="63"/>
        <v>0.14101754385964912</v>
      </c>
    </row>
    <row r="3836" spans="39:45">
      <c r="AM3836" s="54">
        <v>2019</v>
      </c>
      <c r="AN3836" s="54" t="s">
        <v>187</v>
      </c>
      <c r="AO3836" s="54">
        <v>9</v>
      </c>
      <c r="AP3836" s="54">
        <v>18</v>
      </c>
      <c r="AQ3836" s="54">
        <v>2345</v>
      </c>
      <c r="AR3836" s="55">
        <v>28500</v>
      </c>
      <c r="AS3836" s="78">
        <f t="shared" si="63"/>
        <v>8.2280701754385968E-2</v>
      </c>
    </row>
    <row r="3837" spans="39:45">
      <c r="AM3837" s="55">
        <v>2019</v>
      </c>
      <c r="AN3837" s="55" t="s">
        <v>187</v>
      </c>
      <c r="AO3837" s="55">
        <v>9</v>
      </c>
      <c r="AP3837" s="55">
        <v>19</v>
      </c>
      <c r="AQ3837" s="55">
        <v>1061</v>
      </c>
      <c r="AR3837" s="55">
        <v>28500</v>
      </c>
      <c r="AS3837" s="78">
        <f t="shared" si="63"/>
        <v>3.7228070175438596E-2</v>
      </c>
    </row>
    <row r="3838" spans="39:45">
      <c r="AM3838" s="54">
        <v>2019</v>
      </c>
      <c r="AN3838" s="54" t="s">
        <v>187</v>
      </c>
      <c r="AO3838" s="54">
        <v>9</v>
      </c>
      <c r="AP3838" s="54">
        <v>20</v>
      </c>
      <c r="AQ3838" s="54">
        <v>0</v>
      </c>
      <c r="AR3838" s="55">
        <v>28500</v>
      </c>
      <c r="AS3838" s="78">
        <f t="shared" si="63"/>
        <v>0</v>
      </c>
    </row>
    <row r="3839" spans="39:45">
      <c r="AM3839" s="55">
        <v>2019</v>
      </c>
      <c r="AN3839" s="55" t="s">
        <v>187</v>
      </c>
      <c r="AO3839" s="55">
        <v>9</v>
      </c>
      <c r="AP3839" s="55">
        <v>21</v>
      </c>
      <c r="AQ3839" s="55">
        <v>0</v>
      </c>
      <c r="AR3839" s="55">
        <v>28500</v>
      </c>
      <c r="AS3839" s="78">
        <f t="shared" si="63"/>
        <v>0</v>
      </c>
    </row>
    <row r="3840" spans="39:45">
      <c r="AM3840" s="54">
        <v>2019</v>
      </c>
      <c r="AN3840" s="54" t="s">
        <v>187</v>
      </c>
      <c r="AO3840" s="54">
        <v>9</v>
      </c>
      <c r="AP3840" s="54">
        <v>22</v>
      </c>
      <c r="AQ3840" s="54">
        <v>0</v>
      </c>
      <c r="AR3840" s="55">
        <v>28500</v>
      </c>
      <c r="AS3840" s="78">
        <f t="shared" si="63"/>
        <v>0</v>
      </c>
    </row>
    <row r="3841" spans="39:45">
      <c r="AM3841" s="55">
        <v>2019</v>
      </c>
      <c r="AN3841" s="55" t="s">
        <v>187</v>
      </c>
      <c r="AO3841" s="55">
        <v>9</v>
      </c>
      <c r="AP3841" s="55">
        <v>23</v>
      </c>
      <c r="AQ3841" s="55">
        <v>0</v>
      </c>
      <c r="AR3841" s="55">
        <v>28500</v>
      </c>
      <c r="AS3841" s="78">
        <f t="shared" si="63"/>
        <v>0</v>
      </c>
    </row>
    <row r="3842" spans="39:45">
      <c r="AM3842" s="54">
        <v>2019</v>
      </c>
      <c r="AN3842" s="54" t="s">
        <v>187</v>
      </c>
      <c r="AO3842" s="54">
        <v>10</v>
      </c>
      <c r="AP3842" s="54">
        <v>24</v>
      </c>
      <c r="AQ3842" s="54">
        <v>0</v>
      </c>
      <c r="AR3842" s="55">
        <v>28500</v>
      </c>
      <c r="AS3842" s="78">
        <f t="shared" ref="AS3842:AS3905" si="64">AQ3842/AR3842</f>
        <v>0</v>
      </c>
    </row>
    <row r="3843" spans="39:45">
      <c r="AM3843" s="55">
        <v>2019</v>
      </c>
      <c r="AN3843" s="55" t="s">
        <v>187</v>
      </c>
      <c r="AO3843" s="55">
        <v>10</v>
      </c>
      <c r="AP3843" s="55">
        <v>1</v>
      </c>
      <c r="AQ3843" s="55">
        <v>0</v>
      </c>
      <c r="AR3843" s="55">
        <v>28500</v>
      </c>
      <c r="AS3843" s="78">
        <f t="shared" si="64"/>
        <v>0</v>
      </c>
    </row>
    <row r="3844" spans="39:45">
      <c r="AM3844" s="54">
        <v>2019</v>
      </c>
      <c r="AN3844" s="54" t="s">
        <v>187</v>
      </c>
      <c r="AO3844" s="54">
        <v>10</v>
      </c>
      <c r="AP3844" s="54">
        <v>2</v>
      </c>
      <c r="AQ3844" s="54">
        <v>0</v>
      </c>
      <c r="AR3844" s="55">
        <v>28500</v>
      </c>
      <c r="AS3844" s="78">
        <f t="shared" si="64"/>
        <v>0</v>
      </c>
    </row>
    <row r="3845" spans="39:45">
      <c r="AM3845" s="55">
        <v>2019</v>
      </c>
      <c r="AN3845" s="55" t="s">
        <v>187</v>
      </c>
      <c r="AO3845" s="55">
        <v>10</v>
      </c>
      <c r="AP3845" s="55">
        <v>3</v>
      </c>
      <c r="AQ3845" s="55">
        <v>0</v>
      </c>
      <c r="AR3845" s="55">
        <v>28500</v>
      </c>
      <c r="AS3845" s="78">
        <f t="shared" si="64"/>
        <v>0</v>
      </c>
    </row>
    <row r="3846" spans="39:45">
      <c r="AM3846" s="54">
        <v>2019</v>
      </c>
      <c r="AN3846" s="54" t="s">
        <v>187</v>
      </c>
      <c r="AO3846" s="54">
        <v>10</v>
      </c>
      <c r="AP3846" s="54">
        <v>4</v>
      </c>
      <c r="AQ3846" s="54">
        <v>0</v>
      </c>
      <c r="AR3846" s="55">
        <v>28500</v>
      </c>
      <c r="AS3846" s="78">
        <f t="shared" si="64"/>
        <v>0</v>
      </c>
    </row>
    <row r="3847" spans="39:45">
      <c r="AM3847" s="55">
        <v>2019</v>
      </c>
      <c r="AN3847" s="55" t="s">
        <v>187</v>
      </c>
      <c r="AO3847" s="55">
        <v>10</v>
      </c>
      <c r="AP3847" s="55">
        <v>5</v>
      </c>
      <c r="AQ3847" s="55">
        <v>929</v>
      </c>
      <c r="AR3847" s="55">
        <v>28500</v>
      </c>
      <c r="AS3847" s="78">
        <f t="shared" si="64"/>
        <v>3.2596491228070172E-2</v>
      </c>
    </row>
    <row r="3848" spans="39:45">
      <c r="AM3848" s="54">
        <v>2019</v>
      </c>
      <c r="AN3848" s="54" t="s">
        <v>187</v>
      </c>
      <c r="AO3848" s="54">
        <v>10</v>
      </c>
      <c r="AP3848" s="54">
        <v>6</v>
      </c>
      <c r="AQ3848" s="54">
        <v>475</v>
      </c>
      <c r="AR3848" s="55">
        <v>28500</v>
      </c>
      <c r="AS3848" s="78">
        <f t="shared" si="64"/>
        <v>1.6666666666666666E-2</v>
      </c>
    </row>
    <row r="3849" spans="39:45">
      <c r="AM3849" s="55">
        <v>2019</v>
      </c>
      <c r="AN3849" s="55" t="s">
        <v>187</v>
      </c>
      <c r="AO3849" s="55">
        <v>10</v>
      </c>
      <c r="AP3849" s="55">
        <v>7</v>
      </c>
      <c r="AQ3849" s="55">
        <v>1947</v>
      </c>
      <c r="AR3849" s="55">
        <v>28500</v>
      </c>
      <c r="AS3849" s="78">
        <f t="shared" si="64"/>
        <v>6.8315789473684205E-2</v>
      </c>
    </row>
    <row r="3850" spans="39:45">
      <c r="AM3850" s="54">
        <v>2019</v>
      </c>
      <c r="AN3850" s="54" t="s">
        <v>187</v>
      </c>
      <c r="AO3850" s="54">
        <v>10</v>
      </c>
      <c r="AP3850" s="54">
        <v>8</v>
      </c>
      <c r="AQ3850" s="54">
        <v>3033.5</v>
      </c>
      <c r="AR3850" s="55">
        <v>28500</v>
      </c>
      <c r="AS3850" s="78">
        <f t="shared" si="64"/>
        <v>0.10643859649122807</v>
      </c>
    </row>
    <row r="3851" spans="39:45">
      <c r="AM3851" s="55">
        <v>2019</v>
      </c>
      <c r="AN3851" s="55" t="s">
        <v>187</v>
      </c>
      <c r="AO3851" s="55">
        <v>10</v>
      </c>
      <c r="AP3851" s="55">
        <v>9</v>
      </c>
      <c r="AQ3851" s="55">
        <v>3497</v>
      </c>
      <c r="AR3851" s="55">
        <v>28500</v>
      </c>
      <c r="AS3851" s="78">
        <f t="shared" si="64"/>
        <v>0.12270175438596491</v>
      </c>
    </row>
    <row r="3852" spans="39:45">
      <c r="AM3852" s="54">
        <v>2019</v>
      </c>
      <c r="AN3852" s="54" t="s">
        <v>187</v>
      </c>
      <c r="AO3852" s="54">
        <v>10</v>
      </c>
      <c r="AP3852" s="54">
        <v>10</v>
      </c>
      <c r="AQ3852" s="54">
        <v>2965</v>
      </c>
      <c r="AR3852" s="55">
        <v>28500</v>
      </c>
      <c r="AS3852" s="78">
        <f t="shared" si="64"/>
        <v>0.10403508771929824</v>
      </c>
    </row>
    <row r="3853" spans="39:45">
      <c r="AM3853" s="55">
        <v>2019</v>
      </c>
      <c r="AN3853" s="55" t="s">
        <v>187</v>
      </c>
      <c r="AO3853" s="55">
        <v>10</v>
      </c>
      <c r="AP3853" s="55">
        <v>11</v>
      </c>
      <c r="AQ3853" s="55">
        <v>2662</v>
      </c>
      <c r="AR3853" s="55">
        <v>28500</v>
      </c>
      <c r="AS3853" s="78">
        <f t="shared" si="64"/>
        <v>9.3403508771929822E-2</v>
      </c>
    </row>
    <row r="3854" spans="39:45">
      <c r="AM3854" s="54">
        <v>2019</v>
      </c>
      <c r="AN3854" s="54" t="s">
        <v>187</v>
      </c>
      <c r="AO3854" s="54">
        <v>10</v>
      </c>
      <c r="AP3854" s="54">
        <v>12</v>
      </c>
      <c r="AQ3854" s="54">
        <v>2700.5</v>
      </c>
      <c r="AR3854" s="55">
        <v>28500</v>
      </c>
      <c r="AS3854" s="78">
        <f t="shared" si="64"/>
        <v>9.4754385964912285E-2</v>
      </c>
    </row>
    <row r="3855" spans="39:45">
      <c r="AM3855" s="55">
        <v>2019</v>
      </c>
      <c r="AN3855" s="55" t="s">
        <v>187</v>
      </c>
      <c r="AO3855" s="55">
        <v>10</v>
      </c>
      <c r="AP3855" s="55">
        <v>13</v>
      </c>
      <c r="AQ3855" s="55">
        <v>2284.5</v>
      </c>
      <c r="AR3855" s="55">
        <v>28500</v>
      </c>
      <c r="AS3855" s="78">
        <f t="shared" si="64"/>
        <v>8.0157894736842109E-2</v>
      </c>
    </row>
    <row r="3856" spans="39:45">
      <c r="AM3856" s="54">
        <v>2019</v>
      </c>
      <c r="AN3856" s="54" t="s">
        <v>187</v>
      </c>
      <c r="AO3856" s="54">
        <v>10</v>
      </c>
      <c r="AP3856" s="54">
        <v>14</v>
      </c>
      <c r="AQ3856" s="54">
        <v>4625</v>
      </c>
      <c r="AR3856" s="55">
        <v>28500</v>
      </c>
      <c r="AS3856" s="78">
        <f t="shared" si="64"/>
        <v>0.16228070175438597</v>
      </c>
    </row>
    <row r="3857" spans="39:45">
      <c r="AM3857" s="55">
        <v>2019</v>
      </c>
      <c r="AN3857" s="55" t="s">
        <v>187</v>
      </c>
      <c r="AO3857" s="55">
        <v>10</v>
      </c>
      <c r="AP3857" s="55">
        <v>15</v>
      </c>
      <c r="AQ3857" s="55">
        <v>2697.5</v>
      </c>
      <c r="AR3857" s="55">
        <v>28500</v>
      </c>
      <c r="AS3857" s="78">
        <f t="shared" si="64"/>
        <v>9.4649122807017538E-2</v>
      </c>
    </row>
    <row r="3858" spans="39:45">
      <c r="AM3858" s="54">
        <v>2019</v>
      </c>
      <c r="AN3858" s="54" t="s">
        <v>187</v>
      </c>
      <c r="AO3858" s="54">
        <v>10</v>
      </c>
      <c r="AP3858" s="54">
        <v>16</v>
      </c>
      <c r="AQ3858" s="54">
        <v>1878.5</v>
      </c>
      <c r="AR3858" s="55">
        <v>28500</v>
      </c>
      <c r="AS3858" s="78">
        <f t="shared" si="64"/>
        <v>6.591228070175438E-2</v>
      </c>
    </row>
    <row r="3859" spans="39:45">
      <c r="AM3859" s="55">
        <v>2019</v>
      </c>
      <c r="AN3859" s="55" t="s">
        <v>187</v>
      </c>
      <c r="AO3859" s="55">
        <v>10</v>
      </c>
      <c r="AP3859" s="55">
        <v>17</v>
      </c>
      <c r="AQ3859" s="55">
        <v>759.5</v>
      </c>
      <c r="AR3859" s="55">
        <v>28500</v>
      </c>
      <c r="AS3859" s="78">
        <f t="shared" si="64"/>
        <v>2.6649122807017544E-2</v>
      </c>
    </row>
    <row r="3860" spans="39:45">
      <c r="AM3860" s="54">
        <v>2019</v>
      </c>
      <c r="AN3860" s="54" t="s">
        <v>187</v>
      </c>
      <c r="AO3860" s="54">
        <v>10</v>
      </c>
      <c r="AP3860" s="54">
        <v>18</v>
      </c>
      <c r="AQ3860" s="54">
        <v>3357</v>
      </c>
      <c r="AR3860" s="55">
        <v>28500</v>
      </c>
      <c r="AS3860" s="78">
        <f t="shared" si="64"/>
        <v>0.11778947368421053</v>
      </c>
    </row>
    <row r="3861" spans="39:45">
      <c r="AM3861" s="55">
        <v>2019</v>
      </c>
      <c r="AN3861" s="55" t="s">
        <v>187</v>
      </c>
      <c r="AO3861" s="55">
        <v>10</v>
      </c>
      <c r="AP3861" s="55">
        <v>19</v>
      </c>
      <c r="AQ3861" s="55">
        <v>314</v>
      </c>
      <c r="AR3861" s="55">
        <v>28500</v>
      </c>
      <c r="AS3861" s="78">
        <f t="shared" si="64"/>
        <v>1.1017543859649122E-2</v>
      </c>
    </row>
    <row r="3862" spans="39:45">
      <c r="AM3862" s="54">
        <v>2019</v>
      </c>
      <c r="AN3862" s="54" t="s">
        <v>187</v>
      </c>
      <c r="AO3862" s="54">
        <v>10</v>
      </c>
      <c r="AP3862" s="54">
        <v>20</v>
      </c>
      <c r="AQ3862" s="54">
        <v>0</v>
      </c>
      <c r="AR3862" s="55">
        <v>28500</v>
      </c>
      <c r="AS3862" s="78">
        <f t="shared" si="64"/>
        <v>0</v>
      </c>
    </row>
    <row r="3863" spans="39:45">
      <c r="AM3863" s="55">
        <v>2019</v>
      </c>
      <c r="AN3863" s="55" t="s">
        <v>187</v>
      </c>
      <c r="AO3863" s="55">
        <v>10</v>
      </c>
      <c r="AP3863" s="55">
        <v>21</v>
      </c>
      <c r="AQ3863" s="55">
        <v>0</v>
      </c>
      <c r="AR3863" s="55">
        <v>28500</v>
      </c>
      <c r="AS3863" s="78">
        <f t="shared" si="64"/>
        <v>0</v>
      </c>
    </row>
    <row r="3864" spans="39:45">
      <c r="AM3864" s="54">
        <v>2019</v>
      </c>
      <c r="AN3864" s="54" t="s">
        <v>187</v>
      </c>
      <c r="AO3864" s="54">
        <v>10</v>
      </c>
      <c r="AP3864" s="54">
        <v>22</v>
      </c>
      <c r="AQ3864" s="54">
        <v>0</v>
      </c>
      <c r="AR3864" s="55">
        <v>28500</v>
      </c>
      <c r="AS3864" s="78">
        <f t="shared" si="64"/>
        <v>0</v>
      </c>
    </row>
    <row r="3865" spans="39:45">
      <c r="AM3865" s="55">
        <v>2019</v>
      </c>
      <c r="AN3865" s="55" t="s">
        <v>187</v>
      </c>
      <c r="AO3865" s="55">
        <v>10</v>
      </c>
      <c r="AP3865" s="55">
        <v>23</v>
      </c>
      <c r="AQ3865" s="55">
        <v>0</v>
      </c>
      <c r="AR3865" s="55">
        <v>28500</v>
      </c>
      <c r="AS3865" s="78">
        <f t="shared" si="64"/>
        <v>0</v>
      </c>
    </row>
    <row r="3866" spans="39:45">
      <c r="AM3866" s="54">
        <v>2019</v>
      </c>
      <c r="AN3866" s="54" t="s">
        <v>187</v>
      </c>
      <c r="AO3866" s="54">
        <v>11</v>
      </c>
      <c r="AP3866" s="54">
        <v>24</v>
      </c>
      <c r="AQ3866" s="54">
        <v>0</v>
      </c>
      <c r="AR3866" s="55">
        <v>28500</v>
      </c>
      <c r="AS3866" s="78">
        <f t="shared" si="64"/>
        <v>0</v>
      </c>
    </row>
    <row r="3867" spans="39:45">
      <c r="AM3867" s="55">
        <v>2019</v>
      </c>
      <c r="AN3867" s="55" t="s">
        <v>187</v>
      </c>
      <c r="AO3867" s="55">
        <v>11</v>
      </c>
      <c r="AP3867" s="55">
        <v>1</v>
      </c>
      <c r="AQ3867" s="55">
        <v>0</v>
      </c>
      <c r="AR3867" s="55">
        <v>28500</v>
      </c>
      <c r="AS3867" s="78">
        <f t="shared" si="64"/>
        <v>0</v>
      </c>
    </row>
    <row r="3868" spans="39:45">
      <c r="AM3868" s="54">
        <v>2019</v>
      </c>
      <c r="AN3868" s="54" t="s">
        <v>187</v>
      </c>
      <c r="AO3868" s="54">
        <v>11</v>
      </c>
      <c r="AP3868" s="54">
        <v>2</v>
      </c>
      <c r="AQ3868" s="54">
        <v>0</v>
      </c>
      <c r="AR3868" s="55">
        <v>28500</v>
      </c>
      <c r="AS3868" s="78">
        <f t="shared" si="64"/>
        <v>0</v>
      </c>
    </row>
    <row r="3869" spans="39:45">
      <c r="AM3869" s="55">
        <v>2019</v>
      </c>
      <c r="AN3869" s="55" t="s">
        <v>187</v>
      </c>
      <c r="AO3869" s="55">
        <v>11</v>
      </c>
      <c r="AP3869" s="55">
        <v>3</v>
      </c>
      <c r="AQ3869" s="55">
        <v>0</v>
      </c>
      <c r="AR3869" s="55">
        <v>28500</v>
      </c>
      <c r="AS3869" s="78">
        <f t="shared" si="64"/>
        <v>0</v>
      </c>
    </row>
    <row r="3870" spans="39:45">
      <c r="AM3870" s="54">
        <v>2019</v>
      </c>
      <c r="AN3870" s="54" t="s">
        <v>187</v>
      </c>
      <c r="AO3870" s="54">
        <v>11</v>
      </c>
      <c r="AP3870" s="54">
        <v>4</v>
      </c>
      <c r="AQ3870" s="54">
        <v>0</v>
      </c>
      <c r="AR3870" s="55">
        <v>28500</v>
      </c>
      <c r="AS3870" s="78">
        <f t="shared" si="64"/>
        <v>0</v>
      </c>
    </row>
    <row r="3871" spans="39:45">
      <c r="AM3871" s="55">
        <v>2019</v>
      </c>
      <c r="AN3871" s="55" t="s">
        <v>187</v>
      </c>
      <c r="AO3871" s="55">
        <v>11</v>
      </c>
      <c r="AP3871" s="55">
        <v>5</v>
      </c>
      <c r="AQ3871" s="55">
        <v>2019</v>
      </c>
      <c r="AR3871" s="55">
        <v>28500</v>
      </c>
      <c r="AS3871" s="78">
        <f t="shared" si="64"/>
        <v>7.0842105263157901E-2</v>
      </c>
    </row>
    <row r="3872" spans="39:45">
      <c r="AM3872" s="54">
        <v>2019</v>
      </c>
      <c r="AN3872" s="54" t="s">
        <v>187</v>
      </c>
      <c r="AO3872" s="54">
        <v>11</v>
      </c>
      <c r="AP3872" s="54">
        <v>6</v>
      </c>
      <c r="AQ3872" s="54">
        <v>3962.5</v>
      </c>
      <c r="AR3872" s="55">
        <v>28500</v>
      </c>
      <c r="AS3872" s="78">
        <f t="shared" si="64"/>
        <v>0.13903508771929823</v>
      </c>
    </row>
    <row r="3873" spans="39:45">
      <c r="AM3873" s="55">
        <v>2019</v>
      </c>
      <c r="AN3873" s="55" t="s">
        <v>187</v>
      </c>
      <c r="AO3873" s="55">
        <v>11</v>
      </c>
      <c r="AP3873" s="55">
        <v>7</v>
      </c>
      <c r="AQ3873" s="55">
        <v>14077.5</v>
      </c>
      <c r="AR3873" s="55">
        <v>28500</v>
      </c>
      <c r="AS3873" s="78">
        <f t="shared" si="64"/>
        <v>0.49394736842105263</v>
      </c>
    </row>
    <row r="3874" spans="39:45">
      <c r="AM3874" s="54">
        <v>2019</v>
      </c>
      <c r="AN3874" s="54" t="s">
        <v>187</v>
      </c>
      <c r="AO3874" s="54">
        <v>11</v>
      </c>
      <c r="AP3874" s="54">
        <v>8</v>
      </c>
      <c r="AQ3874" s="54">
        <v>19996.5</v>
      </c>
      <c r="AR3874" s="55">
        <v>28500</v>
      </c>
      <c r="AS3874" s="78">
        <f t="shared" si="64"/>
        <v>0.70163157894736838</v>
      </c>
    </row>
    <row r="3875" spans="39:45">
      <c r="AM3875" s="55">
        <v>2019</v>
      </c>
      <c r="AN3875" s="55" t="s">
        <v>187</v>
      </c>
      <c r="AO3875" s="55">
        <v>11</v>
      </c>
      <c r="AP3875" s="55">
        <v>9</v>
      </c>
      <c r="AQ3875" s="55">
        <v>17518.5</v>
      </c>
      <c r="AR3875" s="55">
        <v>28500</v>
      </c>
      <c r="AS3875" s="78">
        <f t="shared" si="64"/>
        <v>0.61468421052631583</v>
      </c>
    </row>
    <row r="3876" spans="39:45">
      <c r="AM3876" s="54">
        <v>2019</v>
      </c>
      <c r="AN3876" s="54" t="s">
        <v>187</v>
      </c>
      <c r="AO3876" s="54">
        <v>11</v>
      </c>
      <c r="AP3876" s="54">
        <v>10</v>
      </c>
      <c r="AQ3876" s="54">
        <v>32455</v>
      </c>
      <c r="AR3876" s="55">
        <v>28500</v>
      </c>
      <c r="AS3876" s="78">
        <f t="shared" si="64"/>
        <v>1.1387719298245613</v>
      </c>
    </row>
    <row r="3877" spans="39:45">
      <c r="AM3877" s="55">
        <v>2019</v>
      </c>
      <c r="AN3877" s="55" t="s">
        <v>187</v>
      </c>
      <c r="AO3877" s="55">
        <v>11</v>
      </c>
      <c r="AP3877" s="55">
        <v>11</v>
      </c>
      <c r="AQ3877" s="55">
        <v>29506.5</v>
      </c>
      <c r="AR3877" s="55">
        <v>28500</v>
      </c>
      <c r="AS3877" s="78">
        <f t="shared" si="64"/>
        <v>1.0353157894736842</v>
      </c>
    </row>
    <row r="3878" spans="39:45">
      <c r="AM3878" s="54">
        <v>2019</v>
      </c>
      <c r="AN3878" s="54" t="s">
        <v>187</v>
      </c>
      <c r="AO3878" s="54">
        <v>11</v>
      </c>
      <c r="AP3878" s="54">
        <v>12</v>
      </c>
      <c r="AQ3878" s="54">
        <v>27828</v>
      </c>
      <c r="AR3878" s="55">
        <v>28500</v>
      </c>
      <c r="AS3878" s="78">
        <f t="shared" si="64"/>
        <v>0.97642105263157897</v>
      </c>
    </row>
    <row r="3879" spans="39:45">
      <c r="AM3879" s="55">
        <v>2019</v>
      </c>
      <c r="AN3879" s="55" t="s">
        <v>187</v>
      </c>
      <c r="AO3879" s="55">
        <v>11</v>
      </c>
      <c r="AP3879" s="55">
        <v>13</v>
      </c>
      <c r="AQ3879" s="55">
        <v>28260</v>
      </c>
      <c r="AR3879" s="55">
        <v>28500</v>
      </c>
      <c r="AS3879" s="78">
        <f t="shared" si="64"/>
        <v>0.991578947368421</v>
      </c>
    </row>
    <row r="3880" spans="39:45">
      <c r="AM3880" s="54">
        <v>2019</v>
      </c>
      <c r="AN3880" s="54" t="s">
        <v>187</v>
      </c>
      <c r="AO3880" s="54">
        <v>11</v>
      </c>
      <c r="AP3880" s="54">
        <v>14</v>
      </c>
      <c r="AQ3880" s="54">
        <v>21386</v>
      </c>
      <c r="AR3880" s="55">
        <v>28500</v>
      </c>
      <c r="AS3880" s="78">
        <f t="shared" si="64"/>
        <v>0.75038596491228071</v>
      </c>
    </row>
    <row r="3881" spans="39:45">
      <c r="AM3881" s="55">
        <v>2019</v>
      </c>
      <c r="AN3881" s="55" t="s">
        <v>187</v>
      </c>
      <c r="AO3881" s="55">
        <v>11</v>
      </c>
      <c r="AP3881" s="55">
        <v>15</v>
      </c>
      <c r="AQ3881" s="55">
        <v>14118.5</v>
      </c>
      <c r="AR3881" s="55">
        <v>28500</v>
      </c>
      <c r="AS3881" s="78">
        <f t="shared" si="64"/>
        <v>0.49538596491228071</v>
      </c>
    </row>
    <row r="3882" spans="39:45">
      <c r="AM3882" s="54">
        <v>2019</v>
      </c>
      <c r="AN3882" s="54" t="s">
        <v>187</v>
      </c>
      <c r="AO3882" s="54">
        <v>11</v>
      </c>
      <c r="AP3882" s="54">
        <v>16</v>
      </c>
      <c r="AQ3882" s="54">
        <v>14565.5</v>
      </c>
      <c r="AR3882" s="55">
        <v>28500</v>
      </c>
      <c r="AS3882" s="78">
        <f t="shared" si="64"/>
        <v>0.51107017543859645</v>
      </c>
    </row>
    <row r="3883" spans="39:45">
      <c r="AM3883" s="55">
        <v>2019</v>
      </c>
      <c r="AN3883" s="55" t="s">
        <v>187</v>
      </c>
      <c r="AO3883" s="55">
        <v>11</v>
      </c>
      <c r="AP3883" s="55">
        <v>17</v>
      </c>
      <c r="AQ3883" s="55">
        <v>3250.5</v>
      </c>
      <c r="AR3883" s="55">
        <v>28500</v>
      </c>
      <c r="AS3883" s="78">
        <f t="shared" si="64"/>
        <v>0.11405263157894736</v>
      </c>
    </row>
    <row r="3884" spans="39:45">
      <c r="AM3884" s="54">
        <v>2019</v>
      </c>
      <c r="AN3884" s="54" t="s">
        <v>187</v>
      </c>
      <c r="AO3884" s="54">
        <v>11</v>
      </c>
      <c r="AP3884" s="54">
        <v>18</v>
      </c>
      <c r="AQ3884" s="54">
        <v>3413</v>
      </c>
      <c r="AR3884" s="55">
        <v>28500</v>
      </c>
      <c r="AS3884" s="78">
        <f t="shared" si="64"/>
        <v>0.11975438596491228</v>
      </c>
    </row>
    <row r="3885" spans="39:45">
      <c r="AM3885" s="55">
        <v>2019</v>
      </c>
      <c r="AN3885" s="55" t="s">
        <v>187</v>
      </c>
      <c r="AO3885" s="55">
        <v>11</v>
      </c>
      <c r="AP3885" s="55">
        <v>19</v>
      </c>
      <c r="AQ3885" s="55">
        <v>1101.5</v>
      </c>
      <c r="AR3885" s="55">
        <v>28500</v>
      </c>
      <c r="AS3885" s="78">
        <f t="shared" si="64"/>
        <v>3.8649122807017544E-2</v>
      </c>
    </row>
    <row r="3886" spans="39:45">
      <c r="AM3886" s="54">
        <v>2019</v>
      </c>
      <c r="AN3886" s="54" t="s">
        <v>187</v>
      </c>
      <c r="AO3886" s="54">
        <v>11</v>
      </c>
      <c r="AP3886" s="54">
        <v>20</v>
      </c>
      <c r="AQ3886" s="54">
        <v>0</v>
      </c>
      <c r="AR3886" s="55">
        <v>28500</v>
      </c>
      <c r="AS3886" s="78">
        <f t="shared" si="64"/>
        <v>0</v>
      </c>
    </row>
    <row r="3887" spans="39:45">
      <c r="AM3887" s="55">
        <v>2019</v>
      </c>
      <c r="AN3887" s="55" t="s">
        <v>187</v>
      </c>
      <c r="AO3887" s="55">
        <v>11</v>
      </c>
      <c r="AP3887" s="55">
        <v>21</v>
      </c>
      <c r="AQ3887" s="55">
        <v>0</v>
      </c>
      <c r="AR3887" s="55">
        <v>28500</v>
      </c>
      <c r="AS3887" s="78">
        <f t="shared" si="64"/>
        <v>0</v>
      </c>
    </row>
    <row r="3888" spans="39:45">
      <c r="AM3888" s="54">
        <v>2019</v>
      </c>
      <c r="AN3888" s="54" t="s">
        <v>187</v>
      </c>
      <c r="AO3888" s="54">
        <v>11</v>
      </c>
      <c r="AP3888" s="54">
        <v>22</v>
      </c>
      <c r="AQ3888" s="54">
        <v>0</v>
      </c>
      <c r="AR3888" s="55">
        <v>28500</v>
      </c>
      <c r="AS3888" s="78">
        <f t="shared" si="64"/>
        <v>0</v>
      </c>
    </row>
    <row r="3889" spans="39:45">
      <c r="AM3889" s="55">
        <v>2019</v>
      </c>
      <c r="AN3889" s="55" t="s">
        <v>187</v>
      </c>
      <c r="AO3889" s="55">
        <v>11</v>
      </c>
      <c r="AP3889" s="55">
        <v>23</v>
      </c>
      <c r="AQ3889" s="55">
        <v>0</v>
      </c>
      <c r="AR3889" s="55">
        <v>28500</v>
      </c>
      <c r="AS3889" s="78">
        <f t="shared" si="64"/>
        <v>0</v>
      </c>
    </row>
    <row r="3890" spans="39:45">
      <c r="AM3890" s="54">
        <v>2019</v>
      </c>
      <c r="AN3890" s="54" t="s">
        <v>187</v>
      </c>
      <c r="AO3890" s="54">
        <v>12</v>
      </c>
      <c r="AP3890" s="54">
        <v>24</v>
      </c>
      <c r="AQ3890" s="54">
        <v>0</v>
      </c>
      <c r="AR3890" s="55">
        <v>28500</v>
      </c>
      <c r="AS3890" s="78">
        <f t="shared" si="64"/>
        <v>0</v>
      </c>
    </row>
    <row r="3891" spans="39:45">
      <c r="AM3891" s="55">
        <v>2019</v>
      </c>
      <c r="AN3891" s="55" t="s">
        <v>187</v>
      </c>
      <c r="AO3891" s="55">
        <v>12</v>
      </c>
      <c r="AP3891" s="55">
        <v>1</v>
      </c>
      <c r="AQ3891" s="55">
        <v>0</v>
      </c>
      <c r="AR3891" s="55">
        <v>28500</v>
      </c>
      <c r="AS3891" s="78">
        <f t="shared" si="64"/>
        <v>0</v>
      </c>
    </row>
    <row r="3892" spans="39:45">
      <c r="AM3892" s="54">
        <v>2019</v>
      </c>
      <c r="AN3892" s="54" t="s">
        <v>187</v>
      </c>
      <c r="AO3892" s="54">
        <v>12</v>
      </c>
      <c r="AP3892" s="54">
        <v>2</v>
      </c>
      <c r="AQ3892" s="54">
        <v>0</v>
      </c>
      <c r="AR3892" s="55">
        <v>28500</v>
      </c>
      <c r="AS3892" s="78">
        <f t="shared" si="64"/>
        <v>0</v>
      </c>
    </row>
    <row r="3893" spans="39:45">
      <c r="AM3893" s="55">
        <v>2019</v>
      </c>
      <c r="AN3893" s="55" t="s">
        <v>187</v>
      </c>
      <c r="AO3893" s="55">
        <v>12</v>
      </c>
      <c r="AP3893" s="55">
        <v>3</v>
      </c>
      <c r="AQ3893" s="55">
        <v>0</v>
      </c>
      <c r="AR3893" s="55">
        <v>28500</v>
      </c>
      <c r="AS3893" s="78">
        <f t="shared" si="64"/>
        <v>0</v>
      </c>
    </row>
    <row r="3894" spans="39:45">
      <c r="AM3894" s="54">
        <v>2019</v>
      </c>
      <c r="AN3894" s="54" t="s">
        <v>187</v>
      </c>
      <c r="AO3894" s="54">
        <v>12</v>
      </c>
      <c r="AP3894" s="54">
        <v>4</v>
      </c>
      <c r="AQ3894" s="54">
        <v>0</v>
      </c>
      <c r="AR3894" s="55">
        <v>28500</v>
      </c>
      <c r="AS3894" s="78">
        <f t="shared" si="64"/>
        <v>0</v>
      </c>
    </row>
    <row r="3895" spans="39:45">
      <c r="AM3895" s="55">
        <v>2019</v>
      </c>
      <c r="AN3895" s="55" t="s">
        <v>187</v>
      </c>
      <c r="AO3895" s="55">
        <v>12</v>
      </c>
      <c r="AP3895" s="55">
        <v>5</v>
      </c>
      <c r="AQ3895" s="55">
        <v>1885.5</v>
      </c>
      <c r="AR3895" s="55">
        <v>28500</v>
      </c>
      <c r="AS3895" s="78">
        <f t="shared" si="64"/>
        <v>6.615789473684211E-2</v>
      </c>
    </row>
    <row r="3896" spans="39:45">
      <c r="AM3896" s="54">
        <v>2019</v>
      </c>
      <c r="AN3896" s="54" t="s">
        <v>187</v>
      </c>
      <c r="AO3896" s="54">
        <v>12</v>
      </c>
      <c r="AP3896" s="54">
        <v>6</v>
      </c>
      <c r="AQ3896" s="54">
        <v>2892</v>
      </c>
      <c r="AR3896" s="55">
        <v>28500</v>
      </c>
      <c r="AS3896" s="78">
        <f t="shared" si="64"/>
        <v>0.10147368421052631</v>
      </c>
    </row>
    <row r="3897" spans="39:45">
      <c r="AM3897" s="55">
        <v>2019</v>
      </c>
      <c r="AN3897" s="55" t="s">
        <v>187</v>
      </c>
      <c r="AO3897" s="55">
        <v>12</v>
      </c>
      <c r="AP3897" s="55">
        <v>7</v>
      </c>
      <c r="AQ3897" s="55">
        <v>11194</v>
      </c>
      <c r="AR3897" s="55">
        <v>28500</v>
      </c>
      <c r="AS3897" s="78">
        <f t="shared" si="64"/>
        <v>0.39277192982456138</v>
      </c>
    </row>
    <row r="3898" spans="39:45">
      <c r="AM3898" s="54">
        <v>2019</v>
      </c>
      <c r="AN3898" s="54" t="s">
        <v>187</v>
      </c>
      <c r="AO3898" s="54">
        <v>12</v>
      </c>
      <c r="AP3898" s="54">
        <v>8</v>
      </c>
      <c r="AQ3898" s="54">
        <v>19828</v>
      </c>
      <c r="AR3898" s="55">
        <v>28500</v>
      </c>
      <c r="AS3898" s="78">
        <f t="shared" si="64"/>
        <v>0.69571929824561407</v>
      </c>
    </row>
    <row r="3899" spans="39:45">
      <c r="AM3899" s="55">
        <v>2019</v>
      </c>
      <c r="AN3899" s="55" t="s">
        <v>187</v>
      </c>
      <c r="AO3899" s="55">
        <v>12</v>
      </c>
      <c r="AP3899" s="55">
        <v>9</v>
      </c>
      <c r="AQ3899" s="55">
        <v>22326.5</v>
      </c>
      <c r="AR3899" s="55">
        <v>28500</v>
      </c>
      <c r="AS3899" s="78">
        <f t="shared" si="64"/>
        <v>0.78338596491228074</v>
      </c>
    </row>
    <row r="3900" spans="39:45">
      <c r="AM3900" s="54">
        <v>2019</v>
      </c>
      <c r="AN3900" s="54" t="s">
        <v>187</v>
      </c>
      <c r="AO3900" s="54">
        <v>12</v>
      </c>
      <c r="AP3900" s="54">
        <v>10</v>
      </c>
      <c r="AQ3900" s="54">
        <v>8823</v>
      </c>
      <c r="AR3900" s="55">
        <v>28500</v>
      </c>
      <c r="AS3900" s="78">
        <f t="shared" si="64"/>
        <v>0.30957894736842106</v>
      </c>
    </row>
    <row r="3901" spans="39:45">
      <c r="AM3901" s="55">
        <v>2019</v>
      </c>
      <c r="AN3901" s="55" t="s">
        <v>187</v>
      </c>
      <c r="AO3901" s="55">
        <v>12</v>
      </c>
      <c r="AP3901" s="55">
        <v>11</v>
      </c>
      <c r="AQ3901" s="55">
        <v>4928.5</v>
      </c>
      <c r="AR3901" s="55">
        <v>28500</v>
      </c>
      <c r="AS3901" s="78">
        <f t="shared" si="64"/>
        <v>0.17292982456140352</v>
      </c>
    </row>
    <row r="3902" spans="39:45">
      <c r="AM3902" s="54">
        <v>2019</v>
      </c>
      <c r="AN3902" s="54" t="s">
        <v>187</v>
      </c>
      <c r="AO3902" s="54">
        <v>12</v>
      </c>
      <c r="AP3902" s="54">
        <v>12</v>
      </c>
      <c r="AQ3902" s="54">
        <v>7298</v>
      </c>
      <c r="AR3902" s="55">
        <v>28500</v>
      </c>
      <c r="AS3902" s="78">
        <f t="shared" si="64"/>
        <v>0.2560701754385965</v>
      </c>
    </row>
    <row r="3903" spans="39:45">
      <c r="AM3903" s="55">
        <v>2019</v>
      </c>
      <c r="AN3903" s="55" t="s">
        <v>187</v>
      </c>
      <c r="AO3903" s="55">
        <v>12</v>
      </c>
      <c r="AP3903" s="55">
        <v>13</v>
      </c>
      <c r="AQ3903" s="55">
        <v>4819</v>
      </c>
      <c r="AR3903" s="55">
        <v>28500</v>
      </c>
      <c r="AS3903" s="78">
        <f t="shared" si="64"/>
        <v>0.16908771929824562</v>
      </c>
    </row>
    <row r="3904" spans="39:45">
      <c r="AM3904" s="54">
        <v>2019</v>
      </c>
      <c r="AN3904" s="54" t="s">
        <v>187</v>
      </c>
      <c r="AO3904" s="54">
        <v>12</v>
      </c>
      <c r="AP3904" s="54">
        <v>14</v>
      </c>
      <c r="AQ3904" s="54">
        <v>4006.5</v>
      </c>
      <c r="AR3904" s="55">
        <v>28500</v>
      </c>
      <c r="AS3904" s="78">
        <f t="shared" si="64"/>
        <v>0.14057894736842105</v>
      </c>
    </row>
    <row r="3905" spans="39:45">
      <c r="AM3905" s="55">
        <v>2019</v>
      </c>
      <c r="AN3905" s="55" t="s">
        <v>187</v>
      </c>
      <c r="AO3905" s="55">
        <v>12</v>
      </c>
      <c r="AP3905" s="55">
        <v>15</v>
      </c>
      <c r="AQ3905" s="55">
        <v>3163</v>
      </c>
      <c r="AR3905" s="55">
        <v>28500</v>
      </c>
      <c r="AS3905" s="78">
        <f t="shared" si="64"/>
        <v>0.11098245614035088</v>
      </c>
    </row>
    <row r="3906" spans="39:45">
      <c r="AM3906" s="54">
        <v>2019</v>
      </c>
      <c r="AN3906" s="54" t="s">
        <v>187</v>
      </c>
      <c r="AO3906" s="54">
        <v>12</v>
      </c>
      <c r="AP3906" s="54">
        <v>16</v>
      </c>
      <c r="AQ3906" s="54">
        <v>4577.5</v>
      </c>
      <c r="AR3906" s="55">
        <v>28500</v>
      </c>
      <c r="AS3906" s="78">
        <f t="shared" ref="AS3906:AS3969" si="65">AQ3906/AR3906</f>
        <v>0.16061403508771929</v>
      </c>
    </row>
    <row r="3907" spans="39:45">
      <c r="AM3907" s="55">
        <v>2019</v>
      </c>
      <c r="AN3907" s="55" t="s">
        <v>187</v>
      </c>
      <c r="AO3907" s="55">
        <v>12</v>
      </c>
      <c r="AP3907" s="55">
        <v>17</v>
      </c>
      <c r="AQ3907" s="55">
        <v>5641.5</v>
      </c>
      <c r="AR3907" s="55">
        <v>28500</v>
      </c>
      <c r="AS3907" s="78">
        <f t="shared" si="65"/>
        <v>0.19794736842105262</v>
      </c>
    </row>
    <row r="3908" spans="39:45">
      <c r="AM3908" s="54">
        <v>2019</v>
      </c>
      <c r="AN3908" s="54" t="s">
        <v>187</v>
      </c>
      <c r="AO3908" s="54">
        <v>12</v>
      </c>
      <c r="AP3908" s="54">
        <v>18</v>
      </c>
      <c r="AQ3908" s="54">
        <v>2185.5</v>
      </c>
      <c r="AR3908" s="55">
        <v>28500</v>
      </c>
      <c r="AS3908" s="78">
        <f t="shared" si="65"/>
        <v>7.6684210526315785E-2</v>
      </c>
    </row>
    <row r="3909" spans="39:45">
      <c r="AM3909" s="55">
        <v>2019</v>
      </c>
      <c r="AN3909" s="55" t="s">
        <v>187</v>
      </c>
      <c r="AO3909" s="55">
        <v>12</v>
      </c>
      <c r="AP3909" s="55">
        <v>19</v>
      </c>
      <c r="AQ3909" s="55">
        <v>981</v>
      </c>
      <c r="AR3909" s="55">
        <v>28500</v>
      </c>
      <c r="AS3909" s="78">
        <f t="shared" si="65"/>
        <v>3.4421052631578949E-2</v>
      </c>
    </row>
    <row r="3910" spans="39:45">
      <c r="AM3910" s="54">
        <v>2019</v>
      </c>
      <c r="AN3910" s="54" t="s">
        <v>187</v>
      </c>
      <c r="AO3910" s="54">
        <v>12</v>
      </c>
      <c r="AP3910" s="54">
        <v>20</v>
      </c>
      <c r="AQ3910" s="54">
        <v>0</v>
      </c>
      <c r="AR3910" s="55">
        <v>28500</v>
      </c>
      <c r="AS3910" s="78">
        <f t="shared" si="65"/>
        <v>0</v>
      </c>
    </row>
    <row r="3911" spans="39:45">
      <c r="AM3911" s="55">
        <v>2019</v>
      </c>
      <c r="AN3911" s="55" t="s">
        <v>187</v>
      </c>
      <c r="AO3911" s="55">
        <v>12</v>
      </c>
      <c r="AP3911" s="55">
        <v>21</v>
      </c>
      <c r="AQ3911" s="55">
        <v>0</v>
      </c>
      <c r="AR3911" s="55">
        <v>28500</v>
      </c>
      <c r="AS3911" s="78">
        <f t="shared" si="65"/>
        <v>0</v>
      </c>
    </row>
    <row r="3912" spans="39:45">
      <c r="AM3912" s="54">
        <v>2019</v>
      </c>
      <c r="AN3912" s="54" t="s">
        <v>187</v>
      </c>
      <c r="AO3912" s="54">
        <v>12</v>
      </c>
      <c r="AP3912" s="54">
        <v>22</v>
      </c>
      <c r="AQ3912" s="54">
        <v>0</v>
      </c>
      <c r="AR3912" s="55">
        <v>28500</v>
      </c>
      <c r="AS3912" s="78">
        <f t="shared" si="65"/>
        <v>0</v>
      </c>
    </row>
    <row r="3913" spans="39:45">
      <c r="AM3913" s="55">
        <v>2019</v>
      </c>
      <c r="AN3913" s="55" t="s">
        <v>187</v>
      </c>
      <c r="AO3913" s="55">
        <v>12</v>
      </c>
      <c r="AP3913" s="55">
        <v>23</v>
      </c>
      <c r="AQ3913" s="55">
        <v>0</v>
      </c>
      <c r="AR3913" s="55">
        <v>28500</v>
      </c>
      <c r="AS3913" s="78">
        <f t="shared" si="65"/>
        <v>0</v>
      </c>
    </row>
    <row r="3914" spans="39:45">
      <c r="AM3914" s="54">
        <v>2019</v>
      </c>
      <c r="AN3914" s="54" t="s">
        <v>187</v>
      </c>
      <c r="AO3914" s="54">
        <v>13</v>
      </c>
      <c r="AP3914" s="54">
        <v>24</v>
      </c>
      <c r="AQ3914" s="54">
        <v>0</v>
      </c>
      <c r="AR3914" s="55">
        <v>28500</v>
      </c>
      <c r="AS3914" s="78">
        <f t="shared" si="65"/>
        <v>0</v>
      </c>
    </row>
    <row r="3915" spans="39:45">
      <c r="AM3915" s="55">
        <v>2019</v>
      </c>
      <c r="AN3915" s="55" t="s">
        <v>187</v>
      </c>
      <c r="AO3915" s="55">
        <v>13</v>
      </c>
      <c r="AP3915" s="55">
        <v>1</v>
      </c>
      <c r="AQ3915" s="55">
        <v>0</v>
      </c>
      <c r="AR3915" s="55">
        <v>28500</v>
      </c>
      <c r="AS3915" s="78">
        <f t="shared" si="65"/>
        <v>0</v>
      </c>
    </row>
    <row r="3916" spans="39:45">
      <c r="AM3916" s="54">
        <v>2019</v>
      </c>
      <c r="AN3916" s="54" t="s">
        <v>187</v>
      </c>
      <c r="AO3916" s="54">
        <v>13</v>
      </c>
      <c r="AP3916" s="54">
        <v>2</v>
      </c>
      <c r="AQ3916" s="54">
        <v>0</v>
      </c>
      <c r="AR3916" s="55">
        <v>28500</v>
      </c>
      <c r="AS3916" s="78">
        <f t="shared" si="65"/>
        <v>0</v>
      </c>
    </row>
    <row r="3917" spans="39:45">
      <c r="AM3917" s="55">
        <v>2019</v>
      </c>
      <c r="AN3917" s="55" t="s">
        <v>187</v>
      </c>
      <c r="AO3917" s="55">
        <v>13</v>
      </c>
      <c r="AP3917" s="55">
        <v>3</v>
      </c>
      <c r="AQ3917" s="55">
        <v>0</v>
      </c>
      <c r="AR3917" s="55">
        <v>28500</v>
      </c>
      <c r="AS3917" s="78">
        <f t="shared" si="65"/>
        <v>0</v>
      </c>
    </row>
    <row r="3918" spans="39:45">
      <c r="AM3918" s="54">
        <v>2019</v>
      </c>
      <c r="AN3918" s="54" t="s">
        <v>187</v>
      </c>
      <c r="AO3918" s="54">
        <v>13</v>
      </c>
      <c r="AP3918" s="54">
        <v>4</v>
      </c>
      <c r="AQ3918" s="54">
        <v>0</v>
      </c>
      <c r="AR3918" s="55">
        <v>28500</v>
      </c>
      <c r="AS3918" s="78">
        <f t="shared" si="65"/>
        <v>0</v>
      </c>
    </row>
    <row r="3919" spans="39:45">
      <c r="AM3919" s="55">
        <v>2019</v>
      </c>
      <c r="AN3919" s="55" t="s">
        <v>187</v>
      </c>
      <c r="AO3919" s="55">
        <v>13</v>
      </c>
      <c r="AP3919" s="55">
        <v>5</v>
      </c>
      <c r="AQ3919" s="55">
        <v>479.5</v>
      </c>
      <c r="AR3919" s="55">
        <v>28500</v>
      </c>
      <c r="AS3919" s="78">
        <f t="shared" si="65"/>
        <v>1.6824561403508773E-2</v>
      </c>
    </row>
    <row r="3920" spans="39:45">
      <c r="AM3920" s="54">
        <v>2019</v>
      </c>
      <c r="AN3920" s="54" t="s">
        <v>187</v>
      </c>
      <c r="AO3920" s="54">
        <v>13</v>
      </c>
      <c r="AP3920" s="54">
        <v>6</v>
      </c>
      <c r="AQ3920" s="54">
        <v>4123.5</v>
      </c>
      <c r="AR3920" s="55">
        <v>28500</v>
      </c>
      <c r="AS3920" s="78">
        <f t="shared" si="65"/>
        <v>0.14468421052631578</v>
      </c>
    </row>
    <row r="3921" spans="39:45">
      <c r="AM3921" s="55">
        <v>2019</v>
      </c>
      <c r="AN3921" s="55" t="s">
        <v>187</v>
      </c>
      <c r="AO3921" s="55">
        <v>13</v>
      </c>
      <c r="AP3921" s="55">
        <v>7</v>
      </c>
      <c r="AQ3921" s="55">
        <v>5728.5</v>
      </c>
      <c r="AR3921" s="55">
        <v>28500</v>
      </c>
      <c r="AS3921" s="78">
        <f t="shared" si="65"/>
        <v>0.20100000000000001</v>
      </c>
    </row>
    <row r="3922" spans="39:45">
      <c r="AM3922" s="54">
        <v>2019</v>
      </c>
      <c r="AN3922" s="54" t="s">
        <v>187</v>
      </c>
      <c r="AO3922" s="54">
        <v>13</v>
      </c>
      <c r="AP3922" s="54">
        <v>8</v>
      </c>
      <c r="AQ3922" s="54">
        <v>12723</v>
      </c>
      <c r="AR3922" s="55">
        <v>28500</v>
      </c>
      <c r="AS3922" s="78">
        <f t="shared" si="65"/>
        <v>0.44642105263157894</v>
      </c>
    </row>
    <row r="3923" spans="39:45">
      <c r="AM3923" s="55">
        <v>2019</v>
      </c>
      <c r="AN3923" s="55" t="s">
        <v>187</v>
      </c>
      <c r="AO3923" s="55">
        <v>13</v>
      </c>
      <c r="AP3923" s="55">
        <v>9</v>
      </c>
      <c r="AQ3923" s="55">
        <v>20917.5</v>
      </c>
      <c r="AR3923" s="55">
        <v>28500</v>
      </c>
      <c r="AS3923" s="78">
        <f t="shared" si="65"/>
        <v>0.73394736842105268</v>
      </c>
    </row>
    <row r="3924" spans="39:45">
      <c r="AM3924" s="54">
        <v>2019</v>
      </c>
      <c r="AN3924" s="54" t="s">
        <v>187</v>
      </c>
      <c r="AO3924" s="54">
        <v>13</v>
      </c>
      <c r="AP3924" s="54">
        <v>10</v>
      </c>
      <c r="AQ3924" s="54">
        <v>16943.5</v>
      </c>
      <c r="AR3924" s="55">
        <v>28500</v>
      </c>
      <c r="AS3924" s="78">
        <f t="shared" si="65"/>
        <v>0.59450877192982454</v>
      </c>
    </row>
    <row r="3925" spans="39:45">
      <c r="AM3925" s="55">
        <v>2019</v>
      </c>
      <c r="AN3925" s="55" t="s">
        <v>187</v>
      </c>
      <c r="AO3925" s="55">
        <v>13</v>
      </c>
      <c r="AP3925" s="55">
        <v>11</v>
      </c>
      <c r="AQ3925" s="55">
        <v>19236</v>
      </c>
      <c r="AR3925" s="55">
        <v>28500</v>
      </c>
      <c r="AS3925" s="78">
        <f t="shared" si="65"/>
        <v>0.67494736842105263</v>
      </c>
    </row>
    <row r="3926" spans="39:45">
      <c r="AM3926" s="54">
        <v>2019</v>
      </c>
      <c r="AN3926" s="54" t="s">
        <v>187</v>
      </c>
      <c r="AO3926" s="54">
        <v>13</v>
      </c>
      <c r="AP3926" s="54">
        <v>12</v>
      </c>
      <c r="AQ3926" s="54">
        <v>10634</v>
      </c>
      <c r="AR3926" s="55">
        <v>28500</v>
      </c>
      <c r="AS3926" s="78">
        <f t="shared" si="65"/>
        <v>0.37312280701754386</v>
      </c>
    </row>
    <row r="3927" spans="39:45">
      <c r="AM3927" s="55">
        <v>2019</v>
      </c>
      <c r="AN3927" s="55" t="s">
        <v>187</v>
      </c>
      <c r="AO3927" s="55">
        <v>13</v>
      </c>
      <c r="AP3927" s="55">
        <v>13</v>
      </c>
      <c r="AQ3927" s="55">
        <v>4319</v>
      </c>
      <c r="AR3927" s="55">
        <v>28500</v>
      </c>
      <c r="AS3927" s="78">
        <f t="shared" si="65"/>
        <v>0.15154385964912281</v>
      </c>
    </row>
    <row r="3928" spans="39:45">
      <c r="AM3928" s="54">
        <v>2019</v>
      </c>
      <c r="AN3928" s="54" t="s">
        <v>187</v>
      </c>
      <c r="AO3928" s="54">
        <v>13</v>
      </c>
      <c r="AP3928" s="54">
        <v>14</v>
      </c>
      <c r="AQ3928" s="54">
        <v>7392.5</v>
      </c>
      <c r="AR3928" s="55">
        <v>28500</v>
      </c>
      <c r="AS3928" s="78">
        <f t="shared" si="65"/>
        <v>0.25938596491228072</v>
      </c>
    </row>
    <row r="3929" spans="39:45">
      <c r="AM3929" s="55">
        <v>2019</v>
      </c>
      <c r="AN3929" s="55" t="s">
        <v>187</v>
      </c>
      <c r="AO3929" s="55">
        <v>13</v>
      </c>
      <c r="AP3929" s="55">
        <v>15</v>
      </c>
      <c r="AQ3929" s="55">
        <v>10306</v>
      </c>
      <c r="AR3929" s="55">
        <v>28500</v>
      </c>
      <c r="AS3929" s="78">
        <f t="shared" si="65"/>
        <v>0.36161403508771928</v>
      </c>
    </row>
    <row r="3930" spans="39:45">
      <c r="AM3930" s="54">
        <v>2019</v>
      </c>
      <c r="AN3930" s="54" t="s">
        <v>187</v>
      </c>
      <c r="AO3930" s="54">
        <v>13</v>
      </c>
      <c r="AP3930" s="54">
        <v>16</v>
      </c>
      <c r="AQ3930" s="54">
        <v>6138.5</v>
      </c>
      <c r="AR3930" s="55">
        <v>28500</v>
      </c>
      <c r="AS3930" s="78">
        <f t="shared" si="65"/>
        <v>0.21538596491228071</v>
      </c>
    </row>
    <row r="3931" spans="39:45">
      <c r="AM3931" s="55">
        <v>2019</v>
      </c>
      <c r="AN3931" s="55" t="s">
        <v>187</v>
      </c>
      <c r="AO3931" s="55">
        <v>13</v>
      </c>
      <c r="AP3931" s="55">
        <v>17</v>
      </c>
      <c r="AQ3931" s="55">
        <v>6442.5</v>
      </c>
      <c r="AR3931" s="55">
        <v>28500</v>
      </c>
      <c r="AS3931" s="78">
        <f t="shared" si="65"/>
        <v>0.22605263157894737</v>
      </c>
    </row>
    <row r="3932" spans="39:45">
      <c r="AM3932" s="54">
        <v>2019</v>
      </c>
      <c r="AN3932" s="54" t="s">
        <v>187</v>
      </c>
      <c r="AO3932" s="54">
        <v>13</v>
      </c>
      <c r="AP3932" s="54">
        <v>18</v>
      </c>
      <c r="AQ3932" s="54">
        <v>920</v>
      </c>
      <c r="AR3932" s="55">
        <v>28500</v>
      </c>
      <c r="AS3932" s="78">
        <f t="shared" si="65"/>
        <v>3.2280701754385965E-2</v>
      </c>
    </row>
    <row r="3933" spans="39:45">
      <c r="AM3933" s="55">
        <v>2019</v>
      </c>
      <c r="AN3933" s="55" t="s">
        <v>187</v>
      </c>
      <c r="AO3933" s="55">
        <v>13</v>
      </c>
      <c r="AP3933" s="55">
        <v>19</v>
      </c>
      <c r="AQ3933" s="55">
        <v>4</v>
      </c>
      <c r="AR3933" s="55">
        <v>28500</v>
      </c>
      <c r="AS3933" s="78">
        <f t="shared" si="65"/>
        <v>1.4035087719298245E-4</v>
      </c>
    </row>
    <row r="3934" spans="39:45">
      <c r="AM3934" s="54">
        <v>2019</v>
      </c>
      <c r="AN3934" s="54" t="s">
        <v>187</v>
      </c>
      <c r="AO3934" s="54">
        <v>13</v>
      </c>
      <c r="AP3934" s="54">
        <v>20</v>
      </c>
      <c r="AQ3934" s="54">
        <v>0</v>
      </c>
      <c r="AR3934" s="55">
        <v>28500</v>
      </c>
      <c r="AS3934" s="78">
        <f t="shared" si="65"/>
        <v>0</v>
      </c>
    </row>
    <row r="3935" spans="39:45">
      <c r="AM3935" s="55">
        <v>2019</v>
      </c>
      <c r="AN3935" s="55" t="s">
        <v>187</v>
      </c>
      <c r="AO3935" s="55">
        <v>13</v>
      </c>
      <c r="AP3935" s="55">
        <v>21</v>
      </c>
      <c r="AQ3935" s="55">
        <v>0</v>
      </c>
      <c r="AR3935" s="55">
        <v>28500</v>
      </c>
      <c r="AS3935" s="78">
        <f t="shared" si="65"/>
        <v>0</v>
      </c>
    </row>
    <row r="3936" spans="39:45">
      <c r="AM3936" s="54">
        <v>2019</v>
      </c>
      <c r="AN3936" s="54" t="s">
        <v>187</v>
      </c>
      <c r="AO3936" s="54">
        <v>13</v>
      </c>
      <c r="AP3936" s="54">
        <v>22</v>
      </c>
      <c r="AQ3936" s="54">
        <v>0</v>
      </c>
      <c r="AR3936" s="55">
        <v>28500</v>
      </c>
      <c r="AS3936" s="78">
        <f t="shared" si="65"/>
        <v>0</v>
      </c>
    </row>
    <row r="3937" spans="39:45">
      <c r="AM3937" s="55">
        <v>2019</v>
      </c>
      <c r="AN3937" s="55" t="s">
        <v>187</v>
      </c>
      <c r="AO3937" s="55">
        <v>13</v>
      </c>
      <c r="AP3937" s="55">
        <v>23</v>
      </c>
      <c r="AQ3937" s="55">
        <v>0</v>
      </c>
      <c r="AR3937" s="55">
        <v>28500</v>
      </c>
      <c r="AS3937" s="78">
        <f t="shared" si="65"/>
        <v>0</v>
      </c>
    </row>
    <row r="3938" spans="39:45">
      <c r="AM3938" s="54">
        <v>2019</v>
      </c>
      <c r="AN3938" s="54" t="s">
        <v>187</v>
      </c>
      <c r="AO3938" s="54">
        <v>14</v>
      </c>
      <c r="AP3938" s="54">
        <v>24</v>
      </c>
      <c r="AQ3938" s="54">
        <v>0</v>
      </c>
      <c r="AR3938" s="55">
        <v>28500</v>
      </c>
      <c r="AS3938" s="78">
        <f t="shared" si="65"/>
        <v>0</v>
      </c>
    </row>
    <row r="3939" spans="39:45">
      <c r="AM3939" s="55">
        <v>2019</v>
      </c>
      <c r="AN3939" s="55" t="s">
        <v>187</v>
      </c>
      <c r="AO3939" s="55">
        <v>14</v>
      </c>
      <c r="AP3939" s="55">
        <v>1</v>
      </c>
      <c r="AQ3939" s="55">
        <v>0</v>
      </c>
      <c r="AR3939" s="55">
        <v>28500</v>
      </c>
      <c r="AS3939" s="78">
        <f t="shared" si="65"/>
        <v>0</v>
      </c>
    </row>
    <row r="3940" spans="39:45">
      <c r="AM3940" s="54">
        <v>2019</v>
      </c>
      <c r="AN3940" s="54" t="s">
        <v>187</v>
      </c>
      <c r="AO3940" s="54">
        <v>14</v>
      </c>
      <c r="AP3940" s="54">
        <v>2</v>
      </c>
      <c r="AQ3940" s="54">
        <v>0</v>
      </c>
      <c r="AR3940" s="55">
        <v>28500</v>
      </c>
      <c r="AS3940" s="78">
        <f t="shared" si="65"/>
        <v>0</v>
      </c>
    </row>
    <row r="3941" spans="39:45">
      <c r="AM3941" s="55">
        <v>2019</v>
      </c>
      <c r="AN3941" s="55" t="s">
        <v>187</v>
      </c>
      <c r="AO3941" s="55">
        <v>14</v>
      </c>
      <c r="AP3941" s="55">
        <v>3</v>
      </c>
      <c r="AQ3941" s="55">
        <v>0</v>
      </c>
      <c r="AR3941" s="55">
        <v>28500</v>
      </c>
      <c r="AS3941" s="78">
        <f t="shared" si="65"/>
        <v>0</v>
      </c>
    </row>
    <row r="3942" spans="39:45">
      <c r="AM3942" s="54">
        <v>2019</v>
      </c>
      <c r="AN3942" s="54" t="s">
        <v>187</v>
      </c>
      <c r="AO3942" s="54">
        <v>14</v>
      </c>
      <c r="AP3942" s="54">
        <v>4</v>
      </c>
      <c r="AQ3942" s="54">
        <v>0</v>
      </c>
      <c r="AR3942" s="55">
        <v>28500</v>
      </c>
      <c r="AS3942" s="78">
        <f t="shared" si="65"/>
        <v>0</v>
      </c>
    </row>
    <row r="3943" spans="39:45">
      <c r="AM3943" s="55">
        <v>2019</v>
      </c>
      <c r="AN3943" s="55" t="s">
        <v>187</v>
      </c>
      <c r="AO3943" s="55">
        <v>14</v>
      </c>
      <c r="AP3943" s="55">
        <v>5</v>
      </c>
      <c r="AQ3943" s="55">
        <v>1606.5</v>
      </c>
      <c r="AR3943" s="55">
        <v>28500</v>
      </c>
      <c r="AS3943" s="78">
        <f t="shared" si="65"/>
        <v>5.6368421052631582E-2</v>
      </c>
    </row>
    <row r="3944" spans="39:45">
      <c r="AM3944" s="54">
        <v>2019</v>
      </c>
      <c r="AN3944" s="54" t="s">
        <v>187</v>
      </c>
      <c r="AO3944" s="54">
        <v>14</v>
      </c>
      <c r="AP3944" s="54">
        <v>6</v>
      </c>
      <c r="AQ3944" s="54">
        <v>5252</v>
      </c>
      <c r="AR3944" s="55">
        <v>28500</v>
      </c>
      <c r="AS3944" s="78">
        <f t="shared" si="65"/>
        <v>0.18428070175438596</v>
      </c>
    </row>
    <row r="3945" spans="39:45">
      <c r="AM3945" s="55">
        <v>2019</v>
      </c>
      <c r="AN3945" s="55" t="s">
        <v>187</v>
      </c>
      <c r="AO3945" s="55">
        <v>14</v>
      </c>
      <c r="AP3945" s="55">
        <v>7</v>
      </c>
      <c r="AQ3945" s="55">
        <v>8567.5</v>
      </c>
      <c r="AR3945" s="55">
        <v>28500</v>
      </c>
      <c r="AS3945" s="78">
        <f t="shared" si="65"/>
        <v>0.30061403508771928</v>
      </c>
    </row>
    <row r="3946" spans="39:45">
      <c r="AM3946" s="54">
        <v>2019</v>
      </c>
      <c r="AN3946" s="54" t="s">
        <v>187</v>
      </c>
      <c r="AO3946" s="54">
        <v>14</v>
      </c>
      <c r="AP3946" s="54">
        <v>8</v>
      </c>
      <c r="AQ3946" s="54">
        <v>15144.5</v>
      </c>
      <c r="AR3946" s="55">
        <v>28500</v>
      </c>
      <c r="AS3946" s="78">
        <f t="shared" si="65"/>
        <v>0.53138596491228074</v>
      </c>
    </row>
    <row r="3947" spans="39:45">
      <c r="AM3947" s="55">
        <v>2019</v>
      </c>
      <c r="AN3947" s="55" t="s">
        <v>187</v>
      </c>
      <c r="AO3947" s="55">
        <v>14</v>
      </c>
      <c r="AP3947" s="55">
        <v>9</v>
      </c>
      <c r="AQ3947" s="55">
        <v>16938</v>
      </c>
      <c r="AR3947" s="55">
        <v>28500</v>
      </c>
      <c r="AS3947" s="78">
        <f t="shared" si="65"/>
        <v>0.59431578947368424</v>
      </c>
    </row>
    <row r="3948" spans="39:45">
      <c r="AM3948" s="54">
        <v>2019</v>
      </c>
      <c r="AN3948" s="54" t="s">
        <v>187</v>
      </c>
      <c r="AO3948" s="54">
        <v>14</v>
      </c>
      <c r="AP3948" s="54">
        <v>10</v>
      </c>
      <c r="AQ3948" s="54">
        <v>22041.5</v>
      </c>
      <c r="AR3948" s="55">
        <v>28500</v>
      </c>
      <c r="AS3948" s="78">
        <f t="shared" si="65"/>
        <v>0.77338596491228073</v>
      </c>
    </row>
    <row r="3949" spans="39:45">
      <c r="AM3949" s="55">
        <v>2019</v>
      </c>
      <c r="AN3949" s="55" t="s">
        <v>187</v>
      </c>
      <c r="AO3949" s="55">
        <v>14</v>
      </c>
      <c r="AP3949" s="55">
        <v>11</v>
      </c>
      <c r="AQ3949" s="55">
        <v>30531</v>
      </c>
      <c r="AR3949" s="55">
        <v>28500</v>
      </c>
      <c r="AS3949" s="78">
        <f t="shared" si="65"/>
        <v>1.0712631578947369</v>
      </c>
    </row>
    <row r="3950" spans="39:45">
      <c r="AM3950" s="54">
        <v>2019</v>
      </c>
      <c r="AN3950" s="54" t="s">
        <v>187</v>
      </c>
      <c r="AO3950" s="54">
        <v>14</v>
      </c>
      <c r="AP3950" s="54">
        <v>12</v>
      </c>
      <c r="AQ3950" s="54">
        <v>21215.5</v>
      </c>
      <c r="AR3950" s="55">
        <v>28500</v>
      </c>
      <c r="AS3950" s="78">
        <f t="shared" si="65"/>
        <v>0.74440350877192984</v>
      </c>
    </row>
    <row r="3951" spans="39:45">
      <c r="AM3951" s="55">
        <v>2019</v>
      </c>
      <c r="AN3951" s="55" t="s">
        <v>187</v>
      </c>
      <c r="AO3951" s="55">
        <v>14</v>
      </c>
      <c r="AP3951" s="55">
        <v>13</v>
      </c>
      <c r="AQ3951" s="55">
        <v>23389</v>
      </c>
      <c r="AR3951" s="55">
        <v>28500</v>
      </c>
      <c r="AS3951" s="78">
        <f t="shared" si="65"/>
        <v>0.82066666666666666</v>
      </c>
    </row>
    <row r="3952" spans="39:45">
      <c r="AM3952" s="54">
        <v>2019</v>
      </c>
      <c r="AN3952" s="54" t="s">
        <v>187</v>
      </c>
      <c r="AO3952" s="54">
        <v>14</v>
      </c>
      <c r="AP3952" s="54">
        <v>14</v>
      </c>
      <c r="AQ3952" s="54">
        <v>15439.5</v>
      </c>
      <c r="AR3952" s="55">
        <v>28500</v>
      </c>
      <c r="AS3952" s="78">
        <f t="shared" si="65"/>
        <v>0.54173684210526318</v>
      </c>
    </row>
    <row r="3953" spans="39:45">
      <c r="AM3953" s="55">
        <v>2019</v>
      </c>
      <c r="AN3953" s="55" t="s">
        <v>187</v>
      </c>
      <c r="AO3953" s="55">
        <v>14</v>
      </c>
      <c r="AP3953" s="55">
        <v>15</v>
      </c>
      <c r="AQ3953" s="55">
        <v>14555.5</v>
      </c>
      <c r="AR3953" s="55">
        <v>28500</v>
      </c>
      <c r="AS3953" s="78">
        <f t="shared" si="65"/>
        <v>0.51071929824561402</v>
      </c>
    </row>
    <row r="3954" spans="39:45">
      <c r="AM3954" s="54">
        <v>2019</v>
      </c>
      <c r="AN3954" s="54" t="s">
        <v>187</v>
      </c>
      <c r="AO3954" s="54">
        <v>14</v>
      </c>
      <c r="AP3954" s="54">
        <v>16</v>
      </c>
      <c r="AQ3954" s="54">
        <v>18795</v>
      </c>
      <c r="AR3954" s="55">
        <v>28500</v>
      </c>
      <c r="AS3954" s="78">
        <f t="shared" si="65"/>
        <v>0.65947368421052632</v>
      </c>
    </row>
    <row r="3955" spans="39:45">
      <c r="AM3955" s="55">
        <v>2019</v>
      </c>
      <c r="AN3955" s="55" t="s">
        <v>187</v>
      </c>
      <c r="AO3955" s="55">
        <v>14</v>
      </c>
      <c r="AP3955" s="55">
        <v>17</v>
      </c>
      <c r="AQ3955" s="55">
        <v>9674.5</v>
      </c>
      <c r="AR3955" s="55">
        <v>28500</v>
      </c>
      <c r="AS3955" s="78">
        <f t="shared" si="65"/>
        <v>0.33945614035087718</v>
      </c>
    </row>
    <row r="3956" spans="39:45">
      <c r="AM3956" s="54">
        <v>2019</v>
      </c>
      <c r="AN3956" s="54" t="s">
        <v>187</v>
      </c>
      <c r="AO3956" s="54">
        <v>14</v>
      </c>
      <c r="AP3956" s="54">
        <v>18</v>
      </c>
      <c r="AQ3956" s="54">
        <v>2835</v>
      </c>
      <c r="AR3956" s="55">
        <v>28500</v>
      </c>
      <c r="AS3956" s="78">
        <f t="shared" si="65"/>
        <v>9.9473684210526311E-2</v>
      </c>
    </row>
    <row r="3957" spans="39:45">
      <c r="AM3957" s="55">
        <v>2019</v>
      </c>
      <c r="AN3957" s="55" t="s">
        <v>187</v>
      </c>
      <c r="AO3957" s="55">
        <v>14</v>
      </c>
      <c r="AP3957" s="55">
        <v>19</v>
      </c>
      <c r="AQ3957" s="55">
        <v>907</v>
      </c>
      <c r="AR3957" s="55">
        <v>28500</v>
      </c>
      <c r="AS3957" s="78">
        <f t="shared" si="65"/>
        <v>3.1824561403508769E-2</v>
      </c>
    </row>
    <row r="3958" spans="39:45">
      <c r="AM3958" s="54">
        <v>2019</v>
      </c>
      <c r="AN3958" s="54" t="s">
        <v>187</v>
      </c>
      <c r="AO3958" s="54">
        <v>14</v>
      </c>
      <c r="AP3958" s="54">
        <v>20</v>
      </c>
      <c r="AQ3958" s="54">
        <v>0</v>
      </c>
      <c r="AR3958" s="55">
        <v>28500</v>
      </c>
      <c r="AS3958" s="78">
        <f t="shared" si="65"/>
        <v>0</v>
      </c>
    </row>
    <row r="3959" spans="39:45">
      <c r="AM3959" s="55">
        <v>2019</v>
      </c>
      <c r="AN3959" s="55" t="s">
        <v>187</v>
      </c>
      <c r="AO3959" s="55">
        <v>14</v>
      </c>
      <c r="AP3959" s="55">
        <v>21</v>
      </c>
      <c r="AQ3959" s="55">
        <v>0</v>
      </c>
      <c r="AR3959" s="55">
        <v>28500</v>
      </c>
      <c r="AS3959" s="78">
        <f t="shared" si="65"/>
        <v>0</v>
      </c>
    </row>
    <row r="3960" spans="39:45">
      <c r="AM3960" s="54">
        <v>2019</v>
      </c>
      <c r="AN3960" s="54" t="s">
        <v>187</v>
      </c>
      <c r="AO3960" s="54">
        <v>14</v>
      </c>
      <c r="AP3960" s="54">
        <v>22</v>
      </c>
      <c r="AQ3960" s="54">
        <v>0</v>
      </c>
      <c r="AR3960" s="55">
        <v>28500</v>
      </c>
      <c r="AS3960" s="78">
        <f t="shared" si="65"/>
        <v>0</v>
      </c>
    </row>
    <row r="3961" spans="39:45">
      <c r="AM3961" s="55">
        <v>2019</v>
      </c>
      <c r="AN3961" s="55" t="s">
        <v>187</v>
      </c>
      <c r="AO3961" s="55">
        <v>14</v>
      </c>
      <c r="AP3961" s="55">
        <v>23</v>
      </c>
      <c r="AQ3961" s="55">
        <v>0</v>
      </c>
      <c r="AR3961" s="55">
        <v>28500</v>
      </c>
      <c r="AS3961" s="78">
        <f t="shared" si="65"/>
        <v>0</v>
      </c>
    </row>
    <row r="3962" spans="39:45">
      <c r="AM3962" s="54">
        <v>2019</v>
      </c>
      <c r="AN3962" s="54" t="s">
        <v>187</v>
      </c>
      <c r="AO3962" s="54">
        <v>15</v>
      </c>
      <c r="AP3962" s="54">
        <v>24</v>
      </c>
      <c r="AQ3962" s="54">
        <v>0</v>
      </c>
      <c r="AR3962" s="55">
        <v>28500</v>
      </c>
      <c r="AS3962" s="78">
        <f t="shared" si="65"/>
        <v>0</v>
      </c>
    </row>
    <row r="3963" spans="39:45">
      <c r="AM3963" s="55">
        <v>2019</v>
      </c>
      <c r="AN3963" s="55" t="s">
        <v>187</v>
      </c>
      <c r="AO3963" s="55">
        <v>15</v>
      </c>
      <c r="AP3963" s="55">
        <v>1</v>
      </c>
      <c r="AQ3963" s="55">
        <v>0</v>
      </c>
      <c r="AR3963" s="55">
        <v>28500</v>
      </c>
      <c r="AS3963" s="78">
        <f t="shared" si="65"/>
        <v>0</v>
      </c>
    </row>
    <row r="3964" spans="39:45">
      <c r="AM3964" s="54">
        <v>2019</v>
      </c>
      <c r="AN3964" s="54" t="s">
        <v>187</v>
      </c>
      <c r="AO3964" s="54">
        <v>15</v>
      </c>
      <c r="AP3964" s="54">
        <v>2</v>
      </c>
      <c r="AQ3964" s="54">
        <v>0</v>
      </c>
      <c r="AR3964" s="55">
        <v>28500</v>
      </c>
      <c r="AS3964" s="78">
        <f t="shared" si="65"/>
        <v>0</v>
      </c>
    </row>
    <row r="3965" spans="39:45">
      <c r="AM3965" s="55">
        <v>2019</v>
      </c>
      <c r="AN3965" s="55" t="s">
        <v>187</v>
      </c>
      <c r="AO3965" s="55">
        <v>15</v>
      </c>
      <c r="AP3965" s="55">
        <v>3</v>
      </c>
      <c r="AQ3965" s="55">
        <v>0</v>
      </c>
      <c r="AR3965" s="55">
        <v>28500</v>
      </c>
      <c r="AS3965" s="78">
        <f t="shared" si="65"/>
        <v>0</v>
      </c>
    </row>
    <row r="3966" spans="39:45">
      <c r="AM3966" s="54">
        <v>2019</v>
      </c>
      <c r="AN3966" s="54" t="s">
        <v>187</v>
      </c>
      <c r="AO3966" s="54">
        <v>15</v>
      </c>
      <c r="AP3966" s="54">
        <v>4</v>
      </c>
      <c r="AQ3966" s="54">
        <v>141</v>
      </c>
      <c r="AR3966" s="55">
        <v>28500</v>
      </c>
      <c r="AS3966" s="78">
        <f t="shared" si="65"/>
        <v>4.9473684210526317E-3</v>
      </c>
    </row>
    <row r="3967" spans="39:45">
      <c r="AM3967" s="55">
        <v>2019</v>
      </c>
      <c r="AN3967" s="55" t="s">
        <v>187</v>
      </c>
      <c r="AO3967" s="55">
        <v>15</v>
      </c>
      <c r="AP3967" s="55">
        <v>5</v>
      </c>
      <c r="AQ3967" s="55">
        <v>1312</v>
      </c>
      <c r="AR3967" s="55">
        <v>28500</v>
      </c>
      <c r="AS3967" s="78">
        <f t="shared" si="65"/>
        <v>4.6035087719298248E-2</v>
      </c>
    </row>
    <row r="3968" spans="39:45">
      <c r="AM3968" s="54">
        <v>2019</v>
      </c>
      <c r="AN3968" s="54" t="s">
        <v>187</v>
      </c>
      <c r="AO3968" s="54">
        <v>15</v>
      </c>
      <c r="AP3968" s="54">
        <v>6</v>
      </c>
      <c r="AQ3968" s="54">
        <v>3921</v>
      </c>
      <c r="AR3968" s="55">
        <v>28500</v>
      </c>
      <c r="AS3968" s="78">
        <f t="shared" si="65"/>
        <v>0.13757894736842105</v>
      </c>
    </row>
    <row r="3969" spans="39:45">
      <c r="AM3969" s="55">
        <v>2019</v>
      </c>
      <c r="AN3969" s="55" t="s">
        <v>187</v>
      </c>
      <c r="AO3969" s="55">
        <v>15</v>
      </c>
      <c r="AP3969" s="55">
        <v>7</v>
      </c>
      <c r="AQ3969" s="55">
        <v>13687</v>
      </c>
      <c r="AR3969" s="55">
        <v>28500</v>
      </c>
      <c r="AS3969" s="78">
        <f t="shared" si="65"/>
        <v>0.4802456140350877</v>
      </c>
    </row>
    <row r="3970" spans="39:45">
      <c r="AM3970" s="54">
        <v>2019</v>
      </c>
      <c r="AN3970" s="54" t="s">
        <v>187</v>
      </c>
      <c r="AO3970" s="54">
        <v>15</v>
      </c>
      <c r="AP3970" s="54">
        <v>8</v>
      </c>
      <c r="AQ3970" s="54">
        <v>12685.5</v>
      </c>
      <c r="AR3970" s="55">
        <v>28500</v>
      </c>
      <c r="AS3970" s="78">
        <f t="shared" ref="AS3970:AS4033" si="66">AQ3970/AR3970</f>
        <v>0.44510526315789473</v>
      </c>
    </row>
    <row r="3971" spans="39:45">
      <c r="AM3971" s="55">
        <v>2019</v>
      </c>
      <c r="AN3971" s="55" t="s">
        <v>187</v>
      </c>
      <c r="AO3971" s="55">
        <v>15</v>
      </c>
      <c r="AP3971" s="55">
        <v>9</v>
      </c>
      <c r="AQ3971" s="55">
        <v>28702.5</v>
      </c>
      <c r="AR3971" s="55">
        <v>28500</v>
      </c>
      <c r="AS3971" s="78">
        <f t="shared" si="66"/>
        <v>1.0071052631578947</v>
      </c>
    </row>
    <row r="3972" spans="39:45">
      <c r="AM3972" s="54">
        <v>2019</v>
      </c>
      <c r="AN3972" s="54" t="s">
        <v>187</v>
      </c>
      <c r="AO3972" s="54">
        <v>15</v>
      </c>
      <c r="AP3972" s="54">
        <v>10</v>
      </c>
      <c r="AQ3972" s="54">
        <v>12543.5</v>
      </c>
      <c r="AR3972" s="55">
        <v>28500</v>
      </c>
      <c r="AS3972" s="78">
        <f t="shared" si="66"/>
        <v>0.44012280701754386</v>
      </c>
    </row>
    <row r="3973" spans="39:45">
      <c r="AM3973" s="55">
        <v>2019</v>
      </c>
      <c r="AN3973" s="55" t="s">
        <v>187</v>
      </c>
      <c r="AO3973" s="55">
        <v>15</v>
      </c>
      <c r="AP3973" s="55">
        <v>11</v>
      </c>
      <c r="AQ3973" s="55">
        <v>29695</v>
      </c>
      <c r="AR3973" s="55">
        <v>28500</v>
      </c>
      <c r="AS3973" s="78">
        <f t="shared" si="66"/>
        <v>1.0419298245614035</v>
      </c>
    </row>
    <row r="3974" spans="39:45">
      <c r="AM3974" s="54">
        <v>2019</v>
      </c>
      <c r="AN3974" s="54" t="s">
        <v>187</v>
      </c>
      <c r="AO3974" s="54">
        <v>15</v>
      </c>
      <c r="AP3974" s="54">
        <v>12</v>
      </c>
      <c r="AQ3974" s="54">
        <v>15984.5</v>
      </c>
      <c r="AR3974" s="55">
        <v>28500</v>
      </c>
      <c r="AS3974" s="78">
        <f t="shared" si="66"/>
        <v>0.56085964912280706</v>
      </c>
    </row>
    <row r="3975" spans="39:45">
      <c r="AM3975" s="55">
        <v>2019</v>
      </c>
      <c r="AN3975" s="55" t="s">
        <v>187</v>
      </c>
      <c r="AO3975" s="55">
        <v>15</v>
      </c>
      <c r="AP3975" s="55">
        <v>13</v>
      </c>
      <c r="AQ3975" s="55">
        <v>14610</v>
      </c>
      <c r="AR3975" s="55">
        <v>28500</v>
      </c>
      <c r="AS3975" s="78">
        <f t="shared" si="66"/>
        <v>0.51263157894736844</v>
      </c>
    </row>
    <row r="3976" spans="39:45">
      <c r="AM3976" s="54">
        <v>2019</v>
      </c>
      <c r="AN3976" s="54" t="s">
        <v>187</v>
      </c>
      <c r="AO3976" s="54">
        <v>15</v>
      </c>
      <c r="AP3976" s="54">
        <v>14</v>
      </c>
      <c r="AQ3976" s="54">
        <v>8130.5</v>
      </c>
      <c r="AR3976" s="55">
        <v>28500</v>
      </c>
      <c r="AS3976" s="78">
        <f t="shared" si="66"/>
        <v>0.28528070175438597</v>
      </c>
    </row>
    <row r="3977" spans="39:45">
      <c r="AM3977" s="55">
        <v>2019</v>
      </c>
      <c r="AN3977" s="55" t="s">
        <v>187</v>
      </c>
      <c r="AO3977" s="55">
        <v>15</v>
      </c>
      <c r="AP3977" s="55">
        <v>15</v>
      </c>
      <c r="AQ3977" s="55">
        <v>16761</v>
      </c>
      <c r="AR3977" s="55">
        <v>28500</v>
      </c>
      <c r="AS3977" s="78">
        <f t="shared" si="66"/>
        <v>0.58810526315789469</v>
      </c>
    </row>
    <row r="3978" spans="39:45">
      <c r="AM3978" s="54">
        <v>2019</v>
      </c>
      <c r="AN3978" s="54" t="s">
        <v>187</v>
      </c>
      <c r="AO3978" s="54">
        <v>15</v>
      </c>
      <c r="AP3978" s="54">
        <v>16</v>
      </c>
      <c r="AQ3978" s="54">
        <v>9083</v>
      </c>
      <c r="AR3978" s="55">
        <v>28500</v>
      </c>
      <c r="AS3978" s="78">
        <f t="shared" si="66"/>
        <v>0.31870175438596493</v>
      </c>
    </row>
    <row r="3979" spans="39:45">
      <c r="AM3979" s="55">
        <v>2019</v>
      </c>
      <c r="AN3979" s="55" t="s">
        <v>187</v>
      </c>
      <c r="AO3979" s="55">
        <v>15</v>
      </c>
      <c r="AP3979" s="55">
        <v>17</v>
      </c>
      <c r="AQ3979" s="55">
        <v>8236</v>
      </c>
      <c r="AR3979" s="55">
        <v>28500</v>
      </c>
      <c r="AS3979" s="78">
        <f t="shared" si="66"/>
        <v>0.2889824561403509</v>
      </c>
    </row>
    <row r="3980" spans="39:45">
      <c r="AM3980" s="54">
        <v>2019</v>
      </c>
      <c r="AN3980" s="54" t="s">
        <v>187</v>
      </c>
      <c r="AO3980" s="54">
        <v>15</v>
      </c>
      <c r="AP3980" s="54">
        <v>18</v>
      </c>
      <c r="AQ3980" s="54">
        <v>1146</v>
      </c>
      <c r="AR3980" s="55">
        <v>28500</v>
      </c>
      <c r="AS3980" s="78">
        <f t="shared" si="66"/>
        <v>4.0210526315789474E-2</v>
      </c>
    </row>
    <row r="3981" spans="39:45">
      <c r="AM3981" s="55">
        <v>2019</v>
      </c>
      <c r="AN3981" s="55" t="s">
        <v>187</v>
      </c>
      <c r="AO3981" s="55">
        <v>15</v>
      </c>
      <c r="AP3981" s="55">
        <v>19</v>
      </c>
      <c r="AQ3981" s="55">
        <v>1134</v>
      </c>
      <c r="AR3981" s="55">
        <v>28500</v>
      </c>
      <c r="AS3981" s="78">
        <f t="shared" si="66"/>
        <v>3.9789473684210527E-2</v>
      </c>
    </row>
    <row r="3982" spans="39:45">
      <c r="AM3982" s="54">
        <v>2019</v>
      </c>
      <c r="AN3982" s="54" t="s">
        <v>187</v>
      </c>
      <c r="AO3982" s="54">
        <v>15</v>
      </c>
      <c r="AP3982" s="54">
        <v>20</v>
      </c>
      <c r="AQ3982" s="54">
        <v>0</v>
      </c>
      <c r="AR3982" s="55">
        <v>28500</v>
      </c>
      <c r="AS3982" s="78">
        <f t="shared" si="66"/>
        <v>0</v>
      </c>
    </row>
    <row r="3983" spans="39:45">
      <c r="AM3983" s="55">
        <v>2019</v>
      </c>
      <c r="AN3983" s="55" t="s">
        <v>187</v>
      </c>
      <c r="AO3983" s="55">
        <v>15</v>
      </c>
      <c r="AP3983" s="55">
        <v>21</v>
      </c>
      <c r="AQ3983" s="55">
        <v>0</v>
      </c>
      <c r="AR3983" s="55">
        <v>28500</v>
      </c>
      <c r="AS3983" s="78">
        <f t="shared" si="66"/>
        <v>0</v>
      </c>
    </row>
    <row r="3984" spans="39:45">
      <c r="AM3984" s="54">
        <v>2019</v>
      </c>
      <c r="AN3984" s="54" t="s">
        <v>187</v>
      </c>
      <c r="AO3984" s="54">
        <v>15</v>
      </c>
      <c r="AP3984" s="54">
        <v>22</v>
      </c>
      <c r="AQ3984" s="54">
        <v>0</v>
      </c>
      <c r="AR3984" s="55">
        <v>28500</v>
      </c>
      <c r="AS3984" s="78">
        <f t="shared" si="66"/>
        <v>0</v>
      </c>
    </row>
    <row r="3985" spans="39:45">
      <c r="AM3985" s="55">
        <v>2019</v>
      </c>
      <c r="AN3985" s="55" t="s">
        <v>187</v>
      </c>
      <c r="AO3985" s="55">
        <v>15</v>
      </c>
      <c r="AP3985" s="55">
        <v>23</v>
      </c>
      <c r="AQ3985" s="55">
        <v>0</v>
      </c>
      <c r="AR3985" s="55">
        <v>28500</v>
      </c>
      <c r="AS3985" s="78">
        <f t="shared" si="66"/>
        <v>0</v>
      </c>
    </row>
    <row r="3986" spans="39:45">
      <c r="AM3986" s="54">
        <v>2019</v>
      </c>
      <c r="AN3986" s="54" t="s">
        <v>187</v>
      </c>
      <c r="AO3986" s="54">
        <v>16</v>
      </c>
      <c r="AP3986" s="54">
        <v>24</v>
      </c>
      <c r="AQ3986" s="54">
        <v>0</v>
      </c>
      <c r="AR3986" s="55">
        <v>28500</v>
      </c>
      <c r="AS3986" s="78">
        <f t="shared" si="66"/>
        <v>0</v>
      </c>
    </row>
    <row r="3987" spans="39:45">
      <c r="AM3987" s="55">
        <v>2019</v>
      </c>
      <c r="AN3987" s="55" t="s">
        <v>187</v>
      </c>
      <c r="AO3987" s="55">
        <v>16</v>
      </c>
      <c r="AP3987" s="55">
        <v>1</v>
      </c>
      <c r="AQ3987" s="55">
        <v>0</v>
      </c>
      <c r="AR3987" s="55">
        <v>28500</v>
      </c>
      <c r="AS3987" s="78">
        <f t="shared" si="66"/>
        <v>0</v>
      </c>
    </row>
    <row r="3988" spans="39:45">
      <c r="AM3988" s="54">
        <v>2019</v>
      </c>
      <c r="AN3988" s="54" t="s">
        <v>187</v>
      </c>
      <c r="AO3988" s="54">
        <v>16</v>
      </c>
      <c r="AP3988" s="54">
        <v>2</v>
      </c>
      <c r="AQ3988" s="54">
        <v>0</v>
      </c>
      <c r="AR3988" s="55">
        <v>28500</v>
      </c>
      <c r="AS3988" s="78">
        <f t="shared" si="66"/>
        <v>0</v>
      </c>
    </row>
    <row r="3989" spans="39:45">
      <c r="AM3989" s="55">
        <v>2019</v>
      </c>
      <c r="AN3989" s="55" t="s">
        <v>187</v>
      </c>
      <c r="AO3989" s="55">
        <v>16</v>
      </c>
      <c r="AP3989" s="55">
        <v>3</v>
      </c>
      <c r="AQ3989" s="55">
        <v>0</v>
      </c>
      <c r="AR3989" s="55">
        <v>28500</v>
      </c>
      <c r="AS3989" s="78">
        <f t="shared" si="66"/>
        <v>0</v>
      </c>
    </row>
    <row r="3990" spans="39:45">
      <c r="AM3990" s="54">
        <v>2019</v>
      </c>
      <c r="AN3990" s="54" t="s">
        <v>187</v>
      </c>
      <c r="AO3990" s="54">
        <v>16</v>
      </c>
      <c r="AP3990" s="54">
        <v>4</v>
      </c>
      <c r="AQ3990" s="54">
        <v>38.5</v>
      </c>
      <c r="AR3990" s="55">
        <v>28500</v>
      </c>
      <c r="AS3990" s="78">
        <f t="shared" si="66"/>
        <v>1.3508771929824561E-3</v>
      </c>
    </row>
    <row r="3991" spans="39:45">
      <c r="AM3991" s="55">
        <v>2019</v>
      </c>
      <c r="AN3991" s="55" t="s">
        <v>187</v>
      </c>
      <c r="AO3991" s="55">
        <v>16</v>
      </c>
      <c r="AP3991" s="55">
        <v>5</v>
      </c>
      <c r="AQ3991" s="55">
        <v>1448</v>
      </c>
      <c r="AR3991" s="55">
        <v>28500</v>
      </c>
      <c r="AS3991" s="78">
        <f t="shared" si="66"/>
        <v>5.0807017543859648E-2</v>
      </c>
    </row>
    <row r="3992" spans="39:45">
      <c r="AM3992" s="54">
        <v>2019</v>
      </c>
      <c r="AN3992" s="54" t="s">
        <v>187</v>
      </c>
      <c r="AO3992" s="54">
        <v>16</v>
      </c>
      <c r="AP3992" s="54">
        <v>6</v>
      </c>
      <c r="AQ3992" s="54">
        <v>5144.5</v>
      </c>
      <c r="AR3992" s="55">
        <v>28500</v>
      </c>
      <c r="AS3992" s="78">
        <f t="shared" si="66"/>
        <v>0.18050877192982456</v>
      </c>
    </row>
    <row r="3993" spans="39:45">
      <c r="AM3993" s="55">
        <v>2019</v>
      </c>
      <c r="AN3993" s="55" t="s">
        <v>187</v>
      </c>
      <c r="AO3993" s="55">
        <v>16</v>
      </c>
      <c r="AP3993" s="55">
        <v>7</v>
      </c>
      <c r="AQ3993" s="55">
        <v>11914</v>
      </c>
      <c r="AR3993" s="55">
        <v>28500</v>
      </c>
      <c r="AS3993" s="78">
        <f t="shared" si="66"/>
        <v>0.41803508771929826</v>
      </c>
    </row>
    <row r="3994" spans="39:45">
      <c r="AM3994" s="54">
        <v>2019</v>
      </c>
      <c r="AN3994" s="54" t="s">
        <v>187</v>
      </c>
      <c r="AO3994" s="54">
        <v>16</v>
      </c>
      <c r="AP3994" s="54">
        <v>8</v>
      </c>
      <c r="AQ3994" s="54">
        <v>11838</v>
      </c>
      <c r="AR3994" s="55">
        <v>28500</v>
      </c>
      <c r="AS3994" s="78">
        <f t="shared" si="66"/>
        <v>0.41536842105263155</v>
      </c>
    </row>
    <row r="3995" spans="39:45">
      <c r="AM3995" s="55">
        <v>2019</v>
      </c>
      <c r="AN3995" s="55" t="s">
        <v>187</v>
      </c>
      <c r="AO3995" s="55">
        <v>16</v>
      </c>
      <c r="AP3995" s="55">
        <v>9</v>
      </c>
      <c r="AQ3995" s="55">
        <v>6203.5</v>
      </c>
      <c r="AR3995" s="55">
        <v>28500</v>
      </c>
      <c r="AS3995" s="78">
        <f t="shared" si="66"/>
        <v>0.21766666666666667</v>
      </c>
    </row>
    <row r="3996" spans="39:45">
      <c r="AM3996" s="54">
        <v>2019</v>
      </c>
      <c r="AN3996" s="54" t="s">
        <v>187</v>
      </c>
      <c r="AO3996" s="54">
        <v>16</v>
      </c>
      <c r="AP3996" s="54">
        <v>10</v>
      </c>
      <c r="AQ3996" s="54">
        <v>11374</v>
      </c>
      <c r="AR3996" s="55">
        <v>28500</v>
      </c>
      <c r="AS3996" s="78">
        <f t="shared" si="66"/>
        <v>0.3990877192982456</v>
      </c>
    </row>
    <row r="3997" spans="39:45">
      <c r="AM3997" s="55">
        <v>2019</v>
      </c>
      <c r="AN3997" s="55" t="s">
        <v>187</v>
      </c>
      <c r="AO3997" s="55">
        <v>16</v>
      </c>
      <c r="AP3997" s="55">
        <v>11</v>
      </c>
      <c r="AQ3997" s="55">
        <v>18272</v>
      </c>
      <c r="AR3997" s="55">
        <v>28500</v>
      </c>
      <c r="AS3997" s="78">
        <f t="shared" si="66"/>
        <v>0.64112280701754387</v>
      </c>
    </row>
    <row r="3998" spans="39:45">
      <c r="AM3998" s="54">
        <v>2019</v>
      </c>
      <c r="AN3998" s="54" t="s">
        <v>187</v>
      </c>
      <c r="AO3998" s="54">
        <v>16</v>
      </c>
      <c r="AP3998" s="54">
        <v>12</v>
      </c>
      <c r="AQ3998" s="54">
        <v>31648</v>
      </c>
      <c r="AR3998" s="55">
        <v>28500</v>
      </c>
      <c r="AS3998" s="78">
        <f t="shared" si="66"/>
        <v>1.1104561403508773</v>
      </c>
    </row>
    <row r="3999" spans="39:45">
      <c r="AM3999" s="55">
        <v>2019</v>
      </c>
      <c r="AN3999" s="55" t="s">
        <v>187</v>
      </c>
      <c r="AO3999" s="55">
        <v>16</v>
      </c>
      <c r="AP3999" s="55">
        <v>13</v>
      </c>
      <c r="AQ3999" s="55">
        <v>21130</v>
      </c>
      <c r="AR3999" s="55">
        <v>28500</v>
      </c>
      <c r="AS3999" s="78">
        <f t="shared" si="66"/>
        <v>0.74140350877192984</v>
      </c>
    </row>
    <row r="4000" spans="39:45">
      <c r="AM4000" s="54">
        <v>2019</v>
      </c>
      <c r="AN4000" s="54" t="s">
        <v>187</v>
      </c>
      <c r="AO4000" s="54">
        <v>16</v>
      </c>
      <c r="AP4000" s="54">
        <v>14</v>
      </c>
      <c r="AQ4000" s="54">
        <v>12809.5</v>
      </c>
      <c r="AR4000" s="55">
        <v>28500</v>
      </c>
      <c r="AS4000" s="78">
        <f t="shared" si="66"/>
        <v>0.44945614035087722</v>
      </c>
    </row>
    <row r="4001" spans="39:45">
      <c r="AM4001" s="55">
        <v>2019</v>
      </c>
      <c r="AN4001" s="55" t="s">
        <v>187</v>
      </c>
      <c r="AO4001" s="55">
        <v>16</v>
      </c>
      <c r="AP4001" s="55">
        <v>15</v>
      </c>
      <c r="AQ4001" s="55">
        <v>10272.5</v>
      </c>
      <c r="AR4001" s="55">
        <v>28500</v>
      </c>
      <c r="AS4001" s="78">
        <f t="shared" si="66"/>
        <v>0.36043859649122806</v>
      </c>
    </row>
    <row r="4002" spans="39:45">
      <c r="AM4002" s="54">
        <v>2019</v>
      </c>
      <c r="AN4002" s="54" t="s">
        <v>187</v>
      </c>
      <c r="AO4002" s="54">
        <v>16</v>
      </c>
      <c r="AP4002" s="54">
        <v>16</v>
      </c>
      <c r="AQ4002" s="54">
        <v>13221.5</v>
      </c>
      <c r="AR4002" s="55">
        <v>28500</v>
      </c>
      <c r="AS4002" s="78">
        <f t="shared" si="66"/>
        <v>0.46391228070175439</v>
      </c>
    </row>
    <row r="4003" spans="39:45">
      <c r="AM4003" s="55">
        <v>2019</v>
      </c>
      <c r="AN4003" s="55" t="s">
        <v>187</v>
      </c>
      <c r="AO4003" s="55">
        <v>16</v>
      </c>
      <c r="AP4003" s="55">
        <v>17</v>
      </c>
      <c r="AQ4003" s="55">
        <v>9698</v>
      </c>
      <c r="AR4003" s="55">
        <v>28500</v>
      </c>
      <c r="AS4003" s="78">
        <f t="shared" si="66"/>
        <v>0.34028070175438596</v>
      </c>
    </row>
    <row r="4004" spans="39:45">
      <c r="AM4004" s="54">
        <v>2019</v>
      </c>
      <c r="AN4004" s="54" t="s">
        <v>187</v>
      </c>
      <c r="AO4004" s="54">
        <v>16</v>
      </c>
      <c r="AP4004" s="54">
        <v>18</v>
      </c>
      <c r="AQ4004" s="54">
        <v>3502</v>
      </c>
      <c r="AR4004" s="55">
        <v>28500</v>
      </c>
      <c r="AS4004" s="78">
        <f t="shared" si="66"/>
        <v>0.12287719298245614</v>
      </c>
    </row>
    <row r="4005" spans="39:45">
      <c r="AM4005" s="55">
        <v>2019</v>
      </c>
      <c r="AN4005" s="55" t="s">
        <v>187</v>
      </c>
      <c r="AO4005" s="55">
        <v>16</v>
      </c>
      <c r="AP4005" s="55">
        <v>19</v>
      </c>
      <c r="AQ4005" s="55">
        <v>905</v>
      </c>
      <c r="AR4005" s="55">
        <v>28500</v>
      </c>
      <c r="AS4005" s="78">
        <f t="shared" si="66"/>
        <v>3.1754385964912278E-2</v>
      </c>
    </row>
    <row r="4006" spans="39:45">
      <c r="AM4006" s="54">
        <v>2019</v>
      </c>
      <c r="AN4006" s="54" t="s">
        <v>187</v>
      </c>
      <c r="AO4006" s="54">
        <v>16</v>
      </c>
      <c r="AP4006" s="54">
        <v>20</v>
      </c>
      <c r="AQ4006" s="54">
        <v>0</v>
      </c>
      <c r="AR4006" s="55">
        <v>28500</v>
      </c>
      <c r="AS4006" s="78">
        <f t="shared" si="66"/>
        <v>0</v>
      </c>
    </row>
    <row r="4007" spans="39:45">
      <c r="AM4007" s="55">
        <v>2019</v>
      </c>
      <c r="AN4007" s="55" t="s">
        <v>187</v>
      </c>
      <c r="AO4007" s="55">
        <v>16</v>
      </c>
      <c r="AP4007" s="55">
        <v>21</v>
      </c>
      <c r="AQ4007" s="55">
        <v>0</v>
      </c>
      <c r="AR4007" s="55">
        <v>28500</v>
      </c>
      <c r="AS4007" s="78">
        <f t="shared" si="66"/>
        <v>0</v>
      </c>
    </row>
    <row r="4008" spans="39:45">
      <c r="AM4008" s="54">
        <v>2019</v>
      </c>
      <c r="AN4008" s="54" t="s">
        <v>187</v>
      </c>
      <c r="AO4008" s="54">
        <v>16</v>
      </c>
      <c r="AP4008" s="54">
        <v>22</v>
      </c>
      <c r="AQ4008" s="54">
        <v>0</v>
      </c>
      <c r="AR4008" s="55">
        <v>28500</v>
      </c>
      <c r="AS4008" s="78">
        <f t="shared" si="66"/>
        <v>0</v>
      </c>
    </row>
    <row r="4009" spans="39:45">
      <c r="AM4009" s="55">
        <v>2019</v>
      </c>
      <c r="AN4009" s="55" t="s">
        <v>187</v>
      </c>
      <c r="AO4009" s="55">
        <v>16</v>
      </c>
      <c r="AP4009" s="55">
        <v>23</v>
      </c>
      <c r="AQ4009" s="55">
        <v>0</v>
      </c>
      <c r="AR4009" s="55">
        <v>28500</v>
      </c>
      <c r="AS4009" s="78">
        <f t="shared" si="66"/>
        <v>0</v>
      </c>
    </row>
    <row r="4010" spans="39:45">
      <c r="AM4010" s="54">
        <v>2019</v>
      </c>
      <c r="AN4010" s="54" t="s">
        <v>187</v>
      </c>
      <c r="AO4010" s="54">
        <v>17</v>
      </c>
      <c r="AP4010" s="54">
        <v>24</v>
      </c>
      <c r="AQ4010" s="54">
        <v>0</v>
      </c>
      <c r="AR4010" s="55">
        <v>28500</v>
      </c>
      <c r="AS4010" s="78">
        <f t="shared" si="66"/>
        <v>0</v>
      </c>
    </row>
    <row r="4011" spans="39:45">
      <c r="AM4011" s="55">
        <v>2019</v>
      </c>
      <c r="AN4011" s="55" t="s">
        <v>187</v>
      </c>
      <c r="AO4011" s="55">
        <v>17</v>
      </c>
      <c r="AP4011" s="55">
        <v>1</v>
      </c>
      <c r="AQ4011" s="55">
        <v>0</v>
      </c>
      <c r="AR4011" s="55">
        <v>28500</v>
      </c>
      <c r="AS4011" s="78">
        <f t="shared" si="66"/>
        <v>0</v>
      </c>
    </row>
    <row r="4012" spans="39:45">
      <c r="AM4012" s="54">
        <v>2019</v>
      </c>
      <c r="AN4012" s="54" t="s">
        <v>187</v>
      </c>
      <c r="AO4012" s="54">
        <v>17</v>
      </c>
      <c r="AP4012" s="54">
        <v>2</v>
      </c>
      <c r="AQ4012" s="54">
        <v>0</v>
      </c>
      <c r="AR4012" s="55">
        <v>28500</v>
      </c>
      <c r="AS4012" s="78">
        <f t="shared" si="66"/>
        <v>0</v>
      </c>
    </row>
    <row r="4013" spans="39:45">
      <c r="AM4013" s="55">
        <v>2019</v>
      </c>
      <c r="AN4013" s="55" t="s">
        <v>187</v>
      </c>
      <c r="AO4013" s="55">
        <v>17</v>
      </c>
      <c r="AP4013" s="55">
        <v>3</v>
      </c>
      <c r="AQ4013" s="55">
        <v>0</v>
      </c>
      <c r="AR4013" s="55">
        <v>28500</v>
      </c>
      <c r="AS4013" s="78">
        <f t="shared" si="66"/>
        <v>0</v>
      </c>
    </row>
    <row r="4014" spans="39:45">
      <c r="AM4014" s="54">
        <v>2019</v>
      </c>
      <c r="AN4014" s="54" t="s">
        <v>187</v>
      </c>
      <c r="AO4014" s="54">
        <v>17</v>
      </c>
      <c r="AP4014" s="54">
        <v>4</v>
      </c>
      <c r="AQ4014" s="54">
        <v>76</v>
      </c>
      <c r="AR4014" s="55">
        <v>28500</v>
      </c>
      <c r="AS4014" s="78">
        <f t="shared" si="66"/>
        <v>2.6666666666666666E-3</v>
      </c>
    </row>
    <row r="4015" spans="39:45">
      <c r="AM4015" s="55">
        <v>2019</v>
      </c>
      <c r="AN4015" s="55" t="s">
        <v>187</v>
      </c>
      <c r="AO4015" s="55">
        <v>17</v>
      </c>
      <c r="AP4015" s="55">
        <v>5</v>
      </c>
      <c r="AQ4015" s="55">
        <v>1702</v>
      </c>
      <c r="AR4015" s="55">
        <v>28500</v>
      </c>
      <c r="AS4015" s="78">
        <f t="shared" si="66"/>
        <v>5.9719298245614033E-2</v>
      </c>
    </row>
    <row r="4016" spans="39:45">
      <c r="AM4016" s="54">
        <v>2019</v>
      </c>
      <c r="AN4016" s="54" t="s">
        <v>187</v>
      </c>
      <c r="AO4016" s="54">
        <v>17</v>
      </c>
      <c r="AP4016" s="54">
        <v>6</v>
      </c>
      <c r="AQ4016" s="54">
        <v>4538.5</v>
      </c>
      <c r="AR4016" s="55">
        <v>28500</v>
      </c>
      <c r="AS4016" s="78">
        <f t="shared" si="66"/>
        <v>0.15924561403508772</v>
      </c>
    </row>
    <row r="4017" spans="39:45">
      <c r="AM4017" s="55">
        <v>2019</v>
      </c>
      <c r="AN4017" s="55" t="s">
        <v>187</v>
      </c>
      <c r="AO4017" s="55">
        <v>17</v>
      </c>
      <c r="AP4017" s="55">
        <v>7</v>
      </c>
      <c r="AQ4017" s="55">
        <v>9884.5</v>
      </c>
      <c r="AR4017" s="55">
        <v>28500</v>
      </c>
      <c r="AS4017" s="78">
        <f t="shared" si="66"/>
        <v>0.34682456140350876</v>
      </c>
    </row>
    <row r="4018" spans="39:45">
      <c r="AM4018" s="54">
        <v>2019</v>
      </c>
      <c r="AN4018" s="54" t="s">
        <v>187</v>
      </c>
      <c r="AO4018" s="54">
        <v>17</v>
      </c>
      <c r="AP4018" s="54">
        <v>8</v>
      </c>
      <c r="AQ4018" s="54">
        <v>17723.5</v>
      </c>
      <c r="AR4018" s="55">
        <v>28500</v>
      </c>
      <c r="AS4018" s="78">
        <f t="shared" si="66"/>
        <v>0.62187719298245614</v>
      </c>
    </row>
    <row r="4019" spans="39:45">
      <c r="AM4019" s="55">
        <v>2019</v>
      </c>
      <c r="AN4019" s="55" t="s">
        <v>187</v>
      </c>
      <c r="AO4019" s="55">
        <v>17</v>
      </c>
      <c r="AP4019" s="55">
        <v>9</v>
      </c>
      <c r="AQ4019" s="55">
        <v>26363</v>
      </c>
      <c r="AR4019" s="55">
        <v>28500</v>
      </c>
      <c r="AS4019" s="78">
        <f t="shared" si="66"/>
        <v>0.92501754385964907</v>
      </c>
    </row>
    <row r="4020" spans="39:45">
      <c r="AM4020" s="54">
        <v>2019</v>
      </c>
      <c r="AN4020" s="54" t="s">
        <v>187</v>
      </c>
      <c r="AO4020" s="54">
        <v>17</v>
      </c>
      <c r="AP4020" s="54">
        <v>10</v>
      </c>
      <c r="AQ4020" s="54">
        <v>35576</v>
      </c>
      <c r="AR4020" s="55">
        <v>28500</v>
      </c>
      <c r="AS4020" s="78">
        <f t="shared" si="66"/>
        <v>1.248280701754386</v>
      </c>
    </row>
    <row r="4021" spans="39:45">
      <c r="AM4021" s="55">
        <v>2019</v>
      </c>
      <c r="AN4021" s="55" t="s">
        <v>187</v>
      </c>
      <c r="AO4021" s="55">
        <v>17</v>
      </c>
      <c r="AP4021" s="55">
        <v>11</v>
      </c>
      <c r="AQ4021" s="55">
        <v>38636</v>
      </c>
      <c r="AR4021" s="55">
        <v>28500</v>
      </c>
      <c r="AS4021" s="78">
        <f t="shared" si="66"/>
        <v>1.3556491228070175</v>
      </c>
    </row>
    <row r="4022" spans="39:45">
      <c r="AM4022" s="54">
        <v>2019</v>
      </c>
      <c r="AN4022" s="54" t="s">
        <v>187</v>
      </c>
      <c r="AO4022" s="54">
        <v>17</v>
      </c>
      <c r="AP4022" s="54">
        <v>12</v>
      </c>
      <c r="AQ4022" s="54">
        <v>41613.5</v>
      </c>
      <c r="AR4022" s="55">
        <v>28500</v>
      </c>
      <c r="AS4022" s="78">
        <f t="shared" si="66"/>
        <v>1.4601228070175438</v>
      </c>
    </row>
    <row r="4023" spans="39:45">
      <c r="AM4023" s="55">
        <v>2019</v>
      </c>
      <c r="AN4023" s="55" t="s">
        <v>187</v>
      </c>
      <c r="AO4023" s="55">
        <v>17</v>
      </c>
      <c r="AP4023" s="55">
        <v>13</v>
      </c>
      <c r="AQ4023" s="55">
        <v>38569.5</v>
      </c>
      <c r="AR4023" s="55">
        <v>28500</v>
      </c>
      <c r="AS4023" s="78">
        <f t="shared" si="66"/>
        <v>1.3533157894736842</v>
      </c>
    </row>
    <row r="4024" spans="39:45">
      <c r="AM4024" s="54">
        <v>2019</v>
      </c>
      <c r="AN4024" s="54" t="s">
        <v>187</v>
      </c>
      <c r="AO4024" s="54">
        <v>17</v>
      </c>
      <c r="AP4024" s="54">
        <v>14</v>
      </c>
      <c r="AQ4024" s="54">
        <v>35180.5</v>
      </c>
      <c r="AR4024" s="55">
        <v>28500</v>
      </c>
      <c r="AS4024" s="78">
        <f t="shared" si="66"/>
        <v>1.2344035087719298</v>
      </c>
    </row>
    <row r="4025" spans="39:45">
      <c r="AM4025" s="55">
        <v>2019</v>
      </c>
      <c r="AN4025" s="55" t="s">
        <v>187</v>
      </c>
      <c r="AO4025" s="55">
        <v>17</v>
      </c>
      <c r="AP4025" s="55">
        <v>15</v>
      </c>
      <c r="AQ4025" s="55">
        <v>28484.5</v>
      </c>
      <c r="AR4025" s="55">
        <v>28500</v>
      </c>
      <c r="AS4025" s="78">
        <f t="shared" si="66"/>
        <v>0.99945614035087715</v>
      </c>
    </row>
    <row r="4026" spans="39:45">
      <c r="AM4026" s="54">
        <v>2019</v>
      </c>
      <c r="AN4026" s="54" t="s">
        <v>187</v>
      </c>
      <c r="AO4026" s="54">
        <v>17</v>
      </c>
      <c r="AP4026" s="54">
        <v>16</v>
      </c>
      <c r="AQ4026" s="54">
        <v>19462.5</v>
      </c>
      <c r="AR4026" s="55">
        <v>28500</v>
      </c>
      <c r="AS4026" s="78">
        <f t="shared" si="66"/>
        <v>0.68289473684210522</v>
      </c>
    </row>
    <row r="4027" spans="39:45">
      <c r="AM4027" s="55">
        <v>2019</v>
      </c>
      <c r="AN4027" s="55" t="s">
        <v>187</v>
      </c>
      <c r="AO4027" s="55">
        <v>17</v>
      </c>
      <c r="AP4027" s="55">
        <v>17</v>
      </c>
      <c r="AQ4027" s="55">
        <v>5969</v>
      </c>
      <c r="AR4027" s="55">
        <v>28500</v>
      </c>
      <c r="AS4027" s="78">
        <f t="shared" si="66"/>
        <v>0.20943859649122806</v>
      </c>
    </row>
    <row r="4028" spans="39:45">
      <c r="AM4028" s="54">
        <v>2019</v>
      </c>
      <c r="AN4028" s="54" t="s">
        <v>187</v>
      </c>
      <c r="AO4028" s="54">
        <v>17</v>
      </c>
      <c r="AP4028" s="54">
        <v>18</v>
      </c>
      <c r="AQ4028" s="54">
        <v>707.5</v>
      </c>
      <c r="AR4028" s="55">
        <v>28500</v>
      </c>
      <c r="AS4028" s="78">
        <f t="shared" si="66"/>
        <v>2.4824561403508773E-2</v>
      </c>
    </row>
    <row r="4029" spans="39:45">
      <c r="AM4029" s="55">
        <v>2019</v>
      </c>
      <c r="AN4029" s="55" t="s">
        <v>187</v>
      </c>
      <c r="AO4029" s="55">
        <v>17</v>
      </c>
      <c r="AP4029" s="55">
        <v>19</v>
      </c>
      <c r="AQ4029" s="55">
        <v>606.5</v>
      </c>
      <c r="AR4029" s="55">
        <v>28500</v>
      </c>
      <c r="AS4029" s="78">
        <f t="shared" si="66"/>
        <v>2.1280701754385966E-2</v>
      </c>
    </row>
    <row r="4030" spans="39:45">
      <c r="AM4030" s="54">
        <v>2019</v>
      </c>
      <c r="AN4030" s="54" t="s">
        <v>187</v>
      </c>
      <c r="AO4030" s="54">
        <v>17</v>
      </c>
      <c r="AP4030" s="54">
        <v>20</v>
      </c>
      <c r="AQ4030" s="54">
        <v>0</v>
      </c>
      <c r="AR4030" s="55">
        <v>28500</v>
      </c>
      <c r="AS4030" s="78">
        <f t="shared" si="66"/>
        <v>0</v>
      </c>
    </row>
    <row r="4031" spans="39:45">
      <c r="AM4031" s="55">
        <v>2019</v>
      </c>
      <c r="AN4031" s="55" t="s">
        <v>187</v>
      </c>
      <c r="AO4031" s="55">
        <v>17</v>
      </c>
      <c r="AP4031" s="55">
        <v>21</v>
      </c>
      <c r="AQ4031" s="55">
        <v>0</v>
      </c>
      <c r="AR4031" s="55">
        <v>28500</v>
      </c>
      <c r="AS4031" s="78">
        <f t="shared" si="66"/>
        <v>0</v>
      </c>
    </row>
    <row r="4032" spans="39:45">
      <c r="AM4032" s="54">
        <v>2019</v>
      </c>
      <c r="AN4032" s="54" t="s">
        <v>187</v>
      </c>
      <c r="AO4032" s="54">
        <v>17</v>
      </c>
      <c r="AP4032" s="54">
        <v>22</v>
      </c>
      <c r="AQ4032" s="54">
        <v>0</v>
      </c>
      <c r="AR4032" s="55">
        <v>28500</v>
      </c>
      <c r="AS4032" s="78">
        <f t="shared" si="66"/>
        <v>0</v>
      </c>
    </row>
    <row r="4033" spans="39:45">
      <c r="AM4033" s="55">
        <v>2019</v>
      </c>
      <c r="AN4033" s="55" t="s">
        <v>187</v>
      </c>
      <c r="AO4033" s="55">
        <v>17</v>
      </c>
      <c r="AP4033" s="55">
        <v>23</v>
      </c>
      <c r="AQ4033" s="55">
        <v>0</v>
      </c>
      <c r="AR4033" s="55">
        <v>28500</v>
      </c>
      <c r="AS4033" s="78">
        <f t="shared" si="66"/>
        <v>0</v>
      </c>
    </row>
    <row r="4034" spans="39:45">
      <c r="AM4034" s="54">
        <v>2019</v>
      </c>
      <c r="AN4034" s="54" t="s">
        <v>187</v>
      </c>
      <c r="AO4034" s="54">
        <v>18</v>
      </c>
      <c r="AP4034" s="54">
        <v>24</v>
      </c>
      <c r="AQ4034" s="54">
        <v>0</v>
      </c>
      <c r="AR4034" s="55">
        <v>28500</v>
      </c>
      <c r="AS4034" s="78">
        <f t="shared" ref="AS4034:AS4097" si="67">AQ4034/AR4034</f>
        <v>0</v>
      </c>
    </row>
    <row r="4035" spans="39:45">
      <c r="AM4035" s="55">
        <v>2019</v>
      </c>
      <c r="AN4035" s="55" t="s">
        <v>187</v>
      </c>
      <c r="AO4035" s="55">
        <v>18</v>
      </c>
      <c r="AP4035" s="55">
        <v>1</v>
      </c>
      <c r="AQ4035" s="55">
        <v>0</v>
      </c>
      <c r="AR4035" s="55">
        <v>28500</v>
      </c>
      <c r="AS4035" s="78">
        <f t="shared" si="67"/>
        <v>0</v>
      </c>
    </row>
    <row r="4036" spans="39:45">
      <c r="AM4036" s="54">
        <v>2019</v>
      </c>
      <c r="AN4036" s="54" t="s">
        <v>187</v>
      </c>
      <c r="AO4036" s="54">
        <v>18</v>
      </c>
      <c r="AP4036" s="54">
        <v>2</v>
      </c>
      <c r="AQ4036" s="54">
        <v>0</v>
      </c>
      <c r="AR4036" s="55">
        <v>28500</v>
      </c>
      <c r="AS4036" s="78">
        <f t="shared" si="67"/>
        <v>0</v>
      </c>
    </row>
    <row r="4037" spans="39:45">
      <c r="AM4037" s="55">
        <v>2019</v>
      </c>
      <c r="AN4037" s="55" t="s">
        <v>187</v>
      </c>
      <c r="AO4037" s="55">
        <v>18</v>
      </c>
      <c r="AP4037" s="55">
        <v>3</v>
      </c>
      <c r="AQ4037" s="55">
        <v>0</v>
      </c>
      <c r="AR4037" s="55">
        <v>28500</v>
      </c>
      <c r="AS4037" s="78">
        <f t="shared" si="67"/>
        <v>0</v>
      </c>
    </row>
    <row r="4038" spans="39:45">
      <c r="AM4038" s="54">
        <v>2019</v>
      </c>
      <c r="AN4038" s="54" t="s">
        <v>187</v>
      </c>
      <c r="AO4038" s="54">
        <v>18</v>
      </c>
      <c r="AP4038" s="54">
        <v>4</v>
      </c>
      <c r="AQ4038" s="54">
        <v>0</v>
      </c>
      <c r="AR4038" s="55">
        <v>28500</v>
      </c>
      <c r="AS4038" s="78">
        <f t="shared" si="67"/>
        <v>0</v>
      </c>
    </row>
    <row r="4039" spans="39:45">
      <c r="AM4039" s="55">
        <v>2019</v>
      </c>
      <c r="AN4039" s="55" t="s">
        <v>187</v>
      </c>
      <c r="AO4039" s="55">
        <v>18</v>
      </c>
      <c r="AP4039" s="55">
        <v>5</v>
      </c>
      <c r="AQ4039" s="55">
        <v>1953</v>
      </c>
      <c r="AR4039" s="55">
        <v>28500</v>
      </c>
      <c r="AS4039" s="78">
        <f t="shared" si="67"/>
        <v>6.8526315789473685E-2</v>
      </c>
    </row>
    <row r="4040" spans="39:45">
      <c r="AM4040" s="54">
        <v>2019</v>
      </c>
      <c r="AN4040" s="54" t="s">
        <v>187</v>
      </c>
      <c r="AO4040" s="54">
        <v>18</v>
      </c>
      <c r="AP4040" s="54">
        <v>6</v>
      </c>
      <c r="AQ4040" s="54">
        <v>5107</v>
      </c>
      <c r="AR4040" s="55">
        <v>28500</v>
      </c>
      <c r="AS4040" s="78">
        <f t="shared" si="67"/>
        <v>0.17919298245614035</v>
      </c>
    </row>
    <row r="4041" spans="39:45">
      <c r="AM4041" s="55">
        <v>2019</v>
      </c>
      <c r="AN4041" s="55" t="s">
        <v>187</v>
      </c>
      <c r="AO4041" s="55">
        <v>18</v>
      </c>
      <c r="AP4041" s="55">
        <v>7</v>
      </c>
      <c r="AQ4041" s="55">
        <v>8246.5</v>
      </c>
      <c r="AR4041" s="55">
        <v>28500</v>
      </c>
      <c r="AS4041" s="78">
        <f t="shared" si="67"/>
        <v>0.28935087719298247</v>
      </c>
    </row>
    <row r="4042" spans="39:45">
      <c r="AM4042" s="54">
        <v>2019</v>
      </c>
      <c r="AN4042" s="54" t="s">
        <v>187</v>
      </c>
      <c r="AO4042" s="54">
        <v>18</v>
      </c>
      <c r="AP4042" s="54">
        <v>8</v>
      </c>
      <c r="AQ4042" s="54">
        <v>17513</v>
      </c>
      <c r="AR4042" s="55">
        <v>28500</v>
      </c>
      <c r="AS4042" s="78">
        <f t="shared" si="67"/>
        <v>0.61449122807017542</v>
      </c>
    </row>
    <row r="4043" spans="39:45">
      <c r="AM4043" s="55">
        <v>2019</v>
      </c>
      <c r="AN4043" s="55" t="s">
        <v>187</v>
      </c>
      <c r="AO4043" s="55">
        <v>18</v>
      </c>
      <c r="AP4043" s="55">
        <v>9</v>
      </c>
      <c r="AQ4043" s="55">
        <v>28743</v>
      </c>
      <c r="AR4043" s="55">
        <v>28500</v>
      </c>
      <c r="AS4043" s="78">
        <f t="shared" si="67"/>
        <v>1.0085263157894737</v>
      </c>
    </row>
    <row r="4044" spans="39:45">
      <c r="AM4044" s="54">
        <v>2019</v>
      </c>
      <c r="AN4044" s="54" t="s">
        <v>187</v>
      </c>
      <c r="AO4044" s="54">
        <v>18</v>
      </c>
      <c r="AP4044" s="54">
        <v>10</v>
      </c>
      <c r="AQ4044" s="54">
        <v>7757</v>
      </c>
      <c r="AR4044" s="55">
        <v>28500</v>
      </c>
      <c r="AS4044" s="78">
        <f t="shared" si="67"/>
        <v>0.27217543859649124</v>
      </c>
    </row>
    <row r="4045" spans="39:45">
      <c r="AM4045" s="55">
        <v>2019</v>
      </c>
      <c r="AN4045" s="55" t="s">
        <v>187</v>
      </c>
      <c r="AO4045" s="55">
        <v>18</v>
      </c>
      <c r="AP4045" s="55">
        <v>11</v>
      </c>
      <c r="AQ4045" s="55">
        <v>6215.5</v>
      </c>
      <c r="AR4045" s="55">
        <v>28500</v>
      </c>
      <c r="AS4045" s="78">
        <f t="shared" si="67"/>
        <v>0.21808771929824561</v>
      </c>
    </row>
    <row r="4046" spans="39:45">
      <c r="AM4046" s="54">
        <v>2019</v>
      </c>
      <c r="AN4046" s="54" t="s">
        <v>187</v>
      </c>
      <c r="AO4046" s="54">
        <v>18</v>
      </c>
      <c r="AP4046" s="54">
        <v>12</v>
      </c>
      <c r="AQ4046" s="54">
        <v>4060</v>
      </c>
      <c r="AR4046" s="55">
        <v>28500</v>
      </c>
      <c r="AS4046" s="78">
        <f t="shared" si="67"/>
        <v>0.1424561403508772</v>
      </c>
    </row>
    <row r="4047" spans="39:45">
      <c r="AM4047" s="55">
        <v>2019</v>
      </c>
      <c r="AN4047" s="55" t="s">
        <v>187</v>
      </c>
      <c r="AO4047" s="55">
        <v>18</v>
      </c>
      <c r="AP4047" s="55">
        <v>13</v>
      </c>
      <c r="AQ4047" s="55">
        <v>14343.5</v>
      </c>
      <c r="AR4047" s="55">
        <v>28500</v>
      </c>
      <c r="AS4047" s="78">
        <f t="shared" si="67"/>
        <v>0.503280701754386</v>
      </c>
    </row>
    <row r="4048" spans="39:45">
      <c r="AM4048" s="54">
        <v>2019</v>
      </c>
      <c r="AN4048" s="54" t="s">
        <v>187</v>
      </c>
      <c r="AO4048" s="54">
        <v>18</v>
      </c>
      <c r="AP4048" s="54">
        <v>14</v>
      </c>
      <c r="AQ4048" s="54">
        <v>11587</v>
      </c>
      <c r="AR4048" s="55">
        <v>28500</v>
      </c>
      <c r="AS4048" s="78">
        <f t="shared" si="67"/>
        <v>0.40656140350877196</v>
      </c>
    </row>
    <row r="4049" spans="39:45">
      <c r="AM4049" s="55">
        <v>2019</v>
      </c>
      <c r="AN4049" s="55" t="s">
        <v>187</v>
      </c>
      <c r="AO4049" s="55">
        <v>18</v>
      </c>
      <c r="AP4049" s="55">
        <v>15</v>
      </c>
      <c r="AQ4049" s="55">
        <v>4191</v>
      </c>
      <c r="AR4049" s="55">
        <v>28500</v>
      </c>
      <c r="AS4049" s="78">
        <f t="shared" si="67"/>
        <v>0.14705263157894738</v>
      </c>
    </row>
    <row r="4050" spans="39:45">
      <c r="AM4050" s="54">
        <v>2019</v>
      </c>
      <c r="AN4050" s="54" t="s">
        <v>187</v>
      </c>
      <c r="AO4050" s="54">
        <v>18</v>
      </c>
      <c r="AP4050" s="54">
        <v>16</v>
      </c>
      <c r="AQ4050" s="54">
        <v>2273</v>
      </c>
      <c r="AR4050" s="55">
        <v>28500</v>
      </c>
      <c r="AS4050" s="78">
        <f t="shared" si="67"/>
        <v>7.9754385964912286E-2</v>
      </c>
    </row>
    <row r="4051" spans="39:45">
      <c r="AM4051" s="55">
        <v>2019</v>
      </c>
      <c r="AN4051" s="55" t="s">
        <v>187</v>
      </c>
      <c r="AO4051" s="55">
        <v>18</v>
      </c>
      <c r="AP4051" s="55">
        <v>17</v>
      </c>
      <c r="AQ4051" s="55">
        <v>3718.5</v>
      </c>
      <c r="AR4051" s="55">
        <v>28500</v>
      </c>
      <c r="AS4051" s="78">
        <f t="shared" si="67"/>
        <v>0.13047368421052633</v>
      </c>
    </row>
    <row r="4052" spans="39:45">
      <c r="AM4052" s="54">
        <v>2019</v>
      </c>
      <c r="AN4052" s="54" t="s">
        <v>187</v>
      </c>
      <c r="AO4052" s="54">
        <v>18</v>
      </c>
      <c r="AP4052" s="54">
        <v>18</v>
      </c>
      <c r="AQ4052" s="54">
        <v>1540.5</v>
      </c>
      <c r="AR4052" s="55">
        <v>28500</v>
      </c>
      <c r="AS4052" s="78">
        <f t="shared" si="67"/>
        <v>5.4052631578947366E-2</v>
      </c>
    </row>
    <row r="4053" spans="39:45">
      <c r="AM4053" s="55">
        <v>2019</v>
      </c>
      <c r="AN4053" s="55" t="s">
        <v>187</v>
      </c>
      <c r="AO4053" s="55">
        <v>18</v>
      </c>
      <c r="AP4053" s="55">
        <v>19</v>
      </c>
      <c r="AQ4053" s="55">
        <v>871</v>
      </c>
      <c r="AR4053" s="55">
        <v>28500</v>
      </c>
      <c r="AS4053" s="78">
        <f t="shared" si="67"/>
        <v>3.0561403508771928E-2</v>
      </c>
    </row>
    <row r="4054" spans="39:45">
      <c r="AM4054" s="54">
        <v>2019</v>
      </c>
      <c r="AN4054" s="54" t="s">
        <v>187</v>
      </c>
      <c r="AO4054" s="54">
        <v>18</v>
      </c>
      <c r="AP4054" s="54">
        <v>20</v>
      </c>
      <c r="AQ4054" s="54">
        <v>0</v>
      </c>
      <c r="AR4054" s="55">
        <v>28500</v>
      </c>
      <c r="AS4054" s="78">
        <f t="shared" si="67"/>
        <v>0</v>
      </c>
    </row>
    <row r="4055" spans="39:45">
      <c r="AM4055" s="55">
        <v>2019</v>
      </c>
      <c r="AN4055" s="55" t="s">
        <v>187</v>
      </c>
      <c r="AO4055" s="55">
        <v>18</v>
      </c>
      <c r="AP4055" s="55">
        <v>21</v>
      </c>
      <c r="AQ4055" s="55">
        <v>0</v>
      </c>
      <c r="AR4055" s="55">
        <v>28500</v>
      </c>
      <c r="AS4055" s="78">
        <f t="shared" si="67"/>
        <v>0</v>
      </c>
    </row>
    <row r="4056" spans="39:45">
      <c r="AM4056" s="54">
        <v>2019</v>
      </c>
      <c r="AN4056" s="54" t="s">
        <v>187</v>
      </c>
      <c r="AO4056" s="54">
        <v>18</v>
      </c>
      <c r="AP4056" s="54">
        <v>22</v>
      </c>
      <c r="AQ4056" s="54">
        <v>0</v>
      </c>
      <c r="AR4056" s="55">
        <v>28500</v>
      </c>
      <c r="AS4056" s="78">
        <f t="shared" si="67"/>
        <v>0</v>
      </c>
    </row>
    <row r="4057" spans="39:45">
      <c r="AM4057" s="55">
        <v>2019</v>
      </c>
      <c r="AN4057" s="55" t="s">
        <v>187</v>
      </c>
      <c r="AO4057" s="55">
        <v>18</v>
      </c>
      <c r="AP4057" s="55">
        <v>23</v>
      </c>
      <c r="AQ4057" s="55">
        <v>0</v>
      </c>
      <c r="AR4057" s="55">
        <v>28500</v>
      </c>
      <c r="AS4057" s="78">
        <f t="shared" si="67"/>
        <v>0</v>
      </c>
    </row>
    <row r="4058" spans="39:45">
      <c r="AM4058" s="54">
        <v>2019</v>
      </c>
      <c r="AN4058" s="54" t="s">
        <v>187</v>
      </c>
      <c r="AO4058" s="54">
        <v>19</v>
      </c>
      <c r="AP4058" s="54">
        <v>24</v>
      </c>
      <c r="AQ4058" s="54">
        <v>0</v>
      </c>
      <c r="AR4058" s="55">
        <v>28500</v>
      </c>
      <c r="AS4058" s="78">
        <f t="shared" si="67"/>
        <v>0</v>
      </c>
    </row>
    <row r="4059" spans="39:45">
      <c r="AM4059" s="55">
        <v>2019</v>
      </c>
      <c r="AN4059" s="55" t="s">
        <v>187</v>
      </c>
      <c r="AO4059" s="55">
        <v>19</v>
      </c>
      <c r="AP4059" s="55">
        <v>1</v>
      </c>
      <c r="AQ4059" s="55">
        <v>0</v>
      </c>
      <c r="AR4059" s="55">
        <v>28500</v>
      </c>
      <c r="AS4059" s="78">
        <f t="shared" si="67"/>
        <v>0</v>
      </c>
    </row>
    <row r="4060" spans="39:45">
      <c r="AM4060" s="54">
        <v>2019</v>
      </c>
      <c r="AN4060" s="54" t="s">
        <v>187</v>
      </c>
      <c r="AO4060" s="54">
        <v>19</v>
      </c>
      <c r="AP4060" s="54">
        <v>2</v>
      </c>
      <c r="AQ4060" s="54">
        <v>0</v>
      </c>
      <c r="AR4060" s="55">
        <v>28500</v>
      </c>
      <c r="AS4060" s="78">
        <f t="shared" si="67"/>
        <v>0</v>
      </c>
    </row>
    <row r="4061" spans="39:45">
      <c r="AM4061" s="55">
        <v>2019</v>
      </c>
      <c r="AN4061" s="55" t="s">
        <v>187</v>
      </c>
      <c r="AO4061" s="55">
        <v>19</v>
      </c>
      <c r="AP4061" s="55">
        <v>3</v>
      </c>
      <c r="AQ4061" s="55">
        <v>0</v>
      </c>
      <c r="AR4061" s="55">
        <v>28500</v>
      </c>
      <c r="AS4061" s="78">
        <f t="shared" si="67"/>
        <v>0</v>
      </c>
    </row>
    <row r="4062" spans="39:45">
      <c r="AM4062" s="54">
        <v>2019</v>
      </c>
      <c r="AN4062" s="54" t="s">
        <v>187</v>
      </c>
      <c r="AO4062" s="54">
        <v>19</v>
      </c>
      <c r="AP4062" s="54">
        <v>4</v>
      </c>
      <c r="AQ4062" s="54">
        <v>0</v>
      </c>
      <c r="AR4062" s="55">
        <v>28500</v>
      </c>
      <c r="AS4062" s="78">
        <f t="shared" si="67"/>
        <v>0</v>
      </c>
    </row>
    <row r="4063" spans="39:45">
      <c r="AM4063" s="55">
        <v>2019</v>
      </c>
      <c r="AN4063" s="55" t="s">
        <v>187</v>
      </c>
      <c r="AO4063" s="55">
        <v>19</v>
      </c>
      <c r="AP4063" s="55">
        <v>5</v>
      </c>
      <c r="AQ4063" s="55">
        <v>954.5</v>
      </c>
      <c r="AR4063" s="55">
        <v>28500</v>
      </c>
      <c r="AS4063" s="78">
        <f t="shared" si="67"/>
        <v>3.349122807017544E-2</v>
      </c>
    </row>
    <row r="4064" spans="39:45">
      <c r="AM4064" s="54">
        <v>2019</v>
      </c>
      <c r="AN4064" s="54" t="s">
        <v>187</v>
      </c>
      <c r="AO4064" s="54">
        <v>19</v>
      </c>
      <c r="AP4064" s="54">
        <v>6</v>
      </c>
      <c r="AQ4064" s="54">
        <v>1222.5</v>
      </c>
      <c r="AR4064" s="55">
        <v>28500</v>
      </c>
      <c r="AS4064" s="78">
        <f t="shared" si="67"/>
        <v>4.2894736842105263E-2</v>
      </c>
    </row>
    <row r="4065" spans="39:45">
      <c r="AM4065" s="55">
        <v>2019</v>
      </c>
      <c r="AN4065" s="55" t="s">
        <v>187</v>
      </c>
      <c r="AO4065" s="55">
        <v>19</v>
      </c>
      <c r="AP4065" s="55">
        <v>7</v>
      </c>
      <c r="AQ4065" s="55">
        <v>2247.5</v>
      </c>
      <c r="AR4065" s="55">
        <v>28500</v>
      </c>
      <c r="AS4065" s="78">
        <f t="shared" si="67"/>
        <v>7.8859649122807018E-2</v>
      </c>
    </row>
    <row r="4066" spans="39:45">
      <c r="AM4066" s="54">
        <v>2019</v>
      </c>
      <c r="AN4066" s="54" t="s">
        <v>187</v>
      </c>
      <c r="AO4066" s="54">
        <v>19</v>
      </c>
      <c r="AP4066" s="54">
        <v>8</v>
      </c>
      <c r="AQ4066" s="54">
        <v>4283.5</v>
      </c>
      <c r="AR4066" s="55">
        <v>28500</v>
      </c>
      <c r="AS4066" s="78">
        <f t="shared" si="67"/>
        <v>0.1502982456140351</v>
      </c>
    </row>
    <row r="4067" spans="39:45">
      <c r="AM4067" s="55">
        <v>2019</v>
      </c>
      <c r="AN4067" s="55" t="s">
        <v>187</v>
      </c>
      <c r="AO4067" s="55">
        <v>19</v>
      </c>
      <c r="AP4067" s="55">
        <v>9</v>
      </c>
      <c r="AQ4067" s="55">
        <v>12659.5</v>
      </c>
      <c r="AR4067" s="55">
        <v>28500</v>
      </c>
      <c r="AS4067" s="78">
        <f t="shared" si="67"/>
        <v>0.44419298245614036</v>
      </c>
    </row>
    <row r="4068" spans="39:45">
      <c r="AM4068" s="54">
        <v>2019</v>
      </c>
      <c r="AN4068" s="54" t="s">
        <v>187</v>
      </c>
      <c r="AO4068" s="54">
        <v>19</v>
      </c>
      <c r="AP4068" s="54">
        <v>10</v>
      </c>
      <c r="AQ4068" s="54">
        <v>7038.5</v>
      </c>
      <c r="AR4068" s="55">
        <v>28500</v>
      </c>
      <c r="AS4068" s="78">
        <f t="shared" si="67"/>
        <v>0.24696491228070175</v>
      </c>
    </row>
    <row r="4069" spans="39:45">
      <c r="AM4069" s="55">
        <v>2019</v>
      </c>
      <c r="AN4069" s="55" t="s">
        <v>187</v>
      </c>
      <c r="AO4069" s="55">
        <v>19</v>
      </c>
      <c r="AP4069" s="55">
        <v>11</v>
      </c>
      <c r="AQ4069" s="55">
        <v>15618.5</v>
      </c>
      <c r="AR4069" s="55">
        <v>28500</v>
      </c>
      <c r="AS4069" s="78">
        <f t="shared" si="67"/>
        <v>0.54801754385964907</v>
      </c>
    </row>
    <row r="4070" spans="39:45">
      <c r="AM4070" s="54">
        <v>2019</v>
      </c>
      <c r="AN4070" s="54" t="s">
        <v>187</v>
      </c>
      <c r="AO4070" s="54">
        <v>19</v>
      </c>
      <c r="AP4070" s="54">
        <v>12</v>
      </c>
      <c r="AQ4070" s="54">
        <v>9759</v>
      </c>
      <c r="AR4070" s="55">
        <v>28500</v>
      </c>
      <c r="AS4070" s="78">
        <f t="shared" si="67"/>
        <v>0.34242105263157896</v>
      </c>
    </row>
    <row r="4071" spans="39:45">
      <c r="AM4071" s="55">
        <v>2019</v>
      </c>
      <c r="AN4071" s="55" t="s">
        <v>187</v>
      </c>
      <c r="AO4071" s="55">
        <v>19</v>
      </c>
      <c r="AP4071" s="55">
        <v>13</v>
      </c>
      <c r="AQ4071" s="55">
        <v>7797</v>
      </c>
      <c r="AR4071" s="55">
        <v>28500</v>
      </c>
      <c r="AS4071" s="78">
        <f t="shared" si="67"/>
        <v>0.27357894736842103</v>
      </c>
    </row>
    <row r="4072" spans="39:45">
      <c r="AM4072" s="54">
        <v>2019</v>
      </c>
      <c r="AN4072" s="54" t="s">
        <v>187</v>
      </c>
      <c r="AO4072" s="54">
        <v>19</v>
      </c>
      <c r="AP4072" s="54">
        <v>14</v>
      </c>
      <c r="AQ4072" s="54">
        <v>9333.5</v>
      </c>
      <c r="AR4072" s="55">
        <v>28500</v>
      </c>
      <c r="AS4072" s="78">
        <f t="shared" si="67"/>
        <v>0.32749122807017544</v>
      </c>
    </row>
    <row r="4073" spans="39:45">
      <c r="AM4073" s="55">
        <v>2019</v>
      </c>
      <c r="AN4073" s="55" t="s">
        <v>187</v>
      </c>
      <c r="AO4073" s="55">
        <v>19</v>
      </c>
      <c r="AP4073" s="55">
        <v>15</v>
      </c>
      <c r="AQ4073" s="55">
        <v>11596.5</v>
      </c>
      <c r="AR4073" s="55">
        <v>28500</v>
      </c>
      <c r="AS4073" s="78">
        <f t="shared" si="67"/>
        <v>0.40689473684210525</v>
      </c>
    </row>
    <row r="4074" spans="39:45">
      <c r="AM4074" s="54">
        <v>2019</v>
      </c>
      <c r="AN4074" s="54" t="s">
        <v>187</v>
      </c>
      <c r="AO4074" s="54">
        <v>19</v>
      </c>
      <c r="AP4074" s="54">
        <v>16</v>
      </c>
      <c r="AQ4074" s="54">
        <v>11790</v>
      </c>
      <c r="AR4074" s="55">
        <v>28500</v>
      </c>
      <c r="AS4074" s="78">
        <f t="shared" si="67"/>
        <v>0.41368421052631577</v>
      </c>
    </row>
    <row r="4075" spans="39:45">
      <c r="AM4075" s="55">
        <v>2019</v>
      </c>
      <c r="AN4075" s="55" t="s">
        <v>187</v>
      </c>
      <c r="AO4075" s="55">
        <v>19</v>
      </c>
      <c r="AP4075" s="55">
        <v>17</v>
      </c>
      <c r="AQ4075" s="55">
        <v>4334.5</v>
      </c>
      <c r="AR4075" s="55">
        <v>28500</v>
      </c>
      <c r="AS4075" s="78">
        <f t="shared" si="67"/>
        <v>0.1520877192982456</v>
      </c>
    </row>
    <row r="4076" spans="39:45">
      <c r="AM4076" s="54">
        <v>2019</v>
      </c>
      <c r="AN4076" s="54" t="s">
        <v>187</v>
      </c>
      <c r="AO4076" s="54">
        <v>19</v>
      </c>
      <c r="AP4076" s="54">
        <v>18</v>
      </c>
      <c r="AQ4076" s="54">
        <v>1092.5</v>
      </c>
      <c r="AR4076" s="55">
        <v>28500</v>
      </c>
      <c r="AS4076" s="78">
        <f t="shared" si="67"/>
        <v>3.833333333333333E-2</v>
      </c>
    </row>
    <row r="4077" spans="39:45">
      <c r="AM4077" s="55">
        <v>2019</v>
      </c>
      <c r="AN4077" s="55" t="s">
        <v>187</v>
      </c>
      <c r="AO4077" s="55">
        <v>19</v>
      </c>
      <c r="AP4077" s="55">
        <v>19</v>
      </c>
      <c r="AQ4077" s="55">
        <v>1054</v>
      </c>
      <c r="AR4077" s="55">
        <v>28500</v>
      </c>
      <c r="AS4077" s="78">
        <f t="shared" si="67"/>
        <v>3.6982456140350881E-2</v>
      </c>
    </row>
    <row r="4078" spans="39:45">
      <c r="AM4078" s="54">
        <v>2019</v>
      </c>
      <c r="AN4078" s="54" t="s">
        <v>187</v>
      </c>
      <c r="AO4078" s="54">
        <v>19</v>
      </c>
      <c r="AP4078" s="54">
        <v>20</v>
      </c>
      <c r="AQ4078" s="54">
        <v>0</v>
      </c>
      <c r="AR4078" s="55">
        <v>28500</v>
      </c>
      <c r="AS4078" s="78">
        <f t="shared" si="67"/>
        <v>0</v>
      </c>
    </row>
    <row r="4079" spans="39:45">
      <c r="AM4079" s="55">
        <v>2019</v>
      </c>
      <c r="AN4079" s="55" t="s">
        <v>187</v>
      </c>
      <c r="AO4079" s="55">
        <v>19</v>
      </c>
      <c r="AP4079" s="55">
        <v>21</v>
      </c>
      <c r="AQ4079" s="55">
        <v>0</v>
      </c>
      <c r="AR4079" s="55">
        <v>28500</v>
      </c>
      <c r="AS4079" s="78">
        <f t="shared" si="67"/>
        <v>0</v>
      </c>
    </row>
    <row r="4080" spans="39:45">
      <c r="AM4080" s="54">
        <v>2019</v>
      </c>
      <c r="AN4080" s="54" t="s">
        <v>187</v>
      </c>
      <c r="AO4080" s="54">
        <v>19</v>
      </c>
      <c r="AP4080" s="54">
        <v>22</v>
      </c>
      <c r="AQ4080" s="54">
        <v>0</v>
      </c>
      <c r="AR4080" s="55">
        <v>28500</v>
      </c>
      <c r="AS4080" s="78">
        <f t="shared" si="67"/>
        <v>0</v>
      </c>
    </row>
    <row r="4081" spans="39:45">
      <c r="AM4081" s="55">
        <v>2019</v>
      </c>
      <c r="AN4081" s="55" t="s">
        <v>187</v>
      </c>
      <c r="AO4081" s="55">
        <v>19</v>
      </c>
      <c r="AP4081" s="55">
        <v>23</v>
      </c>
      <c r="AQ4081" s="55">
        <v>0</v>
      </c>
      <c r="AR4081" s="55">
        <v>28500</v>
      </c>
      <c r="AS4081" s="78">
        <f t="shared" si="67"/>
        <v>0</v>
      </c>
    </row>
    <row r="4082" spans="39:45">
      <c r="AM4082" s="54">
        <v>2019</v>
      </c>
      <c r="AN4082" s="54" t="s">
        <v>187</v>
      </c>
      <c r="AO4082" s="54">
        <v>20</v>
      </c>
      <c r="AP4082" s="54">
        <v>24</v>
      </c>
      <c r="AQ4082" s="54">
        <v>0</v>
      </c>
      <c r="AR4082" s="55">
        <v>28500</v>
      </c>
      <c r="AS4082" s="78">
        <f t="shared" si="67"/>
        <v>0</v>
      </c>
    </row>
    <row r="4083" spans="39:45">
      <c r="AM4083" s="55">
        <v>2019</v>
      </c>
      <c r="AN4083" s="55" t="s">
        <v>187</v>
      </c>
      <c r="AO4083" s="55">
        <v>20</v>
      </c>
      <c r="AP4083" s="55">
        <v>1</v>
      </c>
      <c r="AQ4083" s="55">
        <v>0</v>
      </c>
      <c r="AR4083" s="55">
        <v>28500</v>
      </c>
      <c r="AS4083" s="78">
        <f t="shared" si="67"/>
        <v>0</v>
      </c>
    </row>
    <row r="4084" spans="39:45">
      <c r="AM4084" s="54">
        <v>2019</v>
      </c>
      <c r="AN4084" s="54" t="s">
        <v>187</v>
      </c>
      <c r="AO4084" s="54">
        <v>20</v>
      </c>
      <c r="AP4084" s="54">
        <v>2</v>
      </c>
      <c r="AQ4084" s="54">
        <v>0</v>
      </c>
      <c r="AR4084" s="55">
        <v>28500</v>
      </c>
      <c r="AS4084" s="78">
        <f t="shared" si="67"/>
        <v>0</v>
      </c>
    </row>
    <row r="4085" spans="39:45">
      <c r="AM4085" s="55">
        <v>2019</v>
      </c>
      <c r="AN4085" s="55" t="s">
        <v>187</v>
      </c>
      <c r="AO4085" s="55">
        <v>20</v>
      </c>
      <c r="AP4085" s="55">
        <v>3</v>
      </c>
      <c r="AQ4085" s="55">
        <v>0</v>
      </c>
      <c r="AR4085" s="55">
        <v>28500</v>
      </c>
      <c r="AS4085" s="78">
        <f t="shared" si="67"/>
        <v>0</v>
      </c>
    </row>
    <row r="4086" spans="39:45">
      <c r="AM4086" s="54">
        <v>2019</v>
      </c>
      <c r="AN4086" s="54" t="s">
        <v>187</v>
      </c>
      <c r="AO4086" s="54">
        <v>20</v>
      </c>
      <c r="AP4086" s="54">
        <v>4</v>
      </c>
      <c r="AQ4086" s="54">
        <v>0</v>
      </c>
      <c r="AR4086" s="55">
        <v>28500</v>
      </c>
      <c r="AS4086" s="78">
        <f t="shared" si="67"/>
        <v>0</v>
      </c>
    </row>
    <row r="4087" spans="39:45">
      <c r="AM4087" s="55">
        <v>2019</v>
      </c>
      <c r="AN4087" s="55" t="s">
        <v>187</v>
      </c>
      <c r="AO4087" s="55">
        <v>20</v>
      </c>
      <c r="AP4087" s="55">
        <v>5</v>
      </c>
      <c r="AQ4087" s="55">
        <v>1467</v>
      </c>
      <c r="AR4087" s="55">
        <v>28500</v>
      </c>
      <c r="AS4087" s="78">
        <f t="shared" si="67"/>
        <v>5.1473684210526317E-2</v>
      </c>
    </row>
    <row r="4088" spans="39:45">
      <c r="AM4088" s="54">
        <v>2019</v>
      </c>
      <c r="AN4088" s="54" t="s">
        <v>187</v>
      </c>
      <c r="AO4088" s="54">
        <v>20</v>
      </c>
      <c r="AP4088" s="54">
        <v>6</v>
      </c>
      <c r="AQ4088" s="54">
        <v>3961</v>
      </c>
      <c r="AR4088" s="55">
        <v>28500</v>
      </c>
      <c r="AS4088" s="78">
        <f t="shared" si="67"/>
        <v>0.13898245614035087</v>
      </c>
    </row>
    <row r="4089" spans="39:45">
      <c r="AM4089" s="55">
        <v>2019</v>
      </c>
      <c r="AN4089" s="55" t="s">
        <v>187</v>
      </c>
      <c r="AO4089" s="55">
        <v>20</v>
      </c>
      <c r="AP4089" s="55">
        <v>7</v>
      </c>
      <c r="AQ4089" s="55">
        <v>13634</v>
      </c>
      <c r="AR4089" s="55">
        <v>28500</v>
      </c>
      <c r="AS4089" s="78">
        <f t="shared" si="67"/>
        <v>0.47838596491228069</v>
      </c>
    </row>
    <row r="4090" spans="39:45">
      <c r="AM4090" s="54">
        <v>2019</v>
      </c>
      <c r="AN4090" s="54" t="s">
        <v>187</v>
      </c>
      <c r="AO4090" s="54">
        <v>20</v>
      </c>
      <c r="AP4090" s="54">
        <v>8</v>
      </c>
      <c r="AQ4090" s="54">
        <v>22936.5</v>
      </c>
      <c r="AR4090" s="55">
        <v>28500</v>
      </c>
      <c r="AS4090" s="78">
        <f t="shared" si="67"/>
        <v>0.8047894736842105</v>
      </c>
    </row>
    <row r="4091" spans="39:45">
      <c r="AM4091" s="55">
        <v>2019</v>
      </c>
      <c r="AN4091" s="55" t="s">
        <v>187</v>
      </c>
      <c r="AO4091" s="55">
        <v>20</v>
      </c>
      <c r="AP4091" s="55">
        <v>9</v>
      </c>
      <c r="AQ4091" s="55">
        <v>30158.5</v>
      </c>
      <c r="AR4091" s="55">
        <v>28500</v>
      </c>
      <c r="AS4091" s="78">
        <f t="shared" si="67"/>
        <v>1.0581929824561402</v>
      </c>
    </row>
    <row r="4092" spans="39:45">
      <c r="AM4092" s="54">
        <v>2019</v>
      </c>
      <c r="AN4092" s="54" t="s">
        <v>187</v>
      </c>
      <c r="AO4092" s="54">
        <v>20</v>
      </c>
      <c r="AP4092" s="54">
        <v>10</v>
      </c>
      <c r="AQ4092" s="54">
        <v>27547.5</v>
      </c>
      <c r="AR4092" s="55">
        <v>28500</v>
      </c>
      <c r="AS4092" s="78">
        <f t="shared" si="67"/>
        <v>0.96657894736842109</v>
      </c>
    </row>
    <row r="4093" spans="39:45">
      <c r="AM4093" s="55">
        <v>2019</v>
      </c>
      <c r="AN4093" s="55" t="s">
        <v>187</v>
      </c>
      <c r="AO4093" s="55">
        <v>20</v>
      </c>
      <c r="AP4093" s="55">
        <v>11</v>
      </c>
      <c r="AQ4093" s="55">
        <v>4253.5</v>
      </c>
      <c r="AR4093" s="55">
        <v>28500</v>
      </c>
      <c r="AS4093" s="78">
        <f t="shared" si="67"/>
        <v>0.14924561403508771</v>
      </c>
    </row>
    <row r="4094" spans="39:45">
      <c r="AM4094" s="54">
        <v>2019</v>
      </c>
      <c r="AN4094" s="54" t="s">
        <v>187</v>
      </c>
      <c r="AO4094" s="54">
        <v>20</v>
      </c>
      <c r="AP4094" s="54">
        <v>12</v>
      </c>
      <c r="AQ4094" s="54">
        <v>20003.5</v>
      </c>
      <c r="AR4094" s="55">
        <v>28500</v>
      </c>
      <c r="AS4094" s="78">
        <f t="shared" si="67"/>
        <v>0.7018771929824561</v>
      </c>
    </row>
    <row r="4095" spans="39:45">
      <c r="AM4095" s="55">
        <v>2019</v>
      </c>
      <c r="AN4095" s="55" t="s">
        <v>187</v>
      </c>
      <c r="AO4095" s="55">
        <v>20</v>
      </c>
      <c r="AP4095" s="55">
        <v>13</v>
      </c>
      <c r="AQ4095" s="55">
        <v>3528</v>
      </c>
      <c r="AR4095" s="55">
        <v>28500</v>
      </c>
      <c r="AS4095" s="78">
        <f t="shared" si="67"/>
        <v>0.12378947368421053</v>
      </c>
    </row>
    <row r="4096" spans="39:45">
      <c r="AM4096" s="54">
        <v>2019</v>
      </c>
      <c r="AN4096" s="54" t="s">
        <v>187</v>
      </c>
      <c r="AO4096" s="54">
        <v>20</v>
      </c>
      <c r="AP4096" s="54">
        <v>14</v>
      </c>
      <c r="AQ4096" s="54">
        <v>4897</v>
      </c>
      <c r="AR4096" s="55">
        <v>28500</v>
      </c>
      <c r="AS4096" s="78">
        <f t="shared" si="67"/>
        <v>0.17182456140350877</v>
      </c>
    </row>
    <row r="4097" spans="39:45">
      <c r="AM4097" s="55">
        <v>2019</v>
      </c>
      <c r="AN4097" s="55" t="s">
        <v>187</v>
      </c>
      <c r="AO4097" s="55">
        <v>20</v>
      </c>
      <c r="AP4097" s="55">
        <v>15</v>
      </c>
      <c r="AQ4097" s="55">
        <v>7755.5</v>
      </c>
      <c r="AR4097" s="55">
        <v>28500</v>
      </c>
      <c r="AS4097" s="78">
        <f t="shared" si="67"/>
        <v>0.27212280701754388</v>
      </c>
    </row>
    <row r="4098" spans="39:45">
      <c r="AM4098" s="54">
        <v>2019</v>
      </c>
      <c r="AN4098" s="54" t="s">
        <v>187</v>
      </c>
      <c r="AO4098" s="54">
        <v>20</v>
      </c>
      <c r="AP4098" s="54">
        <v>16</v>
      </c>
      <c r="AQ4098" s="54">
        <v>17631.5</v>
      </c>
      <c r="AR4098" s="55">
        <v>28500</v>
      </c>
      <c r="AS4098" s="78">
        <f t="shared" ref="AS4098:AS4161" si="68">AQ4098/AR4098</f>
        <v>0.61864912280701756</v>
      </c>
    </row>
    <row r="4099" spans="39:45">
      <c r="AM4099" s="55">
        <v>2019</v>
      </c>
      <c r="AN4099" s="55" t="s">
        <v>187</v>
      </c>
      <c r="AO4099" s="55">
        <v>20</v>
      </c>
      <c r="AP4099" s="55">
        <v>17</v>
      </c>
      <c r="AQ4099" s="55">
        <v>9346</v>
      </c>
      <c r="AR4099" s="55">
        <v>28500</v>
      </c>
      <c r="AS4099" s="78">
        <f t="shared" si="68"/>
        <v>0.32792982456140352</v>
      </c>
    </row>
    <row r="4100" spans="39:45">
      <c r="AM4100" s="54">
        <v>2019</v>
      </c>
      <c r="AN4100" s="54" t="s">
        <v>187</v>
      </c>
      <c r="AO4100" s="54">
        <v>20</v>
      </c>
      <c r="AP4100" s="54">
        <v>18</v>
      </c>
      <c r="AQ4100" s="54">
        <v>3417</v>
      </c>
      <c r="AR4100" s="55">
        <v>28500</v>
      </c>
      <c r="AS4100" s="78">
        <f t="shared" si="68"/>
        <v>0.11989473684210526</v>
      </c>
    </row>
    <row r="4101" spans="39:45">
      <c r="AM4101" s="55">
        <v>2019</v>
      </c>
      <c r="AN4101" s="55" t="s">
        <v>187</v>
      </c>
      <c r="AO4101" s="55">
        <v>20</v>
      </c>
      <c r="AP4101" s="55">
        <v>19</v>
      </c>
      <c r="AQ4101" s="55">
        <v>1188</v>
      </c>
      <c r="AR4101" s="55">
        <v>28500</v>
      </c>
      <c r="AS4101" s="78">
        <f t="shared" si="68"/>
        <v>4.1684210526315789E-2</v>
      </c>
    </row>
    <row r="4102" spans="39:45">
      <c r="AM4102" s="54">
        <v>2019</v>
      </c>
      <c r="AN4102" s="54" t="s">
        <v>187</v>
      </c>
      <c r="AO4102" s="54">
        <v>20</v>
      </c>
      <c r="AP4102" s="54">
        <v>20</v>
      </c>
      <c r="AQ4102" s="54">
        <v>0</v>
      </c>
      <c r="AR4102" s="55">
        <v>28500</v>
      </c>
      <c r="AS4102" s="78">
        <f t="shared" si="68"/>
        <v>0</v>
      </c>
    </row>
    <row r="4103" spans="39:45">
      <c r="AM4103" s="55">
        <v>2019</v>
      </c>
      <c r="AN4103" s="55" t="s">
        <v>187</v>
      </c>
      <c r="AO4103" s="55">
        <v>20</v>
      </c>
      <c r="AP4103" s="55">
        <v>21</v>
      </c>
      <c r="AQ4103" s="55">
        <v>0</v>
      </c>
      <c r="AR4103" s="55">
        <v>28500</v>
      </c>
      <c r="AS4103" s="78">
        <f t="shared" si="68"/>
        <v>0</v>
      </c>
    </row>
    <row r="4104" spans="39:45">
      <c r="AM4104" s="54">
        <v>2019</v>
      </c>
      <c r="AN4104" s="54" t="s">
        <v>187</v>
      </c>
      <c r="AO4104" s="54">
        <v>20</v>
      </c>
      <c r="AP4104" s="54">
        <v>22</v>
      </c>
      <c r="AQ4104" s="54">
        <v>0</v>
      </c>
      <c r="AR4104" s="55">
        <v>28500</v>
      </c>
      <c r="AS4104" s="78">
        <f t="shared" si="68"/>
        <v>0</v>
      </c>
    </row>
    <row r="4105" spans="39:45">
      <c r="AM4105" s="55">
        <v>2019</v>
      </c>
      <c r="AN4105" s="55" t="s">
        <v>187</v>
      </c>
      <c r="AO4105" s="55">
        <v>20</v>
      </c>
      <c r="AP4105" s="55">
        <v>23</v>
      </c>
      <c r="AQ4105" s="55">
        <v>0</v>
      </c>
      <c r="AR4105" s="55">
        <v>28500</v>
      </c>
      <c r="AS4105" s="78">
        <f t="shared" si="68"/>
        <v>0</v>
      </c>
    </row>
    <row r="4106" spans="39:45">
      <c r="AM4106" s="54">
        <v>2019</v>
      </c>
      <c r="AN4106" s="54" t="s">
        <v>187</v>
      </c>
      <c r="AO4106" s="54">
        <v>21</v>
      </c>
      <c r="AP4106" s="54">
        <v>24</v>
      </c>
      <c r="AQ4106" s="54">
        <v>0</v>
      </c>
      <c r="AR4106" s="55">
        <v>28500</v>
      </c>
      <c r="AS4106" s="78">
        <f t="shared" si="68"/>
        <v>0</v>
      </c>
    </row>
    <row r="4107" spans="39:45">
      <c r="AM4107" s="55">
        <v>2019</v>
      </c>
      <c r="AN4107" s="55" t="s">
        <v>187</v>
      </c>
      <c r="AO4107" s="55">
        <v>21</v>
      </c>
      <c r="AP4107" s="55">
        <v>1</v>
      </c>
      <c r="AQ4107" s="55">
        <v>0</v>
      </c>
      <c r="AR4107" s="55">
        <v>28500</v>
      </c>
      <c r="AS4107" s="78">
        <f t="shared" si="68"/>
        <v>0</v>
      </c>
    </row>
    <row r="4108" spans="39:45">
      <c r="AM4108" s="54">
        <v>2019</v>
      </c>
      <c r="AN4108" s="54" t="s">
        <v>187</v>
      </c>
      <c r="AO4108" s="54">
        <v>21</v>
      </c>
      <c r="AP4108" s="54">
        <v>2</v>
      </c>
      <c r="AQ4108" s="54">
        <v>0</v>
      </c>
      <c r="AR4108" s="55">
        <v>28500</v>
      </c>
      <c r="AS4108" s="78">
        <f t="shared" si="68"/>
        <v>0</v>
      </c>
    </row>
    <row r="4109" spans="39:45">
      <c r="AM4109" s="55">
        <v>2019</v>
      </c>
      <c r="AN4109" s="55" t="s">
        <v>187</v>
      </c>
      <c r="AO4109" s="55">
        <v>21</v>
      </c>
      <c r="AP4109" s="55">
        <v>3</v>
      </c>
      <c r="AQ4109" s="55">
        <v>0</v>
      </c>
      <c r="AR4109" s="55">
        <v>28500</v>
      </c>
      <c r="AS4109" s="78">
        <f t="shared" si="68"/>
        <v>0</v>
      </c>
    </row>
    <row r="4110" spans="39:45">
      <c r="AM4110" s="54">
        <v>2019</v>
      </c>
      <c r="AN4110" s="54" t="s">
        <v>187</v>
      </c>
      <c r="AO4110" s="54">
        <v>21</v>
      </c>
      <c r="AP4110" s="54">
        <v>4</v>
      </c>
      <c r="AQ4110" s="54">
        <v>77.5</v>
      </c>
      <c r="AR4110" s="55">
        <v>28500</v>
      </c>
      <c r="AS4110" s="78">
        <f t="shared" si="68"/>
        <v>2.719298245614035E-3</v>
      </c>
    </row>
    <row r="4111" spans="39:45">
      <c r="AM4111" s="55">
        <v>2019</v>
      </c>
      <c r="AN4111" s="55" t="s">
        <v>187</v>
      </c>
      <c r="AO4111" s="55">
        <v>21</v>
      </c>
      <c r="AP4111" s="55">
        <v>5</v>
      </c>
      <c r="AQ4111" s="55">
        <v>1623.5</v>
      </c>
      <c r="AR4111" s="55">
        <v>28500</v>
      </c>
      <c r="AS4111" s="78">
        <f t="shared" si="68"/>
        <v>5.6964912280701753E-2</v>
      </c>
    </row>
    <row r="4112" spans="39:45">
      <c r="AM4112" s="54">
        <v>2019</v>
      </c>
      <c r="AN4112" s="54" t="s">
        <v>187</v>
      </c>
      <c r="AO4112" s="54">
        <v>21</v>
      </c>
      <c r="AP4112" s="54">
        <v>6</v>
      </c>
      <c r="AQ4112" s="54">
        <v>3916</v>
      </c>
      <c r="AR4112" s="55">
        <v>28500</v>
      </c>
      <c r="AS4112" s="78">
        <f t="shared" si="68"/>
        <v>0.13740350877192983</v>
      </c>
    </row>
    <row r="4113" spans="39:45">
      <c r="AM4113" s="55">
        <v>2019</v>
      </c>
      <c r="AN4113" s="55" t="s">
        <v>187</v>
      </c>
      <c r="AO4113" s="55">
        <v>21</v>
      </c>
      <c r="AP4113" s="55">
        <v>7</v>
      </c>
      <c r="AQ4113" s="55">
        <v>13783</v>
      </c>
      <c r="AR4113" s="55">
        <v>28500</v>
      </c>
      <c r="AS4113" s="78">
        <f t="shared" si="68"/>
        <v>0.48361403508771927</v>
      </c>
    </row>
    <row r="4114" spans="39:45">
      <c r="AM4114" s="54">
        <v>2019</v>
      </c>
      <c r="AN4114" s="54" t="s">
        <v>187</v>
      </c>
      <c r="AO4114" s="54">
        <v>21</v>
      </c>
      <c r="AP4114" s="54">
        <v>8</v>
      </c>
      <c r="AQ4114" s="54">
        <v>22904.5</v>
      </c>
      <c r="AR4114" s="55">
        <v>28500</v>
      </c>
      <c r="AS4114" s="78">
        <f t="shared" si="68"/>
        <v>0.80366666666666664</v>
      </c>
    </row>
    <row r="4115" spans="39:45">
      <c r="AM4115" s="55">
        <v>2019</v>
      </c>
      <c r="AN4115" s="55" t="s">
        <v>187</v>
      </c>
      <c r="AO4115" s="55">
        <v>21</v>
      </c>
      <c r="AP4115" s="55">
        <v>9</v>
      </c>
      <c r="AQ4115" s="55">
        <v>30163</v>
      </c>
      <c r="AR4115" s="55">
        <v>28500</v>
      </c>
      <c r="AS4115" s="78">
        <f t="shared" si="68"/>
        <v>1.0583508771929824</v>
      </c>
    </row>
    <row r="4116" spans="39:45">
      <c r="AM4116" s="54">
        <v>2019</v>
      </c>
      <c r="AN4116" s="54" t="s">
        <v>187</v>
      </c>
      <c r="AO4116" s="54">
        <v>21</v>
      </c>
      <c r="AP4116" s="54">
        <v>10</v>
      </c>
      <c r="AQ4116" s="54">
        <v>28845</v>
      </c>
      <c r="AR4116" s="55">
        <v>28500</v>
      </c>
      <c r="AS4116" s="78">
        <f t="shared" si="68"/>
        <v>1.0121052631578948</v>
      </c>
    </row>
    <row r="4117" spans="39:45">
      <c r="AM4117" s="55">
        <v>2019</v>
      </c>
      <c r="AN4117" s="55" t="s">
        <v>187</v>
      </c>
      <c r="AO4117" s="55">
        <v>21</v>
      </c>
      <c r="AP4117" s="55">
        <v>11</v>
      </c>
      <c r="AQ4117" s="55">
        <v>24168</v>
      </c>
      <c r="AR4117" s="55">
        <v>28500</v>
      </c>
      <c r="AS4117" s="78">
        <f t="shared" si="68"/>
        <v>0.84799999999999998</v>
      </c>
    </row>
    <row r="4118" spans="39:45">
      <c r="AM4118" s="54">
        <v>2019</v>
      </c>
      <c r="AN4118" s="54" t="s">
        <v>187</v>
      </c>
      <c r="AO4118" s="54">
        <v>21</v>
      </c>
      <c r="AP4118" s="54">
        <v>12</v>
      </c>
      <c r="AQ4118" s="54">
        <v>34236</v>
      </c>
      <c r="AR4118" s="55">
        <v>28500</v>
      </c>
      <c r="AS4118" s="78">
        <f t="shared" si="68"/>
        <v>1.2012631578947368</v>
      </c>
    </row>
    <row r="4119" spans="39:45">
      <c r="AM4119" s="55">
        <v>2019</v>
      </c>
      <c r="AN4119" s="55" t="s">
        <v>187</v>
      </c>
      <c r="AO4119" s="55">
        <v>21</v>
      </c>
      <c r="AP4119" s="55">
        <v>13</v>
      </c>
      <c r="AQ4119" s="55">
        <v>32253</v>
      </c>
      <c r="AR4119" s="55">
        <v>28500</v>
      </c>
      <c r="AS4119" s="78">
        <f t="shared" si="68"/>
        <v>1.1316842105263158</v>
      </c>
    </row>
    <row r="4120" spans="39:45">
      <c r="AM4120" s="54">
        <v>2019</v>
      </c>
      <c r="AN4120" s="54" t="s">
        <v>187</v>
      </c>
      <c r="AO4120" s="54">
        <v>21</v>
      </c>
      <c r="AP4120" s="54">
        <v>14</v>
      </c>
      <c r="AQ4120" s="54">
        <v>24591.5</v>
      </c>
      <c r="AR4120" s="55">
        <v>28500</v>
      </c>
      <c r="AS4120" s="78">
        <f t="shared" si="68"/>
        <v>0.86285964912280699</v>
      </c>
    </row>
    <row r="4121" spans="39:45">
      <c r="AM4121" s="55">
        <v>2019</v>
      </c>
      <c r="AN4121" s="55" t="s">
        <v>187</v>
      </c>
      <c r="AO4121" s="55">
        <v>21</v>
      </c>
      <c r="AP4121" s="55">
        <v>15</v>
      </c>
      <c r="AQ4121" s="55">
        <v>19836.5</v>
      </c>
      <c r="AR4121" s="55">
        <v>28500</v>
      </c>
      <c r="AS4121" s="78">
        <f t="shared" si="68"/>
        <v>0.69601754385964909</v>
      </c>
    </row>
    <row r="4122" spans="39:45">
      <c r="AM4122" s="54">
        <v>2019</v>
      </c>
      <c r="AN4122" s="54" t="s">
        <v>187</v>
      </c>
      <c r="AO4122" s="54">
        <v>21</v>
      </c>
      <c r="AP4122" s="54">
        <v>16</v>
      </c>
      <c r="AQ4122" s="54">
        <v>12869</v>
      </c>
      <c r="AR4122" s="55">
        <v>28500</v>
      </c>
      <c r="AS4122" s="78">
        <f t="shared" si="68"/>
        <v>0.4515438596491228</v>
      </c>
    </row>
    <row r="4123" spans="39:45">
      <c r="AM4123" s="55">
        <v>2019</v>
      </c>
      <c r="AN4123" s="55" t="s">
        <v>187</v>
      </c>
      <c r="AO4123" s="55">
        <v>21</v>
      </c>
      <c r="AP4123" s="55">
        <v>17</v>
      </c>
      <c r="AQ4123" s="55">
        <v>4391</v>
      </c>
      <c r="AR4123" s="55">
        <v>28500</v>
      </c>
      <c r="AS4123" s="78">
        <f t="shared" si="68"/>
        <v>0.1540701754385965</v>
      </c>
    </row>
    <row r="4124" spans="39:45">
      <c r="AM4124" s="54">
        <v>2019</v>
      </c>
      <c r="AN4124" s="54" t="s">
        <v>187</v>
      </c>
      <c r="AO4124" s="54">
        <v>21</v>
      </c>
      <c r="AP4124" s="54">
        <v>18</v>
      </c>
      <c r="AQ4124" s="54">
        <v>1300</v>
      </c>
      <c r="AR4124" s="55">
        <v>28500</v>
      </c>
      <c r="AS4124" s="78">
        <f t="shared" si="68"/>
        <v>4.5614035087719301E-2</v>
      </c>
    </row>
    <row r="4125" spans="39:45">
      <c r="AM4125" s="55">
        <v>2019</v>
      </c>
      <c r="AN4125" s="55" t="s">
        <v>187</v>
      </c>
      <c r="AO4125" s="55">
        <v>21</v>
      </c>
      <c r="AP4125" s="55">
        <v>19</v>
      </c>
      <c r="AQ4125" s="55">
        <v>689.5</v>
      </c>
      <c r="AR4125" s="55">
        <v>28500</v>
      </c>
      <c r="AS4125" s="78">
        <f t="shared" si="68"/>
        <v>2.4192982456140349E-2</v>
      </c>
    </row>
    <row r="4126" spans="39:45">
      <c r="AM4126" s="54">
        <v>2019</v>
      </c>
      <c r="AN4126" s="54" t="s">
        <v>187</v>
      </c>
      <c r="AO4126" s="54">
        <v>21</v>
      </c>
      <c r="AP4126" s="54">
        <v>20</v>
      </c>
      <c r="AQ4126" s="54">
        <v>0</v>
      </c>
      <c r="AR4126" s="55">
        <v>28500</v>
      </c>
      <c r="AS4126" s="78">
        <f t="shared" si="68"/>
        <v>0</v>
      </c>
    </row>
    <row r="4127" spans="39:45">
      <c r="AM4127" s="55">
        <v>2019</v>
      </c>
      <c r="AN4127" s="55" t="s">
        <v>187</v>
      </c>
      <c r="AO4127" s="55">
        <v>21</v>
      </c>
      <c r="AP4127" s="55">
        <v>21</v>
      </c>
      <c r="AQ4127" s="55">
        <v>0</v>
      </c>
      <c r="AR4127" s="55">
        <v>28500</v>
      </c>
      <c r="AS4127" s="78">
        <f t="shared" si="68"/>
        <v>0</v>
      </c>
    </row>
    <row r="4128" spans="39:45">
      <c r="AM4128" s="54">
        <v>2019</v>
      </c>
      <c r="AN4128" s="54" t="s">
        <v>187</v>
      </c>
      <c r="AO4128" s="54">
        <v>21</v>
      </c>
      <c r="AP4128" s="54">
        <v>22</v>
      </c>
      <c r="AQ4128" s="54">
        <v>0</v>
      </c>
      <c r="AR4128" s="55">
        <v>28500</v>
      </c>
      <c r="AS4128" s="78">
        <f t="shared" si="68"/>
        <v>0</v>
      </c>
    </row>
    <row r="4129" spans="39:45">
      <c r="AM4129" s="55">
        <v>2019</v>
      </c>
      <c r="AN4129" s="55" t="s">
        <v>187</v>
      </c>
      <c r="AO4129" s="55">
        <v>21</v>
      </c>
      <c r="AP4129" s="55">
        <v>23</v>
      </c>
      <c r="AQ4129" s="55">
        <v>0</v>
      </c>
      <c r="AR4129" s="55">
        <v>28500</v>
      </c>
      <c r="AS4129" s="78">
        <f t="shared" si="68"/>
        <v>0</v>
      </c>
    </row>
    <row r="4130" spans="39:45">
      <c r="AM4130" s="54">
        <v>2019</v>
      </c>
      <c r="AN4130" s="54" t="s">
        <v>187</v>
      </c>
      <c r="AO4130" s="54">
        <v>22</v>
      </c>
      <c r="AP4130" s="54">
        <v>24</v>
      </c>
      <c r="AQ4130" s="54">
        <v>0</v>
      </c>
      <c r="AR4130" s="55">
        <v>28500</v>
      </c>
      <c r="AS4130" s="78">
        <f t="shared" si="68"/>
        <v>0</v>
      </c>
    </row>
    <row r="4131" spans="39:45">
      <c r="AM4131" s="55">
        <v>2019</v>
      </c>
      <c r="AN4131" s="55" t="s">
        <v>187</v>
      </c>
      <c r="AO4131" s="55">
        <v>22</v>
      </c>
      <c r="AP4131" s="55">
        <v>1</v>
      </c>
      <c r="AQ4131" s="55">
        <v>0</v>
      </c>
      <c r="AR4131" s="55">
        <v>28500</v>
      </c>
      <c r="AS4131" s="78">
        <f t="shared" si="68"/>
        <v>0</v>
      </c>
    </row>
    <row r="4132" spans="39:45">
      <c r="AM4132" s="54">
        <v>2019</v>
      </c>
      <c r="AN4132" s="54" t="s">
        <v>187</v>
      </c>
      <c r="AO4132" s="54">
        <v>22</v>
      </c>
      <c r="AP4132" s="54">
        <v>2</v>
      </c>
      <c r="AQ4132" s="54">
        <v>0</v>
      </c>
      <c r="AR4132" s="55">
        <v>28500</v>
      </c>
      <c r="AS4132" s="78">
        <f t="shared" si="68"/>
        <v>0</v>
      </c>
    </row>
    <row r="4133" spans="39:45">
      <c r="AM4133" s="55">
        <v>2019</v>
      </c>
      <c r="AN4133" s="55" t="s">
        <v>187</v>
      </c>
      <c r="AO4133" s="55">
        <v>22</v>
      </c>
      <c r="AP4133" s="55">
        <v>3</v>
      </c>
      <c r="AQ4133" s="55">
        <v>0</v>
      </c>
      <c r="AR4133" s="55">
        <v>28500</v>
      </c>
      <c r="AS4133" s="78">
        <f t="shared" si="68"/>
        <v>0</v>
      </c>
    </row>
    <row r="4134" spans="39:45">
      <c r="AM4134" s="54">
        <v>2019</v>
      </c>
      <c r="AN4134" s="54" t="s">
        <v>187</v>
      </c>
      <c r="AO4134" s="54">
        <v>22</v>
      </c>
      <c r="AP4134" s="54">
        <v>4</v>
      </c>
      <c r="AQ4134" s="54">
        <v>98.5</v>
      </c>
      <c r="AR4134" s="55">
        <v>28500</v>
      </c>
      <c r="AS4134" s="78">
        <f t="shared" si="68"/>
        <v>3.4561403508771931E-3</v>
      </c>
    </row>
    <row r="4135" spans="39:45">
      <c r="AM4135" s="55">
        <v>2019</v>
      </c>
      <c r="AN4135" s="55" t="s">
        <v>187</v>
      </c>
      <c r="AO4135" s="55">
        <v>22</v>
      </c>
      <c r="AP4135" s="55">
        <v>5</v>
      </c>
      <c r="AQ4135" s="55">
        <v>1514.5</v>
      </c>
      <c r="AR4135" s="55">
        <v>28500</v>
      </c>
      <c r="AS4135" s="78">
        <f t="shared" si="68"/>
        <v>5.3140350877192981E-2</v>
      </c>
    </row>
    <row r="4136" spans="39:45">
      <c r="AM4136" s="54">
        <v>2019</v>
      </c>
      <c r="AN4136" s="54" t="s">
        <v>187</v>
      </c>
      <c r="AO4136" s="54">
        <v>22</v>
      </c>
      <c r="AP4136" s="54">
        <v>6</v>
      </c>
      <c r="AQ4136" s="54">
        <v>3851</v>
      </c>
      <c r="AR4136" s="55">
        <v>28500</v>
      </c>
      <c r="AS4136" s="78">
        <f t="shared" si="68"/>
        <v>0.13512280701754387</v>
      </c>
    </row>
    <row r="4137" spans="39:45">
      <c r="AM4137" s="55">
        <v>2019</v>
      </c>
      <c r="AN4137" s="55" t="s">
        <v>187</v>
      </c>
      <c r="AO4137" s="55">
        <v>22</v>
      </c>
      <c r="AP4137" s="55">
        <v>7</v>
      </c>
      <c r="AQ4137" s="55">
        <v>13044</v>
      </c>
      <c r="AR4137" s="55">
        <v>28500</v>
      </c>
      <c r="AS4137" s="78">
        <f t="shared" si="68"/>
        <v>0.4576842105263158</v>
      </c>
    </row>
    <row r="4138" spans="39:45">
      <c r="AM4138" s="54">
        <v>2019</v>
      </c>
      <c r="AN4138" s="54" t="s">
        <v>187</v>
      </c>
      <c r="AO4138" s="54">
        <v>22</v>
      </c>
      <c r="AP4138" s="54">
        <v>8</v>
      </c>
      <c r="AQ4138" s="54">
        <v>22712.5</v>
      </c>
      <c r="AR4138" s="55">
        <v>28500</v>
      </c>
      <c r="AS4138" s="78">
        <f t="shared" si="68"/>
        <v>0.79692982456140349</v>
      </c>
    </row>
    <row r="4139" spans="39:45">
      <c r="AM4139" s="55">
        <v>2019</v>
      </c>
      <c r="AN4139" s="55" t="s">
        <v>187</v>
      </c>
      <c r="AO4139" s="55">
        <v>22</v>
      </c>
      <c r="AP4139" s="55">
        <v>9</v>
      </c>
      <c r="AQ4139" s="55">
        <v>31835</v>
      </c>
      <c r="AR4139" s="55">
        <v>28500</v>
      </c>
      <c r="AS4139" s="78">
        <f t="shared" si="68"/>
        <v>1.117017543859649</v>
      </c>
    </row>
    <row r="4140" spans="39:45">
      <c r="AM4140" s="54">
        <v>2019</v>
      </c>
      <c r="AN4140" s="54" t="s">
        <v>187</v>
      </c>
      <c r="AO4140" s="54">
        <v>22</v>
      </c>
      <c r="AP4140" s="54">
        <v>10</v>
      </c>
      <c r="AQ4140" s="54">
        <v>36003</v>
      </c>
      <c r="AR4140" s="55">
        <v>28500</v>
      </c>
      <c r="AS4140" s="78">
        <f t="shared" si="68"/>
        <v>1.2632631578947369</v>
      </c>
    </row>
    <row r="4141" spans="39:45">
      <c r="AM4141" s="55">
        <v>2019</v>
      </c>
      <c r="AN4141" s="55" t="s">
        <v>187</v>
      </c>
      <c r="AO4141" s="55">
        <v>22</v>
      </c>
      <c r="AP4141" s="55">
        <v>11</v>
      </c>
      <c r="AQ4141" s="55">
        <v>34356</v>
      </c>
      <c r="AR4141" s="55">
        <v>28500</v>
      </c>
      <c r="AS4141" s="78">
        <f t="shared" si="68"/>
        <v>1.2054736842105263</v>
      </c>
    </row>
    <row r="4142" spans="39:45">
      <c r="AM4142" s="54">
        <v>2019</v>
      </c>
      <c r="AN4142" s="54" t="s">
        <v>187</v>
      </c>
      <c r="AO4142" s="54">
        <v>22</v>
      </c>
      <c r="AP4142" s="54">
        <v>12</v>
      </c>
      <c r="AQ4142" s="54">
        <v>25544.5</v>
      </c>
      <c r="AR4142" s="55">
        <v>28500</v>
      </c>
      <c r="AS4142" s="78">
        <f t="shared" si="68"/>
        <v>0.89629824561403504</v>
      </c>
    </row>
    <row r="4143" spans="39:45">
      <c r="AM4143" s="55">
        <v>2019</v>
      </c>
      <c r="AN4143" s="55" t="s">
        <v>187</v>
      </c>
      <c r="AO4143" s="55">
        <v>22</v>
      </c>
      <c r="AP4143" s="55">
        <v>13</v>
      </c>
      <c r="AQ4143" s="55">
        <v>22613</v>
      </c>
      <c r="AR4143" s="55">
        <v>28500</v>
      </c>
      <c r="AS4143" s="78">
        <f t="shared" si="68"/>
        <v>0.79343859649122805</v>
      </c>
    </row>
    <row r="4144" spans="39:45">
      <c r="AM4144" s="54">
        <v>2019</v>
      </c>
      <c r="AN4144" s="54" t="s">
        <v>187</v>
      </c>
      <c r="AO4144" s="54">
        <v>22</v>
      </c>
      <c r="AP4144" s="54">
        <v>14</v>
      </c>
      <c r="AQ4144" s="54">
        <v>25368</v>
      </c>
      <c r="AR4144" s="55">
        <v>28500</v>
      </c>
      <c r="AS4144" s="78">
        <f t="shared" si="68"/>
        <v>0.89010526315789473</v>
      </c>
    </row>
    <row r="4145" spans="39:45">
      <c r="AM4145" s="55">
        <v>2019</v>
      </c>
      <c r="AN4145" s="55" t="s">
        <v>187</v>
      </c>
      <c r="AO4145" s="55">
        <v>22</v>
      </c>
      <c r="AP4145" s="55">
        <v>15</v>
      </c>
      <c r="AQ4145" s="55">
        <v>25990.5</v>
      </c>
      <c r="AR4145" s="55">
        <v>28500</v>
      </c>
      <c r="AS4145" s="78">
        <f t="shared" si="68"/>
        <v>0.91194736842105262</v>
      </c>
    </row>
    <row r="4146" spans="39:45">
      <c r="AM4146" s="54">
        <v>2019</v>
      </c>
      <c r="AN4146" s="54" t="s">
        <v>187</v>
      </c>
      <c r="AO4146" s="54">
        <v>22</v>
      </c>
      <c r="AP4146" s="54">
        <v>16</v>
      </c>
      <c r="AQ4146" s="54">
        <v>20177</v>
      </c>
      <c r="AR4146" s="55">
        <v>28500</v>
      </c>
      <c r="AS4146" s="78">
        <f t="shared" si="68"/>
        <v>0.7079649122807018</v>
      </c>
    </row>
    <row r="4147" spans="39:45">
      <c r="AM4147" s="55">
        <v>2019</v>
      </c>
      <c r="AN4147" s="55" t="s">
        <v>187</v>
      </c>
      <c r="AO4147" s="55">
        <v>22</v>
      </c>
      <c r="AP4147" s="55">
        <v>17</v>
      </c>
      <c r="AQ4147" s="55">
        <v>9989.5</v>
      </c>
      <c r="AR4147" s="55">
        <v>28500</v>
      </c>
      <c r="AS4147" s="78">
        <f t="shared" si="68"/>
        <v>0.35050877192982455</v>
      </c>
    </row>
    <row r="4148" spans="39:45">
      <c r="AM4148" s="54">
        <v>2019</v>
      </c>
      <c r="AN4148" s="54" t="s">
        <v>187</v>
      </c>
      <c r="AO4148" s="54">
        <v>22</v>
      </c>
      <c r="AP4148" s="54">
        <v>18</v>
      </c>
      <c r="AQ4148" s="54">
        <v>3321</v>
      </c>
      <c r="AR4148" s="55">
        <v>28500</v>
      </c>
      <c r="AS4148" s="78">
        <f t="shared" si="68"/>
        <v>0.11652631578947369</v>
      </c>
    </row>
    <row r="4149" spans="39:45">
      <c r="AM4149" s="55">
        <v>2019</v>
      </c>
      <c r="AN4149" s="55" t="s">
        <v>187</v>
      </c>
      <c r="AO4149" s="55">
        <v>22</v>
      </c>
      <c r="AP4149" s="55">
        <v>19</v>
      </c>
      <c r="AQ4149" s="55">
        <v>901.5</v>
      </c>
      <c r="AR4149" s="55">
        <v>28500</v>
      </c>
      <c r="AS4149" s="78">
        <f t="shared" si="68"/>
        <v>3.163157894736842E-2</v>
      </c>
    </row>
    <row r="4150" spans="39:45">
      <c r="AM4150" s="54">
        <v>2019</v>
      </c>
      <c r="AN4150" s="54" t="s">
        <v>187</v>
      </c>
      <c r="AO4150" s="54">
        <v>22</v>
      </c>
      <c r="AP4150" s="54">
        <v>20</v>
      </c>
      <c r="AQ4150" s="54">
        <v>0</v>
      </c>
      <c r="AR4150" s="55">
        <v>28500</v>
      </c>
      <c r="AS4150" s="78">
        <f t="shared" si="68"/>
        <v>0</v>
      </c>
    </row>
    <row r="4151" spans="39:45">
      <c r="AM4151" s="55">
        <v>2019</v>
      </c>
      <c r="AN4151" s="55" t="s">
        <v>187</v>
      </c>
      <c r="AO4151" s="55">
        <v>22</v>
      </c>
      <c r="AP4151" s="55">
        <v>21</v>
      </c>
      <c r="AQ4151" s="55">
        <v>0</v>
      </c>
      <c r="AR4151" s="55">
        <v>28500</v>
      </c>
      <c r="AS4151" s="78">
        <f t="shared" si="68"/>
        <v>0</v>
      </c>
    </row>
    <row r="4152" spans="39:45">
      <c r="AM4152" s="54">
        <v>2019</v>
      </c>
      <c r="AN4152" s="54" t="s">
        <v>187</v>
      </c>
      <c r="AO4152" s="54">
        <v>22</v>
      </c>
      <c r="AP4152" s="54">
        <v>22</v>
      </c>
      <c r="AQ4152" s="54">
        <v>0</v>
      </c>
      <c r="AR4152" s="55">
        <v>28500</v>
      </c>
      <c r="AS4152" s="78">
        <f t="shared" si="68"/>
        <v>0</v>
      </c>
    </row>
    <row r="4153" spans="39:45">
      <c r="AM4153" s="55">
        <v>2019</v>
      </c>
      <c r="AN4153" s="55" t="s">
        <v>187</v>
      </c>
      <c r="AO4153" s="55">
        <v>22</v>
      </c>
      <c r="AP4153" s="55">
        <v>23</v>
      </c>
      <c r="AQ4153" s="55">
        <v>0</v>
      </c>
      <c r="AR4153" s="55">
        <v>28500</v>
      </c>
      <c r="AS4153" s="78">
        <f t="shared" si="68"/>
        <v>0</v>
      </c>
    </row>
    <row r="4154" spans="39:45">
      <c r="AM4154" s="54">
        <v>2019</v>
      </c>
      <c r="AN4154" s="54" t="s">
        <v>187</v>
      </c>
      <c r="AO4154" s="54">
        <v>23</v>
      </c>
      <c r="AP4154" s="54">
        <v>24</v>
      </c>
      <c r="AQ4154" s="54">
        <v>0</v>
      </c>
      <c r="AR4154" s="55">
        <v>28500</v>
      </c>
      <c r="AS4154" s="78">
        <f t="shared" si="68"/>
        <v>0</v>
      </c>
    </row>
    <row r="4155" spans="39:45">
      <c r="AM4155" s="55">
        <v>2019</v>
      </c>
      <c r="AN4155" s="55" t="s">
        <v>187</v>
      </c>
      <c r="AO4155" s="55">
        <v>23</v>
      </c>
      <c r="AP4155" s="55">
        <v>1</v>
      </c>
      <c r="AQ4155" s="55">
        <v>0</v>
      </c>
      <c r="AR4155" s="55">
        <v>28500</v>
      </c>
      <c r="AS4155" s="78">
        <f t="shared" si="68"/>
        <v>0</v>
      </c>
    </row>
    <row r="4156" spans="39:45">
      <c r="AM4156" s="54">
        <v>2019</v>
      </c>
      <c r="AN4156" s="54" t="s">
        <v>187</v>
      </c>
      <c r="AO4156" s="54">
        <v>23</v>
      </c>
      <c r="AP4156" s="54">
        <v>2</v>
      </c>
      <c r="AQ4156" s="54">
        <v>0</v>
      </c>
      <c r="AR4156" s="55">
        <v>28500</v>
      </c>
      <c r="AS4156" s="78">
        <f t="shared" si="68"/>
        <v>0</v>
      </c>
    </row>
    <row r="4157" spans="39:45">
      <c r="AM4157" s="55">
        <v>2019</v>
      </c>
      <c r="AN4157" s="55" t="s">
        <v>187</v>
      </c>
      <c r="AO4157" s="55">
        <v>23</v>
      </c>
      <c r="AP4157" s="55">
        <v>3</v>
      </c>
      <c r="AQ4157" s="55">
        <v>0</v>
      </c>
      <c r="AR4157" s="55">
        <v>28500</v>
      </c>
      <c r="AS4157" s="78">
        <f t="shared" si="68"/>
        <v>0</v>
      </c>
    </row>
    <row r="4158" spans="39:45">
      <c r="AM4158" s="54">
        <v>2019</v>
      </c>
      <c r="AN4158" s="54" t="s">
        <v>187</v>
      </c>
      <c r="AO4158" s="54">
        <v>23</v>
      </c>
      <c r="AP4158" s="54">
        <v>4</v>
      </c>
      <c r="AQ4158" s="54">
        <v>37.5</v>
      </c>
      <c r="AR4158" s="55">
        <v>28500</v>
      </c>
      <c r="AS4158" s="78">
        <f t="shared" si="68"/>
        <v>1.3157894736842105E-3</v>
      </c>
    </row>
    <row r="4159" spans="39:45">
      <c r="AM4159" s="55">
        <v>2019</v>
      </c>
      <c r="AN4159" s="55" t="s">
        <v>187</v>
      </c>
      <c r="AO4159" s="55">
        <v>23</v>
      </c>
      <c r="AP4159" s="55">
        <v>5</v>
      </c>
      <c r="AQ4159" s="55">
        <v>645</v>
      </c>
      <c r="AR4159" s="55">
        <v>28500</v>
      </c>
      <c r="AS4159" s="78">
        <f t="shared" si="68"/>
        <v>2.2631578947368423E-2</v>
      </c>
    </row>
    <row r="4160" spans="39:45">
      <c r="AM4160" s="54">
        <v>2019</v>
      </c>
      <c r="AN4160" s="54" t="s">
        <v>187</v>
      </c>
      <c r="AO4160" s="54">
        <v>23</v>
      </c>
      <c r="AP4160" s="54">
        <v>6</v>
      </c>
      <c r="AQ4160" s="54">
        <v>3706</v>
      </c>
      <c r="AR4160" s="55">
        <v>28500</v>
      </c>
      <c r="AS4160" s="78">
        <f t="shared" si="68"/>
        <v>0.13003508771929825</v>
      </c>
    </row>
    <row r="4161" spans="39:45">
      <c r="AM4161" s="55">
        <v>2019</v>
      </c>
      <c r="AN4161" s="55" t="s">
        <v>187</v>
      </c>
      <c r="AO4161" s="55">
        <v>23</v>
      </c>
      <c r="AP4161" s="55">
        <v>7</v>
      </c>
      <c r="AQ4161" s="55">
        <v>8410.5</v>
      </c>
      <c r="AR4161" s="55">
        <v>28500</v>
      </c>
      <c r="AS4161" s="78">
        <f t="shared" si="68"/>
        <v>0.29510526315789476</v>
      </c>
    </row>
    <row r="4162" spans="39:45">
      <c r="AM4162" s="54">
        <v>2019</v>
      </c>
      <c r="AN4162" s="54" t="s">
        <v>187</v>
      </c>
      <c r="AO4162" s="54">
        <v>23</v>
      </c>
      <c r="AP4162" s="54">
        <v>8</v>
      </c>
      <c r="AQ4162" s="54">
        <v>15993</v>
      </c>
      <c r="AR4162" s="55">
        <v>28500</v>
      </c>
      <c r="AS4162" s="78">
        <f t="shared" ref="AS4162:AS4225" si="69">AQ4162/AR4162</f>
        <v>0.56115789473684208</v>
      </c>
    </row>
    <row r="4163" spans="39:45">
      <c r="AM4163" s="55">
        <v>2019</v>
      </c>
      <c r="AN4163" s="55" t="s">
        <v>187</v>
      </c>
      <c r="AO4163" s="55">
        <v>23</v>
      </c>
      <c r="AP4163" s="55">
        <v>9</v>
      </c>
      <c r="AQ4163" s="55">
        <v>13358</v>
      </c>
      <c r="AR4163" s="55">
        <v>28500</v>
      </c>
      <c r="AS4163" s="78">
        <f t="shared" si="69"/>
        <v>0.4687017543859649</v>
      </c>
    </row>
    <row r="4164" spans="39:45">
      <c r="AM4164" s="54">
        <v>2019</v>
      </c>
      <c r="AN4164" s="54" t="s">
        <v>187</v>
      </c>
      <c r="AO4164" s="54">
        <v>23</v>
      </c>
      <c r="AP4164" s="54">
        <v>10</v>
      </c>
      <c r="AQ4164" s="54">
        <v>24573.5</v>
      </c>
      <c r="AR4164" s="55">
        <v>28500</v>
      </c>
      <c r="AS4164" s="78">
        <f t="shared" si="69"/>
        <v>0.86222807017543857</v>
      </c>
    </row>
    <row r="4165" spans="39:45">
      <c r="AM4165" s="55">
        <v>2019</v>
      </c>
      <c r="AN4165" s="55" t="s">
        <v>187</v>
      </c>
      <c r="AO4165" s="55">
        <v>23</v>
      </c>
      <c r="AP4165" s="55">
        <v>11</v>
      </c>
      <c r="AQ4165" s="55">
        <v>18003</v>
      </c>
      <c r="AR4165" s="55">
        <v>28500</v>
      </c>
      <c r="AS4165" s="78">
        <f t="shared" si="69"/>
        <v>0.63168421052631574</v>
      </c>
    </row>
    <row r="4166" spans="39:45">
      <c r="AM4166" s="54">
        <v>2019</v>
      </c>
      <c r="AN4166" s="54" t="s">
        <v>187</v>
      </c>
      <c r="AO4166" s="54">
        <v>23</v>
      </c>
      <c r="AP4166" s="54">
        <v>12</v>
      </c>
      <c r="AQ4166" s="54">
        <v>22214.5</v>
      </c>
      <c r="AR4166" s="55">
        <v>28500</v>
      </c>
      <c r="AS4166" s="78">
        <f t="shared" si="69"/>
        <v>0.77945614035087718</v>
      </c>
    </row>
    <row r="4167" spans="39:45">
      <c r="AM4167" s="55">
        <v>2019</v>
      </c>
      <c r="AN4167" s="55" t="s">
        <v>187</v>
      </c>
      <c r="AO4167" s="55">
        <v>23</v>
      </c>
      <c r="AP4167" s="55">
        <v>13</v>
      </c>
      <c r="AQ4167" s="55">
        <v>13960.5</v>
      </c>
      <c r="AR4167" s="55">
        <v>28500</v>
      </c>
      <c r="AS4167" s="78">
        <f t="shared" si="69"/>
        <v>0.48984210526315791</v>
      </c>
    </row>
    <row r="4168" spans="39:45">
      <c r="AM4168" s="54">
        <v>2019</v>
      </c>
      <c r="AN4168" s="54" t="s">
        <v>187</v>
      </c>
      <c r="AO4168" s="54">
        <v>23</v>
      </c>
      <c r="AP4168" s="54">
        <v>14</v>
      </c>
      <c r="AQ4168" s="54">
        <v>19316</v>
      </c>
      <c r="AR4168" s="55">
        <v>28500</v>
      </c>
      <c r="AS4168" s="78">
        <f t="shared" si="69"/>
        <v>0.67775438596491233</v>
      </c>
    </row>
    <row r="4169" spans="39:45">
      <c r="AM4169" s="55">
        <v>2019</v>
      </c>
      <c r="AN4169" s="55" t="s">
        <v>187</v>
      </c>
      <c r="AO4169" s="55">
        <v>23</v>
      </c>
      <c r="AP4169" s="55">
        <v>15</v>
      </c>
      <c r="AQ4169" s="55">
        <v>4685</v>
      </c>
      <c r="AR4169" s="55">
        <v>28500</v>
      </c>
      <c r="AS4169" s="78">
        <f t="shared" si="69"/>
        <v>0.16438596491228069</v>
      </c>
    </row>
    <row r="4170" spans="39:45">
      <c r="AM4170" s="54">
        <v>2019</v>
      </c>
      <c r="AN4170" s="54" t="s">
        <v>187</v>
      </c>
      <c r="AO4170" s="54">
        <v>23</v>
      </c>
      <c r="AP4170" s="54">
        <v>16</v>
      </c>
      <c r="AQ4170" s="54">
        <v>2799</v>
      </c>
      <c r="AR4170" s="55">
        <v>28500</v>
      </c>
      <c r="AS4170" s="78">
        <f t="shared" si="69"/>
        <v>9.821052631578947E-2</v>
      </c>
    </row>
    <row r="4171" spans="39:45">
      <c r="AM4171" s="55">
        <v>2019</v>
      </c>
      <c r="AN4171" s="55" t="s">
        <v>187</v>
      </c>
      <c r="AO4171" s="55">
        <v>23</v>
      </c>
      <c r="AP4171" s="55">
        <v>17</v>
      </c>
      <c r="AQ4171" s="55">
        <v>1798</v>
      </c>
      <c r="AR4171" s="55">
        <v>28500</v>
      </c>
      <c r="AS4171" s="78">
        <f t="shared" si="69"/>
        <v>6.3087719298245609E-2</v>
      </c>
    </row>
    <row r="4172" spans="39:45">
      <c r="AM4172" s="54">
        <v>2019</v>
      </c>
      <c r="AN4172" s="54" t="s">
        <v>187</v>
      </c>
      <c r="AO4172" s="54">
        <v>23</v>
      </c>
      <c r="AP4172" s="54">
        <v>18</v>
      </c>
      <c r="AQ4172" s="54">
        <v>1419.5</v>
      </c>
      <c r="AR4172" s="55">
        <v>28500</v>
      </c>
      <c r="AS4172" s="78">
        <f t="shared" si="69"/>
        <v>4.9807017543859647E-2</v>
      </c>
    </row>
    <row r="4173" spans="39:45">
      <c r="AM4173" s="55">
        <v>2019</v>
      </c>
      <c r="AN4173" s="55" t="s">
        <v>187</v>
      </c>
      <c r="AO4173" s="55">
        <v>23</v>
      </c>
      <c r="AP4173" s="55">
        <v>19</v>
      </c>
      <c r="AQ4173" s="55">
        <v>71</v>
      </c>
      <c r="AR4173" s="55">
        <v>28500</v>
      </c>
      <c r="AS4173" s="78">
        <f t="shared" si="69"/>
        <v>2.4912280701754387E-3</v>
      </c>
    </row>
    <row r="4174" spans="39:45">
      <c r="AM4174" s="54">
        <v>2019</v>
      </c>
      <c r="AN4174" s="54" t="s">
        <v>187</v>
      </c>
      <c r="AO4174" s="54">
        <v>23</v>
      </c>
      <c r="AP4174" s="54">
        <v>20</v>
      </c>
      <c r="AQ4174" s="54">
        <v>0</v>
      </c>
      <c r="AR4174" s="55">
        <v>28500</v>
      </c>
      <c r="AS4174" s="78">
        <f t="shared" si="69"/>
        <v>0</v>
      </c>
    </row>
    <row r="4175" spans="39:45">
      <c r="AM4175" s="55">
        <v>2019</v>
      </c>
      <c r="AN4175" s="55" t="s">
        <v>187</v>
      </c>
      <c r="AO4175" s="55">
        <v>23</v>
      </c>
      <c r="AP4175" s="55">
        <v>21</v>
      </c>
      <c r="AQ4175" s="55">
        <v>0</v>
      </c>
      <c r="AR4175" s="55">
        <v>28500</v>
      </c>
      <c r="AS4175" s="78">
        <f t="shared" si="69"/>
        <v>0</v>
      </c>
    </row>
    <row r="4176" spans="39:45">
      <c r="AM4176" s="54">
        <v>2019</v>
      </c>
      <c r="AN4176" s="54" t="s">
        <v>187</v>
      </c>
      <c r="AO4176" s="54">
        <v>23</v>
      </c>
      <c r="AP4176" s="54">
        <v>22</v>
      </c>
      <c r="AQ4176" s="54">
        <v>0</v>
      </c>
      <c r="AR4176" s="55">
        <v>28500</v>
      </c>
      <c r="AS4176" s="78">
        <f t="shared" si="69"/>
        <v>0</v>
      </c>
    </row>
    <row r="4177" spans="39:45">
      <c r="AM4177" s="55">
        <v>2019</v>
      </c>
      <c r="AN4177" s="55" t="s">
        <v>187</v>
      </c>
      <c r="AO4177" s="55">
        <v>23</v>
      </c>
      <c r="AP4177" s="55">
        <v>23</v>
      </c>
      <c r="AQ4177" s="55">
        <v>0</v>
      </c>
      <c r="AR4177" s="55">
        <v>28500</v>
      </c>
      <c r="AS4177" s="78">
        <f t="shared" si="69"/>
        <v>0</v>
      </c>
    </row>
    <row r="4178" spans="39:45">
      <c r="AM4178" s="54">
        <v>2019</v>
      </c>
      <c r="AN4178" s="54" t="s">
        <v>187</v>
      </c>
      <c r="AO4178" s="54">
        <v>24</v>
      </c>
      <c r="AP4178" s="54">
        <v>24</v>
      </c>
      <c r="AQ4178" s="54">
        <v>0</v>
      </c>
      <c r="AR4178" s="55">
        <v>28500</v>
      </c>
      <c r="AS4178" s="78">
        <f t="shared" si="69"/>
        <v>0</v>
      </c>
    </row>
    <row r="4179" spans="39:45">
      <c r="AM4179" s="55">
        <v>2019</v>
      </c>
      <c r="AN4179" s="55" t="s">
        <v>187</v>
      </c>
      <c r="AO4179" s="55">
        <v>24</v>
      </c>
      <c r="AP4179" s="55">
        <v>1</v>
      </c>
      <c r="AQ4179" s="55">
        <v>0</v>
      </c>
      <c r="AR4179" s="55">
        <v>28500</v>
      </c>
      <c r="AS4179" s="78">
        <f t="shared" si="69"/>
        <v>0</v>
      </c>
    </row>
    <row r="4180" spans="39:45">
      <c r="AM4180" s="54">
        <v>2019</v>
      </c>
      <c r="AN4180" s="54" t="s">
        <v>187</v>
      </c>
      <c r="AO4180" s="54">
        <v>24</v>
      </c>
      <c r="AP4180" s="54">
        <v>2</v>
      </c>
      <c r="AQ4180" s="54">
        <v>0</v>
      </c>
      <c r="AR4180" s="55">
        <v>28500</v>
      </c>
      <c r="AS4180" s="78">
        <f t="shared" si="69"/>
        <v>0</v>
      </c>
    </row>
    <row r="4181" spans="39:45">
      <c r="AM4181" s="55">
        <v>2019</v>
      </c>
      <c r="AN4181" s="55" t="s">
        <v>187</v>
      </c>
      <c r="AO4181" s="55">
        <v>24</v>
      </c>
      <c r="AP4181" s="55">
        <v>3</v>
      </c>
      <c r="AQ4181" s="55">
        <v>0</v>
      </c>
      <c r="AR4181" s="55">
        <v>28500</v>
      </c>
      <c r="AS4181" s="78">
        <f t="shared" si="69"/>
        <v>0</v>
      </c>
    </row>
    <row r="4182" spans="39:45">
      <c r="AM4182" s="54">
        <v>2019</v>
      </c>
      <c r="AN4182" s="54" t="s">
        <v>187</v>
      </c>
      <c r="AO4182" s="54">
        <v>24</v>
      </c>
      <c r="AP4182" s="54">
        <v>4</v>
      </c>
      <c r="AQ4182" s="54">
        <v>53</v>
      </c>
      <c r="AR4182" s="55">
        <v>28500</v>
      </c>
      <c r="AS4182" s="78">
        <f t="shared" si="69"/>
        <v>1.8596491228070175E-3</v>
      </c>
    </row>
    <row r="4183" spans="39:45">
      <c r="AM4183" s="55">
        <v>2019</v>
      </c>
      <c r="AN4183" s="55" t="s">
        <v>187</v>
      </c>
      <c r="AO4183" s="55">
        <v>24</v>
      </c>
      <c r="AP4183" s="55">
        <v>5</v>
      </c>
      <c r="AQ4183" s="55">
        <v>1425.5</v>
      </c>
      <c r="AR4183" s="55">
        <v>28500</v>
      </c>
      <c r="AS4183" s="78">
        <f t="shared" si="69"/>
        <v>5.001754385964912E-2</v>
      </c>
    </row>
    <row r="4184" spans="39:45">
      <c r="AM4184" s="54">
        <v>2019</v>
      </c>
      <c r="AN4184" s="54" t="s">
        <v>187</v>
      </c>
      <c r="AO4184" s="54">
        <v>24</v>
      </c>
      <c r="AP4184" s="54">
        <v>6</v>
      </c>
      <c r="AQ4184" s="54">
        <v>1491.5</v>
      </c>
      <c r="AR4184" s="55">
        <v>28500</v>
      </c>
      <c r="AS4184" s="78">
        <f t="shared" si="69"/>
        <v>5.2333333333333336E-2</v>
      </c>
    </row>
    <row r="4185" spans="39:45">
      <c r="AM4185" s="55">
        <v>2019</v>
      </c>
      <c r="AN4185" s="55" t="s">
        <v>187</v>
      </c>
      <c r="AO4185" s="55">
        <v>24</v>
      </c>
      <c r="AP4185" s="55">
        <v>7</v>
      </c>
      <c r="AQ4185" s="55">
        <v>11648</v>
      </c>
      <c r="AR4185" s="55">
        <v>28500</v>
      </c>
      <c r="AS4185" s="78">
        <f t="shared" si="69"/>
        <v>0.4087017543859649</v>
      </c>
    </row>
    <row r="4186" spans="39:45">
      <c r="AM4186" s="54">
        <v>2019</v>
      </c>
      <c r="AN4186" s="54" t="s">
        <v>187</v>
      </c>
      <c r="AO4186" s="54">
        <v>24</v>
      </c>
      <c r="AP4186" s="54">
        <v>8</v>
      </c>
      <c r="AQ4186" s="54">
        <v>10189.5</v>
      </c>
      <c r="AR4186" s="55">
        <v>28500</v>
      </c>
      <c r="AS4186" s="78">
        <f t="shared" si="69"/>
        <v>0.35752631578947369</v>
      </c>
    </row>
    <row r="4187" spans="39:45">
      <c r="AM4187" s="55">
        <v>2019</v>
      </c>
      <c r="AN4187" s="55" t="s">
        <v>187</v>
      </c>
      <c r="AO4187" s="55">
        <v>24</v>
      </c>
      <c r="AP4187" s="55">
        <v>9</v>
      </c>
      <c r="AQ4187" s="55">
        <v>2941.5</v>
      </c>
      <c r="AR4187" s="55">
        <v>28500</v>
      </c>
      <c r="AS4187" s="78">
        <f t="shared" si="69"/>
        <v>0.10321052631578947</v>
      </c>
    </row>
    <row r="4188" spans="39:45">
      <c r="AM4188" s="54">
        <v>2019</v>
      </c>
      <c r="AN4188" s="54" t="s">
        <v>187</v>
      </c>
      <c r="AO4188" s="54">
        <v>24</v>
      </c>
      <c r="AP4188" s="54">
        <v>10</v>
      </c>
      <c r="AQ4188" s="54">
        <v>3529.5</v>
      </c>
      <c r="AR4188" s="55">
        <v>28500</v>
      </c>
      <c r="AS4188" s="78">
        <f t="shared" si="69"/>
        <v>0.12384210526315789</v>
      </c>
    </row>
    <row r="4189" spans="39:45">
      <c r="AM4189" s="55">
        <v>2019</v>
      </c>
      <c r="AN4189" s="55" t="s">
        <v>187</v>
      </c>
      <c r="AO4189" s="55">
        <v>24</v>
      </c>
      <c r="AP4189" s="55">
        <v>11</v>
      </c>
      <c r="AQ4189" s="55">
        <v>9704</v>
      </c>
      <c r="AR4189" s="55">
        <v>28500</v>
      </c>
      <c r="AS4189" s="78">
        <f t="shared" si="69"/>
        <v>0.34049122807017546</v>
      </c>
    </row>
    <row r="4190" spans="39:45">
      <c r="AM4190" s="54">
        <v>2019</v>
      </c>
      <c r="AN4190" s="54" t="s">
        <v>187</v>
      </c>
      <c r="AO4190" s="54">
        <v>24</v>
      </c>
      <c r="AP4190" s="54">
        <v>12</v>
      </c>
      <c r="AQ4190" s="54">
        <v>9386.5</v>
      </c>
      <c r="AR4190" s="55">
        <v>28500</v>
      </c>
      <c r="AS4190" s="78">
        <f t="shared" si="69"/>
        <v>0.32935087719298245</v>
      </c>
    </row>
    <row r="4191" spans="39:45">
      <c r="AM4191" s="55">
        <v>2019</v>
      </c>
      <c r="AN4191" s="55" t="s">
        <v>187</v>
      </c>
      <c r="AO4191" s="55">
        <v>24</v>
      </c>
      <c r="AP4191" s="55">
        <v>13</v>
      </c>
      <c r="AQ4191" s="55">
        <v>6779.5</v>
      </c>
      <c r="AR4191" s="55">
        <v>28500</v>
      </c>
      <c r="AS4191" s="78">
        <f t="shared" si="69"/>
        <v>0.23787719298245613</v>
      </c>
    </row>
    <row r="4192" spans="39:45">
      <c r="AM4192" s="54">
        <v>2019</v>
      </c>
      <c r="AN4192" s="54" t="s">
        <v>187</v>
      </c>
      <c r="AO4192" s="54">
        <v>24</v>
      </c>
      <c r="AP4192" s="54">
        <v>14</v>
      </c>
      <c r="AQ4192" s="54">
        <v>12096</v>
      </c>
      <c r="AR4192" s="55">
        <v>28500</v>
      </c>
      <c r="AS4192" s="78">
        <f t="shared" si="69"/>
        <v>0.42442105263157892</v>
      </c>
    </row>
    <row r="4193" spans="39:45">
      <c r="AM4193" s="55">
        <v>2019</v>
      </c>
      <c r="AN4193" s="55" t="s">
        <v>187</v>
      </c>
      <c r="AO4193" s="55">
        <v>24</v>
      </c>
      <c r="AP4193" s="55">
        <v>15</v>
      </c>
      <c r="AQ4193" s="55">
        <v>15860</v>
      </c>
      <c r="AR4193" s="55">
        <v>28500</v>
      </c>
      <c r="AS4193" s="78">
        <f t="shared" si="69"/>
        <v>0.55649122807017548</v>
      </c>
    </row>
    <row r="4194" spans="39:45">
      <c r="AM4194" s="54">
        <v>2019</v>
      </c>
      <c r="AN4194" s="54" t="s">
        <v>187</v>
      </c>
      <c r="AO4194" s="54">
        <v>24</v>
      </c>
      <c r="AP4194" s="54">
        <v>16</v>
      </c>
      <c r="AQ4194" s="54">
        <v>2587.5</v>
      </c>
      <c r="AR4194" s="55">
        <v>28500</v>
      </c>
      <c r="AS4194" s="78">
        <f t="shared" si="69"/>
        <v>9.0789473684210531E-2</v>
      </c>
    </row>
    <row r="4195" spans="39:45">
      <c r="AM4195" s="55">
        <v>2019</v>
      </c>
      <c r="AN4195" s="55" t="s">
        <v>187</v>
      </c>
      <c r="AO4195" s="55">
        <v>24</v>
      </c>
      <c r="AP4195" s="55">
        <v>17</v>
      </c>
      <c r="AQ4195" s="55">
        <v>1743.5</v>
      </c>
      <c r="AR4195" s="55">
        <v>28500</v>
      </c>
      <c r="AS4195" s="78">
        <f t="shared" si="69"/>
        <v>6.117543859649123E-2</v>
      </c>
    </row>
    <row r="4196" spans="39:45">
      <c r="AM4196" s="54">
        <v>2019</v>
      </c>
      <c r="AN4196" s="54" t="s">
        <v>187</v>
      </c>
      <c r="AO4196" s="54">
        <v>24</v>
      </c>
      <c r="AP4196" s="54">
        <v>18</v>
      </c>
      <c r="AQ4196" s="54">
        <v>1577.5</v>
      </c>
      <c r="AR4196" s="55">
        <v>28500</v>
      </c>
      <c r="AS4196" s="78">
        <f t="shared" si="69"/>
        <v>5.5350877192982456E-2</v>
      </c>
    </row>
    <row r="4197" spans="39:45">
      <c r="AM4197" s="55">
        <v>2019</v>
      </c>
      <c r="AN4197" s="55" t="s">
        <v>187</v>
      </c>
      <c r="AO4197" s="55">
        <v>24</v>
      </c>
      <c r="AP4197" s="55">
        <v>19</v>
      </c>
      <c r="AQ4197" s="55">
        <v>131.5</v>
      </c>
      <c r="AR4197" s="55">
        <v>28500</v>
      </c>
      <c r="AS4197" s="78">
        <f t="shared" si="69"/>
        <v>4.6140350877192987E-3</v>
      </c>
    </row>
    <row r="4198" spans="39:45">
      <c r="AM4198" s="54">
        <v>2019</v>
      </c>
      <c r="AN4198" s="54" t="s">
        <v>187</v>
      </c>
      <c r="AO4198" s="54">
        <v>24</v>
      </c>
      <c r="AP4198" s="54">
        <v>20</v>
      </c>
      <c r="AQ4198" s="54">
        <v>0</v>
      </c>
      <c r="AR4198" s="55">
        <v>28500</v>
      </c>
      <c r="AS4198" s="78">
        <f t="shared" si="69"/>
        <v>0</v>
      </c>
    </row>
    <row r="4199" spans="39:45">
      <c r="AM4199" s="55">
        <v>2019</v>
      </c>
      <c r="AN4199" s="55" t="s">
        <v>187</v>
      </c>
      <c r="AO4199" s="55">
        <v>24</v>
      </c>
      <c r="AP4199" s="55">
        <v>21</v>
      </c>
      <c r="AQ4199" s="55">
        <v>0</v>
      </c>
      <c r="AR4199" s="55">
        <v>28500</v>
      </c>
      <c r="AS4199" s="78">
        <f t="shared" si="69"/>
        <v>0</v>
      </c>
    </row>
    <row r="4200" spans="39:45">
      <c r="AM4200" s="54">
        <v>2019</v>
      </c>
      <c r="AN4200" s="54" t="s">
        <v>187</v>
      </c>
      <c r="AO4200" s="54">
        <v>24</v>
      </c>
      <c r="AP4200" s="54">
        <v>22</v>
      </c>
      <c r="AQ4200" s="54">
        <v>0</v>
      </c>
      <c r="AR4200" s="55">
        <v>28500</v>
      </c>
      <c r="AS4200" s="78">
        <f t="shared" si="69"/>
        <v>0</v>
      </c>
    </row>
    <row r="4201" spans="39:45">
      <c r="AM4201" s="55">
        <v>2019</v>
      </c>
      <c r="AN4201" s="55" t="s">
        <v>187</v>
      </c>
      <c r="AO4201" s="55">
        <v>24</v>
      </c>
      <c r="AP4201" s="55">
        <v>23</v>
      </c>
      <c r="AQ4201" s="55">
        <v>0</v>
      </c>
      <c r="AR4201" s="55">
        <v>28500</v>
      </c>
      <c r="AS4201" s="78">
        <f t="shared" si="69"/>
        <v>0</v>
      </c>
    </row>
    <row r="4202" spans="39:45">
      <c r="AM4202" s="54">
        <v>2019</v>
      </c>
      <c r="AN4202" s="54" t="s">
        <v>187</v>
      </c>
      <c r="AO4202" s="54">
        <v>25</v>
      </c>
      <c r="AP4202" s="54">
        <v>24</v>
      </c>
      <c r="AQ4202" s="54">
        <v>0</v>
      </c>
      <c r="AR4202" s="55">
        <v>28500</v>
      </c>
      <c r="AS4202" s="78">
        <f t="shared" si="69"/>
        <v>0</v>
      </c>
    </row>
    <row r="4203" spans="39:45">
      <c r="AM4203" s="55">
        <v>2019</v>
      </c>
      <c r="AN4203" s="55" t="s">
        <v>187</v>
      </c>
      <c r="AO4203" s="55">
        <v>25</v>
      </c>
      <c r="AP4203" s="55">
        <v>1</v>
      </c>
      <c r="AQ4203" s="55">
        <v>0</v>
      </c>
      <c r="AR4203" s="55">
        <v>28500</v>
      </c>
      <c r="AS4203" s="78">
        <f t="shared" si="69"/>
        <v>0</v>
      </c>
    </row>
    <row r="4204" spans="39:45">
      <c r="AM4204" s="54">
        <v>2019</v>
      </c>
      <c r="AN4204" s="54" t="s">
        <v>187</v>
      </c>
      <c r="AO4204" s="54">
        <v>25</v>
      </c>
      <c r="AP4204" s="54">
        <v>2</v>
      </c>
      <c r="AQ4204" s="54">
        <v>0</v>
      </c>
      <c r="AR4204" s="55">
        <v>28500</v>
      </c>
      <c r="AS4204" s="78">
        <f t="shared" si="69"/>
        <v>0</v>
      </c>
    </row>
    <row r="4205" spans="39:45">
      <c r="AM4205" s="55">
        <v>2019</v>
      </c>
      <c r="AN4205" s="55" t="s">
        <v>187</v>
      </c>
      <c r="AO4205" s="55">
        <v>25</v>
      </c>
      <c r="AP4205" s="55">
        <v>3</v>
      </c>
      <c r="AQ4205" s="55">
        <v>0</v>
      </c>
      <c r="AR4205" s="55">
        <v>28500</v>
      </c>
      <c r="AS4205" s="78">
        <f t="shared" si="69"/>
        <v>0</v>
      </c>
    </row>
    <row r="4206" spans="39:45">
      <c r="AM4206" s="54">
        <v>2019</v>
      </c>
      <c r="AN4206" s="54" t="s">
        <v>187</v>
      </c>
      <c r="AO4206" s="54">
        <v>25</v>
      </c>
      <c r="AP4206" s="54">
        <v>4</v>
      </c>
      <c r="AQ4206" s="54">
        <v>3</v>
      </c>
      <c r="AR4206" s="55">
        <v>28500</v>
      </c>
      <c r="AS4206" s="78">
        <f t="shared" si="69"/>
        <v>1.0526315789473685E-4</v>
      </c>
    </row>
    <row r="4207" spans="39:45">
      <c r="AM4207" s="55">
        <v>2019</v>
      </c>
      <c r="AN4207" s="55" t="s">
        <v>187</v>
      </c>
      <c r="AO4207" s="55">
        <v>25</v>
      </c>
      <c r="AP4207" s="55">
        <v>5</v>
      </c>
      <c r="AQ4207" s="55">
        <v>867</v>
      </c>
      <c r="AR4207" s="55">
        <v>28500</v>
      </c>
      <c r="AS4207" s="78">
        <f t="shared" si="69"/>
        <v>3.0421052631578946E-2</v>
      </c>
    </row>
    <row r="4208" spans="39:45">
      <c r="AM4208" s="54">
        <v>2019</v>
      </c>
      <c r="AN4208" s="54" t="s">
        <v>187</v>
      </c>
      <c r="AO4208" s="54">
        <v>25</v>
      </c>
      <c r="AP4208" s="54">
        <v>6</v>
      </c>
      <c r="AQ4208" s="54">
        <v>3064.5</v>
      </c>
      <c r="AR4208" s="55">
        <v>28500</v>
      </c>
      <c r="AS4208" s="78">
        <f t="shared" si="69"/>
        <v>0.10752631578947368</v>
      </c>
    </row>
    <row r="4209" spans="39:45">
      <c r="AM4209" s="55">
        <v>2019</v>
      </c>
      <c r="AN4209" s="55" t="s">
        <v>187</v>
      </c>
      <c r="AO4209" s="55">
        <v>25</v>
      </c>
      <c r="AP4209" s="55">
        <v>7</v>
      </c>
      <c r="AQ4209" s="55">
        <v>4458</v>
      </c>
      <c r="AR4209" s="55">
        <v>28500</v>
      </c>
      <c r="AS4209" s="78">
        <f t="shared" si="69"/>
        <v>0.15642105263157896</v>
      </c>
    </row>
    <row r="4210" spans="39:45">
      <c r="AM4210" s="54">
        <v>2019</v>
      </c>
      <c r="AN4210" s="54" t="s">
        <v>187</v>
      </c>
      <c r="AO4210" s="54">
        <v>25</v>
      </c>
      <c r="AP4210" s="54">
        <v>8</v>
      </c>
      <c r="AQ4210" s="54">
        <v>9971</v>
      </c>
      <c r="AR4210" s="55">
        <v>28500</v>
      </c>
      <c r="AS4210" s="78">
        <f t="shared" si="69"/>
        <v>0.34985964912280704</v>
      </c>
    </row>
    <row r="4211" spans="39:45">
      <c r="AM4211" s="55">
        <v>2019</v>
      </c>
      <c r="AN4211" s="55" t="s">
        <v>187</v>
      </c>
      <c r="AO4211" s="55">
        <v>25</v>
      </c>
      <c r="AP4211" s="55">
        <v>9</v>
      </c>
      <c r="AQ4211" s="55">
        <v>15981.5</v>
      </c>
      <c r="AR4211" s="55">
        <v>28500</v>
      </c>
      <c r="AS4211" s="78">
        <f t="shared" si="69"/>
        <v>0.56075438596491223</v>
      </c>
    </row>
    <row r="4212" spans="39:45">
      <c r="AM4212" s="54">
        <v>2019</v>
      </c>
      <c r="AN4212" s="54" t="s">
        <v>187</v>
      </c>
      <c r="AO4212" s="54">
        <v>25</v>
      </c>
      <c r="AP4212" s="54">
        <v>10</v>
      </c>
      <c r="AQ4212" s="54">
        <v>19136</v>
      </c>
      <c r="AR4212" s="55">
        <v>28500</v>
      </c>
      <c r="AS4212" s="78">
        <f t="shared" si="69"/>
        <v>0.67143859649122806</v>
      </c>
    </row>
    <row r="4213" spans="39:45">
      <c r="AM4213" s="55">
        <v>2019</v>
      </c>
      <c r="AN4213" s="55" t="s">
        <v>187</v>
      </c>
      <c r="AO4213" s="55">
        <v>25</v>
      </c>
      <c r="AP4213" s="55">
        <v>11</v>
      </c>
      <c r="AQ4213" s="55">
        <v>18986.5</v>
      </c>
      <c r="AR4213" s="55">
        <v>28500</v>
      </c>
      <c r="AS4213" s="78">
        <f t="shared" si="69"/>
        <v>0.66619298245614034</v>
      </c>
    </row>
    <row r="4214" spans="39:45">
      <c r="AM4214" s="54">
        <v>2019</v>
      </c>
      <c r="AN4214" s="54" t="s">
        <v>187</v>
      </c>
      <c r="AO4214" s="54">
        <v>25</v>
      </c>
      <c r="AP4214" s="54">
        <v>12</v>
      </c>
      <c r="AQ4214" s="54">
        <v>18433</v>
      </c>
      <c r="AR4214" s="55">
        <v>28500</v>
      </c>
      <c r="AS4214" s="78">
        <f t="shared" si="69"/>
        <v>0.64677192982456144</v>
      </c>
    </row>
    <row r="4215" spans="39:45">
      <c r="AM4215" s="55">
        <v>2019</v>
      </c>
      <c r="AN4215" s="55" t="s">
        <v>187</v>
      </c>
      <c r="AO4215" s="55">
        <v>25</v>
      </c>
      <c r="AP4215" s="55">
        <v>13</v>
      </c>
      <c r="AQ4215" s="55">
        <v>13637</v>
      </c>
      <c r="AR4215" s="55">
        <v>28500</v>
      </c>
      <c r="AS4215" s="78">
        <f t="shared" si="69"/>
        <v>0.47849122807017541</v>
      </c>
    </row>
    <row r="4216" spans="39:45">
      <c r="AM4216" s="54">
        <v>2019</v>
      </c>
      <c r="AN4216" s="54" t="s">
        <v>187</v>
      </c>
      <c r="AO4216" s="54">
        <v>25</v>
      </c>
      <c r="AP4216" s="54">
        <v>14</v>
      </c>
      <c r="AQ4216" s="54">
        <v>10253.5</v>
      </c>
      <c r="AR4216" s="55">
        <v>28500</v>
      </c>
      <c r="AS4216" s="78">
        <f t="shared" si="69"/>
        <v>0.35977192982456141</v>
      </c>
    </row>
    <row r="4217" spans="39:45">
      <c r="AM4217" s="55">
        <v>2019</v>
      </c>
      <c r="AN4217" s="55" t="s">
        <v>187</v>
      </c>
      <c r="AO4217" s="55">
        <v>25</v>
      </c>
      <c r="AP4217" s="55">
        <v>15</v>
      </c>
      <c r="AQ4217" s="55">
        <v>12541.5</v>
      </c>
      <c r="AR4217" s="55">
        <v>28500</v>
      </c>
      <c r="AS4217" s="78">
        <f t="shared" si="69"/>
        <v>0.44005263157894736</v>
      </c>
    </row>
    <row r="4218" spans="39:45">
      <c r="AM4218" s="54">
        <v>2019</v>
      </c>
      <c r="AN4218" s="54" t="s">
        <v>187</v>
      </c>
      <c r="AO4218" s="54">
        <v>25</v>
      </c>
      <c r="AP4218" s="54">
        <v>16</v>
      </c>
      <c r="AQ4218" s="54">
        <v>3763.5</v>
      </c>
      <c r="AR4218" s="55">
        <v>28500</v>
      </c>
      <c r="AS4218" s="78">
        <f t="shared" si="69"/>
        <v>0.13205263157894737</v>
      </c>
    </row>
    <row r="4219" spans="39:45">
      <c r="AM4219" s="55">
        <v>2019</v>
      </c>
      <c r="AN4219" s="55" t="s">
        <v>187</v>
      </c>
      <c r="AO4219" s="55">
        <v>25</v>
      </c>
      <c r="AP4219" s="55">
        <v>17</v>
      </c>
      <c r="AQ4219" s="55">
        <v>7415.5</v>
      </c>
      <c r="AR4219" s="55">
        <v>28500</v>
      </c>
      <c r="AS4219" s="78">
        <f t="shared" si="69"/>
        <v>0.26019298245614036</v>
      </c>
    </row>
    <row r="4220" spans="39:45">
      <c r="AM4220" s="54">
        <v>2019</v>
      </c>
      <c r="AN4220" s="54" t="s">
        <v>187</v>
      </c>
      <c r="AO4220" s="54">
        <v>25</v>
      </c>
      <c r="AP4220" s="54">
        <v>18</v>
      </c>
      <c r="AQ4220" s="54">
        <v>3450.5</v>
      </c>
      <c r="AR4220" s="55">
        <v>28500</v>
      </c>
      <c r="AS4220" s="78">
        <f t="shared" si="69"/>
        <v>0.12107017543859649</v>
      </c>
    </row>
    <row r="4221" spans="39:45">
      <c r="AM4221" s="55">
        <v>2019</v>
      </c>
      <c r="AN4221" s="55" t="s">
        <v>187</v>
      </c>
      <c r="AO4221" s="55">
        <v>25</v>
      </c>
      <c r="AP4221" s="55">
        <v>19</v>
      </c>
      <c r="AQ4221" s="55">
        <v>222.5</v>
      </c>
      <c r="AR4221" s="55">
        <v>28500</v>
      </c>
      <c r="AS4221" s="78">
        <f t="shared" si="69"/>
        <v>7.8070175438596495E-3</v>
      </c>
    </row>
    <row r="4222" spans="39:45">
      <c r="AM4222" s="54">
        <v>2019</v>
      </c>
      <c r="AN4222" s="54" t="s">
        <v>187</v>
      </c>
      <c r="AO4222" s="54">
        <v>25</v>
      </c>
      <c r="AP4222" s="54">
        <v>20</v>
      </c>
      <c r="AQ4222" s="54">
        <v>0</v>
      </c>
      <c r="AR4222" s="55">
        <v>28500</v>
      </c>
      <c r="AS4222" s="78">
        <f t="shared" si="69"/>
        <v>0</v>
      </c>
    </row>
    <row r="4223" spans="39:45">
      <c r="AM4223" s="55">
        <v>2019</v>
      </c>
      <c r="AN4223" s="55" t="s">
        <v>187</v>
      </c>
      <c r="AO4223" s="55">
        <v>25</v>
      </c>
      <c r="AP4223" s="55">
        <v>21</v>
      </c>
      <c r="AQ4223" s="55">
        <v>0</v>
      </c>
      <c r="AR4223" s="55">
        <v>28500</v>
      </c>
      <c r="AS4223" s="78">
        <f t="shared" si="69"/>
        <v>0</v>
      </c>
    </row>
    <row r="4224" spans="39:45">
      <c r="AM4224" s="54">
        <v>2019</v>
      </c>
      <c r="AN4224" s="54" t="s">
        <v>187</v>
      </c>
      <c r="AO4224" s="54">
        <v>25</v>
      </c>
      <c r="AP4224" s="54">
        <v>22</v>
      </c>
      <c r="AQ4224" s="54">
        <v>0</v>
      </c>
      <c r="AR4224" s="55">
        <v>28500</v>
      </c>
      <c r="AS4224" s="78">
        <f t="shared" si="69"/>
        <v>0</v>
      </c>
    </row>
    <row r="4225" spans="39:45">
      <c r="AM4225" s="55">
        <v>2019</v>
      </c>
      <c r="AN4225" s="55" t="s">
        <v>187</v>
      </c>
      <c r="AO4225" s="55">
        <v>25</v>
      </c>
      <c r="AP4225" s="55">
        <v>23</v>
      </c>
      <c r="AQ4225" s="55">
        <v>0</v>
      </c>
      <c r="AR4225" s="55">
        <v>28500</v>
      </c>
      <c r="AS4225" s="78">
        <f t="shared" si="69"/>
        <v>0</v>
      </c>
    </row>
    <row r="4226" spans="39:45">
      <c r="AM4226" s="54">
        <v>2019</v>
      </c>
      <c r="AN4226" s="54" t="s">
        <v>187</v>
      </c>
      <c r="AO4226" s="54">
        <v>26</v>
      </c>
      <c r="AP4226" s="54">
        <v>24</v>
      </c>
      <c r="AQ4226" s="54">
        <v>0</v>
      </c>
      <c r="AR4226" s="55">
        <v>28500</v>
      </c>
      <c r="AS4226" s="78">
        <f t="shared" ref="AS4226:AS4289" si="70">AQ4226/AR4226</f>
        <v>0</v>
      </c>
    </row>
    <row r="4227" spans="39:45">
      <c r="AM4227" s="55">
        <v>2019</v>
      </c>
      <c r="AN4227" s="55" t="s">
        <v>187</v>
      </c>
      <c r="AO4227" s="55">
        <v>26</v>
      </c>
      <c r="AP4227" s="55">
        <v>1</v>
      </c>
      <c r="AQ4227" s="55">
        <v>0</v>
      </c>
      <c r="AR4227" s="55">
        <v>28500</v>
      </c>
      <c r="AS4227" s="78">
        <f t="shared" si="70"/>
        <v>0</v>
      </c>
    </row>
    <row r="4228" spans="39:45">
      <c r="AM4228" s="54">
        <v>2019</v>
      </c>
      <c r="AN4228" s="54" t="s">
        <v>187</v>
      </c>
      <c r="AO4228" s="54">
        <v>26</v>
      </c>
      <c r="AP4228" s="54">
        <v>2</v>
      </c>
      <c r="AQ4228" s="54">
        <v>0</v>
      </c>
      <c r="AR4228" s="55">
        <v>28500</v>
      </c>
      <c r="AS4228" s="78">
        <f t="shared" si="70"/>
        <v>0</v>
      </c>
    </row>
    <row r="4229" spans="39:45">
      <c r="AM4229" s="55">
        <v>2019</v>
      </c>
      <c r="AN4229" s="55" t="s">
        <v>187</v>
      </c>
      <c r="AO4229" s="55">
        <v>26</v>
      </c>
      <c r="AP4229" s="55">
        <v>3</v>
      </c>
      <c r="AQ4229" s="55">
        <v>0</v>
      </c>
      <c r="AR4229" s="55">
        <v>28500</v>
      </c>
      <c r="AS4229" s="78">
        <f t="shared" si="70"/>
        <v>0</v>
      </c>
    </row>
    <row r="4230" spans="39:45">
      <c r="AM4230" s="54">
        <v>2019</v>
      </c>
      <c r="AN4230" s="54" t="s">
        <v>187</v>
      </c>
      <c r="AO4230" s="54">
        <v>26</v>
      </c>
      <c r="AP4230" s="54">
        <v>4</v>
      </c>
      <c r="AQ4230" s="54">
        <v>0</v>
      </c>
      <c r="AR4230" s="55">
        <v>28500</v>
      </c>
      <c r="AS4230" s="78">
        <f t="shared" si="70"/>
        <v>0</v>
      </c>
    </row>
    <row r="4231" spans="39:45">
      <c r="AM4231" s="55">
        <v>2019</v>
      </c>
      <c r="AN4231" s="55" t="s">
        <v>187</v>
      </c>
      <c r="AO4231" s="55">
        <v>26</v>
      </c>
      <c r="AP4231" s="55">
        <v>5</v>
      </c>
      <c r="AQ4231" s="55">
        <v>74.5</v>
      </c>
      <c r="AR4231" s="55">
        <v>28500</v>
      </c>
      <c r="AS4231" s="78">
        <f t="shared" si="70"/>
        <v>2.6140350877192982E-3</v>
      </c>
    </row>
    <row r="4232" spans="39:45">
      <c r="AM4232" s="54">
        <v>2019</v>
      </c>
      <c r="AN4232" s="54" t="s">
        <v>187</v>
      </c>
      <c r="AO4232" s="54">
        <v>26</v>
      </c>
      <c r="AP4232" s="54">
        <v>6</v>
      </c>
      <c r="AQ4232" s="54">
        <v>651</v>
      </c>
      <c r="AR4232" s="55">
        <v>28500</v>
      </c>
      <c r="AS4232" s="78">
        <f t="shared" si="70"/>
        <v>2.2842105263157896E-2</v>
      </c>
    </row>
    <row r="4233" spans="39:45">
      <c r="AM4233" s="55">
        <v>2019</v>
      </c>
      <c r="AN4233" s="55" t="s">
        <v>187</v>
      </c>
      <c r="AO4233" s="55">
        <v>26</v>
      </c>
      <c r="AP4233" s="55">
        <v>7</v>
      </c>
      <c r="AQ4233" s="55">
        <v>1210.5</v>
      </c>
      <c r="AR4233" s="55">
        <v>28500</v>
      </c>
      <c r="AS4233" s="78">
        <f t="shared" si="70"/>
        <v>4.2473684210526316E-2</v>
      </c>
    </row>
    <row r="4234" spans="39:45">
      <c r="AM4234" s="54">
        <v>2019</v>
      </c>
      <c r="AN4234" s="54" t="s">
        <v>187</v>
      </c>
      <c r="AO4234" s="54">
        <v>26</v>
      </c>
      <c r="AP4234" s="54">
        <v>8</v>
      </c>
      <c r="AQ4234" s="54">
        <v>3774.5</v>
      </c>
      <c r="AR4234" s="55">
        <v>28500</v>
      </c>
      <c r="AS4234" s="78">
        <f t="shared" si="70"/>
        <v>0.13243859649122808</v>
      </c>
    </row>
    <row r="4235" spans="39:45">
      <c r="AM4235" s="55">
        <v>2019</v>
      </c>
      <c r="AN4235" s="55" t="s">
        <v>187</v>
      </c>
      <c r="AO4235" s="55">
        <v>26</v>
      </c>
      <c r="AP4235" s="55">
        <v>9</v>
      </c>
      <c r="AQ4235" s="55">
        <v>4562</v>
      </c>
      <c r="AR4235" s="55">
        <v>28500</v>
      </c>
      <c r="AS4235" s="78">
        <f t="shared" si="70"/>
        <v>0.1600701754385965</v>
      </c>
    </row>
    <row r="4236" spans="39:45">
      <c r="AM4236" s="54">
        <v>2019</v>
      </c>
      <c r="AN4236" s="54" t="s">
        <v>187</v>
      </c>
      <c r="AO4236" s="54">
        <v>26</v>
      </c>
      <c r="AP4236" s="54">
        <v>10</v>
      </c>
      <c r="AQ4236" s="54">
        <v>5694.5</v>
      </c>
      <c r="AR4236" s="55">
        <v>28500</v>
      </c>
      <c r="AS4236" s="78">
        <f t="shared" si="70"/>
        <v>0.19980701754385966</v>
      </c>
    </row>
    <row r="4237" spans="39:45">
      <c r="AM4237" s="55">
        <v>2019</v>
      </c>
      <c r="AN4237" s="55" t="s">
        <v>187</v>
      </c>
      <c r="AO4237" s="55">
        <v>26</v>
      </c>
      <c r="AP4237" s="55">
        <v>11</v>
      </c>
      <c r="AQ4237" s="55">
        <v>9699</v>
      </c>
      <c r="AR4237" s="55">
        <v>28500</v>
      </c>
      <c r="AS4237" s="78">
        <f t="shared" si="70"/>
        <v>0.34031578947368424</v>
      </c>
    </row>
    <row r="4238" spans="39:45">
      <c r="AM4238" s="54">
        <v>2019</v>
      </c>
      <c r="AN4238" s="54" t="s">
        <v>187</v>
      </c>
      <c r="AO4238" s="54">
        <v>26</v>
      </c>
      <c r="AP4238" s="54">
        <v>12</v>
      </c>
      <c r="AQ4238" s="54">
        <v>17348.5</v>
      </c>
      <c r="AR4238" s="55">
        <v>28500</v>
      </c>
      <c r="AS4238" s="78">
        <f t="shared" si="70"/>
        <v>0.60871929824561399</v>
      </c>
    </row>
    <row r="4239" spans="39:45">
      <c r="AM4239" s="55">
        <v>2019</v>
      </c>
      <c r="AN4239" s="55" t="s">
        <v>187</v>
      </c>
      <c r="AO4239" s="55">
        <v>26</v>
      </c>
      <c r="AP4239" s="55">
        <v>13</v>
      </c>
      <c r="AQ4239" s="55">
        <v>30652</v>
      </c>
      <c r="AR4239" s="55">
        <v>28500</v>
      </c>
      <c r="AS4239" s="78">
        <f t="shared" si="70"/>
        <v>1.0755087719298246</v>
      </c>
    </row>
    <row r="4240" spans="39:45">
      <c r="AM4240" s="54">
        <v>2019</v>
      </c>
      <c r="AN4240" s="54" t="s">
        <v>187</v>
      </c>
      <c r="AO4240" s="54">
        <v>26</v>
      </c>
      <c r="AP4240" s="54">
        <v>14</v>
      </c>
      <c r="AQ4240" s="54">
        <v>30290.5</v>
      </c>
      <c r="AR4240" s="55">
        <v>28500</v>
      </c>
      <c r="AS4240" s="78">
        <f t="shared" si="70"/>
        <v>1.0628245614035088</v>
      </c>
    </row>
    <row r="4241" spans="39:45">
      <c r="AM4241" s="55">
        <v>2019</v>
      </c>
      <c r="AN4241" s="55" t="s">
        <v>187</v>
      </c>
      <c r="AO4241" s="55">
        <v>26</v>
      </c>
      <c r="AP4241" s="55">
        <v>15</v>
      </c>
      <c r="AQ4241" s="55">
        <v>20510</v>
      </c>
      <c r="AR4241" s="55">
        <v>28500</v>
      </c>
      <c r="AS4241" s="78">
        <f t="shared" si="70"/>
        <v>0.71964912280701754</v>
      </c>
    </row>
    <row r="4242" spans="39:45">
      <c r="AM4242" s="54">
        <v>2019</v>
      </c>
      <c r="AN4242" s="54" t="s">
        <v>187</v>
      </c>
      <c r="AO4242" s="54">
        <v>26</v>
      </c>
      <c r="AP4242" s="54">
        <v>16</v>
      </c>
      <c r="AQ4242" s="54">
        <v>11038</v>
      </c>
      <c r="AR4242" s="55">
        <v>28500</v>
      </c>
      <c r="AS4242" s="78">
        <f t="shared" si="70"/>
        <v>0.38729824561403509</v>
      </c>
    </row>
    <row r="4243" spans="39:45">
      <c r="AM4243" s="55">
        <v>2019</v>
      </c>
      <c r="AN4243" s="55" t="s">
        <v>187</v>
      </c>
      <c r="AO4243" s="55">
        <v>26</v>
      </c>
      <c r="AP4243" s="55">
        <v>17</v>
      </c>
      <c r="AQ4243" s="55">
        <v>5736</v>
      </c>
      <c r="AR4243" s="55">
        <v>28500</v>
      </c>
      <c r="AS4243" s="78">
        <f t="shared" si="70"/>
        <v>0.20126315789473684</v>
      </c>
    </row>
    <row r="4244" spans="39:45">
      <c r="AM4244" s="54">
        <v>2019</v>
      </c>
      <c r="AN4244" s="54" t="s">
        <v>187</v>
      </c>
      <c r="AO4244" s="54">
        <v>26</v>
      </c>
      <c r="AP4244" s="54">
        <v>18</v>
      </c>
      <c r="AQ4244" s="54">
        <v>2109.5</v>
      </c>
      <c r="AR4244" s="55">
        <v>28500</v>
      </c>
      <c r="AS4244" s="78">
        <f t="shared" si="70"/>
        <v>7.4017543859649121E-2</v>
      </c>
    </row>
    <row r="4245" spans="39:45">
      <c r="AM4245" s="55">
        <v>2019</v>
      </c>
      <c r="AN4245" s="55" t="s">
        <v>187</v>
      </c>
      <c r="AO4245" s="55">
        <v>26</v>
      </c>
      <c r="AP4245" s="55">
        <v>19</v>
      </c>
      <c r="AQ4245" s="55">
        <v>278</v>
      </c>
      <c r="AR4245" s="55">
        <v>28500</v>
      </c>
      <c r="AS4245" s="78">
        <f t="shared" si="70"/>
        <v>9.7543859649122811E-3</v>
      </c>
    </row>
    <row r="4246" spans="39:45">
      <c r="AM4246" s="54">
        <v>2019</v>
      </c>
      <c r="AN4246" s="54" t="s">
        <v>187</v>
      </c>
      <c r="AO4246" s="54">
        <v>26</v>
      </c>
      <c r="AP4246" s="54">
        <v>20</v>
      </c>
      <c r="AQ4246" s="54">
        <v>0</v>
      </c>
      <c r="AR4246" s="55">
        <v>28500</v>
      </c>
      <c r="AS4246" s="78">
        <f t="shared" si="70"/>
        <v>0</v>
      </c>
    </row>
    <row r="4247" spans="39:45">
      <c r="AM4247" s="55">
        <v>2019</v>
      </c>
      <c r="AN4247" s="55" t="s">
        <v>187</v>
      </c>
      <c r="AO4247" s="55">
        <v>26</v>
      </c>
      <c r="AP4247" s="55">
        <v>21</v>
      </c>
      <c r="AQ4247" s="55">
        <v>0</v>
      </c>
      <c r="AR4247" s="55">
        <v>28500</v>
      </c>
      <c r="AS4247" s="78">
        <f t="shared" si="70"/>
        <v>0</v>
      </c>
    </row>
    <row r="4248" spans="39:45">
      <c r="AM4248" s="54">
        <v>2019</v>
      </c>
      <c r="AN4248" s="54" t="s">
        <v>187</v>
      </c>
      <c r="AO4248" s="54">
        <v>26</v>
      </c>
      <c r="AP4248" s="54">
        <v>22</v>
      </c>
      <c r="AQ4248" s="54">
        <v>0</v>
      </c>
      <c r="AR4248" s="55">
        <v>28500</v>
      </c>
      <c r="AS4248" s="78">
        <f t="shared" si="70"/>
        <v>0</v>
      </c>
    </row>
    <row r="4249" spans="39:45">
      <c r="AM4249" s="55">
        <v>2019</v>
      </c>
      <c r="AN4249" s="55" t="s">
        <v>187</v>
      </c>
      <c r="AO4249" s="55">
        <v>26</v>
      </c>
      <c r="AP4249" s="55">
        <v>23</v>
      </c>
      <c r="AQ4249" s="55">
        <v>0</v>
      </c>
      <c r="AR4249" s="55">
        <v>28500</v>
      </c>
      <c r="AS4249" s="78">
        <f t="shared" si="70"/>
        <v>0</v>
      </c>
    </row>
    <row r="4250" spans="39:45">
      <c r="AM4250" s="54">
        <v>2019</v>
      </c>
      <c r="AN4250" s="54" t="s">
        <v>187</v>
      </c>
      <c r="AO4250" s="54">
        <v>27</v>
      </c>
      <c r="AP4250" s="54">
        <v>24</v>
      </c>
      <c r="AQ4250" s="54">
        <v>0</v>
      </c>
      <c r="AR4250" s="55">
        <v>28500</v>
      </c>
      <c r="AS4250" s="78">
        <f t="shared" si="70"/>
        <v>0</v>
      </c>
    </row>
    <row r="4251" spans="39:45">
      <c r="AM4251" s="55">
        <v>2019</v>
      </c>
      <c r="AN4251" s="55" t="s">
        <v>187</v>
      </c>
      <c r="AO4251" s="55">
        <v>27</v>
      </c>
      <c r="AP4251" s="55">
        <v>1</v>
      </c>
      <c r="AQ4251" s="55">
        <v>0</v>
      </c>
      <c r="AR4251" s="55">
        <v>28500</v>
      </c>
      <c r="AS4251" s="78">
        <f t="shared" si="70"/>
        <v>0</v>
      </c>
    </row>
    <row r="4252" spans="39:45">
      <c r="AM4252" s="54">
        <v>2019</v>
      </c>
      <c r="AN4252" s="54" t="s">
        <v>187</v>
      </c>
      <c r="AO4252" s="54">
        <v>27</v>
      </c>
      <c r="AP4252" s="54">
        <v>2</v>
      </c>
      <c r="AQ4252" s="54">
        <v>0</v>
      </c>
      <c r="AR4252" s="55">
        <v>28500</v>
      </c>
      <c r="AS4252" s="78">
        <f t="shared" si="70"/>
        <v>0</v>
      </c>
    </row>
    <row r="4253" spans="39:45">
      <c r="AM4253" s="55">
        <v>2019</v>
      </c>
      <c r="AN4253" s="55" t="s">
        <v>187</v>
      </c>
      <c r="AO4253" s="55">
        <v>27</v>
      </c>
      <c r="AP4253" s="55">
        <v>3</v>
      </c>
      <c r="AQ4253" s="55">
        <v>0</v>
      </c>
      <c r="AR4253" s="55">
        <v>28500</v>
      </c>
      <c r="AS4253" s="78">
        <f t="shared" si="70"/>
        <v>0</v>
      </c>
    </row>
    <row r="4254" spans="39:45">
      <c r="AM4254" s="54">
        <v>2019</v>
      </c>
      <c r="AN4254" s="54" t="s">
        <v>187</v>
      </c>
      <c r="AO4254" s="54">
        <v>27</v>
      </c>
      <c r="AP4254" s="54">
        <v>4</v>
      </c>
      <c r="AQ4254" s="54">
        <v>0</v>
      </c>
      <c r="AR4254" s="55">
        <v>28500</v>
      </c>
      <c r="AS4254" s="78">
        <f t="shared" si="70"/>
        <v>0</v>
      </c>
    </row>
    <row r="4255" spans="39:45">
      <c r="AM4255" s="55">
        <v>2019</v>
      </c>
      <c r="AN4255" s="55" t="s">
        <v>187</v>
      </c>
      <c r="AO4255" s="55">
        <v>27</v>
      </c>
      <c r="AP4255" s="55">
        <v>5</v>
      </c>
      <c r="AQ4255" s="55">
        <v>735</v>
      </c>
      <c r="AR4255" s="55">
        <v>28500</v>
      </c>
      <c r="AS4255" s="78">
        <f t="shared" si="70"/>
        <v>2.5789473684210525E-2</v>
      </c>
    </row>
    <row r="4256" spans="39:45">
      <c r="AM4256" s="54">
        <v>2019</v>
      </c>
      <c r="AN4256" s="54" t="s">
        <v>187</v>
      </c>
      <c r="AO4256" s="54">
        <v>27</v>
      </c>
      <c r="AP4256" s="54">
        <v>6</v>
      </c>
      <c r="AQ4256" s="54">
        <v>3931</v>
      </c>
      <c r="AR4256" s="55">
        <v>28500</v>
      </c>
      <c r="AS4256" s="78">
        <f t="shared" si="70"/>
        <v>0.13792982456140351</v>
      </c>
    </row>
    <row r="4257" spans="39:45">
      <c r="AM4257" s="55">
        <v>2019</v>
      </c>
      <c r="AN4257" s="55" t="s">
        <v>187</v>
      </c>
      <c r="AO4257" s="55">
        <v>27</v>
      </c>
      <c r="AP4257" s="55">
        <v>7</v>
      </c>
      <c r="AQ4257" s="55">
        <v>9586.5</v>
      </c>
      <c r="AR4257" s="55">
        <v>28500</v>
      </c>
      <c r="AS4257" s="78">
        <f t="shared" si="70"/>
        <v>0.33636842105263159</v>
      </c>
    </row>
    <row r="4258" spans="39:45">
      <c r="AM4258" s="54">
        <v>2019</v>
      </c>
      <c r="AN4258" s="54" t="s">
        <v>187</v>
      </c>
      <c r="AO4258" s="54">
        <v>27</v>
      </c>
      <c r="AP4258" s="54">
        <v>8</v>
      </c>
      <c r="AQ4258" s="54">
        <v>19662</v>
      </c>
      <c r="AR4258" s="55">
        <v>28500</v>
      </c>
      <c r="AS4258" s="78">
        <f t="shared" si="70"/>
        <v>0.68989473684210523</v>
      </c>
    </row>
    <row r="4259" spans="39:45">
      <c r="AM4259" s="55">
        <v>2019</v>
      </c>
      <c r="AN4259" s="55" t="s">
        <v>187</v>
      </c>
      <c r="AO4259" s="55">
        <v>27</v>
      </c>
      <c r="AP4259" s="55">
        <v>9</v>
      </c>
      <c r="AQ4259" s="55">
        <v>31359.5</v>
      </c>
      <c r="AR4259" s="55">
        <v>28500</v>
      </c>
      <c r="AS4259" s="78">
        <f t="shared" si="70"/>
        <v>1.1003333333333334</v>
      </c>
    </row>
    <row r="4260" spans="39:45">
      <c r="AM4260" s="54">
        <v>2019</v>
      </c>
      <c r="AN4260" s="54" t="s">
        <v>187</v>
      </c>
      <c r="AO4260" s="54">
        <v>27</v>
      </c>
      <c r="AP4260" s="54">
        <v>10</v>
      </c>
      <c r="AQ4260" s="54">
        <v>37223</v>
      </c>
      <c r="AR4260" s="55">
        <v>28500</v>
      </c>
      <c r="AS4260" s="78">
        <f t="shared" si="70"/>
        <v>1.3060701754385964</v>
      </c>
    </row>
    <row r="4261" spans="39:45">
      <c r="AM4261" s="55">
        <v>2019</v>
      </c>
      <c r="AN4261" s="55" t="s">
        <v>187</v>
      </c>
      <c r="AO4261" s="55">
        <v>27</v>
      </c>
      <c r="AP4261" s="55">
        <v>11</v>
      </c>
      <c r="AQ4261" s="55">
        <v>41182.5</v>
      </c>
      <c r="AR4261" s="55">
        <v>28500</v>
      </c>
      <c r="AS4261" s="78">
        <f t="shared" si="70"/>
        <v>1.4450000000000001</v>
      </c>
    </row>
    <row r="4262" spans="39:45">
      <c r="AM4262" s="54">
        <v>2019</v>
      </c>
      <c r="AN4262" s="54" t="s">
        <v>187</v>
      </c>
      <c r="AO4262" s="54">
        <v>27</v>
      </c>
      <c r="AP4262" s="54">
        <v>12</v>
      </c>
      <c r="AQ4262" s="54">
        <v>41454</v>
      </c>
      <c r="AR4262" s="55">
        <v>28500</v>
      </c>
      <c r="AS4262" s="78">
        <f t="shared" si="70"/>
        <v>1.4545263157894737</v>
      </c>
    </row>
    <row r="4263" spans="39:45">
      <c r="AM4263" s="55">
        <v>2019</v>
      </c>
      <c r="AN4263" s="55" t="s">
        <v>187</v>
      </c>
      <c r="AO4263" s="55">
        <v>27</v>
      </c>
      <c r="AP4263" s="55">
        <v>13</v>
      </c>
      <c r="AQ4263" s="55">
        <v>39492.5</v>
      </c>
      <c r="AR4263" s="55">
        <v>28500</v>
      </c>
      <c r="AS4263" s="78">
        <f t="shared" si="70"/>
        <v>1.3857017543859649</v>
      </c>
    </row>
    <row r="4264" spans="39:45">
      <c r="AM4264" s="54">
        <v>2019</v>
      </c>
      <c r="AN4264" s="54" t="s">
        <v>187</v>
      </c>
      <c r="AO4264" s="54">
        <v>27</v>
      </c>
      <c r="AP4264" s="54">
        <v>14</v>
      </c>
      <c r="AQ4264" s="54">
        <v>35299.5</v>
      </c>
      <c r="AR4264" s="55">
        <v>28500</v>
      </c>
      <c r="AS4264" s="78">
        <f t="shared" si="70"/>
        <v>1.238578947368421</v>
      </c>
    </row>
    <row r="4265" spans="39:45">
      <c r="AM4265" s="55">
        <v>2019</v>
      </c>
      <c r="AN4265" s="55" t="s">
        <v>187</v>
      </c>
      <c r="AO4265" s="55">
        <v>27</v>
      </c>
      <c r="AP4265" s="55">
        <v>15</v>
      </c>
      <c r="AQ4265" s="55">
        <v>28475.5</v>
      </c>
      <c r="AR4265" s="55">
        <v>28500</v>
      </c>
      <c r="AS4265" s="78">
        <f t="shared" si="70"/>
        <v>0.999140350877193</v>
      </c>
    </row>
    <row r="4266" spans="39:45">
      <c r="AM4266" s="54">
        <v>2019</v>
      </c>
      <c r="AN4266" s="54" t="s">
        <v>187</v>
      </c>
      <c r="AO4266" s="54">
        <v>27</v>
      </c>
      <c r="AP4266" s="54">
        <v>16</v>
      </c>
      <c r="AQ4266" s="54">
        <v>20010.5</v>
      </c>
      <c r="AR4266" s="55">
        <v>28500</v>
      </c>
      <c r="AS4266" s="78">
        <f t="shared" si="70"/>
        <v>0.70212280701754382</v>
      </c>
    </row>
    <row r="4267" spans="39:45">
      <c r="AM4267" s="55">
        <v>2019</v>
      </c>
      <c r="AN4267" s="55" t="s">
        <v>187</v>
      </c>
      <c r="AO4267" s="55">
        <v>27</v>
      </c>
      <c r="AP4267" s="55">
        <v>17</v>
      </c>
      <c r="AQ4267" s="55">
        <v>9174</v>
      </c>
      <c r="AR4267" s="55">
        <v>28500</v>
      </c>
      <c r="AS4267" s="78">
        <f t="shared" si="70"/>
        <v>0.32189473684210529</v>
      </c>
    </row>
    <row r="4268" spans="39:45">
      <c r="AM4268" s="54">
        <v>2019</v>
      </c>
      <c r="AN4268" s="54" t="s">
        <v>187</v>
      </c>
      <c r="AO4268" s="54">
        <v>27</v>
      </c>
      <c r="AP4268" s="54">
        <v>18</v>
      </c>
      <c r="AQ4268" s="54">
        <v>3706.5</v>
      </c>
      <c r="AR4268" s="55">
        <v>28500</v>
      </c>
      <c r="AS4268" s="78">
        <f t="shared" si="70"/>
        <v>0.13005263157894736</v>
      </c>
    </row>
    <row r="4269" spans="39:45">
      <c r="AM4269" s="55">
        <v>2019</v>
      </c>
      <c r="AN4269" s="55" t="s">
        <v>187</v>
      </c>
      <c r="AO4269" s="55">
        <v>27</v>
      </c>
      <c r="AP4269" s="55">
        <v>19</v>
      </c>
      <c r="AQ4269" s="55">
        <v>999</v>
      </c>
      <c r="AR4269" s="55">
        <v>28500</v>
      </c>
      <c r="AS4269" s="78">
        <f t="shared" si="70"/>
        <v>3.505263157894737E-2</v>
      </c>
    </row>
    <row r="4270" spans="39:45">
      <c r="AM4270" s="54">
        <v>2019</v>
      </c>
      <c r="AN4270" s="54" t="s">
        <v>187</v>
      </c>
      <c r="AO4270" s="54">
        <v>27</v>
      </c>
      <c r="AP4270" s="54">
        <v>20</v>
      </c>
      <c r="AQ4270" s="54">
        <v>0</v>
      </c>
      <c r="AR4270" s="55">
        <v>28500</v>
      </c>
      <c r="AS4270" s="78">
        <f t="shared" si="70"/>
        <v>0</v>
      </c>
    </row>
    <row r="4271" spans="39:45">
      <c r="AM4271" s="55">
        <v>2019</v>
      </c>
      <c r="AN4271" s="55" t="s">
        <v>187</v>
      </c>
      <c r="AO4271" s="55">
        <v>27</v>
      </c>
      <c r="AP4271" s="55">
        <v>21</v>
      </c>
      <c r="AQ4271" s="55">
        <v>0</v>
      </c>
      <c r="AR4271" s="55">
        <v>28500</v>
      </c>
      <c r="AS4271" s="78">
        <f t="shared" si="70"/>
        <v>0</v>
      </c>
    </row>
    <row r="4272" spans="39:45">
      <c r="AM4272" s="54">
        <v>2019</v>
      </c>
      <c r="AN4272" s="54" t="s">
        <v>187</v>
      </c>
      <c r="AO4272" s="54">
        <v>27</v>
      </c>
      <c r="AP4272" s="54">
        <v>22</v>
      </c>
      <c r="AQ4272" s="54">
        <v>0</v>
      </c>
      <c r="AR4272" s="55">
        <v>28500</v>
      </c>
      <c r="AS4272" s="78">
        <f t="shared" si="70"/>
        <v>0</v>
      </c>
    </row>
    <row r="4273" spans="39:45">
      <c r="AM4273" s="55">
        <v>2019</v>
      </c>
      <c r="AN4273" s="55" t="s">
        <v>187</v>
      </c>
      <c r="AO4273" s="55">
        <v>27</v>
      </c>
      <c r="AP4273" s="55">
        <v>23</v>
      </c>
      <c r="AQ4273" s="55">
        <v>0</v>
      </c>
      <c r="AR4273" s="55">
        <v>28500</v>
      </c>
      <c r="AS4273" s="78">
        <f t="shared" si="70"/>
        <v>0</v>
      </c>
    </row>
    <row r="4274" spans="39:45">
      <c r="AM4274" s="54">
        <v>2019</v>
      </c>
      <c r="AN4274" s="54" t="s">
        <v>187</v>
      </c>
      <c r="AO4274" s="54">
        <v>28</v>
      </c>
      <c r="AP4274" s="54">
        <v>24</v>
      </c>
      <c r="AQ4274" s="54">
        <v>0</v>
      </c>
      <c r="AR4274" s="55">
        <v>28500</v>
      </c>
      <c r="AS4274" s="78">
        <f t="shared" si="70"/>
        <v>0</v>
      </c>
    </row>
    <row r="4275" spans="39:45">
      <c r="AM4275" s="55">
        <v>2019</v>
      </c>
      <c r="AN4275" s="55" t="s">
        <v>187</v>
      </c>
      <c r="AO4275" s="55">
        <v>28</v>
      </c>
      <c r="AP4275" s="55">
        <v>1</v>
      </c>
      <c r="AQ4275" s="55">
        <v>0</v>
      </c>
      <c r="AR4275" s="55">
        <v>28500</v>
      </c>
      <c r="AS4275" s="78">
        <f t="shared" si="70"/>
        <v>0</v>
      </c>
    </row>
    <row r="4276" spans="39:45">
      <c r="AM4276" s="54">
        <v>2019</v>
      </c>
      <c r="AN4276" s="54" t="s">
        <v>187</v>
      </c>
      <c r="AO4276" s="54">
        <v>28</v>
      </c>
      <c r="AP4276" s="54">
        <v>2</v>
      </c>
      <c r="AQ4276" s="54">
        <v>0</v>
      </c>
      <c r="AR4276" s="55">
        <v>28500</v>
      </c>
      <c r="AS4276" s="78">
        <f t="shared" si="70"/>
        <v>0</v>
      </c>
    </row>
    <row r="4277" spans="39:45">
      <c r="AM4277" s="55">
        <v>2019</v>
      </c>
      <c r="AN4277" s="55" t="s">
        <v>187</v>
      </c>
      <c r="AO4277" s="55">
        <v>28</v>
      </c>
      <c r="AP4277" s="55">
        <v>3</v>
      </c>
      <c r="AQ4277" s="55">
        <v>0</v>
      </c>
      <c r="AR4277" s="55">
        <v>28500</v>
      </c>
      <c r="AS4277" s="78">
        <f t="shared" si="70"/>
        <v>0</v>
      </c>
    </row>
    <row r="4278" spans="39:45">
      <c r="AM4278" s="54">
        <v>2019</v>
      </c>
      <c r="AN4278" s="54" t="s">
        <v>187</v>
      </c>
      <c r="AO4278" s="54">
        <v>28</v>
      </c>
      <c r="AP4278" s="54">
        <v>4</v>
      </c>
      <c r="AQ4278" s="54">
        <v>0</v>
      </c>
      <c r="AR4278" s="55">
        <v>28500</v>
      </c>
      <c r="AS4278" s="78">
        <f t="shared" si="70"/>
        <v>0</v>
      </c>
    </row>
    <row r="4279" spans="39:45">
      <c r="AM4279" s="55">
        <v>2019</v>
      </c>
      <c r="AN4279" s="55" t="s">
        <v>187</v>
      </c>
      <c r="AO4279" s="55">
        <v>28</v>
      </c>
      <c r="AP4279" s="55">
        <v>5</v>
      </c>
      <c r="AQ4279" s="55">
        <v>1011.5</v>
      </c>
      <c r="AR4279" s="55">
        <v>28500</v>
      </c>
      <c r="AS4279" s="78">
        <f t="shared" si="70"/>
        <v>3.5491228070175442E-2</v>
      </c>
    </row>
    <row r="4280" spans="39:45">
      <c r="AM4280" s="54">
        <v>2019</v>
      </c>
      <c r="AN4280" s="54" t="s">
        <v>187</v>
      </c>
      <c r="AO4280" s="54">
        <v>28</v>
      </c>
      <c r="AP4280" s="54">
        <v>6</v>
      </c>
      <c r="AQ4280" s="54">
        <v>4191.5</v>
      </c>
      <c r="AR4280" s="55">
        <v>28500</v>
      </c>
      <c r="AS4280" s="78">
        <f t="shared" si="70"/>
        <v>0.14707017543859649</v>
      </c>
    </row>
    <row r="4281" spans="39:45">
      <c r="AM4281" s="55">
        <v>2019</v>
      </c>
      <c r="AN4281" s="55" t="s">
        <v>187</v>
      </c>
      <c r="AO4281" s="55">
        <v>28</v>
      </c>
      <c r="AP4281" s="55">
        <v>7</v>
      </c>
      <c r="AQ4281" s="55">
        <v>9429</v>
      </c>
      <c r="AR4281" s="55">
        <v>28500</v>
      </c>
      <c r="AS4281" s="78">
        <f t="shared" si="70"/>
        <v>0.33084210526315788</v>
      </c>
    </row>
    <row r="4282" spans="39:45">
      <c r="AM4282" s="54">
        <v>2019</v>
      </c>
      <c r="AN4282" s="54" t="s">
        <v>187</v>
      </c>
      <c r="AO4282" s="54">
        <v>28</v>
      </c>
      <c r="AP4282" s="54">
        <v>8</v>
      </c>
      <c r="AQ4282" s="54">
        <v>17250.5</v>
      </c>
      <c r="AR4282" s="55">
        <v>28500</v>
      </c>
      <c r="AS4282" s="78">
        <f t="shared" si="70"/>
        <v>0.60528070175438597</v>
      </c>
    </row>
    <row r="4283" spans="39:45">
      <c r="AM4283" s="55">
        <v>2019</v>
      </c>
      <c r="AN4283" s="55" t="s">
        <v>187</v>
      </c>
      <c r="AO4283" s="55">
        <v>28</v>
      </c>
      <c r="AP4283" s="55">
        <v>9</v>
      </c>
      <c r="AQ4283" s="55">
        <v>28476.5</v>
      </c>
      <c r="AR4283" s="55">
        <v>28500</v>
      </c>
      <c r="AS4283" s="78">
        <f t="shared" si="70"/>
        <v>0.99917543859649127</v>
      </c>
    </row>
    <row r="4284" spans="39:45">
      <c r="AM4284" s="54">
        <v>2019</v>
      </c>
      <c r="AN4284" s="54" t="s">
        <v>187</v>
      </c>
      <c r="AO4284" s="54">
        <v>28</v>
      </c>
      <c r="AP4284" s="54">
        <v>10</v>
      </c>
      <c r="AQ4284" s="54">
        <v>35998</v>
      </c>
      <c r="AR4284" s="55">
        <v>28500</v>
      </c>
      <c r="AS4284" s="78">
        <f t="shared" si="70"/>
        <v>1.2630877192982457</v>
      </c>
    </row>
    <row r="4285" spans="39:45">
      <c r="AM4285" s="55">
        <v>2019</v>
      </c>
      <c r="AN4285" s="55" t="s">
        <v>187</v>
      </c>
      <c r="AO4285" s="55">
        <v>28</v>
      </c>
      <c r="AP4285" s="55">
        <v>11</v>
      </c>
      <c r="AQ4285" s="55">
        <v>39701.5</v>
      </c>
      <c r="AR4285" s="55">
        <v>28500</v>
      </c>
      <c r="AS4285" s="78">
        <f t="shared" si="70"/>
        <v>1.3930350877192983</v>
      </c>
    </row>
    <row r="4286" spans="39:45">
      <c r="AM4286" s="54">
        <v>2019</v>
      </c>
      <c r="AN4286" s="54" t="s">
        <v>187</v>
      </c>
      <c r="AO4286" s="54">
        <v>28</v>
      </c>
      <c r="AP4286" s="54">
        <v>12</v>
      </c>
      <c r="AQ4286" s="54">
        <v>41051</v>
      </c>
      <c r="AR4286" s="55">
        <v>28500</v>
      </c>
      <c r="AS4286" s="78">
        <f t="shared" si="70"/>
        <v>1.4403859649122808</v>
      </c>
    </row>
    <row r="4287" spans="39:45">
      <c r="AM4287" s="55">
        <v>2019</v>
      </c>
      <c r="AN4287" s="55" t="s">
        <v>187</v>
      </c>
      <c r="AO4287" s="55">
        <v>28</v>
      </c>
      <c r="AP4287" s="55">
        <v>13</v>
      </c>
      <c r="AQ4287" s="55">
        <v>39020.5</v>
      </c>
      <c r="AR4287" s="55">
        <v>28500</v>
      </c>
      <c r="AS4287" s="78">
        <f t="shared" si="70"/>
        <v>1.3691403508771929</v>
      </c>
    </row>
    <row r="4288" spans="39:45">
      <c r="AM4288" s="54">
        <v>2019</v>
      </c>
      <c r="AN4288" s="54" t="s">
        <v>187</v>
      </c>
      <c r="AO4288" s="54">
        <v>28</v>
      </c>
      <c r="AP4288" s="54">
        <v>14</v>
      </c>
      <c r="AQ4288" s="54">
        <v>34639</v>
      </c>
      <c r="AR4288" s="55">
        <v>28500</v>
      </c>
      <c r="AS4288" s="78">
        <f t="shared" si="70"/>
        <v>1.2154035087719299</v>
      </c>
    </row>
    <row r="4289" spans="39:45">
      <c r="AM4289" s="55">
        <v>2019</v>
      </c>
      <c r="AN4289" s="55" t="s">
        <v>187</v>
      </c>
      <c r="AO4289" s="55">
        <v>28</v>
      </c>
      <c r="AP4289" s="55">
        <v>15</v>
      </c>
      <c r="AQ4289" s="55">
        <v>28420.5</v>
      </c>
      <c r="AR4289" s="55">
        <v>28500</v>
      </c>
      <c r="AS4289" s="78">
        <f t="shared" si="70"/>
        <v>0.99721052631578944</v>
      </c>
    </row>
    <row r="4290" spans="39:45">
      <c r="AM4290" s="54">
        <v>2019</v>
      </c>
      <c r="AN4290" s="54" t="s">
        <v>187</v>
      </c>
      <c r="AO4290" s="54">
        <v>28</v>
      </c>
      <c r="AP4290" s="54">
        <v>16</v>
      </c>
      <c r="AQ4290" s="54">
        <v>19857</v>
      </c>
      <c r="AR4290" s="55">
        <v>28500</v>
      </c>
      <c r="AS4290" s="78">
        <f t="shared" ref="AS4290:AS4353" si="71">AQ4290/AR4290</f>
        <v>0.69673684210526321</v>
      </c>
    </row>
    <row r="4291" spans="39:45">
      <c r="AM4291" s="55">
        <v>2019</v>
      </c>
      <c r="AN4291" s="55" t="s">
        <v>187</v>
      </c>
      <c r="AO4291" s="55">
        <v>28</v>
      </c>
      <c r="AP4291" s="55">
        <v>17</v>
      </c>
      <c r="AQ4291" s="55">
        <v>9704.5</v>
      </c>
      <c r="AR4291" s="55">
        <v>28500</v>
      </c>
      <c r="AS4291" s="78">
        <f t="shared" si="71"/>
        <v>0.34050877192982454</v>
      </c>
    </row>
    <row r="4292" spans="39:45">
      <c r="AM4292" s="54">
        <v>2019</v>
      </c>
      <c r="AN4292" s="54" t="s">
        <v>187</v>
      </c>
      <c r="AO4292" s="54">
        <v>28</v>
      </c>
      <c r="AP4292" s="54">
        <v>18</v>
      </c>
      <c r="AQ4292" s="54">
        <v>2687.5</v>
      </c>
      <c r="AR4292" s="55">
        <v>28500</v>
      </c>
      <c r="AS4292" s="78">
        <f t="shared" si="71"/>
        <v>9.4298245614035089E-2</v>
      </c>
    </row>
    <row r="4293" spans="39:45">
      <c r="AM4293" s="55">
        <v>2019</v>
      </c>
      <c r="AN4293" s="55" t="s">
        <v>187</v>
      </c>
      <c r="AO4293" s="55">
        <v>28</v>
      </c>
      <c r="AP4293" s="55">
        <v>19</v>
      </c>
      <c r="AQ4293" s="55">
        <v>1177.5</v>
      </c>
      <c r="AR4293" s="55">
        <v>28500</v>
      </c>
      <c r="AS4293" s="78">
        <f t="shared" si="71"/>
        <v>4.1315789473684209E-2</v>
      </c>
    </row>
    <row r="4294" spans="39:45">
      <c r="AM4294" s="54">
        <v>2019</v>
      </c>
      <c r="AN4294" s="54" t="s">
        <v>187</v>
      </c>
      <c r="AO4294" s="54">
        <v>28</v>
      </c>
      <c r="AP4294" s="54">
        <v>20</v>
      </c>
      <c r="AQ4294" s="54">
        <v>0</v>
      </c>
      <c r="AR4294" s="55">
        <v>28500</v>
      </c>
      <c r="AS4294" s="78">
        <f t="shared" si="71"/>
        <v>0</v>
      </c>
    </row>
    <row r="4295" spans="39:45">
      <c r="AM4295" s="55">
        <v>2019</v>
      </c>
      <c r="AN4295" s="55" t="s">
        <v>187</v>
      </c>
      <c r="AO4295" s="55">
        <v>28</v>
      </c>
      <c r="AP4295" s="55">
        <v>21</v>
      </c>
      <c r="AQ4295" s="55">
        <v>0</v>
      </c>
      <c r="AR4295" s="55">
        <v>28500</v>
      </c>
      <c r="AS4295" s="78">
        <f t="shared" si="71"/>
        <v>0</v>
      </c>
    </row>
    <row r="4296" spans="39:45">
      <c r="AM4296" s="54">
        <v>2019</v>
      </c>
      <c r="AN4296" s="54" t="s">
        <v>187</v>
      </c>
      <c r="AO4296" s="54">
        <v>28</v>
      </c>
      <c r="AP4296" s="54">
        <v>22</v>
      </c>
      <c r="AQ4296" s="54">
        <v>0</v>
      </c>
      <c r="AR4296" s="55">
        <v>28500</v>
      </c>
      <c r="AS4296" s="78">
        <f t="shared" si="71"/>
        <v>0</v>
      </c>
    </row>
    <row r="4297" spans="39:45">
      <c r="AM4297" s="55">
        <v>2019</v>
      </c>
      <c r="AN4297" s="55" t="s">
        <v>187</v>
      </c>
      <c r="AO4297" s="55">
        <v>28</v>
      </c>
      <c r="AP4297" s="55">
        <v>23</v>
      </c>
      <c r="AQ4297" s="55">
        <v>0</v>
      </c>
      <c r="AR4297" s="55">
        <v>28500</v>
      </c>
      <c r="AS4297" s="78">
        <f t="shared" si="71"/>
        <v>0</v>
      </c>
    </row>
    <row r="4298" spans="39:45">
      <c r="AM4298" s="54">
        <v>2019</v>
      </c>
      <c r="AN4298" s="54" t="s">
        <v>187</v>
      </c>
      <c r="AO4298" s="54">
        <v>29</v>
      </c>
      <c r="AP4298" s="54">
        <v>24</v>
      </c>
      <c r="AQ4298" s="54">
        <v>0</v>
      </c>
      <c r="AR4298" s="55">
        <v>28500</v>
      </c>
      <c r="AS4298" s="78">
        <f t="shared" si="71"/>
        <v>0</v>
      </c>
    </row>
    <row r="4299" spans="39:45">
      <c r="AM4299" s="55">
        <v>2019</v>
      </c>
      <c r="AN4299" s="55" t="s">
        <v>187</v>
      </c>
      <c r="AO4299" s="55">
        <v>29</v>
      </c>
      <c r="AP4299" s="55">
        <v>1</v>
      </c>
      <c r="AQ4299" s="55">
        <v>0</v>
      </c>
      <c r="AR4299" s="55">
        <v>28500</v>
      </c>
      <c r="AS4299" s="78">
        <f t="shared" si="71"/>
        <v>0</v>
      </c>
    </row>
    <row r="4300" spans="39:45">
      <c r="AM4300" s="54">
        <v>2019</v>
      </c>
      <c r="AN4300" s="54" t="s">
        <v>187</v>
      </c>
      <c r="AO4300" s="54">
        <v>29</v>
      </c>
      <c r="AP4300" s="54">
        <v>2</v>
      </c>
      <c r="AQ4300" s="54">
        <v>0</v>
      </c>
      <c r="AR4300" s="55">
        <v>28500</v>
      </c>
      <c r="AS4300" s="78">
        <f t="shared" si="71"/>
        <v>0</v>
      </c>
    </row>
    <row r="4301" spans="39:45">
      <c r="AM4301" s="55">
        <v>2019</v>
      </c>
      <c r="AN4301" s="55" t="s">
        <v>187</v>
      </c>
      <c r="AO4301" s="55">
        <v>29</v>
      </c>
      <c r="AP4301" s="55">
        <v>3</v>
      </c>
      <c r="AQ4301" s="55">
        <v>0</v>
      </c>
      <c r="AR4301" s="55">
        <v>28500</v>
      </c>
      <c r="AS4301" s="78">
        <f t="shared" si="71"/>
        <v>0</v>
      </c>
    </row>
    <row r="4302" spans="39:45">
      <c r="AM4302" s="54">
        <v>2019</v>
      </c>
      <c r="AN4302" s="54" t="s">
        <v>187</v>
      </c>
      <c r="AO4302" s="54">
        <v>29</v>
      </c>
      <c r="AP4302" s="54">
        <v>4</v>
      </c>
      <c r="AQ4302" s="54">
        <v>0</v>
      </c>
      <c r="AR4302" s="55">
        <v>28500</v>
      </c>
      <c r="AS4302" s="78">
        <f t="shared" si="71"/>
        <v>0</v>
      </c>
    </row>
    <row r="4303" spans="39:45">
      <c r="AM4303" s="55">
        <v>2019</v>
      </c>
      <c r="AN4303" s="55" t="s">
        <v>187</v>
      </c>
      <c r="AO4303" s="55">
        <v>29</v>
      </c>
      <c r="AP4303" s="55">
        <v>5</v>
      </c>
      <c r="AQ4303" s="55">
        <v>1580</v>
      </c>
      <c r="AR4303" s="55">
        <v>28500</v>
      </c>
      <c r="AS4303" s="78">
        <f t="shared" si="71"/>
        <v>5.5438596491228072E-2</v>
      </c>
    </row>
    <row r="4304" spans="39:45">
      <c r="AM4304" s="54">
        <v>2019</v>
      </c>
      <c r="AN4304" s="54" t="s">
        <v>187</v>
      </c>
      <c r="AO4304" s="54">
        <v>29</v>
      </c>
      <c r="AP4304" s="54">
        <v>6</v>
      </c>
      <c r="AQ4304" s="54">
        <v>4904.5</v>
      </c>
      <c r="AR4304" s="55">
        <v>28500</v>
      </c>
      <c r="AS4304" s="78">
        <f t="shared" si="71"/>
        <v>0.17208771929824562</v>
      </c>
    </row>
    <row r="4305" spans="39:45">
      <c r="AM4305" s="55">
        <v>2019</v>
      </c>
      <c r="AN4305" s="55" t="s">
        <v>187</v>
      </c>
      <c r="AO4305" s="55">
        <v>29</v>
      </c>
      <c r="AP4305" s="55">
        <v>7</v>
      </c>
      <c r="AQ4305" s="55">
        <v>12697.5</v>
      </c>
      <c r="AR4305" s="55">
        <v>28500</v>
      </c>
      <c r="AS4305" s="78">
        <f t="shared" si="71"/>
        <v>0.44552631578947366</v>
      </c>
    </row>
    <row r="4306" spans="39:45">
      <c r="AM4306" s="54">
        <v>2019</v>
      </c>
      <c r="AN4306" s="54" t="s">
        <v>187</v>
      </c>
      <c r="AO4306" s="54">
        <v>29</v>
      </c>
      <c r="AP4306" s="54">
        <v>8</v>
      </c>
      <c r="AQ4306" s="54">
        <v>22057</v>
      </c>
      <c r="AR4306" s="55">
        <v>28500</v>
      </c>
      <c r="AS4306" s="78">
        <f t="shared" si="71"/>
        <v>0.77392982456140347</v>
      </c>
    </row>
    <row r="4307" spans="39:45">
      <c r="AM4307" s="55">
        <v>2019</v>
      </c>
      <c r="AN4307" s="55" t="s">
        <v>187</v>
      </c>
      <c r="AO4307" s="55">
        <v>29</v>
      </c>
      <c r="AP4307" s="55">
        <v>9</v>
      </c>
      <c r="AQ4307" s="55">
        <v>29212.5</v>
      </c>
      <c r="AR4307" s="55">
        <v>28500</v>
      </c>
      <c r="AS4307" s="78">
        <f t="shared" si="71"/>
        <v>1.0249999999999999</v>
      </c>
    </row>
    <row r="4308" spans="39:45">
      <c r="AM4308" s="54">
        <v>2019</v>
      </c>
      <c r="AN4308" s="54" t="s">
        <v>187</v>
      </c>
      <c r="AO4308" s="54">
        <v>29</v>
      </c>
      <c r="AP4308" s="54">
        <v>10</v>
      </c>
      <c r="AQ4308" s="54">
        <v>35049.5</v>
      </c>
      <c r="AR4308" s="55">
        <v>28500</v>
      </c>
      <c r="AS4308" s="78">
        <f t="shared" si="71"/>
        <v>1.2298070175438596</v>
      </c>
    </row>
    <row r="4309" spans="39:45">
      <c r="AM4309" s="55">
        <v>2019</v>
      </c>
      <c r="AN4309" s="55" t="s">
        <v>187</v>
      </c>
      <c r="AO4309" s="55">
        <v>29</v>
      </c>
      <c r="AP4309" s="55">
        <v>11</v>
      </c>
      <c r="AQ4309" s="55">
        <v>37824</v>
      </c>
      <c r="AR4309" s="55">
        <v>28500</v>
      </c>
      <c r="AS4309" s="78">
        <f t="shared" si="71"/>
        <v>1.3271578947368421</v>
      </c>
    </row>
    <row r="4310" spans="39:45">
      <c r="AM4310" s="54">
        <v>2019</v>
      </c>
      <c r="AN4310" s="54" t="s">
        <v>187</v>
      </c>
      <c r="AO4310" s="54">
        <v>29</v>
      </c>
      <c r="AP4310" s="54">
        <v>12</v>
      </c>
      <c r="AQ4310" s="54">
        <v>39040</v>
      </c>
      <c r="AR4310" s="55">
        <v>28500</v>
      </c>
      <c r="AS4310" s="78">
        <f t="shared" si="71"/>
        <v>1.3698245614035087</v>
      </c>
    </row>
    <row r="4311" spans="39:45">
      <c r="AM4311" s="55">
        <v>2019</v>
      </c>
      <c r="AN4311" s="55" t="s">
        <v>187</v>
      </c>
      <c r="AO4311" s="55">
        <v>29</v>
      </c>
      <c r="AP4311" s="55">
        <v>13</v>
      </c>
      <c r="AQ4311" s="55">
        <v>37041.5</v>
      </c>
      <c r="AR4311" s="55">
        <v>28500</v>
      </c>
      <c r="AS4311" s="78">
        <f t="shared" si="71"/>
        <v>1.2997017543859648</v>
      </c>
    </row>
    <row r="4312" spans="39:45">
      <c r="AM4312" s="54">
        <v>2019</v>
      </c>
      <c r="AN4312" s="54" t="s">
        <v>187</v>
      </c>
      <c r="AO4312" s="54">
        <v>29</v>
      </c>
      <c r="AP4312" s="54">
        <v>14</v>
      </c>
      <c r="AQ4312" s="54">
        <v>32782</v>
      </c>
      <c r="AR4312" s="55">
        <v>28500</v>
      </c>
      <c r="AS4312" s="78">
        <f t="shared" si="71"/>
        <v>1.1502456140350876</v>
      </c>
    </row>
    <row r="4313" spans="39:45">
      <c r="AM4313" s="55">
        <v>2019</v>
      </c>
      <c r="AN4313" s="55" t="s">
        <v>187</v>
      </c>
      <c r="AO4313" s="55">
        <v>29</v>
      </c>
      <c r="AP4313" s="55">
        <v>15</v>
      </c>
      <c r="AQ4313" s="55">
        <v>27085.5</v>
      </c>
      <c r="AR4313" s="55">
        <v>28500</v>
      </c>
      <c r="AS4313" s="78">
        <f t="shared" si="71"/>
        <v>0.95036842105263153</v>
      </c>
    </row>
    <row r="4314" spans="39:45">
      <c r="AM4314" s="54">
        <v>2019</v>
      </c>
      <c r="AN4314" s="54" t="s">
        <v>187</v>
      </c>
      <c r="AO4314" s="54">
        <v>29</v>
      </c>
      <c r="AP4314" s="54">
        <v>16</v>
      </c>
      <c r="AQ4314" s="54">
        <v>19034</v>
      </c>
      <c r="AR4314" s="55">
        <v>28500</v>
      </c>
      <c r="AS4314" s="78">
        <f t="shared" si="71"/>
        <v>0.66785964912280704</v>
      </c>
    </row>
    <row r="4315" spans="39:45">
      <c r="AM4315" s="55">
        <v>2019</v>
      </c>
      <c r="AN4315" s="55" t="s">
        <v>187</v>
      </c>
      <c r="AO4315" s="55">
        <v>29</v>
      </c>
      <c r="AP4315" s="55">
        <v>17</v>
      </c>
      <c r="AQ4315" s="55">
        <v>9598.5</v>
      </c>
      <c r="AR4315" s="55">
        <v>28500</v>
      </c>
      <c r="AS4315" s="78">
        <f t="shared" si="71"/>
        <v>0.33678947368421053</v>
      </c>
    </row>
    <row r="4316" spans="39:45">
      <c r="AM4316" s="54">
        <v>2019</v>
      </c>
      <c r="AN4316" s="54" t="s">
        <v>187</v>
      </c>
      <c r="AO4316" s="54">
        <v>29</v>
      </c>
      <c r="AP4316" s="54">
        <v>18</v>
      </c>
      <c r="AQ4316" s="54">
        <v>2743.5</v>
      </c>
      <c r="AR4316" s="55">
        <v>28500</v>
      </c>
      <c r="AS4316" s="78">
        <f t="shared" si="71"/>
        <v>9.6263157894736842E-2</v>
      </c>
    </row>
    <row r="4317" spans="39:45">
      <c r="AM4317" s="55">
        <v>2019</v>
      </c>
      <c r="AN4317" s="55" t="s">
        <v>187</v>
      </c>
      <c r="AO4317" s="55">
        <v>29</v>
      </c>
      <c r="AP4317" s="55">
        <v>19</v>
      </c>
      <c r="AQ4317" s="55">
        <v>1061</v>
      </c>
      <c r="AR4317" s="55">
        <v>28500</v>
      </c>
      <c r="AS4317" s="78">
        <f t="shared" si="71"/>
        <v>3.7228070175438596E-2</v>
      </c>
    </row>
    <row r="4318" spans="39:45">
      <c r="AM4318" s="54">
        <v>2019</v>
      </c>
      <c r="AN4318" s="54" t="s">
        <v>187</v>
      </c>
      <c r="AO4318" s="54">
        <v>29</v>
      </c>
      <c r="AP4318" s="54">
        <v>20</v>
      </c>
      <c r="AQ4318" s="54">
        <v>0</v>
      </c>
      <c r="AR4318" s="55">
        <v>28500</v>
      </c>
      <c r="AS4318" s="78">
        <f t="shared" si="71"/>
        <v>0</v>
      </c>
    </row>
    <row r="4319" spans="39:45">
      <c r="AM4319" s="55">
        <v>2019</v>
      </c>
      <c r="AN4319" s="55" t="s">
        <v>187</v>
      </c>
      <c r="AO4319" s="55">
        <v>29</v>
      </c>
      <c r="AP4319" s="55">
        <v>21</v>
      </c>
      <c r="AQ4319" s="55">
        <v>0</v>
      </c>
      <c r="AR4319" s="55">
        <v>28500</v>
      </c>
      <c r="AS4319" s="78">
        <f t="shared" si="71"/>
        <v>0</v>
      </c>
    </row>
    <row r="4320" spans="39:45">
      <c r="AM4320" s="54">
        <v>2019</v>
      </c>
      <c r="AN4320" s="54" t="s">
        <v>187</v>
      </c>
      <c r="AO4320" s="54">
        <v>29</v>
      </c>
      <c r="AP4320" s="54">
        <v>22</v>
      </c>
      <c r="AQ4320" s="54">
        <v>0</v>
      </c>
      <c r="AR4320" s="55">
        <v>28500</v>
      </c>
      <c r="AS4320" s="78">
        <f t="shared" si="71"/>
        <v>0</v>
      </c>
    </row>
    <row r="4321" spans="39:45">
      <c r="AM4321" s="55">
        <v>2019</v>
      </c>
      <c r="AN4321" s="55" t="s">
        <v>187</v>
      </c>
      <c r="AO4321" s="55">
        <v>29</v>
      </c>
      <c r="AP4321" s="55">
        <v>23</v>
      </c>
      <c r="AQ4321" s="55">
        <v>0</v>
      </c>
      <c r="AR4321" s="55">
        <v>28500</v>
      </c>
      <c r="AS4321" s="78">
        <f t="shared" si="71"/>
        <v>0</v>
      </c>
    </row>
    <row r="4322" spans="39:45">
      <c r="AM4322" s="54">
        <v>2019</v>
      </c>
      <c r="AN4322" s="54" t="s">
        <v>187</v>
      </c>
      <c r="AO4322" s="54">
        <v>30</v>
      </c>
      <c r="AP4322" s="54">
        <v>24</v>
      </c>
      <c r="AQ4322" s="54">
        <v>0</v>
      </c>
      <c r="AR4322" s="55">
        <v>28500</v>
      </c>
      <c r="AS4322" s="78">
        <f t="shared" si="71"/>
        <v>0</v>
      </c>
    </row>
    <row r="4323" spans="39:45">
      <c r="AM4323" s="55">
        <v>2019</v>
      </c>
      <c r="AN4323" s="55" t="s">
        <v>187</v>
      </c>
      <c r="AO4323" s="55">
        <v>30</v>
      </c>
      <c r="AP4323" s="55">
        <v>1</v>
      </c>
      <c r="AQ4323" s="55">
        <v>0</v>
      </c>
      <c r="AR4323" s="55">
        <v>28500</v>
      </c>
      <c r="AS4323" s="78">
        <f t="shared" si="71"/>
        <v>0</v>
      </c>
    </row>
    <row r="4324" spans="39:45">
      <c r="AM4324" s="54">
        <v>2019</v>
      </c>
      <c r="AN4324" s="54" t="s">
        <v>187</v>
      </c>
      <c r="AO4324" s="54">
        <v>30</v>
      </c>
      <c r="AP4324" s="54">
        <v>2</v>
      </c>
      <c r="AQ4324" s="54">
        <v>0</v>
      </c>
      <c r="AR4324" s="55">
        <v>28500</v>
      </c>
      <c r="AS4324" s="78">
        <f t="shared" si="71"/>
        <v>0</v>
      </c>
    </row>
    <row r="4325" spans="39:45">
      <c r="AM4325" s="55">
        <v>2019</v>
      </c>
      <c r="AN4325" s="55" t="s">
        <v>187</v>
      </c>
      <c r="AO4325" s="55">
        <v>30</v>
      </c>
      <c r="AP4325" s="55">
        <v>3</v>
      </c>
      <c r="AQ4325" s="55">
        <v>0</v>
      </c>
      <c r="AR4325" s="55">
        <v>28500</v>
      </c>
      <c r="AS4325" s="78">
        <f t="shared" si="71"/>
        <v>0</v>
      </c>
    </row>
    <row r="4326" spans="39:45">
      <c r="AM4326" s="54">
        <v>2019</v>
      </c>
      <c r="AN4326" s="54" t="s">
        <v>187</v>
      </c>
      <c r="AO4326" s="54">
        <v>30</v>
      </c>
      <c r="AP4326" s="54">
        <v>4</v>
      </c>
      <c r="AQ4326" s="54">
        <v>0</v>
      </c>
      <c r="AR4326" s="55">
        <v>28500</v>
      </c>
      <c r="AS4326" s="78">
        <f t="shared" si="71"/>
        <v>0</v>
      </c>
    </row>
    <row r="4327" spans="39:45">
      <c r="AM4327" s="55">
        <v>2019</v>
      </c>
      <c r="AN4327" s="55" t="s">
        <v>187</v>
      </c>
      <c r="AO4327" s="55">
        <v>30</v>
      </c>
      <c r="AP4327" s="55">
        <v>5</v>
      </c>
      <c r="AQ4327" s="55">
        <v>1545.5</v>
      </c>
      <c r="AR4327" s="55">
        <v>28500</v>
      </c>
      <c r="AS4327" s="78">
        <f t="shared" si="71"/>
        <v>5.4228070175438597E-2</v>
      </c>
    </row>
    <row r="4328" spans="39:45">
      <c r="AM4328" s="54">
        <v>2019</v>
      </c>
      <c r="AN4328" s="54" t="s">
        <v>187</v>
      </c>
      <c r="AO4328" s="54">
        <v>30</v>
      </c>
      <c r="AP4328" s="54">
        <v>6</v>
      </c>
      <c r="AQ4328" s="54">
        <v>3814.5</v>
      </c>
      <c r="AR4328" s="55">
        <v>28500</v>
      </c>
      <c r="AS4328" s="78">
        <f t="shared" si="71"/>
        <v>0.1338421052631579</v>
      </c>
    </row>
    <row r="4329" spans="39:45">
      <c r="AM4329" s="55">
        <v>2019</v>
      </c>
      <c r="AN4329" s="55" t="s">
        <v>187</v>
      </c>
      <c r="AO4329" s="55">
        <v>30</v>
      </c>
      <c r="AP4329" s="55">
        <v>7</v>
      </c>
      <c r="AQ4329" s="55">
        <v>12810.5</v>
      </c>
      <c r="AR4329" s="55">
        <v>28500</v>
      </c>
      <c r="AS4329" s="78">
        <f t="shared" si="71"/>
        <v>0.44949122807017544</v>
      </c>
    </row>
    <row r="4330" spans="39:45">
      <c r="AM4330" s="54">
        <v>2019</v>
      </c>
      <c r="AN4330" s="54" t="s">
        <v>187</v>
      </c>
      <c r="AO4330" s="54">
        <v>30</v>
      </c>
      <c r="AP4330" s="54">
        <v>8</v>
      </c>
      <c r="AQ4330" s="54">
        <v>21951</v>
      </c>
      <c r="AR4330" s="55">
        <v>28500</v>
      </c>
      <c r="AS4330" s="78">
        <f t="shared" si="71"/>
        <v>0.77021052631578946</v>
      </c>
    </row>
    <row r="4331" spans="39:45">
      <c r="AM4331" s="55">
        <v>2019</v>
      </c>
      <c r="AN4331" s="55" t="s">
        <v>187</v>
      </c>
      <c r="AO4331" s="55">
        <v>30</v>
      </c>
      <c r="AP4331" s="55">
        <v>9</v>
      </c>
      <c r="AQ4331" s="55">
        <v>25243.5</v>
      </c>
      <c r="AR4331" s="55">
        <v>28500</v>
      </c>
      <c r="AS4331" s="78">
        <f t="shared" si="71"/>
        <v>0.88573684210526316</v>
      </c>
    </row>
    <row r="4332" spans="39:45">
      <c r="AM4332" s="54">
        <v>2019</v>
      </c>
      <c r="AN4332" s="54" t="s">
        <v>187</v>
      </c>
      <c r="AO4332" s="54">
        <v>30</v>
      </c>
      <c r="AP4332" s="54">
        <v>10</v>
      </c>
      <c r="AQ4332" s="54">
        <v>34436</v>
      </c>
      <c r="AR4332" s="55">
        <v>28500</v>
      </c>
      <c r="AS4332" s="78">
        <f t="shared" si="71"/>
        <v>1.208280701754386</v>
      </c>
    </row>
    <row r="4333" spans="39:45">
      <c r="AM4333" s="55">
        <v>2019</v>
      </c>
      <c r="AN4333" s="55" t="s">
        <v>187</v>
      </c>
      <c r="AO4333" s="55">
        <v>30</v>
      </c>
      <c r="AP4333" s="55">
        <v>11</v>
      </c>
      <c r="AQ4333" s="55">
        <v>38420</v>
      </c>
      <c r="AR4333" s="55">
        <v>28500</v>
      </c>
      <c r="AS4333" s="78">
        <f t="shared" si="71"/>
        <v>1.3480701754385964</v>
      </c>
    </row>
    <row r="4334" spans="39:45">
      <c r="AM4334" s="54">
        <v>2019</v>
      </c>
      <c r="AN4334" s="54" t="s">
        <v>187</v>
      </c>
      <c r="AO4334" s="54">
        <v>30</v>
      </c>
      <c r="AP4334" s="54">
        <v>12</v>
      </c>
      <c r="AQ4334" s="54">
        <v>33286.5</v>
      </c>
      <c r="AR4334" s="55">
        <v>28500</v>
      </c>
      <c r="AS4334" s="78">
        <f t="shared" si="71"/>
        <v>1.1679473684210526</v>
      </c>
    </row>
    <row r="4335" spans="39:45">
      <c r="AM4335" s="55">
        <v>2019</v>
      </c>
      <c r="AN4335" s="55" t="s">
        <v>187</v>
      </c>
      <c r="AO4335" s="55">
        <v>30</v>
      </c>
      <c r="AP4335" s="55">
        <v>13</v>
      </c>
      <c r="AQ4335" s="55">
        <v>36522.5</v>
      </c>
      <c r="AR4335" s="55">
        <v>28500</v>
      </c>
      <c r="AS4335" s="78">
        <f t="shared" si="71"/>
        <v>1.2814912280701753</v>
      </c>
    </row>
    <row r="4336" spans="39:45">
      <c r="AM4336" s="54">
        <v>2019</v>
      </c>
      <c r="AN4336" s="54" t="s">
        <v>187</v>
      </c>
      <c r="AO4336" s="54">
        <v>30</v>
      </c>
      <c r="AP4336" s="54">
        <v>14</v>
      </c>
      <c r="AQ4336" s="54">
        <v>24359</v>
      </c>
      <c r="AR4336" s="55">
        <v>28500</v>
      </c>
      <c r="AS4336" s="78">
        <f t="shared" si="71"/>
        <v>0.85470175438596496</v>
      </c>
    </row>
    <row r="4337" spans="39:45">
      <c r="AM4337" s="55">
        <v>2019</v>
      </c>
      <c r="AN4337" s="55" t="s">
        <v>187</v>
      </c>
      <c r="AO4337" s="55">
        <v>30</v>
      </c>
      <c r="AP4337" s="55">
        <v>15</v>
      </c>
      <c r="AQ4337" s="55">
        <v>21728.5</v>
      </c>
      <c r="AR4337" s="55">
        <v>28500</v>
      </c>
      <c r="AS4337" s="78">
        <f t="shared" si="71"/>
        <v>0.76240350877192986</v>
      </c>
    </row>
    <row r="4338" spans="39:45">
      <c r="AM4338" s="54">
        <v>2019</v>
      </c>
      <c r="AN4338" s="54" t="s">
        <v>187</v>
      </c>
      <c r="AO4338" s="54">
        <v>30</v>
      </c>
      <c r="AP4338" s="54">
        <v>16</v>
      </c>
      <c r="AQ4338" s="54">
        <v>16040</v>
      </c>
      <c r="AR4338" s="55">
        <v>28500</v>
      </c>
      <c r="AS4338" s="78">
        <f t="shared" si="71"/>
        <v>0.56280701754385964</v>
      </c>
    </row>
    <row r="4339" spans="39:45">
      <c r="AM4339" s="55">
        <v>2019</v>
      </c>
      <c r="AN4339" s="55" t="s">
        <v>187</v>
      </c>
      <c r="AO4339" s="55">
        <v>30</v>
      </c>
      <c r="AP4339" s="55">
        <v>17</v>
      </c>
      <c r="AQ4339" s="55">
        <v>9789</v>
      </c>
      <c r="AR4339" s="55">
        <v>28500</v>
      </c>
      <c r="AS4339" s="78">
        <f t="shared" si="71"/>
        <v>0.34347368421052632</v>
      </c>
    </row>
    <row r="4340" spans="39:45">
      <c r="AM4340" s="54">
        <v>2019</v>
      </c>
      <c r="AN4340" s="54" t="s">
        <v>187</v>
      </c>
      <c r="AO4340" s="54">
        <v>30</v>
      </c>
      <c r="AP4340" s="54">
        <v>18</v>
      </c>
      <c r="AQ4340" s="54">
        <v>3537</v>
      </c>
      <c r="AR4340" s="55">
        <v>28500</v>
      </c>
      <c r="AS4340" s="78">
        <f t="shared" si="71"/>
        <v>0.12410526315789473</v>
      </c>
    </row>
    <row r="4341" spans="39:45">
      <c r="AM4341" s="55">
        <v>2019</v>
      </c>
      <c r="AN4341" s="55" t="s">
        <v>187</v>
      </c>
      <c r="AO4341" s="55">
        <v>30</v>
      </c>
      <c r="AP4341" s="55">
        <v>19</v>
      </c>
      <c r="AQ4341" s="55">
        <v>1223</v>
      </c>
      <c r="AR4341" s="55">
        <v>28500</v>
      </c>
      <c r="AS4341" s="78">
        <f t="shared" si="71"/>
        <v>4.2912280701754388E-2</v>
      </c>
    </row>
    <row r="4342" spans="39:45">
      <c r="AM4342" s="54">
        <v>2019</v>
      </c>
      <c r="AN4342" s="54" t="s">
        <v>187</v>
      </c>
      <c r="AO4342" s="54">
        <v>30</v>
      </c>
      <c r="AP4342" s="54">
        <v>20</v>
      </c>
      <c r="AQ4342" s="54">
        <v>0</v>
      </c>
      <c r="AR4342" s="55">
        <v>28500</v>
      </c>
      <c r="AS4342" s="78">
        <f t="shared" si="71"/>
        <v>0</v>
      </c>
    </row>
    <row r="4343" spans="39:45">
      <c r="AM4343" s="55">
        <v>2019</v>
      </c>
      <c r="AN4343" s="55" t="s">
        <v>187</v>
      </c>
      <c r="AO4343" s="55">
        <v>30</v>
      </c>
      <c r="AP4343" s="55">
        <v>21</v>
      </c>
      <c r="AQ4343" s="55">
        <v>0</v>
      </c>
      <c r="AR4343" s="55">
        <v>28500</v>
      </c>
      <c r="AS4343" s="78">
        <f t="shared" si="71"/>
        <v>0</v>
      </c>
    </row>
    <row r="4344" spans="39:45">
      <c r="AM4344" s="54">
        <v>2019</v>
      </c>
      <c r="AN4344" s="54" t="s">
        <v>187</v>
      </c>
      <c r="AO4344" s="54">
        <v>30</v>
      </c>
      <c r="AP4344" s="54">
        <v>22</v>
      </c>
      <c r="AQ4344" s="54">
        <v>0</v>
      </c>
      <c r="AR4344" s="55">
        <v>28500</v>
      </c>
      <c r="AS4344" s="78">
        <f t="shared" si="71"/>
        <v>0</v>
      </c>
    </row>
    <row r="4345" spans="39:45">
      <c r="AM4345" s="55">
        <v>2019</v>
      </c>
      <c r="AN4345" s="55" t="s">
        <v>187</v>
      </c>
      <c r="AO4345" s="55">
        <v>30</v>
      </c>
      <c r="AP4345" s="55">
        <v>23</v>
      </c>
      <c r="AQ4345" s="55">
        <v>0</v>
      </c>
      <c r="AR4345" s="55">
        <v>28500</v>
      </c>
      <c r="AS4345" s="78">
        <f t="shared" si="71"/>
        <v>0</v>
      </c>
    </row>
    <row r="4346" spans="39:45">
      <c r="AM4346" s="54">
        <v>2019</v>
      </c>
      <c r="AN4346" s="54" t="s">
        <v>188</v>
      </c>
      <c r="AO4346" s="54">
        <v>1</v>
      </c>
      <c r="AP4346" s="54">
        <v>24</v>
      </c>
      <c r="AQ4346" s="54">
        <v>0</v>
      </c>
      <c r="AR4346" s="55">
        <v>28500</v>
      </c>
      <c r="AS4346" s="78">
        <f t="shared" si="71"/>
        <v>0</v>
      </c>
    </row>
    <row r="4347" spans="39:45">
      <c r="AM4347" s="55">
        <v>2019</v>
      </c>
      <c r="AN4347" s="55" t="s">
        <v>188</v>
      </c>
      <c r="AO4347" s="55">
        <v>1</v>
      </c>
      <c r="AP4347" s="55">
        <v>1</v>
      </c>
      <c r="AQ4347" s="55">
        <v>0</v>
      </c>
      <c r="AR4347" s="55">
        <v>28500</v>
      </c>
      <c r="AS4347" s="78">
        <f t="shared" si="71"/>
        <v>0</v>
      </c>
    </row>
    <row r="4348" spans="39:45">
      <c r="AM4348" s="54">
        <v>2019</v>
      </c>
      <c r="AN4348" s="54" t="s">
        <v>188</v>
      </c>
      <c r="AO4348" s="54">
        <v>1</v>
      </c>
      <c r="AP4348" s="54">
        <v>2</v>
      </c>
      <c r="AQ4348" s="54">
        <v>0</v>
      </c>
      <c r="AR4348" s="55">
        <v>28500</v>
      </c>
      <c r="AS4348" s="78">
        <f t="shared" si="71"/>
        <v>0</v>
      </c>
    </row>
    <row r="4349" spans="39:45">
      <c r="AM4349" s="55">
        <v>2019</v>
      </c>
      <c r="AN4349" s="55" t="s">
        <v>188</v>
      </c>
      <c r="AO4349" s="55">
        <v>1</v>
      </c>
      <c r="AP4349" s="55">
        <v>3</v>
      </c>
      <c r="AQ4349" s="55">
        <v>0</v>
      </c>
      <c r="AR4349" s="55">
        <v>28500</v>
      </c>
      <c r="AS4349" s="78">
        <f t="shared" si="71"/>
        <v>0</v>
      </c>
    </row>
    <row r="4350" spans="39:45">
      <c r="AM4350" s="54">
        <v>2019</v>
      </c>
      <c r="AN4350" s="54" t="s">
        <v>188</v>
      </c>
      <c r="AO4350" s="54">
        <v>1</v>
      </c>
      <c r="AP4350" s="54">
        <v>4</v>
      </c>
      <c r="AQ4350" s="54">
        <v>0</v>
      </c>
      <c r="AR4350" s="55">
        <v>28500</v>
      </c>
      <c r="AS4350" s="78">
        <f t="shared" si="71"/>
        <v>0</v>
      </c>
    </row>
    <row r="4351" spans="39:45">
      <c r="AM4351" s="55">
        <v>2019</v>
      </c>
      <c r="AN4351" s="55" t="s">
        <v>188</v>
      </c>
      <c r="AO4351" s="55">
        <v>1</v>
      </c>
      <c r="AP4351" s="55">
        <v>5</v>
      </c>
      <c r="AQ4351" s="55">
        <v>1395.5</v>
      </c>
      <c r="AR4351" s="55">
        <v>28500</v>
      </c>
      <c r="AS4351" s="78">
        <f t="shared" si="71"/>
        <v>4.8964912280701753E-2</v>
      </c>
    </row>
    <row r="4352" spans="39:45">
      <c r="AM4352" s="54">
        <v>2019</v>
      </c>
      <c r="AN4352" s="54" t="s">
        <v>188</v>
      </c>
      <c r="AO4352" s="54">
        <v>1</v>
      </c>
      <c r="AP4352" s="54">
        <v>6</v>
      </c>
      <c r="AQ4352" s="54">
        <v>3742.5</v>
      </c>
      <c r="AR4352" s="55">
        <v>28500</v>
      </c>
      <c r="AS4352" s="78">
        <f t="shared" si="71"/>
        <v>0.13131578947368422</v>
      </c>
    </row>
    <row r="4353" spans="39:45">
      <c r="AM4353" s="55">
        <v>2019</v>
      </c>
      <c r="AN4353" s="55" t="s">
        <v>188</v>
      </c>
      <c r="AO4353" s="55">
        <v>1</v>
      </c>
      <c r="AP4353" s="55">
        <v>7</v>
      </c>
      <c r="AQ4353" s="55">
        <v>12189</v>
      </c>
      <c r="AR4353" s="55">
        <v>28500</v>
      </c>
      <c r="AS4353" s="78">
        <f t="shared" si="71"/>
        <v>0.42768421052631578</v>
      </c>
    </row>
    <row r="4354" spans="39:45">
      <c r="AM4354" s="54">
        <v>2019</v>
      </c>
      <c r="AN4354" s="54" t="s">
        <v>188</v>
      </c>
      <c r="AO4354" s="54">
        <v>1</v>
      </c>
      <c r="AP4354" s="54">
        <v>8</v>
      </c>
      <c r="AQ4354" s="54">
        <v>16988</v>
      </c>
      <c r="AR4354" s="55">
        <v>28500</v>
      </c>
      <c r="AS4354" s="78">
        <f t="shared" ref="AS4354:AS4417" si="72">AQ4354/AR4354</f>
        <v>0.59607017543859653</v>
      </c>
    </row>
    <row r="4355" spans="39:45">
      <c r="AM4355" s="55">
        <v>2019</v>
      </c>
      <c r="AN4355" s="55" t="s">
        <v>188</v>
      </c>
      <c r="AO4355" s="55">
        <v>1</v>
      </c>
      <c r="AP4355" s="55">
        <v>9</v>
      </c>
      <c r="AQ4355" s="55">
        <v>30112</v>
      </c>
      <c r="AR4355" s="55">
        <v>28500</v>
      </c>
      <c r="AS4355" s="78">
        <f t="shared" si="72"/>
        <v>1.056561403508772</v>
      </c>
    </row>
    <row r="4356" spans="39:45">
      <c r="AM4356" s="54">
        <v>2019</v>
      </c>
      <c r="AN4356" s="54" t="s">
        <v>188</v>
      </c>
      <c r="AO4356" s="54">
        <v>1</v>
      </c>
      <c r="AP4356" s="54">
        <v>10</v>
      </c>
      <c r="AQ4356" s="54">
        <v>34341.5</v>
      </c>
      <c r="AR4356" s="55">
        <v>28500</v>
      </c>
      <c r="AS4356" s="78">
        <f t="shared" si="72"/>
        <v>1.2049649122807018</v>
      </c>
    </row>
    <row r="4357" spans="39:45">
      <c r="AM4357" s="55">
        <v>2019</v>
      </c>
      <c r="AN4357" s="55" t="s">
        <v>188</v>
      </c>
      <c r="AO4357" s="55">
        <v>1</v>
      </c>
      <c r="AP4357" s="55">
        <v>11</v>
      </c>
      <c r="AQ4357" s="55">
        <v>35460.5</v>
      </c>
      <c r="AR4357" s="55">
        <v>28500</v>
      </c>
      <c r="AS4357" s="78">
        <f t="shared" si="72"/>
        <v>1.2442280701754387</v>
      </c>
    </row>
    <row r="4358" spans="39:45">
      <c r="AM4358" s="54">
        <v>2019</v>
      </c>
      <c r="AN4358" s="54" t="s">
        <v>188</v>
      </c>
      <c r="AO4358" s="54">
        <v>1</v>
      </c>
      <c r="AP4358" s="54">
        <v>12</v>
      </c>
      <c r="AQ4358" s="54">
        <v>39815</v>
      </c>
      <c r="AR4358" s="55">
        <v>28500</v>
      </c>
      <c r="AS4358" s="78">
        <f t="shared" si="72"/>
        <v>1.397017543859649</v>
      </c>
    </row>
    <row r="4359" spans="39:45">
      <c r="AM4359" s="55">
        <v>2019</v>
      </c>
      <c r="AN4359" s="55" t="s">
        <v>188</v>
      </c>
      <c r="AO4359" s="55">
        <v>1</v>
      </c>
      <c r="AP4359" s="55">
        <v>13</v>
      </c>
      <c r="AQ4359" s="55">
        <v>37978.5</v>
      </c>
      <c r="AR4359" s="55">
        <v>28500</v>
      </c>
      <c r="AS4359" s="78">
        <f t="shared" si="72"/>
        <v>1.3325789473684211</v>
      </c>
    </row>
    <row r="4360" spans="39:45">
      <c r="AM4360" s="54">
        <v>2019</v>
      </c>
      <c r="AN4360" s="54" t="s">
        <v>188</v>
      </c>
      <c r="AO4360" s="54">
        <v>1</v>
      </c>
      <c r="AP4360" s="54">
        <v>14</v>
      </c>
      <c r="AQ4360" s="54">
        <v>34329</v>
      </c>
      <c r="AR4360" s="55">
        <v>28500</v>
      </c>
      <c r="AS4360" s="78">
        <f t="shared" si="72"/>
        <v>1.2045263157894737</v>
      </c>
    </row>
    <row r="4361" spans="39:45">
      <c r="AM4361" s="55">
        <v>2019</v>
      </c>
      <c r="AN4361" s="55" t="s">
        <v>188</v>
      </c>
      <c r="AO4361" s="55">
        <v>1</v>
      </c>
      <c r="AP4361" s="55">
        <v>15</v>
      </c>
      <c r="AQ4361" s="55">
        <v>23375.5</v>
      </c>
      <c r="AR4361" s="55">
        <v>28500</v>
      </c>
      <c r="AS4361" s="78">
        <f t="shared" si="72"/>
        <v>0.82019298245614036</v>
      </c>
    </row>
    <row r="4362" spans="39:45">
      <c r="AM4362" s="54">
        <v>2019</v>
      </c>
      <c r="AN4362" s="54" t="s">
        <v>188</v>
      </c>
      <c r="AO4362" s="54">
        <v>1</v>
      </c>
      <c r="AP4362" s="54">
        <v>16</v>
      </c>
      <c r="AQ4362" s="54">
        <v>7172.5</v>
      </c>
      <c r="AR4362" s="55">
        <v>28500</v>
      </c>
      <c r="AS4362" s="78">
        <f t="shared" si="72"/>
        <v>0.25166666666666665</v>
      </c>
    </row>
    <row r="4363" spans="39:45">
      <c r="AM4363" s="55">
        <v>2019</v>
      </c>
      <c r="AN4363" s="55" t="s">
        <v>188</v>
      </c>
      <c r="AO4363" s="55">
        <v>1</v>
      </c>
      <c r="AP4363" s="55">
        <v>17</v>
      </c>
      <c r="AQ4363" s="55">
        <v>4719</v>
      </c>
      <c r="AR4363" s="55">
        <v>28500</v>
      </c>
      <c r="AS4363" s="78">
        <f t="shared" si="72"/>
        <v>0.16557894736842105</v>
      </c>
    </row>
    <row r="4364" spans="39:45">
      <c r="AM4364" s="54">
        <v>2019</v>
      </c>
      <c r="AN4364" s="54" t="s">
        <v>188</v>
      </c>
      <c r="AO4364" s="54">
        <v>1</v>
      </c>
      <c r="AP4364" s="54">
        <v>18</v>
      </c>
      <c r="AQ4364" s="54">
        <v>3200.5</v>
      </c>
      <c r="AR4364" s="55">
        <v>28500</v>
      </c>
      <c r="AS4364" s="78">
        <f t="shared" si="72"/>
        <v>0.11229824561403509</v>
      </c>
    </row>
    <row r="4365" spans="39:45">
      <c r="AM4365" s="55">
        <v>2019</v>
      </c>
      <c r="AN4365" s="55" t="s">
        <v>188</v>
      </c>
      <c r="AO4365" s="55">
        <v>1</v>
      </c>
      <c r="AP4365" s="55">
        <v>19</v>
      </c>
      <c r="AQ4365" s="55">
        <v>951.5</v>
      </c>
      <c r="AR4365" s="55">
        <v>28500</v>
      </c>
      <c r="AS4365" s="78">
        <f t="shared" si="72"/>
        <v>3.33859649122807E-2</v>
      </c>
    </row>
    <row r="4366" spans="39:45">
      <c r="AM4366" s="54">
        <v>2019</v>
      </c>
      <c r="AN4366" s="54" t="s">
        <v>188</v>
      </c>
      <c r="AO4366" s="54">
        <v>1</v>
      </c>
      <c r="AP4366" s="54">
        <v>20</v>
      </c>
      <c r="AQ4366" s="54">
        <v>0</v>
      </c>
      <c r="AR4366" s="55">
        <v>28500</v>
      </c>
      <c r="AS4366" s="78">
        <f t="shared" si="72"/>
        <v>0</v>
      </c>
    </row>
    <row r="4367" spans="39:45">
      <c r="AM4367" s="55">
        <v>2019</v>
      </c>
      <c r="AN4367" s="55" t="s">
        <v>188</v>
      </c>
      <c r="AO4367" s="55">
        <v>1</v>
      </c>
      <c r="AP4367" s="55">
        <v>21</v>
      </c>
      <c r="AQ4367" s="55">
        <v>0</v>
      </c>
      <c r="AR4367" s="55">
        <v>28500</v>
      </c>
      <c r="AS4367" s="78">
        <f t="shared" si="72"/>
        <v>0</v>
      </c>
    </row>
    <row r="4368" spans="39:45">
      <c r="AM4368" s="54">
        <v>2019</v>
      </c>
      <c r="AN4368" s="54" t="s">
        <v>188</v>
      </c>
      <c r="AO4368" s="54">
        <v>1</v>
      </c>
      <c r="AP4368" s="54">
        <v>22</v>
      </c>
      <c r="AQ4368" s="54">
        <v>0</v>
      </c>
      <c r="AR4368" s="55">
        <v>28500</v>
      </c>
      <c r="AS4368" s="78">
        <f t="shared" si="72"/>
        <v>0</v>
      </c>
    </row>
    <row r="4369" spans="39:45">
      <c r="AM4369" s="55">
        <v>2019</v>
      </c>
      <c r="AN4369" s="55" t="s">
        <v>188</v>
      </c>
      <c r="AO4369" s="55">
        <v>1</v>
      </c>
      <c r="AP4369" s="55">
        <v>23</v>
      </c>
      <c r="AQ4369" s="55">
        <v>0</v>
      </c>
      <c r="AR4369" s="55">
        <v>28500</v>
      </c>
      <c r="AS4369" s="78">
        <f t="shared" si="72"/>
        <v>0</v>
      </c>
    </row>
    <row r="4370" spans="39:45">
      <c r="AM4370" s="54">
        <v>2019</v>
      </c>
      <c r="AN4370" s="54" t="s">
        <v>188</v>
      </c>
      <c r="AO4370" s="54">
        <v>2</v>
      </c>
      <c r="AP4370" s="54">
        <v>24</v>
      </c>
      <c r="AQ4370" s="54">
        <v>0</v>
      </c>
      <c r="AR4370" s="55">
        <v>28500</v>
      </c>
      <c r="AS4370" s="78">
        <f t="shared" si="72"/>
        <v>0</v>
      </c>
    </row>
    <row r="4371" spans="39:45">
      <c r="AM4371" s="55">
        <v>2019</v>
      </c>
      <c r="AN4371" s="55" t="s">
        <v>188</v>
      </c>
      <c r="AO4371" s="55">
        <v>2</v>
      </c>
      <c r="AP4371" s="55">
        <v>1</v>
      </c>
      <c r="AQ4371" s="55">
        <v>0</v>
      </c>
      <c r="AR4371" s="55">
        <v>28500</v>
      </c>
      <c r="AS4371" s="78">
        <f t="shared" si="72"/>
        <v>0</v>
      </c>
    </row>
    <row r="4372" spans="39:45">
      <c r="AM4372" s="54">
        <v>2019</v>
      </c>
      <c r="AN4372" s="54" t="s">
        <v>188</v>
      </c>
      <c r="AO4372" s="54">
        <v>2</v>
      </c>
      <c r="AP4372" s="54">
        <v>2</v>
      </c>
      <c r="AQ4372" s="54">
        <v>0</v>
      </c>
      <c r="AR4372" s="55">
        <v>28500</v>
      </c>
      <c r="AS4372" s="78">
        <f t="shared" si="72"/>
        <v>0</v>
      </c>
    </row>
    <row r="4373" spans="39:45">
      <c r="AM4373" s="55">
        <v>2019</v>
      </c>
      <c r="AN4373" s="55" t="s">
        <v>188</v>
      </c>
      <c r="AO4373" s="55">
        <v>2</v>
      </c>
      <c r="AP4373" s="55">
        <v>3</v>
      </c>
      <c r="AQ4373" s="55">
        <v>0</v>
      </c>
      <c r="AR4373" s="55">
        <v>28500</v>
      </c>
      <c r="AS4373" s="78">
        <f t="shared" si="72"/>
        <v>0</v>
      </c>
    </row>
    <row r="4374" spans="39:45">
      <c r="AM4374" s="54">
        <v>2019</v>
      </c>
      <c r="AN4374" s="54" t="s">
        <v>188</v>
      </c>
      <c r="AO4374" s="54">
        <v>2</v>
      </c>
      <c r="AP4374" s="54">
        <v>4</v>
      </c>
      <c r="AQ4374" s="54">
        <v>0</v>
      </c>
      <c r="AR4374" s="55">
        <v>28500</v>
      </c>
      <c r="AS4374" s="78">
        <f t="shared" si="72"/>
        <v>0</v>
      </c>
    </row>
    <row r="4375" spans="39:45">
      <c r="AM4375" s="55">
        <v>2019</v>
      </c>
      <c r="AN4375" s="55" t="s">
        <v>188</v>
      </c>
      <c r="AO4375" s="55">
        <v>2</v>
      </c>
      <c r="AP4375" s="55">
        <v>5</v>
      </c>
      <c r="AQ4375" s="55">
        <v>1411</v>
      </c>
      <c r="AR4375" s="55">
        <v>28500</v>
      </c>
      <c r="AS4375" s="78">
        <f t="shared" si="72"/>
        <v>4.9508771929824565E-2</v>
      </c>
    </row>
    <row r="4376" spans="39:45">
      <c r="AM4376" s="54">
        <v>2019</v>
      </c>
      <c r="AN4376" s="54" t="s">
        <v>188</v>
      </c>
      <c r="AO4376" s="54">
        <v>2</v>
      </c>
      <c r="AP4376" s="54">
        <v>6</v>
      </c>
      <c r="AQ4376" s="54">
        <v>3685.5</v>
      </c>
      <c r="AR4376" s="55">
        <v>28500</v>
      </c>
      <c r="AS4376" s="78">
        <f t="shared" si="72"/>
        <v>0.12931578947368422</v>
      </c>
    </row>
    <row r="4377" spans="39:45">
      <c r="AM4377" s="55">
        <v>2019</v>
      </c>
      <c r="AN4377" s="55" t="s">
        <v>188</v>
      </c>
      <c r="AO4377" s="55">
        <v>2</v>
      </c>
      <c r="AP4377" s="55">
        <v>7</v>
      </c>
      <c r="AQ4377" s="55">
        <v>13025</v>
      </c>
      <c r="AR4377" s="55">
        <v>28500</v>
      </c>
      <c r="AS4377" s="78">
        <f t="shared" si="72"/>
        <v>0.4570175438596491</v>
      </c>
    </row>
    <row r="4378" spans="39:45">
      <c r="AM4378" s="54">
        <v>2019</v>
      </c>
      <c r="AN4378" s="54" t="s">
        <v>188</v>
      </c>
      <c r="AO4378" s="54">
        <v>2</v>
      </c>
      <c r="AP4378" s="54">
        <v>8</v>
      </c>
      <c r="AQ4378" s="54">
        <v>22921.5</v>
      </c>
      <c r="AR4378" s="55">
        <v>28500</v>
      </c>
      <c r="AS4378" s="78">
        <f t="shared" si="72"/>
        <v>0.80426315789473679</v>
      </c>
    </row>
    <row r="4379" spans="39:45">
      <c r="AM4379" s="55">
        <v>2019</v>
      </c>
      <c r="AN4379" s="55" t="s">
        <v>188</v>
      </c>
      <c r="AO4379" s="55">
        <v>2</v>
      </c>
      <c r="AP4379" s="55">
        <v>9</v>
      </c>
      <c r="AQ4379" s="55">
        <v>28878</v>
      </c>
      <c r="AR4379" s="55">
        <v>28500</v>
      </c>
      <c r="AS4379" s="78">
        <f t="shared" si="72"/>
        <v>1.0132631578947369</v>
      </c>
    </row>
    <row r="4380" spans="39:45">
      <c r="AM4380" s="54">
        <v>2019</v>
      </c>
      <c r="AN4380" s="54" t="s">
        <v>188</v>
      </c>
      <c r="AO4380" s="54">
        <v>2</v>
      </c>
      <c r="AP4380" s="54">
        <v>10</v>
      </c>
      <c r="AQ4380" s="54">
        <v>18930</v>
      </c>
      <c r="AR4380" s="55">
        <v>28500</v>
      </c>
      <c r="AS4380" s="78">
        <f t="shared" si="72"/>
        <v>0.66421052631578947</v>
      </c>
    </row>
    <row r="4381" spans="39:45">
      <c r="AM4381" s="55">
        <v>2019</v>
      </c>
      <c r="AN4381" s="55" t="s">
        <v>188</v>
      </c>
      <c r="AO4381" s="55">
        <v>2</v>
      </c>
      <c r="AP4381" s="55">
        <v>11</v>
      </c>
      <c r="AQ4381" s="55">
        <v>22297</v>
      </c>
      <c r="AR4381" s="55">
        <v>28500</v>
      </c>
      <c r="AS4381" s="78">
        <f t="shared" si="72"/>
        <v>0.78235087719298246</v>
      </c>
    </row>
    <row r="4382" spans="39:45">
      <c r="AM4382" s="54">
        <v>2019</v>
      </c>
      <c r="AN4382" s="54" t="s">
        <v>188</v>
      </c>
      <c r="AO4382" s="54">
        <v>2</v>
      </c>
      <c r="AP4382" s="54">
        <v>12</v>
      </c>
      <c r="AQ4382" s="54">
        <v>22982</v>
      </c>
      <c r="AR4382" s="55">
        <v>28500</v>
      </c>
      <c r="AS4382" s="78">
        <f t="shared" si="72"/>
        <v>0.80638596491228065</v>
      </c>
    </row>
    <row r="4383" spans="39:45">
      <c r="AM4383" s="55">
        <v>2019</v>
      </c>
      <c r="AN4383" s="55" t="s">
        <v>188</v>
      </c>
      <c r="AO4383" s="55">
        <v>2</v>
      </c>
      <c r="AP4383" s="55">
        <v>13</v>
      </c>
      <c r="AQ4383" s="55">
        <v>16120</v>
      </c>
      <c r="AR4383" s="55">
        <v>28500</v>
      </c>
      <c r="AS4383" s="78">
        <f t="shared" si="72"/>
        <v>0.56561403508771935</v>
      </c>
    </row>
    <row r="4384" spans="39:45">
      <c r="AM4384" s="54">
        <v>2019</v>
      </c>
      <c r="AN4384" s="54" t="s">
        <v>188</v>
      </c>
      <c r="AO4384" s="54">
        <v>2</v>
      </c>
      <c r="AP4384" s="54">
        <v>14</v>
      </c>
      <c r="AQ4384" s="54">
        <v>19867</v>
      </c>
      <c r="AR4384" s="55">
        <v>28500</v>
      </c>
      <c r="AS4384" s="78">
        <f t="shared" si="72"/>
        <v>0.69708771929824564</v>
      </c>
    </row>
    <row r="4385" spans="39:45">
      <c r="AM4385" s="55">
        <v>2019</v>
      </c>
      <c r="AN4385" s="55" t="s">
        <v>188</v>
      </c>
      <c r="AO4385" s="55">
        <v>2</v>
      </c>
      <c r="AP4385" s="55">
        <v>15</v>
      </c>
      <c r="AQ4385" s="55">
        <v>15726.5</v>
      </c>
      <c r="AR4385" s="55">
        <v>28500</v>
      </c>
      <c r="AS4385" s="78">
        <f t="shared" si="72"/>
        <v>0.55180701754385963</v>
      </c>
    </row>
    <row r="4386" spans="39:45">
      <c r="AM4386" s="54">
        <v>2019</v>
      </c>
      <c r="AN4386" s="54" t="s">
        <v>188</v>
      </c>
      <c r="AO4386" s="54">
        <v>2</v>
      </c>
      <c r="AP4386" s="54">
        <v>16</v>
      </c>
      <c r="AQ4386" s="54">
        <v>9944.5</v>
      </c>
      <c r="AR4386" s="55">
        <v>28500</v>
      </c>
      <c r="AS4386" s="78">
        <f t="shared" si="72"/>
        <v>0.34892982456140353</v>
      </c>
    </row>
    <row r="4387" spans="39:45">
      <c r="AM4387" s="55">
        <v>2019</v>
      </c>
      <c r="AN4387" s="55" t="s">
        <v>188</v>
      </c>
      <c r="AO4387" s="55">
        <v>2</v>
      </c>
      <c r="AP4387" s="55">
        <v>17</v>
      </c>
      <c r="AQ4387" s="55">
        <v>8854.5</v>
      </c>
      <c r="AR4387" s="55">
        <v>28500</v>
      </c>
      <c r="AS4387" s="78">
        <f t="shared" si="72"/>
        <v>0.31068421052631578</v>
      </c>
    </row>
    <row r="4388" spans="39:45">
      <c r="AM4388" s="54">
        <v>2019</v>
      </c>
      <c r="AN4388" s="54" t="s">
        <v>188</v>
      </c>
      <c r="AO4388" s="54">
        <v>2</v>
      </c>
      <c r="AP4388" s="54">
        <v>18</v>
      </c>
      <c r="AQ4388" s="54">
        <v>3782.5</v>
      </c>
      <c r="AR4388" s="55">
        <v>28500</v>
      </c>
      <c r="AS4388" s="78">
        <f t="shared" si="72"/>
        <v>0.13271929824561404</v>
      </c>
    </row>
    <row r="4389" spans="39:45">
      <c r="AM4389" s="55">
        <v>2019</v>
      </c>
      <c r="AN4389" s="55" t="s">
        <v>188</v>
      </c>
      <c r="AO4389" s="55">
        <v>2</v>
      </c>
      <c r="AP4389" s="55">
        <v>19</v>
      </c>
      <c r="AQ4389" s="55">
        <v>1017</v>
      </c>
      <c r="AR4389" s="55">
        <v>28500</v>
      </c>
      <c r="AS4389" s="78">
        <f t="shared" si="72"/>
        <v>3.568421052631579E-2</v>
      </c>
    </row>
    <row r="4390" spans="39:45">
      <c r="AM4390" s="54">
        <v>2019</v>
      </c>
      <c r="AN4390" s="54" t="s">
        <v>188</v>
      </c>
      <c r="AO4390" s="54">
        <v>2</v>
      </c>
      <c r="AP4390" s="54">
        <v>20</v>
      </c>
      <c r="AQ4390" s="54">
        <v>0</v>
      </c>
      <c r="AR4390" s="55">
        <v>28500</v>
      </c>
      <c r="AS4390" s="78">
        <f t="shared" si="72"/>
        <v>0</v>
      </c>
    </row>
    <row r="4391" spans="39:45">
      <c r="AM4391" s="55">
        <v>2019</v>
      </c>
      <c r="AN4391" s="55" t="s">
        <v>188</v>
      </c>
      <c r="AO4391" s="55">
        <v>2</v>
      </c>
      <c r="AP4391" s="55">
        <v>21</v>
      </c>
      <c r="AQ4391" s="55">
        <v>0</v>
      </c>
      <c r="AR4391" s="55">
        <v>28500</v>
      </c>
      <c r="AS4391" s="78">
        <f t="shared" si="72"/>
        <v>0</v>
      </c>
    </row>
    <row r="4392" spans="39:45">
      <c r="AM4392" s="54">
        <v>2019</v>
      </c>
      <c r="AN4392" s="54" t="s">
        <v>188</v>
      </c>
      <c r="AO4392" s="54">
        <v>2</v>
      </c>
      <c r="AP4392" s="54">
        <v>22</v>
      </c>
      <c r="AQ4392" s="54">
        <v>0</v>
      </c>
      <c r="AR4392" s="55">
        <v>28500</v>
      </c>
      <c r="AS4392" s="78">
        <f t="shared" si="72"/>
        <v>0</v>
      </c>
    </row>
    <row r="4393" spans="39:45">
      <c r="AM4393" s="55">
        <v>2019</v>
      </c>
      <c r="AN4393" s="55" t="s">
        <v>188</v>
      </c>
      <c r="AO4393" s="55">
        <v>2</v>
      </c>
      <c r="AP4393" s="55">
        <v>23</v>
      </c>
      <c r="AQ4393" s="55">
        <v>0</v>
      </c>
      <c r="AR4393" s="55">
        <v>28500</v>
      </c>
      <c r="AS4393" s="78">
        <f t="shared" si="72"/>
        <v>0</v>
      </c>
    </row>
    <row r="4394" spans="39:45">
      <c r="AM4394" s="54">
        <v>2019</v>
      </c>
      <c r="AN4394" s="54" t="s">
        <v>188</v>
      </c>
      <c r="AO4394" s="54">
        <v>3</v>
      </c>
      <c r="AP4394" s="54">
        <v>24</v>
      </c>
      <c r="AQ4394" s="54">
        <v>0</v>
      </c>
      <c r="AR4394" s="55">
        <v>28500</v>
      </c>
      <c r="AS4394" s="78">
        <f t="shared" si="72"/>
        <v>0</v>
      </c>
    </row>
    <row r="4395" spans="39:45">
      <c r="AM4395" s="55">
        <v>2019</v>
      </c>
      <c r="AN4395" s="55" t="s">
        <v>188</v>
      </c>
      <c r="AO4395" s="55">
        <v>3</v>
      </c>
      <c r="AP4395" s="55">
        <v>1</v>
      </c>
      <c r="AQ4395" s="55">
        <v>0</v>
      </c>
      <c r="AR4395" s="55">
        <v>28500</v>
      </c>
      <c r="AS4395" s="78">
        <f t="shared" si="72"/>
        <v>0</v>
      </c>
    </row>
    <row r="4396" spans="39:45">
      <c r="AM4396" s="54">
        <v>2019</v>
      </c>
      <c r="AN4396" s="54" t="s">
        <v>188</v>
      </c>
      <c r="AO4396" s="54">
        <v>3</v>
      </c>
      <c r="AP4396" s="54">
        <v>2</v>
      </c>
      <c r="AQ4396" s="54">
        <v>0</v>
      </c>
      <c r="AR4396" s="55">
        <v>28500</v>
      </c>
      <c r="AS4396" s="78">
        <f t="shared" si="72"/>
        <v>0</v>
      </c>
    </row>
    <row r="4397" spans="39:45">
      <c r="AM4397" s="55">
        <v>2019</v>
      </c>
      <c r="AN4397" s="55" t="s">
        <v>188</v>
      </c>
      <c r="AO4397" s="55">
        <v>3</v>
      </c>
      <c r="AP4397" s="55">
        <v>3</v>
      </c>
      <c r="AQ4397" s="55">
        <v>0</v>
      </c>
      <c r="AR4397" s="55">
        <v>28500</v>
      </c>
      <c r="AS4397" s="78">
        <f t="shared" si="72"/>
        <v>0</v>
      </c>
    </row>
    <row r="4398" spans="39:45">
      <c r="AM4398" s="54">
        <v>2019</v>
      </c>
      <c r="AN4398" s="54" t="s">
        <v>188</v>
      </c>
      <c r="AO4398" s="54">
        <v>3</v>
      </c>
      <c r="AP4398" s="54">
        <v>4</v>
      </c>
      <c r="AQ4398" s="54">
        <v>0</v>
      </c>
      <c r="AR4398" s="55">
        <v>28500</v>
      </c>
      <c r="AS4398" s="78">
        <f t="shared" si="72"/>
        <v>0</v>
      </c>
    </row>
    <row r="4399" spans="39:45">
      <c r="AM4399" s="55">
        <v>2019</v>
      </c>
      <c r="AN4399" s="55" t="s">
        <v>188</v>
      </c>
      <c r="AO4399" s="55">
        <v>3</v>
      </c>
      <c r="AP4399" s="55">
        <v>5</v>
      </c>
      <c r="AQ4399" s="55">
        <v>1803.5</v>
      </c>
      <c r="AR4399" s="55">
        <v>28500</v>
      </c>
      <c r="AS4399" s="78">
        <f t="shared" si="72"/>
        <v>6.3280701754385965E-2</v>
      </c>
    </row>
    <row r="4400" spans="39:45">
      <c r="AM4400" s="54">
        <v>2019</v>
      </c>
      <c r="AN4400" s="54" t="s">
        <v>188</v>
      </c>
      <c r="AO4400" s="54">
        <v>3</v>
      </c>
      <c r="AP4400" s="54">
        <v>6</v>
      </c>
      <c r="AQ4400" s="54">
        <v>3762.5</v>
      </c>
      <c r="AR4400" s="55">
        <v>28500</v>
      </c>
      <c r="AS4400" s="78">
        <f t="shared" si="72"/>
        <v>0.13201754385964912</v>
      </c>
    </row>
    <row r="4401" spans="39:45">
      <c r="AM4401" s="55">
        <v>2019</v>
      </c>
      <c r="AN4401" s="55" t="s">
        <v>188</v>
      </c>
      <c r="AO4401" s="55">
        <v>3</v>
      </c>
      <c r="AP4401" s="55">
        <v>7</v>
      </c>
      <c r="AQ4401" s="55">
        <v>12690</v>
      </c>
      <c r="AR4401" s="55">
        <v>28500</v>
      </c>
      <c r="AS4401" s="78">
        <f t="shared" si="72"/>
        <v>0.44526315789473686</v>
      </c>
    </row>
    <row r="4402" spans="39:45">
      <c r="AM4402" s="54">
        <v>2019</v>
      </c>
      <c r="AN4402" s="54" t="s">
        <v>188</v>
      </c>
      <c r="AO4402" s="54">
        <v>3</v>
      </c>
      <c r="AP4402" s="54">
        <v>8</v>
      </c>
      <c r="AQ4402" s="54">
        <v>22399</v>
      </c>
      <c r="AR4402" s="55">
        <v>28500</v>
      </c>
      <c r="AS4402" s="78">
        <f t="shared" si="72"/>
        <v>0.78592982456140348</v>
      </c>
    </row>
    <row r="4403" spans="39:45">
      <c r="AM4403" s="55">
        <v>2019</v>
      </c>
      <c r="AN4403" s="55" t="s">
        <v>188</v>
      </c>
      <c r="AO4403" s="55">
        <v>3</v>
      </c>
      <c r="AP4403" s="55">
        <v>9</v>
      </c>
      <c r="AQ4403" s="55">
        <v>23474.5</v>
      </c>
      <c r="AR4403" s="55">
        <v>28500</v>
      </c>
      <c r="AS4403" s="78">
        <f t="shared" si="72"/>
        <v>0.82366666666666666</v>
      </c>
    </row>
    <row r="4404" spans="39:45">
      <c r="AM4404" s="54">
        <v>2019</v>
      </c>
      <c r="AN4404" s="54" t="s">
        <v>188</v>
      </c>
      <c r="AO4404" s="54">
        <v>3</v>
      </c>
      <c r="AP4404" s="54">
        <v>10</v>
      </c>
      <c r="AQ4404" s="54">
        <v>27910</v>
      </c>
      <c r="AR4404" s="55">
        <v>28500</v>
      </c>
      <c r="AS4404" s="78">
        <f t="shared" si="72"/>
        <v>0.97929824561403511</v>
      </c>
    </row>
    <row r="4405" spans="39:45">
      <c r="AM4405" s="55">
        <v>2019</v>
      </c>
      <c r="AN4405" s="55" t="s">
        <v>188</v>
      </c>
      <c r="AO4405" s="55">
        <v>3</v>
      </c>
      <c r="AP4405" s="55">
        <v>11</v>
      </c>
      <c r="AQ4405" s="55">
        <v>28690.5</v>
      </c>
      <c r="AR4405" s="55">
        <v>28500</v>
      </c>
      <c r="AS4405" s="78">
        <f t="shared" si="72"/>
        <v>1.0066842105263158</v>
      </c>
    </row>
    <row r="4406" spans="39:45">
      <c r="AM4406" s="54">
        <v>2019</v>
      </c>
      <c r="AN4406" s="54" t="s">
        <v>188</v>
      </c>
      <c r="AO4406" s="54">
        <v>3</v>
      </c>
      <c r="AP4406" s="54">
        <v>12</v>
      </c>
      <c r="AQ4406" s="54">
        <v>21585.5</v>
      </c>
      <c r="AR4406" s="55">
        <v>28500</v>
      </c>
      <c r="AS4406" s="78">
        <f t="shared" si="72"/>
        <v>0.75738596491228072</v>
      </c>
    </row>
    <row r="4407" spans="39:45">
      <c r="AM4407" s="55">
        <v>2019</v>
      </c>
      <c r="AN4407" s="55" t="s">
        <v>188</v>
      </c>
      <c r="AO4407" s="55">
        <v>3</v>
      </c>
      <c r="AP4407" s="55">
        <v>13</v>
      </c>
      <c r="AQ4407" s="55">
        <v>20342.5</v>
      </c>
      <c r="AR4407" s="55">
        <v>28500</v>
      </c>
      <c r="AS4407" s="78">
        <f t="shared" si="72"/>
        <v>0.71377192982456139</v>
      </c>
    </row>
    <row r="4408" spans="39:45">
      <c r="AM4408" s="54">
        <v>2019</v>
      </c>
      <c r="AN4408" s="54" t="s">
        <v>188</v>
      </c>
      <c r="AO4408" s="54">
        <v>3</v>
      </c>
      <c r="AP4408" s="54">
        <v>14</v>
      </c>
      <c r="AQ4408" s="54">
        <v>27885.5</v>
      </c>
      <c r="AR4408" s="55">
        <v>28500</v>
      </c>
      <c r="AS4408" s="78">
        <f t="shared" si="72"/>
        <v>0.97843859649122811</v>
      </c>
    </row>
    <row r="4409" spans="39:45">
      <c r="AM4409" s="55">
        <v>2019</v>
      </c>
      <c r="AN4409" s="55" t="s">
        <v>188</v>
      </c>
      <c r="AO4409" s="55">
        <v>3</v>
      </c>
      <c r="AP4409" s="55">
        <v>15</v>
      </c>
      <c r="AQ4409" s="55">
        <v>26650.5</v>
      </c>
      <c r="AR4409" s="55">
        <v>28500</v>
      </c>
      <c r="AS4409" s="78">
        <f t="shared" si="72"/>
        <v>0.93510526315789477</v>
      </c>
    </row>
    <row r="4410" spans="39:45">
      <c r="AM4410" s="54">
        <v>2019</v>
      </c>
      <c r="AN4410" s="54" t="s">
        <v>188</v>
      </c>
      <c r="AO4410" s="54">
        <v>3</v>
      </c>
      <c r="AP4410" s="54">
        <v>16</v>
      </c>
      <c r="AQ4410" s="54">
        <v>20415.5</v>
      </c>
      <c r="AR4410" s="55">
        <v>28500</v>
      </c>
      <c r="AS4410" s="78">
        <f t="shared" si="72"/>
        <v>0.71633333333333338</v>
      </c>
    </row>
    <row r="4411" spans="39:45">
      <c r="AM4411" s="55">
        <v>2019</v>
      </c>
      <c r="AN4411" s="55" t="s">
        <v>188</v>
      </c>
      <c r="AO4411" s="55">
        <v>3</v>
      </c>
      <c r="AP4411" s="55">
        <v>17</v>
      </c>
      <c r="AQ4411" s="55">
        <v>10213</v>
      </c>
      <c r="AR4411" s="55">
        <v>28500</v>
      </c>
      <c r="AS4411" s="78">
        <f t="shared" si="72"/>
        <v>0.35835087719298248</v>
      </c>
    </row>
    <row r="4412" spans="39:45">
      <c r="AM4412" s="54">
        <v>2019</v>
      </c>
      <c r="AN4412" s="54" t="s">
        <v>188</v>
      </c>
      <c r="AO4412" s="54">
        <v>3</v>
      </c>
      <c r="AP4412" s="54">
        <v>18</v>
      </c>
      <c r="AQ4412" s="54">
        <v>2196.5</v>
      </c>
      <c r="AR4412" s="55">
        <v>28500</v>
      </c>
      <c r="AS4412" s="78">
        <f t="shared" si="72"/>
        <v>7.7070175438596497E-2</v>
      </c>
    </row>
    <row r="4413" spans="39:45">
      <c r="AM4413" s="55">
        <v>2019</v>
      </c>
      <c r="AN4413" s="55" t="s">
        <v>188</v>
      </c>
      <c r="AO4413" s="55">
        <v>3</v>
      </c>
      <c r="AP4413" s="55">
        <v>19</v>
      </c>
      <c r="AQ4413" s="55">
        <v>867.5</v>
      </c>
      <c r="AR4413" s="55">
        <v>28500</v>
      </c>
      <c r="AS4413" s="78">
        <f t="shared" si="72"/>
        <v>3.043859649122807E-2</v>
      </c>
    </row>
    <row r="4414" spans="39:45">
      <c r="AM4414" s="54">
        <v>2019</v>
      </c>
      <c r="AN4414" s="54" t="s">
        <v>188</v>
      </c>
      <c r="AO4414" s="54">
        <v>3</v>
      </c>
      <c r="AP4414" s="54">
        <v>20</v>
      </c>
      <c r="AQ4414" s="54">
        <v>0</v>
      </c>
      <c r="AR4414" s="55">
        <v>28500</v>
      </c>
      <c r="AS4414" s="78">
        <f t="shared" si="72"/>
        <v>0</v>
      </c>
    </row>
    <row r="4415" spans="39:45">
      <c r="AM4415" s="55">
        <v>2019</v>
      </c>
      <c r="AN4415" s="55" t="s">
        <v>188</v>
      </c>
      <c r="AO4415" s="55">
        <v>3</v>
      </c>
      <c r="AP4415" s="55">
        <v>21</v>
      </c>
      <c r="AQ4415" s="55">
        <v>0</v>
      </c>
      <c r="AR4415" s="55">
        <v>28500</v>
      </c>
      <c r="AS4415" s="78">
        <f t="shared" si="72"/>
        <v>0</v>
      </c>
    </row>
    <row r="4416" spans="39:45">
      <c r="AM4416" s="54">
        <v>2019</v>
      </c>
      <c r="AN4416" s="54" t="s">
        <v>188</v>
      </c>
      <c r="AO4416" s="54">
        <v>3</v>
      </c>
      <c r="AP4416" s="54">
        <v>22</v>
      </c>
      <c r="AQ4416" s="54">
        <v>0</v>
      </c>
      <c r="AR4416" s="55">
        <v>28500</v>
      </c>
      <c r="AS4416" s="78">
        <f t="shared" si="72"/>
        <v>0</v>
      </c>
    </row>
    <row r="4417" spans="39:45">
      <c r="AM4417" s="55">
        <v>2019</v>
      </c>
      <c r="AN4417" s="55" t="s">
        <v>188</v>
      </c>
      <c r="AO4417" s="55">
        <v>3</v>
      </c>
      <c r="AP4417" s="55">
        <v>23</v>
      </c>
      <c r="AQ4417" s="55">
        <v>0</v>
      </c>
      <c r="AR4417" s="55">
        <v>28500</v>
      </c>
      <c r="AS4417" s="78">
        <f t="shared" si="72"/>
        <v>0</v>
      </c>
    </row>
    <row r="4418" spans="39:45">
      <c r="AM4418" s="54">
        <v>2019</v>
      </c>
      <c r="AN4418" s="54" t="s">
        <v>188</v>
      </c>
      <c r="AO4418" s="54">
        <v>4</v>
      </c>
      <c r="AP4418" s="54">
        <v>24</v>
      </c>
      <c r="AQ4418" s="54">
        <v>0</v>
      </c>
      <c r="AR4418" s="55">
        <v>28500</v>
      </c>
      <c r="AS4418" s="78">
        <f t="shared" ref="AS4418:AS4481" si="73">AQ4418/AR4418</f>
        <v>0</v>
      </c>
    </row>
    <row r="4419" spans="39:45">
      <c r="AM4419" s="55">
        <v>2019</v>
      </c>
      <c r="AN4419" s="55" t="s">
        <v>188</v>
      </c>
      <c r="AO4419" s="55">
        <v>4</v>
      </c>
      <c r="AP4419" s="55">
        <v>1</v>
      </c>
      <c r="AQ4419" s="55">
        <v>0</v>
      </c>
      <c r="AR4419" s="55">
        <v>28500</v>
      </c>
      <c r="AS4419" s="78">
        <f t="shared" si="73"/>
        <v>0</v>
      </c>
    </row>
    <row r="4420" spans="39:45">
      <c r="AM4420" s="54">
        <v>2019</v>
      </c>
      <c r="AN4420" s="54" t="s">
        <v>188</v>
      </c>
      <c r="AO4420" s="54">
        <v>4</v>
      </c>
      <c r="AP4420" s="54">
        <v>2</v>
      </c>
      <c r="AQ4420" s="54">
        <v>0</v>
      </c>
      <c r="AR4420" s="55">
        <v>28500</v>
      </c>
      <c r="AS4420" s="78">
        <f t="shared" si="73"/>
        <v>0</v>
      </c>
    </row>
    <row r="4421" spans="39:45">
      <c r="AM4421" s="55">
        <v>2019</v>
      </c>
      <c r="AN4421" s="55" t="s">
        <v>188</v>
      </c>
      <c r="AO4421" s="55">
        <v>4</v>
      </c>
      <c r="AP4421" s="55">
        <v>3</v>
      </c>
      <c r="AQ4421" s="55">
        <v>0</v>
      </c>
      <c r="AR4421" s="55">
        <v>28500</v>
      </c>
      <c r="AS4421" s="78">
        <f t="shared" si="73"/>
        <v>0</v>
      </c>
    </row>
    <row r="4422" spans="39:45">
      <c r="AM4422" s="54">
        <v>2019</v>
      </c>
      <c r="AN4422" s="54" t="s">
        <v>188</v>
      </c>
      <c r="AO4422" s="54">
        <v>4</v>
      </c>
      <c r="AP4422" s="54">
        <v>4</v>
      </c>
      <c r="AQ4422" s="54">
        <v>0</v>
      </c>
      <c r="AR4422" s="55">
        <v>28500</v>
      </c>
      <c r="AS4422" s="78">
        <f t="shared" si="73"/>
        <v>0</v>
      </c>
    </row>
    <row r="4423" spans="39:45">
      <c r="AM4423" s="55">
        <v>2019</v>
      </c>
      <c r="AN4423" s="55" t="s">
        <v>188</v>
      </c>
      <c r="AO4423" s="55">
        <v>4</v>
      </c>
      <c r="AP4423" s="55">
        <v>5</v>
      </c>
      <c r="AQ4423" s="55">
        <v>1349.5</v>
      </c>
      <c r="AR4423" s="55">
        <v>28500</v>
      </c>
      <c r="AS4423" s="78">
        <f t="shared" si="73"/>
        <v>4.7350877192982456E-2</v>
      </c>
    </row>
    <row r="4424" spans="39:45">
      <c r="AM4424" s="54">
        <v>2019</v>
      </c>
      <c r="AN4424" s="54" t="s">
        <v>188</v>
      </c>
      <c r="AO4424" s="54">
        <v>4</v>
      </c>
      <c r="AP4424" s="54">
        <v>6</v>
      </c>
      <c r="AQ4424" s="54">
        <v>3450</v>
      </c>
      <c r="AR4424" s="55">
        <v>28500</v>
      </c>
      <c r="AS4424" s="78">
        <f t="shared" si="73"/>
        <v>0.12105263157894737</v>
      </c>
    </row>
    <row r="4425" spans="39:45">
      <c r="AM4425" s="55">
        <v>2019</v>
      </c>
      <c r="AN4425" s="55" t="s">
        <v>188</v>
      </c>
      <c r="AO4425" s="55">
        <v>4</v>
      </c>
      <c r="AP4425" s="55">
        <v>7</v>
      </c>
      <c r="AQ4425" s="55">
        <v>12752</v>
      </c>
      <c r="AR4425" s="55">
        <v>28500</v>
      </c>
      <c r="AS4425" s="78">
        <f t="shared" si="73"/>
        <v>0.44743859649122808</v>
      </c>
    </row>
    <row r="4426" spans="39:45">
      <c r="AM4426" s="54">
        <v>2019</v>
      </c>
      <c r="AN4426" s="54" t="s">
        <v>188</v>
      </c>
      <c r="AO4426" s="54">
        <v>4</v>
      </c>
      <c r="AP4426" s="54">
        <v>8</v>
      </c>
      <c r="AQ4426" s="54">
        <v>22727.5</v>
      </c>
      <c r="AR4426" s="55">
        <v>28500</v>
      </c>
      <c r="AS4426" s="78">
        <f t="shared" si="73"/>
        <v>0.7974561403508772</v>
      </c>
    </row>
    <row r="4427" spans="39:45">
      <c r="AM4427" s="55">
        <v>2019</v>
      </c>
      <c r="AN4427" s="55" t="s">
        <v>188</v>
      </c>
      <c r="AO4427" s="55">
        <v>4</v>
      </c>
      <c r="AP4427" s="55">
        <v>9</v>
      </c>
      <c r="AQ4427" s="55">
        <v>30638.5</v>
      </c>
      <c r="AR4427" s="55">
        <v>28500</v>
      </c>
      <c r="AS4427" s="78">
        <f t="shared" si="73"/>
        <v>1.0750350877192982</v>
      </c>
    </row>
    <row r="4428" spans="39:45">
      <c r="AM4428" s="54">
        <v>2019</v>
      </c>
      <c r="AN4428" s="54" t="s">
        <v>188</v>
      </c>
      <c r="AO4428" s="54">
        <v>4</v>
      </c>
      <c r="AP4428" s="54">
        <v>10</v>
      </c>
      <c r="AQ4428" s="54">
        <v>35629</v>
      </c>
      <c r="AR4428" s="55">
        <v>28500</v>
      </c>
      <c r="AS4428" s="78">
        <f t="shared" si="73"/>
        <v>1.2501403508771929</v>
      </c>
    </row>
    <row r="4429" spans="39:45">
      <c r="AM4429" s="55">
        <v>2019</v>
      </c>
      <c r="AN4429" s="55" t="s">
        <v>188</v>
      </c>
      <c r="AO4429" s="55">
        <v>4</v>
      </c>
      <c r="AP4429" s="55">
        <v>11</v>
      </c>
      <c r="AQ4429" s="55">
        <v>37651.5</v>
      </c>
      <c r="AR4429" s="55">
        <v>28500</v>
      </c>
      <c r="AS4429" s="78">
        <f t="shared" si="73"/>
        <v>1.3211052631578948</v>
      </c>
    </row>
    <row r="4430" spans="39:45">
      <c r="AM4430" s="54">
        <v>2019</v>
      </c>
      <c r="AN4430" s="54" t="s">
        <v>188</v>
      </c>
      <c r="AO4430" s="54">
        <v>4</v>
      </c>
      <c r="AP4430" s="54">
        <v>12</v>
      </c>
      <c r="AQ4430" s="54">
        <v>37903</v>
      </c>
      <c r="AR4430" s="55">
        <v>28500</v>
      </c>
      <c r="AS4430" s="78">
        <f t="shared" si="73"/>
        <v>1.3299298245614035</v>
      </c>
    </row>
    <row r="4431" spans="39:45">
      <c r="AM4431" s="55">
        <v>2019</v>
      </c>
      <c r="AN4431" s="55" t="s">
        <v>188</v>
      </c>
      <c r="AO4431" s="55">
        <v>4</v>
      </c>
      <c r="AP4431" s="55">
        <v>13</v>
      </c>
      <c r="AQ4431" s="55">
        <v>37149.5</v>
      </c>
      <c r="AR4431" s="55">
        <v>28500</v>
      </c>
      <c r="AS4431" s="78">
        <f t="shared" si="73"/>
        <v>1.3034912280701754</v>
      </c>
    </row>
    <row r="4432" spans="39:45">
      <c r="AM4432" s="54">
        <v>2019</v>
      </c>
      <c r="AN4432" s="54" t="s">
        <v>188</v>
      </c>
      <c r="AO4432" s="54">
        <v>4</v>
      </c>
      <c r="AP4432" s="54">
        <v>14</v>
      </c>
      <c r="AQ4432" s="54">
        <v>32847</v>
      </c>
      <c r="AR4432" s="55">
        <v>28500</v>
      </c>
      <c r="AS4432" s="78">
        <f t="shared" si="73"/>
        <v>1.1525263157894736</v>
      </c>
    </row>
    <row r="4433" spans="39:45">
      <c r="AM4433" s="55">
        <v>2019</v>
      </c>
      <c r="AN4433" s="55" t="s">
        <v>188</v>
      </c>
      <c r="AO4433" s="55">
        <v>4</v>
      </c>
      <c r="AP4433" s="55">
        <v>15</v>
      </c>
      <c r="AQ4433" s="55">
        <v>27196</v>
      </c>
      <c r="AR4433" s="55">
        <v>28500</v>
      </c>
      <c r="AS4433" s="78">
        <f t="shared" si="73"/>
        <v>0.95424561403508767</v>
      </c>
    </row>
    <row r="4434" spans="39:45">
      <c r="AM4434" s="54">
        <v>2019</v>
      </c>
      <c r="AN4434" s="54" t="s">
        <v>188</v>
      </c>
      <c r="AO4434" s="54">
        <v>4</v>
      </c>
      <c r="AP4434" s="54">
        <v>16</v>
      </c>
      <c r="AQ4434" s="54">
        <v>17795.5</v>
      </c>
      <c r="AR4434" s="55">
        <v>28500</v>
      </c>
      <c r="AS4434" s="78">
        <f t="shared" si="73"/>
        <v>0.62440350877192985</v>
      </c>
    </row>
    <row r="4435" spans="39:45">
      <c r="AM4435" s="55">
        <v>2019</v>
      </c>
      <c r="AN4435" s="55" t="s">
        <v>188</v>
      </c>
      <c r="AO4435" s="55">
        <v>4</v>
      </c>
      <c r="AP4435" s="55">
        <v>17</v>
      </c>
      <c r="AQ4435" s="55">
        <v>9606</v>
      </c>
      <c r="AR4435" s="55">
        <v>28500</v>
      </c>
      <c r="AS4435" s="78">
        <f t="shared" si="73"/>
        <v>0.33705263157894738</v>
      </c>
    </row>
    <row r="4436" spans="39:45">
      <c r="AM4436" s="54">
        <v>2019</v>
      </c>
      <c r="AN4436" s="54" t="s">
        <v>188</v>
      </c>
      <c r="AO4436" s="54">
        <v>4</v>
      </c>
      <c r="AP4436" s="54">
        <v>18</v>
      </c>
      <c r="AQ4436" s="54">
        <v>3639</v>
      </c>
      <c r="AR4436" s="55">
        <v>28500</v>
      </c>
      <c r="AS4436" s="78">
        <f t="shared" si="73"/>
        <v>0.12768421052631579</v>
      </c>
    </row>
    <row r="4437" spans="39:45">
      <c r="AM4437" s="55">
        <v>2019</v>
      </c>
      <c r="AN4437" s="55" t="s">
        <v>188</v>
      </c>
      <c r="AO4437" s="55">
        <v>4</v>
      </c>
      <c r="AP4437" s="55">
        <v>19</v>
      </c>
      <c r="AQ4437" s="55">
        <v>449</v>
      </c>
      <c r="AR4437" s="55">
        <v>28500</v>
      </c>
      <c r="AS4437" s="78">
        <f t="shared" si="73"/>
        <v>1.5754385964912281E-2</v>
      </c>
    </row>
    <row r="4438" spans="39:45">
      <c r="AM4438" s="54">
        <v>2019</v>
      </c>
      <c r="AN4438" s="54" t="s">
        <v>188</v>
      </c>
      <c r="AO4438" s="54">
        <v>4</v>
      </c>
      <c r="AP4438" s="54">
        <v>20</v>
      </c>
      <c r="AQ4438" s="54">
        <v>0</v>
      </c>
      <c r="AR4438" s="55">
        <v>28500</v>
      </c>
      <c r="AS4438" s="78">
        <f t="shared" si="73"/>
        <v>0</v>
      </c>
    </row>
    <row r="4439" spans="39:45">
      <c r="AM4439" s="55">
        <v>2019</v>
      </c>
      <c r="AN4439" s="55" t="s">
        <v>188</v>
      </c>
      <c r="AO4439" s="55">
        <v>4</v>
      </c>
      <c r="AP4439" s="55">
        <v>21</v>
      </c>
      <c r="AQ4439" s="55">
        <v>0</v>
      </c>
      <c r="AR4439" s="55">
        <v>28500</v>
      </c>
      <c r="AS4439" s="78">
        <f t="shared" si="73"/>
        <v>0</v>
      </c>
    </row>
    <row r="4440" spans="39:45">
      <c r="AM4440" s="54">
        <v>2019</v>
      </c>
      <c r="AN4440" s="54" t="s">
        <v>188</v>
      </c>
      <c r="AO4440" s="54">
        <v>4</v>
      </c>
      <c r="AP4440" s="54">
        <v>22</v>
      </c>
      <c r="AQ4440" s="54">
        <v>0</v>
      </c>
      <c r="AR4440" s="55">
        <v>28500</v>
      </c>
      <c r="AS4440" s="78">
        <f t="shared" si="73"/>
        <v>0</v>
      </c>
    </row>
    <row r="4441" spans="39:45">
      <c r="AM4441" s="55">
        <v>2019</v>
      </c>
      <c r="AN4441" s="55" t="s">
        <v>188</v>
      </c>
      <c r="AO4441" s="55">
        <v>4</v>
      </c>
      <c r="AP4441" s="55">
        <v>23</v>
      </c>
      <c r="AQ4441" s="55">
        <v>0</v>
      </c>
      <c r="AR4441" s="55">
        <v>28500</v>
      </c>
      <c r="AS4441" s="78">
        <f t="shared" si="73"/>
        <v>0</v>
      </c>
    </row>
    <row r="4442" spans="39:45">
      <c r="AM4442" s="54">
        <v>2019</v>
      </c>
      <c r="AN4442" s="54" t="s">
        <v>188</v>
      </c>
      <c r="AO4442" s="54">
        <v>5</v>
      </c>
      <c r="AP4442" s="54">
        <v>24</v>
      </c>
      <c r="AQ4442" s="54">
        <v>0</v>
      </c>
      <c r="AR4442" s="55">
        <v>28500</v>
      </c>
      <c r="AS4442" s="78">
        <f t="shared" si="73"/>
        <v>0</v>
      </c>
    </row>
    <row r="4443" spans="39:45">
      <c r="AM4443" s="55">
        <v>2019</v>
      </c>
      <c r="AN4443" s="55" t="s">
        <v>188</v>
      </c>
      <c r="AO4443" s="55">
        <v>5</v>
      </c>
      <c r="AP4443" s="55">
        <v>1</v>
      </c>
      <c r="AQ4443" s="55">
        <v>0</v>
      </c>
      <c r="AR4443" s="55">
        <v>28500</v>
      </c>
      <c r="AS4443" s="78">
        <f t="shared" si="73"/>
        <v>0</v>
      </c>
    </row>
    <row r="4444" spans="39:45">
      <c r="AM4444" s="54">
        <v>2019</v>
      </c>
      <c r="AN4444" s="54" t="s">
        <v>188</v>
      </c>
      <c r="AO4444" s="54">
        <v>5</v>
      </c>
      <c r="AP4444" s="54">
        <v>2</v>
      </c>
      <c r="AQ4444" s="54">
        <v>0</v>
      </c>
      <c r="AR4444" s="55">
        <v>28500</v>
      </c>
      <c r="AS4444" s="78">
        <f t="shared" si="73"/>
        <v>0</v>
      </c>
    </row>
    <row r="4445" spans="39:45">
      <c r="AM4445" s="55">
        <v>2019</v>
      </c>
      <c r="AN4445" s="55" t="s">
        <v>188</v>
      </c>
      <c r="AO4445" s="55">
        <v>5</v>
      </c>
      <c r="AP4445" s="55">
        <v>3</v>
      </c>
      <c r="AQ4445" s="55">
        <v>0</v>
      </c>
      <c r="AR4445" s="55">
        <v>28500</v>
      </c>
      <c r="AS4445" s="78">
        <f t="shared" si="73"/>
        <v>0</v>
      </c>
    </row>
    <row r="4446" spans="39:45">
      <c r="AM4446" s="54">
        <v>2019</v>
      </c>
      <c r="AN4446" s="54" t="s">
        <v>188</v>
      </c>
      <c r="AO4446" s="54">
        <v>5</v>
      </c>
      <c r="AP4446" s="54">
        <v>4</v>
      </c>
      <c r="AQ4446" s="54">
        <v>0</v>
      </c>
      <c r="AR4446" s="55">
        <v>28500</v>
      </c>
      <c r="AS4446" s="78">
        <f t="shared" si="73"/>
        <v>0</v>
      </c>
    </row>
    <row r="4447" spans="39:45">
      <c r="AM4447" s="55">
        <v>2019</v>
      </c>
      <c r="AN4447" s="55" t="s">
        <v>188</v>
      </c>
      <c r="AO4447" s="55">
        <v>5</v>
      </c>
      <c r="AP4447" s="55">
        <v>5</v>
      </c>
      <c r="AQ4447" s="55">
        <v>1518.5</v>
      </c>
      <c r="AR4447" s="55">
        <v>28500</v>
      </c>
      <c r="AS4447" s="78">
        <f t="shared" si="73"/>
        <v>5.3280701754385963E-2</v>
      </c>
    </row>
    <row r="4448" spans="39:45">
      <c r="AM4448" s="54">
        <v>2019</v>
      </c>
      <c r="AN4448" s="54" t="s">
        <v>188</v>
      </c>
      <c r="AO4448" s="54">
        <v>5</v>
      </c>
      <c r="AP4448" s="54">
        <v>6</v>
      </c>
      <c r="AQ4448" s="54">
        <v>4341</v>
      </c>
      <c r="AR4448" s="55">
        <v>28500</v>
      </c>
      <c r="AS4448" s="78">
        <f t="shared" si="73"/>
        <v>0.15231578947368421</v>
      </c>
    </row>
    <row r="4449" spans="39:45">
      <c r="AM4449" s="55">
        <v>2019</v>
      </c>
      <c r="AN4449" s="55" t="s">
        <v>188</v>
      </c>
      <c r="AO4449" s="55">
        <v>5</v>
      </c>
      <c r="AP4449" s="55">
        <v>7</v>
      </c>
      <c r="AQ4449" s="55">
        <v>12404.5</v>
      </c>
      <c r="AR4449" s="55">
        <v>28500</v>
      </c>
      <c r="AS4449" s="78">
        <f t="shared" si="73"/>
        <v>0.43524561403508771</v>
      </c>
    </row>
    <row r="4450" spans="39:45">
      <c r="AM4450" s="54">
        <v>2019</v>
      </c>
      <c r="AN4450" s="54" t="s">
        <v>188</v>
      </c>
      <c r="AO4450" s="54">
        <v>5</v>
      </c>
      <c r="AP4450" s="54">
        <v>8</v>
      </c>
      <c r="AQ4450" s="54">
        <v>21425.5</v>
      </c>
      <c r="AR4450" s="55">
        <v>28500</v>
      </c>
      <c r="AS4450" s="78">
        <f t="shared" si="73"/>
        <v>0.75177192982456142</v>
      </c>
    </row>
    <row r="4451" spans="39:45">
      <c r="AM4451" s="55">
        <v>2019</v>
      </c>
      <c r="AN4451" s="55" t="s">
        <v>188</v>
      </c>
      <c r="AO4451" s="55">
        <v>5</v>
      </c>
      <c r="AP4451" s="55">
        <v>9</v>
      </c>
      <c r="AQ4451" s="55">
        <v>29196</v>
      </c>
      <c r="AR4451" s="55">
        <v>28500</v>
      </c>
      <c r="AS4451" s="78">
        <f t="shared" si="73"/>
        <v>1.0244210526315789</v>
      </c>
    </row>
    <row r="4452" spans="39:45">
      <c r="AM4452" s="54">
        <v>2019</v>
      </c>
      <c r="AN4452" s="54" t="s">
        <v>188</v>
      </c>
      <c r="AO4452" s="54">
        <v>5</v>
      </c>
      <c r="AP4452" s="54">
        <v>10</v>
      </c>
      <c r="AQ4452" s="54">
        <v>34378</v>
      </c>
      <c r="AR4452" s="55">
        <v>28500</v>
      </c>
      <c r="AS4452" s="78">
        <f t="shared" si="73"/>
        <v>1.2062456140350877</v>
      </c>
    </row>
    <row r="4453" spans="39:45">
      <c r="AM4453" s="55">
        <v>2019</v>
      </c>
      <c r="AN4453" s="55" t="s">
        <v>188</v>
      </c>
      <c r="AO4453" s="55">
        <v>5</v>
      </c>
      <c r="AP4453" s="55">
        <v>11</v>
      </c>
      <c r="AQ4453" s="55">
        <v>32139</v>
      </c>
      <c r="AR4453" s="55">
        <v>28500</v>
      </c>
      <c r="AS4453" s="78">
        <f t="shared" si="73"/>
        <v>1.1276842105263158</v>
      </c>
    </row>
    <row r="4454" spans="39:45">
      <c r="AM4454" s="54">
        <v>2019</v>
      </c>
      <c r="AN4454" s="54" t="s">
        <v>188</v>
      </c>
      <c r="AO4454" s="54">
        <v>5</v>
      </c>
      <c r="AP4454" s="54">
        <v>12</v>
      </c>
      <c r="AQ4454" s="54">
        <v>38504</v>
      </c>
      <c r="AR4454" s="55">
        <v>28500</v>
      </c>
      <c r="AS4454" s="78">
        <f t="shared" si="73"/>
        <v>1.3510175438596492</v>
      </c>
    </row>
    <row r="4455" spans="39:45">
      <c r="AM4455" s="55">
        <v>2019</v>
      </c>
      <c r="AN4455" s="55" t="s">
        <v>188</v>
      </c>
      <c r="AO4455" s="55">
        <v>5</v>
      </c>
      <c r="AP4455" s="55">
        <v>13</v>
      </c>
      <c r="AQ4455" s="55">
        <v>33001</v>
      </c>
      <c r="AR4455" s="55">
        <v>28500</v>
      </c>
      <c r="AS4455" s="78">
        <f t="shared" si="73"/>
        <v>1.1579298245614036</v>
      </c>
    </row>
    <row r="4456" spans="39:45">
      <c r="AM4456" s="54">
        <v>2019</v>
      </c>
      <c r="AN4456" s="54" t="s">
        <v>188</v>
      </c>
      <c r="AO4456" s="54">
        <v>5</v>
      </c>
      <c r="AP4456" s="54">
        <v>14</v>
      </c>
      <c r="AQ4456" s="54">
        <v>33635.5</v>
      </c>
      <c r="AR4456" s="55">
        <v>28500</v>
      </c>
      <c r="AS4456" s="78">
        <f t="shared" si="73"/>
        <v>1.1801929824561403</v>
      </c>
    </row>
    <row r="4457" spans="39:45">
      <c r="AM4457" s="55">
        <v>2019</v>
      </c>
      <c r="AN4457" s="55" t="s">
        <v>188</v>
      </c>
      <c r="AO4457" s="55">
        <v>5</v>
      </c>
      <c r="AP4457" s="55">
        <v>15</v>
      </c>
      <c r="AQ4457" s="55">
        <v>27325</v>
      </c>
      <c r="AR4457" s="55">
        <v>28500</v>
      </c>
      <c r="AS4457" s="78">
        <f t="shared" si="73"/>
        <v>0.95877192982456139</v>
      </c>
    </row>
    <row r="4458" spans="39:45">
      <c r="AM4458" s="54">
        <v>2019</v>
      </c>
      <c r="AN4458" s="54" t="s">
        <v>188</v>
      </c>
      <c r="AO4458" s="54">
        <v>5</v>
      </c>
      <c r="AP4458" s="54">
        <v>16</v>
      </c>
      <c r="AQ4458" s="54">
        <v>13566</v>
      </c>
      <c r="AR4458" s="55">
        <v>28500</v>
      </c>
      <c r="AS4458" s="78">
        <f t="shared" si="73"/>
        <v>0.47599999999999998</v>
      </c>
    </row>
    <row r="4459" spans="39:45">
      <c r="AM4459" s="55">
        <v>2019</v>
      </c>
      <c r="AN4459" s="55" t="s">
        <v>188</v>
      </c>
      <c r="AO4459" s="55">
        <v>5</v>
      </c>
      <c r="AP4459" s="55">
        <v>17</v>
      </c>
      <c r="AQ4459" s="55">
        <v>5732.5</v>
      </c>
      <c r="AR4459" s="55">
        <v>28500</v>
      </c>
      <c r="AS4459" s="78">
        <f t="shared" si="73"/>
        <v>0.20114035087719298</v>
      </c>
    </row>
    <row r="4460" spans="39:45">
      <c r="AM4460" s="54">
        <v>2019</v>
      </c>
      <c r="AN4460" s="54" t="s">
        <v>188</v>
      </c>
      <c r="AO4460" s="54">
        <v>5</v>
      </c>
      <c r="AP4460" s="54">
        <v>18</v>
      </c>
      <c r="AQ4460" s="54">
        <v>2784</v>
      </c>
      <c r="AR4460" s="55">
        <v>28500</v>
      </c>
      <c r="AS4460" s="78">
        <f t="shared" si="73"/>
        <v>9.768421052631579E-2</v>
      </c>
    </row>
    <row r="4461" spans="39:45">
      <c r="AM4461" s="55">
        <v>2019</v>
      </c>
      <c r="AN4461" s="55" t="s">
        <v>188</v>
      </c>
      <c r="AO4461" s="55">
        <v>5</v>
      </c>
      <c r="AP4461" s="55">
        <v>19</v>
      </c>
      <c r="AQ4461" s="55">
        <v>961.5</v>
      </c>
      <c r="AR4461" s="55">
        <v>28500</v>
      </c>
      <c r="AS4461" s="78">
        <f t="shared" si="73"/>
        <v>3.3736842105263155E-2</v>
      </c>
    </row>
    <row r="4462" spans="39:45">
      <c r="AM4462" s="54">
        <v>2019</v>
      </c>
      <c r="AN4462" s="54" t="s">
        <v>188</v>
      </c>
      <c r="AO4462" s="54">
        <v>5</v>
      </c>
      <c r="AP4462" s="54">
        <v>20</v>
      </c>
      <c r="AQ4462" s="54">
        <v>0</v>
      </c>
      <c r="AR4462" s="55">
        <v>28500</v>
      </c>
      <c r="AS4462" s="78">
        <f t="shared" si="73"/>
        <v>0</v>
      </c>
    </row>
    <row r="4463" spans="39:45">
      <c r="AM4463" s="55">
        <v>2019</v>
      </c>
      <c r="AN4463" s="55" t="s">
        <v>188</v>
      </c>
      <c r="AO4463" s="55">
        <v>5</v>
      </c>
      <c r="AP4463" s="55">
        <v>21</v>
      </c>
      <c r="AQ4463" s="55">
        <v>0</v>
      </c>
      <c r="AR4463" s="55">
        <v>28500</v>
      </c>
      <c r="AS4463" s="78">
        <f t="shared" si="73"/>
        <v>0</v>
      </c>
    </row>
    <row r="4464" spans="39:45">
      <c r="AM4464" s="54">
        <v>2019</v>
      </c>
      <c r="AN4464" s="54" t="s">
        <v>188</v>
      </c>
      <c r="AO4464" s="54">
        <v>5</v>
      </c>
      <c r="AP4464" s="54">
        <v>22</v>
      </c>
      <c r="AQ4464" s="54">
        <v>0</v>
      </c>
      <c r="AR4464" s="55">
        <v>28500</v>
      </c>
      <c r="AS4464" s="78">
        <f t="shared" si="73"/>
        <v>0</v>
      </c>
    </row>
    <row r="4465" spans="39:45">
      <c r="AM4465" s="55">
        <v>2019</v>
      </c>
      <c r="AN4465" s="55" t="s">
        <v>188</v>
      </c>
      <c r="AO4465" s="55">
        <v>5</v>
      </c>
      <c r="AP4465" s="55">
        <v>23</v>
      </c>
      <c r="AQ4465" s="55">
        <v>0</v>
      </c>
      <c r="AR4465" s="55">
        <v>28500</v>
      </c>
      <c r="AS4465" s="78">
        <f t="shared" si="73"/>
        <v>0</v>
      </c>
    </row>
    <row r="4466" spans="39:45">
      <c r="AM4466" s="54">
        <v>2019</v>
      </c>
      <c r="AN4466" s="54" t="s">
        <v>188</v>
      </c>
      <c r="AO4466" s="54">
        <v>6</v>
      </c>
      <c r="AP4466" s="54">
        <v>24</v>
      </c>
      <c r="AQ4466" s="54">
        <v>0</v>
      </c>
      <c r="AR4466" s="55">
        <v>28500</v>
      </c>
      <c r="AS4466" s="78">
        <f t="shared" si="73"/>
        <v>0</v>
      </c>
    </row>
    <row r="4467" spans="39:45">
      <c r="AM4467" s="55">
        <v>2019</v>
      </c>
      <c r="AN4467" s="55" t="s">
        <v>188</v>
      </c>
      <c r="AO4467" s="55">
        <v>6</v>
      </c>
      <c r="AP4467" s="55">
        <v>1</v>
      </c>
      <c r="AQ4467" s="55">
        <v>0</v>
      </c>
      <c r="AR4467" s="55">
        <v>28500</v>
      </c>
      <c r="AS4467" s="78">
        <f t="shared" si="73"/>
        <v>0</v>
      </c>
    </row>
    <row r="4468" spans="39:45">
      <c r="AM4468" s="54">
        <v>2019</v>
      </c>
      <c r="AN4468" s="54" t="s">
        <v>188</v>
      </c>
      <c r="AO4468" s="54">
        <v>6</v>
      </c>
      <c r="AP4468" s="54">
        <v>2</v>
      </c>
      <c r="AQ4468" s="54">
        <v>0</v>
      </c>
      <c r="AR4468" s="55">
        <v>28500</v>
      </c>
      <c r="AS4468" s="78">
        <f t="shared" si="73"/>
        <v>0</v>
      </c>
    </row>
    <row r="4469" spans="39:45">
      <c r="AM4469" s="55">
        <v>2019</v>
      </c>
      <c r="AN4469" s="55" t="s">
        <v>188</v>
      </c>
      <c r="AO4469" s="55">
        <v>6</v>
      </c>
      <c r="AP4469" s="55">
        <v>3</v>
      </c>
      <c r="AQ4469" s="55">
        <v>0</v>
      </c>
      <c r="AR4469" s="55">
        <v>28500</v>
      </c>
      <c r="AS4469" s="78">
        <f t="shared" si="73"/>
        <v>0</v>
      </c>
    </row>
    <row r="4470" spans="39:45">
      <c r="AM4470" s="54">
        <v>2019</v>
      </c>
      <c r="AN4470" s="54" t="s">
        <v>188</v>
      </c>
      <c r="AO4470" s="54">
        <v>6</v>
      </c>
      <c r="AP4470" s="54">
        <v>4</v>
      </c>
      <c r="AQ4470" s="54">
        <v>0</v>
      </c>
      <c r="AR4470" s="55">
        <v>28500</v>
      </c>
      <c r="AS4470" s="78">
        <f t="shared" si="73"/>
        <v>0</v>
      </c>
    </row>
    <row r="4471" spans="39:45">
      <c r="AM4471" s="55">
        <v>2019</v>
      </c>
      <c r="AN4471" s="55" t="s">
        <v>188</v>
      </c>
      <c r="AO4471" s="55">
        <v>6</v>
      </c>
      <c r="AP4471" s="55">
        <v>5</v>
      </c>
      <c r="AQ4471" s="55">
        <v>1683</v>
      </c>
      <c r="AR4471" s="55">
        <v>28500</v>
      </c>
      <c r="AS4471" s="78">
        <f t="shared" si="73"/>
        <v>5.905263157894737E-2</v>
      </c>
    </row>
    <row r="4472" spans="39:45">
      <c r="AM4472" s="54">
        <v>2019</v>
      </c>
      <c r="AN4472" s="54" t="s">
        <v>188</v>
      </c>
      <c r="AO4472" s="54">
        <v>6</v>
      </c>
      <c r="AP4472" s="54">
        <v>6</v>
      </c>
      <c r="AQ4472" s="54">
        <v>3367.5</v>
      </c>
      <c r="AR4472" s="55">
        <v>28500</v>
      </c>
      <c r="AS4472" s="78">
        <f t="shared" si="73"/>
        <v>0.1181578947368421</v>
      </c>
    </row>
    <row r="4473" spans="39:45">
      <c r="AM4473" s="55">
        <v>2019</v>
      </c>
      <c r="AN4473" s="55" t="s">
        <v>188</v>
      </c>
      <c r="AO4473" s="55">
        <v>6</v>
      </c>
      <c r="AP4473" s="55">
        <v>7</v>
      </c>
      <c r="AQ4473" s="55">
        <v>12134</v>
      </c>
      <c r="AR4473" s="55">
        <v>28500</v>
      </c>
      <c r="AS4473" s="78">
        <f t="shared" si="73"/>
        <v>0.42575438596491227</v>
      </c>
    </row>
    <row r="4474" spans="39:45">
      <c r="AM4474" s="54">
        <v>2019</v>
      </c>
      <c r="AN4474" s="54" t="s">
        <v>188</v>
      </c>
      <c r="AO4474" s="54">
        <v>6</v>
      </c>
      <c r="AP4474" s="54">
        <v>8</v>
      </c>
      <c r="AQ4474" s="54">
        <v>21913</v>
      </c>
      <c r="AR4474" s="55">
        <v>28500</v>
      </c>
      <c r="AS4474" s="78">
        <f t="shared" si="73"/>
        <v>0.76887719298245616</v>
      </c>
    </row>
    <row r="4475" spans="39:45">
      <c r="AM4475" s="55">
        <v>2019</v>
      </c>
      <c r="AN4475" s="55" t="s">
        <v>188</v>
      </c>
      <c r="AO4475" s="55">
        <v>6</v>
      </c>
      <c r="AP4475" s="55">
        <v>9</v>
      </c>
      <c r="AQ4475" s="55">
        <v>28352.5</v>
      </c>
      <c r="AR4475" s="55">
        <v>28500</v>
      </c>
      <c r="AS4475" s="78">
        <f t="shared" si="73"/>
        <v>0.99482456140350872</v>
      </c>
    </row>
    <row r="4476" spans="39:45">
      <c r="AM4476" s="54">
        <v>2019</v>
      </c>
      <c r="AN4476" s="54" t="s">
        <v>188</v>
      </c>
      <c r="AO4476" s="54">
        <v>6</v>
      </c>
      <c r="AP4476" s="54">
        <v>10</v>
      </c>
      <c r="AQ4476" s="54">
        <v>29297.5</v>
      </c>
      <c r="AR4476" s="55">
        <v>28500</v>
      </c>
      <c r="AS4476" s="78">
        <f t="shared" si="73"/>
        <v>1.0279824561403508</v>
      </c>
    </row>
    <row r="4477" spans="39:45">
      <c r="AM4477" s="55">
        <v>2019</v>
      </c>
      <c r="AN4477" s="55" t="s">
        <v>188</v>
      </c>
      <c r="AO4477" s="55">
        <v>6</v>
      </c>
      <c r="AP4477" s="55">
        <v>11</v>
      </c>
      <c r="AQ4477" s="55">
        <v>7469</v>
      </c>
      <c r="AR4477" s="55">
        <v>28500</v>
      </c>
      <c r="AS4477" s="78">
        <f t="shared" si="73"/>
        <v>0.26207017543859651</v>
      </c>
    </row>
    <row r="4478" spans="39:45">
      <c r="AM4478" s="54">
        <v>2019</v>
      </c>
      <c r="AN4478" s="54" t="s">
        <v>188</v>
      </c>
      <c r="AO4478" s="54">
        <v>6</v>
      </c>
      <c r="AP4478" s="54">
        <v>12</v>
      </c>
      <c r="AQ4478" s="54">
        <v>22799</v>
      </c>
      <c r="AR4478" s="55">
        <v>28500</v>
      </c>
      <c r="AS4478" s="78">
        <f t="shared" si="73"/>
        <v>0.79996491228070177</v>
      </c>
    </row>
    <row r="4479" spans="39:45">
      <c r="AM4479" s="55">
        <v>2019</v>
      </c>
      <c r="AN4479" s="55" t="s">
        <v>188</v>
      </c>
      <c r="AO4479" s="55">
        <v>6</v>
      </c>
      <c r="AP4479" s="55">
        <v>13</v>
      </c>
      <c r="AQ4479" s="55">
        <v>13378.5</v>
      </c>
      <c r="AR4479" s="55">
        <v>28500</v>
      </c>
      <c r="AS4479" s="78">
        <f t="shared" si="73"/>
        <v>0.46942105263157896</v>
      </c>
    </row>
    <row r="4480" spans="39:45">
      <c r="AM4480" s="54">
        <v>2019</v>
      </c>
      <c r="AN4480" s="54" t="s">
        <v>188</v>
      </c>
      <c r="AO4480" s="54">
        <v>6</v>
      </c>
      <c r="AP4480" s="54">
        <v>14</v>
      </c>
      <c r="AQ4480" s="54">
        <v>16279</v>
      </c>
      <c r="AR4480" s="55">
        <v>28500</v>
      </c>
      <c r="AS4480" s="78">
        <f t="shared" si="73"/>
        <v>0.57119298245614036</v>
      </c>
    </row>
    <row r="4481" spans="39:45">
      <c r="AM4481" s="55">
        <v>2019</v>
      </c>
      <c r="AN4481" s="55" t="s">
        <v>188</v>
      </c>
      <c r="AO4481" s="55">
        <v>6</v>
      </c>
      <c r="AP4481" s="55">
        <v>15</v>
      </c>
      <c r="AQ4481" s="55">
        <v>18467</v>
      </c>
      <c r="AR4481" s="55">
        <v>28500</v>
      </c>
      <c r="AS4481" s="78">
        <f t="shared" si="73"/>
        <v>0.64796491228070174</v>
      </c>
    </row>
    <row r="4482" spans="39:45">
      <c r="AM4482" s="54">
        <v>2019</v>
      </c>
      <c r="AN4482" s="54" t="s">
        <v>188</v>
      </c>
      <c r="AO4482" s="54">
        <v>6</v>
      </c>
      <c r="AP4482" s="54">
        <v>16</v>
      </c>
      <c r="AQ4482" s="54">
        <v>3138.5</v>
      </c>
      <c r="AR4482" s="55">
        <v>28500</v>
      </c>
      <c r="AS4482" s="78">
        <f t="shared" ref="AS4482:AS4545" si="74">AQ4482/AR4482</f>
        <v>0.11012280701754386</v>
      </c>
    </row>
    <row r="4483" spans="39:45">
      <c r="AM4483" s="55">
        <v>2019</v>
      </c>
      <c r="AN4483" s="55" t="s">
        <v>188</v>
      </c>
      <c r="AO4483" s="55">
        <v>6</v>
      </c>
      <c r="AP4483" s="55">
        <v>17</v>
      </c>
      <c r="AQ4483" s="55">
        <v>4550.5</v>
      </c>
      <c r="AR4483" s="55">
        <v>28500</v>
      </c>
      <c r="AS4483" s="78">
        <f t="shared" si="74"/>
        <v>0.15966666666666668</v>
      </c>
    </row>
    <row r="4484" spans="39:45">
      <c r="AM4484" s="54">
        <v>2019</v>
      </c>
      <c r="AN4484" s="54" t="s">
        <v>188</v>
      </c>
      <c r="AO4484" s="54">
        <v>6</v>
      </c>
      <c r="AP4484" s="54">
        <v>18</v>
      </c>
      <c r="AQ4484" s="54">
        <v>1396.5</v>
      </c>
      <c r="AR4484" s="55">
        <v>28500</v>
      </c>
      <c r="AS4484" s="78">
        <f t="shared" si="74"/>
        <v>4.9000000000000002E-2</v>
      </c>
    </row>
    <row r="4485" spans="39:45">
      <c r="AM4485" s="55">
        <v>2019</v>
      </c>
      <c r="AN4485" s="55" t="s">
        <v>188</v>
      </c>
      <c r="AO4485" s="55">
        <v>6</v>
      </c>
      <c r="AP4485" s="55">
        <v>19</v>
      </c>
      <c r="AQ4485" s="55">
        <v>18</v>
      </c>
      <c r="AR4485" s="55">
        <v>28500</v>
      </c>
      <c r="AS4485" s="78">
        <f t="shared" si="74"/>
        <v>6.3157894736842106E-4</v>
      </c>
    </row>
    <row r="4486" spans="39:45">
      <c r="AM4486" s="54">
        <v>2019</v>
      </c>
      <c r="AN4486" s="54" t="s">
        <v>188</v>
      </c>
      <c r="AO4486" s="54">
        <v>6</v>
      </c>
      <c r="AP4486" s="54">
        <v>20</v>
      </c>
      <c r="AQ4486" s="54">
        <v>0</v>
      </c>
      <c r="AR4486" s="55">
        <v>28500</v>
      </c>
      <c r="AS4486" s="78">
        <f t="shared" si="74"/>
        <v>0</v>
      </c>
    </row>
    <row r="4487" spans="39:45">
      <c r="AM4487" s="55">
        <v>2019</v>
      </c>
      <c r="AN4487" s="55" t="s">
        <v>188</v>
      </c>
      <c r="AO4487" s="55">
        <v>6</v>
      </c>
      <c r="AP4487" s="55">
        <v>21</v>
      </c>
      <c r="AQ4487" s="55">
        <v>0</v>
      </c>
      <c r="AR4487" s="55">
        <v>28500</v>
      </c>
      <c r="AS4487" s="78">
        <f t="shared" si="74"/>
        <v>0</v>
      </c>
    </row>
    <row r="4488" spans="39:45">
      <c r="AM4488" s="54">
        <v>2019</v>
      </c>
      <c r="AN4488" s="54" t="s">
        <v>188</v>
      </c>
      <c r="AO4488" s="54">
        <v>6</v>
      </c>
      <c r="AP4488" s="54">
        <v>22</v>
      </c>
      <c r="AQ4488" s="54">
        <v>0</v>
      </c>
      <c r="AR4488" s="55">
        <v>28500</v>
      </c>
      <c r="AS4488" s="78">
        <f t="shared" si="74"/>
        <v>0</v>
      </c>
    </row>
    <row r="4489" spans="39:45">
      <c r="AM4489" s="55">
        <v>2019</v>
      </c>
      <c r="AN4489" s="55" t="s">
        <v>188</v>
      </c>
      <c r="AO4489" s="55">
        <v>6</v>
      </c>
      <c r="AP4489" s="55">
        <v>23</v>
      </c>
      <c r="AQ4489" s="55">
        <v>0</v>
      </c>
      <c r="AR4489" s="55">
        <v>28500</v>
      </c>
      <c r="AS4489" s="78">
        <f t="shared" si="74"/>
        <v>0</v>
      </c>
    </row>
    <row r="4490" spans="39:45">
      <c r="AM4490" s="54">
        <v>2019</v>
      </c>
      <c r="AN4490" s="54" t="s">
        <v>188</v>
      </c>
      <c r="AO4490" s="54">
        <v>7</v>
      </c>
      <c r="AP4490" s="54">
        <v>24</v>
      </c>
      <c r="AQ4490" s="54">
        <v>0</v>
      </c>
      <c r="AR4490" s="55">
        <v>28500</v>
      </c>
      <c r="AS4490" s="78">
        <f t="shared" si="74"/>
        <v>0</v>
      </c>
    </row>
    <row r="4491" spans="39:45">
      <c r="AM4491" s="55">
        <v>2019</v>
      </c>
      <c r="AN4491" s="55" t="s">
        <v>188</v>
      </c>
      <c r="AO4491" s="55">
        <v>7</v>
      </c>
      <c r="AP4491" s="55">
        <v>1</v>
      </c>
      <c r="AQ4491" s="55">
        <v>0</v>
      </c>
      <c r="AR4491" s="55">
        <v>28500</v>
      </c>
      <c r="AS4491" s="78">
        <f t="shared" si="74"/>
        <v>0</v>
      </c>
    </row>
    <row r="4492" spans="39:45">
      <c r="AM4492" s="54">
        <v>2019</v>
      </c>
      <c r="AN4492" s="54" t="s">
        <v>188</v>
      </c>
      <c r="AO4492" s="54">
        <v>7</v>
      </c>
      <c r="AP4492" s="54">
        <v>2</v>
      </c>
      <c r="AQ4492" s="54">
        <v>0</v>
      </c>
      <c r="AR4492" s="55">
        <v>28500</v>
      </c>
      <c r="AS4492" s="78">
        <f t="shared" si="74"/>
        <v>0</v>
      </c>
    </row>
    <row r="4493" spans="39:45">
      <c r="AM4493" s="55">
        <v>2019</v>
      </c>
      <c r="AN4493" s="55" t="s">
        <v>188</v>
      </c>
      <c r="AO4493" s="55">
        <v>7</v>
      </c>
      <c r="AP4493" s="55">
        <v>3</v>
      </c>
      <c r="AQ4493" s="55">
        <v>0</v>
      </c>
      <c r="AR4493" s="55">
        <v>28500</v>
      </c>
      <c r="AS4493" s="78">
        <f t="shared" si="74"/>
        <v>0</v>
      </c>
    </row>
    <row r="4494" spans="39:45">
      <c r="AM4494" s="54">
        <v>2019</v>
      </c>
      <c r="AN4494" s="54" t="s">
        <v>188</v>
      </c>
      <c r="AO4494" s="54">
        <v>7</v>
      </c>
      <c r="AP4494" s="54">
        <v>4</v>
      </c>
      <c r="AQ4494" s="54">
        <v>0</v>
      </c>
      <c r="AR4494" s="55">
        <v>28500</v>
      </c>
      <c r="AS4494" s="78">
        <f t="shared" si="74"/>
        <v>0</v>
      </c>
    </row>
    <row r="4495" spans="39:45">
      <c r="AM4495" s="55">
        <v>2019</v>
      </c>
      <c r="AN4495" s="55" t="s">
        <v>188</v>
      </c>
      <c r="AO4495" s="55">
        <v>7</v>
      </c>
      <c r="AP4495" s="55">
        <v>5</v>
      </c>
      <c r="AQ4495" s="55">
        <v>183</v>
      </c>
      <c r="AR4495" s="55">
        <v>28500</v>
      </c>
      <c r="AS4495" s="78">
        <f t="shared" si="74"/>
        <v>6.4210526315789471E-3</v>
      </c>
    </row>
    <row r="4496" spans="39:45">
      <c r="AM4496" s="54">
        <v>2019</v>
      </c>
      <c r="AN4496" s="54" t="s">
        <v>188</v>
      </c>
      <c r="AO4496" s="54">
        <v>7</v>
      </c>
      <c r="AP4496" s="54">
        <v>6</v>
      </c>
      <c r="AQ4496" s="54">
        <v>911</v>
      </c>
      <c r="AR4496" s="55">
        <v>28500</v>
      </c>
      <c r="AS4496" s="78">
        <f t="shared" si="74"/>
        <v>3.1964912280701752E-2</v>
      </c>
    </row>
    <row r="4497" spans="39:45">
      <c r="AM4497" s="55">
        <v>2019</v>
      </c>
      <c r="AN4497" s="55" t="s">
        <v>188</v>
      </c>
      <c r="AO4497" s="55">
        <v>7</v>
      </c>
      <c r="AP4497" s="55">
        <v>7</v>
      </c>
      <c r="AQ4497" s="55">
        <v>3378.5</v>
      </c>
      <c r="AR4497" s="55">
        <v>28500</v>
      </c>
      <c r="AS4497" s="78">
        <f t="shared" si="74"/>
        <v>0.11854385964912281</v>
      </c>
    </row>
    <row r="4498" spans="39:45">
      <c r="AM4498" s="54">
        <v>2019</v>
      </c>
      <c r="AN4498" s="54" t="s">
        <v>188</v>
      </c>
      <c r="AO4498" s="54">
        <v>7</v>
      </c>
      <c r="AP4498" s="54">
        <v>8</v>
      </c>
      <c r="AQ4498" s="54">
        <v>5682.5</v>
      </c>
      <c r="AR4498" s="55">
        <v>28500</v>
      </c>
      <c r="AS4498" s="78">
        <f t="shared" si="74"/>
        <v>0.19938596491228069</v>
      </c>
    </row>
    <row r="4499" spans="39:45">
      <c r="AM4499" s="55">
        <v>2019</v>
      </c>
      <c r="AN4499" s="55" t="s">
        <v>188</v>
      </c>
      <c r="AO4499" s="55">
        <v>7</v>
      </c>
      <c r="AP4499" s="55">
        <v>9</v>
      </c>
      <c r="AQ4499" s="55">
        <v>6452.5</v>
      </c>
      <c r="AR4499" s="55">
        <v>28500</v>
      </c>
      <c r="AS4499" s="78">
        <f t="shared" si="74"/>
        <v>0.22640350877192983</v>
      </c>
    </row>
    <row r="4500" spans="39:45">
      <c r="AM4500" s="54">
        <v>2019</v>
      </c>
      <c r="AN4500" s="54" t="s">
        <v>188</v>
      </c>
      <c r="AO4500" s="54">
        <v>7</v>
      </c>
      <c r="AP4500" s="54">
        <v>10</v>
      </c>
      <c r="AQ4500" s="54">
        <v>5627</v>
      </c>
      <c r="AR4500" s="55">
        <v>28500</v>
      </c>
      <c r="AS4500" s="78">
        <f t="shared" si="74"/>
        <v>0.19743859649122808</v>
      </c>
    </row>
    <row r="4501" spans="39:45">
      <c r="AM4501" s="55">
        <v>2019</v>
      </c>
      <c r="AN4501" s="55" t="s">
        <v>188</v>
      </c>
      <c r="AO4501" s="55">
        <v>7</v>
      </c>
      <c r="AP4501" s="55">
        <v>11</v>
      </c>
      <c r="AQ4501" s="55">
        <v>9399.5</v>
      </c>
      <c r="AR4501" s="55">
        <v>28500</v>
      </c>
      <c r="AS4501" s="78">
        <f t="shared" si="74"/>
        <v>0.32980701754385966</v>
      </c>
    </row>
    <row r="4502" spans="39:45">
      <c r="AM4502" s="54">
        <v>2019</v>
      </c>
      <c r="AN4502" s="54" t="s">
        <v>188</v>
      </c>
      <c r="AO4502" s="54">
        <v>7</v>
      </c>
      <c r="AP4502" s="54">
        <v>12</v>
      </c>
      <c r="AQ4502" s="54">
        <v>3738</v>
      </c>
      <c r="AR4502" s="55">
        <v>28500</v>
      </c>
      <c r="AS4502" s="78">
        <f t="shared" si="74"/>
        <v>0.13115789473684211</v>
      </c>
    </row>
    <row r="4503" spans="39:45">
      <c r="AM4503" s="55">
        <v>2019</v>
      </c>
      <c r="AN4503" s="55" t="s">
        <v>188</v>
      </c>
      <c r="AO4503" s="55">
        <v>7</v>
      </c>
      <c r="AP4503" s="55">
        <v>13</v>
      </c>
      <c r="AQ4503" s="55">
        <v>10183.5</v>
      </c>
      <c r="AR4503" s="55">
        <v>28500</v>
      </c>
      <c r="AS4503" s="78">
        <f t="shared" si="74"/>
        <v>0.3573157894736842</v>
      </c>
    </row>
    <row r="4504" spans="39:45">
      <c r="AM4504" s="54">
        <v>2019</v>
      </c>
      <c r="AN4504" s="54" t="s">
        <v>188</v>
      </c>
      <c r="AO4504" s="54">
        <v>7</v>
      </c>
      <c r="AP4504" s="54">
        <v>14</v>
      </c>
      <c r="AQ4504" s="54">
        <v>23316</v>
      </c>
      <c r="AR4504" s="55">
        <v>28500</v>
      </c>
      <c r="AS4504" s="78">
        <f t="shared" si="74"/>
        <v>0.81810526315789478</v>
      </c>
    </row>
    <row r="4505" spans="39:45">
      <c r="AM4505" s="55">
        <v>2019</v>
      </c>
      <c r="AN4505" s="55" t="s">
        <v>188</v>
      </c>
      <c r="AO4505" s="55">
        <v>7</v>
      </c>
      <c r="AP4505" s="55">
        <v>15</v>
      </c>
      <c r="AQ4505" s="55">
        <v>23154</v>
      </c>
      <c r="AR4505" s="55">
        <v>28500</v>
      </c>
      <c r="AS4505" s="78">
        <f t="shared" si="74"/>
        <v>0.81242105263157893</v>
      </c>
    </row>
    <row r="4506" spans="39:45">
      <c r="AM4506" s="54">
        <v>2019</v>
      </c>
      <c r="AN4506" s="54" t="s">
        <v>188</v>
      </c>
      <c r="AO4506" s="54">
        <v>7</v>
      </c>
      <c r="AP4506" s="54">
        <v>16</v>
      </c>
      <c r="AQ4506" s="54">
        <v>18072.5</v>
      </c>
      <c r="AR4506" s="55">
        <v>28500</v>
      </c>
      <c r="AS4506" s="78">
        <f t="shared" si="74"/>
        <v>0.63412280701754387</v>
      </c>
    </row>
    <row r="4507" spans="39:45">
      <c r="AM4507" s="55">
        <v>2019</v>
      </c>
      <c r="AN4507" s="55" t="s">
        <v>188</v>
      </c>
      <c r="AO4507" s="55">
        <v>7</v>
      </c>
      <c r="AP4507" s="55">
        <v>17</v>
      </c>
      <c r="AQ4507" s="55">
        <v>8459.5</v>
      </c>
      <c r="AR4507" s="55">
        <v>28500</v>
      </c>
      <c r="AS4507" s="78">
        <f t="shared" si="74"/>
        <v>0.29682456140350877</v>
      </c>
    </row>
    <row r="4508" spans="39:45">
      <c r="AM4508" s="54">
        <v>2019</v>
      </c>
      <c r="AN4508" s="54" t="s">
        <v>188</v>
      </c>
      <c r="AO4508" s="54">
        <v>7</v>
      </c>
      <c r="AP4508" s="54">
        <v>18</v>
      </c>
      <c r="AQ4508" s="54">
        <v>3034</v>
      </c>
      <c r="AR4508" s="55">
        <v>28500</v>
      </c>
      <c r="AS4508" s="78">
        <f t="shared" si="74"/>
        <v>0.10645614035087719</v>
      </c>
    </row>
    <row r="4509" spans="39:45">
      <c r="AM4509" s="55">
        <v>2019</v>
      </c>
      <c r="AN4509" s="55" t="s">
        <v>188</v>
      </c>
      <c r="AO4509" s="55">
        <v>7</v>
      </c>
      <c r="AP4509" s="55">
        <v>19</v>
      </c>
      <c r="AQ4509" s="55">
        <v>228</v>
      </c>
      <c r="AR4509" s="55">
        <v>28500</v>
      </c>
      <c r="AS4509" s="78">
        <f t="shared" si="74"/>
        <v>8.0000000000000002E-3</v>
      </c>
    </row>
    <row r="4510" spans="39:45">
      <c r="AM4510" s="54">
        <v>2019</v>
      </c>
      <c r="AN4510" s="54" t="s">
        <v>188</v>
      </c>
      <c r="AO4510" s="54">
        <v>7</v>
      </c>
      <c r="AP4510" s="54">
        <v>20</v>
      </c>
      <c r="AQ4510" s="54">
        <v>0</v>
      </c>
      <c r="AR4510" s="55">
        <v>28500</v>
      </c>
      <c r="AS4510" s="78">
        <f t="shared" si="74"/>
        <v>0</v>
      </c>
    </row>
    <row r="4511" spans="39:45">
      <c r="AM4511" s="55">
        <v>2019</v>
      </c>
      <c r="AN4511" s="55" t="s">
        <v>188</v>
      </c>
      <c r="AO4511" s="55">
        <v>7</v>
      </c>
      <c r="AP4511" s="55">
        <v>21</v>
      </c>
      <c r="AQ4511" s="55">
        <v>0</v>
      </c>
      <c r="AR4511" s="55">
        <v>28500</v>
      </c>
      <c r="AS4511" s="78">
        <f t="shared" si="74"/>
        <v>0</v>
      </c>
    </row>
    <row r="4512" spans="39:45">
      <c r="AM4512" s="54">
        <v>2019</v>
      </c>
      <c r="AN4512" s="54" t="s">
        <v>188</v>
      </c>
      <c r="AO4512" s="54">
        <v>7</v>
      </c>
      <c r="AP4512" s="54">
        <v>22</v>
      </c>
      <c r="AQ4512" s="54">
        <v>0</v>
      </c>
      <c r="AR4512" s="55">
        <v>28500</v>
      </c>
      <c r="AS4512" s="78">
        <f t="shared" si="74"/>
        <v>0</v>
      </c>
    </row>
    <row r="4513" spans="39:45">
      <c r="AM4513" s="55">
        <v>2019</v>
      </c>
      <c r="AN4513" s="55" t="s">
        <v>188</v>
      </c>
      <c r="AO4513" s="55">
        <v>7</v>
      </c>
      <c r="AP4513" s="55">
        <v>23</v>
      </c>
      <c r="AQ4513" s="55">
        <v>0</v>
      </c>
      <c r="AR4513" s="55">
        <v>28500</v>
      </c>
      <c r="AS4513" s="78">
        <f t="shared" si="74"/>
        <v>0</v>
      </c>
    </row>
    <row r="4514" spans="39:45">
      <c r="AM4514" s="54">
        <v>2019</v>
      </c>
      <c r="AN4514" s="54" t="s">
        <v>188</v>
      </c>
      <c r="AO4514" s="54">
        <v>8</v>
      </c>
      <c r="AP4514" s="54">
        <v>24</v>
      </c>
      <c r="AQ4514" s="54">
        <v>0</v>
      </c>
      <c r="AR4514" s="55">
        <v>28500</v>
      </c>
      <c r="AS4514" s="78">
        <f t="shared" si="74"/>
        <v>0</v>
      </c>
    </row>
    <row r="4515" spans="39:45">
      <c r="AM4515" s="55">
        <v>2019</v>
      </c>
      <c r="AN4515" s="55" t="s">
        <v>188</v>
      </c>
      <c r="AO4515" s="55">
        <v>8</v>
      </c>
      <c r="AP4515" s="55">
        <v>1</v>
      </c>
      <c r="AQ4515" s="55">
        <v>0</v>
      </c>
      <c r="AR4515" s="55">
        <v>28500</v>
      </c>
      <c r="AS4515" s="78">
        <f t="shared" si="74"/>
        <v>0</v>
      </c>
    </row>
    <row r="4516" spans="39:45">
      <c r="AM4516" s="54">
        <v>2019</v>
      </c>
      <c r="AN4516" s="54" t="s">
        <v>188</v>
      </c>
      <c r="AO4516" s="54">
        <v>8</v>
      </c>
      <c r="AP4516" s="54">
        <v>2</v>
      </c>
      <c r="AQ4516" s="54">
        <v>0</v>
      </c>
      <c r="AR4516" s="55">
        <v>28500</v>
      </c>
      <c r="AS4516" s="78">
        <f t="shared" si="74"/>
        <v>0</v>
      </c>
    </row>
    <row r="4517" spans="39:45">
      <c r="AM4517" s="55">
        <v>2019</v>
      </c>
      <c r="AN4517" s="55" t="s">
        <v>188</v>
      </c>
      <c r="AO4517" s="55">
        <v>8</v>
      </c>
      <c r="AP4517" s="55">
        <v>3</v>
      </c>
      <c r="AQ4517" s="55">
        <v>0</v>
      </c>
      <c r="AR4517" s="55">
        <v>28500</v>
      </c>
      <c r="AS4517" s="78">
        <f t="shared" si="74"/>
        <v>0</v>
      </c>
    </row>
    <row r="4518" spans="39:45">
      <c r="AM4518" s="54">
        <v>2019</v>
      </c>
      <c r="AN4518" s="54" t="s">
        <v>188</v>
      </c>
      <c r="AO4518" s="54">
        <v>8</v>
      </c>
      <c r="AP4518" s="54">
        <v>4</v>
      </c>
      <c r="AQ4518" s="54">
        <v>0</v>
      </c>
      <c r="AR4518" s="55">
        <v>28500</v>
      </c>
      <c r="AS4518" s="78">
        <f t="shared" si="74"/>
        <v>0</v>
      </c>
    </row>
    <row r="4519" spans="39:45">
      <c r="AM4519" s="55">
        <v>2019</v>
      </c>
      <c r="AN4519" s="55" t="s">
        <v>188</v>
      </c>
      <c r="AO4519" s="55">
        <v>8</v>
      </c>
      <c r="AP4519" s="55">
        <v>5</v>
      </c>
      <c r="AQ4519" s="55">
        <v>140.5</v>
      </c>
      <c r="AR4519" s="55">
        <v>28500</v>
      </c>
      <c r="AS4519" s="78">
        <f t="shared" si="74"/>
        <v>4.9298245614035089E-3</v>
      </c>
    </row>
    <row r="4520" spans="39:45">
      <c r="AM4520" s="54">
        <v>2019</v>
      </c>
      <c r="AN4520" s="54" t="s">
        <v>188</v>
      </c>
      <c r="AO4520" s="54">
        <v>8</v>
      </c>
      <c r="AP4520" s="54">
        <v>6</v>
      </c>
      <c r="AQ4520" s="54">
        <v>3634</v>
      </c>
      <c r="AR4520" s="55">
        <v>28500</v>
      </c>
      <c r="AS4520" s="78">
        <f t="shared" si="74"/>
        <v>0.12750877192982457</v>
      </c>
    </row>
    <row r="4521" spans="39:45">
      <c r="AM4521" s="55">
        <v>2019</v>
      </c>
      <c r="AN4521" s="55" t="s">
        <v>188</v>
      </c>
      <c r="AO4521" s="55">
        <v>8</v>
      </c>
      <c r="AP4521" s="55">
        <v>7</v>
      </c>
      <c r="AQ4521" s="55">
        <v>10732.5</v>
      </c>
      <c r="AR4521" s="55">
        <v>28500</v>
      </c>
      <c r="AS4521" s="78">
        <f t="shared" si="74"/>
        <v>0.37657894736842107</v>
      </c>
    </row>
    <row r="4522" spans="39:45">
      <c r="AM4522" s="54">
        <v>2019</v>
      </c>
      <c r="AN4522" s="54" t="s">
        <v>188</v>
      </c>
      <c r="AO4522" s="54">
        <v>8</v>
      </c>
      <c r="AP4522" s="54">
        <v>8</v>
      </c>
      <c r="AQ4522" s="54">
        <v>18181.5</v>
      </c>
      <c r="AR4522" s="55">
        <v>28500</v>
      </c>
      <c r="AS4522" s="78">
        <f t="shared" si="74"/>
        <v>0.6379473684210526</v>
      </c>
    </row>
    <row r="4523" spans="39:45">
      <c r="AM4523" s="55">
        <v>2019</v>
      </c>
      <c r="AN4523" s="55" t="s">
        <v>188</v>
      </c>
      <c r="AO4523" s="55">
        <v>8</v>
      </c>
      <c r="AP4523" s="55">
        <v>9</v>
      </c>
      <c r="AQ4523" s="55">
        <v>23460</v>
      </c>
      <c r="AR4523" s="55">
        <v>28500</v>
      </c>
      <c r="AS4523" s="78">
        <f t="shared" si="74"/>
        <v>0.82315789473684209</v>
      </c>
    </row>
    <row r="4524" spans="39:45">
      <c r="AM4524" s="54">
        <v>2019</v>
      </c>
      <c r="AN4524" s="54" t="s">
        <v>188</v>
      </c>
      <c r="AO4524" s="54">
        <v>8</v>
      </c>
      <c r="AP4524" s="54">
        <v>10</v>
      </c>
      <c r="AQ4524" s="54">
        <v>21470.5</v>
      </c>
      <c r="AR4524" s="55">
        <v>28500</v>
      </c>
      <c r="AS4524" s="78">
        <f t="shared" si="74"/>
        <v>0.75335087719298244</v>
      </c>
    </row>
    <row r="4525" spans="39:45">
      <c r="AM4525" s="55">
        <v>2019</v>
      </c>
      <c r="AN4525" s="55" t="s">
        <v>188</v>
      </c>
      <c r="AO4525" s="55">
        <v>8</v>
      </c>
      <c r="AP4525" s="55">
        <v>11</v>
      </c>
      <c r="AQ4525" s="55">
        <v>22340.5</v>
      </c>
      <c r="AR4525" s="55">
        <v>28500</v>
      </c>
      <c r="AS4525" s="78">
        <f t="shared" si="74"/>
        <v>0.78387719298245617</v>
      </c>
    </row>
    <row r="4526" spans="39:45">
      <c r="AM4526" s="54">
        <v>2019</v>
      </c>
      <c r="AN4526" s="54" t="s">
        <v>188</v>
      </c>
      <c r="AO4526" s="54">
        <v>8</v>
      </c>
      <c r="AP4526" s="54">
        <v>12</v>
      </c>
      <c r="AQ4526" s="54">
        <v>24900</v>
      </c>
      <c r="AR4526" s="55">
        <v>28500</v>
      </c>
      <c r="AS4526" s="78">
        <f t="shared" si="74"/>
        <v>0.87368421052631584</v>
      </c>
    </row>
    <row r="4527" spans="39:45">
      <c r="AM4527" s="55">
        <v>2019</v>
      </c>
      <c r="AN4527" s="55" t="s">
        <v>188</v>
      </c>
      <c r="AO4527" s="55">
        <v>8</v>
      </c>
      <c r="AP4527" s="55">
        <v>13</v>
      </c>
      <c r="AQ4527" s="55">
        <v>20685.5</v>
      </c>
      <c r="AR4527" s="55">
        <v>28500</v>
      </c>
      <c r="AS4527" s="78">
        <f t="shared" si="74"/>
        <v>0.72580701754385968</v>
      </c>
    </row>
    <row r="4528" spans="39:45">
      <c r="AM4528" s="54">
        <v>2019</v>
      </c>
      <c r="AN4528" s="54" t="s">
        <v>188</v>
      </c>
      <c r="AO4528" s="54">
        <v>8</v>
      </c>
      <c r="AP4528" s="54">
        <v>14</v>
      </c>
      <c r="AQ4528" s="54">
        <v>22349</v>
      </c>
      <c r="AR4528" s="55">
        <v>28500</v>
      </c>
      <c r="AS4528" s="78">
        <f t="shared" si="74"/>
        <v>0.78417543859649119</v>
      </c>
    </row>
    <row r="4529" spans="39:45">
      <c r="AM4529" s="55">
        <v>2019</v>
      </c>
      <c r="AN4529" s="55" t="s">
        <v>188</v>
      </c>
      <c r="AO4529" s="55">
        <v>8</v>
      </c>
      <c r="AP4529" s="55">
        <v>15</v>
      </c>
      <c r="AQ4529" s="55">
        <v>21978</v>
      </c>
      <c r="AR4529" s="55">
        <v>28500</v>
      </c>
      <c r="AS4529" s="78">
        <f t="shared" si="74"/>
        <v>0.77115789473684215</v>
      </c>
    </row>
    <row r="4530" spans="39:45">
      <c r="AM4530" s="54">
        <v>2019</v>
      </c>
      <c r="AN4530" s="54" t="s">
        <v>188</v>
      </c>
      <c r="AO4530" s="54">
        <v>8</v>
      </c>
      <c r="AP4530" s="54">
        <v>16</v>
      </c>
      <c r="AQ4530" s="54">
        <v>12246.5</v>
      </c>
      <c r="AR4530" s="55">
        <v>28500</v>
      </c>
      <c r="AS4530" s="78">
        <f t="shared" si="74"/>
        <v>0.42970175438596492</v>
      </c>
    </row>
    <row r="4531" spans="39:45">
      <c r="AM4531" s="55">
        <v>2019</v>
      </c>
      <c r="AN4531" s="55" t="s">
        <v>188</v>
      </c>
      <c r="AO4531" s="55">
        <v>8</v>
      </c>
      <c r="AP4531" s="55">
        <v>17</v>
      </c>
      <c r="AQ4531" s="55">
        <v>7001.5</v>
      </c>
      <c r="AR4531" s="55">
        <v>28500</v>
      </c>
      <c r="AS4531" s="78">
        <f t="shared" si="74"/>
        <v>0.24566666666666667</v>
      </c>
    </row>
    <row r="4532" spans="39:45">
      <c r="AM4532" s="54">
        <v>2019</v>
      </c>
      <c r="AN4532" s="54" t="s">
        <v>188</v>
      </c>
      <c r="AO4532" s="54">
        <v>8</v>
      </c>
      <c r="AP4532" s="54">
        <v>18</v>
      </c>
      <c r="AQ4532" s="54">
        <v>3013.5</v>
      </c>
      <c r="AR4532" s="55">
        <v>28500</v>
      </c>
      <c r="AS4532" s="78">
        <f t="shared" si="74"/>
        <v>0.10573684210526316</v>
      </c>
    </row>
    <row r="4533" spans="39:45">
      <c r="AM4533" s="55">
        <v>2019</v>
      </c>
      <c r="AN4533" s="55" t="s">
        <v>188</v>
      </c>
      <c r="AO4533" s="55">
        <v>8</v>
      </c>
      <c r="AP4533" s="55">
        <v>19</v>
      </c>
      <c r="AQ4533" s="55">
        <v>203</v>
      </c>
      <c r="AR4533" s="55">
        <v>28500</v>
      </c>
      <c r="AS4533" s="78">
        <f t="shared" si="74"/>
        <v>7.1228070175438597E-3</v>
      </c>
    </row>
    <row r="4534" spans="39:45">
      <c r="AM4534" s="54">
        <v>2019</v>
      </c>
      <c r="AN4534" s="54" t="s">
        <v>188</v>
      </c>
      <c r="AO4534" s="54">
        <v>8</v>
      </c>
      <c r="AP4534" s="54">
        <v>20</v>
      </c>
      <c r="AQ4534" s="54">
        <v>0</v>
      </c>
      <c r="AR4534" s="55">
        <v>28500</v>
      </c>
      <c r="AS4534" s="78">
        <f t="shared" si="74"/>
        <v>0</v>
      </c>
    </row>
    <row r="4535" spans="39:45">
      <c r="AM4535" s="55">
        <v>2019</v>
      </c>
      <c r="AN4535" s="55" t="s">
        <v>188</v>
      </c>
      <c r="AO4535" s="55">
        <v>8</v>
      </c>
      <c r="AP4535" s="55">
        <v>21</v>
      </c>
      <c r="AQ4535" s="55">
        <v>0</v>
      </c>
      <c r="AR4535" s="55">
        <v>28500</v>
      </c>
      <c r="AS4535" s="78">
        <f t="shared" si="74"/>
        <v>0</v>
      </c>
    </row>
    <row r="4536" spans="39:45">
      <c r="AM4536" s="54">
        <v>2019</v>
      </c>
      <c r="AN4536" s="54" t="s">
        <v>188</v>
      </c>
      <c r="AO4536" s="54">
        <v>8</v>
      </c>
      <c r="AP4536" s="54">
        <v>22</v>
      </c>
      <c r="AQ4536" s="54">
        <v>0</v>
      </c>
      <c r="AR4536" s="55">
        <v>28500</v>
      </c>
      <c r="AS4536" s="78">
        <f t="shared" si="74"/>
        <v>0</v>
      </c>
    </row>
    <row r="4537" spans="39:45">
      <c r="AM4537" s="55">
        <v>2019</v>
      </c>
      <c r="AN4537" s="55" t="s">
        <v>188</v>
      </c>
      <c r="AO4537" s="55">
        <v>8</v>
      </c>
      <c r="AP4537" s="55">
        <v>23</v>
      </c>
      <c r="AQ4537" s="55">
        <v>0</v>
      </c>
      <c r="AR4537" s="55">
        <v>28500</v>
      </c>
      <c r="AS4537" s="78">
        <f t="shared" si="74"/>
        <v>0</v>
      </c>
    </row>
    <row r="4538" spans="39:45">
      <c r="AM4538" s="54">
        <v>2019</v>
      </c>
      <c r="AN4538" s="54" t="s">
        <v>188</v>
      </c>
      <c r="AO4538" s="54">
        <v>9</v>
      </c>
      <c r="AP4538" s="54">
        <v>24</v>
      </c>
      <c r="AQ4538" s="54">
        <v>0</v>
      </c>
      <c r="AR4538" s="55">
        <v>28500</v>
      </c>
      <c r="AS4538" s="78">
        <f t="shared" si="74"/>
        <v>0</v>
      </c>
    </row>
    <row r="4539" spans="39:45">
      <c r="AM4539" s="55">
        <v>2019</v>
      </c>
      <c r="AN4539" s="55" t="s">
        <v>188</v>
      </c>
      <c r="AO4539" s="55">
        <v>9</v>
      </c>
      <c r="AP4539" s="55">
        <v>1</v>
      </c>
      <c r="AQ4539" s="55">
        <v>0</v>
      </c>
      <c r="AR4539" s="55">
        <v>28500</v>
      </c>
      <c r="AS4539" s="78">
        <f t="shared" si="74"/>
        <v>0</v>
      </c>
    </row>
    <row r="4540" spans="39:45">
      <c r="AM4540" s="54">
        <v>2019</v>
      </c>
      <c r="AN4540" s="54" t="s">
        <v>188</v>
      </c>
      <c r="AO4540" s="54">
        <v>9</v>
      </c>
      <c r="AP4540" s="54">
        <v>2</v>
      </c>
      <c r="AQ4540" s="54">
        <v>0</v>
      </c>
      <c r="AR4540" s="55">
        <v>28500</v>
      </c>
      <c r="AS4540" s="78">
        <f t="shared" si="74"/>
        <v>0</v>
      </c>
    </row>
    <row r="4541" spans="39:45">
      <c r="AM4541" s="55">
        <v>2019</v>
      </c>
      <c r="AN4541" s="55" t="s">
        <v>188</v>
      </c>
      <c r="AO4541" s="55">
        <v>9</v>
      </c>
      <c r="AP4541" s="55">
        <v>3</v>
      </c>
      <c r="AQ4541" s="55">
        <v>0</v>
      </c>
      <c r="AR4541" s="55">
        <v>28500</v>
      </c>
      <c r="AS4541" s="78">
        <f t="shared" si="74"/>
        <v>0</v>
      </c>
    </row>
    <row r="4542" spans="39:45">
      <c r="AM4542" s="54">
        <v>2019</v>
      </c>
      <c r="AN4542" s="54" t="s">
        <v>188</v>
      </c>
      <c r="AO4542" s="54">
        <v>9</v>
      </c>
      <c r="AP4542" s="54">
        <v>4</v>
      </c>
      <c r="AQ4542" s="54">
        <v>0</v>
      </c>
      <c r="AR4542" s="55">
        <v>28500</v>
      </c>
      <c r="AS4542" s="78">
        <f t="shared" si="74"/>
        <v>0</v>
      </c>
    </row>
    <row r="4543" spans="39:45">
      <c r="AM4543" s="55">
        <v>2019</v>
      </c>
      <c r="AN4543" s="55" t="s">
        <v>188</v>
      </c>
      <c r="AO4543" s="55">
        <v>9</v>
      </c>
      <c r="AP4543" s="55">
        <v>5</v>
      </c>
      <c r="AQ4543" s="55">
        <v>184.5</v>
      </c>
      <c r="AR4543" s="55">
        <v>28500</v>
      </c>
      <c r="AS4543" s="78">
        <f t="shared" si="74"/>
        <v>6.4736842105263155E-3</v>
      </c>
    </row>
    <row r="4544" spans="39:45">
      <c r="AM4544" s="54">
        <v>2019</v>
      </c>
      <c r="AN4544" s="54" t="s">
        <v>188</v>
      </c>
      <c r="AO4544" s="54">
        <v>9</v>
      </c>
      <c r="AP4544" s="54">
        <v>6</v>
      </c>
      <c r="AQ4544" s="54">
        <v>1856</v>
      </c>
      <c r="AR4544" s="55">
        <v>28500</v>
      </c>
      <c r="AS4544" s="78">
        <f t="shared" si="74"/>
        <v>6.512280701754386E-2</v>
      </c>
    </row>
    <row r="4545" spans="39:45">
      <c r="AM4545" s="55">
        <v>2019</v>
      </c>
      <c r="AN4545" s="55" t="s">
        <v>188</v>
      </c>
      <c r="AO4545" s="55">
        <v>9</v>
      </c>
      <c r="AP4545" s="55">
        <v>7</v>
      </c>
      <c r="AQ4545" s="55">
        <v>4626</v>
      </c>
      <c r="AR4545" s="55">
        <v>28500</v>
      </c>
      <c r="AS4545" s="78">
        <f t="shared" si="74"/>
        <v>0.16231578947368422</v>
      </c>
    </row>
    <row r="4546" spans="39:45">
      <c r="AM4546" s="54">
        <v>2019</v>
      </c>
      <c r="AN4546" s="54" t="s">
        <v>188</v>
      </c>
      <c r="AO4546" s="54">
        <v>9</v>
      </c>
      <c r="AP4546" s="54">
        <v>8</v>
      </c>
      <c r="AQ4546" s="54">
        <v>6987</v>
      </c>
      <c r="AR4546" s="55">
        <v>28500</v>
      </c>
      <c r="AS4546" s="78">
        <f t="shared" ref="AS4546:AS4609" si="75">AQ4546/AR4546</f>
        <v>0.2451578947368421</v>
      </c>
    </row>
    <row r="4547" spans="39:45">
      <c r="AM4547" s="55">
        <v>2019</v>
      </c>
      <c r="AN4547" s="55" t="s">
        <v>188</v>
      </c>
      <c r="AO4547" s="55">
        <v>9</v>
      </c>
      <c r="AP4547" s="55">
        <v>9</v>
      </c>
      <c r="AQ4547" s="55">
        <v>12707.5</v>
      </c>
      <c r="AR4547" s="55">
        <v>28500</v>
      </c>
      <c r="AS4547" s="78">
        <f t="shared" si="75"/>
        <v>0.44587719298245615</v>
      </c>
    </row>
    <row r="4548" spans="39:45">
      <c r="AM4548" s="54">
        <v>2019</v>
      </c>
      <c r="AN4548" s="54" t="s">
        <v>188</v>
      </c>
      <c r="AO4548" s="54">
        <v>9</v>
      </c>
      <c r="AP4548" s="54">
        <v>10</v>
      </c>
      <c r="AQ4548" s="54">
        <v>14581</v>
      </c>
      <c r="AR4548" s="55">
        <v>28500</v>
      </c>
      <c r="AS4548" s="78">
        <f t="shared" si="75"/>
        <v>0.5116140350877193</v>
      </c>
    </row>
    <row r="4549" spans="39:45">
      <c r="AM4549" s="55">
        <v>2019</v>
      </c>
      <c r="AN4549" s="55" t="s">
        <v>188</v>
      </c>
      <c r="AO4549" s="55">
        <v>9</v>
      </c>
      <c r="AP4549" s="55">
        <v>11</v>
      </c>
      <c r="AQ4549" s="55">
        <v>30249.5</v>
      </c>
      <c r="AR4549" s="55">
        <v>28500</v>
      </c>
      <c r="AS4549" s="78">
        <f t="shared" si="75"/>
        <v>1.0613859649122808</v>
      </c>
    </row>
    <row r="4550" spans="39:45">
      <c r="AM4550" s="54">
        <v>2019</v>
      </c>
      <c r="AN4550" s="54" t="s">
        <v>188</v>
      </c>
      <c r="AO4550" s="54">
        <v>9</v>
      </c>
      <c r="AP4550" s="54">
        <v>12</v>
      </c>
      <c r="AQ4550" s="54">
        <v>18919.5</v>
      </c>
      <c r="AR4550" s="55">
        <v>28500</v>
      </c>
      <c r="AS4550" s="78">
        <f t="shared" si="75"/>
        <v>0.6638421052631579</v>
      </c>
    </row>
    <row r="4551" spans="39:45">
      <c r="AM4551" s="55">
        <v>2019</v>
      </c>
      <c r="AN4551" s="55" t="s">
        <v>188</v>
      </c>
      <c r="AO4551" s="55">
        <v>9</v>
      </c>
      <c r="AP4551" s="55">
        <v>13</v>
      </c>
      <c r="AQ4551" s="55">
        <v>5266.5</v>
      </c>
      <c r="AR4551" s="55">
        <v>28500</v>
      </c>
      <c r="AS4551" s="78">
        <f t="shared" si="75"/>
        <v>0.18478947368421053</v>
      </c>
    </row>
    <row r="4552" spans="39:45">
      <c r="AM4552" s="54">
        <v>2019</v>
      </c>
      <c r="AN4552" s="54" t="s">
        <v>188</v>
      </c>
      <c r="AO4552" s="54">
        <v>9</v>
      </c>
      <c r="AP4552" s="54">
        <v>14</v>
      </c>
      <c r="AQ4552" s="54">
        <v>31781.5</v>
      </c>
      <c r="AR4552" s="55">
        <v>28500</v>
      </c>
      <c r="AS4552" s="78">
        <f t="shared" si="75"/>
        <v>1.1151403508771929</v>
      </c>
    </row>
    <row r="4553" spans="39:45">
      <c r="AM4553" s="55">
        <v>2019</v>
      </c>
      <c r="AN4553" s="55" t="s">
        <v>188</v>
      </c>
      <c r="AO4553" s="55">
        <v>9</v>
      </c>
      <c r="AP4553" s="55">
        <v>15</v>
      </c>
      <c r="AQ4553" s="55">
        <v>12687</v>
      </c>
      <c r="AR4553" s="55">
        <v>28500</v>
      </c>
      <c r="AS4553" s="78">
        <f t="shared" si="75"/>
        <v>0.44515789473684209</v>
      </c>
    </row>
    <row r="4554" spans="39:45">
      <c r="AM4554" s="54">
        <v>2019</v>
      </c>
      <c r="AN4554" s="54" t="s">
        <v>188</v>
      </c>
      <c r="AO4554" s="54">
        <v>9</v>
      </c>
      <c r="AP4554" s="54">
        <v>16</v>
      </c>
      <c r="AQ4554" s="54">
        <v>8618</v>
      </c>
      <c r="AR4554" s="55">
        <v>28500</v>
      </c>
      <c r="AS4554" s="78">
        <f t="shared" si="75"/>
        <v>0.3023859649122807</v>
      </c>
    </row>
    <row r="4555" spans="39:45">
      <c r="AM4555" s="55">
        <v>2019</v>
      </c>
      <c r="AN4555" s="55" t="s">
        <v>188</v>
      </c>
      <c r="AO4555" s="55">
        <v>9</v>
      </c>
      <c r="AP4555" s="55">
        <v>17</v>
      </c>
      <c r="AQ4555" s="55">
        <v>5907.5</v>
      </c>
      <c r="AR4555" s="55">
        <v>28500</v>
      </c>
      <c r="AS4555" s="78">
        <f t="shared" si="75"/>
        <v>0.20728070175438595</v>
      </c>
    </row>
    <row r="4556" spans="39:45">
      <c r="AM4556" s="54">
        <v>2019</v>
      </c>
      <c r="AN4556" s="54" t="s">
        <v>188</v>
      </c>
      <c r="AO4556" s="54">
        <v>9</v>
      </c>
      <c r="AP4556" s="54">
        <v>18</v>
      </c>
      <c r="AQ4556" s="54">
        <v>2911.5</v>
      </c>
      <c r="AR4556" s="55">
        <v>28500</v>
      </c>
      <c r="AS4556" s="78">
        <f t="shared" si="75"/>
        <v>0.1021578947368421</v>
      </c>
    </row>
    <row r="4557" spans="39:45">
      <c r="AM4557" s="55">
        <v>2019</v>
      </c>
      <c r="AN4557" s="55" t="s">
        <v>188</v>
      </c>
      <c r="AO4557" s="55">
        <v>9</v>
      </c>
      <c r="AP4557" s="55">
        <v>19</v>
      </c>
      <c r="AQ4557" s="55">
        <v>947</v>
      </c>
      <c r="AR4557" s="55">
        <v>28500</v>
      </c>
      <c r="AS4557" s="78">
        <f t="shared" si="75"/>
        <v>3.32280701754386E-2</v>
      </c>
    </row>
    <row r="4558" spans="39:45">
      <c r="AM4558" s="54">
        <v>2019</v>
      </c>
      <c r="AN4558" s="54" t="s">
        <v>188</v>
      </c>
      <c r="AO4558" s="54">
        <v>9</v>
      </c>
      <c r="AP4558" s="54">
        <v>20</v>
      </c>
      <c r="AQ4558" s="54">
        <v>0</v>
      </c>
      <c r="AR4558" s="55">
        <v>28500</v>
      </c>
      <c r="AS4558" s="78">
        <f t="shared" si="75"/>
        <v>0</v>
      </c>
    </row>
    <row r="4559" spans="39:45">
      <c r="AM4559" s="55">
        <v>2019</v>
      </c>
      <c r="AN4559" s="55" t="s">
        <v>188</v>
      </c>
      <c r="AO4559" s="55">
        <v>9</v>
      </c>
      <c r="AP4559" s="55">
        <v>21</v>
      </c>
      <c r="AQ4559" s="55">
        <v>0</v>
      </c>
      <c r="AR4559" s="55">
        <v>28500</v>
      </c>
      <c r="AS4559" s="78">
        <f t="shared" si="75"/>
        <v>0</v>
      </c>
    </row>
    <row r="4560" spans="39:45">
      <c r="AM4560" s="54">
        <v>2019</v>
      </c>
      <c r="AN4560" s="54" t="s">
        <v>188</v>
      </c>
      <c r="AO4560" s="54">
        <v>9</v>
      </c>
      <c r="AP4560" s="54">
        <v>22</v>
      </c>
      <c r="AQ4560" s="54">
        <v>0</v>
      </c>
      <c r="AR4560" s="55">
        <v>28500</v>
      </c>
      <c r="AS4560" s="78">
        <f t="shared" si="75"/>
        <v>0</v>
      </c>
    </row>
    <row r="4561" spans="39:45">
      <c r="AM4561" s="55">
        <v>2019</v>
      </c>
      <c r="AN4561" s="55" t="s">
        <v>188</v>
      </c>
      <c r="AO4561" s="55">
        <v>9</v>
      </c>
      <c r="AP4561" s="55">
        <v>23</v>
      </c>
      <c r="AQ4561" s="55">
        <v>0</v>
      </c>
      <c r="AR4561" s="55">
        <v>28500</v>
      </c>
      <c r="AS4561" s="78">
        <f t="shared" si="75"/>
        <v>0</v>
      </c>
    </row>
    <row r="4562" spans="39:45">
      <c r="AM4562" s="54">
        <v>2019</v>
      </c>
      <c r="AN4562" s="54" t="s">
        <v>188</v>
      </c>
      <c r="AO4562" s="54">
        <v>10</v>
      </c>
      <c r="AP4562" s="54">
        <v>24</v>
      </c>
      <c r="AQ4562" s="54">
        <v>0</v>
      </c>
      <c r="AR4562" s="55">
        <v>28500</v>
      </c>
      <c r="AS4562" s="78">
        <f t="shared" si="75"/>
        <v>0</v>
      </c>
    </row>
    <row r="4563" spans="39:45">
      <c r="AM4563" s="55">
        <v>2019</v>
      </c>
      <c r="AN4563" s="55" t="s">
        <v>188</v>
      </c>
      <c r="AO4563" s="55">
        <v>10</v>
      </c>
      <c r="AP4563" s="55">
        <v>1</v>
      </c>
      <c r="AQ4563" s="55">
        <v>0</v>
      </c>
      <c r="AR4563" s="55">
        <v>28500</v>
      </c>
      <c r="AS4563" s="78">
        <f t="shared" si="75"/>
        <v>0</v>
      </c>
    </row>
    <row r="4564" spans="39:45">
      <c r="AM4564" s="54">
        <v>2019</v>
      </c>
      <c r="AN4564" s="54" t="s">
        <v>188</v>
      </c>
      <c r="AO4564" s="54">
        <v>10</v>
      </c>
      <c r="AP4564" s="54">
        <v>2</v>
      </c>
      <c r="AQ4564" s="54">
        <v>0</v>
      </c>
      <c r="AR4564" s="55">
        <v>28500</v>
      </c>
      <c r="AS4564" s="78">
        <f t="shared" si="75"/>
        <v>0</v>
      </c>
    </row>
    <row r="4565" spans="39:45">
      <c r="AM4565" s="55">
        <v>2019</v>
      </c>
      <c r="AN4565" s="55" t="s">
        <v>188</v>
      </c>
      <c r="AO4565" s="55">
        <v>10</v>
      </c>
      <c r="AP4565" s="55">
        <v>3</v>
      </c>
      <c r="AQ4565" s="55">
        <v>0</v>
      </c>
      <c r="AR4565" s="55">
        <v>28500</v>
      </c>
      <c r="AS4565" s="78">
        <f t="shared" si="75"/>
        <v>0</v>
      </c>
    </row>
    <row r="4566" spans="39:45">
      <c r="AM4566" s="54">
        <v>2019</v>
      </c>
      <c r="AN4566" s="54" t="s">
        <v>188</v>
      </c>
      <c r="AO4566" s="54">
        <v>10</v>
      </c>
      <c r="AP4566" s="54">
        <v>4</v>
      </c>
      <c r="AQ4566" s="54">
        <v>0</v>
      </c>
      <c r="AR4566" s="55">
        <v>28500</v>
      </c>
      <c r="AS4566" s="78">
        <f t="shared" si="75"/>
        <v>0</v>
      </c>
    </row>
    <row r="4567" spans="39:45">
      <c r="AM4567" s="55">
        <v>2019</v>
      </c>
      <c r="AN4567" s="55" t="s">
        <v>188</v>
      </c>
      <c r="AO4567" s="55">
        <v>10</v>
      </c>
      <c r="AP4567" s="55">
        <v>5</v>
      </c>
      <c r="AQ4567" s="55">
        <v>636</v>
      </c>
      <c r="AR4567" s="55">
        <v>28500</v>
      </c>
      <c r="AS4567" s="78">
        <f t="shared" si="75"/>
        <v>2.2315789473684209E-2</v>
      </c>
    </row>
    <row r="4568" spans="39:45">
      <c r="AM4568" s="54">
        <v>2019</v>
      </c>
      <c r="AN4568" s="54" t="s">
        <v>188</v>
      </c>
      <c r="AO4568" s="54">
        <v>10</v>
      </c>
      <c r="AP4568" s="54">
        <v>6</v>
      </c>
      <c r="AQ4568" s="54">
        <v>4404.5</v>
      </c>
      <c r="AR4568" s="55">
        <v>28500</v>
      </c>
      <c r="AS4568" s="78">
        <f t="shared" si="75"/>
        <v>0.15454385964912282</v>
      </c>
    </row>
    <row r="4569" spans="39:45">
      <c r="AM4569" s="55">
        <v>2019</v>
      </c>
      <c r="AN4569" s="55" t="s">
        <v>188</v>
      </c>
      <c r="AO4569" s="55">
        <v>10</v>
      </c>
      <c r="AP4569" s="55">
        <v>7</v>
      </c>
      <c r="AQ4569" s="55">
        <v>7609</v>
      </c>
      <c r="AR4569" s="55">
        <v>28500</v>
      </c>
      <c r="AS4569" s="78">
        <f t="shared" si="75"/>
        <v>0.26698245614035088</v>
      </c>
    </row>
    <row r="4570" spans="39:45">
      <c r="AM4570" s="54">
        <v>2019</v>
      </c>
      <c r="AN4570" s="54" t="s">
        <v>188</v>
      </c>
      <c r="AO4570" s="54">
        <v>10</v>
      </c>
      <c r="AP4570" s="54">
        <v>8</v>
      </c>
      <c r="AQ4570" s="54">
        <v>14039.5</v>
      </c>
      <c r="AR4570" s="55">
        <v>28500</v>
      </c>
      <c r="AS4570" s="78">
        <f t="shared" si="75"/>
        <v>0.49261403508771928</v>
      </c>
    </row>
    <row r="4571" spans="39:45">
      <c r="AM4571" s="55">
        <v>2019</v>
      </c>
      <c r="AN4571" s="55" t="s">
        <v>188</v>
      </c>
      <c r="AO4571" s="55">
        <v>10</v>
      </c>
      <c r="AP4571" s="55">
        <v>9</v>
      </c>
      <c r="AQ4571" s="55">
        <v>15894.5</v>
      </c>
      <c r="AR4571" s="55">
        <v>28500</v>
      </c>
      <c r="AS4571" s="78">
        <f t="shared" si="75"/>
        <v>0.55770175438596492</v>
      </c>
    </row>
    <row r="4572" spans="39:45">
      <c r="AM4572" s="54">
        <v>2019</v>
      </c>
      <c r="AN4572" s="54" t="s">
        <v>188</v>
      </c>
      <c r="AO4572" s="54">
        <v>10</v>
      </c>
      <c r="AP4572" s="54">
        <v>10</v>
      </c>
      <c r="AQ4572" s="54">
        <v>9370</v>
      </c>
      <c r="AR4572" s="55">
        <v>28500</v>
      </c>
      <c r="AS4572" s="78">
        <f t="shared" si="75"/>
        <v>0.32877192982456138</v>
      </c>
    </row>
    <row r="4573" spans="39:45">
      <c r="AM4573" s="55">
        <v>2019</v>
      </c>
      <c r="AN4573" s="55" t="s">
        <v>188</v>
      </c>
      <c r="AO4573" s="55">
        <v>10</v>
      </c>
      <c r="AP4573" s="55">
        <v>11</v>
      </c>
      <c r="AQ4573" s="55">
        <v>15218</v>
      </c>
      <c r="AR4573" s="55">
        <v>28500</v>
      </c>
      <c r="AS4573" s="78">
        <f t="shared" si="75"/>
        <v>0.53396491228070175</v>
      </c>
    </row>
    <row r="4574" spans="39:45">
      <c r="AM4574" s="54">
        <v>2019</v>
      </c>
      <c r="AN4574" s="54" t="s">
        <v>188</v>
      </c>
      <c r="AO4574" s="54">
        <v>10</v>
      </c>
      <c r="AP4574" s="54">
        <v>12</v>
      </c>
      <c r="AQ4574" s="54">
        <v>22999.5</v>
      </c>
      <c r="AR4574" s="55">
        <v>28500</v>
      </c>
      <c r="AS4574" s="78">
        <f t="shared" si="75"/>
        <v>0.80700000000000005</v>
      </c>
    </row>
    <row r="4575" spans="39:45">
      <c r="AM4575" s="55">
        <v>2019</v>
      </c>
      <c r="AN4575" s="55" t="s">
        <v>188</v>
      </c>
      <c r="AO4575" s="55">
        <v>10</v>
      </c>
      <c r="AP4575" s="55">
        <v>13</v>
      </c>
      <c r="AQ4575" s="55">
        <v>22825.5</v>
      </c>
      <c r="AR4575" s="55">
        <v>28500</v>
      </c>
      <c r="AS4575" s="78">
        <f t="shared" si="75"/>
        <v>0.80089473684210521</v>
      </c>
    </row>
    <row r="4576" spans="39:45">
      <c r="AM4576" s="54">
        <v>2019</v>
      </c>
      <c r="AN4576" s="54" t="s">
        <v>188</v>
      </c>
      <c r="AO4576" s="54">
        <v>10</v>
      </c>
      <c r="AP4576" s="54">
        <v>14</v>
      </c>
      <c r="AQ4576" s="54">
        <v>18206</v>
      </c>
      <c r="AR4576" s="55">
        <v>28500</v>
      </c>
      <c r="AS4576" s="78">
        <f t="shared" si="75"/>
        <v>0.6388070175438596</v>
      </c>
    </row>
    <row r="4577" spans="39:45">
      <c r="AM4577" s="55">
        <v>2019</v>
      </c>
      <c r="AN4577" s="55" t="s">
        <v>188</v>
      </c>
      <c r="AO4577" s="55">
        <v>10</v>
      </c>
      <c r="AP4577" s="55">
        <v>15</v>
      </c>
      <c r="AQ4577" s="55">
        <v>16416.5</v>
      </c>
      <c r="AR4577" s="55">
        <v>28500</v>
      </c>
      <c r="AS4577" s="78">
        <f t="shared" si="75"/>
        <v>0.57601754385964909</v>
      </c>
    </row>
    <row r="4578" spans="39:45">
      <c r="AM4578" s="54">
        <v>2019</v>
      </c>
      <c r="AN4578" s="54" t="s">
        <v>188</v>
      </c>
      <c r="AO4578" s="54">
        <v>10</v>
      </c>
      <c r="AP4578" s="54">
        <v>16</v>
      </c>
      <c r="AQ4578" s="54">
        <v>16261</v>
      </c>
      <c r="AR4578" s="55">
        <v>28500</v>
      </c>
      <c r="AS4578" s="78">
        <f t="shared" si="75"/>
        <v>0.57056140350877194</v>
      </c>
    </row>
    <row r="4579" spans="39:45">
      <c r="AM4579" s="55">
        <v>2019</v>
      </c>
      <c r="AN4579" s="55" t="s">
        <v>188</v>
      </c>
      <c r="AO4579" s="55">
        <v>10</v>
      </c>
      <c r="AP4579" s="55">
        <v>17</v>
      </c>
      <c r="AQ4579" s="55">
        <v>9593.5</v>
      </c>
      <c r="AR4579" s="55">
        <v>28500</v>
      </c>
      <c r="AS4579" s="78">
        <f t="shared" si="75"/>
        <v>0.33661403508771931</v>
      </c>
    </row>
    <row r="4580" spans="39:45">
      <c r="AM4580" s="54">
        <v>2019</v>
      </c>
      <c r="AN4580" s="54" t="s">
        <v>188</v>
      </c>
      <c r="AO4580" s="54">
        <v>10</v>
      </c>
      <c r="AP4580" s="54">
        <v>18</v>
      </c>
      <c r="AQ4580" s="54">
        <v>2095</v>
      </c>
      <c r="AR4580" s="55">
        <v>28500</v>
      </c>
      <c r="AS4580" s="78">
        <f t="shared" si="75"/>
        <v>7.3508771929824565E-2</v>
      </c>
    </row>
    <row r="4581" spans="39:45">
      <c r="AM4581" s="55">
        <v>2019</v>
      </c>
      <c r="AN4581" s="55" t="s">
        <v>188</v>
      </c>
      <c r="AO4581" s="55">
        <v>10</v>
      </c>
      <c r="AP4581" s="55">
        <v>19</v>
      </c>
      <c r="AQ4581" s="55">
        <v>1002</v>
      </c>
      <c r="AR4581" s="55">
        <v>28500</v>
      </c>
      <c r="AS4581" s="78">
        <f t="shared" si="75"/>
        <v>3.5157894736842103E-2</v>
      </c>
    </row>
    <row r="4582" spans="39:45">
      <c r="AM4582" s="54">
        <v>2019</v>
      </c>
      <c r="AN4582" s="54" t="s">
        <v>188</v>
      </c>
      <c r="AO4582" s="54">
        <v>10</v>
      </c>
      <c r="AP4582" s="54">
        <v>20</v>
      </c>
      <c r="AQ4582" s="54">
        <v>0</v>
      </c>
      <c r="AR4582" s="55">
        <v>28500</v>
      </c>
      <c r="AS4582" s="78">
        <f t="shared" si="75"/>
        <v>0</v>
      </c>
    </row>
    <row r="4583" spans="39:45">
      <c r="AM4583" s="55">
        <v>2019</v>
      </c>
      <c r="AN4583" s="55" t="s">
        <v>188</v>
      </c>
      <c r="AO4583" s="55">
        <v>10</v>
      </c>
      <c r="AP4583" s="55">
        <v>21</v>
      </c>
      <c r="AQ4583" s="55">
        <v>0</v>
      </c>
      <c r="AR4583" s="55">
        <v>28500</v>
      </c>
      <c r="AS4583" s="78">
        <f t="shared" si="75"/>
        <v>0</v>
      </c>
    </row>
    <row r="4584" spans="39:45">
      <c r="AM4584" s="54">
        <v>2019</v>
      </c>
      <c r="AN4584" s="54" t="s">
        <v>188</v>
      </c>
      <c r="AO4584" s="54">
        <v>10</v>
      </c>
      <c r="AP4584" s="54">
        <v>22</v>
      </c>
      <c r="AQ4584" s="54">
        <v>0</v>
      </c>
      <c r="AR4584" s="55">
        <v>28500</v>
      </c>
      <c r="AS4584" s="78">
        <f t="shared" si="75"/>
        <v>0</v>
      </c>
    </row>
    <row r="4585" spans="39:45">
      <c r="AM4585" s="55">
        <v>2019</v>
      </c>
      <c r="AN4585" s="55" t="s">
        <v>188</v>
      </c>
      <c r="AO4585" s="55">
        <v>10</v>
      </c>
      <c r="AP4585" s="55">
        <v>23</v>
      </c>
      <c r="AQ4585" s="55">
        <v>0</v>
      </c>
      <c r="AR4585" s="55">
        <v>28500</v>
      </c>
      <c r="AS4585" s="78">
        <f t="shared" si="75"/>
        <v>0</v>
      </c>
    </row>
    <row r="4586" spans="39:45">
      <c r="AM4586" s="54">
        <v>2019</v>
      </c>
      <c r="AN4586" s="54" t="s">
        <v>188</v>
      </c>
      <c r="AO4586" s="54">
        <v>11</v>
      </c>
      <c r="AP4586" s="54">
        <v>24</v>
      </c>
      <c r="AQ4586" s="54">
        <v>0</v>
      </c>
      <c r="AR4586" s="55">
        <v>28500</v>
      </c>
      <c r="AS4586" s="78">
        <f t="shared" si="75"/>
        <v>0</v>
      </c>
    </row>
    <row r="4587" spans="39:45">
      <c r="AM4587" s="55">
        <v>2019</v>
      </c>
      <c r="AN4587" s="55" t="s">
        <v>188</v>
      </c>
      <c r="AO4587" s="55">
        <v>11</v>
      </c>
      <c r="AP4587" s="55">
        <v>1</v>
      </c>
      <c r="AQ4587" s="55">
        <v>0</v>
      </c>
      <c r="AR4587" s="55">
        <v>28500</v>
      </c>
      <c r="AS4587" s="78">
        <f t="shared" si="75"/>
        <v>0</v>
      </c>
    </row>
    <row r="4588" spans="39:45">
      <c r="AM4588" s="54">
        <v>2019</v>
      </c>
      <c r="AN4588" s="54" t="s">
        <v>188</v>
      </c>
      <c r="AO4588" s="54">
        <v>11</v>
      </c>
      <c r="AP4588" s="54">
        <v>2</v>
      </c>
      <c r="AQ4588" s="54">
        <v>0</v>
      </c>
      <c r="AR4588" s="55">
        <v>28500</v>
      </c>
      <c r="AS4588" s="78">
        <f t="shared" si="75"/>
        <v>0</v>
      </c>
    </row>
    <row r="4589" spans="39:45">
      <c r="AM4589" s="55">
        <v>2019</v>
      </c>
      <c r="AN4589" s="55" t="s">
        <v>188</v>
      </c>
      <c r="AO4589" s="55">
        <v>11</v>
      </c>
      <c r="AP4589" s="55">
        <v>3</v>
      </c>
      <c r="AQ4589" s="55">
        <v>0</v>
      </c>
      <c r="AR4589" s="55">
        <v>28500</v>
      </c>
      <c r="AS4589" s="78">
        <f t="shared" si="75"/>
        <v>0</v>
      </c>
    </row>
    <row r="4590" spans="39:45">
      <c r="AM4590" s="54">
        <v>2019</v>
      </c>
      <c r="AN4590" s="54" t="s">
        <v>188</v>
      </c>
      <c r="AO4590" s="54">
        <v>11</v>
      </c>
      <c r="AP4590" s="54">
        <v>4</v>
      </c>
      <c r="AQ4590" s="54">
        <v>0</v>
      </c>
      <c r="AR4590" s="55">
        <v>28500</v>
      </c>
      <c r="AS4590" s="78">
        <f t="shared" si="75"/>
        <v>0</v>
      </c>
    </row>
    <row r="4591" spans="39:45">
      <c r="AM4591" s="55">
        <v>2019</v>
      </c>
      <c r="AN4591" s="55" t="s">
        <v>188</v>
      </c>
      <c r="AO4591" s="55">
        <v>11</v>
      </c>
      <c r="AP4591" s="55">
        <v>5</v>
      </c>
      <c r="AQ4591" s="55">
        <v>331.5</v>
      </c>
      <c r="AR4591" s="55">
        <v>28500</v>
      </c>
      <c r="AS4591" s="78">
        <f t="shared" si="75"/>
        <v>1.1631578947368422E-2</v>
      </c>
    </row>
    <row r="4592" spans="39:45">
      <c r="AM4592" s="54">
        <v>2019</v>
      </c>
      <c r="AN4592" s="54" t="s">
        <v>188</v>
      </c>
      <c r="AO4592" s="54">
        <v>11</v>
      </c>
      <c r="AP4592" s="54">
        <v>6</v>
      </c>
      <c r="AQ4592" s="54">
        <v>3475.5</v>
      </c>
      <c r="AR4592" s="55">
        <v>28500</v>
      </c>
      <c r="AS4592" s="78">
        <f t="shared" si="75"/>
        <v>0.12194736842105264</v>
      </c>
    </row>
    <row r="4593" spans="39:45">
      <c r="AM4593" s="55">
        <v>2019</v>
      </c>
      <c r="AN4593" s="55" t="s">
        <v>188</v>
      </c>
      <c r="AO4593" s="55">
        <v>11</v>
      </c>
      <c r="AP4593" s="55">
        <v>7</v>
      </c>
      <c r="AQ4593" s="55">
        <v>9894</v>
      </c>
      <c r="AR4593" s="55">
        <v>28500</v>
      </c>
      <c r="AS4593" s="78">
        <f t="shared" si="75"/>
        <v>0.34715789473684211</v>
      </c>
    </row>
    <row r="4594" spans="39:45">
      <c r="AM4594" s="54">
        <v>2019</v>
      </c>
      <c r="AN4594" s="54" t="s">
        <v>188</v>
      </c>
      <c r="AO4594" s="54">
        <v>11</v>
      </c>
      <c r="AP4594" s="54">
        <v>8</v>
      </c>
      <c r="AQ4594" s="54">
        <v>13544.5</v>
      </c>
      <c r="AR4594" s="55">
        <v>28500</v>
      </c>
      <c r="AS4594" s="78">
        <f t="shared" si="75"/>
        <v>0.47524561403508769</v>
      </c>
    </row>
    <row r="4595" spans="39:45">
      <c r="AM4595" s="55">
        <v>2019</v>
      </c>
      <c r="AN4595" s="55" t="s">
        <v>188</v>
      </c>
      <c r="AO4595" s="55">
        <v>11</v>
      </c>
      <c r="AP4595" s="55">
        <v>9</v>
      </c>
      <c r="AQ4595" s="55">
        <v>22822</v>
      </c>
      <c r="AR4595" s="55">
        <v>28500</v>
      </c>
      <c r="AS4595" s="78">
        <f t="shared" si="75"/>
        <v>0.80077192982456136</v>
      </c>
    </row>
    <row r="4596" spans="39:45">
      <c r="AM4596" s="54">
        <v>2019</v>
      </c>
      <c r="AN4596" s="54" t="s">
        <v>188</v>
      </c>
      <c r="AO4596" s="54">
        <v>11</v>
      </c>
      <c r="AP4596" s="54">
        <v>10</v>
      </c>
      <c r="AQ4596" s="54">
        <v>30223</v>
      </c>
      <c r="AR4596" s="55">
        <v>28500</v>
      </c>
      <c r="AS4596" s="78">
        <f t="shared" si="75"/>
        <v>1.0604561403508772</v>
      </c>
    </row>
    <row r="4597" spans="39:45">
      <c r="AM4597" s="55">
        <v>2019</v>
      </c>
      <c r="AN4597" s="55" t="s">
        <v>188</v>
      </c>
      <c r="AO4597" s="55">
        <v>11</v>
      </c>
      <c r="AP4597" s="55">
        <v>11</v>
      </c>
      <c r="AQ4597" s="55">
        <v>37067.5</v>
      </c>
      <c r="AR4597" s="55">
        <v>28500</v>
      </c>
      <c r="AS4597" s="78">
        <f t="shared" si="75"/>
        <v>1.3006140350877193</v>
      </c>
    </row>
    <row r="4598" spans="39:45">
      <c r="AM4598" s="54">
        <v>2019</v>
      </c>
      <c r="AN4598" s="54" t="s">
        <v>188</v>
      </c>
      <c r="AO4598" s="54">
        <v>11</v>
      </c>
      <c r="AP4598" s="54">
        <v>12</v>
      </c>
      <c r="AQ4598" s="54">
        <v>36836.5</v>
      </c>
      <c r="AR4598" s="55">
        <v>28500</v>
      </c>
      <c r="AS4598" s="78">
        <f t="shared" si="75"/>
        <v>1.2925087719298245</v>
      </c>
    </row>
    <row r="4599" spans="39:45">
      <c r="AM4599" s="55">
        <v>2019</v>
      </c>
      <c r="AN4599" s="55" t="s">
        <v>188</v>
      </c>
      <c r="AO4599" s="55">
        <v>11</v>
      </c>
      <c r="AP4599" s="55">
        <v>13</v>
      </c>
      <c r="AQ4599" s="55">
        <v>32283.5</v>
      </c>
      <c r="AR4599" s="55">
        <v>28500</v>
      </c>
      <c r="AS4599" s="78">
        <f t="shared" si="75"/>
        <v>1.1327543859649123</v>
      </c>
    </row>
    <row r="4600" spans="39:45">
      <c r="AM4600" s="54">
        <v>2019</v>
      </c>
      <c r="AN4600" s="54" t="s">
        <v>188</v>
      </c>
      <c r="AO4600" s="54">
        <v>11</v>
      </c>
      <c r="AP4600" s="54">
        <v>14</v>
      </c>
      <c r="AQ4600" s="54">
        <v>28143</v>
      </c>
      <c r="AR4600" s="55">
        <v>28500</v>
      </c>
      <c r="AS4600" s="78">
        <f t="shared" si="75"/>
        <v>0.98747368421052628</v>
      </c>
    </row>
    <row r="4601" spans="39:45">
      <c r="AM4601" s="55">
        <v>2019</v>
      </c>
      <c r="AN4601" s="55" t="s">
        <v>188</v>
      </c>
      <c r="AO4601" s="55">
        <v>11</v>
      </c>
      <c r="AP4601" s="55">
        <v>15</v>
      </c>
      <c r="AQ4601" s="55">
        <v>19140.5</v>
      </c>
      <c r="AR4601" s="55">
        <v>28500</v>
      </c>
      <c r="AS4601" s="78">
        <f t="shared" si="75"/>
        <v>0.67159649122807019</v>
      </c>
    </row>
    <row r="4602" spans="39:45">
      <c r="AM4602" s="54">
        <v>2019</v>
      </c>
      <c r="AN4602" s="54" t="s">
        <v>188</v>
      </c>
      <c r="AO4602" s="54">
        <v>11</v>
      </c>
      <c r="AP4602" s="54">
        <v>16</v>
      </c>
      <c r="AQ4602" s="54">
        <v>18838.5</v>
      </c>
      <c r="AR4602" s="55">
        <v>28500</v>
      </c>
      <c r="AS4602" s="78">
        <f t="shared" si="75"/>
        <v>0.66100000000000003</v>
      </c>
    </row>
    <row r="4603" spans="39:45">
      <c r="AM4603" s="55">
        <v>2019</v>
      </c>
      <c r="AN4603" s="55" t="s">
        <v>188</v>
      </c>
      <c r="AO4603" s="55">
        <v>11</v>
      </c>
      <c r="AP4603" s="55">
        <v>17</v>
      </c>
      <c r="AQ4603" s="55">
        <v>9430.5</v>
      </c>
      <c r="AR4603" s="55">
        <v>28500</v>
      </c>
      <c r="AS4603" s="78">
        <f t="shared" si="75"/>
        <v>0.33089473684210524</v>
      </c>
    </row>
    <row r="4604" spans="39:45">
      <c r="AM4604" s="54">
        <v>2019</v>
      </c>
      <c r="AN4604" s="54" t="s">
        <v>188</v>
      </c>
      <c r="AO4604" s="54">
        <v>11</v>
      </c>
      <c r="AP4604" s="54">
        <v>18</v>
      </c>
      <c r="AQ4604" s="54">
        <v>3118</v>
      </c>
      <c r="AR4604" s="55">
        <v>28500</v>
      </c>
      <c r="AS4604" s="78">
        <f t="shared" si="75"/>
        <v>0.10940350877192982</v>
      </c>
    </row>
    <row r="4605" spans="39:45">
      <c r="AM4605" s="55">
        <v>2019</v>
      </c>
      <c r="AN4605" s="55" t="s">
        <v>188</v>
      </c>
      <c r="AO4605" s="55">
        <v>11</v>
      </c>
      <c r="AP4605" s="55">
        <v>19</v>
      </c>
      <c r="AQ4605" s="55">
        <v>476.5</v>
      </c>
      <c r="AR4605" s="55">
        <v>28500</v>
      </c>
      <c r="AS4605" s="78">
        <f t="shared" si="75"/>
        <v>1.6719298245614037E-2</v>
      </c>
    </row>
    <row r="4606" spans="39:45">
      <c r="AM4606" s="54">
        <v>2019</v>
      </c>
      <c r="AN4606" s="54" t="s">
        <v>188</v>
      </c>
      <c r="AO4606" s="54">
        <v>11</v>
      </c>
      <c r="AP4606" s="54">
        <v>20</v>
      </c>
      <c r="AQ4606" s="54">
        <v>0</v>
      </c>
      <c r="AR4606" s="55">
        <v>28500</v>
      </c>
      <c r="AS4606" s="78">
        <f t="shared" si="75"/>
        <v>0</v>
      </c>
    </row>
    <row r="4607" spans="39:45">
      <c r="AM4607" s="55">
        <v>2019</v>
      </c>
      <c r="AN4607" s="55" t="s">
        <v>188</v>
      </c>
      <c r="AO4607" s="55">
        <v>11</v>
      </c>
      <c r="AP4607" s="55">
        <v>21</v>
      </c>
      <c r="AQ4607" s="55">
        <v>0</v>
      </c>
      <c r="AR4607" s="55">
        <v>28500</v>
      </c>
      <c r="AS4607" s="78">
        <f t="shared" si="75"/>
        <v>0</v>
      </c>
    </row>
    <row r="4608" spans="39:45">
      <c r="AM4608" s="54">
        <v>2019</v>
      </c>
      <c r="AN4608" s="54" t="s">
        <v>188</v>
      </c>
      <c r="AO4608" s="54">
        <v>11</v>
      </c>
      <c r="AP4608" s="54">
        <v>22</v>
      </c>
      <c r="AQ4608" s="54">
        <v>0</v>
      </c>
      <c r="AR4608" s="55">
        <v>28500</v>
      </c>
      <c r="AS4608" s="78">
        <f t="shared" si="75"/>
        <v>0</v>
      </c>
    </row>
    <row r="4609" spans="39:45">
      <c r="AM4609" s="55">
        <v>2019</v>
      </c>
      <c r="AN4609" s="55" t="s">
        <v>188</v>
      </c>
      <c r="AO4609" s="55">
        <v>11</v>
      </c>
      <c r="AP4609" s="55">
        <v>23</v>
      </c>
      <c r="AQ4609" s="55">
        <v>0</v>
      </c>
      <c r="AR4609" s="55">
        <v>28500</v>
      </c>
      <c r="AS4609" s="78">
        <f t="shared" si="75"/>
        <v>0</v>
      </c>
    </row>
    <row r="4610" spans="39:45">
      <c r="AM4610" s="54">
        <v>2019</v>
      </c>
      <c r="AN4610" s="54" t="s">
        <v>188</v>
      </c>
      <c r="AO4610" s="54">
        <v>12</v>
      </c>
      <c r="AP4610" s="54">
        <v>24</v>
      </c>
      <c r="AQ4610" s="54">
        <v>0</v>
      </c>
      <c r="AR4610" s="55">
        <v>28500</v>
      </c>
      <c r="AS4610" s="78">
        <f t="shared" ref="AS4610:AS4673" si="76">AQ4610/AR4610</f>
        <v>0</v>
      </c>
    </row>
    <row r="4611" spans="39:45">
      <c r="AM4611" s="55">
        <v>2019</v>
      </c>
      <c r="AN4611" s="55" t="s">
        <v>188</v>
      </c>
      <c r="AO4611" s="55">
        <v>12</v>
      </c>
      <c r="AP4611" s="55">
        <v>1</v>
      </c>
      <c r="AQ4611" s="55">
        <v>0</v>
      </c>
      <c r="AR4611" s="55">
        <v>28500</v>
      </c>
      <c r="AS4611" s="78">
        <f t="shared" si="76"/>
        <v>0</v>
      </c>
    </row>
    <row r="4612" spans="39:45">
      <c r="AM4612" s="54">
        <v>2019</v>
      </c>
      <c r="AN4612" s="54" t="s">
        <v>188</v>
      </c>
      <c r="AO4612" s="54">
        <v>12</v>
      </c>
      <c r="AP4612" s="54">
        <v>2</v>
      </c>
      <c r="AQ4612" s="54">
        <v>0</v>
      </c>
      <c r="AR4612" s="55">
        <v>28500</v>
      </c>
      <c r="AS4612" s="78">
        <f t="shared" si="76"/>
        <v>0</v>
      </c>
    </row>
    <row r="4613" spans="39:45">
      <c r="AM4613" s="55">
        <v>2019</v>
      </c>
      <c r="AN4613" s="55" t="s">
        <v>188</v>
      </c>
      <c r="AO4613" s="55">
        <v>12</v>
      </c>
      <c r="AP4613" s="55">
        <v>3</v>
      </c>
      <c r="AQ4613" s="55">
        <v>0</v>
      </c>
      <c r="AR4613" s="55">
        <v>28500</v>
      </c>
      <c r="AS4613" s="78">
        <f t="shared" si="76"/>
        <v>0</v>
      </c>
    </row>
    <row r="4614" spans="39:45">
      <c r="AM4614" s="54">
        <v>2019</v>
      </c>
      <c r="AN4614" s="54" t="s">
        <v>188</v>
      </c>
      <c r="AO4614" s="54">
        <v>12</v>
      </c>
      <c r="AP4614" s="54">
        <v>4</v>
      </c>
      <c r="AQ4614" s="54">
        <v>0</v>
      </c>
      <c r="AR4614" s="55">
        <v>28500</v>
      </c>
      <c r="AS4614" s="78">
        <f t="shared" si="76"/>
        <v>0</v>
      </c>
    </row>
    <row r="4615" spans="39:45">
      <c r="AM4615" s="55">
        <v>2019</v>
      </c>
      <c r="AN4615" s="55" t="s">
        <v>188</v>
      </c>
      <c r="AO4615" s="55">
        <v>12</v>
      </c>
      <c r="AP4615" s="55">
        <v>5</v>
      </c>
      <c r="AQ4615" s="55">
        <v>874.5</v>
      </c>
      <c r="AR4615" s="55">
        <v>28500</v>
      </c>
      <c r="AS4615" s="78">
        <f t="shared" si="76"/>
        <v>3.068421052631579E-2</v>
      </c>
    </row>
    <row r="4616" spans="39:45">
      <c r="AM4616" s="54">
        <v>2019</v>
      </c>
      <c r="AN4616" s="54" t="s">
        <v>188</v>
      </c>
      <c r="AO4616" s="54">
        <v>12</v>
      </c>
      <c r="AP4616" s="54">
        <v>6</v>
      </c>
      <c r="AQ4616" s="54">
        <v>4367</v>
      </c>
      <c r="AR4616" s="55">
        <v>28500</v>
      </c>
      <c r="AS4616" s="78">
        <f t="shared" si="76"/>
        <v>0.1532280701754386</v>
      </c>
    </row>
    <row r="4617" spans="39:45">
      <c r="AM4617" s="55">
        <v>2019</v>
      </c>
      <c r="AN4617" s="55" t="s">
        <v>188</v>
      </c>
      <c r="AO4617" s="55">
        <v>12</v>
      </c>
      <c r="AP4617" s="55">
        <v>7</v>
      </c>
      <c r="AQ4617" s="55">
        <v>11998</v>
      </c>
      <c r="AR4617" s="55">
        <v>28500</v>
      </c>
      <c r="AS4617" s="78">
        <f t="shared" si="76"/>
        <v>0.4209824561403509</v>
      </c>
    </row>
    <row r="4618" spans="39:45">
      <c r="AM4618" s="54">
        <v>2019</v>
      </c>
      <c r="AN4618" s="54" t="s">
        <v>188</v>
      </c>
      <c r="AO4618" s="54">
        <v>12</v>
      </c>
      <c r="AP4618" s="54">
        <v>8</v>
      </c>
      <c r="AQ4618" s="54">
        <v>21567.5</v>
      </c>
      <c r="AR4618" s="55">
        <v>28500</v>
      </c>
      <c r="AS4618" s="78">
        <f t="shared" si="76"/>
        <v>0.75675438596491229</v>
      </c>
    </row>
    <row r="4619" spans="39:45">
      <c r="AM4619" s="55">
        <v>2019</v>
      </c>
      <c r="AN4619" s="55" t="s">
        <v>188</v>
      </c>
      <c r="AO4619" s="55">
        <v>12</v>
      </c>
      <c r="AP4619" s="55">
        <v>9</v>
      </c>
      <c r="AQ4619" s="55">
        <v>20583</v>
      </c>
      <c r="AR4619" s="55">
        <v>28500</v>
      </c>
      <c r="AS4619" s="78">
        <f t="shared" si="76"/>
        <v>0.72221052631578952</v>
      </c>
    </row>
    <row r="4620" spans="39:45">
      <c r="AM4620" s="54">
        <v>2019</v>
      </c>
      <c r="AN4620" s="54" t="s">
        <v>188</v>
      </c>
      <c r="AO4620" s="54">
        <v>12</v>
      </c>
      <c r="AP4620" s="54">
        <v>10</v>
      </c>
      <c r="AQ4620" s="54">
        <v>20725</v>
      </c>
      <c r="AR4620" s="55">
        <v>28500</v>
      </c>
      <c r="AS4620" s="78">
        <f t="shared" si="76"/>
        <v>0.72719298245614039</v>
      </c>
    </row>
    <row r="4621" spans="39:45">
      <c r="AM4621" s="55">
        <v>2019</v>
      </c>
      <c r="AN4621" s="55" t="s">
        <v>188</v>
      </c>
      <c r="AO4621" s="55">
        <v>12</v>
      </c>
      <c r="AP4621" s="55">
        <v>11</v>
      </c>
      <c r="AQ4621" s="55">
        <v>28323</v>
      </c>
      <c r="AR4621" s="55">
        <v>28500</v>
      </c>
      <c r="AS4621" s="78">
        <f t="shared" si="76"/>
        <v>0.99378947368421056</v>
      </c>
    </row>
    <row r="4622" spans="39:45">
      <c r="AM4622" s="54">
        <v>2019</v>
      </c>
      <c r="AN4622" s="54" t="s">
        <v>188</v>
      </c>
      <c r="AO4622" s="54">
        <v>12</v>
      </c>
      <c r="AP4622" s="54">
        <v>12</v>
      </c>
      <c r="AQ4622" s="54">
        <v>34756.5</v>
      </c>
      <c r="AR4622" s="55">
        <v>28500</v>
      </c>
      <c r="AS4622" s="78">
        <f t="shared" si="76"/>
        <v>1.2195263157894738</v>
      </c>
    </row>
    <row r="4623" spans="39:45">
      <c r="AM4623" s="55">
        <v>2019</v>
      </c>
      <c r="AN4623" s="55" t="s">
        <v>188</v>
      </c>
      <c r="AO4623" s="55">
        <v>12</v>
      </c>
      <c r="AP4623" s="55">
        <v>13</v>
      </c>
      <c r="AQ4623" s="55">
        <v>9940</v>
      </c>
      <c r="AR4623" s="55">
        <v>28500</v>
      </c>
      <c r="AS4623" s="78">
        <f t="shared" si="76"/>
        <v>0.3487719298245614</v>
      </c>
    </row>
    <row r="4624" spans="39:45">
      <c r="AM4624" s="54">
        <v>2019</v>
      </c>
      <c r="AN4624" s="54" t="s">
        <v>188</v>
      </c>
      <c r="AO4624" s="54">
        <v>12</v>
      </c>
      <c r="AP4624" s="54">
        <v>14</v>
      </c>
      <c r="AQ4624" s="54">
        <v>15905</v>
      </c>
      <c r="AR4624" s="55">
        <v>28500</v>
      </c>
      <c r="AS4624" s="78">
        <f t="shared" si="76"/>
        <v>0.55807017543859649</v>
      </c>
    </row>
    <row r="4625" spans="39:45">
      <c r="AM4625" s="55">
        <v>2019</v>
      </c>
      <c r="AN4625" s="55" t="s">
        <v>188</v>
      </c>
      <c r="AO4625" s="55">
        <v>12</v>
      </c>
      <c r="AP4625" s="55">
        <v>15</v>
      </c>
      <c r="AQ4625" s="55">
        <v>11324.5</v>
      </c>
      <c r="AR4625" s="55">
        <v>28500</v>
      </c>
      <c r="AS4625" s="78">
        <f t="shared" si="76"/>
        <v>0.39735087719298245</v>
      </c>
    </row>
    <row r="4626" spans="39:45">
      <c r="AM4626" s="54">
        <v>2019</v>
      </c>
      <c r="AN4626" s="54" t="s">
        <v>188</v>
      </c>
      <c r="AO4626" s="54">
        <v>12</v>
      </c>
      <c r="AP4626" s="54">
        <v>16</v>
      </c>
      <c r="AQ4626" s="54">
        <v>16493.5</v>
      </c>
      <c r="AR4626" s="55">
        <v>28500</v>
      </c>
      <c r="AS4626" s="78">
        <f t="shared" si="76"/>
        <v>0.57871929824561408</v>
      </c>
    </row>
    <row r="4627" spans="39:45">
      <c r="AM4627" s="55">
        <v>2019</v>
      </c>
      <c r="AN4627" s="55" t="s">
        <v>188</v>
      </c>
      <c r="AO4627" s="55">
        <v>12</v>
      </c>
      <c r="AP4627" s="55">
        <v>17</v>
      </c>
      <c r="AQ4627" s="55">
        <v>9996</v>
      </c>
      <c r="AR4627" s="55">
        <v>28500</v>
      </c>
      <c r="AS4627" s="78">
        <f t="shared" si="76"/>
        <v>0.35073684210526318</v>
      </c>
    </row>
    <row r="4628" spans="39:45">
      <c r="AM4628" s="54">
        <v>2019</v>
      </c>
      <c r="AN4628" s="54" t="s">
        <v>188</v>
      </c>
      <c r="AO4628" s="54">
        <v>12</v>
      </c>
      <c r="AP4628" s="54">
        <v>18</v>
      </c>
      <c r="AQ4628" s="54">
        <v>2599.5</v>
      </c>
      <c r="AR4628" s="55">
        <v>28500</v>
      </c>
      <c r="AS4628" s="78">
        <f t="shared" si="76"/>
        <v>9.1210526315789478E-2</v>
      </c>
    </row>
    <row r="4629" spans="39:45">
      <c r="AM4629" s="55">
        <v>2019</v>
      </c>
      <c r="AN4629" s="55" t="s">
        <v>188</v>
      </c>
      <c r="AO4629" s="55">
        <v>12</v>
      </c>
      <c r="AP4629" s="55">
        <v>19</v>
      </c>
      <c r="AQ4629" s="55">
        <v>822.5</v>
      </c>
      <c r="AR4629" s="55">
        <v>28500</v>
      </c>
      <c r="AS4629" s="78">
        <f t="shared" si="76"/>
        <v>2.8859649122807019E-2</v>
      </c>
    </row>
    <row r="4630" spans="39:45">
      <c r="AM4630" s="54">
        <v>2019</v>
      </c>
      <c r="AN4630" s="54" t="s">
        <v>188</v>
      </c>
      <c r="AO4630" s="54">
        <v>12</v>
      </c>
      <c r="AP4630" s="54">
        <v>20</v>
      </c>
      <c r="AQ4630" s="54">
        <v>0</v>
      </c>
      <c r="AR4630" s="55">
        <v>28500</v>
      </c>
      <c r="AS4630" s="78">
        <f t="shared" si="76"/>
        <v>0</v>
      </c>
    </row>
    <row r="4631" spans="39:45">
      <c r="AM4631" s="55">
        <v>2019</v>
      </c>
      <c r="AN4631" s="55" t="s">
        <v>188</v>
      </c>
      <c r="AO4631" s="55">
        <v>12</v>
      </c>
      <c r="AP4631" s="55">
        <v>21</v>
      </c>
      <c r="AQ4631" s="55">
        <v>0</v>
      </c>
      <c r="AR4631" s="55">
        <v>28500</v>
      </c>
      <c r="AS4631" s="78">
        <f t="shared" si="76"/>
        <v>0</v>
      </c>
    </row>
    <row r="4632" spans="39:45">
      <c r="AM4632" s="54">
        <v>2019</v>
      </c>
      <c r="AN4632" s="54" t="s">
        <v>188</v>
      </c>
      <c r="AO4632" s="54">
        <v>12</v>
      </c>
      <c r="AP4632" s="54">
        <v>22</v>
      </c>
      <c r="AQ4632" s="54">
        <v>0</v>
      </c>
      <c r="AR4632" s="55">
        <v>28500</v>
      </c>
      <c r="AS4632" s="78">
        <f t="shared" si="76"/>
        <v>0</v>
      </c>
    </row>
    <row r="4633" spans="39:45">
      <c r="AM4633" s="55">
        <v>2019</v>
      </c>
      <c r="AN4633" s="55" t="s">
        <v>188</v>
      </c>
      <c r="AO4633" s="55">
        <v>12</v>
      </c>
      <c r="AP4633" s="55">
        <v>23</v>
      </c>
      <c r="AQ4633" s="55">
        <v>0</v>
      </c>
      <c r="AR4633" s="55">
        <v>28500</v>
      </c>
      <c r="AS4633" s="78">
        <f t="shared" si="76"/>
        <v>0</v>
      </c>
    </row>
    <row r="4634" spans="39:45">
      <c r="AM4634" s="54">
        <v>2019</v>
      </c>
      <c r="AN4634" s="54" t="s">
        <v>188</v>
      </c>
      <c r="AO4634" s="54">
        <v>13</v>
      </c>
      <c r="AP4634" s="54">
        <v>24</v>
      </c>
      <c r="AQ4634" s="54">
        <v>0</v>
      </c>
      <c r="AR4634" s="55">
        <v>28500</v>
      </c>
      <c r="AS4634" s="78">
        <f t="shared" si="76"/>
        <v>0</v>
      </c>
    </row>
    <row r="4635" spans="39:45">
      <c r="AM4635" s="55">
        <v>2019</v>
      </c>
      <c r="AN4635" s="55" t="s">
        <v>188</v>
      </c>
      <c r="AO4635" s="55">
        <v>13</v>
      </c>
      <c r="AP4635" s="55">
        <v>1</v>
      </c>
      <c r="AQ4635" s="55">
        <v>0</v>
      </c>
      <c r="AR4635" s="55">
        <v>28500</v>
      </c>
      <c r="AS4635" s="78">
        <f t="shared" si="76"/>
        <v>0</v>
      </c>
    </row>
    <row r="4636" spans="39:45">
      <c r="AM4636" s="54">
        <v>2019</v>
      </c>
      <c r="AN4636" s="54" t="s">
        <v>188</v>
      </c>
      <c r="AO4636" s="54">
        <v>13</v>
      </c>
      <c r="AP4636" s="54">
        <v>2</v>
      </c>
      <c r="AQ4636" s="54">
        <v>0</v>
      </c>
      <c r="AR4636" s="55">
        <v>28500</v>
      </c>
      <c r="AS4636" s="78">
        <f t="shared" si="76"/>
        <v>0</v>
      </c>
    </row>
    <row r="4637" spans="39:45">
      <c r="AM4637" s="55">
        <v>2019</v>
      </c>
      <c r="AN4637" s="55" t="s">
        <v>188</v>
      </c>
      <c r="AO4637" s="55">
        <v>13</v>
      </c>
      <c r="AP4637" s="55">
        <v>3</v>
      </c>
      <c r="AQ4637" s="55">
        <v>0</v>
      </c>
      <c r="AR4637" s="55">
        <v>28500</v>
      </c>
      <c r="AS4637" s="78">
        <f t="shared" si="76"/>
        <v>0</v>
      </c>
    </row>
    <row r="4638" spans="39:45">
      <c r="AM4638" s="54">
        <v>2019</v>
      </c>
      <c r="AN4638" s="54" t="s">
        <v>188</v>
      </c>
      <c r="AO4638" s="54">
        <v>13</v>
      </c>
      <c r="AP4638" s="54">
        <v>4</v>
      </c>
      <c r="AQ4638" s="54">
        <v>0</v>
      </c>
      <c r="AR4638" s="55">
        <v>28500</v>
      </c>
      <c r="AS4638" s="78">
        <f t="shared" si="76"/>
        <v>0</v>
      </c>
    </row>
    <row r="4639" spans="39:45">
      <c r="AM4639" s="55">
        <v>2019</v>
      </c>
      <c r="AN4639" s="55" t="s">
        <v>188</v>
      </c>
      <c r="AO4639" s="55">
        <v>13</v>
      </c>
      <c r="AP4639" s="55">
        <v>5</v>
      </c>
      <c r="AQ4639" s="55">
        <v>1327.5</v>
      </c>
      <c r="AR4639" s="55">
        <v>28500</v>
      </c>
      <c r="AS4639" s="78">
        <f t="shared" si="76"/>
        <v>4.6578947368421053E-2</v>
      </c>
    </row>
    <row r="4640" spans="39:45">
      <c r="AM4640" s="54">
        <v>2019</v>
      </c>
      <c r="AN4640" s="54" t="s">
        <v>188</v>
      </c>
      <c r="AO4640" s="54">
        <v>13</v>
      </c>
      <c r="AP4640" s="54">
        <v>6</v>
      </c>
      <c r="AQ4640" s="54">
        <v>4426</v>
      </c>
      <c r="AR4640" s="55">
        <v>28500</v>
      </c>
      <c r="AS4640" s="78">
        <f t="shared" si="76"/>
        <v>0.15529824561403507</v>
      </c>
    </row>
    <row r="4641" spans="39:45">
      <c r="AM4641" s="55">
        <v>2019</v>
      </c>
      <c r="AN4641" s="55" t="s">
        <v>188</v>
      </c>
      <c r="AO4641" s="55">
        <v>13</v>
      </c>
      <c r="AP4641" s="55">
        <v>7</v>
      </c>
      <c r="AQ4641" s="55">
        <v>10638</v>
      </c>
      <c r="AR4641" s="55">
        <v>28500</v>
      </c>
      <c r="AS4641" s="78">
        <f t="shared" si="76"/>
        <v>0.37326315789473685</v>
      </c>
    </row>
    <row r="4642" spans="39:45">
      <c r="AM4642" s="54">
        <v>2019</v>
      </c>
      <c r="AN4642" s="54" t="s">
        <v>188</v>
      </c>
      <c r="AO4642" s="54">
        <v>13</v>
      </c>
      <c r="AP4642" s="54">
        <v>8</v>
      </c>
      <c r="AQ4642" s="54">
        <v>14808.5</v>
      </c>
      <c r="AR4642" s="55">
        <v>28500</v>
      </c>
      <c r="AS4642" s="78">
        <f t="shared" si="76"/>
        <v>0.51959649122807017</v>
      </c>
    </row>
    <row r="4643" spans="39:45">
      <c r="AM4643" s="55">
        <v>2019</v>
      </c>
      <c r="AN4643" s="55" t="s">
        <v>188</v>
      </c>
      <c r="AO4643" s="55">
        <v>13</v>
      </c>
      <c r="AP4643" s="55">
        <v>9</v>
      </c>
      <c r="AQ4643" s="55">
        <v>25628</v>
      </c>
      <c r="AR4643" s="55">
        <v>28500</v>
      </c>
      <c r="AS4643" s="78">
        <f t="shared" si="76"/>
        <v>0.8992280701754386</v>
      </c>
    </row>
    <row r="4644" spans="39:45">
      <c r="AM4644" s="54">
        <v>2019</v>
      </c>
      <c r="AN4644" s="54" t="s">
        <v>188</v>
      </c>
      <c r="AO4644" s="54">
        <v>13</v>
      </c>
      <c r="AP4644" s="54">
        <v>10</v>
      </c>
      <c r="AQ4644" s="54">
        <v>16811</v>
      </c>
      <c r="AR4644" s="55">
        <v>28500</v>
      </c>
      <c r="AS4644" s="78">
        <f t="shared" si="76"/>
        <v>0.58985964912280697</v>
      </c>
    </row>
    <row r="4645" spans="39:45">
      <c r="AM4645" s="55">
        <v>2019</v>
      </c>
      <c r="AN4645" s="55" t="s">
        <v>188</v>
      </c>
      <c r="AO4645" s="55">
        <v>13</v>
      </c>
      <c r="AP4645" s="55">
        <v>11</v>
      </c>
      <c r="AQ4645" s="55">
        <v>14411.5</v>
      </c>
      <c r="AR4645" s="55">
        <v>28500</v>
      </c>
      <c r="AS4645" s="78">
        <f t="shared" si="76"/>
        <v>0.50566666666666671</v>
      </c>
    </row>
    <row r="4646" spans="39:45">
      <c r="AM4646" s="54">
        <v>2019</v>
      </c>
      <c r="AN4646" s="54" t="s">
        <v>188</v>
      </c>
      <c r="AO4646" s="54">
        <v>13</v>
      </c>
      <c r="AP4646" s="54">
        <v>12</v>
      </c>
      <c r="AQ4646" s="54">
        <v>14742</v>
      </c>
      <c r="AR4646" s="55">
        <v>28500</v>
      </c>
      <c r="AS4646" s="78">
        <f t="shared" si="76"/>
        <v>0.51726315789473687</v>
      </c>
    </row>
    <row r="4647" spans="39:45">
      <c r="AM4647" s="55">
        <v>2019</v>
      </c>
      <c r="AN4647" s="55" t="s">
        <v>188</v>
      </c>
      <c r="AO4647" s="55">
        <v>13</v>
      </c>
      <c r="AP4647" s="55">
        <v>13</v>
      </c>
      <c r="AQ4647" s="55">
        <v>15156</v>
      </c>
      <c r="AR4647" s="55">
        <v>28500</v>
      </c>
      <c r="AS4647" s="78">
        <f t="shared" si="76"/>
        <v>0.53178947368421048</v>
      </c>
    </row>
    <row r="4648" spans="39:45">
      <c r="AM4648" s="54">
        <v>2019</v>
      </c>
      <c r="AN4648" s="54" t="s">
        <v>188</v>
      </c>
      <c r="AO4648" s="54">
        <v>13</v>
      </c>
      <c r="AP4648" s="54">
        <v>14</v>
      </c>
      <c r="AQ4648" s="54">
        <v>13228.5</v>
      </c>
      <c r="AR4648" s="55">
        <v>28500</v>
      </c>
      <c r="AS4648" s="78">
        <f t="shared" si="76"/>
        <v>0.4641578947368421</v>
      </c>
    </row>
    <row r="4649" spans="39:45">
      <c r="AM4649" s="55">
        <v>2019</v>
      </c>
      <c r="AN4649" s="55" t="s">
        <v>188</v>
      </c>
      <c r="AO4649" s="55">
        <v>13</v>
      </c>
      <c r="AP4649" s="55">
        <v>15</v>
      </c>
      <c r="AQ4649" s="55">
        <v>15361</v>
      </c>
      <c r="AR4649" s="55">
        <v>28500</v>
      </c>
      <c r="AS4649" s="78">
        <f t="shared" si="76"/>
        <v>0.5389824561403509</v>
      </c>
    </row>
    <row r="4650" spans="39:45">
      <c r="AM4650" s="54">
        <v>2019</v>
      </c>
      <c r="AN4650" s="54" t="s">
        <v>188</v>
      </c>
      <c r="AO4650" s="54">
        <v>13</v>
      </c>
      <c r="AP4650" s="54">
        <v>16</v>
      </c>
      <c r="AQ4650" s="54">
        <v>11928</v>
      </c>
      <c r="AR4650" s="55">
        <v>28500</v>
      </c>
      <c r="AS4650" s="78">
        <f t="shared" si="76"/>
        <v>0.41852631578947369</v>
      </c>
    </row>
    <row r="4651" spans="39:45">
      <c r="AM4651" s="55">
        <v>2019</v>
      </c>
      <c r="AN4651" s="55" t="s">
        <v>188</v>
      </c>
      <c r="AO4651" s="55">
        <v>13</v>
      </c>
      <c r="AP4651" s="55">
        <v>17</v>
      </c>
      <c r="AQ4651" s="55">
        <v>8837.5</v>
      </c>
      <c r="AR4651" s="55">
        <v>28500</v>
      </c>
      <c r="AS4651" s="78">
        <f t="shared" si="76"/>
        <v>0.31008771929824563</v>
      </c>
    </row>
    <row r="4652" spans="39:45">
      <c r="AM4652" s="54">
        <v>2019</v>
      </c>
      <c r="AN4652" s="54" t="s">
        <v>188</v>
      </c>
      <c r="AO4652" s="54">
        <v>13</v>
      </c>
      <c r="AP4652" s="54">
        <v>18</v>
      </c>
      <c r="AQ4652" s="54">
        <v>3323</v>
      </c>
      <c r="AR4652" s="55">
        <v>28500</v>
      </c>
      <c r="AS4652" s="78">
        <f t="shared" si="76"/>
        <v>0.11659649122807017</v>
      </c>
    </row>
    <row r="4653" spans="39:45">
      <c r="AM4653" s="55">
        <v>2019</v>
      </c>
      <c r="AN4653" s="55" t="s">
        <v>188</v>
      </c>
      <c r="AO4653" s="55">
        <v>13</v>
      </c>
      <c r="AP4653" s="55">
        <v>19</v>
      </c>
      <c r="AQ4653" s="55">
        <v>402.5</v>
      </c>
      <c r="AR4653" s="55">
        <v>28500</v>
      </c>
      <c r="AS4653" s="78">
        <f t="shared" si="76"/>
        <v>1.412280701754386E-2</v>
      </c>
    </row>
    <row r="4654" spans="39:45">
      <c r="AM4654" s="54">
        <v>2019</v>
      </c>
      <c r="AN4654" s="54" t="s">
        <v>188</v>
      </c>
      <c r="AO4654" s="54">
        <v>13</v>
      </c>
      <c r="AP4654" s="54">
        <v>20</v>
      </c>
      <c r="AQ4654" s="54">
        <v>0</v>
      </c>
      <c r="AR4654" s="55">
        <v>28500</v>
      </c>
      <c r="AS4654" s="78">
        <f t="shared" si="76"/>
        <v>0</v>
      </c>
    </row>
    <row r="4655" spans="39:45">
      <c r="AM4655" s="55">
        <v>2019</v>
      </c>
      <c r="AN4655" s="55" t="s">
        <v>188</v>
      </c>
      <c r="AO4655" s="55">
        <v>13</v>
      </c>
      <c r="AP4655" s="55">
        <v>21</v>
      </c>
      <c r="AQ4655" s="55">
        <v>0</v>
      </c>
      <c r="AR4655" s="55">
        <v>28500</v>
      </c>
      <c r="AS4655" s="78">
        <f t="shared" si="76"/>
        <v>0</v>
      </c>
    </row>
    <row r="4656" spans="39:45">
      <c r="AM4656" s="54">
        <v>2019</v>
      </c>
      <c r="AN4656" s="54" t="s">
        <v>188</v>
      </c>
      <c r="AO4656" s="54">
        <v>13</v>
      </c>
      <c r="AP4656" s="54">
        <v>22</v>
      </c>
      <c r="AQ4656" s="54">
        <v>0</v>
      </c>
      <c r="AR4656" s="55">
        <v>28500</v>
      </c>
      <c r="AS4656" s="78">
        <f t="shared" si="76"/>
        <v>0</v>
      </c>
    </row>
    <row r="4657" spans="39:45">
      <c r="AM4657" s="55">
        <v>2019</v>
      </c>
      <c r="AN4657" s="55" t="s">
        <v>188</v>
      </c>
      <c r="AO4657" s="55">
        <v>13</v>
      </c>
      <c r="AP4657" s="55">
        <v>23</v>
      </c>
      <c r="AQ4657" s="55">
        <v>0</v>
      </c>
      <c r="AR4657" s="55">
        <v>28500</v>
      </c>
      <c r="AS4657" s="78">
        <f t="shared" si="76"/>
        <v>0</v>
      </c>
    </row>
    <row r="4658" spans="39:45">
      <c r="AM4658" s="54">
        <v>2019</v>
      </c>
      <c r="AN4658" s="54" t="s">
        <v>188</v>
      </c>
      <c r="AO4658" s="54">
        <v>14</v>
      </c>
      <c r="AP4658" s="54">
        <v>24</v>
      </c>
      <c r="AQ4658" s="54">
        <v>0</v>
      </c>
      <c r="AR4658" s="55">
        <v>28500</v>
      </c>
      <c r="AS4658" s="78">
        <f t="shared" si="76"/>
        <v>0</v>
      </c>
    </row>
    <row r="4659" spans="39:45">
      <c r="AM4659" s="55">
        <v>2019</v>
      </c>
      <c r="AN4659" s="55" t="s">
        <v>188</v>
      </c>
      <c r="AO4659" s="55">
        <v>14</v>
      </c>
      <c r="AP4659" s="55">
        <v>1</v>
      </c>
      <c r="AQ4659" s="55">
        <v>0</v>
      </c>
      <c r="AR4659" s="55">
        <v>28500</v>
      </c>
      <c r="AS4659" s="78">
        <f t="shared" si="76"/>
        <v>0</v>
      </c>
    </row>
    <row r="4660" spans="39:45">
      <c r="AM4660" s="54">
        <v>2019</v>
      </c>
      <c r="AN4660" s="54" t="s">
        <v>188</v>
      </c>
      <c r="AO4660" s="54">
        <v>14</v>
      </c>
      <c r="AP4660" s="54">
        <v>2</v>
      </c>
      <c r="AQ4660" s="54">
        <v>0</v>
      </c>
      <c r="AR4660" s="55">
        <v>28500</v>
      </c>
      <c r="AS4660" s="78">
        <f t="shared" si="76"/>
        <v>0</v>
      </c>
    </row>
    <row r="4661" spans="39:45">
      <c r="AM4661" s="55">
        <v>2019</v>
      </c>
      <c r="AN4661" s="55" t="s">
        <v>188</v>
      </c>
      <c r="AO4661" s="55">
        <v>14</v>
      </c>
      <c r="AP4661" s="55">
        <v>3</v>
      </c>
      <c r="AQ4661" s="55">
        <v>0</v>
      </c>
      <c r="AR4661" s="55">
        <v>28500</v>
      </c>
      <c r="AS4661" s="78">
        <f t="shared" si="76"/>
        <v>0</v>
      </c>
    </row>
    <row r="4662" spans="39:45">
      <c r="AM4662" s="54">
        <v>2019</v>
      </c>
      <c r="AN4662" s="54" t="s">
        <v>188</v>
      </c>
      <c r="AO4662" s="54">
        <v>14</v>
      </c>
      <c r="AP4662" s="54">
        <v>4</v>
      </c>
      <c r="AQ4662" s="54">
        <v>0</v>
      </c>
      <c r="AR4662" s="55">
        <v>28500</v>
      </c>
      <c r="AS4662" s="78">
        <f t="shared" si="76"/>
        <v>0</v>
      </c>
    </row>
    <row r="4663" spans="39:45">
      <c r="AM4663" s="55">
        <v>2019</v>
      </c>
      <c r="AN4663" s="55" t="s">
        <v>188</v>
      </c>
      <c r="AO4663" s="55">
        <v>14</v>
      </c>
      <c r="AP4663" s="55">
        <v>5</v>
      </c>
      <c r="AQ4663" s="55">
        <v>1424.5</v>
      </c>
      <c r="AR4663" s="55">
        <v>28500</v>
      </c>
      <c r="AS4663" s="78">
        <f t="shared" si="76"/>
        <v>4.9982456140350878E-2</v>
      </c>
    </row>
    <row r="4664" spans="39:45">
      <c r="AM4664" s="54">
        <v>2019</v>
      </c>
      <c r="AN4664" s="54" t="s">
        <v>188</v>
      </c>
      <c r="AO4664" s="54">
        <v>14</v>
      </c>
      <c r="AP4664" s="54">
        <v>6</v>
      </c>
      <c r="AQ4664" s="54">
        <v>3788</v>
      </c>
      <c r="AR4664" s="55">
        <v>28500</v>
      </c>
      <c r="AS4664" s="78">
        <f t="shared" si="76"/>
        <v>0.1329122807017544</v>
      </c>
    </row>
    <row r="4665" spans="39:45">
      <c r="AM4665" s="55">
        <v>2019</v>
      </c>
      <c r="AN4665" s="55" t="s">
        <v>188</v>
      </c>
      <c r="AO4665" s="55">
        <v>14</v>
      </c>
      <c r="AP4665" s="55">
        <v>7</v>
      </c>
      <c r="AQ4665" s="55">
        <v>6898</v>
      </c>
      <c r="AR4665" s="55">
        <v>28500</v>
      </c>
      <c r="AS4665" s="78">
        <f t="shared" si="76"/>
        <v>0.24203508771929824</v>
      </c>
    </row>
    <row r="4666" spans="39:45">
      <c r="AM4666" s="54">
        <v>2019</v>
      </c>
      <c r="AN4666" s="54" t="s">
        <v>188</v>
      </c>
      <c r="AO4666" s="54">
        <v>14</v>
      </c>
      <c r="AP4666" s="54">
        <v>8</v>
      </c>
      <c r="AQ4666" s="54">
        <v>6850</v>
      </c>
      <c r="AR4666" s="55">
        <v>28500</v>
      </c>
      <c r="AS4666" s="78">
        <f t="shared" si="76"/>
        <v>0.24035087719298245</v>
      </c>
    </row>
    <row r="4667" spans="39:45">
      <c r="AM4667" s="55">
        <v>2019</v>
      </c>
      <c r="AN4667" s="55" t="s">
        <v>188</v>
      </c>
      <c r="AO4667" s="55">
        <v>14</v>
      </c>
      <c r="AP4667" s="55">
        <v>9</v>
      </c>
      <c r="AQ4667" s="55">
        <v>21491</v>
      </c>
      <c r="AR4667" s="55">
        <v>28500</v>
      </c>
      <c r="AS4667" s="78">
        <f t="shared" si="76"/>
        <v>0.75407017543859645</v>
      </c>
    </row>
    <row r="4668" spans="39:45">
      <c r="AM4668" s="54">
        <v>2019</v>
      </c>
      <c r="AN4668" s="54" t="s">
        <v>188</v>
      </c>
      <c r="AO4668" s="54">
        <v>14</v>
      </c>
      <c r="AP4668" s="54">
        <v>10</v>
      </c>
      <c r="AQ4668" s="54">
        <v>15315.5</v>
      </c>
      <c r="AR4668" s="55">
        <v>28500</v>
      </c>
      <c r="AS4668" s="78">
        <f t="shared" si="76"/>
        <v>0.53738596491228074</v>
      </c>
    </row>
    <row r="4669" spans="39:45">
      <c r="AM4669" s="55">
        <v>2019</v>
      </c>
      <c r="AN4669" s="55" t="s">
        <v>188</v>
      </c>
      <c r="AO4669" s="55">
        <v>14</v>
      </c>
      <c r="AP4669" s="55">
        <v>11</v>
      </c>
      <c r="AQ4669" s="55">
        <v>19436.5</v>
      </c>
      <c r="AR4669" s="55">
        <v>28500</v>
      </c>
      <c r="AS4669" s="78">
        <f t="shared" si="76"/>
        <v>0.68198245614035091</v>
      </c>
    </row>
    <row r="4670" spans="39:45">
      <c r="AM4670" s="54">
        <v>2019</v>
      </c>
      <c r="AN4670" s="54" t="s">
        <v>188</v>
      </c>
      <c r="AO4670" s="54">
        <v>14</v>
      </c>
      <c r="AP4670" s="54">
        <v>12</v>
      </c>
      <c r="AQ4670" s="54">
        <v>26774.5</v>
      </c>
      <c r="AR4670" s="55">
        <v>28500</v>
      </c>
      <c r="AS4670" s="78">
        <f t="shared" si="76"/>
        <v>0.93945614035087721</v>
      </c>
    </row>
    <row r="4671" spans="39:45">
      <c r="AM4671" s="55">
        <v>2019</v>
      </c>
      <c r="AN4671" s="55" t="s">
        <v>188</v>
      </c>
      <c r="AO4671" s="55">
        <v>14</v>
      </c>
      <c r="AP4671" s="55">
        <v>13</v>
      </c>
      <c r="AQ4671" s="55">
        <v>10927.5</v>
      </c>
      <c r="AR4671" s="55">
        <v>28500</v>
      </c>
      <c r="AS4671" s="78">
        <f t="shared" si="76"/>
        <v>0.38342105263157894</v>
      </c>
    </row>
    <row r="4672" spans="39:45">
      <c r="AM4672" s="54">
        <v>2019</v>
      </c>
      <c r="AN4672" s="54" t="s">
        <v>188</v>
      </c>
      <c r="AO4672" s="54">
        <v>14</v>
      </c>
      <c r="AP4672" s="54">
        <v>14</v>
      </c>
      <c r="AQ4672" s="54">
        <v>8613.5</v>
      </c>
      <c r="AR4672" s="55">
        <v>28500</v>
      </c>
      <c r="AS4672" s="78">
        <f t="shared" si="76"/>
        <v>0.30222807017543862</v>
      </c>
    </row>
    <row r="4673" spans="39:45">
      <c r="AM4673" s="55">
        <v>2019</v>
      </c>
      <c r="AN4673" s="55" t="s">
        <v>188</v>
      </c>
      <c r="AO4673" s="55">
        <v>14</v>
      </c>
      <c r="AP4673" s="55">
        <v>15</v>
      </c>
      <c r="AQ4673" s="55">
        <v>22468.5</v>
      </c>
      <c r="AR4673" s="55">
        <v>28500</v>
      </c>
      <c r="AS4673" s="78">
        <f t="shared" si="76"/>
        <v>0.78836842105263161</v>
      </c>
    </row>
    <row r="4674" spans="39:45">
      <c r="AM4674" s="54">
        <v>2019</v>
      </c>
      <c r="AN4674" s="54" t="s">
        <v>188</v>
      </c>
      <c r="AO4674" s="54">
        <v>14</v>
      </c>
      <c r="AP4674" s="54">
        <v>16</v>
      </c>
      <c r="AQ4674" s="54">
        <v>9225</v>
      </c>
      <c r="AR4674" s="55">
        <v>28500</v>
      </c>
      <c r="AS4674" s="78">
        <f t="shared" ref="AS4674:AS4737" si="77">AQ4674/AR4674</f>
        <v>0.3236842105263158</v>
      </c>
    </row>
    <row r="4675" spans="39:45">
      <c r="AM4675" s="55">
        <v>2019</v>
      </c>
      <c r="AN4675" s="55" t="s">
        <v>188</v>
      </c>
      <c r="AO4675" s="55">
        <v>14</v>
      </c>
      <c r="AP4675" s="55">
        <v>17</v>
      </c>
      <c r="AQ4675" s="55">
        <v>10080</v>
      </c>
      <c r="AR4675" s="55">
        <v>28500</v>
      </c>
      <c r="AS4675" s="78">
        <f t="shared" si="77"/>
        <v>0.35368421052631577</v>
      </c>
    </row>
    <row r="4676" spans="39:45">
      <c r="AM4676" s="54">
        <v>2019</v>
      </c>
      <c r="AN4676" s="54" t="s">
        <v>188</v>
      </c>
      <c r="AO4676" s="54">
        <v>14</v>
      </c>
      <c r="AP4676" s="54">
        <v>18</v>
      </c>
      <c r="AQ4676" s="54">
        <v>2192</v>
      </c>
      <c r="AR4676" s="55">
        <v>28500</v>
      </c>
      <c r="AS4676" s="78">
        <f t="shared" si="77"/>
        <v>7.691228070175439E-2</v>
      </c>
    </row>
    <row r="4677" spans="39:45">
      <c r="AM4677" s="55">
        <v>2019</v>
      </c>
      <c r="AN4677" s="55" t="s">
        <v>188</v>
      </c>
      <c r="AO4677" s="55">
        <v>14</v>
      </c>
      <c r="AP4677" s="55">
        <v>19</v>
      </c>
      <c r="AQ4677" s="55">
        <v>571.5</v>
      </c>
      <c r="AR4677" s="55">
        <v>28500</v>
      </c>
      <c r="AS4677" s="78">
        <f t="shared" si="77"/>
        <v>2.0052631578947367E-2</v>
      </c>
    </row>
    <row r="4678" spans="39:45">
      <c r="AM4678" s="54">
        <v>2019</v>
      </c>
      <c r="AN4678" s="54" t="s">
        <v>188</v>
      </c>
      <c r="AO4678" s="54">
        <v>14</v>
      </c>
      <c r="AP4678" s="54">
        <v>20</v>
      </c>
      <c r="AQ4678" s="54">
        <v>0</v>
      </c>
      <c r="AR4678" s="55">
        <v>28500</v>
      </c>
      <c r="AS4678" s="78">
        <f t="shared" si="77"/>
        <v>0</v>
      </c>
    </row>
    <row r="4679" spans="39:45">
      <c r="AM4679" s="55">
        <v>2019</v>
      </c>
      <c r="AN4679" s="55" t="s">
        <v>188</v>
      </c>
      <c r="AO4679" s="55">
        <v>14</v>
      </c>
      <c r="AP4679" s="55">
        <v>21</v>
      </c>
      <c r="AQ4679" s="55">
        <v>0</v>
      </c>
      <c r="AR4679" s="55">
        <v>28500</v>
      </c>
      <c r="AS4679" s="78">
        <f t="shared" si="77"/>
        <v>0</v>
      </c>
    </row>
    <row r="4680" spans="39:45">
      <c r="AM4680" s="54">
        <v>2019</v>
      </c>
      <c r="AN4680" s="54" t="s">
        <v>188</v>
      </c>
      <c r="AO4680" s="54">
        <v>14</v>
      </c>
      <c r="AP4680" s="54">
        <v>22</v>
      </c>
      <c r="AQ4680" s="54">
        <v>0</v>
      </c>
      <c r="AR4680" s="55">
        <v>28500</v>
      </c>
      <c r="AS4680" s="78">
        <f t="shared" si="77"/>
        <v>0</v>
      </c>
    </row>
    <row r="4681" spans="39:45">
      <c r="AM4681" s="55">
        <v>2019</v>
      </c>
      <c r="AN4681" s="55" t="s">
        <v>188</v>
      </c>
      <c r="AO4681" s="55">
        <v>14</v>
      </c>
      <c r="AP4681" s="55">
        <v>23</v>
      </c>
      <c r="AQ4681" s="55">
        <v>0</v>
      </c>
      <c r="AR4681" s="55">
        <v>28500</v>
      </c>
      <c r="AS4681" s="78">
        <f t="shared" si="77"/>
        <v>0</v>
      </c>
    </row>
    <row r="4682" spans="39:45">
      <c r="AM4682" s="54">
        <v>2019</v>
      </c>
      <c r="AN4682" s="54" t="s">
        <v>188</v>
      </c>
      <c r="AO4682" s="54">
        <v>15</v>
      </c>
      <c r="AP4682" s="54">
        <v>24</v>
      </c>
      <c r="AQ4682" s="54">
        <v>0</v>
      </c>
      <c r="AR4682" s="55">
        <v>28500</v>
      </c>
      <c r="AS4682" s="78">
        <f t="shared" si="77"/>
        <v>0</v>
      </c>
    </row>
    <row r="4683" spans="39:45">
      <c r="AM4683" s="55">
        <v>2019</v>
      </c>
      <c r="AN4683" s="55" t="s">
        <v>188</v>
      </c>
      <c r="AO4683" s="55">
        <v>15</v>
      </c>
      <c r="AP4683" s="55">
        <v>1</v>
      </c>
      <c r="AQ4683" s="55">
        <v>0</v>
      </c>
      <c r="AR4683" s="55">
        <v>28500</v>
      </c>
      <c r="AS4683" s="78">
        <f t="shared" si="77"/>
        <v>0</v>
      </c>
    </row>
    <row r="4684" spans="39:45">
      <c r="AM4684" s="54">
        <v>2019</v>
      </c>
      <c r="AN4684" s="54" t="s">
        <v>188</v>
      </c>
      <c r="AO4684" s="54">
        <v>15</v>
      </c>
      <c r="AP4684" s="54">
        <v>2</v>
      </c>
      <c r="AQ4684" s="54">
        <v>0</v>
      </c>
      <c r="AR4684" s="55">
        <v>28500</v>
      </c>
      <c r="AS4684" s="78">
        <f t="shared" si="77"/>
        <v>0</v>
      </c>
    </row>
    <row r="4685" spans="39:45">
      <c r="AM4685" s="55">
        <v>2019</v>
      </c>
      <c r="AN4685" s="55" t="s">
        <v>188</v>
      </c>
      <c r="AO4685" s="55">
        <v>15</v>
      </c>
      <c r="AP4685" s="55">
        <v>3</v>
      </c>
      <c r="AQ4685" s="55">
        <v>0</v>
      </c>
      <c r="AR4685" s="55">
        <v>28500</v>
      </c>
      <c r="AS4685" s="78">
        <f t="shared" si="77"/>
        <v>0</v>
      </c>
    </row>
    <row r="4686" spans="39:45">
      <c r="AM4686" s="54">
        <v>2019</v>
      </c>
      <c r="AN4686" s="54" t="s">
        <v>188</v>
      </c>
      <c r="AO4686" s="54">
        <v>15</v>
      </c>
      <c r="AP4686" s="54">
        <v>4</v>
      </c>
      <c r="AQ4686" s="54">
        <v>0</v>
      </c>
      <c r="AR4686" s="55">
        <v>28500</v>
      </c>
      <c r="AS4686" s="78">
        <f t="shared" si="77"/>
        <v>0</v>
      </c>
    </row>
    <row r="4687" spans="39:45">
      <c r="AM4687" s="55">
        <v>2019</v>
      </c>
      <c r="AN4687" s="55" t="s">
        <v>188</v>
      </c>
      <c r="AO4687" s="55">
        <v>15</v>
      </c>
      <c r="AP4687" s="55">
        <v>5</v>
      </c>
      <c r="AQ4687" s="55">
        <v>706</v>
      </c>
      <c r="AR4687" s="55">
        <v>28500</v>
      </c>
      <c r="AS4687" s="78">
        <f t="shared" si="77"/>
        <v>2.4771929824561403E-2</v>
      </c>
    </row>
    <row r="4688" spans="39:45">
      <c r="AM4688" s="54">
        <v>2019</v>
      </c>
      <c r="AN4688" s="54" t="s">
        <v>188</v>
      </c>
      <c r="AO4688" s="54">
        <v>15</v>
      </c>
      <c r="AP4688" s="54">
        <v>6</v>
      </c>
      <c r="AQ4688" s="54">
        <v>3257.5</v>
      </c>
      <c r="AR4688" s="55">
        <v>28500</v>
      </c>
      <c r="AS4688" s="78">
        <f t="shared" si="77"/>
        <v>0.11429824561403509</v>
      </c>
    </row>
    <row r="4689" spans="39:45">
      <c r="AM4689" s="55">
        <v>2019</v>
      </c>
      <c r="AN4689" s="55" t="s">
        <v>188</v>
      </c>
      <c r="AO4689" s="55">
        <v>15</v>
      </c>
      <c r="AP4689" s="55">
        <v>7</v>
      </c>
      <c r="AQ4689" s="55">
        <v>5144.5</v>
      </c>
      <c r="AR4689" s="55">
        <v>28500</v>
      </c>
      <c r="AS4689" s="78">
        <f t="shared" si="77"/>
        <v>0.18050877192982456</v>
      </c>
    </row>
    <row r="4690" spans="39:45">
      <c r="AM4690" s="54">
        <v>2019</v>
      </c>
      <c r="AN4690" s="54" t="s">
        <v>188</v>
      </c>
      <c r="AO4690" s="54">
        <v>15</v>
      </c>
      <c r="AP4690" s="54">
        <v>8</v>
      </c>
      <c r="AQ4690" s="54">
        <v>5840</v>
      </c>
      <c r="AR4690" s="55">
        <v>28500</v>
      </c>
      <c r="AS4690" s="78">
        <f t="shared" si="77"/>
        <v>0.20491228070175438</v>
      </c>
    </row>
    <row r="4691" spans="39:45">
      <c r="AM4691" s="55">
        <v>2019</v>
      </c>
      <c r="AN4691" s="55" t="s">
        <v>188</v>
      </c>
      <c r="AO4691" s="55">
        <v>15</v>
      </c>
      <c r="AP4691" s="55">
        <v>9</v>
      </c>
      <c r="AQ4691" s="55">
        <v>8302.5</v>
      </c>
      <c r="AR4691" s="55">
        <v>28500</v>
      </c>
      <c r="AS4691" s="78">
        <f t="shared" si="77"/>
        <v>0.29131578947368419</v>
      </c>
    </row>
    <row r="4692" spans="39:45">
      <c r="AM4692" s="54">
        <v>2019</v>
      </c>
      <c r="AN4692" s="54" t="s">
        <v>188</v>
      </c>
      <c r="AO4692" s="54">
        <v>15</v>
      </c>
      <c r="AP4692" s="54">
        <v>10</v>
      </c>
      <c r="AQ4692" s="54">
        <v>12724.5</v>
      </c>
      <c r="AR4692" s="55">
        <v>28500</v>
      </c>
      <c r="AS4692" s="78">
        <f t="shared" si="77"/>
        <v>0.4464736842105263</v>
      </c>
    </row>
    <row r="4693" spans="39:45">
      <c r="AM4693" s="55">
        <v>2019</v>
      </c>
      <c r="AN4693" s="55" t="s">
        <v>188</v>
      </c>
      <c r="AO4693" s="55">
        <v>15</v>
      </c>
      <c r="AP4693" s="55">
        <v>11</v>
      </c>
      <c r="AQ4693" s="55">
        <v>21193</v>
      </c>
      <c r="AR4693" s="55">
        <v>28500</v>
      </c>
      <c r="AS4693" s="78">
        <f t="shared" si="77"/>
        <v>0.74361403508771928</v>
      </c>
    </row>
    <row r="4694" spans="39:45">
      <c r="AM4694" s="54">
        <v>2019</v>
      </c>
      <c r="AN4694" s="54" t="s">
        <v>188</v>
      </c>
      <c r="AO4694" s="54">
        <v>15</v>
      </c>
      <c r="AP4694" s="54">
        <v>12</v>
      </c>
      <c r="AQ4694" s="54">
        <v>17704</v>
      </c>
      <c r="AR4694" s="55">
        <v>28500</v>
      </c>
      <c r="AS4694" s="78">
        <f t="shared" si="77"/>
        <v>0.6211929824561403</v>
      </c>
    </row>
    <row r="4695" spans="39:45">
      <c r="AM4695" s="55">
        <v>2019</v>
      </c>
      <c r="AN4695" s="55" t="s">
        <v>188</v>
      </c>
      <c r="AO4695" s="55">
        <v>15</v>
      </c>
      <c r="AP4695" s="55">
        <v>13</v>
      </c>
      <c r="AQ4695" s="55">
        <v>15243</v>
      </c>
      <c r="AR4695" s="55">
        <v>28500</v>
      </c>
      <c r="AS4695" s="78">
        <f t="shared" si="77"/>
        <v>0.5348421052631579</v>
      </c>
    </row>
    <row r="4696" spans="39:45">
      <c r="AM4696" s="54">
        <v>2019</v>
      </c>
      <c r="AN4696" s="54" t="s">
        <v>188</v>
      </c>
      <c r="AO4696" s="54">
        <v>15</v>
      </c>
      <c r="AP4696" s="54">
        <v>14</v>
      </c>
      <c r="AQ4696" s="54">
        <v>15814.5</v>
      </c>
      <c r="AR4696" s="55">
        <v>28500</v>
      </c>
      <c r="AS4696" s="78">
        <f t="shared" si="77"/>
        <v>0.55489473684210522</v>
      </c>
    </row>
    <row r="4697" spans="39:45">
      <c r="AM4697" s="55">
        <v>2019</v>
      </c>
      <c r="AN4697" s="55" t="s">
        <v>188</v>
      </c>
      <c r="AO4697" s="55">
        <v>15</v>
      </c>
      <c r="AP4697" s="55">
        <v>15</v>
      </c>
      <c r="AQ4697" s="55">
        <v>23659</v>
      </c>
      <c r="AR4697" s="55">
        <v>28500</v>
      </c>
      <c r="AS4697" s="78">
        <f t="shared" si="77"/>
        <v>0.83014035087719296</v>
      </c>
    </row>
    <row r="4698" spans="39:45">
      <c r="AM4698" s="54">
        <v>2019</v>
      </c>
      <c r="AN4698" s="54" t="s">
        <v>188</v>
      </c>
      <c r="AO4698" s="54">
        <v>15</v>
      </c>
      <c r="AP4698" s="54">
        <v>16</v>
      </c>
      <c r="AQ4698" s="54">
        <v>18791</v>
      </c>
      <c r="AR4698" s="55">
        <v>28500</v>
      </c>
      <c r="AS4698" s="78">
        <f t="shared" si="77"/>
        <v>0.65933333333333333</v>
      </c>
    </row>
    <row r="4699" spans="39:45">
      <c r="AM4699" s="55">
        <v>2019</v>
      </c>
      <c r="AN4699" s="55" t="s">
        <v>188</v>
      </c>
      <c r="AO4699" s="55">
        <v>15</v>
      </c>
      <c r="AP4699" s="55">
        <v>17</v>
      </c>
      <c r="AQ4699" s="55">
        <v>9834.5</v>
      </c>
      <c r="AR4699" s="55">
        <v>28500</v>
      </c>
      <c r="AS4699" s="78">
        <f t="shared" si="77"/>
        <v>0.34507017543859647</v>
      </c>
    </row>
    <row r="4700" spans="39:45">
      <c r="AM4700" s="54">
        <v>2019</v>
      </c>
      <c r="AN4700" s="54" t="s">
        <v>188</v>
      </c>
      <c r="AO4700" s="54">
        <v>15</v>
      </c>
      <c r="AP4700" s="54">
        <v>18</v>
      </c>
      <c r="AQ4700" s="54">
        <v>3140</v>
      </c>
      <c r="AR4700" s="55">
        <v>28500</v>
      </c>
      <c r="AS4700" s="78">
        <f t="shared" si="77"/>
        <v>0.11017543859649123</v>
      </c>
    </row>
    <row r="4701" spans="39:45">
      <c r="AM4701" s="55">
        <v>2019</v>
      </c>
      <c r="AN4701" s="55" t="s">
        <v>188</v>
      </c>
      <c r="AO4701" s="55">
        <v>15</v>
      </c>
      <c r="AP4701" s="55">
        <v>19</v>
      </c>
      <c r="AQ4701" s="55">
        <v>831.5</v>
      </c>
      <c r="AR4701" s="55">
        <v>28500</v>
      </c>
      <c r="AS4701" s="78">
        <f t="shared" si="77"/>
        <v>2.9175438596491229E-2</v>
      </c>
    </row>
    <row r="4702" spans="39:45">
      <c r="AM4702" s="54">
        <v>2019</v>
      </c>
      <c r="AN4702" s="54" t="s">
        <v>188</v>
      </c>
      <c r="AO4702" s="54">
        <v>15</v>
      </c>
      <c r="AP4702" s="54">
        <v>20</v>
      </c>
      <c r="AQ4702" s="54">
        <v>0</v>
      </c>
      <c r="AR4702" s="55">
        <v>28500</v>
      </c>
      <c r="AS4702" s="78">
        <f t="shared" si="77"/>
        <v>0</v>
      </c>
    </row>
    <row r="4703" spans="39:45">
      <c r="AM4703" s="55">
        <v>2019</v>
      </c>
      <c r="AN4703" s="55" t="s">
        <v>188</v>
      </c>
      <c r="AO4703" s="55">
        <v>15</v>
      </c>
      <c r="AP4703" s="55">
        <v>21</v>
      </c>
      <c r="AQ4703" s="55">
        <v>0</v>
      </c>
      <c r="AR4703" s="55">
        <v>28500</v>
      </c>
      <c r="AS4703" s="78">
        <f t="shared" si="77"/>
        <v>0</v>
      </c>
    </row>
    <row r="4704" spans="39:45">
      <c r="AM4704" s="54">
        <v>2019</v>
      </c>
      <c r="AN4704" s="54" t="s">
        <v>188</v>
      </c>
      <c r="AO4704" s="54">
        <v>15</v>
      </c>
      <c r="AP4704" s="54">
        <v>22</v>
      </c>
      <c r="AQ4704" s="54">
        <v>0</v>
      </c>
      <c r="AR4704" s="55">
        <v>28500</v>
      </c>
      <c r="AS4704" s="78">
        <f t="shared" si="77"/>
        <v>0</v>
      </c>
    </row>
    <row r="4705" spans="39:45">
      <c r="AM4705" s="55">
        <v>2019</v>
      </c>
      <c r="AN4705" s="55" t="s">
        <v>188</v>
      </c>
      <c r="AO4705" s="55">
        <v>15</v>
      </c>
      <c r="AP4705" s="55">
        <v>23</v>
      </c>
      <c r="AQ4705" s="55">
        <v>0</v>
      </c>
      <c r="AR4705" s="55">
        <v>28500</v>
      </c>
      <c r="AS4705" s="78">
        <f t="shared" si="77"/>
        <v>0</v>
      </c>
    </row>
    <row r="4706" spans="39:45">
      <c r="AM4706" s="54">
        <v>2019</v>
      </c>
      <c r="AN4706" s="54" t="s">
        <v>188</v>
      </c>
      <c r="AO4706" s="54">
        <v>16</v>
      </c>
      <c r="AP4706" s="54">
        <v>24</v>
      </c>
      <c r="AQ4706" s="54">
        <v>0</v>
      </c>
      <c r="AR4706" s="55">
        <v>28500</v>
      </c>
      <c r="AS4706" s="78">
        <f t="shared" si="77"/>
        <v>0</v>
      </c>
    </row>
    <row r="4707" spans="39:45">
      <c r="AM4707" s="55">
        <v>2019</v>
      </c>
      <c r="AN4707" s="55" t="s">
        <v>188</v>
      </c>
      <c r="AO4707" s="55">
        <v>16</v>
      </c>
      <c r="AP4707" s="55">
        <v>1</v>
      </c>
      <c r="AQ4707" s="55">
        <v>0</v>
      </c>
      <c r="AR4707" s="55">
        <v>28500</v>
      </c>
      <c r="AS4707" s="78">
        <f t="shared" si="77"/>
        <v>0</v>
      </c>
    </row>
    <row r="4708" spans="39:45">
      <c r="AM4708" s="54">
        <v>2019</v>
      </c>
      <c r="AN4708" s="54" t="s">
        <v>188</v>
      </c>
      <c r="AO4708" s="54">
        <v>16</v>
      </c>
      <c r="AP4708" s="54">
        <v>2</v>
      </c>
      <c r="AQ4708" s="54">
        <v>0</v>
      </c>
      <c r="AR4708" s="55">
        <v>28500</v>
      </c>
      <c r="AS4708" s="78">
        <f t="shared" si="77"/>
        <v>0</v>
      </c>
    </row>
    <row r="4709" spans="39:45">
      <c r="AM4709" s="55">
        <v>2019</v>
      </c>
      <c r="AN4709" s="55" t="s">
        <v>188</v>
      </c>
      <c r="AO4709" s="55">
        <v>16</v>
      </c>
      <c r="AP4709" s="55">
        <v>3</v>
      </c>
      <c r="AQ4709" s="55">
        <v>0</v>
      </c>
      <c r="AR4709" s="55">
        <v>28500</v>
      </c>
      <c r="AS4709" s="78">
        <f t="shared" si="77"/>
        <v>0</v>
      </c>
    </row>
    <row r="4710" spans="39:45">
      <c r="AM4710" s="54">
        <v>2019</v>
      </c>
      <c r="AN4710" s="54" t="s">
        <v>188</v>
      </c>
      <c r="AO4710" s="54">
        <v>16</v>
      </c>
      <c r="AP4710" s="54">
        <v>4</v>
      </c>
      <c r="AQ4710" s="54">
        <v>0</v>
      </c>
      <c r="AR4710" s="55">
        <v>28500</v>
      </c>
      <c r="AS4710" s="78">
        <f t="shared" si="77"/>
        <v>0</v>
      </c>
    </row>
    <row r="4711" spans="39:45">
      <c r="AM4711" s="55">
        <v>2019</v>
      </c>
      <c r="AN4711" s="55" t="s">
        <v>188</v>
      </c>
      <c r="AO4711" s="55">
        <v>16</v>
      </c>
      <c r="AP4711" s="55">
        <v>5</v>
      </c>
      <c r="AQ4711" s="55">
        <v>1405</v>
      </c>
      <c r="AR4711" s="55">
        <v>28500</v>
      </c>
      <c r="AS4711" s="78">
        <f t="shared" si="77"/>
        <v>4.9298245614035091E-2</v>
      </c>
    </row>
    <row r="4712" spans="39:45">
      <c r="AM4712" s="54">
        <v>2019</v>
      </c>
      <c r="AN4712" s="54" t="s">
        <v>188</v>
      </c>
      <c r="AO4712" s="54">
        <v>16</v>
      </c>
      <c r="AP4712" s="54">
        <v>6</v>
      </c>
      <c r="AQ4712" s="54">
        <v>4096.5</v>
      </c>
      <c r="AR4712" s="55">
        <v>28500</v>
      </c>
      <c r="AS4712" s="78">
        <f t="shared" si="77"/>
        <v>0.14373684210526316</v>
      </c>
    </row>
    <row r="4713" spans="39:45">
      <c r="AM4713" s="55">
        <v>2019</v>
      </c>
      <c r="AN4713" s="55" t="s">
        <v>188</v>
      </c>
      <c r="AO4713" s="55">
        <v>16</v>
      </c>
      <c r="AP4713" s="55">
        <v>7</v>
      </c>
      <c r="AQ4713" s="55">
        <v>11748</v>
      </c>
      <c r="AR4713" s="55">
        <v>28500</v>
      </c>
      <c r="AS4713" s="78">
        <f t="shared" si="77"/>
        <v>0.41221052631578947</v>
      </c>
    </row>
    <row r="4714" spans="39:45">
      <c r="AM4714" s="54">
        <v>2019</v>
      </c>
      <c r="AN4714" s="54" t="s">
        <v>188</v>
      </c>
      <c r="AO4714" s="54">
        <v>16</v>
      </c>
      <c r="AP4714" s="54">
        <v>8</v>
      </c>
      <c r="AQ4714" s="54">
        <v>21976</v>
      </c>
      <c r="AR4714" s="55">
        <v>28500</v>
      </c>
      <c r="AS4714" s="78">
        <f t="shared" si="77"/>
        <v>0.7710877192982456</v>
      </c>
    </row>
    <row r="4715" spans="39:45">
      <c r="AM4715" s="55">
        <v>2019</v>
      </c>
      <c r="AN4715" s="55" t="s">
        <v>188</v>
      </c>
      <c r="AO4715" s="55">
        <v>16</v>
      </c>
      <c r="AP4715" s="55">
        <v>9</v>
      </c>
      <c r="AQ4715" s="55">
        <v>29433.5</v>
      </c>
      <c r="AR4715" s="55">
        <v>28500</v>
      </c>
      <c r="AS4715" s="78">
        <f t="shared" si="77"/>
        <v>1.0327543859649122</v>
      </c>
    </row>
    <row r="4716" spans="39:45">
      <c r="AM4716" s="54">
        <v>2019</v>
      </c>
      <c r="AN4716" s="54" t="s">
        <v>188</v>
      </c>
      <c r="AO4716" s="54">
        <v>16</v>
      </c>
      <c r="AP4716" s="54">
        <v>10</v>
      </c>
      <c r="AQ4716" s="54">
        <v>34182.5</v>
      </c>
      <c r="AR4716" s="55">
        <v>28500</v>
      </c>
      <c r="AS4716" s="78">
        <f t="shared" si="77"/>
        <v>1.1993859649122807</v>
      </c>
    </row>
    <row r="4717" spans="39:45">
      <c r="AM4717" s="55">
        <v>2019</v>
      </c>
      <c r="AN4717" s="55" t="s">
        <v>188</v>
      </c>
      <c r="AO4717" s="55">
        <v>16</v>
      </c>
      <c r="AP4717" s="55">
        <v>11</v>
      </c>
      <c r="AQ4717" s="55">
        <v>34474.5</v>
      </c>
      <c r="AR4717" s="55">
        <v>28500</v>
      </c>
      <c r="AS4717" s="78">
        <f t="shared" si="77"/>
        <v>1.2096315789473684</v>
      </c>
    </row>
    <row r="4718" spans="39:45">
      <c r="AM4718" s="54">
        <v>2019</v>
      </c>
      <c r="AN4718" s="54" t="s">
        <v>188</v>
      </c>
      <c r="AO4718" s="54">
        <v>16</v>
      </c>
      <c r="AP4718" s="54">
        <v>12</v>
      </c>
      <c r="AQ4718" s="54">
        <v>34168</v>
      </c>
      <c r="AR4718" s="55">
        <v>28500</v>
      </c>
      <c r="AS4718" s="78">
        <f t="shared" si="77"/>
        <v>1.1988771929824562</v>
      </c>
    </row>
    <row r="4719" spans="39:45">
      <c r="AM4719" s="55">
        <v>2019</v>
      </c>
      <c r="AN4719" s="55" t="s">
        <v>188</v>
      </c>
      <c r="AO4719" s="55">
        <v>16</v>
      </c>
      <c r="AP4719" s="55">
        <v>13</v>
      </c>
      <c r="AQ4719" s="55">
        <v>29533.5</v>
      </c>
      <c r="AR4719" s="55">
        <v>28500</v>
      </c>
      <c r="AS4719" s="78">
        <f t="shared" si="77"/>
        <v>1.0362631578947368</v>
      </c>
    </row>
    <row r="4720" spans="39:45">
      <c r="AM4720" s="54">
        <v>2019</v>
      </c>
      <c r="AN4720" s="54" t="s">
        <v>188</v>
      </c>
      <c r="AO4720" s="54">
        <v>16</v>
      </c>
      <c r="AP4720" s="54">
        <v>14</v>
      </c>
      <c r="AQ4720" s="54">
        <v>27254.5</v>
      </c>
      <c r="AR4720" s="55">
        <v>28500</v>
      </c>
      <c r="AS4720" s="78">
        <f t="shared" si="77"/>
        <v>0.95629824561403509</v>
      </c>
    </row>
    <row r="4721" spans="39:45">
      <c r="AM4721" s="55">
        <v>2019</v>
      </c>
      <c r="AN4721" s="55" t="s">
        <v>188</v>
      </c>
      <c r="AO4721" s="55">
        <v>16</v>
      </c>
      <c r="AP4721" s="55">
        <v>15</v>
      </c>
      <c r="AQ4721" s="55">
        <v>21797</v>
      </c>
      <c r="AR4721" s="55">
        <v>28500</v>
      </c>
      <c r="AS4721" s="78">
        <f t="shared" si="77"/>
        <v>0.7648070175438596</v>
      </c>
    </row>
    <row r="4722" spans="39:45">
      <c r="AM4722" s="54">
        <v>2019</v>
      </c>
      <c r="AN4722" s="54" t="s">
        <v>188</v>
      </c>
      <c r="AO4722" s="54">
        <v>16</v>
      </c>
      <c r="AP4722" s="54">
        <v>16</v>
      </c>
      <c r="AQ4722" s="54">
        <v>18013</v>
      </c>
      <c r="AR4722" s="55">
        <v>28500</v>
      </c>
      <c r="AS4722" s="78">
        <f t="shared" si="77"/>
        <v>0.63203508771929828</v>
      </c>
    </row>
    <row r="4723" spans="39:45">
      <c r="AM4723" s="55">
        <v>2019</v>
      </c>
      <c r="AN4723" s="55" t="s">
        <v>188</v>
      </c>
      <c r="AO4723" s="55">
        <v>16</v>
      </c>
      <c r="AP4723" s="55">
        <v>17</v>
      </c>
      <c r="AQ4723" s="55">
        <v>10038.5</v>
      </c>
      <c r="AR4723" s="55">
        <v>28500</v>
      </c>
      <c r="AS4723" s="78">
        <f t="shared" si="77"/>
        <v>0.35222807017543861</v>
      </c>
    </row>
    <row r="4724" spans="39:45">
      <c r="AM4724" s="54">
        <v>2019</v>
      </c>
      <c r="AN4724" s="54" t="s">
        <v>188</v>
      </c>
      <c r="AO4724" s="54">
        <v>16</v>
      </c>
      <c r="AP4724" s="54">
        <v>18</v>
      </c>
      <c r="AQ4724" s="54">
        <v>2181</v>
      </c>
      <c r="AR4724" s="55">
        <v>28500</v>
      </c>
      <c r="AS4724" s="78">
        <f t="shared" si="77"/>
        <v>7.6526315789473678E-2</v>
      </c>
    </row>
    <row r="4725" spans="39:45">
      <c r="AM4725" s="55">
        <v>2019</v>
      </c>
      <c r="AN4725" s="55" t="s">
        <v>188</v>
      </c>
      <c r="AO4725" s="55">
        <v>16</v>
      </c>
      <c r="AP4725" s="55">
        <v>19</v>
      </c>
      <c r="AQ4725" s="55">
        <v>940</v>
      </c>
      <c r="AR4725" s="55">
        <v>28500</v>
      </c>
      <c r="AS4725" s="78">
        <f t="shared" si="77"/>
        <v>3.2982456140350877E-2</v>
      </c>
    </row>
    <row r="4726" spans="39:45">
      <c r="AM4726" s="54">
        <v>2019</v>
      </c>
      <c r="AN4726" s="54" t="s">
        <v>188</v>
      </c>
      <c r="AO4726" s="54">
        <v>16</v>
      </c>
      <c r="AP4726" s="54">
        <v>20</v>
      </c>
      <c r="AQ4726" s="54">
        <v>0</v>
      </c>
      <c r="AR4726" s="55">
        <v>28500</v>
      </c>
      <c r="AS4726" s="78">
        <f t="shared" si="77"/>
        <v>0</v>
      </c>
    </row>
    <row r="4727" spans="39:45">
      <c r="AM4727" s="55">
        <v>2019</v>
      </c>
      <c r="AN4727" s="55" t="s">
        <v>188</v>
      </c>
      <c r="AO4727" s="55">
        <v>16</v>
      </c>
      <c r="AP4727" s="55">
        <v>21</v>
      </c>
      <c r="AQ4727" s="55">
        <v>0</v>
      </c>
      <c r="AR4727" s="55">
        <v>28500</v>
      </c>
      <c r="AS4727" s="78">
        <f t="shared" si="77"/>
        <v>0</v>
      </c>
    </row>
    <row r="4728" spans="39:45">
      <c r="AM4728" s="54">
        <v>2019</v>
      </c>
      <c r="AN4728" s="54" t="s">
        <v>188</v>
      </c>
      <c r="AO4728" s="54">
        <v>16</v>
      </c>
      <c r="AP4728" s="54">
        <v>22</v>
      </c>
      <c r="AQ4728" s="54">
        <v>0</v>
      </c>
      <c r="AR4728" s="55">
        <v>28500</v>
      </c>
      <c r="AS4728" s="78">
        <f t="shared" si="77"/>
        <v>0</v>
      </c>
    </row>
    <row r="4729" spans="39:45">
      <c r="AM4729" s="55">
        <v>2019</v>
      </c>
      <c r="AN4729" s="55" t="s">
        <v>188</v>
      </c>
      <c r="AO4729" s="55">
        <v>16</v>
      </c>
      <c r="AP4729" s="55">
        <v>23</v>
      </c>
      <c r="AQ4729" s="55">
        <v>0</v>
      </c>
      <c r="AR4729" s="55">
        <v>28500</v>
      </c>
      <c r="AS4729" s="78">
        <f t="shared" si="77"/>
        <v>0</v>
      </c>
    </row>
    <row r="4730" spans="39:45">
      <c r="AM4730" s="54">
        <v>2019</v>
      </c>
      <c r="AN4730" s="54" t="s">
        <v>188</v>
      </c>
      <c r="AO4730" s="54">
        <v>17</v>
      </c>
      <c r="AP4730" s="54">
        <v>24</v>
      </c>
      <c r="AQ4730" s="54">
        <v>0</v>
      </c>
      <c r="AR4730" s="55">
        <v>28500</v>
      </c>
      <c r="AS4730" s="78">
        <f t="shared" si="77"/>
        <v>0</v>
      </c>
    </row>
    <row r="4731" spans="39:45">
      <c r="AM4731" s="55">
        <v>2019</v>
      </c>
      <c r="AN4731" s="55" t="s">
        <v>188</v>
      </c>
      <c r="AO4731" s="55">
        <v>17</v>
      </c>
      <c r="AP4731" s="55">
        <v>1</v>
      </c>
      <c r="AQ4731" s="55">
        <v>0</v>
      </c>
      <c r="AR4731" s="55">
        <v>28500</v>
      </c>
      <c r="AS4731" s="78">
        <f t="shared" si="77"/>
        <v>0</v>
      </c>
    </row>
    <row r="4732" spans="39:45">
      <c r="AM4732" s="54">
        <v>2019</v>
      </c>
      <c r="AN4732" s="54" t="s">
        <v>188</v>
      </c>
      <c r="AO4732" s="54">
        <v>17</v>
      </c>
      <c r="AP4732" s="54">
        <v>2</v>
      </c>
      <c r="AQ4732" s="54">
        <v>0</v>
      </c>
      <c r="AR4732" s="55">
        <v>28500</v>
      </c>
      <c r="AS4732" s="78">
        <f t="shared" si="77"/>
        <v>0</v>
      </c>
    </row>
    <row r="4733" spans="39:45">
      <c r="AM4733" s="55">
        <v>2019</v>
      </c>
      <c r="AN4733" s="55" t="s">
        <v>188</v>
      </c>
      <c r="AO4733" s="55">
        <v>17</v>
      </c>
      <c r="AP4733" s="55">
        <v>3</v>
      </c>
      <c r="AQ4733" s="55">
        <v>0</v>
      </c>
      <c r="AR4733" s="55">
        <v>28500</v>
      </c>
      <c r="AS4733" s="78">
        <f t="shared" si="77"/>
        <v>0</v>
      </c>
    </row>
    <row r="4734" spans="39:45">
      <c r="AM4734" s="54">
        <v>2019</v>
      </c>
      <c r="AN4734" s="54" t="s">
        <v>188</v>
      </c>
      <c r="AO4734" s="54">
        <v>17</v>
      </c>
      <c r="AP4734" s="54">
        <v>4</v>
      </c>
      <c r="AQ4734" s="54">
        <v>0</v>
      </c>
      <c r="AR4734" s="55">
        <v>28500</v>
      </c>
      <c r="AS4734" s="78">
        <f t="shared" si="77"/>
        <v>0</v>
      </c>
    </row>
    <row r="4735" spans="39:45">
      <c r="AM4735" s="55">
        <v>2019</v>
      </c>
      <c r="AN4735" s="55" t="s">
        <v>188</v>
      </c>
      <c r="AO4735" s="55">
        <v>17</v>
      </c>
      <c r="AP4735" s="55">
        <v>5</v>
      </c>
      <c r="AQ4735" s="55">
        <v>1367.5</v>
      </c>
      <c r="AR4735" s="55">
        <v>28500</v>
      </c>
      <c r="AS4735" s="78">
        <f t="shared" si="77"/>
        <v>4.7982456140350876E-2</v>
      </c>
    </row>
    <row r="4736" spans="39:45">
      <c r="AM4736" s="54">
        <v>2019</v>
      </c>
      <c r="AN4736" s="54" t="s">
        <v>188</v>
      </c>
      <c r="AO4736" s="54">
        <v>17</v>
      </c>
      <c r="AP4736" s="54">
        <v>6</v>
      </c>
      <c r="AQ4736" s="54">
        <v>4021.5</v>
      </c>
      <c r="AR4736" s="55">
        <v>28500</v>
      </c>
      <c r="AS4736" s="78">
        <f t="shared" si="77"/>
        <v>0.14110526315789473</v>
      </c>
    </row>
    <row r="4737" spans="39:45">
      <c r="AM4737" s="55">
        <v>2019</v>
      </c>
      <c r="AN4737" s="55" t="s">
        <v>188</v>
      </c>
      <c r="AO4737" s="55">
        <v>17</v>
      </c>
      <c r="AP4737" s="55">
        <v>7</v>
      </c>
      <c r="AQ4737" s="55">
        <v>10684</v>
      </c>
      <c r="AR4737" s="55">
        <v>28500</v>
      </c>
      <c r="AS4737" s="78">
        <f t="shared" si="77"/>
        <v>0.37487719298245614</v>
      </c>
    </row>
    <row r="4738" spans="39:45">
      <c r="AM4738" s="54">
        <v>2019</v>
      </c>
      <c r="AN4738" s="54" t="s">
        <v>188</v>
      </c>
      <c r="AO4738" s="54">
        <v>17</v>
      </c>
      <c r="AP4738" s="54">
        <v>8</v>
      </c>
      <c r="AQ4738" s="54">
        <v>19194</v>
      </c>
      <c r="AR4738" s="55">
        <v>28500</v>
      </c>
      <c r="AS4738" s="78">
        <f t="shared" ref="AS4738:AS4801" si="78">AQ4738/AR4738</f>
        <v>0.67347368421052634</v>
      </c>
    </row>
    <row r="4739" spans="39:45">
      <c r="AM4739" s="55">
        <v>2019</v>
      </c>
      <c r="AN4739" s="55" t="s">
        <v>188</v>
      </c>
      <c r="AO4739" s="55">
        <v>17</v>
      </c>
      <c r="AP4739" s="55">
        <v>9</v>
      </c>
      <c r="AQ4739" s="55">
        <v>27992</v>
      </c>
      <c r="AR4739" s="55">
        <v>28500</v>
      </c>
      <c r="AS4739" s="78">
        <f t="shared" si="78"/>
        <v>0.98217543859649126</v>
      </c>
    </row>
    <row r="4740" spans="39:45">
      <c r="AM4740" s="54">
        <v>2019</v>
      </c>
      <c r="AN4740" s="54" t="s">
        <v>188</v>
      </c>
      <c r="AO4740" s="54">
        <v>17</v>
      </c>
      <c r="AP4740" s="54">
        <v>10</v>
      </c>
      <c r="AQ4740" s="54">
        <v>29607.5</v>
      </c>
      <c r="AR4740" s="55">
        <v>28500</v>
      </c>
      <c r="AS4740" s="78">
        <f t="shared" si="78"/>
        <v>1.038859649122807</v>
      </c>
    </row>
    <row r="4741" spans="39:45">
      <c r="AM4741" s="55">
        <v>2019</v>
      </c>
      <c r="AN4741" s="55" t="s">
        <v>188</v>
      </c>
      <c r="AO4741" s="55">
        <v>17</v>
      </c>
      <c r="AP4741" s="55">
        <v>11</v>
      </c>
      <c r="AQ4741" s="55">
        <v>32700</v>
      </c>
      <c r="AR4741" s="55">
        <v>28500</v>
      </c>
      <c r="AS4741" s="78">
        <f t="shared" si="78"/>
        <v>1.1473684210526316</v>
      </c>
    </row>
    <row r="4742" spans="39:45">
      <c r="AM4742" s="54">
        <v>2019</v>
      </c>
      <c r="AN4742" s="54" t="s">
        <v>188</v>
      </c>
      <c r="AO4742" s="54">
        <v>17</v>
      </c>
      <c r="AP4742" s="54">
        <v>12</v>
      </c>
      <c r="AQ4742" s="54">
        <v>27415</v>
      </c>
      <c r="AR4742" s="55">
        <v>28500</v>
      </c>
      <c r="AS4742" s="78">
        <f t="shared" si="78"/>
        <v>0.96192982456140352</v>
      </c>
    </row>
    <row r="4743" spans="39:45">
      <c r="AM4743" s="55">
        <v>2019</v>
      </c>
      <c r="AN4743" s="55" t="s">
        <v>188</v>
      </c>
      <c r="AO4743" s="55">
        <v>17</v>
      </c>
      <c r="AP4743" s="55">
        <v>13</v>
      </c>
      <c r="AQ4743" s="55">
        <v>21932</v>
      </c>
      <c r="AR4743" s="55">
        <v>28500</v>
      </c>
      <c r="AS4743" s="78">
        <f t="shared" si="78"/>
        <v>0.76954385964912275</v>
      </c>
    </row>
    <row r="4744" spans="39:45">
      <c r="AM4744" s="54">
        <v>2019</v>
      </c>
      <c r="AN4744" s="54" t="s">
        <v>188</v>
      </c>
      <c r="AO4744" s="54">
        <v>17</v>
      </c>
      <c r="AP4744" s="54">
        <v>14</v>
      </c>
      <c r="AQ4744" s="54">
        <v>19256</v>
      </c>
      <c r="AR4744" s="55">
        <v>28500</v>
      </c>
      <c r="AS4744" s="78">
        <f t="shared" si="78"/>
        <v>0.6756491228070175</v>
      </c>
    </row>
    <row r="4745" spans="39:45">
      <c r="AM4745" s="55">
        <v>2019</v>
      </c>
      <c r="AN4745" s="55" t="s">
        <v>188</v>
      </c>
      <c r="AO4745" s="55">
        <v>17</v>
      </c>
      <c r="AP4745" s="55">
        <v>15</v>
      </c>
      <c r="AQ4745" s="55">
        <v>7130.5</v>
      </c>
      <c r="AR4745" s="55">
        <v>28500</v>
      </c>
      <c r="AS4745" s="78">
        <f t="shared" si="78"/>
        <v>0.25019298245614036</v>
      </c>
    </row>
    <row r="4746" spans="39:45">
      <c r="AM4746" s="54">
        <v>2019</v>
      </c>
      <c r="AN4746" s="54" t="s">
        <v>188</v>
      </c>
      <c r="AO4746" s="54">
        <v>17</v>
      </c>
      <c r="AP4746" s="54">
        <v>16</v>
      </c>
      <c r="AQ4746" s="54">
        <v>9018</v>
      </c>
      <c r="AR4746" s="55">
        <v>28500</v>
      </c>
      <c r="AS4746" s="78">
        <f t="shared" si="78"/>
        <v>0.31642105263157894</v>
      </c>
    </row>
    <row r="4747" spans="39:45">
      <c r="AM4747" s="55">
        <v>2019</v>
      </c>
      <c r="AN4747" s="55" t="s">
        <v>188</v>
      </c>
      <c r="AO4747" s="55">
        <v>17</v>
      </c>
      <c r="AP4747" s="55">
        <v>17</v>
      </c>
      <c r="AQ4747" s="55">
        <v>2828</v>
      </c>
      <c r="AR4747" s="55">
        <v>28500</v>
      </c>
      <c r="AS4747" s="78">
        <f t="shared" si="78"/>
        <v>9.9228070175438596E-2</v>
      </c>
    </row>
    <row r="4748" spans="39:45">
      <c r="AM4748" s="54">
        <v>2019</v>
      </c>
      <c r="AN4748" s="54" t="s">
        <v>188</v>
      </c>
      <c r="AO4748" s="54">
        <v>17</v>
      </c>
      <c r="AP4748" s="54">
        <v>18</v>
      </c>
      <c r="AQ4748" s="54">
        <v>1656</v>
      </c>
      <c r="AR4748" s="55">
        <v>28500</v>
      </c>
      <c r="AS4748" s="78">
        <f t="shared" si="78"/>
        <v>5.8105263157894736E-2</v>
      </c>
    </row>
    <row r="4749" spans="39:45">
      <c r="AM4749" s="55">
        <v>2019</v>
      </c>
      <c r="AN4749" s="55" t="s">
        <v>188</v>
      </c>
      <c r="AO4749" s="55">
        <v>17</v>
      </c>
      <c r="AP4749" s="55">
        <v>19</v>
      </c>
      <c r="AQ4749" s="55">
        <v>2</v>
      </c>
      <c r="AR4749" s="55">
        <v>28500</v>
      </c>
      <c r="AS4749" s="78">
        <f t="shared" si="78"/>
        <v>7.0175438596491223E-5</v>
      </c>
    </row>
    <row r="4750" spans="39:45">
      <c r="AM4750" s="54">
        <v>2019</v>
      </c>
      <c r="AN4750" s="54" t="s">
        <v>188</v>
      </c>
      <c r="AO4750" s="54">
        <v>17</v>
      </c>
      <c r="AP4750" s="54">
        <v>20</v>
      </c>
      <c r="AQ4750" s="54">
        <v>0</v>
      </c>
      <c r="AR4750" s="55">
        <v>28500</v>
      </c>
      <c r="AS4750" s="78">
        <f t="shared" si="78"/>
        <v>0</v>
      </c>
    </row>
    <row r="4751" spans="39:45">
      <c r="AM4751" s="55">
        <v>2019</v>
      </c>
      <c r="AN4751" s="55" t="s">
        <v>188</v>
      </c>
      <c r="AO4751" s="55">
        <v>17</v>
      </c>
      <c r="AP4751" s="55">
        <v>21</v>
      </c>
      <c r="AQ4751" s="55">
        <v>0</v>
      </c>
      <c r="AR4751" s="55">
        <v>28500</v>
      </c>
      <c r="AS4751" s="78">
        <f t="shared" si="78"/>
        <v>0</v>
      </c>
    </row>
    <row r="4752" spans="39:45">
      <c r="AM4752" s="54">
        <v>2019</v>
      </c>
      <c r="AN4752" s="54" t="s">
        <v>188</v>
      </c>
      <c r="AO4752" s="54">
        <v>17</v>
      </c>
      <c r="AP4752" s="54">
        <v>22</v>
      </c>
      <c r="AQ4752" s="54">
        <v>0</v>
      </c>
      <c r="AR4752" s="55">
        <v>28500</v>
      </c>
      <c r="AS4752" s="78">
        <f t="shared" si="78"/>
        <v>0</v>
      </c>
    </row>
    <row r="4753" spans="39:45">
      <c r="AM4753" s="55">
        <v>2019</v>
      </c>
      <c r="AN4753" s="55" t="s">
        <v>188</v>
      </c>
      <c r="AO4753" s="55">
        <v>17</v>
      </c>
      <c r="AP4753" s="55">
        <v>23</v>
      </c>
      <c r="AQ4753" s="55">
        <v>0</v>
      </c>
      <c r="AR4753" s="55">
        <v>28500</v>
      </c>
      <c r="AS4753" s="78">
        <f t="shared" si="78"/>
        <v>0</v>
      </c>
    </row>
    <row r="4754" spans="39:45">
      <c r="AM4754" s="54">
        <v>2019</v>
      </c>
      <c r="AN4754" s="54" t="s">
        <v>188</v>
      </c>
      <c r="AO4754" s="54">
        <v>18</v>
      </c>
      <c r="AP4754" s="54">
        <v>24</v>
      </c>
      <c r="AQ4754" s="54">
        <v>0</v>
      </c>
      <c r="AR4754" s="55">
        <v>28500</v>
      </c>
      <c r="AS4754" s="78">
        <f t="shared" si="78"/>
        <v>0</v>
      </c>
    </row>
    <row r="4755" spans="39:45">
      <c r="AM4755" s="55">
        <v>2019</v>
      </c>
      <c r="AN4755" s="55" t="s">
        <v>188</v>
      </c>
      <c r="AO4755" s="55">
        <v>18</v>
      </c>
      <c r="AP4755" s="55">
        <v>1</v>
      </c>
      <c r="AQ4755" s="55">
        <v>0</v>
      </c>
      <c r="AR4755" s="55">
        <v>28500</v>
      </c>
      <c r="AS4755" s="78">
        <f t="shared" si="78"/>
        <v>0</v>
      </c>
    </row>
    <row r="4756" spans="39:45">
      <c r="AM4756" s="54">
        <v>2019</v>
      </c>
      <c r="AN4756" s="54" t="s">
        <v>188</v>
      </c>
      <c r="AO4756" s="54">
        <v>18</v>
      </c>
      <c r="AP4756" s="54">
        <v>2</v>
      </c>
      <c r="AQ4756" s="54">
        <v>0</v>
      </c>
      <c r="AR4756" s="55">
        <v>28500</v>
      </c>
      <c r="AS4756" s="78">
        <f t="shared" si="78"/>
        <v>0</v>
      </c>
    </row>
    <row r="4757" spans="39:45">
      <c r="AM4757" s="55">
        <v>2019</v>
      </c>
      <c r="AN4757" s="55" t="s">
        <v>188</v>
      </c>
      <c r="AO4757" s="55">
        <v>18</v>
      </c>
      <c r="AP4757" s="55">
        <v>3</v>
      </c>
      <c r="AQ4757" s="55">
        <v>0</v>
      </c>
      <c r="AR4757" s="55">
        <v>28500</v>
      </c>
      <c r="AS4757" s="78">
        <f t="shared" si="78"/>
        <v>0</v>
      </c>
    </row>
    <row r="4758" spans="39:45">
      <c r="AM4758" s="54">
        <v>2019</v>
      </c>
      <c r="AN4758" s="54" t="s">
        <v>188</v>
      </c>
      <c r="AO4758" s="54">
        <v>18</v>
      </c>
      <c r="AP4758" s="54">
        <v>4</v>
      </c>
      <c r="AQ4758" s="54">
        <v>0</v>
      </c>
      <c r="AR4758" s="55">
        <v>28500</v>
      </c>
      <c r="AS4758" s="78">
        <f t="shared" si="78"/>
        <v>0</v>
      </c>
    </row>
    <row r="4759" spans="39:45">
      <c r="AM4759" s="55">
        <v>2019</v>
      </c>
      <c r="AN4759" s="55" t="s">
        <v>188</v>
      </c>
      <c r="AO4759" s="55">
        <v>18</v>
      </c>
      <c r="AP4759" s="55">
        <v>5</v>
      </c>
      <c r="AQ4759" s="55">
        <v>54.5</v>
      </c>
      <c r="AR4759" s="55">
        <v>28500</v>
      </c>
      <c r="AS4759" s="78">
        <f t="shared" si="78"/>
        <v>1.9122807017543859E-3</v>
      </c>
    </row>
    <row r="4760" spans="39:45">
      <c r="AM4760" s="54">
        <v>2019</v>
      </c>
      <c r="AN4760" s="54" t="s">
        <v>188</v>
      </c>
      <c r="AO4760" s="54">
        <v>18</v>
      </c>
      <c r="AP4760" s="54">
        <v>6</v>
      </c>
      <c r="AQ4760" s="54">
        <v>2204.5</v>
      </c>
      <c r="AR4760" s="55">
        <v>28500</v>
      </c>
      <c r="AS4760" s="78">
        <f t="shared" si="78"/>
        <v>7.7350877192982462E-2</v>
      </c>
    </row>
    <row r="4761" spans="39:45">
      <c r="AM4761" s="55">
        <v>2019</v>
      </c>
      <c r="AN4761" s="55" t="s">
        <v>188</v>
      </c>
      <c r="AO4761" s="55">
        <v>18</v>
      </c>
      <c r="AP4761" s="55">
        <v>7</v>
      </c>
      <c r="AQ4761" s="55">
        <v>2453</v>
      </c>
      <c r="AR4761" s="55">
        <v>28500</v>
      </c>
      <c r="AS4761" s="78">
        <f t="shared" si="78"/>
        <v>8.6070175438596491E-2</v>
      </c>
    </row>
    <row r="4762" spans="39:45">
      <c r="AM4762" s="54">
        <v>2019</v>
      </c>
      <c r="AN4762" s="54" t="s">
        <v>188</v>
      </c>
      <c r="AO4762" s="54">
        <v>18</v>
      </c>
      <c r="AP4762" s="54">
        <v>8</v>
      </c>
      <c r="AQ4762" s="54">
        <v>2600</v>
      </c>
      <c r="AR4762" s="55">
        <v>28500</v>
      </c>
      <c r="AS4762" s="78">
        <f t="shared" si="78"/>
        <v>9.1228070175438603E-2</v>
      </c>
    </row>
    <row r="4763" spans="39:45">
      <c r="AM4763" s="55">
        <v>2019</v>
      </c>
      <c r="AN4763" s="55" t="s">
        <v>188</v>
      </c>
      <c r="AO4763" s="55">
        <v>18</v>
      </c>
      <c r="AP4763" s="55">
        <v>9</v>
      </c>
      <c r="AQ4763" s="55">
        <v>5589.5</v>
      </c>
      <c r="AR4763" s="55">
        <v>28500</v>
      </c>
      <c r="AS4763" s="78">
        <f t="shared" si="78"/>
        <v>0.19612280701754387</v>
      </c>
    </row>
    <row r="4764" spans="39:45">
      <c r="AM4764" s="54">
        <v>2019</v>
      </c>
      <c r="AN4764" s="54" t="s">
        <v>188</v>
      </c>
      <c r="AO4764" s="54">
        <v>18</v>
      </c>
      <c r="AP4764" s="54">
        <v>10</v>
      </c>
      <c r="AQ4764" s="54">
        <v>11855.5</v>
      </c>
      <c r="AR4764" s="55">
        <v>28500</v>
      </c>
      <c r="AS4764" s="78">
        <f t="shared" si="78"/>
        <v>0.4159824561403509</v>
      </c>
    </row>
    <row r="4765" spans="39:45">
      <c r="AM4765" s="55">
        <v>2019</v>
      </c>
      <c r="AN4765" s="55" t="s">
        <v>188</v>
      </c>
      <c r="AO4765" s="55">
        <v>18</v>
      </c>
      <c r="AP4765" s="55">
        <v>11</v>
      </c>
      <c r="AQ4765" s="55">
        <v>6910</v>
      </c>
      <c r="AR4765" s="55">
        <v>28500</v>
      </c>
      <c r="AS4765" s="78">
        <f t="shared" si="78"/>
        <v>0.2424561403508772</v>
      </c>
    </row>
    <row r="4766" spans="39:45">
      <c r="AM4766" s="54">
        <v>2019</v>
      </c>
      <c r="AN4766" s="54" t="s">
        <v>188</v>
      </c>
      <c r="AO4766" s="54">
        <v>18</v>
      </c>
      <c r="AP4766" s="54">
        <v>12</v>
      </c>
      <c r="AQ4766" s="54">
        <v>6187</v>
      </c>
      <c r="AR4766" s="55">
        <v>28500</v>
      </c>
      <c r="AS4766" s="78">
        <f t="shared" si="78"/>
        <v>0.21708771929824561</v>
      </c>
    </row>
    <row r="4767" spans="39:45">
      <c r="AM4767" s="55">
        <v>2019</v>
      </c>
      <c r="AN4767" s="55" t="s">
        <v>188</v>
      </c>
      <c r="AO4767" s="55">
        <v>18</v>
      </c>
      <c r="AP4767" s="55">
        <v>13</v>
      </c>
      <c r="AQ4767" s="55">
        <v>10835</v>
      </c>
      <c r="AR4767" s="55">
        <v>28500</v>
      </c>
      <c r="AS4767" s="78">
        <f t="shared" si="78"/>
        <v>0.38017543859649122</v>
      </c>
    </row>
    <row r="4768" spans="39:45">
      <c r="AM4768" s="54">
        <v>2019</v>
      </c>
      <c r="AN4768" s="54" t="s">
        <v>188</v>
      </c>
      <c r="AO4768" s="54">
        <v>18</v>
      </c>
      <c r="AP4768" s="54">
        <v>14</v>
      </c>
      <c r="AQ4768" s="54">
        <v>9966.5</v>
      </c>
      <c r="AR4768" s="55">
        <v>28500</v>
      </c>
      <c r="AS4768" s="78">
        <f t="shared" si="78"/>
        <v>0.3497017543859649</v>
      </c>
    </row>
    <row r="4769" spans="39:45">
      <c r="AM4769" s="55">
        <v>2019</v>
      </c>
      <c r="AN4769" s="55" t="s">
        <v>188</v>
      </c>
      <c r="AO4769" s="55">
        <v>18</v>
      </c>
      <c r="AP4769" s="55">
        <v>15</v>
      </c>
      <c r="AQ4769" s="55">
        <v>17635.5</v>
      </c>
      <c r="AR4769" s="55">
        <v>28500</v>
      </c>
      <c r="AS4769" s="78">
        <f t="shared" si="78"/>
        <v>0.61878947368421056</v>
      </c>
    </row>
    <row r="4770" spans="39:45">
      <c r="AM4770" s="54">
        <v>2019</v>
      </c>
      <c r="AN4770" s="54" t="s">
        <v>188</v>
      </c>
      <c r="AO4770" s="54">
        <v>18</v>
      </c>
      <c r="AP4770" s="54">
        <v>16</v>
      </c>
      <c r="AQ4770" s="54">
        <v>13176.5</v>
      </c>
      <c r="AR4770" s="55">
        <v>28500</v>
      </c>
      <c r="AS4770" s="78">
        <f t="shared" si="78"/>
        <v>0.46233333333333332</v>
      </c>
    </row>
    <row r="4771" spans="39:45">
      <c r="AM4771" s="55">
        <v>2019</v>
      </c>
      <c r="AN4771" s="55" t="s">
        <v>188</v>
      </c>
      <c r="AO4771" s="55">
        <v>18</v>
      </c>
      <c r="AP4771" s="55">
        <v>17</v>
      </c>
      <c r="AQ4771" s="55">
        <v>8035.5</v>
      </c>
      <c r="AR4771" s="55">
        <v>28500</v>
      </c>
      <c r="AS4771" s="78">
        <f t="shared" si="78"/>
        <v>0.28194736842105261</v>
      </c>
    </row>
    <row r="4772" spans="39:45">
      <c r="AM4772" s="54">
        <v>2019</v>
      </c>
      <c r="AN4772" s="54" t="s">
        <v>188</v>
      </c>
      <c r="AO4772" s="54">
        <v>18</v>
      </c>
      <c r="AP4772" s="54">
        <v>18</v>
      </c>
      <c r="AQ4772" s="54">
        <v>3319</v>
      </c>
      <c r="AR4772" s="55">
        <v>28500</v>
      </c>
      <c r="AS4772" s="78">
        <f t="shared" si="78"/>
        <v>0.11645614035087719</v>
      </c>
    </row>
    <row r="4773" spans="39:45">
      <c r="AM4773" s="55">
        <v>2019</v>
      </c>
      <c r="AN4773" s="55" t="s">
        <v>188</v>
      </c>
      <c r="AO4773" s="55">
        <v>18</v>
      </c>
      <c r="AP4773" s="55">
        <v>19</v>
      </c>
      <c r="AQ4773" s="55">
        <v>823</v>
      </c>
      <c r="AR4773" s="55">
        <v>28500</v>
      </c>
      <c r="AS4773" s="78">
        <f t="shared" si="78"/>
        <v>2.887719298245614E-2</v>
      </c>
    </row>
    <row r="4774" spans="39:45">
      <c r="AM4774" s="54">
        <v>2019</v>
      </c>
      <c r="AN4774" s="54" t="s">
        <v>188</v>
      </c>
      <c r="AO4774" s="54">
        <v>18</v>
      </c>
      <c r="AP4774" s="54">
        <v>20</v>
      </c>
      <c r="AQ4774" s="54">
        <v>0</v>
      </c>
      <c r="AR4774" s="55">
        <v>28500</v>
      </c>
      <c r="AS4774" s="78">
        <f t="shared" si="78"/>
        <v>0</v>
      </c>
    </row>
    <row r="4775" spans="39:45">
      <c r="AM4775" s="55">
        <v>2019</v>
      </c>
      <c r="AN4775" s="55" t="s">
        <v>188</v>
      </c>
      <c r="AO4775" s="55">
        <v>18</v>
      </c>
      <c r="AP4775" s="55">
        <v>21</v>
      </c>
      <c r="AQ4775" s="55">
        <v>0</v>
      </c>
      <c r="AR4775" s="55">
        <v>28500</v>
      </c>
      <c r="AS4775" s="78">
        <f t="shared" si="78"/>
        <v>0</v>
      </c>
    </row>
    <row r="4776" spans="39:45">
      <c r="AM4776" s="54">
        <v>2019</v>
      </c>
      <c r="AN4776" s="54" t="s">
        <v>188</v>
      </c>
      <c r="AO4776" s="54">
        <v>18</v>
      </c>
      <c r="AP4776" s="54">
        <v>22</v>
      </c>
      <c r="AQ4776" s="54">
        <v>0</v>
      </c>
      <c r="AR4776" s="55">
        <v>28500</v>
      </c>
      <c r="AS4776" s="78">
        <f t="shared" si="78"/>
        <v>0</v>
      </c>
    </row>
    <row r="4777" spans="39:45">
      <c r="AM4777" s="55">
        <v>2019</v>
      </c>
      <c r="AN4777" s="55" t="s">
        <v>188</v>
      </c>
      <c r="AO4777" s="55">
        <v>18</v>
      </c>
      <c r="AP4777" s="55">
        <v>23</v>
      </c>
      <c r="AQ4777" s="55">
        <v>0</v>
      </c>
      <c r="AR4777" s="55">
        <v>28500</v>
      </c>
      <c r="AS4777" s="78">
        <f t="shared" si="78"/>
        <v>0</v>
      </c>
    </row>
    <row r="4778" spans="39:45">
      <c r="AM4778" s="54">
        <v>2019</v>
      </c>
      <c r="AN4778" s="54" t="s">
        <v>188</v>
      </c>
      <c r="AO4778" s="54">
        <v>19</v>
      </c>
      <c r="AP4778" s="54">
        <v>24</v>
      </c>
      <c r="AQ4778" s="54">
        <v>0</v>
      </c>
      <c r="AR4778" s="55">
        <v>28500</v>
      </c>
      <c r="AS4778" s="78">
        <f t="shared" si="78"/>
        <v>0</v>
      </c>
    </row>
    <row r="4779" spans="39:45">
      <c r="AM4779" s="55">
        <v>2019</v>
      </c>
      <c r="AN4779" s="55" t="s">
        <v>188</v>
      </c>
      <c r="AO4779" s="55">
        <v>19</v>
      </c>
      <c r="AP4779" s="55">
        <v>1</v>
      </c>
      <c r="AQ4779" s="55">
        <v>0</v>
      </c>
      <c r="AR4779" s="55">
        <v>28500</v>
      </c>
      <c r="AS4779" s="78">
        <f t="shared" si="78"/>
        <v>0</v>
      </c>
    </row>
    <row r="4780" spans="39:45">
      <c r="AM4780" s="54">
        <v>2019</v>
      </c>
      <c r="AN4780" s="54" t="s">
        <v>188</v>
      </c>
      <c r="AO4780" s="54">
        <v>19</v>
      </c>
      <c r="AP4780" s="54">
        <v>2</v>
      </c>
      <c r="AQ4780" s="54">
        <v>0</v>
      </c>
      <c r="AR4780" s="55">
        <v>28500</v>
      </c>
      <c r="AS4780" s="78">
        <f t="shared" si="78"/>
        <v>0</v>
      </c>
    </row>
    <row r="4781" spans="39:45">
      <c r="AM4781" s="55">
        <v>2019</v>
      </c>
      <c r="AN4781" s="55" t="s">
        <v>188</v>
      </c>
      <c r="AO4781" s="55">
        <v>19</v>
      </c>
      <c r="AP4781" s="55">
        <v>3</v>
      </c>
      <c r="AQ4781" s="55">
        <v>0</v>
      </c>
      <c r="AR4781" s="55">
        <v>28500</v>
      </c>
      <c r="AS4781" s="78">
        <f t="shared" si="78"/>
        <v>0</v>
      </c>
    </row>
    <row r="4782" spans="39:45">
      <c r="AM4782" s="54">
        <v>2019</v>
      </c>
      <c r="AN4782" s="54" t="s">
        <v>188</v>
      </c>
      <c r="AO4782" s="54">
        <v>19</v>
      </c>
      <c r="AP4782" s="54">
        <v>4</v>
      </c>
      <c r="AQ4782" s="54">
        <v>0</v>
      </c>
      <c r="AR4782" s="55">
        <v>28500</v>
      </c>
      <c r="AS4782" s="78">
        <f t="shared" si="78"/>
        <v>0</v>
      </c>
    </row>
    <row r="4783" spans="39:45">
      <c r="AM4783" s="55">
        <v>2019</v>
      </c>
      <c r="AN4783" s="55" t="s">
        <v>188</v>
      </c>
      <c r="AO4783" s="55">
        <v>19</v>
      </c>
      <c r="AP4783" s="55">
        <v>5</v>
      </c>
      <c r="AQ4783" s="55">
        <v>1069.5</v>
      </c>
      <c r="AR4783" s="55">
        <v>28500</v>
      </c>
      <c r="AS4783" s="78">
        <f t="shared" si="78"/>
        <v>3.7526315789473685E-2</v>
      </c>
    </row>
    <row r="4784" spans="39:45">
      <c r="AM4784" s="54">
        <v>2019</v>
      </c>
      <c r="AN4784" s="54" t="s">
        <v>188</v>
      </c>
      <c r="AO4784" s="54">
        <v>19</v>
      </c>
      <c r="AP4784" s="54">
        <v>6</v>
      </c>
      <c r="AQ4784" s="54">
        <v>1076</v>
      </c>
      <c r="AR4784" s="55">
        <v>28500</v>
      </c>
      <c r="AS4784" s="78">
        <f t="shared" si="78"/>
        <v>3.7754385964912283E-2</v>
      </c>
    </row>
    <row r="4785" spans="39:45">
      <c r="AM4785" s="55">
        <v>2019</v>
      </c>
      <c r="AN4785" s="55" t="s">
        <v>188</v>
      </c>
      <c r="AO4785" s="55">
        <v>19</v>
      </c>
      <c r="AP4785" s="55">
        <v>7</v>
      </c>
      <c r="AQ4785" s="55">
        <v>5542</v>
      </c>
      <c r="AR4785" s="55">
        <v>28500</v>
      </c>
      <c r="AS4785" s="78">
        <f t="shared" si="78"/>
        <v>0.19445614035087719</v>
      </c>
    </row>
    <row r="4786" spans="39:45">
      <c r="AM4786" s="54">
        <v>2019</v>
      </c>
      <c r="AN4786" s="54" t="s">
        <v>188</v>
      </c>
      <c r="AO4786" s="54">
        <v>19</v>
      </c>
      <c r="AP4786" s="54">
        <v>8</v>
      </c>
      <c r="AQ4786" s="54">
        <v>6516</v>
      </c>
      <c r="AR4786" s="55">
        <v>28500</v>
      </c>
      <c r="AS4786" s="78">
        <f t="shared" si="78"/>
        <v>0.22863157894736841</v>
      </c>
    </row>
    <row r="4787" spans="39:45">
      <c r="AM4787" s="55">
        <v>2019</v>
      </c>
      <c r="AN4787" s="55" t="s">
        <v>188</v>
      </c>
      <c r="AO4787" s="55">
        <v>19</v>
      </c>
      <c r="AP4787" s="55">
        <v>9</v>
      </c>
      <c r="AQ4787" s="55">
        <v>14796</v>
      </c>
      <c r="AR4787" s="55">
        <v>28500</v>
      </c>
      <c r="AS4787" s="78">
        <f t="shared" si="78"/>
        <v>0.51915789473684215</v>
      </c>
    </row>
    <row r="4788" spans="39:45">
      <c r="AM4788" s="54">
        <v>2019</v>
      </c>
      <c r="AN4788" s="54" t="s">
        <v>188</v>
      </c>
      <c r="AO4788" s="54">
        <v>19</v>
      </c>
      <c r="AP4788" s="54">
        <v>10</v>
      </c>
      <c r="AQ4788" s="54">
        <v>6799</v>
      </c>
      <c r="AR4788" s="55">
        <v>28500</v>
      </c>
      <c r="AS4788" s="78">
        <f t="shared" si="78"/>
        <v>0.23856140350877192</v>
      </c>
    </row>
    <row r="4789" spans="39:45">
      <c r="AM4789" s="55">
        <v>2019</v>
      </c>
      <c r="AN4789" s="55" t="s">
        <v>188</v>
      </c>
      <c r="AO4789" s="55">
        <v>19</v>
      </c>
      <c r="AP4789" s="55">
        <v>11</v>
      </c>
      <c r="AQ4789" s="55">
        <v>15923.5</v>
      </c>
      <c r="AR4789" s="55">
        <v>28500</v>
      </c>
      <c r="AS4789" s="78">
        <f t="shared" si="78"/>
        <v>0.55871929824561406</v>
      </c>
    </row>
    <row r="4790" spans="39:45">
      <c r="AM4790" s="54">
        <v>2019</v>
      </c>
      <c r="AN4790" s="54" t="s">
        <v>188</v>
      </c>
      <c r="AO4790" s="54">
        <v>19</v>
      </c>
      <c r="AP4790" s="54">
        <v>12</v>
      </c>
      <c r="AQ4790" s="54">
        <v>3709</v>
      </c>
      <c r="AR4790" s="55">
        <v>28500</v>
      </c>
      <c r="AS4790" s="78">
        <f t="shared" si="78"/>
        <v>0.13014035087719297</v>
      </c>
    </row>
    <row r="4791" spans="39:45">
      <c r="AM4791" s="55">
        <v>2019</v>
      </c>
      <c r="AN4791" s="55" t="s">
        <v>188</v>
      </c>
      <c r="AO4791" s="55">
        <v>19</v>
      </c>
      <c r="AP4791" s="55">
        <v>13</v>
      </c>
      <c r="AQ4791" s="55">
        <v>5334.5</v>
      </c>
      <c r="AR4791" s="55">
        <v>28500</v>
      </c>
      <c r="AS4791" s="78">
        <f t="shared" si="78"/>
        <v>0.18717543859649122</v>
      </c>
    </row>
    <row r="4792" spans="39:45">
      <c r="AM4792" s="54">
        <v>2019</v>
      </c>
      <c r="AN4792" s="54" t="s">
        <v>188</v>
      </c>
      <c r="AO4792" s="54">
        <v>19</v>
      </c>
      <c r="AP4792" s="54">
        <v>14</v>
      </c>
      <c r="AQ4792" s="54">
        <v>9847</v>
      </c>
      <c r="AR4792" s="55">
        <v>28500</v>
      </c>
      <c r="AS4792" s="78">
        <f t="shared" si="78"/>
        <v>0.34550877192982454</v>
      </c>
    </row>
    <row r="4793" spans="39:45">
      <c r="AM4793" s="55">
        <v>2019</v>
      </c>
      <c r="AN4793" s="55" t="s">
        <v>188</v>
      </c>
      <c r="AO4793" s="55">
        <v>19</v>
      </c>
      <c r="AP4793" s="55">
        <v>15</v>
      </c>
      <c r="AQ4793" s="55">
        <v>2942</v>
      </c>
      <c r="AR4793" s="55">
        <v>28500</v>
      </c>
      <c r="AS4793" s="78">
        <f t="shared" si="78"/>
        <v>0.1032280701754386</v>
      </c>
    </row>
    <row r="4794" spans="39:45">
      <c r="AM4794" s="54">
        <v>2019</v>
      </c>
      <c r="AN4794" s="54" t="s">
        <v>188</v>
      </c>
      <c r="AO4794" s="54">
        <v>19</v>
      </c>
      <c r="AP4794" s="54">
        <v>16</v>
      </c>
      <c r="AQ4794" s="54">
        <v>8954</v>
      </c>
      <c r="AR4794" s="55">
        <v>28500</v>
      </c>
      <c r="AS4794" s="78">
        <f t="shared" si="78"/>
        <v>0.31417543859649122</v>
      </c>
    </row>
    <row r="4795" spans="39:45">
      <c r="AM4795" s="55">
        <v>2019</v>
      </c>
      <c r="AN4795" s="55" t="s">
        <v>188</v>
      </c>
      <c r="AO4795" s="55">
        <v>19</v>
      </c>
      <c r="AP4795" s="55">
        <v>17</v>
      </c>
      <c r="AQ4795" s="55">
        <v>1565</v>
      </c>
      <c r="AR4795" s="55">
        <v>28500</v>
      </c>
      <c r="AS4795" s="78">
        <f t="shared" si="78"/>
        <v>5.4912280701754385E-2</v>
      </c>
    </row>
    <row r="4796" spans="39:45">
      <c r="AM4796" s="54">
        <v>2019</v>
      </c>
      <c r="AN4796" s="54" t="s">
        <v>188</v>
      </c>
      <c r="AO4796" s="54">
        <v>19</v>
      </c>
      <c r="AP4796" s="54">
        <v>18</v>
      </c>
      <c r="AQ4796" s="54">
        <v>258.5</v>
      </c>
      <c r="AR4796" s="55">
        <v>28500</v>
      </c>
      <c r="AS4796" s="78">
        <f t="shared" si="78"/>
        <v>9.0701754385964905E-3</v>
      </c>
    </row>
    <row r="4797" spans="39:45">
      <c r="AM4797" s="55">
        <v>2019</v>
      </c>
      <c r="AN4797" s="55" t="s">
        <v>188</v>
      </c>
      <c r="AO4797" s="55">
        <v>19</v>
      </c>
      <c r="AP4797" s="55">
        <v>19</v>
      </c>
      <c r="AQ4797" s="55">
        <v>0</v>
      </c>
      <c r="AR4797" s="55">
        <v>28500</v>
      </c>
      <c r="AS4797" s="78">
        <f t="shared" si="78"/>
        <v>0</v>
      </c>
    </row>
    <row r="4798" spans="39:45">
      <c r="AM4798" s="54">
        <v>2019</v>
      </c>
      <c r="AN4798" s="54" t="s">
        <v>188</v>
      </c>
      <c r="AO4798" s="54">
        <v>19</v>
      </c>
      <c r="AP4798" s="54">
        <v>20</v>
      </c>
      <c r="AQ4798" s="54">
        <v>0</v>
      </c>
      <c r="AR4798" s="55">
        <v>28500</v>
      </c>
      <c r="AS4798" s="78">
        <f t="shared" si="78"/>
        <v>0</v>
      </c>
    </row>
    <row r="4799" spans="39:45">
      <c r="AM4799" s="55">
        <v>2019</v>
      </c>
      <c r="AN4799" s="55" t="s">
        <v>188</v>
      </c>
      <c r="AO4799" s="55">
        <v>19</v>
      </c>
      <c r="AP4799" s="55">
        <v>21</v>
      </c>
      <c r="AQ4799" s="55">
        <v>0</v>
      </c>
      <c r="AR4799" s="55">
        <v>28500</v>
      </c>
      <c r="AS4799" s="78">
        <f t="shared" si="78"/>
        <v>0</v>
      </c>
    </row>
    <row r="4800" spans="39:45">
      <c r="AM4800" s="54">
        <v>2019</v>
      </c>
      <c r="AN4800" s="54" t="s">
        <v>188</v>
      </c>
      <c r="AO4800" s="54">
        <v>19</v>
      </c>
      <c r="AP4800" s="54">
        <v>22</v>
      </c>
      <c r="AQ4800" s="54">
        <v>0</v>
      </c>
      <c r="AR4800" s="55">
        <v>28500</v>
      </c>
      <c r="AS4800" s="78">
        <f t="shared" si="78"/>
        <v>0</v>
      </c>
    </row>
    <row r="4801" spans="39:45">
      <c r="AM4801" s="55">
        <v>2019</v>
      </c>
      <c r="AN4801" s="55" t="s">
        <v>188</v>
      </c>
      <c r="AO4801" s="55">
        <v>19</v>
      </c>
      <c r="AP4801" s="55">
        <v>23</v>
      </c>
      <c r="AQ4801" s="55">
        <v>0</v>
      </c>
      <c r="AR4801" s="55">
        <v>28500</v>
      </c>
      <c r="AS4801" s="78">
        <f t="shared" si="78"/>
        <v>0</v>
      </c>
    </row>
    <row r="4802" spans="39:45">
      <c r="AM4802" s="54">
        <v>2019</v>
      </c>
      <c r="AN4802" s="54" t="s">
        <v>188</v>
      </c>
      <c r="AO4802" s="54">
        <v>20</v>
      </c>
      <c r="AP4802" s="54">
        <v>24</v>
      </c>
      <c r="AQ4802" s="54">
        <v>0</v>
      </c>
      <c r="AR4802" s="55">
        <v>28500</v>
      </c>
      <c r="AS4802" s="78">
        <f t="shared" ref="AS4802:AS4865" si="79">AQ4802/AR4802</f>
        <v>0</v>
      </c>
    </row>
    <row r="4803" spans="39:45">
      <c r="AM4803" s="55">
        <v>2019</v>
      </c>
      <c r="AN4803" s="55" t="s">
        <v>188</v>
      </c>
      <c r="AO4803" s="55">
        <v>20</v>
      </c>
      <c r="AP4803" s="55">
        <v>1</v>
      </c>
      <c r="AQ4803" s="55">
        <v>0</v>
      </c>
      <c r="AR4803" s="55">
        <v>28500</v>
      </c>
      <c r="AS4803" s="78">
        <f t="shared" si="79"/>
        <v>0</v>
      </c>
    </row>
    <row r="4804" spans="39:45">
      <c r="AM4804" s="54">
        <v>2019</v>
      </c>
      <c r="AN4804" s="54" t="s">
        <v>188</v>
      </c>
      <c r="AO4804" s="54">
        <v>20</v>
      </c>
      <c r="AP4804" s="54">
        <v>2</v>
      </c>
      <c r="AQ4804" s="54">
        <v>0</v>
      </c>
      <c r="AR4804" s="55">
        <v>28500</v>
      </c>
      <c r="AS4804" s="78">
        <f t="shared" si="79"/>
        <v>0</v>
      </c>
    </row>
    <row r="4805" spans="39:45">
      <c r="AM4805" s="55">
        <v>2019</v>
      </c>
      <c r="AN4805" s="55" t="s">
        <v>188</v>
      </c>
      <c r="AO4805" s="55">
        <v>20</v>
      </c>
      <c r="AP4805" s="55">
        <v>3</v>
      </c>
      <c r="AQ4805" s="55">
        <v>0</v>
      </c>
      <c r="AR4805" s="55">
        <v>28500</v>
      </c>
      <c r="AS4805" s="78">
        <f t="shared" si="79"/>
        <v>0</v>
      </c>
    </row>
    <row r="4806" spans="39:45">
      <c r="AM4806" s="54">
        <v>2019</v>
      </c>
      <c r="AN4806" s="54" t="s">
        <v>188</v>
      </c>
      <c r="AO4806" s="54">
        <v>20</v>
      </c>
      <c r="AP4806" s="54">
        <v>4</v>
      </c>
      <c r="AQ4806" s="54">
        <v>0</v>
      </c>
      <c r="AR4806" s="55">
        <v>28500</v>
      </c>
      <c r="AS4806" s="78">
        <f t="shared" si="79"/>
        <v>0</v>
      </c>
    </row>
    <row r="4807" spans="39:45">
      <c r="AM4807" s="55">
        <v>2019</v>
      </c>
      <c r="AN4807" s="55" t="s">
        <v>188</v>
      </c>
      <c r="AO4807" s="55">
        <v>20</v>
      </c>
      <c r="AP4807" s="55">
        <v>5</v>
      </c>
      <c r="AQ4807" s="55">
        <v>1150</v>
      </c>
      <c r="AR4807" s="55">
        <v>28500</v>
      </c>
      <c r="AS4807" s="78">
        <f t="shared" si="79"/>
        <v>4.0350877192982457E-2</v>
      </c>
    </row>
    <row r="4808" spans="39:45">
      <c r="AM4808" s="54">
        <v>2019</v>
      </c>
      <c r="AN4808" s="54" t="s">
        <v>188</v>
      </c>
      <c r="AO4808" s="54">
        <v>20</v>
      </c>
      <c r="AP4808" s="54">
        <v>6</v>
      </c>
      <c r="AQ4808" s="54">
        <v>3993</v>
      </c>
      <c r="AR4808" s="55">
        <v>28500</v>
      </c>
      <c r="AS4808" s="78">
        <f t="shared" si="79"/>
        <v>0.14010526315789473</v>
      </c>
    </row>
    <row r="4809" spans="39:45">
      <c r="AM4809" s="55">
        <v>2019</v>
      </c>
      <c r="AN4809" s="55" t="s">
        <v>188</v>
      </c>
      <c r="AO4809" s="55">
        <v>20</v>
      </c>
      <c r="AP4809" s="55">
        <v>7</v>
      </c>
      <c r="AQ4809" s="55">
        <v>1476.5</v>
      </c>
      <c r="AR4809" s="55">
        <v>28500</v>
      </c>
      <c r="AS4809" s="78">
        <f t="shared" si="79"/>
        <v>5.1807017543859649E-2</v>
      </c>
    </row>
    <row r="4810" spans="39:45">
      <c r="AM4810" s="54">
        <v>2019</v>
      </c>
      <c r="AN4810" s="54" t="s">
        <v>188</v>
      </c>
      <c r="AO4810" s="54">
        <v>20</v>
      </c>
      <c r="AP4810" s="54">
        <v>8</v>
      </c>
      <c r="AQ4810" s="54">
        <v>10318</v>
      </c>
      <c r="AR4810" s="55">
        <v>28500</v>
      </c>
      <c r="AS4810" s="78">
        <f t="shared" si="79"/>
        <v>0.36203508771929827</v>
      </c>
    </row>
    <row r="4811" spans="39:45">
      <c r="AM4811" s="55">
        <v>2019</v>
      </c>
      <c r="AN4811" s="55" t="s">
        <v>188</v>
      </c>
      <c r="AO4811" s="55">
        <v>20</v>
      </c>
      <c r="AP4811" s="55">
        <v>9</v>
      </c>
      <c r="AQ4811" s="55">
        <v>22462</v>
      </c>
      <c r="AR4811" s="55">
        <v>28500</v>
      </c>
      <c r="AS4811" s="78">
        <f t="shared" si="79"/>
        <v>0.78814035087719303</v>
      </c>
    </row>
    <row r="4812" spans="39:45">
      <c r="AM4812" s="54">
        <v>2019</v>
      </c>
      <c r="AN4812" s="54" t="s">
        <v>188</v>
      </c>
      <c r="AO4812" s="54">
        <v>20</v>
      </c>
      <c r="AP4812" s="54">
        <v>10</v>
      </c>
      <c r="AQ4812" s="54">
        <v>32386.5</v>
      </c>
      <c r="AR4812" s="55">
        <v>28500</v>
      </c>
      <c r="AS4812" s="78">
        <f t="shared" si="79"/>
        <v>1.1363684210526315</v>
      </c>
    </row>
    <row r="4813" spans="39:45">
      <c r="AM4813" s="55">
        <v>2019</v>
      </c>
      <c r="AN4813" s="55" t="s">
        <v>188</v>
      </c>
      <c r="AO4813" s="55">
        <v>20</v>
      </c>
      <c r="AP4813" s="55">
        <v>11</v>
      </c>
      <c r="AQ4813" s="55">
        <v>8017</v>
      </c>
      <c r="AR4813" s="55">
        <v>28500</v>
      </c>
      <c r="AS4813" s="78">
        <f t="shared" si="79"/>
        <v>0.2812982456140351</v>
      </c>
    </row>
    <row r="4814" spans="39:45">
      <c r="AM4814" s="54">
        <v>2019</v>
      </c>
      <c r="AN4814" s="54" t="s">
        <v>188</v>
      </c>
      <c r="AO4814" s="54">
        <v>20</v>
      </c>
      <c r="AP4814" s="54">
        <v>12</v>
      </c>
      <c r="AQ4814" s="54">
        <v>35852</v>
      </c>
      <c r="AR4814" s="55">
        <v>28500</v>
      </c>
      <c r="AS4814" s="78">
        <f t="shared" si="79"/>
        <v>1.2579649122807017</v>
      </c>
    </row>
    <row r="4815" spans="39:45">
      <c r="AM4815" s="55">
        <v>2019</v>
      </c>
      <c r="AN4815" s="55" t="s">
        <v>188</v>
      </c>
      <c r="AO4815" s="55">
        <v>20</v>
      </c>
      <c r="AP4815" s="55">
        <v>13</v>
      </c>
      <c r="AQ4815" s="55">
        <v>15098.5</v>
      </c>
      <c r="AR4815" s="55">
        <v>28500</v>
      </c>
      <c r="AS4815" s="78">
        <f t="shared" si="79"/>
        <v>0.52977192982456145</v>
      </c>
    </row>
    <row r="4816" spans="39:45">
      <c r="AM4816" s="54">
        <v>2019</v>
      </c>
      <c r="AN4816" s="54" t="s">
        <v>188</v>
      </c>
      <c r="AO4816" s="54">
        <v>20</v>
      </c>
      <c r="AP4816" s="54">
        <v>14</v>
      </c>
      <c r="AQ4816" s="54">
        <v>23811.5</v>
      </c>
      <c r="AR4816" s="55">
        <v>28500</v>
      </c>
      <c r="AS4816" s="78">
        <f t="shared" si="79"/>
        <v>0.8354912280701754</v>
      </c>
    </row>
    <row r="4817" spans="39:45">
      <c r="AM4817" s="55">
        <v>2019</v>
      </c>
      <c r="AN4817" s="55" t="s">
        <v>188</v>
      </c>
      <c r="AO4817" s="55">
        <v>20</v>
      </c>
      <c r="AP4817" s="55">
        <v>15</v>
      </c>
      <c r="AQ4817" s="55">
        <v>18085.5</v>
      </c>
      <c r="AR4817" s="55">
        <v>28500</v>
      </c>
      <c r="AS4817" s="78">
        <f t="shared" si="79"/>
        <v>0.63457894736842102</v>
      </c>
    </row>
    <row r="4818" spans="39:45">
      <c r="AM4818" s="54">
        <v>2019</v>
      </c>
      <c r="AN4818" s="54" t="s">
        <v>188</v>
      </c>
      <c r="AO4818" s="54">
        <v>20</v>
      </c>
      <c r="AP4818" s="54">
        <v>16</v>
      </c>
      <c r="AQ4818" s="54">
        <v>17377.5</v>
      </c>
      <c r="AR4818" s="55">
        <v>28500</v>
      </c>
      <c r="AS4818" s="78">
        <f t="shared" si="79"/>
        <v>0.60973684210526313</v>
      </c>
    </row>
    <row r="4819" spans="39:45">
      <c r="AM4819" s="55">
        <v>2019</v>
      </c>
      <c r="AN4819" s="55" t="s">
        <v>188</v>
      </c>
      <c r="AO4819" s="55">
        <v>20</v>
      </c>
      <c r="AP4819" s="55">
        <v>17</v>
      </c>
      <c r="AQ4819" s="55">
        <v>6686</v>
      </c>
      <c r="AR4819" s="55">
        <v>28500</v>
      </c>
      <c r="AS4819" s="78">
        <f t="shared" si="79"/>
        <v>0.23459649122807016</v>
      </c>
    </row>
    <row r="4820" spans="39:45">
      <c r="AM4820" s="54">
        <v>2019</v>
      </c>
      <c r="AN4820" s="54" t="s">
        <v>188</v>
      </c>
      <c r="AO4820" s="54">
        <v>20</v>
      </c>
      <c r="AP4820" s="54">
        <v>18</v>
      </c>
      <c r="AQ4820" s="54">
        <v>3249.5</v>
      </c>
      <c r="AR4820" s="55">
        <v>28500</v>
      </c>
      <c r="AS4820" s="78">
        <f t="shared" si="79"/>
        <v>0.11401754385964913</v>
      </c>
    </row>
    <row r="4821" spans="39:45">
      <c r="AM4821" s="55">
        <v>2019</v>
      </c>
      <c r="AN4821" s="55" t="s">
        <v>188</v>
      </c>
      <c r="AO4821" s="55">
        <v>20</v>
      </c>
      <c r="AP4821" s="55">
        <v>19</v>
      </c>
      <c r="AQ4821" s="55">
        <v>855</v>
      </c>
      <c r="AR4821" s="55">
        <v>28500</v>
      </c>
      <c r="AS4821" s="78">
        <f t="shared" si="79"/>
        <v>0.03</v>
      </c>
    </row>
    <row r="4822" spans="39:45">
      <c r="AM4822" s="54">
        <v>2019</v>
      </c>
      <c r="AN4822" s="54" t="s">
        <v>188</v>
      </c>
      <c r="AO4822" s="54">
        <v>20</v>
      </c>
      <c r="AP4822" s="54">
        <v>20</v>
      </c>
      <c r="AQ4822" s="54">
        <v>0</v>
      </c>
      <c r="AR4822" s="55">
        <v>28500</v>
      </c>
      <c r="AS4822" s="78">
        <f t="shared" si="79"/>
        <v>0</v>
      </c>
    </row>
    <row r="4823" spans="39:45">
      <c r="AM4823" s="55">
        <v>2019</v>
      </c>
      <c r="AN4823" s="55" t="s">
        <v>188</v>
      </c>
      <c r="AO4823" s="55">
        <v>20</v>
      </c>
      <c r="AP4823" s="55">
        <v>21</v>
      </c>
      <c r="AQ4823" s="55">
        <v>0</v>
      </c>
      <c r="AR4823" s="55">
        <v>28500</v>
      </c>
      <c r="AS4823" s="78">
        <f t="shared" si="79"/>
        <v>0</v>
      </c>
    </row>
    <row r="4824" spans="39:45">
      <c r="AM4824" s="54">
        <v>2019</v>
      </c>
      <c r="AN4824" s="54" t="s">
        <v>188</v>
      </c>
      <c r="AO4824" s="54">
        <v>20</v>
      </c>
      <c r="AP4824" s="54">
        <v>22</v>
      </c>
      <c r="AQ4824" s="54">
        <v>0</v>
      </c>
      <c r="AR4824" s="55">
        <v>28500</v>
      </c>
      <c r="AS4824" s="78">
        <f t="shared" si="79"/>
        <v>0</v>
      </c>
    </row>
    <row r="4825" spans="39:45">
      <c r="AM4825" s="55">
        <v>2019</v>
      </c>
      <c r="AN4825" s="55" t="s">
        <v>188</v>
      </c>
      <c r="AO4825" s="55">
        <v>20</v>
      </c>
      <c r="AP4825" s="55">
        <v>23</v>
      </c>
      <c r="AQ4825" s="55">
        <v>0</v>
      </c>
      <c r="AR4825" s="55">
        <v>28500</v>
      </c>
      <c r="AS4825" s="78">
        <f t="shared" si="79"/>
        <v>0</v>
      </c>
    </row>
    <row r="4826" spans="39:45">
      <c r="AM4826" s="54">
        <v>2019</v>
      </c>
      <c r="AN4826" s="54" t="s">
        <v>188</v>
      </c>
      <c r="AO4826" s="54">
        <v>21</v>
      </c>
      <c r="AP4826" s="54">
        <v>24</v>
      </c>
      <c r="AQ4826" s="54">
        <v>0</v>
      </c>
      <c r="AR4826" s="55">
        <v>28500</v>
      </c>
      <c r="AS4826" s="78">
        <f t="shared" si="79"/>
        <v>0</v>
      </c>
    </row>
    <row r="4827" spans="39:45">
      <c r="AM4827" s="55">
        <v>2019</v>
      </c>
      <c r="AN4827" s="55" t="s">
        <v>188</v>
      </c>
      <c r="AO4827" s="55">
        <v>21</v>
      </c>
      <c r="AP4827" s="55">
        <v>1</v>
      </c>
      <c r="AQ4827" s="55">
        <v>0</v>
      </c>
      <c r="AR4827" s="55">
        <v>28500</v>
      </c>
      <c r="AS4827" s="78">
        <f t="shared" si="79"/>
        <v>0</v>
      </c>
    </row>
    <row r="4828" spans="39:45">
      <c r="AM4828" s="54">
        <v>2019</v>
      </c>
      <c r="AN4828" s="54" t="s">
        <v>188</v>
      </c>
      <c r="AO4828" s="54">
        <v>21</v>
      </c>
      <c r="AP4828" s="54">
        <v>2</v>
      </c>
      <c r="AQ4828" s="54">
        <v>0</v>
      </c>
      <c r="AR4828" s="55">
        <v>28500</v>
      </c>
      <c r="AS4828" s="78">
        <f t="shared" si="79"/>
        <v>0</v>
      </c>
    </row>
    <row r="4829" spans="39:45">
      <c r="AM4829" s="55">
        <v>2019</v>
      </c>
      <c r="AN4829" s="55" t="s">
        <v>188</v>
      </c>
      <c r="AO4829" s="55">
        <v>21</v>
      </c>
      <c r="AP4829" s="55">
        <v>3</v>
      </c>
      <c r="AQ4829" s="55">
        <v>0</v>
      </c>
      <c r="AR4829" s="55">
        <v>28500</v>
      </c>
      <c r="AS4829" s="78">
        <f t="shared" si="79"/>
        <v>0</v>
      </c>
    </row>
    <row r="4830" spans="39:45">
      <c r="AM4830" s="54">
        <v>2019</v>
      </c>
      <c r="AN4830" s="54" t="s">
        <v>188</v>
      </c>
      <c r="AO4830" s="54">
        <v>21</v>
      </c>
      <c r="AP4830" s="54">
        <v>4</v>
      </c>
      <c r="AQ4830" s="54">
        <v>0</v>
      </c>
      <c r="AR4830" s="55">
        <v>28500</v>
      </c>
      <c r="AS4830" s="78">
        <f t="shared" si="79"/>
        <v>0</v>
      </c>
    </row>
    <row r="4831" spans="39:45">
      <c r="AM4831" s="55">
        <v>2019</v>
      </c>
      <c r="AN4831" s="55" t="s">
        <v>188</v>
      </c>
      <c r="AO4831" s="55">
        <v>21</v>
      </c>
      <c r="AP4831" s="55">
        <v>5</v>
      </c>
      <c r="AQ4831" s="55">
        <v>444.5</v>
      </c>
      <c r="AR4831" s="55">
        <v>28500</v>
      </c>
      <c r="AS4831" s="78">
        <f t="shared" si="79"/>
        <v>1.5596491228070176E-2</v>
      </c>
    </row>
    <row r="4832" spans="39:45">
      <c r="AM4832" s="54">
        <v>2019</v>
      </c>
      <c r="AN4832" s="54" t="s">
        <v>188</v>
      </c>
      <c r="AO4832" s="54">
        <v>21</v>
      </c>
      <c r="AP4832" s="54">
        <v>6</v>
      </c>
      <c r="AQ4832" s="54">
        <v>4022</v>
      </c>
      <c r="AR4832" s="55">
        <v>28500</v>
      </c>
      <c r="AS4832" s="78">
        <f t="shared" si="79"/>
        <v>0.14112280701754387</v>
      </c>
    </row>
    <row r="4833" spans="39:45">
      <c r="AM4833" s="55">
        <v>2019</v>
      </c>
      <c r="AN4833" s="55" t="s">
        <v>188</v>
      </c>
      <c r="AO4833" s="55">
        <v>21</v>
      </c>
      <c r="AP4833" s="55">
        <v>7</v>
      </c>
      <c r="AQ4833" s="55">
        <v>10935.5</v>
      </c>
      <c r="AR4833" s="55">
        <v>28500</v>
      </c>
      <c r="AS4833" s="78">
        <f t="shared" si="79"/>
        <v>0.38370175438596493</v>
      </c>
    </row>
    <row r="4834" spans="39:45">
      <c r="AM4834" s="54">
        <v>2019</v>
      </c>
      <c r="AN4834" s="54" t="s">
        <v>188</v>
      </c>
      <c r="AO4834" s="54">
        <v>21</v>
      </c>
      <c r="AP4834" s="54">
        <v>8</v>
      </c>
      <c r="AQ4834" s="54">
        <v>21034.5</v>
      </c>
      <c r="AR4834" s="55">
        <v>28500</v>
      </c>
      <c r="AS4834" s="78">
        <f t="shared" si="79"/>
        <v>0.7380526315789474</v>
      </c>
    </row>
    <row r="4835" spans="39:45">
      <c r="AM4835" s="55">
        <v>2019</v>
      </c>
      <c r="AN4835" s="55" t="s">
        <v>188</v>
      </c>
      <c r="AO4835" s="55">
        <v>21</v>
      </c>
      <c r="AP4835" s="55">
        <v>9</v>
      </c>
      <c r="AQ4835" s="55">
        <v>28271.5</v>
      </c>
      <c r="AR4835" s="55">
        <v>28500</v>
      </c>
      <c r="AS4835" s="78">
        <f t="shared" si="79"/>
        <v>0.99198245614035085</v>
      </c>
    </row>
    <row r="4836" spans="39:45">
      <c r="AM4836" s="54">
        <v>2019</v>
      </c>
      <c r="AN4836" s="54" t="s">
        <v>188</v>
      </c>
      <c r="AO4836" s="54">
        <v>21</v>
      </c>
      <c r="AP4836" s="54">
        <v>10</v>
      </c>
      <c r="AQ4836" s="54">
        <v>14280</v>
      </c>
      <c r="AR4836" s="55">
        <v>28500</v>
      </c>
      <c r="AS4836" s="78">
        <f t="shared" si="79"/>
        <v>0.50105263157894742</v>
      </c>
    </row>
    <row r="4837" spans="39:45">
      <c r="AM4837" s="55">
        <v>2019</v>
      </c>
      <c r="AN4837" s="55" t="s">
        <v>188</v>
      </c>
      <c r="AO4837" s="55">
        <v>21</v>
      </c>
      <c r="AP4837" s="55">
        <v>11</v>
      </c>
      <c r="AQ4837" s="55">
        <v>13979.5</v>
      </c>
      <c r="AR4837" s="55">
        <v>28500</v>
      </c>
      <c r="AS4837" s="78">
        <f t="shared" si="79"/>
        <v>0.49050877192982456</v>
      </c>
    </row>
    <row r="4838" spans="39:45">
      <c r="AM4838" s="54">
        <v>2019</v>
      </c>
      <c r="AN4838" s="54" t="s">
        <v>188</v>
      </c>
      <c r="AO4838" s="54">
        <v>21</v>
      </c>
      <c r="AP4838" s="54">
        <v>12</v>
      </c>
      <c r="AQ4838" s="54">
        <v>22484</v>
      </c>
      <c r="AR4838" s="55">
        <v>28500</v>
      </c>
      <c r="AS4838" s="78">
        <f t="shared" si="79"/>
        <v>0.78891228070175434</v>
      </c>
    </row>
    <row r="4839" spans="39:45">
      <c r="AM4839" s="55">
        <v>2019</v>
      </c>
      <c r="AN4839" s="55" t="s">
        <v>188</v>
      </c>
      <c r="AO4839" s="55">
        <v>21</v>
      </c>
      <c r="AP4839" s="55">
        <v>13</v>
      </c>
      <c r="AQ4839" s="55">
        <v>27577.5</v>
      </c>
      <c r="AR4839" s="55">
        <v>28500</v>
      </c>
      <c r="AS4839" s="78">
        <f t="shared" si="79"/>
        <v>0.9676315789473684</v>
      </c>
    </row>
    <row r="4840" spans="39:45">
      <c r="AM4840" s="54">
        <v>2019</v>
      </c>
      <c r="AN4840" s="54" t="s">
        <v>188</v>
      </c>
      <c r="AO4840" s="54">
        <v>21</v>
      </c>
      <c r="AP4840" s="54">
        <v>14</v>
      </c>
      <c r="AQ4840" s="54">
        <v>25206</v>
      </c>
      <c r="AR4840" s="55">
        <v>28500</v>
      </c>
      <c r="AS4840" s="78">
        <f t="shared" si="79"/>
        <v>0.884421052631579</v>
      </c>
    </row>
    <row r="4841" spans="39:45">
      <c r="AM4841" s="55">
        <v>2019</v>
      </c>
      <c r="AN4841" s="55" t="s">
        <v>188</v>
      </c>
      <c r="AO4841" s="55">
        <v>21</v>
      </c>
      <c r="AP4841" s="55">
        <v>15</v>
      </c>
      <c r="AQ4841" s="55">
        <v>15444.5</v>
      </c>
      <c r="AR4841" s="55">
        <v>28500</v>
      </c>
      <c r="AS4841" s="78">
        <f t="shared" si="79"/>
        <v>0.54191228070175435</v>
      </c>
    </row>
    <row r="4842" spans="39:45">
      <c r="AM4842" s="54">
        <v>2019</v>
      </c>
      <c r="AN4842" s="54" t="s">
        <v>188</v>
      </c>
      <c r="AO4842" s="54">
        <v>21</v>
      </c>
      <c r="AP4842" s="54">
        <v>16</v>
      </c>
      <c r="AQ4842" s="54">
        <v>10873</v>
      </c>
      <c r="AR4842" s="55">
        <v>28500</v>
      </c>
      <c r="AS4842" s="78">
        <f t="shared" si="79"/>
        <v>0.38150877192982457</v>
      </c>
    </row>
    <row r="4843" spans="39:45">
      <c r="AM4843" s="55">
        <v>2019</v>
      </c>
      <c r="AN4843" s="55" t="s">
        <v>188</v>
      </c>
      <c r="AO4843" s="55">
        <v>21</v>
      </c>
      <c r="AP4843" s="55">
        <v>17</v>
      </c>
      <c r="AQ4843" s="55">
        <v>6927.5</v>
      </c>
      <c r="AR4843" s="55">
        <v>28500</v>
      </c>
      <c r="AS4843" s="78">
        <f t="shared" si="79"/>
        <v>0.24307017543859649</v>
      </c>
    </row>
    <row r="4844" spans="39:45">
      <c r="AM4844" s="54">
        <v>2019</v>
      </c>
      <c r="AN4844" s="54" t="s">
        <v>188</v>
      </c>
      <c r="AO4844" s="54">
        <v>21</v>
      </c>
      <c r="AP4844" s="54">
        <v>18</v>
      </c>
      <c r="AQ4844" s="54">
        <v>3146</v>
      </c>
      <c r="AR4844" s="55">
        <v>28500</v>
      </c>
      <c r="AS4844" s="78">
        <f t="shared" si="79"/>
        <v>0.1103859649122807</v>
      </c>
    </row>
    <row r="4845" spans="39:45">
      <c r="AM4845" s="55">
        <v>2019</v>
      </c>
      <c r="AN4845" s="55" t="s">
        <v>188</v>
      </c>
      <c r="AO4845" s="55">
        <v>21</v>
      </c>
      <c r="AP4845" s="55">
        <v>19</v>
      </c>
      <c r="AQ4845" s="55">
        <v>654</v>
      </c>
      <c r="AR4845" s="55">
        <v>28500</v>
      </c>
      <c r="AS4845" s="78">
        <f t="shared" si="79"/>
        <v>2.2947368421052633E-2</v>
      </c>
    </row>
    <row r="4846" spans="39:45">
      <c r="AM4846" s="54">
        <v>2019</v>
      </c>
      <c r="AN4846" s="54" t="s">
        <v>188</v>
      </c>
      <c r="AO4846" s="54">
        <v>21</v>
      </c>
      <c r="AP4846" s="54">
        <v>20</v>
      </c>
      <c r="AQ4846" s="54">
        <v>0</v>
      </c>
      <c r="AR4846" s="55">
        <v>28500</v>
      </c>
      <c r="AS4846" s="78">
        <f t="shared" si="79"/>
        <v>0</v>
      </c>
    </row>
    <row r="4847" spans="39:45">
      <c r="AM4847" s="55">
        <v>2019</v>
      </c>
      <c r="AN4847" s="55" t="s">
        <v>188</v>
      </c>
      <c r="AO4847" s="55">
        <v>21</v>
      </c>
      <c r="AP4847" s="55">
        <v>21</v>
      </c>
      <c r="AQ4847" s="55">
        <v>0</v>
      </c>
      <c r="AR4847" s="55">
        <v>28500</v>
      </c>
      <c r="AS4847" s="78">
        <f t="shared" si="79"/>
        <v>0</v>
      </c>
    </row>
    <row r="4848" spans="39:45">
      <c r="AM4848" s="54">
        <v>2019</v>
      </c>
      <c r="AN4848" s="54" t="s">
        <v>188</v>
      </c>
      <c r="AO4848" s="54">
        <v>21</v>
      </c>
      <c r="AP4848" s="54">
        <v>22</v>
      </c>
      <c r="AQ4848" s="54">
        <v>0</v>
      </c>
      <c r="AR4848" s="55">
        <v>28500</v>
      </c>
      <c r="AS4848" s="78">
        <f t="shared" si="79"/>
        <v>0</v>
      </c>
    </row>
    <row r="4849" spans="39:45">
      <c r="AM4849" s="55">
        <v>2019</v>
      </c>
      <c r="AN4849" s="55" t="s">
        <v>188</v>
      </c>
      <c r="AO4849" s="55">
        <v>21</v>
      </c>
      <c r="AP4849" s="55">
        <v>23</v>
      </c>
      <c r="AQ4849" s="55">
        <v>0</v>
      </c>
      <c r="AR4849" s="55">
        <v>28500</v>
      </c>
      <c r="AS4849" s="78">
        <f t="shared" si="79"/>
        <v>0</v>
      </c>
    </row>
    <row r="4850" spans="39:45">
      <c r="AM4850" s="54">
        <v>2019</v>
      </c>
      <c r="AN4850" s="54" t="s">
        <v>188</v>
      </c>
      <c r="AO4850" s="54">
        <v>22</v>
      </c>
      <c r="AP4850" s="54">
        <v>24</v>
      </c>
      <c r="AQ4850" s="54">
        <v>0</v>
      </c>
      <c r="AR4850" s="55">
        <v>28500</v>
      </c>
      <c r="AS4850" s="78">
        <f t="shared" si="79"/>
        <v>0</v>
      </c>
    </row>
    <row r="4851" spans="39:45">
      <c r="AM4851" s="55">
        <v>2019</v>
      </c>
      <c r="AN4851" s="55" t="s">
        <v>188</v>
      </c>
      <c r="AO4851" s="55">
        <v>22</v>
      </c>
      <c r="AP4851" s="55">
        <v>1</v>
      </c>
      <c r="AQ4851" s="55">
        <v>0</v>
      </c>
      <c r="AR4851" s="55">
        <v>28500</v>
      </c>
      <c r="AS4851" s="78">
        <f t="shared" si="79"/>
        <v>0</v>
      </c>
    </row>
    <row r="4852" spans="39:45">
      <c r="AM4852" s="54">
        <v>2019</v>
      </c>
      <c r="AN4852" s="54" t="s">
        <v>188</v>
      </c>
      <c r="AO4852" s="54">
        <v>22</v>
      </c>
      <c r="AP4852" s="54">
        <v>2</v>
      </c>
      <c r="AQ4852" s="54">
        <v>0</v>
      </c>
      <c r="AR4852" s="55">
        <v>28500</v>
      </c>
      <c r="AS4852" s="78">
        <f t="shared" si="79"/>
        <v>0</v>
      </c>
    </row>
    <row r="4853" spans="39:45">
      <c r="AM4853" s="55">
        <v>2019</v>
      </c>
      <c r="AN4853" s="55" t="s">
        <v>188</v>
      </c>
      <c r="AO4853" s="55">
        <v>22</v>
      </c>
      <c r="AP4853" s="55">
        <v>3</v>
      </c>
      <c r="AQ4853" s="55">
        <v>0</v>
      </c>
      <c r="AR4853" s="55">
        <v>28500</v>
      </c>
      <c r="AS4853" s="78">
        <f t="shared" si="79"/>
        <v>0</v>
      </c>
    </row>
    <row r="4854" spans="39:45">
      <c r="AM4854" s="54">
        <v>2019</v>
      </c>
      <c r="AN4854" s="54" t="s">
        <v>188</v>
      </c>
      <c r="AO4854" s="54">
        <v>22</v>
      </c>
      <c r="AP4854" s="54">
        <v>4</v>
      </c>
      <c r="AQ4854" s="54">
        <v>0</v>
      </c>
      <c r="AR4854" s="55">
        <v>28500</v>
      </c>
      <c r="AS4854" s="78">
        <f t="shared" si="79"/>
        <v>0</v>
      </c>
    </row>
    <row r="4855" spans="39:45">
      <c r="AM4855" s="55">
        <v>2019</v>
      </c>
      <c r="AN4855" s="55" t="s">
        <v>188</v>
      </c>
      <c r="AO4855" s="55">
        <v>22</v>
      </c>
      <c r="AP4855" s="55">
        <v>5</v>
      </c>
      <c r="AQ4855" s="55">
        <v>1094</v>
      </c>
      <c r="AR4855" s="55">
        <v>28500</v>
      </c>
      <c r="AS4855" s="78">
        <f t="shared" si="79"/>
        <v>3.8385964912280704E-2</v>
      </c>
    </row>
    <row r="4856" spans="39:45">
      <c r="AM4856" s="54">
        <v>2019</v>
      </c>
      <c r="AN4856" s="54" t="s">
        <v>188</v>
      </c>
      <c r="AO4856" s="54">
        <v>22</v>
      </c>
      <c r="AP4856" s="54">
        <v>6</v>
      </c>
      <c r="AQ4856" s="54">
        <v>3055</v>
      </c>
      <c r="AR4856" s="55">
        <v>28500</v>
      </c>
      <c r="AS4856" s="78">
        <f t="shared" si="79"/>
        <v>0.10719298245614035</v>
      </c>
    </row>
    <row r="4857" spans="39:45">
      <c r="AM4857" s="55">
        <v>2019</v>
      </c>
      <c r="AN4857" s="55" t="s">
        <v>188</v>
      </c>
      <c r="AO4857" s="55">
        <v>22</v>
      </c>
      <c r="AP4857" s="55">
        <v>7</v>
      </c>
      <c r="AQ4857" s="55">
        <v>10130.5</v>
      </c>
      <c r="AR4857" s="55">
        <v>28500</v>
      </c>
      <c r="AS4857" s="78">
        <f t="shared" si="79"/>
        <v>0.35545614035087719</v>
      </c>
    </row>
    <row r="4858" spans="39:45">
      <c r="AM4858" s="54">
        <v>2019</v>
      </c>
      <c r="AN4858" s="54" t="s">
        <v>188</v>
      </c>
      <c r="AO4858" s="54">
        <v>22</v>
      </c>
      <c r="AP4858" s="54">
        <v>8</v>
      </c>
      <c r="AQ4858" s="54">
        <v>19421</v>
      </c>
      <c r="AR4858" s="55">
        <v>28500</v>
      </c>
      <c r="AS4858" s="78">
        <f t="shared" si="79"/>
        <v>0.68143859649122807</v>
      </c>
    </row>
    <row r="4859" spans="39:45">
      <c r="AM4859" s="55">
        <v>2019</v>
      </c>
      <c r="AN4859" s="55" t="s">
        <v>188</v>
      </c>
      <c r="AO4859" s="55">
        <v>22</v>
      </c>
      <c r="AP4859" s="55">
        <v>9</v>
      </c>
      <c r="AQ4859" s="55">
        <v>13777.5</v>
      </c>
      <c r="AR4859" s="55">
        <v>28500</v>
      </c>
      <c r="AS4859" s="78">
        <f t="shared" si="79"/>
        <v>0.48342105263157897</v>
      </c>
    </row>
    <row r="4860" spans="39:45">
      <c r="AM4860" s="54">
        <v>2019</v>
      </c>
      <c r="AN4860" s="54" t="s">
        <v>188</v>
      </c>
      <c r="AO4860" s="54">
        <v>22</v>
      </c>
      <c r="AP4860" s="54">
        <v>10</v>
      </c>
      <c r="AQ4860" s="54">
        <v>12011.5</v>
      </c>
      <c r="AR4860" s="55">
        <v>28500</v>
      </c>
      <c r="AS4860" s="78">
        <f t="shared" si="79"/>
        <v>0.4214561403508772</v>
      </c>
    </row>
    <row r="4861" spans="39:45">
      <c r="AM4861" s="55">
        <v>2019</v>
      </c>
      <c r="AN4861" s="55" t="s">
        <v>188</v>
      </c>
      <c r="AO4861" s="55">
        <v>22</v>
      </c>
      <c r="AP4861" s="55">
        <v>11</v>
      </c>
      <c r="AQ4861" s="55">
        <v>15335</v>
      </c>
      <c r="AR4861" s="55">
        <v>28500</v>
      </c>
      <c r="AS4861" s="78">
        <f t="shared" si="79"/>
        <v>0.53807017543859648</v>
      </c>
    </row>
    <row r="4862" spans="39:45">
      <c r="AM4862" s="54">
        <v>2019</v>
      </c>
      <c r="AN4862" s="54" t="s">
        <v>188</v>
      </c>
      <c r="AO4862" s="54">
        <v>22</v>
      </c>
      <c r="AP4862" s="54">
        <v>12</v>
      </c>
      <c r="AQ4862" s="54">
        <v>14631</v>
      </c>
      <c r="AR4862" s="55">
        <v>28500</v>
      </c>
      <c r="AS4862" s="78">
        <f t="shared" si="79"/>
        <v>0.51336842105263158</v>
      </c>
    </row>
    <row r="4863" spans="39:45">
      <c r="AM4863" s="55">
        <v>2019</v>
      </c>
      <c r="AN4863" s="55" t="s">
        <v>188</v>
      </c>
      <c r="AO4863" s="55">
        <v>22</v>
      </c>
      <c r="AP4863" s="55">
        <v>13</v>
      </c>
      <c r="AQ4863" s="55">
        <v>14102.5</v>
      </c>
      <c r="AR4863" s="55">
        <v>28500</v>
      </c>
      <c r="AS4863" s="78">
        <f t="shared" si="79"/>
        <v>0.49482456140350878</v>
      </c>
    </row>
    <row r="4864" spans="39:45">
      <c r="AM4864" s="54">
        <v>2019</v>
      </c>
      <c r="AN4864" s="54" t="s">
        <v>188</v>
      </c>
      <c r="AO4864" s="54">
        <v>22</v>
      </c>
      <c r="AP4864" s="54">
        <v>14</v>
      </c>
      <c r="AQ4864" s="54">
        <v>26883.5</v>
      </c>
      <c r="AR4864" s="55">
        <v>28500</v>
      </c>
      <c r="AS4864" s="78">
        <f t="shared" si="79"/>
        <v>0.94328070175438594</v>
      </c>
    </row>
    <row r="4865" spans="39:45">
      <c r="AM4865" s="55">
        <v>2019</v>
      </c>
      <c r="AN4865" s="55" t="s">
        <v>188</v>
      </c>
      <c r="AO4865" s="55">
        <v>22</v>
      </c>
      <c r="AP4865" s="55">
        <v>15</v>
      </c>
      <c r="AQ4865" s="55">
        <v>24906.5</v>
      </c>
      <c r="AR4865" s="55">
        <v>28500</v>
      </c>
      <c r="AS4865" s="78">
        <f t="shared" si="79"/>
        <v>0.87391228070175442</v>
      </c>
    </row>
    <row r="4866" spans="39:45">
      <c r="AM4866" s="54">
        <v>2019</v>
      </c>
      <c r="AN4866" s="54" t="s">
        <v>188</v>
      </c>
      <c r="AO4866" s="54">
        <v>22</v>
      </c>
      <c r="AP4866" s="54">
        <v>16</v>
      </c>
      <c r="AQ4866" s="54">
        <v>18833.5</v>
      </c>
      <c r="AR4866" s="55">
        <v>28500</v>
      </c>
      <c r="AS4866" s="78">
        <f t="shared" ref="AS4866:AS4929" si="80">AQ4866/AR4866</f>
        <v>0.66082456140350876</v>
      </c>
    </row>
    <row r="4867" spans="39:45">
      <c r="AM4867" s="55">
        <v>2019</v>
      </c>
      <c r="AN4867" s="55" t="s">
        <v>188</v>
      </c>
      <c r="AO4867" s="55">
        <v>22</v>
      </c>
      <c r="AP4867" s="55">
        <v>17</v>
      </c>
      <c r="AQ4867" s="55">
        <v>9414</v>
      </c>
      <c r="AR4867" s="55">
        <v>28500</v>
      </c>
      <c r="AS4867" s="78">
        <f t="shared" si="80"/>
        <v>0.33031578947368423</v>
      </c>
    </row>
    <row r="4868" spans="39:45">
      <c r="AM4868" s="54">
        <v>2019</v>
      </c>
      <c r="AN4868" s="54" t="s">
        <v>188</v>
      </c>
      <c r="AO4868" s="54">
        <v>22</v>
      </c>
      <c r="AP4868" s="54">
        <v>18</v>
      </c>
      <c r="AQ4868" s="54">
        <v>1830.5</v>
      </c>
      <c r="AR4868" s="55">
        <v>28500</v>
      </c>
      <c r="AS4868" s="78">
        <f t="shared" si="80"/>
        <v>6.4228070175438592E-2</v>
      </c>
    </row>
    <row r="4869" spans="39:45">
      <c r="AM4869" s="55">
        <v>2019</v>
      </c>
      <c r="AN4869" s="55" t="s">
        <v>188</v>
      </c>
      <c r="AO4869" s="55">
        <v>22</v>
      </c>
      <c r="AP4869" s="55">
        <v>19</v>
      </c>
      <c r="AQ4869" s="55">
        <v>727.5</v>
      </c>
      <c r="AR4869" s="55">
        <v>28500</v>
      </c>
      <c r="AS4869" s="78">
        <f t="shared" si="80"/>
        <v>2.5526315789473685E-2</v>
      </c>
    </row>
    <row r="4870" spans="39:45">
      <c r="AM4870" s="54">
        <v>2019</v>
      </c>
      <c r="AN4870" s="54" t="s">
        <v>188</v>
      </c>
      <c r="AO4870" s="54">
        <v>22</v>
      </c>
      <c r="AP4870" s="54">
        <v>20</v>
      </c>
      <c r="AQ4870" s="54">
        <v>0</v>
      </c>
      <c r="AR4870" s="55">
        <v>28500</v>
      </c>
      <c r="AS4870" s="78">
        <f t="shared" si="80"/>
        <v>0</v>
      </c>
    </row>
    <row r="4871" spans="39:45">
      <c r="AM4871" s="55">
        <v>2019</v>
      </c>
      <c r="AN4871" s="55" t="s">
        <v>188</v>
      </c>
      <c r="AO4871" s="55">
        <v>22</v>
      </c>
      <c r="AP4871" s="55">
        <v>21</v>
      </c>
      <c r="AQ4871" s="55">
        <v>0</v>
      </c>
      <c r="AR4871" s="55">
        <v>28500</v>
      </c>
      <c r="AS4871" s="78">
        <f t="shared" si="80"/>
        <v>0</v>
      </c>
    </row>
    <row r="4872" spans="39:45">
      <c r="AM4872" s="54">
        <v>2019</v>
      </c>
      <c r="AN4872" s="54" t="s">
        <v>188</v>
      </c>
      <c r="AO4872" s="54">
        <v>22</v>
      </c>
      <c r="AP4872" s="54">
        <v>22</v>
      </c>
      <c r="AQ4872" s="54">
        <v>0</v>
      </c>
      <c r="AR4872" s="55">
        <v>28500</v>
      </c>
      <c r="AS4872" s="78">
        <f t="shared" si="80"/>
        <v>0</v>
      </c>
    </row>
    <row r="4873" spans="39:45">
      <c r="AM4873" s="55">
        <v>2019</v>
      </c>
      <c r="AN4873" s="55" t="s">
        <v>188</v>
      </c>
      <c r="AO4873" s="55">
        <v>22</v>
      </c>
      <c r="AP4873" s="55">
        <v>23</v>
      </c>
      <c r="AQ4873" s="55">
        <v>0</v>
      </c>
      <c r="AR4873" s="55">
        <v>28500</v>
      </c>
      <c r="AS4873" s="78">
        <f t="shared" si="80"/>
        <v>0</v>
      </c>
    </row>
    <row r="4874" spans="39:45">
      <c r="AM4874" s="54">
        <v>2019</v>
      </c>
      <c r="AN4874" s="54" t="s">
        <v>188</v>
      </c>
      <c r="AO4874" s="54">
        <v>23</v>
      </c>
      <c r="AP4874" s="54">
        <v>24</v>
      </c>
      <c r="AQ4874" s="54">
        <v>0</v>
      </c>
      <c r="AR4874" s="55">
        <v>28500</v>
      </c>
      <c r="AS4874" s="78">
        <f t="shared" si="80"/>
        <v>0</v>
      </c>
    </row>
    <row r="4875" spans="39:45">
      <c r="AM4875" s="55">
        <v>2019</v>
      </c>
      <c r="AN4875" s="55" t="s">
        <v>188</v>
      </c>
      <c r="AO4875" s="55">
        <v>23</v>
      </c>
      <c r="AP4875" s="55">
        <v>1</v>
      </c>
      <c r="AQ4875" s="55">
        <v>0</v>
      </c>
      <c r="AR4875" s="55">
        <v>28500</v>
      </c>
      <c r="AS4875" s="78">
        <f t="shared" si="80"/>
        <v>0</v>
      </c>
    </row>
    <row r="4876" spans="39:45">
      <c r="AM4876" s="54">
        <v>2019</v>
      </c>
      <c r="AN4876" s="54" t="s">
        <v>188</v>
      </c>
      <c r="AO4876" s="54">
        <v>23</v>
      </c>
      <c r="AP4876" s="54">
        <v>2</v>
      </c>
      <c r="AQ4876" s="54">
        <v>0</v>
      </c>
      <c r="AR4876" s="55">
        <v>28500</v>
      </c>
      <c r="AS4876" s="78">
        <f t="shared" si="80"/>
        <v>0</v>
      </c>
    </row>
    <row r="4877" spans="39:45">
      <c r="AM4877" s="55">
        <v>2019</v>
      </c>
      <c r="AN4877" s="55" t="s">
        <v>188</v>
      </c>
      <c r="AO4877" s="55">
        <v>23</v>
      </c>
      <c r="AP4877" s="55">
        <v>3</v>
      </c>
      <c r="AQ4877" s="55">
        <v>0</v>
      </c>
      <c r="AR4877" s="55">
        <v>28500</v>
      </c>
      <c r="AS4877" s="78">
        <f t="shared" si="80"/>
        <v>0</v>
      </c>
    </row>
    <row r="4878" spans="39:45">
      <c r="AM4878" s="54">
        <v>2019</v>
      </c>
      <c r="AN4878" s="54" t="s">
        <v>188</v>
      </c>
      <c r="AO4878" s="54">
        <v>23</v>
      </c>
      <c r="AP4878" s="54">
        <v>4</v>
      </c>
      <c r="AQ4878" s="54">
        <v>0</v>
      </c>
      <c r="AR4878" s="55">
        <v>28500</v>
      </c>
      <c r="AS4878" s="78">
        <f t="shared" si="80"/>
        <v>0</v>
      </c>
    </row>
    <row r="4879" spans="39:45">
      <c r="AM4879" s="55">
        <v>2019</v>
      </c>
      <c r="AN4879" s="55" t="s">
        <v>188</v>
      </c>
      <c r="AO4879" s="55">
        <v>23</v>
      </c>
      <c r="AP4879" s="55">
        <v>5</v>
      </c>
      <c r="AQ4879" s="55">
        <v>1099</v>
      </c>
      <c r="AR4879" s="55">
        <v>28500</v>
      </c>
      <c r="AS4879" s="78">
        <f t="shared" si="80"/>
        <v>3.8561403508771928E-2</v>
      </c>
    </row>
    <row r="4880" spans="39:45">
      <c r="AM4880" s="54">
        <v>2019</v>
      </c>
      <c r="AN4880" s="54" t="s">
        <v>188</v>
      </c>
      <c r="AO4880" s="54">
        <v>23</v>
      </c>
      <c r="AP4880" s="54">
        <v>6</v>
      </c>
      <c r="AQ4880" s="54">
        <v>3098</v>
      </c>
      <c r="AR4880" s="55">
        <v>28500</v>
      </c>
      <c r="AS4880" s="78">
        <f t="shared" si="80"/>
        <v>0.10870175438596491</v>
      </c>
    </row>
    <row r="4881" spans="39:45">
      <c r="AM4881" s="55">
        <v>2019</v>
      </c>
      <c r="AN4881" s="55" t="s">
        <v>188</v>
      </c>
      <c r="AO4881" s="55">
        <v>23</v>
      </c>
      <c r="AP4881" s="55">
        <v>7</v>
      </c>
      <c r="AQ4881" s="55">
        <v>11524</v>
      </c>
      <c r="AR4881" s="55">
        <v>28500</v>
      </c>
      <c r="AS4881" s="78">
        <f t="shared" si="80"/>
        <v>0.40435087719298246</v>
      </c>
    </row>
    <row r="4882" spans="39:45">
      <c r="AM4882" s="54">
        <v>2019</v>
      </c>
      <c r="AN4882" s="54" t="s">
        <v>188</v>
      </c>
      <c r="AO4882" s="54">
        <v>23</v>
      </c>
      <c r="AP4882" s="54">
        <v>8</v>
      </c>
      <c r="AQ4882" s="54">
        <v>21063</v>
      </c>
      <c r="AR4882" s="55">
        <v>28500</v>
      </c>
      <c r="AS4882" s="78">
        <f t="shared" si="80"/>
        <v>0.73905263157894741</v>
      </c>
    </row>
    <row r="4883" spans="39:45">
      <c r="AM4883" s="55">
        <v>2019</v>
      </c>
      <c r="AN4883" s="55" t="s">
        <v>188</v>
      </c>
      <c r="AO4883" s="55">
        <v>23</v>
      </c>
      <c r="AP4883" s="55">
        <v>9</v>
      </c>
      <c r="AQ4883" s="55">
        <v>28946</v>
      </c>
      <c r="AR4883" s="55">
        <v>28500</v>
      </c>
      <c r="AS4883" s="78">
        <f t="shared" si="80"/>
        <v>1.0156491228070175</v>
      </c>
    </row>
    <row r="4884" spans="39:45">
      <c r="AM4884" s="54">
        <v>2019</v>
      </c>
      <c r="AN4884" s="54" t="s">
        <v>188</v>
      </c>
      <c r="AO4884" s="54">
        <v>23</v>
      </c>
      <c r="AP4884" s="54">
        <v>10</v>
      </c>
      <c r="AQ4884" s="54">
        <v>33958.5</v>
      </c>
      <c r="AR4884" s="55">
        <v>28500</v>
      </c>
      <c r="AS4884" s="78">
        <f t="shared" si="80"/>
        <v>1.1915263157894738</v>
      </c>
    </row>
    <row r="4885" spans="39:45">
      <c r="AM4885" s="55">
        <v>2019</v>
      </c>
      <c r="AN4885" s="55" t="s">
        <v>188</v>
      </c>
      <c r="AO4885" s="55">
        <v>23</v>
      </c>
      <c r="AP4885" s="55">
        <v>11</v>
      </c>
      <c r="AQ4885" s="55">
        <v>36940.5</v>
      </c>
      <c r="AR4885" s="55">
        <v>28500</v>
      </c>
      <c r="AS4885" s="78">
        <f t="shared" si="80"/>
        <v>1.2961578947368422</v>
      </c>
    </row>
    <row r="4886" spans="39:45">
      <c r="AM4886" s="54">
        <v>2019</v>
      </c>
      <c r="AN4886" s="54" t="s">
        <v>188</v>
      </c>
      <c r="AO4886" s="54">
        <v>23</v>
      </c>
      <c r="AP4886" s="54">
        <v>12</v>
      </c>
      <c r="AQ4886" s="54">
        <v>37915.5</v>
      </c>
      <c r="AR4886" s="55">
        <v>28500</v>
      </c>
      <c r="AS4886" s="78">
        <f t="shared" si="80"/>
        <v>1.3303684210526316</v>
      </c>
    </row>
    <row r="4887" spans="39:45">
      <c r="AM4887" s="55">
        <v>2019</v>
      </c>
      <c r="AN4887" s="55" t="s">
        <v>188</v>
      </c>
      <c r="AO4887" s="55">
        <v>23</v>
      </c>
      <c r="AP4887" s="55">
        <v>13</v>
      </c>
      <c r="AQ4887" s="55">
        <v>36339.5</v>
      </c>
      <c r="AR4887" s="55">
        <v>28500</v>
      </c>
      <c r="AS4887" s="78">
        <f t="shared" si="80"/>
        <v>1.2750701754385965</v>
      </c>
    </row>
    <row r="4888" spans="39:45">
      <c r="AM4888" s="54">
        <v>2019</v>
      </c>
      <c r="AN4888" s="54" t="s">
        <v>188</v>
      </c>
      <c r="AO4888" s="54">
        <v>23</v>
      </c>
      <c r="AP4888" s="54">
        <v>14</v>
      </c>
      <c r="AQ4888" s="54">
        <v>32849</v>
      </c>
      <c r="AR4888" s="55">
        <v>28500</v>
      </c>
      <c r="AS4888" s="78">
        <f t="shared" si="80"/>
        <v>1.1525964912280702</v>
      </c>
    </row>
    <row r="4889" spans="39:45">
      <c r="AM4889" s="55">
        <v>2019</v>
      </c>
      <c r="AN4889" s="55" t="s">
        <v>188</v>
      </c>
      <c r="AO4889" s="55">
        <v>23</v>
      </c>
      <c r="AP4889" s="55">
        <v>15</v>
      </c>
      <c r="AQ4889" s="55">
        <v>26392</v>
      </c>
      <c r="AR4889" s="55">
        <v>28500</v>
      </c>
      <c r="AS4889" s="78">
        <f t="shared" si="80"/>
        <v>0.92603508771929821</v>
      </c>
    </row>
    <row r="4890" spans="39:45">
      <c r="AM4890" s="54">
        <v>2019</v>
      </c>
      <c r="AN4890" s="54" t="s">
        <v>188</v>
      </c>
      <c r="AO4890" s="54">
        <v>23</v>
      </c>
      <c r="AP4890" s="54">
        <v>16</v>
      </c>
      <c r="AQ4890" s="54">
        <v>18479.5</v>
      </c>
      <c r="AR4890" s="55">
        <v>28500</v>
      </c>
      <c r="AS4890" s="78">
        <f t="shared" si="80"/>
        <v>0.64840350877192987</v>
      </c>
    </row>
    <row r="4891" spans="39:45">
      <c r="AM4891" s="55">
        <v>2019</v>
      </c>
      <c r="AN4891" s="55" t="s">
        <v>188</v>
      </c>
      <c r="AO4891" s="55">
        <v>23</v>
      </c>
      <c r="AP4891" s="55">
        <v>17</v>
      </c>
      <c r="AQ4891" s="55">
        <v>9470.5</v>
      </c>
      <c r="AR4891" s="55">
        <v>28500</v>
      </c>
      <c r="AS4891" s="78">
        <f t="shared" si="80"/>
        <v>0.33229824561403509</v>
      </c>
    </row>
    <row r="4892" spans="39:45">
      <c r="AM4892" s="54">
        <v>2019</v>
      </c>
      <c r="AN4892" s="54" t="s">
        <v>188</v>
      </c>
      <c r="AO4892" s="54">
        <v>23</v>
      </c>
      <c r="AP4892" s="54">
        <v>18</v>
      </c>
      <c r="AQ4892" s="54">
        <v>2417</v>
      </c>
      <c r="AR4892" s="55">
        <v>28500</v>
      </c>
      <c r="AS4892" s="78">
        <f t="shared" si="80"/>
        <v>8.480701754385965E-2</v>
      </c>
    </row>
    <row r="4893" spans="39:45">
      <c r="AM4893" s="55">
        <v>2019</v>
      </c>
      <c r="AN4893" s="55" t="s">
        <v>188</v>
      </c>
      <c r="AO4893" s="55">
        <v>23</v>
      </c>
      <c r="AP4893" s="55">
        <v>19</v>
      </c>
      <c r="AQ4893" s="55">
        <v>712.5</v>
      </c>
      <c r="AR4893" s="55">
        <v>28500</v>
      </c>
      <c r="AS4893" s="78">
        <f t="shared" si="80"/>
        <v>2.5000000000000001E-2</v>
      </c>
    </row>
    <row r="4894" spans="39:45">
      <c r="AM4894" s="54">
        <v>2019</v>
      </c>
      <c r="AN4894" s="54" t="s">
        <v>188</v>
      </c>
      <c r="AO4894" s="54">
        <v>23</v>
      </c>
      <c r="AP4894" s="54">
        <v>20</v>
      </c>
      <c r="AQ4894" s="54">
        <v>0</v>
      </c>
      <c r="AR4894" s="55">
        <v>28500</v>
      </c>
      <c r="AS4894" s="78">
        <f t="shared" si="80"/>
        <v>0</v>
      </c>
    </row>
    <row r="4895" spans="39:45">
      <c r="AM4895" s="55">
        <v>2019</v>
      </c>
      <c r="AN4895" s="55" t="s">
        <v>188</v>
      </c>
      <c r="AO4895" s="55">
        <v>23</v>
      </c>
      <c r="AP4895" s="55">
        <v>21</v>
      </c>
      <c r="AQ4895" s="55">
        <v>0</v>
      </c>
      <c r="AR4895" s="55">
        <v>28500</v>
      </c>
      <c r="AS4895" s="78">
        <f t="shared" si="80"/>
        <v>0</v>
      </c>
    </row>
    <row r="4896" spans="39:45">
      <c r="AM4896" s="54">
        <v>2019</v>
      </c>
      <c r="AN4896" s="54" t="s">
        <v>188</v>
      </c>
      <c r="AO4896" s="54">
        <v>23</v>
      </c>
      <c r="AP4896" s="54">
        <v>22</v>
      </c>
      <c r="AQ4896" s="54">
        <v>0</v>
      </c>
      <c r="AR4896" s="55">
        <v>28500</v>
      </c>
      <c r="AS4896" s="78">
        <f t="shared" si="80"/>
        <v>0</v>
      </c>
    </row>
    <row r="4897" spans="39:45">
      <c r="AM4897" s="55">
        <v>2019</v>
      </c>
      <c r="AN4897" s="55" t="s">
        <v>188</v>
      </c>
      <c r="AO4897" s="55">
        <v>23</v>
      </c>
      <c r="AP4897" s="55">
        <v>23</v>
      </c>
      <c r="AQ4897" s="55">
        <v>0</v>
      </c>
      <c r="AR4897" s="55">
        <v>28500</v>
      </c>
      <c r="AS4897" s="78">
        <f t="shared" si="80"/>
        <v>0</v>
      </c>
    </row>
    <row r="4898" spans="39:45">
      <c r="AM4898" s="54">
        <v>2019</v>
      </c>
      <c r="AN4898" s="54" t="s">
        <v>188</v>
      </c>
      <c r="AO4898" s="54">
        <v>24</v>
      </c>
      <c r="AP4898" s="54">
        <v>24</v>
      </c>
      <c r="AQ4898" s="54">
        <v>0</v>
      </c>
      <c r="AR4898" s="55">
        <v>28500</v>
      </c>
      <c r="AS4898" s="78">
        <f t="shared" si="80"/>
        <v>0</v>
      </c>
    </row>
    <row r="4899" spans="39:45">
      <c r="AM4899" s="55">
        <v>2019</v>
      </c>
      <c r="AN4899" s="55" t="s">
        <v>188</v>
      </c>
      <c r="AO4899" s="55">
        <v>24</v>
      </c>
      <c r="AP4899" s="55">
        <v>1</v>
      </c>
      <c r="AQ4899" s="55">
        <v>0</v>
      </c>
      <c r="AR4899" s="55">
        <v>28500</v>
      </c>
      <c r="AS4899" s="78">
        <f t="shared" si="80"/>
        <v>0</v>
      </c>
    </row>
    <row r="4900" spans="39:45">
      <c r="AM4900" s="54">
        <v>2019</v>
      </c>
      <c r="AN4900" s="54" t="s">
        <v>188</v>
      </c>
      <c r="AO4900" s="54">
        <v>24</v>
      </c>
      <c r="AP4900" s="54">
        <v>2</v>
      </c>
      <c r="AQ4900" s="54">
        <v>0</v>
      </c>
      <c r="AR4900" s="55">
        <v>28500</v>
      </c>
      <c r="AS4900" s="78">
        <f t="shared" si="80"/>
        <v>0</v>
      </c>
    </row>
    <row r="4901" spans="39:45">
      <c r="AM4901" s="55">
        <v>2019</v>
      </c>
      <c r="AN4901" s="55" t="s">
        <v>188</v>
      </c>
      <c r="AO4901" s="55">
        <v>24</v>
      </c>
      <c r="AP4901" s="55">
        <v>3</v>
      </c>
      <c r="AQ4901" s="55">
        <v>0</v>
      </c>
      <c r="AR4901" s="55">
        <v>28500</v>
      </c>
      <c r="AS4901" s="78">
        <f t="shared" si="80"/>
        <v>0</v>
      </c>
    </row>
    <row r="4902" spans="39:45">
      <c r="AM4902" s="54">
        <v>2019</v>
      </c>
      <c r="AN4902" s="54" t="s">
        <v>188</v>
      </c>
      <c r="AO4902" s="54">
        <v>24</v>
      </c>
      <c r="AP4902" s="54">
        <v>4</v>
      </c>
      <c r="AQ4902" s="54">
        <v>0</v>
      </c>
      <c r="AR4902" s="55">
        <v>28500</v>
      </c>
      <c r="AS4902" s="78">
        <f t="shared" si="80"/>
        <v>0</v>
      </c>
    </row>
    <row r="4903" spans="39:45">
      <c r="AM4903" s="55">
        <v>2019</v>
      </c>
      <c r="AN4903" s="55" t="s">
        <v>188</v>
      </c>
      <c r="AO4903" s="55">
        <v>24</v>
      </c>
      <c r="AP4903" s="55">
        <v>5</v>
      </c>
      <c r="AQ4903" s="55">
        <v>941.5</v>
      </c>
      <c r="AR4903" s="55">
        <v>28500</v>
      </c>
      <c r="AS4903" s="78">
        <f t="shared" si="80"/>
        <v>3.3035087719298244E-2</v>
      </c>
    </row>
    <row r="4904" spans="39:45">
      <c r="AM4904" s="54">
        <v>2019</v>
      </c>
      <c r="AN4904" s="54" t="s">
        <v>188</v>
      </c>
      <c r="AO4904" s="54">
        <v>24</v>
      </c>
      <c r="AP4904" s="54">
        <v>6</v>
      </c>
      <c r="AQ4904" s="54">
        <v>3732</v>
      </c>
      <c r="AR4904" s="55">
        <v>28500</v>
      </c>
      <c r="AS4904" s="78">
        <f t="shared" si="80"/>
        <v>0.13094736842105262</v>
      </c>
    </row>
    <row r="4905" spans="39:45">
      <c r="AM4905" s="55">
        <v>2019</v>
      </c>
      <c r="AN4905" s="55" t="s">
        <v>188</v>
      </c>
      <c r="AO4905" s="55">
        <v>24</v>
      </c>
      <c r="AP4905" s="55">
        <v>7</v>
      </c>
      <c r="AQ4905" s="55">
        <v>11123</v>
      </c>
      <c r="AR4905" s="55">
        <v>28500</v>
      </c>
      <c r="AS4905" s="78">
        <f t="shared" si="80"/>
        <v>0.39028070175438595</v>
      </c>
    </row>
    <row r="4906" spans="39:45">
      <c r="AM4906" s="54">
        <v>2019</v>
      </c>
      <c r="AN4906" s="54" t="s">
        <v>188</v>
      </c>
      <c r="AO4906" s="54">
        <v>24</v>
      </c>
      <c r="AP4906" s="54">
        <v>8</v>
      </c>
      <c r="AQ4906" s="54">
        <v>20607.5</v>
      </c>
      <c r="AR4906" s="55">
        <v>28500</v>
      </c>
      <c r="AS4906" s="78">
        <f t="shared" si="80"/>
        <v>0.72307017543859653</v>
      </c>
    </row>
    <row r="4907" spans="39:45">
      <c r="AM4907" s="55">
        <v>2019</v>
      </c>
      <c r="AN4907" s="55" t="s">
        <v>188</v>
      </c>
      <c r="AO4907" s="55">
        <v>24</v>
      </c>
      <c r="AP4907" s="55">
        <v>9</v>
      </c>
      <c r="AQ4907" s="55">
        <v>28561.5</v>
      </c>
      <c r="AR4907" s="55">
        <v>28500</v>
      </c>
      <c r="AS4907" s="78">
        <f t="shared" si="80"/>
        <v>1.0021578947368421</v>
      </c>
    </row>
    <row r="4908" spans="39:45">
      <c r="AM4908" s="54">
        <v>2019</v>
      </c>
      <c r="AN4908" s="54" t="s">
        <v>188</v>
      </c>
      <c r="AO4908" s="54">
        <v>24</v>
      </c>
      <c r="AP4908" s="54">
        <v>10</v>
      </c>
      <c r="AQ4908" s="54">
        <v>33787.5</v>
      </c>
      <c r="AR4908" s="55">
        <v>28500</v>
      </c>
      <c r="AS4908" s="78">
        <f t="shared" si="80"/>
        <v>1.1855263157894738</v>
      </c>
    </row>
    <row r="4909" spans="39:45">
      <c r="AM4909" s="55">
        <v>2019</v>
      </c>
      <c r="AN4909" s="55" t="s">
        <v>188</v>
      </c>
      <c r="AO4909" s="55">
        <v>24</v>
      </c>
      <c r="AP4909" s="55">
        <v>11</v>
      </c>
      <c r="AQ4909" s="55">
        <v>36598.5</v>
      </c>
      <c r="AR4909" s="55">
        <v>28500</v>
      </c>
      <c r="AS4909" s="78">
        <f t="shared" si="80"/>
        <v>1.2841578947368422</v>
      </c>
    </row>
    <row r="4910" spans="39:45">
      <c r="AM4910" s="54">
        <v>2019</v>
      </c>
      <c r="AN4910" s="54" t="s">
        <v>188</v>
      </c>
      <c r="AO4910" s="54">
        <v>24</v>
      </c>
      <c r="AP4910" s="54">
        <v>12</v>
      </c>
      <c r="AQ4910" s="54">
        <v>37683</v>
      </c>
      <c r="AR4910" s="55">
        <v>28500</v>
      </c>
      <c r="AS4910" s="78">
        <f t="shared" si="80"/>
        <v>1.3222105263157895</v>
      </c>
    </row>
    <row r="4911" spans="39:45">
      <c r="AM4911" s="55">
        <v>2019</v>
      </c>
      <c r="AN4911" s="55" t="s">
        <v>188</v>
      </c>
      <c r="AO4911" s="55">
        <v>24</v>
      </c>
      <c r="AP4911" s="55">
        <v>13</v>
      </c>
      <c r="AQ4911" s="55">
        <v>34201</v>
      </c>
      <c r="AR4911" s="55">
        <v>28500</v>
      </c>
      <c r="AS4911" s="78">
        <f t="shared" si="80"/>
        <v>1.2000350877192982</v>
      </c>
    </row>
    <row r="4912" spans="39:45">
      <c r="AM4912" s="54">
        <v>2019</v>
      </c>
      <c r="AN4912" s="54" t="s">
        <v>188</v>
      </c>
      <c r="AO4912" s="54">
        <v>24</v>
      </c>
      <c r="AP4912" s="54">
        <v>14</v>
      </c>
      <c r="AQ4912" s="54">
        <v>32319.5</v>
      </c>
      <c r="AR4912" s="55">
        <v>28500</v>
      </c>
      <c r="AS4912" s="78">
        <f t="shared" si="80"/>
        <v>1.1340175438596491</v>
      </c>
    </row>
    <row r="4913" spans="39:45">
      <c r="AM4913" s="55">
        <v>2019</v>
      </c>
      <c r="AN4913" s="55" t="s">
        <v>188</v>
      </c>
      <c r="AO4913" s="55">
        <v>24</v>
      </c>
      <c r="AP4913" s="55">
        <v>15</v>
      </c>
      <c r="AQ4913" s="55">
        <v>26856</v>
      </c>
      <c r="AR4913" s="55">
        <v>28500</v>
      </c>
      <c r="AS4913" s="78">
        <f t="shared" si="80"/>
        <v>0.94231578947368422</v>
      </c>
    </row>
    <row r="4914" spans="39:45">
      <c r="AM4914" s="54">
        <v>2019</v>
      </c>
      <c r="AN4914" s="54" t="s">
        <v>188</v>
      </c>
      <c r="AO4914" s="54">
        <v>24</v>
      </c>
      <c r="AP4914" s="54">
        <v>16</v>
      </c>
      <c r="AQ4914" s="54">
        <v>18587.5</v>
      </c>
      <c r="AR4914" s="55">
        <v>28500</v>
      </c>
      <c r="AS4914" s="78">
        <f t="shared" si="80"/>
        <v>0.65219298245614032</v>
      </c>
    </row>
    <row r="4915" spans="39:45">
      <c r="AM4915" s="55">
        <v>2019</v>
      </c>
      <c r="AN4915" s="55" t="s">
        <v>188</v>
      </c>
      <c r="AO4915" s="55">
        <v>24</v>
      </c>
      <c r="AP4915" s="55">
        <v>17</v>
      </c>
      <c r="AQ4915" s="55">
        <v>9521.5</v>
      </c>
      <c r="AR4915" s="55">
        <v>28500</v>
      </c>
      <c r="AS4915" s="78">
        <f t="shared" si="80"/>
        <v>0.3340877192982456</v>
      </c>
    </row>
    <row r="4916" spans="39:45">
      <c r="AM4916" s="54">
        <v>2019</v>
      </c>
      <c r="AN4916" s="54" t="s">
        <v>188</v>
      </c>
      <c r="AO4916" s="54">
        <v>24</v>
      </c>
      <c r="AP4916" s="54">
        <v>18</v>
      </c>
      <c r="AQ4916" s="54">
        <v>2668</v>
      </c>
      <c r="AR4916" s="55">
        <v>28500</v>
      </c>
      <c r="AS4916" s="78">
        <f t="shared" si="80"/>
        <v>9.3614035087719302E-2</v>
      </c>
    </row>
    <row r="4917" spans="39:45">
      <c r="AM4917" s="55">
        <v>2019</v>
      </c>
      <c r="AN4917" s="55" t="s">
        <v>188</v>
      </c>
      <c r="AO4917" s="55">
        <v>24</v>
      </c>
      <c r="AP4917" s="55">
        <v>19</v>
      </c>
      <c r="AQ4917" s="55">
        <v>631</v>
      </c>
      <c r="AR4917" s="55">
        <v>28500</v>
      </c>
      <c r="AS4917" s="78">
        <f t="shared" si="80"/>
        <v>2.2140350877192981E-2</v>
      </c>
    </row>
    <row r="4918" spans="39:45">
      <c r="AM4918" s="54">
        <v>2019</v>
      </c>
      <c r="AN4918" s="54" t="s">
        <v>188</v>
      </c>
      <c r="AO4918" s="54">
        <v>24</v>
      </c>
      <c r="AP4918" s="54">
        <v>20</v>
      </c>
      <c r="AQ4918" s="54">
        <v>0</v>
      </c>
      <c r="AR4918" s="55">
        <v>28500</v>
      </c>
      <c r="AS4918" s="78">
        <f t="shared" si="80"/>
        <v>0</v>
      </c>
    </row>
    <row r="4919" spans="39:45">
      <c r="AM4919" s="55">
        <v>2019</v>
      </c>
      <c r="AN4919" s="55" t="s">
        <v>188</v>
      </c>
      <c r="AO4919" s="55">
        <v>24</v>
      </c>
      <c r="AP4919" s="55">
        <v>21</v>
      </c>
      <c r="AQ4919" s="55">
        <v>0</v>
      </c>
      <c r="AR4919" s="55">
        <v>28500</v>
      </c>
      <c r="AS4919" s="78">
        <f t="shared" si="80"/>
        <v>0</v>
      </c>
    </row>
    <row r="4920" spans="39:45">
      <c r="AM4920" s="54">
        <v>2019</v>
      </c>
      <c r="AN4920" s="54" t="s">
        <v>188</v>
      </c>
      <c r="AO4920" s="54">
        <v>24</v>
      </c>
      <c r="AP4920" s="54">
        <v>22</v>
      </c>
      <c r="AQ4920" s="54">
        <v>0</v>
      </c>
      <c r="AR4920" s="55">
        <v>28500</v>
      </c>
      <c r="AS4920" s="78">
        <f t="shared" si="80"/>
        <v>0</v>
      </c>
    </row>
    <row r="4921" spans="39:45">
      <c r="AM4921" s="55">
        <v>2019</v>
      </c>
      <c r="AN4921" s="55" t="s">
        <v>188</v>
      </c>
      <c r="AO4921" s="55">
        <v>24</v>
      </c>
      <c r="AP4921" s="55">
        <v>23</v>
      </c>
      <c r="AQ4921" s="55">
        <v>0</v>
      </c>
      <c r="AR4921" s="55">
        <v>28500</v>
      </c>
      <c r="AS4921" s="78">
        <f t="shared" si="80"/>
        <v>0</v>
      </c>
    </row>
    <row r="4922" spans="39:45">
      <c r="AM4922" s="54">
        <v>2019</v>
      </c>
      <c r="AN4922" s="54" t="s">
        <v>188</v>
      </c>
      <c r="AO4922" s="54">
        <v>25</v>
      </c>
      <c r="AP4922" s="54">
        <v>24</v>
      </c>
      <c r="AQ4922" s="54">
        <v>0</v>
      </c>
      <c r="AR4922" s="55">
        <v>28500</v>
      </c>
      <c r="AS4922" s="78">
        <f t="shared" si="80"/>
        <v>0</v>
      </c>
    </row>
    <row r="4923" spans="39:45">
      <c r="AM4923" s="55">
        <v>2019</v>
      </c>
      <c r="AN4923" s="55" t="s">
        <v>188</v>
      </c>
      <c r="AO4923" s="55">
        <v>25</v>
      </c>
      <c r="AP4923" s="55">
        <v>1</v>
      </c>
      <c r="AQ4923" s="55">
        <v>0</v>
      </c>
      <c r="AR4923" s="55">
        <v>28500</v>
      </c>
      <c r="AS4923" s="78">
        <f t="shared" si="80"/>
        <v>0</v>
      </c>
    </row>
    <row r="4924" spans="39:45">
      <c r="AM4924" s="54">
        <v>2019</v>
      </c>
      <c r="AN4924" s="54" t="s">
        <v>188</v>
      </c>
      <c r="AO4924" s="54">
        <v>25</v>
      </c>
      <c r="AP4924" s="54">
        <v>2</v>
      </c>
      <c r="AQ4924" s="54">
        <v>0</v>
      </c>
      <c r="AR4924" s="55">
        <v>28500</v>
      </c>
      <c r="AS4924" s="78">
        <f t="shared" si="80"/>
        <v>0</v>
      </c>
    </row>
    <row r="4925" spans="39:45">
      <c r="AM4925" s="55">
        <v>2019</v>
      </c>
      <c r="AN4925" s="55" t="s">
        <v>188</v>
      </c>
      <c r="AO4925" s="55">
        <v>25</v>
      </c>
      <c r="AP4925" s="55">
        <v>3</v>
      </c>
      <c r="AQ4925" s="55">
        <v>0</v>
      </c>
      <c r="AR4925" s="55">
        <v>28500</v>
      </c>
      <c r="AS4925" s="78">
        <f t="shared" si="80"/>
        <v>0</v>
      </c>
    </row>
    <row r="4926" spans="39:45">
      <c r="AM4926" s="54">
        <v>2019</v>
      </c>
      <c r="AN4926" s="54" t="s">
        <v>188</v>
      </c>
      <c r="AO4926" s="54">
        <v>25</v>
      </c>
      <c r="AP4926" s="54">
        <v>4</v>
      </c>
      <c r="AQ4926" s="54">
        <v>0</v>
      </c>
      <c r="AR4926" s="55">
        <v>28500</v>
      </c>
      <c r="AS4926" s="78">
        <f t="shared" si="80"/>
        <v>0</v>
      </c>
    </row>
    <row r="4927" spans="39:45">
      <c r="AM4927" s="55">
        <v>2019</v>
      </c>
      <c r="AN4927" s="55" t="s">
        <v>188</v>
      </c>
      <c r="AO4927" s="55">
        <v>25</v>
      </c>
      <c r="AP4927" s="55">
        <v>5</v>
      </c>
      <c r="AQ4927" s="55">
        <v>972</v>
      </c>
      <c r="AR4927" s="55">
        <v>28500</v>
      </c>
      <c r="AS4927" s="78">
        <f t="shared" si="80"/>
        <v>3.4105263157894736E-2</v>
      </c>
    </row>
    <row r="4928" spans="39:45">
      <c r="AM4928" s="54">
        <v>2019</v>
      </c>
      <c r="AN4928" s="54" t="s">
        <v>188</v>
      </c>
      <c r="AO4928" s="54">
        <v>25</v>
      </c>
      <c r="AP4928" s="54">
        <v>6</v>
      </c>
      <c r="AQ4928" s="54">
        <v>3095</v>
      </c>
      <c r="AR4928" s="55">
        <v>28500</v>
      </c>
      <c r="AS4928" s="78">
        <f t="shared" si="80"/>
        <v>0.10859649122807018</v>
      </c>
    </row>
    <row r="4929" spans="39:45">
      <c r="AM4929" s="55">
        <v>2019</v>
      </c>
      <c r="AN4929" s="55" t="s">
        <v>188</v>
      </c>
      <c r="AO4929" s="55">
        <v>25</v>
      </c>
      <c r="AP4929" s="55">
        <v>7</v>
      </c>
      <c r="AQ4929" s="55">
        <v>10913.5</v>
      </c>
      <c r="AR4929" s="55">
        <v>28500</v>
      </c>
      <c r="AS4929" s="78">
        <f t="shared" si="80"/>
        <v>0.38292982456140351</v>
      </c>
    </row>
    <row r="4930" spans="39:45">
      <c r="AM4930" s="54">
        <v>2019</v>
      </c>
      <c r="AN4930" s="54" t="s">
        <v>188</v>
      </c>
      <c r="AO4930" s="54">
        <v>25</v>
      </c>
      <c r="AP4930" s="54">
        <v>8</v>
      </c>
      <c r="AQ4930" s="54">
        <v>20132.5</v>
      </c>
      <c r="AR4930" s="55">
        <v>28500</v>
      </c>
      <c r="AS4930" s="78">
        <f t="shared" ref="AS4930:AS4993" si="81">AQ4930/AR4930</f>
        <v>0.70640350877192981</v>
      </c>
    </row>
    <row r="4931" spans="39:45">
      <c r="AM4931" s="55">
        <v>2019</v>
      </c>
      <c r="AN4931" s="55" t="s">
        <v>188</v>
      </c>
      <c r="AO4931" s="55">
        <v>25</v>
      </c>
      <c r="AP4931" s="55">
        <v>9</v>
      </c>
      <c r="AQ4931" s="55">
        <v>27672.5</v>
      </c>
      <c r="AR4931" s="55">
        <v>28500</v>
      </c>
      <c r="AS4931" s="78">
        <f t="shared" si="81"/>
        <v>0.97096491228070181</v>
      </c>
    </row>
    <row r="4932" spans="39:45">
      <c r="AM4932" s="54">
        <v>2019</v>
      </c>
      <c r="AN4932" s="54" t="s">
        <v>188</v>
      </c>
      <c r="AO4932" s="54">
        <v>25</v>
      </c>
      <c r="AP4932" s="54">
        <v>10</v>
      </c>
      <c r="AQ4932" s="54">
        <v>32386</v>
      </c>
      <c r="AR4932" s="55">
        <v>28500</v>
      </c>
      <c r="AS4932" s="78">
        <f t="shared" si="81"/>
        <v>1.1363508771929824</v>
      </c>
    </row>
    <row r="4933" spans="39:45">
      <c r="AM4933" s="55">
        <v>2019</v>
      </c>
      <c r="AN4933" s="55" t="s">
        <v>188</v>
      </c>
      <c r="AO4933" s="55">
        <v>25</v>
      </c>
      <c r="AP4933" s="55">
        <v>11</v>
      </c>
      <c r="AQ4933" s="55">
        <v>34886.5</v>
      </c>
      <c r="AR4933" s="55">
        <v>28500</v>
      </c>
      <c r="AS4933" s="78">
        <f t="shared" si="81"/>
        <v>1.2240877192982456</v>
      </c>
    </row>
    <row r="4934" spans="39:45">
      <c r="AM4934" s="54">
        <v>2019</v>
      </c>
      <c r="AN4934" s="54" t="s">
        <v>188</v>
      </c>
      <c r="AO4934" s="54">
        <v>25</v>
      </c>
      <c r="AP4934" s="54">
        <v>12</v>
      </c>
      <c r="AQ4934" s="54">
        <v>36180.5</v>
      </c>
      <c r="AR4934" s="55">
        <v>28500</v>
      </c>
      <c r="AS4934" s="78">
        <f t="shared" si="81"/>
        <v>1.2694912280701753</v>
      </c>
    </row>
    <row r="4935" spans="39:45">
      <c r="AM4935" s="55">
        <v>2019</v>
      </c>
      <c r="AN4935" s="55" t="s">
        <v>188</v>
      </c>
      <c r="AO4935" s="55">
        <v>25</v>
      </c>
      <c r="AP4935" s="55">
        <v>13</v>
      </c>
      <c r="AQ4935" s="55">
        <v>17624</v>
      </c>
      <c r="AR4935" s="55">
        <v>28500</v>
      </c>
      <c r="AS4935" s="78">
        <f t="shared" si="81"/>
        <v>0.61838596491228071</v>
      </c>
    </row>
    <row r="4936" spans="39:45">
      <c r="AM4936" s="54">
        <v>2019</v>
      </c>
      <c r="AN4936" s="54" t="s">
        <v>188</v>
      </c>
      <c r="AO4936" s="54">
        <v>25</v>
      </c>
      <c r="AP4936" s="54">
        <v>14</v>
      </c>
      <c r="AQ4936" s="54">
        <v>6591.5</v>
      </c>
      <c r="AR4936" s="55">
        <v>28500</v>
      </c>
      <c r="AS4936" s="78">
        <f t="shared" si="81"/>
        <v>0.23128070175438598</v>
      </c>
    </row>
    <row r="4937" spans="39:45">
      <c r="AM4937" s="55">
        <v>2019</v>
      </c>
      <c r="AN4937" s="55" t="s">
        <v>188</v>
      </c>
      <c r="AO4937" s="55">
        <v>25</v>
      </c>
      <c r="AP4937" s="55">
        <v>15</v>
      </c>
      <c r="AQ4937" s="55">
        <v>20876.5</v>
      </c>
      <c r="AR4937" s="55">
        <v>28500</v>
      </c>
      <c r="AS4937" s="78">
        <f t="shared" si="81"/>
        <v>0.73250877192982455</v>
      </c>
    </row>
    <row r="4938" spans="39:45">
      <c r="AM4938" s="54">
        <v>2019</v>
      </c>
      <c r="AN4938" s="54" t="s">
        <v>188</v>
      </c>
      <c r="AO4938" s="54">
        <v>25</v>
      </c>
      <c r="AP4938" s="54">
        <v>16</v>
      </c>
      <c r="AQ4938" s="54">
        <v>10939</v>
      </c>
      <c r="AR4938" s="55">
        <v>28500</v>
      </c>
      <c r="AS4938" s="78">
        <f t="shared" si="81"/>
        <v>0.38382456140350879</v>
      </c>
    </row>
    <row r="4939" spans="39:45">
      <c r="AM4939" s="55">
        <v>2019</v>
      </c>
      <c r="AN4939" s="55" t="s">
        <v>188</v>
      </c>
      <c r="AO4939" s="55">
        <v>25</v>
      </c>
      <c r="AP4939" s="55">
        <v>17</v>
      </c>
      <c r="AQ4939" s="55">
        <v>2181</v>
      </c>
      <c r="AR4939" s="55">
        <v>28500</v>
      </c>
      <c r="AS4939" s="78">
        <f t="shared" si="81"/>
        <v>7.6526315789473678E-2</v>
      </c>
    </row>
    <row r="4940" spans="39:45">
      <c r="AM4940" s="54">
        <v>2019</v>
      </c>
      <c r="AN4940" s="54" t="s">
        <v>188</v>
      </c>
      <c r="AO4940" s="54">
        <v>25</v>
      </c>
      <c r="AP4940" s="54">
        <v>18</v>
      </c>
      <c r="AQ4940" s="54">
        <v>213</v>
      </c>
      <c r="AR4940" s="55">
        <v>28500</v>
      </c>
      <c r="AS4940" s="78">
        <f t="shared" si="81"/>
        <v>7.4736842105263155E-3</v>
      </c>
    </row>
    <row r="4941" spans="39:45">
      <c r="AM4941" s="55">
        <v>2019</v>
      </c>
      <c r="AN4941" s="55" t="s">
        <v>188</v>
      </c>
      <c r="AO4941" s="55">
        <v>25</v>
      </c>
      <c r="AP4941" s="55">
        <v>19</v>
      </c>
      <c r="AQ4941" s="55">
        <v>14</v>
      </c>
      <c r="AR4941" s="55">
        <v>28500</v>
      </c>
      <c r="AS4941" s="78">
        <f t="shared" si="81"/>
        <v>4.9122807017543861E-4</v>
      </c>
    </row>
    <row r="4942" spans="39:45">
      <c r="AM4942" s="54">
        <v>2019</v>
      </c>
      <c r="AN4942" s="54" t="s">
        <v>188</v>
      </c>
      <c r="AO4942" s="54">
        <v>25</v>
      </c>
      <c r="AP4942" s="54">
        <v>20</v>
      </c>
      <c r="AQ4942" s="54">
        <v>0</v>
      </c>
      <c r="AR4942" s="55">
        <v>28500</v>
      </c>
      <c r="AS4942" s="78">
        <f t="shared" si="81"/>
        <v>0</v>
      </c>
    </row>
    <row r="4943" spans="39:45">
      <c r="AM4943" s="55">
        <v>2019</v>
      </c>
      <c r="AN4943" s="55" t="s">
        <v>188</v>
      </c>
      <c r="AO4943" s="55">
        <v>25</v>
      </c>
      <c r="AP4943" s="55">
        <v>21</v>
      </c>
      <c r="AQ4943" s="55">
        <v>0</v>
      </c>
      <c r="AR4943" s="55">
        <v>28500</v>
      </c>
      <c r="AS4943" s="78">
        <f t="shared" si="81"/>
        <v>0</v>
      </c>
    </row>
    <row r="4944" spans="39:45">
      <c r="AM4944" s="54">
        <v>2019</v>
      </c>
      <c r="AN4944" s="54" t="s">
        <v>188</v>
      </c>
      <c r="AO4944" s="54">
        <v>25</v>
      </c>
      <c r="AP4944" s="54">
        <v>22</v>
      </c>
      <c r="AQ4944" s="54">
        <v>0</v>
      </c>
      <c r="AR4944" s="55">
        <v>28500</v>
      </c>
      <c r="AS4944" s="78">
        <f t="shared" si="81"/>
        <v>0</v>
      </c>
    </row>
    <row r="4945" spans="39:45">
      <c r="AM4945" s="55">
        <v>2019</v>
      </c>
      <c r="AN4945" s="55" t="s">
        <v>188</v>
      </c>
      <c r="AO4945" s="55">
        <v>25</v>
      </c>
      <c r="AP4945" s="55">
        <v>23</v>
      </c>
      <c r="AQ4945" s="55">
        <v>0</v>
      </c>
      <c r="AR4945" s="55">
        <v>28500</v>
      </c>
      <c r="AS4945" s="78">
        <f t="shared" si="81"/>
        <v>0</v>
      </c>
    </row>
    <row r="4946" spans="39:45">
      <c r="AM4946" s="54">
        <v>2019</v>
      </c>
      <c r="AN4946" s="54" t="s">
        <v>188</v>
      </c>
      <c r="AO4946" s="54">
        <v>26</v>
      </c>
      <c r="AP4946" s="54">
        <v>24</v>
      </c>
      <c r="AQ4946" s="54">
        <v>0</v>
      </c>
      <c r="AR4946" s="55">
        <v>28500</v>
      </c>
      <c r="AS4946" s="78">
        <f t="shared" si="81"/>
        <v>0</v>
      </c>
    </row>
    <row r="4947" spans="39:45">
      <c r="AM4947" s="55">
        <v>2019</v>
      </c>
      <c r="AN4947" s="55" t="s">
        <v>188</v>
      </c>
      <c r="AO4947" s="55">
        <v>26</v>
      </c>
      <c r="AP4947" s="55">
        <v>1</v>
      </c>
      <c r="AQ4947" s="55">
        <v>0</v>
      </c>
      <c r="AR4947" s="55">
        <v>28500</v>
      </c>
      <c r="AS4947" s="78">
        <f t="shared" si="81"/>
        <v>0</v>
      </c>
    </row>
    <row r="4948" spans="39:45">
      <c r="AM4948" s="54">
        <v>2019</v>
      </c>
      <c r="AN4948" s="54" t="s">
        <v>188</v>
      </c>
      <c r="AO4948" s="54">
        <v>26</v>
      </c>
      <c r="AP4948" s="54">
        <v>2</v>
      </c>
      <c r="AQ4948" s="54">
        <v>0</v>
      </c>
      <c r="AR4948" s="55">
        <v>28500</v>
      </c>
      <c r="AS4948" s="78">
        <f t="shared" si="81"/>
        <v>0</v>
      </c>
    </row>
    <row r="4949" spans="39:45">
      <c r="AM4949" s="55">
        <v>2019</v>
      </c>
      <c r="AN4949" s="55" t="s">
        <v>188</v>
      </c>
      <c r="AO4949" s="55">
        <v>26</v>
      </c>
      <c r="AP4949" s="55">
        <v>3</v>
      </c>
      <c r="AQ4949" s="55">
        <v>0</v>
      </c>
      <c r="AR4949" s="55">
        <v>28500</v>
      </c>
      <c r="AS4949" s="78">
        <f t="shared" si="81"/>
        <v>0</v>
      </c>
    </row>
    <row r="4950" spans="39:45">
      <c r="AM4950" s="54">
        <v>2019</v>
      </c>
      <c r="AN4950" s="54" t="s">
        <v>188</v>
      </c>
      <c r="AO4950" s="54">
        <v>26</v>
      </c>
      <c r="AP4950" s="54">
        <v>4</v>
      </c>
      <c r="AQ4950" s="54">
        <v>0</v>
      </c>
      <c r="AR4950" s="55">
        <v>28500</v>
      </c>
      <c r="AS4950" s="78">
        <f t="shared" si="81"/>
        <v>0</v>
      </c>
    </row>
    <row r="4951" spans="39:45">
      <c r="AM4951" s="55">
        <v>2019</v>
      </c>
      <c r="AN4951" s="55" t="s">
        <v>188</v>
      </c>
      <c r="AO4951" s="55">
        <v>26</v>
      </c>
      <c r="AP4951" s="55">
        <v>5</v>
      </c>
      <c r="AQ4951" s="55">
        <v>826</v>
      </c>
      <c r="AR4951" s="55">
        <v>28500</v>
      </c>
      <c r="AS4951" s="78">
        <f t="shared" si="81"/>
        <v>2.8982456140350877E-2</v>
      </c>
    </row>
    <row r="4952" spans="39:45">
      <c r="AM4952" s="54">
        <v>2019</v>
      </c>
      <c r="AN4952" s="54" t="s">
        <v>188</v>
      </c>
      <c r="AO4952" s="54">
        <v>26</v>
      </c>
      <c r="AP4952" s="54">
        <v>6</v>
      </c>
      <c r="AQ4952" s="54">
        <v>788</v>
      </c>
      <c r="AR4952" s="55">
        <v>28500</v>
      </c>
      <c r="AS4952" s="78">
        <f t="shared" si="81"/>
        <v>2.7649122807017545E-2</v>
      </c>
    </row>
    <row r="4953" spans="39:45">
      <c r="AM4953" s="55">
        <v>2019</v>
      </c>
      <c r="AN4953" s="55" t="s">
        <v>188</v>
      </c>
      <c r="AO4953" s="55">
        <v>26</v>
      </c>
      <c r="AP4953" s="55">
        <v>7</v>
      </c>
      <c r="AQ4953" s="55">
        <v>2042.5</v>
      </c>
      <c r="AR4953" s="55">
        <v>28500</v>
      </c>
      <c r="AS4953" s="78">
        <f t="shared" si="81"/>
        <v>7.166666666666667E-2</v>
      </c>
    </row>
    <row r="4954" spans="39:45">
      <c r="AM4954" s="54">
        <v>2019</v>
      </c>
      <c r="AN4954" s="54" t="s">
        <v>188</v>
      </c>
      <c r="AO4954" s="54">
        <v>26</v>
      </c>
      <c r="AP4954" s="54">
        <v>8</v>
      </c>
      <c r="AQ4954" s="54">
        <v>1137.5</v>
      </c>
      <c r="AR4954" s="55">
        <v>28500</v>
      </c>
      <c r="AS4954" s="78">
        <f t="shared" si="81"/>
        <v>3.9912280701754385E-2</v>
      </c>
    </row>
    <row r="4955" spans="39:45">
      <c r="AM4955" s="55">
        <v>2019</v>
      </c>
      <c r="AN4955" s="55" t="s">
        <v>188</v>
      </c>
      <c r="AO4955" s="55">
        <v>26</v>
      </c>
      <c r="AP4955" s="55">
        <v>9</v>
      </c>
      <c r="AQ4955" s="55">
        <v>13440</v>
      </c>
      <c r="AR4955" s="55">
        <v>28500</v>
      </c>
      <c r="AS4955" s="78">
        <f t="shared" si="81"/>
        <v>0.47157894736842104</v>
      </c>
    </row>
    <row r="4956" spans="39:45">
      <c r="AM4956" s="54">
        <v>2019</v>
      </c>
      <c r="AN4956" s="54" t="s">
        <v>188</v>
      </c>
      <c r="AO4956" s="54">
        <v>26</v>
      </c>
      <c r="AP4956" s="54">
        <v>10</v>
      </c>
      <c r="AQ4956" s="54">
        <v>1834</v>
      </c>
      <c r="AR4956" s="55">
        <v>28500</v>
      </c>
      <c r="AS4956" s="78">
        <f t="shared" si="81"/>
        <v>6.435087719298245E-2</v>
      </c>
    </row>
    <row r="4957" spans="39:45">
      <c r="AM4957" s="55">
        <v>2019</v>
      </c>
      <c r="AN4957" s="55" t="s">
        <v>188</v>
      </c>
      <c r="AO4957" s="55">
        <v>26</v>
      </c>
      <c r="AP4957" s="55">
        <v>11</v>
      </c>
      <c r="AQ4957" s="55">
        <v>3905.5</v>
      </c>
      <c r="AR4957" s="55">
        <v>28500</v>
      </c>
      <c r="AS4957" s="78">
        <f t="shared" si="81"/>
        <v>0.13703508771929823</v>
      </c>
    </row>
    <row r="4958" spans="39:45">
      <c r="AM4958" s="54">
        <v>2019</v>
      </c>
      <c r="AN4958" s="54" t="s">
        <v>188</v>
      </c>
      <c r="AO4958" s="54">
        <v>26</v>
      </c>
      <c r="AP4958" s="54">
        <v>12</v>
      </c>
      <c r="AQ4958" s="54">
        <v>3080</v>
      </c>
      <c r="AR4958" s="55">
        <v>28500</v>
      </c>
      <c r="AS4958" s="78">
        <f t="shared" si="81"/>
        <v>0.1080701754385965</v>
      </c>
    </row>
    <row r="4959" spans="39:45">
      <c r="AM4959" s="55">
        <v>2019</v>
      </c>
      <c r="AN4959" s="55" t="s">
        <v>188</v>
      </c>
      <c r="AO4959" s="55">
        <v>26</v>
      </c>
      <c r="AP4959" s="55">
        <v>13</v>
      </c>
      <c r="AQ4959" s="55">
        <v>18524.5</v>
      </c>
      <c r="AR4959" s="55">
        <v>28500</v>
      </c>
      <c r="AS4959" s="78">
        <f t="shared" si="81"/>
        <v>0.64998245614035088</v>
      </c>
    </row>
    <row r="4960" spans="39:45">
      <c r="AM4960" s="54">
        <v>2019</v>
      </c>
      <c r="AN4960" s="54" t="s">
        <v>188</v>
      </c>
      <c r="AO4960" s="54">
        <v>26</v>
      </c>
      <c r="AP4960" s="54">
        <v>14</v>
      </c>
      <c r="AQ4960" s="54">
        <v>20526.5</v>
      </c>
      <c r="AR4960" s="55">
        <v>28500</v>
      </c>
      <c r="AS4960" s="78">
        <f t="shared" si="81"/>
        <v>0.72022807017543855</v>
      </c>
    </row>
    <row r="4961" spans="39:45">
      <c r="AM4961" s="55">
        <v>2019</v>
      </c>
      <c r="AN4961" s="55" t="s">
        <v>188</v>
      </c>
      <c r="AO4961" s="55">
        <v>26</v>
      </c>
      <c r="AP4961" s="55">
        <v>15</v>
      </c>
      <c r="AQ4961" s="55">
        <v>18103.5</v>
      </c>
      <c r="AR4961" s="55">
        <v>28500</v>
      </c>
      <c r="AS4961" s="78">
        <f t="shared" si="81"/>
        <v>0.63521052631578945</v>
      </c>
    </row>
    <row r="4962" spans="39:45">
      <c r="AM4962" s="54">
        <v>2019</v>
      </c>
      <c r="AN4962" s="54" t="s">
        <v>188</v>
      </c>
      <c r="AO4962" s="54">
        <v>26</v>
      </c>
      <c r="AP4962" s="54">
        <v>16</v>
      </c>
      <c r="AQ4962" s="54">
        <v>12998</v>
      </c>
      <c r="AR4962" s="55">
        <v>28500</v>
      </c>
      <c r="AS4962" s="78">
        <f t="shared" si="81"/>
        <v>0.45607017543859651</v>
      </c>
    </row>
    <row r="4963" spans="39:45">
      <c r="AM4963" s="55">
        <v>2019</v>
      </c>
      <c r="AN4963" s="55" t="s">
        <v>188</v>
      </c>
      <c r="AO4963" s="55">
        <v>26</v>
      </c>
      <c r="AP4963" s="55">
        <v>17</v>
      </c>
      <c r="AQ4963" s="55">
        <v>2915</v>
      </c>
      <c r="AR4963" s="55">
        <v>28500</v>
      </c>
      <c r="AS4963" s="78">
        <f t="shared" si="81"/>
        <v>0.10228070175438596</v>
      </c>
    </row>
    <row r="4964" spans="39:45">
      <c r="AM4964" s="54">
        <v>2019</v>
      </c>
      <c r="AN4964" s="54" t="s">
        <v>188</v>
      </c>
      <c r="AO4964" s="54">
        <v>26</v>
      </c>
      <c r="AP4964" s="54">
        <v>18</v>
      </c>
      <c r="AQ4964" s="54">
        <v>685</v>
      </c>
      <c r="AR4964" s="55">
        <v>28500</v>
      </c>
      <c r="AS4964" s="78">
        <f t="shared" si="81"/>
        <v>2.4035087719298246E-2</v>
      </c>
    </row>
    <row r="4965" spans="39:45">
      <c r="AM4965" s="55">
        <v>2019</v>
      </c>
      <c r="AN4965" s="55" t="s">
        <v>188</v>
      </c>
      <c r="AO4965" s="55">
        <v>26</v>
      </c>
      <c r="AP4965" s="55">
        <v>19</v>
      </c>
      <c r="AQ4965" s="55">
        <v>368.5</v>
      </c>
      <c r="AR4965" s="55">
        <v>28500</v>
      </c>
      <c r="AS4965" s="78">
        <f t="shared" si="81"/>
        <v>1.2929824561403508E-2</v>
      </c>
    </row>
    <row r="4966" spans="39:45">
      <c r="AM4966" s="54">
        <v>2019</v>
      </c>
      <c r="AN4966" s="54" t="s">
        <v>188</v>
      </c>
      <c r="AO4966" s="54">
        <v>26</v>
      </c>
      <c r="AP4966" s="54">
        <v>20</v>
      </c>
      <c r="AQ4966" s="54">
        <v>0</v>
      </c>
      <c r="AR4966" s="55">
        <v>28500</v>
      </c>
      <c r="AS4966" s="78">
        <f t="shared" si="81"/>
        <v>0</v>
      </c>
    </row>
    <row r="4967" spans="39:45">
      <c r="AM4967" s="55">
        <v>2019</v>
      </c>
      <c r="AN4967" s="55" t="s">
        <v>188</v>
      </c>
      <c r="AO4967" s="55">
        <v>26</v>
      </c>
      <c r="AP4967" s="55">
        <v>21</v>
      </c>
      <c r="AQ4967" s="55">
        <v>0</v>
      </c>
      <c r="AR4967" s="55">
        <v>28500</v>
      </c>
      <c r="AS4967" s="78">
        <f t="shared" si="81"/>
        <v>0</v>
      </c>
    </row>
    <row r="4968" spans="39:45">
      <c r="AM4968" s="54">
        <v>2019</v>
      </c>
      <c r="AN4968" s="54" t="s">
        <v>188</v>
      </c>
      <c r="AO4968" s="54">
        <v>26</v>
      </c>
      <c r="AP4968" s="54">
        <v>22</v>
      </c>
      <c r="AQ4968" s="54">
        <v>0</v>
      </c>
      <c r="AR4968" s="55">
        <v>28500</v>
      </c>
      <c r="AS4968" s="78">
        <f t="shared" si="81"/>
        <v>0</v>
      </c>
    </row>
    <row r="4969" spans="39:45">
      <c r="AM4969" s="55">
        <v>2019</v>
      </c>
      <c r="AN4969" s="55" t="s">
        <v>188</v>
      </c>
      <c r="AO4969" s="55">
        <v>26</v>
      </c>
      <c r="AP4969" s="55">
        <v>23</v>
      </c>
      <c r="AQ4969" s="55">
        <v>0</v>
      </c>
      <c r="AR4969" s="55">
        <v>28500</v>
      </c>
      <c r="AS4969" s="78">
        <f t="shared" si="81"/>
        <v>0</v>
      </c>
    </row>
    <row r="4970" spans="39:45">
      <c r="AM4970" s="54">
        <v>2019</v>
      </c>
      <c r="AN4970" s="54" t="s">
        <v>188</v>
      </c>
      <c r="AO4970" s="54">
        <v>27</v>
      </c>
      <c r="AP4970" s="54">
        <v>24</v>
      </c>
      <c r="AQ4970" s="54">
        <v>0</v>
      </c>
      <c r="AR4970" s="55">
        <v>28500</v>
      </c>
      <c r="AS4970" s="78">
        <f t="shared" si="81"/>
        <v>0</v>
      </c>
    </row>
    <row r="4971" spans="39:45">
      <c r="AM4971" s="55">
        <v>2019</v>
      </c>
      <c r="AN4971" s="55" t="s">
        <v>188</v>
      </c>
      <c r="AO4971" s="55">
        <v>27</v>
      </c>
      <c r="AP4971" s="55">
        <v>1</v>
      </c>
      <c r="AQ4971" s="55">
        <v>0</v>
      </c>
      <c r="AR4971" s="55">
        <v>28500</v>
      </c>
      <c r="AS4971" s="78">
        <f t="shared" si="81"/>
        <v>0</v>
      </c>
    </row>
    <row r="4972" spans="39:45">
      <c r="AM4972" s="54">
        <v>2019</v>
      </c>
      <c r="AN4972" s="54" t="s">
        <v>188</v>
      </c>
      <c r="AO4972" s="54">
        <v>27</v>
      </c>
      <c r="AP4972" s="54">
        <v>2</v>
      </c>
      <c r="AQ4972" s="54">
        <v>0</v>
      </c>
      <c r="AR4972" s="55">
        <v>28500</v>
      </c>
      <c r="AS4972" s="78">
        <f t="shared" si="81"/>
        <v>0</v>
      </c>
    </row>
    <row r="4973" spans="39:45">
      <c r="AM4973" s="55">
        <v>2019</v>
      </c>
      <c r="AN4973" s="55" t="s">
        <v>188</v>
      </c>
      <c r="AO4973" s="55">
        <v>27</v>
      </c>
      <c r="AP4973" s="55">
        <v>3</v>
      </c>
      <c r="AQ4973" s="55">
        <v>0</v>
      </c>
      <c r="AR4973" s="55">
        <v>28500</v>
      </c>
      <c r="AS4973" s="78">
        <f t="shared" si="81"/>
        <v>0</v>
      </c>
    </row>
    <row r="4974" spans="39:45">
      <c r="AM4974" s="54">
        <v>2019</v>
      </c>
      <c r="AN4974" s="54" t="s">
        <v>188</v>
      </c>
      <c r="AO4974" s="54">
        <v>27</v>
      </c>
      <c r="AP4974" s="54">
        <v>4</v>
      </c>
      <c r="AQ4974" s="54">
        <v>0</v>
      </c>
      <c r="AR4974" s="55">
        <v>28500</v>
      </c>
      <c r="AS4974" s="78">
        <f t="shared" si="81"/>
        <v>0</v>
      </c>
    </row>
    <row r="4975" spans="39:45">
      <c r="AM4975" s="55">
        <v>2019</v>
      </c>
      <c r="AN4975" s="55" t="s">
        <v>188</v>
      </c>
      <c r="AO4975" s="55">
        <v>27</v>
      </c>
      <c r="AP4975" s="55">
        <v>5</v>
      </c>
      <c r="AQ4975" s="55">
        <v>18.5</v>
      </c>
      <c r="AR4975" s="55">
        <v>28500</v>
      </c>
      <c r="AS4975" s="78">
        <f t="shared" si="81"/>
        <v>6.4912280701754385E-4</v>
      </c>
    </row>
    <row r="4976" spans="39:45">
      <c r="AM4976" s="54">
        <v>2019</v>
      </c>
      <c r="AN4976" s="54" t="s">
        <v>188</v>
      </c>
      <c r="AO4976" s="54">
        <v>27</v>
      </c>
      <c r="AP4976" s="54">
        <v>6</v>
      </c>
      <c r="AQ4976" s="54">
        <v>1616.5</v>
      </c>
      <c r="AR4976" s="55">
        <v>28500</v>
      </c>
      <c r="AS4976" s="78">
        <f t="shared" si="81"/>
        <v>5.6719298245614037E-2</v>
      </c>
    </row>
    <row r="4977" spans="39:45">
      <c r="AM4977" s="55">
        <v>2019</v>
      </c>
      <c r="AN4977" s="55" t="s">
        <v>188</v>
      </c>
      <c r="AO4977" s="55">
        <v>27</v>
      </c>
      <c r="AP4977" s="55">
        <v>7</v>
      </c>
      <c r="AQ4977" s="55">
        <v>1134</v>
      </c>
      <c r="AR4977" s="55">
        <v>28500</v>
      </c>
      <c r="AS4977" s="78">
        <f t="shared" si="81"/>
        <v>3.9789473684210527E-2</v>
      </c>
    </row>
    <row r="4978" spans="39:45">
      <c r="AM4978" s="54">
        <v>2019</v>
      </c>
      <c r="AN4978" s="54" t="s">
        <v>188</v>
      </c>
      <c r="AO4978" s="54">
        <v>27</v>
      </c>
      <c r="AP4978" s="54">
        <v>8</v>
      </c>
      <c r="AQ4978" s="54">
        <v>1723.5</v>
      </c>
      <c r="AR4978" s="55">
        <v>28500</v>
      </c>
      <c r="AS4978" s="78">
        <f t="shared" si="81"/>
        <v>6.0473684210526318E-2</v>
      </c>
    </row>
    <row r="4979" spans="39:45">
      <c r="AM4979" s="55">
        <v>2019</v>
      </c>
      <c r="AN4979" s="55" t="s">
        <v>188</v>
      </c>
      <c r="AO4979" s="55">
        <v>27</v>
      </c>
      <c r="AP4979" s="55">
        <v>9</v>
      </c>
      <c r="AQ4979" s="55">
        <v>2444</v>
      </c>
      <c r="AR4979" s="55">
        <v>28500</v>
      </c>
      <c r="AS4979" s="78">
        <f t="shared" si="81"/>
        <v>8.5754385964912277E-2</v>
      </c>
    </row>
    <row r="4980" spans="39:45">
      <c r="AM4980" s="54">
        <v>2019</v>
      </c>
      <c r="AN4980" s="54" t="s">
        <v>188</v>
      </c>
      <c r="AO4980" s="54">
        <v>27</v>
      </c>
      <c r="AP4980" s="54">
        <v>10</v>
      </c>
      <c r="AQ4980" s="54">
        <v>4811.5</v>
      </c>
      <c r="AR4980" s="55">
        <v>28500</v>
      </c>
      <c r="AS4980" s="78">
        <f t="shared" si="81"/>
        <v>0.16882456140350877</v>
      </c>
    </row>
    <row r="4981" spans="39:45">
      <c r="AM4981" s="55">
        <v>2019</v>
      </c>
      <c r="AN4981" s="55" t="s">
        <v>188</v>
      </c>
      <c r="AO4981" s="55">
        <v>27</v>
      </c>
      <c r="AP4981" s="55">
        <v>11</v>
      </c>
      <c r="AQ4981" s="55">
        <v>4696</v>
      </c>
      <c r="AR4981" s="55">
        <v>28500</v>
      </c>
      <c r="AS4981" s="78">
        <f t="shared" si="81"/>
        <v>0.1647719298245614</v>
      </c>
    </row>
    <row r="4982" spans="39:45">
      <c r="AM4982" s="54">
        <v>2019</v>
      </c>
      <c r="AN4982" s="54" t="s">
        <v>188</v>
      </c>
      <c r="AO4982" s="54">
        <v>27</v>
      </c>
      <c r="AP4982" s="54">
        <v>12</v>
      </c>
      <c r="AQ4982" s="54">
        <v>6383</v>
      </c>
      <c r="AR4982" s="55">
        <v>28500</v>
      </c>
      <c r="AS4982" s="78">
        <f t="shared" si="81"/>
        <v>0.22396491228070176</v>
      </c>
    </row>
    <row r="4983" spans="39:45">
      <c r="AM4983" s="55">
        <v>2019</v>
      </c>
      <c r="AN4983" s="55" t="s">
        <v>188</v>
      </c>
      <c r="AO4983" s="55">
        <v>27</v>
      </c>
      <c r="AP4983" s="55">
        <v>13</v>
      </c>
      <c r="AQ4983" s="55">
        <v>7481.5</v>
      </c>
      <c r="AR4983" s="55">
        <v>28500</v>
      </c>
      <c r="AS4983" s="78">
        <f t="shared" si="81"/>
        <v>0.26250877192982458</v>
      </c>
    </row>
    <row r="4984" spans="39:45">
      <c r="AM4984" s="54">
        <v>2019</v>
      </c>
      <c r="AN4984" s="54" t="s">
        <v>188</v>
      </c>
      <c r="AO4984" s="54">
        <v>27</v>
      </c>
      <c r="AP4984" s="54">
        <v>14</v>
      </c>
      <c r="AQ4984" s="54">
        <v>3393</v>
      </c>
      <c r="AR4984" s="55">
        <v>28500</v>
      </c>
      <c r="AS4984" s="78">
        <f t="shared" si="81"/>
        <v>0.11905263157894737</v>
      </c>
    </row>
    <row r="4985" spans="39:45">
      <c r="AM4985" s="55">
        <v>2019</v>
      </c>
      <c r="AN4985" s="55" t="s">
        <v>188</v>
      </c>
      <c r="AO4985" s="55">
        <v>27</v>
      </c>
      <c r="AP4985" s="55">
        <v>15</v>
      </c>
      <c r="AQ4985" s="55">
        <v>6043</v>
      </c>
      <c r="AR4985" s="55">
        <v>28500</v>
      </c>
      <c r="AS4985" s="78">
        <f t="shared" si="81"/>
        <v>0.21203508771929824</v>
      </c>
    </row>
    <row r="4986" spans="39:45">
      <c r="AM4986" s="54">
        <v>2019</v>
      </c>
      <c r="AN4986" s="54" t="s">
        <v>188</v>
      </c>
      <c r="AO4986" s="54">
        <v>27</v>
      </c>
      <c r="AP4986" s="54">
        <v>16</v>
      </c>
      <c r="AQ4986" s="54">
        <v>2946.5</v>
      </c>
      <c r="AR4986" s="55">
        <v>28500</v>
      </c>
      <c r="AS4986" s="78">
        <f t="shared" si="81"/>
        <v>0.10338596491228071</v>
      </c>
    </row>
    <row r="4987" spans="39:45">
      <c r="AM4987" s="55">
        <v>2019</v>
      </c>
      <c r="AN4987" s="55" t="s">
        <v>188</v>
      </c>
      <c r="AO4987" s="55">
        <v>27</v>
      </c>
      <c r="AP4987" s="55">
        <v>17</v>
      </c>
      <c r="AQ4987" s="55">
        <v>3320.5</v>
      </c>
      <c r="AR4987" s="55">
        <v>28500</v>
      </c>
      <c r="AS4987" s="78">
        <f t="shared" si="81"/>
        <v>0.11650877192982456</v>
      </c>
    </row>
    <row r="4988" spans="39:45">
      <c r="AM4988" s="54">
        <v>2019</v>
      </c>
      <c r="AN4988" s="54" t="s">
        <v>188</v>
      </c>
      <c r="AO4988" s="54">
        <v>27</v>
      </c>
      <c r="AP4988" s="54">
        <v>18</v>
      </c>
      <c r="AQ4988" s="54">
        <v>1127.5</v>
      </c>
      <c r="AR4988" s="55">
        <v>28500</v>
      </c>
      <c r="AS4988" s="78">
        <f t="shared" si="81"/>
        <v>3.9561403508771929E-2</v>
      </c>
    </row>
    <row r="4989" spans="39:45">
      <c r="AM4989" s="55">
        <v>2019</v>
      </c>
      <c r="AN4989" s="55" t="s">
        <v>188</v>
      </c>
      <c r="AO4989" s="55">
        <v>27</v>
      </c>
      <c r="AP4989" s="55">
        <v>19</v>
      </c>
      <c r="AQ4989" s="55">
        <v>35.5</v>
      </c>
      <c r="AR4989" s="55">
        <v>28500</v>
      </c>
      <c r="AS4989" s="78">
        <f t="shared" si="81"/>
        <v>1.2456140350877193E-3</v>
      </c>
    </row>
    <row r="4990" spans="39:45">
      <c r="AM4990" s="54">
        <v>2019</v>
      </c>
      <c r="AN4990" s="54" t="s">
        <v>188</v>
      </c>
      <c r="AO4990" s="54">
        <v>27</v>
      </c>
      <c r="AP4990" s="54">
        <v>20</v>
      </c>
      <c r="AQ4990" s="54">
        <v>0</v>
      </c>
      <c r="AR4990" s="55">
        <v>28500</v>
      </c>
      <c r="AS4990" s="78">
        <f t="shared" si="81"/>
        <v>0</v>
      </c>
    </row>
    <row r="4991" spans="39:45">
      <c r="AM4991" s="55">
        <v>2019</v>
      </c>
      <c r="AN4991" s="55" t="s">
        <v>188</v>
      </c>
      <c r="AO4991" s="55">
        <v>27</v>
      </c>
      <c r="AP4991" s="55">
        <v>21</v>
      </c>
      <c r="AQ4991" s="55">
        <v>0</v>
      </c>
      <c r="AR4991" s="55">
        <v>28500</v>
      </c>
      <c r="AS4991" s="78">
        <f t="shared" si="81"/>
        <v>0</v>
      </c>
    </row>
    <row r="4992" spans="39:45">
      <c r="AM4992" s="54">
        <v>2019</v>
      </c>
      <c r="AN4992" s="54" t="s">
        <v>188</v>
      </c>
      <c r="AO4992" s="54">
        <v>27</v>
      </c>
      <c r="AP4992" s="54">
        <v>22</v>
      </c>
      <c r="AQ4992" s="54">
        <v>0</v>
      </c>
      <c r="AR4992" s="55">
        <v>28500</v>
      </c>
      <c r="AS4992" s="78">
        <f t="shared" si="81"/>
        <v>0</v>
      </c>
    </row>
    <row r="4993" spans="39:45">
      <c r="AM4993" s="55">
        <v>2019</v>
      </c>
      <c r="AN4993" s="55" t="s">
        <v>188</v>
      </c>
      <c r="AO4993" s="55">
        <v>27</v>
      </c>
      <c r="AP4993" s="55">
        <v>23</v>
      </c>
      <c r="AQ4993" s="55">
        <v>0</v>
      </c>
      <c r="AR4993" s="55">
        <v>28500</v>
      </c>
      <c r="AS4993" s="78">
        <f t="shared" si="81"/>
        <v>0</v>
      </c>
    </row>
    <row r="4994" spans="39:45">
      <c r="AM4994" s="54">
        <v>2019</v>
      </c>
      <c r="AN4994" s="54" t="s">
        <v>188</v>
      </c>
      <c r="AO4994" s="54">
        <v>28</v>
      </c>
      <c r="AP4994" s="54">
        <v>24</v>
      </c>
      <c r="AQ4994" s="54">
        <v>0</v>
      </c>
      <c r="AR4994" s="55">
        <v>28500</v>
      </c>
      <c r="AS4994" s="78">
        <f t="shared" ref="AS4994:AS5057" si="82">AQ4994/AR4994</f>
        <v>0</v>
      </c>
    </row>
    <row r="4995" spans="39:45">
      <c r="AM4995" s="55">
        <v>2019</v>
      </c>
      <c r="AN4995" s="55" t="s">
        <v>188</v>
      </c>
      <c r="AO4995" s="55">
        <v>28</v>
      </c>
      <c r="AP4995" s="55">
        <v>1</v>
      </c>
      <c r="AQ4995" s="55">
        <v>0</v>
      </c>
      <c r="AR4995" s="55">
        <v>28500</v>
      </c>
      <c r="AS4995" s="78">
        <f t="shared" si="82"/>
        <v>0</v>
      </c>
    </row>
    <row r="4996" spans="39:45">
      <c r="AM4996" s="54">
        <v>2019</v>
      </c>
      <c r="AN4996" s="54" t="s">
        <v>188</v>
      </c>
      <c r="AO4996" s="54">
        <v>28</v>
      </c>
      <c r="AP4996" s="54">
        <v>2</v>
      </c>
      <c r="AQ4996" s="54">
        <v>0</v>
      </c>
      <c r="AR4996" s="55">
        <v>28500</v>
      </c>
      <c r="AS4996" s="78">
        <f t="shared" si="82"/>
        <v>0</v>
      </c>
    </row>
    <row r="4997" spans="39:45">
      <c r="AM4997" s="55">
        <v>2019</v>
      </c>
      <c r="AN4997" s="55" t="s">
        <v>188</v>
      </c>
      <c r="AO4997" s="55">
        <v>28</v>
      </c>
      <c r="AP4997" s="55">
        <v>3</v>
      </c>
      <c r="AQ4997" s="55">
        <v>0</v>
      </c>
      <c r="AR4997" s="55">
        <v>28500</v>
      </c>
      <c r="AS4997" s="78">
        <f t="shared" si="82"/>
        <v>0</v>
      </c>
    </row>
    <row r="4998" spans="39:45">
      <c r="AM4998" s="54">
        <v>2019</v>
      </c>
      <c r="AN4998" s="54" t="s">
        <v>188</v>
      </c>
      <c r="AO4998" s="54">
        <v>28</v>
      </c>
      <c r="AP4998" s="54">
        <v>4</v>
      </c>
      <c r="AQ4998" s="54">
        <v>0</v>
      </c>
      <c r="AR4998" s="55">
        <v>28500</v>
      </c>
      <c r="AS4998" s="78">
        <f t="shared" si="82"/>
        <v>0</v>
      </c>
    </row>
    <row r="4999" spans="39:45">
      <c r="AM4999" s="55">
        <v>2019</v>
      </c>
      <c r="AN4999" s="55" t="s">
        <v>188</v>
      </c>
      <c r="AO4999" s="55">
        <v>28</v>
      </c>
      <c r="AP4999" s="55">
        <v>5</v>
      </c>
      <c r="AQ4999" s="55">
        <v>94.5</v>
      </c>
      <c r="AR4999" s="55">
        <v>28500</v>
      </c>
      <c r="AS4999" s="78">
        <f t="shared" si="82"/>
        <v>3.3157894736842103E-3</v>
      </c>
    </row>
    <row r="5000" spans="39:45">
      <c r="AM5000" s="54">
        <v>2019</v>
      </c>
      <c r="AN5000" s="54" t="s">
        <v>188</v>
      </c>
      <c r="AO5000" s="54">
        <v>28</v>
      </c>
      <c r="AP5000" s="54">
        <v>6</v>
      </c>
      <c r="AQ5000" s="54">
        <v>1247</v>
      </c>
      <c r="AR5000" s="55">
        <v>28500</v>
      </c>
      <c r="AS5000" s="78">
        <f t="shared" si="82"/>
        <v>4.3754385964912282E-2</v>
      </c>
    </row>
    <row r="5001" spans="39:45">
      <c r="AM5001" s="55">
        <v>2019</v>
      </c>
      <c r="AN5001" s="55" t="s">
        <v>188</v>
      </c>
      <c r="AO5001" s="55">
        <v>28</v>
      </c>
      <c r="AP5001" s="55">
        <v>7</v>
      </c>
      <c r="AQ5001" s="55">
        <v>3443</v>
      </c>
      <c r="AR5001" s="55">
        <v>28500</v>
      </c>
      <c r="AS5001" s="78">
        <f t="shared" si="82"/>
        <v>0.12080701754385965</v>
      </c>
    </row>
    <row r="5002" spans="39:45">
      <c r="AM5002" s="54">
        <v>2019</v>
      </c>
      <c r="AN5002" s="54" t="s">
        <v>188</v>
      </c>
      <c r="AO5002" s="54">
        <v>28</v>
      </c>
      <c r="AP5002" s="54">
        <v>8</v>
      </c>
      <c r="AQ5002" s="54">
        <v>5317</v>
      </c>
      <c r="AR5002" s="55">
        <v>28500</v>
      </c>
      <c r="AS5002" s="78">
        <f t="shared" si="82"/>
        <v>0.18656140350877193</v>
      </c>
    </row>
    <row r="5003" spans="39:45">
      <c r="AM5003" s="55">
        <v>2019</v>
      </c>
      <c r="AN5003" s="55" t="s">
        <v>188</v>
      </c>
      <c r="AO5003" s="55">
        <v>28</v>
      </c>
      <c r="AP5003" s="55">
        <v>9</v>
      </c>
      <c r="AQ5003" s="55">
        <v>7164.5</v>
      </c>
      <c r="AR5003" s="55">
        <v>28500</v>
      </c>
      <c r="AS5003" s="78">
        <f t="shared" si="82"/>
        <v>0.25138596491228071</v>
      </c>
    </row>
    <row r="5004" spans="39:45">
      <c r="AM5004" s="54">
        <v>2019</v>
      </c>
      <c r="AN5004" s="54" t="s">
        <v>188</v>
      </c>
      <c r="AO5004" s="54">
        <v>28</v>
      </c>
      <c r="AP5004" s="54">
        <v>10</v>
      </c>
      <c r="AQ5004" s="54">
        <v>5870</v>
      </c>
      <c r="AR5004" s="55">
        <v>28500</v>
      </c>
      <c r="AS5004" s="78">
        <f t="shared" si="82"/>
        <v>0.20596491228070177</v>
      </c>
    </row>
    <row r="5005" spans="39:45">
      <c r="AM5005" s="55">
        <v>2019</v>
      </c>
      <c r="AN5005" s="55" t="s">
        <v>188</v>
      </c>
      <c r="AO5005" s="55">
        <v>28</v>
      </c>
      <c r="AP5005" s="55">
        <v>11</v>
      </c>
      <c r="AQ5005" s="55">
        <v>9020</v>
      </c>
      <c r="AR5005" s="55">
        <v>28500</v>
      </c>
      <c r="AS5005" s="78">
        <f t="shared" si="82"/>
        <v>0.31649122807017543</v>
      </c>
    </row>
    <row r="5006" spans="39:45">
      <c r="AM5006" s="54">
        <v>2019</v>
      </c>
      <c r="AN5006" s="54" t="s">
        <v>188</v>
      </c>
      <c r="AO5006" s="54">
        <v>28</v>
      </c>
      <c r="AP5006" s="54">
        <v>12</v>
      </c>
      <c r="AQ5006" s="54">
        <v>11457.5</v>
      </c>
      <c r="AR5006" s="55">
        <v>28500</v>
      </c>
      <c r="AS5006" s="78">
        <f t="shared" si="82"/>
        <v>0.40201754385964911</v>
      </c>
    </row>
    <row r="5007" spans="39:45">
      <c r="AM5007" s="55">
        <v>2019</v>
      </c>
      <c r="AN5007" s="55" t="s">
        <v>188</v>
      </c>
      <c r="AO5007" s="55">
        <v>28</v>
      </c>
      <c r="AP5007" s="55">
        <v>13</v>
      </c>
      <c r="AQ5007" s="55">
        <v>24486.5</v>
      </c>
      <c r="AR5007" s="55">
        <v>28500</v>
      </c>
      <c r="AS5007" s="78">
        <f t="shared" si="82"/>
        <v>0.85917543859649126</v>
      </c>
    </row>
    <row r="5008" spans="39:45">
      <c r="AM5008" s="54">
        <v>2019</v>
      </c>
      <c r="AN5008" s="54" t="s">
        <v>188</v>
      </c>
      <c r="AO5008" s="54">
        <v>28</v>
      </c>
      <c r="AP5008" s="54">
        <v>14</v>
      </c>
      <c r="AQ5008" s="54">
        <v>21972.5</v>
      </c>
      <c r="AR5008" s="55">
        <v>28500</v>
      </c>
      <c r="AS5008" s="78">
        <f t="shared" si="82"/>
        <v>0.77096491228070174</v>
      </c>
    </row>
    <row r="5009" spans="39:45">
      <c r="AM5009" s="55">
        <v>2019</v>
      </c>
      <c r="AN5009" s="55" t="s">
        <v>188</v>
      </c>
      <c r="AO5009" s="55">
        <v>28</v>
      </c>
      <c r="AP5009" s="55">
        <v>15</v>
      </c>
      <c r="AQ5009" s="55">
        <v>7882</v>
      </c>
      <c r="AR5009" s="55">
        <v>28500</v>
      </c>
      <c r="AS5009" s="78">
        <f t="shared" si="82"/>
        <v>0.27656140350877195</v>
      </c>
    </row>
    <row r="5010" spans="39:45">
      <c r="AM5010" s="54">
        <v>2019</v>
      </c>
      <c r="AN5010" s="54" t="s">
        <v>188</v>
      </c>
      <c r="AO5010" s="54">
        <v>28</v>
      </c>
      <c r="AP5010" s="54">
        <v>16</v>
      </c>
      <c r="AQ5010" s="54">
        <v>9248</v>
      </c>
      <c r="AR5010" s="55">
        <v>28500</v>
      </c>
      <c r="AS5010" s="78">
        <f t="shared" si="82"/>
        <v>0.32449122807017544</v>
      </c>
    </row>
    <row r="5011" spans="39:45">
      <c r="AM5011" s="55">
        <v>2019</v>
      </c>
      <c r="AN5011" s="55" t="s">
        <v>188</v>
      </c>
      <c r="AO5011" s="55">
        <v>28</v>
      </c>
      <c r="AP5011" s="55">
        <v>17</v>
      </c>
      <c r="AQ5011" s="55">
        <v>7627</v>
      </c>
      <c r="AR5011" s="55">
        <v>28500</v>
      </c>
      <c r="AS5011" s="78">
        <f t="shared" si="82"/>
        <v>0.2676140350877193</v>
      </c>
    </row>
    <row r="5012" spans="39:45">
      <c r="AM5012" s="54">
        <v>2019</v>
      </c>
      <c r="AN5012" s="54" t="s">
        <v>188</v>
      </c>
      <c r="AO5012" s="54">
        <v>28</v>
      </c>
      <c r="AP5012" s="54">
        <v>18</v>
      </c>
      <c r="AQ5012" s="54">
        <v>2734.5</v>
      </c>
      <c r="AR5012" s="55">
        <v>28500</v>
      </c>
      <c r="AS5012" s="78">
        <f t="shared" si="82"/>
        <v>9.5947368421052628E-2</v>
      </c>
    </row>
    <row r="5013" spans="39:45">
      <c r="AM5013" s="55">
        <v>2019</v>
      </c>
      <c r="AN5013" s="55" t="s">
        <v>188</v>
      </c>
      <c r="AO5013" s="55">
        <v>28</v>
      </c>
      <c r="AP5013" s="55">
        <v>19</v>
      </c>
      <c r="AQ5013" s="55">
        <v>482</v>
      </c>
      <c r="AR5013" s="55">
        <v>28500</v>
      </c>
      <c r="AS5013" s="78">
        <f t="shared" si="82"/>
        <v>1.6912280701754386E-2</v>
      </c>
    </row>
    <row r="5014" spans="39:45">
      <c r="AM5014" s="54">
        <v>2019</v>
      </c>
      <c r="AN5014" s="54" t="s">
        <v>188</v>
      </c>
      <c r="AO5014" s="54">
        <v>28</v>
      </c>
      <c r="AP5014" s="54">
        <v>20</v>
      </c>
      <c r="AQ5014" s="54">
        <v>0</v>
      </c>
      <c r="AR5014" s="55">
        <v>28500</v>
      </c>
      <c r="AS5014" s="78">
        <f t="shared" si="82"/>
        <v>0</v>
      </c>
    </row>
    <row r="5015" spans="39:45">
      <c r="AM5015" s="55">
        <v>2019</v>
      </c>
      <c r="AN5015" s="55" t="s">
        <v>188</v>
      </c>
      <c r="AO5015" s="55">
        <v>28</v>
      </c>
      <c r="AP5015" s="55">
        <v>21</v>
      </c>
      <c r="AQ5015" s="55">
        <v>0</v>
      </c>
      <c r="AR5015" s="55">
        <v>28500</v>
      </c>
      <c r="AS5015" s="78">
        <f t="shared" si="82"/>
        <v>0</v>
      </c>
    </row>
    <row r="5016" spans="39:45">
      <c r="AM5016" s="54">
        <v>2019</v>
      </c>
      <c r="AN5016" s="54" t="s">
        <v>188</v>
      </c>
      <c r="AO5016" s="54">
        <v>28</v>
      </c>
      <c r="AP5016" s="54">
        <v>22</v>
      </c>
      <c r="AQ5016" s="54">
        <v>0</v>
      </c>
      <c r="AR5016" s="55">
        <v>28500</v>
      </c>
      <c r="AS5016" s="78">
        <f t="shared" si="82"/>
        <v>0</v>
      </c>
    </row>
    <row r="5017" spans="39:45">
      <c r="AM5017" s="55">
        <v>2019</v>
      </c>
      <c r="AN5017" s="55" t="s">
        <v>188</v>
      </c>
      <c r="AO5017" s="55">
        <v>28</v>
      </c>
      <c r="AP5017" s="55">
        <v>23</v>
      </c>
      <c r="AQ5017" s="55">
        <v>0</v>
      </c>
      <c r="AR5017" s="55">
        <v>28500</v>
      </c>
      <c r="AS5017" s="78">
        <f t="shared" si="82"/>
        <v>0</v>
      </c>
    </row>
    <row r="5018" spans="39:45">
      <c r="AM5018" s="54">
        <v>2019</v>
      </c>
      <c r="AN5018" s="54" t="s">
        <v>188</v>
      </c>
      <c r="AO5018" s="54">
        <v>29</v>
      </c>
      <c r="AP5018" s="54">
        <v>24</v>
      </c>
      <c r="AQ5018" s="54">
        <v>0</v>
      </c>
      <c r="AR5018" s="55">
        <v>28500</v>
      </c>
      <c r="AS5018" s="78">
        <f t="shared" si="82"/>
        <v>0</v>
      </c>
    </row>
    <row r="5019" spans="39:45">
      <c r="AM5019" s="55">
        <v>2019</v>
      </c>
      <c r="AN5019" s="55" t="s">
        <v>188</v>
      </c>
      <c r="AO5019" s="55">
        <v>29</v>
      </c>
      <c r="AP5019" s="55">
        <v>1</v>
      </c>
      <c r="AQ5019" s="55">
        <v>0</v>
      </c>
      <c r="AR5019" s="55">
        <v>28500</v>
      </c>
      <c r="AS5019" s="78">
        <f t="shared" si="82"/>
        <v>0</v>
      </c>
    </row>
    <row r="5020" spans="39:45">
      <c r="AM5020" s="54">
        <v>2019</v>
      </c>
      <c r="AN5020" s="54" t="s">
        <v>188</v>
      </c>
      <c r="AO5020" s="54">
        <v>29</v>
      </c>
      <c r="AP5020" s="54">
        <v>2</v>
      </c>
      <c r="AQ5020" s="54">
        <v>0</v>
      </c>
      <c r="AR5020" s="55">
        <v>28500</v>
      </c>
      <c r="AS5020" s="78">
        <f t="shared" si="82"/>
        <v>0</v>
      </c>
    </row>
    <row r="5021" spans="39:45">
      <c r="AM5021" s="55">
        <v>2019</v>
      </c>
      <c r="AN5021" s="55" t="s">
        <v>188</v>
      </c>
      <c r="AO5021" s="55">
        <v>29</v>
      </c>
      <c r="AP5021" s="55">
        <v>3</v>
      </c>
      <c r="AQ5021" s="55">
        <v>0</v>
      </c>
      <c r="AR5021" s="55">
        <v>28500</v>
      </c>
      <c r="AS5021" s="78">
        <f t="shared" si="82"/>
        <v>0</v>
      </c>
    </row>
    <row r="5022" spans="39:45">
      <c r="AM5022" s="54">
        <v>2019</v>
      </c>
      <c r="AN5022" s="54" t="s">
        <v>188</v>
      </c>
      <c r="AO5022" s="54">
        <v>29</v>
      </c>
      <c r="AP5022" s="54">
        <v>4</v>
      </c>
      <c r="AQ5022" s="54">
        <v>0</v>
      </c>
      <c r="AR5022" s="55">
        <v>28500</v>
      </c>
      <c r="AS5022" s="78">
        <f t="shared" si="82"/>
        <v>0</v>
      </c>
    </row>
    <row r="5023" spans="39:45">
      <c r="AM5023" s="55">
        <v>2019</v>
      </c>
      <c r="AN5023" s="55" t="s">
        <v>188</v>
      </c>
      <c r="AO5023" s="55">
        <v>29</v>
      </c>
      <c r="AP5023" s="55">
        <v>5</v>
      </c>
      <c r="AQ5023" s="55">
        <v>825</v>
      </c>
      <c r="AR5023" s="55">
        <v>28500</v>
      </c>
      <c r="AS5023" s="78">
        <f t="shared" si="82"/>
        <v>2.8947368421052631E-2</v>
      </c>
    </row>
    <row r="5024" spans="39:45">
      <c r="AM5024" s="54">
        <v>2019</v>
      </c>
      <c r="AN5024" s="54" t="s">
        <v>188</v>
      </c>
      <c r="AO5024" s="54">
        <v>29</v>
      </c>
      <c r="AP5024" s="54">
        <v>6</v>
      </c>
      <c r="AQ5024" s="54">
        <v>2742.5</v>
      </c>
      <c r="AR5024" s="55">
        <v>28500</v>
      </c>
      <c r="AS5024" s="78">
        <f t="shared" si="82"/>
        <v>9.6228070175438593E-2</v>
      </c>
    </row>
    <row r="5025" spans="39:45">
      <c r="AM5025" s="55">
        <v>2019</v>
      </c>
      <c r="AN5025" s="55" t="s">
        <v>188</v>
      </c>
      <c r="AO5025" s="55">
        <v>29</v>
      </c>
      <c r="AP5025" s="55">
        <v>7</v>
      </c>
      <c r="AQ5025" s="55">
        <v>11565.5</v>
      </c>
      <c r="AR5025" s="55">
        <v>28500</v>
      </c>
      <c r="AS5025" s="78">
        <f t="shared" si="82"/>
        <v>0.40580701754385967</v>
      </c>
    </row>
    <row r="5026" spans="39:45">
      <c r="AM5026" s="54">
        <v>2019</v>
      </c>
      <c r="AN5026" s="54" t="s">
        <v>188</v>
      </c>
      <c r="AO5026" s="54">
        <v>29</v>
      </c>
      <c r="AP5026" s="54">
        <v>8</v>
      </c>
      <c r="AQ5026" s="54">
        <v>21206</v>
      </c>
      <c r="AR5026" s="55">
        <v>28500</v>
      </c>
      <c r="AS5026" s="78">
        <f t="shared" si="82"/>
        <v>0.74407017543859644</v>
      </c>
    </row>
    <row r="5027" spans="39:45">
      <c r="AM5027" s="55">
        <v>2019</v>
      </c>
      <c r="AN5027" s="55" t="s">
        <v>188</v>
      </c>
      <c r="AO5027" s="55">
        <v>29</v>
      </c>
      <c r="AP5027" s="55">
        <v>9</v>
      </c>
      <c r="AQ5027" s="55">
        <v>29129.5</v>
      </c>
      <c r="AR5027" s="55">
        <v>28500</v>
      </c>
      <c r="AS5027" s="78">
        <f t="shared" si="82"/>
        <v>1.0220877192982456</v>
      </c>
    </row>
    <row r="5028" spans="39:45">
      <c r="AM5028" s="54">
        <v>2019</v>
      </c>
      <c r="AN5028" s="54" t="s">
        <v>188</v>
      </c>
      <c r="AO5028" s="54">
        <v>29</v>
      </c>
      <c r="AP5028" s="54">
        <v>10</v>
      </c>
      <c r="AQ5028" s="54">
        <v>34371.5</v>
      </c>
      <c r="AR5028" s="55">
        <v>28500</v>
      </c>
      <c r="AS5028" s="78">
        <f t="shared" si="82"/>
        <v>1.2060175438596492</v>
      </c>
    </row>
    <row r="5029" spans="39:45">
      <c r="AM5029" s="55">
        <v>2019</v>
      </c>
      <c r="AN5029" s="55" t="s">
        <v>188</v>
      </c>
      <c r="AO5029" s="55">
        <v>29</v>
      </c>
      <c r="AP5029" s="55">
        <v>11</v>
      </c>
      <c r="AQ5029" s="55">
        <v>37077</v>
      </c>
      <c r="AR5029" s="55">
        <v>28500</v>
      </c>
      <c r="AS5029" s="78">
        <f t="shared" si="82"/>
        <v>1.3009473684210526</v>
      </c>
    </row>
    <row r="5030" spans="39:45">
      <c r="AM5030" s="54">
        <v>2019</v>
      </c>
      <c r="AN5030" s="54" t="s">
        <v>188</v>
      </c>
      <c r="AO5030" s="54">
        <v>29</v>
      </c>
      <c r="AP5030" s="54">
        <v>12</v>
      </c>
      <c r="AQ5030" s="54">
        <v>33278</v>
      </c>
      <c r="AR5030" s="55">
        <v>28500</v>
      </c>
      <c r="AS5030" s="78">
        <f t="shared" si="82"/>
        <v>1.1676491228070176</v>
      </c>
    </row>
    <row r="5031" spans="39:45">
      <c r="AM5031" s="55">
        <v>2019</v>
      </c>
      <c r="AN5031" s="55" t="s">
        <v>188</v>
      </c>
      <c r="AO5031" s="55">
        <v>29</v>
      </c>
      <c r="AP5031" s="55">
        <v>13</v>
      </c>
      <c r="AQ5031" s="55">
        <v>35267.5</v>
      </c>
      <c r="AR5031" s="55">
        <v>28500</v>
      </c>
      <c r="AS5031" s="78">
        <f t="shared" si="82"/>
        <v>1.2374561403508773</v>
      </c>
    </row>
    <row r="5032" spans="39:45">
      <c r="AM5032" s="54">
        <v>2019</v>
      </c>
      <c r="AN5032" s="54" t="s">
        <v>188</v>
      </c>
      <c r="AO5032" s="54">
        <v>29</v>
      </c>
      <c r="AP5032" s="54">
        <v>14</v>
      </c>
      <c r="AQ5032" s="54">
        <v>34289</v>
      </c>
      <c r="AR5032" s="55">
        <v>28500</v>
      </c>
      <c r="AS5032" s="78">
        <f t="shared" si="82"/>
        <v>1.2031228070175439</v>
      </c>
    </row>
    <row r="5033" spans="39:45">
      <c r="AM5033" s="55">
        <v>2019</v>
      </c>
      <c r="AN5033" s="55" t="s">
        <v>188</v>
      </c>
      <c r="AO5033" s="55">
        <v>29</v>
      </c>
      <c r="AP5033" s="55">
        <v>15</v>
      </c>
      <c r="AQ5033" s="55">
        <v>26796.5</v>
      </c>
      <c r="AR5033" s="55">
        <v>28500</v>
      </c>
      <c r="AS5033" s="78">
        <f t="shared" si="82"/>
        <v>0.94022807017543863</v>
      </c>
    </row>
    <row r="5034" spans="39:45">
      <c r="AM5034" s="54">
        <v>2019</v>
      </c>
      <c r="AN5034" s="54" t="s">
        <v>188</v>
      </c>
      <c r="AO5034" s="54">
        <v>29</v>
      </c>
      <c r="AP5034" s="54">
        <v>16</v>
      </c>
      <c r="AQ5034" s="54">
        <v>14698.5</v>
      </c>
      <c r="AR5034" s="55">
        <v>28500</v>
      </c>
      <c r="AS5034" s="78">
        <f t="shared" si="82"/>
        <v>0.51573684210526316</v>
      </c>
    </row>
    <row r="5035" spans="39:45">
      <c r="AM5035" s="55">
        <v>2019</v>
      </c>
      <c r="AN5035" s="55" t="s">
        <v>188</v>
      </c>
      <c r="AO5035" s="55">
        <v>29</v>
      </c>
      <c r="AP5035" s="55">
        <v>17</v>
      </c>
      <c r="AQ5035" s="55">
        <v>9597</v>
      </c>
      <c r="AR5035" s="55">
        <v>28500</v>
      </c>
      <c r="AS5035" s="78">
        <f t="shared" si="82"/>
        <v>0.33673684210526317</v>
      </c>
    </row>
    <row r="5036" spans="39:45">
      <c r="AM5036" s="54">
        <v>2019</v>
      </c>
      <c r="AN5036" s="54" t="s">
        <v>188</v>
      </c>
      <c r="AO5036" s="54">
        <v>29</v>
      </c>
      <c r="AP5036" s="54">
        <v>18</v>
      </c>
      <c r="AQ5036" s="54">
        <v>2545.5</v>
      </c>
      <c r="AR5036" s="55">
        <v>28500</v>
      </c>
      <c r="AS5036" s="78">
        <f t="shared" si="82"/>
        <v>8.931578947368421E-2</v>
      </c>
    </row>
    <row r="5037" spans="39:45">
      <c r="AM5037" s="55">
        <v>2019</v>
      </c>
      <c r="AN5037" s="55" t="s">
        <v>188</v>
      </c>
      <c r="AO5037" s="55">
        <v>29</v>
      </c>
      <c r="AP5037" s="55">
        <v>19</v>
      </c>
      <c r="AQ5037" s="55">
        <v>560</v>
      </c>
      <c r="AR5037" s="55">
        <v>28500</v>
      </c>
      <c r="AS5037" s="78">
        <f t="shared" si="82"/>
        <v>1.9649122807017545E-2</v>
      </c>
    </row>
    <row r="5038" spans="39:45">
      <c r="AM5038" s="54">
        <v>2019</v>
      </c>
      <c r="AN5038" s="54" t="s">
        <v>188</v>
      </c>
      <c r="AO5038" s="54">
        <v>29</v>
      </c>
      <c r="AP5038" s="54">
        <v>20</v>
      </c>
      <c r="AQ5038" s="54">
        <v>0</v>
      </c>
      <c r="AR5038" s="55">
        <v>28500</v>
      </c>
      <c r="AS5038" s="78">
        <f t="shared" si="82"/>
        <v>0</v>
      </c>
    </row>
    <row r="5039" spans="39:45">
      <c r="AM5039" s="55">
        <v>2019</v>
      </c>
      <c r="AN5039" s="55" t="s">
        <v>188</v>
      </c>
      <c r="AO5039" s="55">
        <v>29</v>
      </c>
      <c r="AP5039" s="55">
        <v>21</v>
      </c>
      <c r="AQ5039" s="55">
        <v>0</v>
      </c>
      <c r="AR5039" s="55">
        <v>28500</v>
      </c>
      <c r="AS5039" s="78">
        <f t="shared" si="82"/>
        <v>0</v>
      </c>
    </row>
    <row r="5040" spans="39:45">
      <c r="AM5040" s="54">
        <v>2019</v>
      </c>
      <c r="AN5040" s="54" t="s">
        <v>188</v>
      </c>
      <c r="AO5040" s="54">
        <v>29</v>
      </c>
      <c r="AP5040" s="54">
        <v>22</v>
      </c>
      <c r="AQ5040" s="54">
        <v>0</v>
      </c>
      <c r="AR5040" s="55">
        <v>28500</v>
      </c>
      <c r="AS5040" s="78">
        <f t="shared" si="82"/>
        <v>0</v>
      </c>
    </row>
    <row r="5041" spans="39:45">
      <c r="AM5041" s="55">
        <v>2019</v>
      </c>
      <c r="AN5041" s="55" t="s">
        <v>188</v>
      </c>
      <c r="AO5041" s="55">
        <v>29</v>
      </c>
      <c r="AP5041" s="55">
        <v>23</v>
      </c>
      <c r="AQ5041" s="55">
        <v>0</v>
      </c>
      <c r="AR5041" s="55">
        <v>28500</v>
      </c>
      <c r="AS5041" s="78">
        <f t="shared" si="82"/>
        <v>0</v>
      </c>
    </row>
    <row r="5042" spans="39:45">
      <c r="AM5042" s="54">
        <v>2019</v>
      </c>
      <c r="AN5042" s="54" t="s">
        <v>188</v>
      </c>
      <c r="AO5042" s="54">
        <v>30</v>
      </c>
      <c r="AP5042" s="54">
        <v>24</v>
      </c>
      <c r="AQ5042" s="54">
        <v>0</v>
      </c>
      <c r="AR5042" s="55">
        <v>28500</v>
      </c>
      <c r="AS5042" s="78">
        <f t="shared" si="82"/>
        <v>0</v>
      </c>
    </row>
    <row r="5043" spans="39:45">
      <c r="AM5043" s="55">
        <v>2019</v>
      </c>
      <c r="AN5043" s="55" t="s">
        <v>188</v>
      </c>
      <c r="AO5043" s="55">
        <v>30</v>
      </c>
      <c r="AP5043" s="55">
        <v>1</v>
      </c>
      <c r="AQ5043" s="55">
        <v>0</v>
      </c>
      <c r="AR5043" s="55">
        <v>28500</v>
      </c>
      <c r="AS5043" s="78">
        <f t="shared" si="82"/>
        <v>0</v>
      </c>
    </row>
    <row r="5044" spans="39:45">
      <c r="AM5044" s="54">
        <v>2019</v>
      </c>
      <c r="AN5044" s="54" t="s">
        <v>188</v>
      </c>
      <c r="AO5044" s="54">
        <v>30</v>
      </c>
      <c r="AP5044" s="54">
        <v>2</v>
      </c>
      <c r="AQ5044" s="54">
        <v>0</v>
      </c>
      <c r="AR5044" s="55">
        <v>28500</v>
      </c>
      <c r="AS5044" s="78">
        <f t="shared" si="82"/>
        <v>0</v>
      </c>
    </row>
    <row r="5045" spans="39:45">
      <c r="AM5045" s="55">
        <v>2019</v>
      </c>
      <c r="AN5045" s="55" t="s">
        <v>188</v>
      </c>
      <c r="AO5045" s="55">
        <v>30</v>
      </c>
      <c r="AP5045" s="55">
        <v>3</v>
      </c>
      <c r="AQ5045" s="55">
        <v>0</v>
      </c>
      <c r="AR5045" s="55">
        <v>28500</v>
      </c>
      <c r="AS5045" s="78">
        <f t="shared" si="82"/>
        <v>0</v>
      </c>
    </row>
    <row r="5046" spans="39:45">
      <c r="AM5046" s="54">
        <v>2019</v>
      </c>
      <c r="AN5046" s="54" t="s">
        <v>188</v>
      </c>
      <c r="AO5046" s="54">
        <v>30</v>
      </c>
      <c r="AP5046" s="54">
        <v>4</v>
      </c>
      <c r="AQ5046" s="54">
        <v>0</v>
      </c>
      <c r="AR5046" s="55">
        <v>28500</v>
      </c>
      <c r="AS5046" s="78">
        <f t="shared" si="82"/>
        <v>0</v>
      </c>
    </row>
    <row r="5047" spans="39:45">
      <c r="AM5047" s="55">
        <v>2019</v>
      </c>
      <c r="AN5047" s="55" t="s">
        <v>188</v>
      </c>
      <c r="AO5047" s="55">
        <v>30</v>
      </c>
      <c r="AP5047" s="55">
        <v>5</v>
      </c>
      <c r="AQ5047" s="55">
        <v>811</v>
      </c>
      <c r="AR5047" s="55">
        <v>28500</v>
      </c>
      <c r="AS5047" s="78">
        <f t="shared" si="82"/>
        <v>2.8456140350877193E-2</v>
      </c>
    </row>
    <row r="5048" spans="39:45">
      <c r="AM5048" s="54">
        <v>2019</v>
      </c>
      <c r="AN5048" s="54" t="s">
        <v>188</v>
      </c>
      <c r="AO5048" s="54">
        <v>30</v>
      </c>
      <c r="AP5048" s="54">
        <v>6</v>
      </c>
      <c r="AQ5048" s="54">
        <v>3430</v>
      </c>
      <c r="AR5048" s="55">
        <v>28500</v>
      </c>
      <c r="AS5048" s="78">
        <f t="shared" si="82"/>
        <v>0.12035087719298246</v>
      </c>
    </row>
    <row r="5049" spans="39:45">
      <c r="AM5049" s="55">
        <v>2019</v>
      </c>
      <c r="AN5049" s="55" t="s">
        <v>188</v>
      </c>
      <c r="AO5049" s="55">
        <v>30</v>
      </c>
      <c r="AP5049" s="55">
        <v>7</v>
      </c>
      <c r="AQ5049" s="55">
        <v>7539</v>
      </c>
      <c r="AR5049" s="55">
        <v>28500</v>
      </c>
      <c r="AS5049" s="78">
        <f t="shared" si="82"/>
        <v>0.26452631578947366</v>
      </c>
    </row>
    <row r="5050" spans="39:45">
      <c r="AM5050" s="54">
        <v>2019</v>
      </c>
      <c r="AN5050" s="54" t="s">
        <v>188</v>
      </c>
      <c r="AO5050" s="54">
        <v>30</v>
      </c>
      <c r="AP5050" s="54">
        <v>8</v>
      </c>
      <c r="AQ5050" s="54">
        <v>5496</v>
      </c>
      <c r="AR5050" s="55">
        <v>28500</v>
      </c>
      <c r="AS5050" s="78">
        <f t="shared" si="82"/>
        <v>0.1928421052631579</v>
      </c>
    </row>
    <row r="5051" spans="39:45">
      <c r="AM5051" s="55">
        <v>2019</v>
      </c>
      <c r="AN5051" s="55" t="s">
        <v>188</v>
      </c>
      <c r="AO5051" s="55">
        <v>30</v>
      </c>
      <c r="AP5051" s="55">
        <v>9</v>
      </c>
      <c r="AQ5051" s="55">
        <v>3769.5</v>
      </c>
      <c r="AR5051" s="55">
        <v>28500</v>
      </c>
      <c r="AS5051" s="78">
        <f t="shared" si="82"/>
        <v>0.13226315789473683</v>
      </c>
    </row>
    <row r="5052" spans="39:45">
      <c r="AM5052" s="54">
        <v>2019</v>
      </c>
      <c r="AN5052" s="54" t="s">
        <v>188</v>
      </c>
      <c r="AO5052" s="54">
        <v>30</v>
      </c>
      <c r="AP5052" s="54">
        <v>10</v>
      </c>
      <c r="AQ5052" s="54">
        <v>3739</v>
      </c>
      <c r="AR5052" s="55">
        <v>28500</v>
      </c>
      <c r="AS5052" s="78">
        <f t="shared" si="82"/>
        <v>0.13119298245614036</v>
      </c>
    </row>
    <row r="5053" spans="39:45">
      <c r="AM5053" s="55">
        <v>2019</v>
      </c>
      <c r="AN5053" s="55" t="s">
        <v>188</v>
      </c>
      <c r="AO5053" s="55">
        <v>30</v>
      </c>
      <c r="AP5053" s="55">
        <v>11</v>
      </c>
      <c r="AQ5053" s="55">
        <v>3095</v>
      </c>
      <c r="AR5053" s="55">
        <v>28500</v>
      </c>
      <c r="AS5053" s="78">
        <f t="shared" si="82"/>
        <v>0.10859649122807018</v>
      </c>
    </row>
    <row r="5054" spans="39:45">
      <c r="AM5054" s="54">
        <v>2019</v>
      </c>
      <c r="AN5054" s="54" t="s">
        <v>188</v>
      </c>
      <c r="AO5054" s="54">
        <v>30</v>
      </c>
      <c r="AP5054" s="54">
        <v>12</v>
      </c>
      <c r="AQ5054" s="54">
        <v>5749</v>
      </c>
      <c r="AR5054" s="55">
        <v>28500</v>
      </c>
      <c r="AS5054" s="78">
        <f t="shared" si="82"/>
        <v>0.20171929824561405</v>
      </c>
    </row>
    <row r="5055" spans="39:45">
      <c r="AM5055" s="55">
        <v>2019</v>
      </c>
      <c r="AN5055" s="55" t="s">
        <v>188</v>
      </c>
      <c r="AO5055" s="55">
        <v>30</v>
      </c>
      <c r="AP5055" s="55">
        <v>13</v>
      </c>
      <c r="AQ5055" s="55">
        <v>4916.5</v>
      </c>
      <c r="AR5055" s="55">
        <v>28500</v>
      </c>
      <c r="AS5055" s="78">
        <f t="shared" si="82"/>
        <v>0.17250877192982456</v>
      </c>
    </row>
    <row r="5056" spans="39:45">
      <c r="AM5056" s="54">
        <v>2019</v>
      </c>
      <c r="AN5056" s="54" t="s">
        <v>188</v>
      </c>
      <c r="AO5056" s="54">
        <v>30</v>
      </c>
      <c r="AP5056" s="54">
        <v>14</v>
      </c>
      <c r="AQ5056" s="54">
        <v>8026</v>
      </c>
      <c r="AR5056" s="55">
        <v>28500</v>
      </c>
      <c r="AS5056" s="78">
        <f t="shared" si="82"/>
        <v>0.28161403508771932</v>
      </c>
    </row>
    <row r="5057" spans="39:45">
      <c r="AM5057" s="55">
        <v>2019</v>
      </c>
      <c r="AN5057" s="55" t="s">
        <v>188</v>
      </c>
      <c r="AO5057" s="55">
        <v>30</v>
      </c>
      <c r="AP5057" s="55">
        <v>15</v>
      </c>
      <c r="AQ5057" s="55">
        <v>5885.5</v>
      </c>
      <c r="AR5057" s="55">
        <v>28500</v>
      </c>
      <c r="AS5057" s="78">
        <f t="shared" si="82"/>
        <v>0.20650877192982456</v>
      </c>
    </row>
    <row r="5058" spans="39:45">
      <c r="AM5058" s="54">
        <v>2019</v>
      </c>
      <c r="AN5058" s="54" t="s">
        <v>188</v>
      </c>
      <c r="AO5058" s="54">
        <v>30</v>
      </c>
      <c r="AP5058" s="54">
        <v>16</v>
      </c>
      <c r="AQ5058" s="54">
        <v>4118</v>
      </c>
      <c r="AR5058" s="55">
        <v>28500</v>
      </c>
      <c r="AS5058" s="78">
        <f t="shared" ref="AS5058:AS5121" si="83">AQ5058/AR5058</f>
        <v>0.14449122807017545</v>
      </c>
    </row>
    <row r="5059" spans="39:45">
      <c r="AM5059" s="55">
        <v>2019</v>
      </c>
      <c r="AN5059" s="55" t="s">
        <v>188</v>
      </c>
      <c r="AO5059" s="55">
        <v>30</v>
      </c>
      <c r="AP5059" s="55">
        <v>17</v>
      </c>
      <c r="AQ5059" s="55">
        <v>7344.5</v>
      </c>
      <c r="AR5059" s="55">
        <v>28500</v>
      </c>
      <c r="AS5059" s="78">
        <f t="shared" si="83"/>
        <v>0.25770175438596493</v>
      </c>
    </row>
    <row r="5060" spans="39:45">
      <c r="AM5060" s="54">
        <v>2019</v>
      </c>
      <c r="AN5060" s="54" t="s">
        <v>188</v>
      </c>
      <c r="AO5060" s="54">
        <v>30</v>
      </c>
      <c r="AP5060" s="54">
        <v>18</v>
      </c>
      <c r="AQ5060" s="54">
        <v>2645</v>
      </c>
      <c r="AR5060" s="55">
        <v>28500</v>
      </c>
      <c r="AS5060" s="78">
        <f t="shared" si="83"/>
        <v>9.2807017543859643E-2</v>
      </c>
    </row>
    <row r="5061" spans="39:45">
      <c r="AM5061" s="55">
        <v>2019</v>
      </c>
      <c r="AN5061" s="55" t="s">
        <v>188</v>
      </c>
      <c r="AO5061" s="55">
        <v>30</v>
      </c>
      <c r="AP5061" s="55">
        <v>19</v>
      </c>
      <c r="AQ5061" s="55">
        <v>462</v>
      </c>
      <c r="AR5061" s="55">
        <v>28500</v>
      </c>
      <c r="AS5061" s="78">
        <f t="shared" si="83"/>
        <v>1.6210526315789474E-2</v>
      </c>
    </row>
    <row r="5062" spans="39:45">
      <c r="AM5062" s="54">
        <v>2019</v>
      </c>
      <c r="AN5062" s="54" t="s">
        <v>188</v>
      </c>
      <c r="AO5062" s="54">
        <v>30</v>
      </c>
      <c r="AP5062" s="54">
        <v>20</v>
      </c>
      <c r="AQ5062" s="54">
        <v>0</v>
      </c>
      <c r="AR5062" s="55">
        <v>28500</v>
      </c>
      <c r="AS5062" s="78">
        <f t="shared" si="83"/>
        <v>0</v>
      </c>
    </row>
    <row r="5063" spans="39:45">
      <c r="AM5063" s="55">
        <v>2019</v>
      </c>
      <c r="AN5063" s="55" t="s">
        <v>188</v>
      </c>
      <c r="AO5063" s="55">
        <v>30</v>
      </c>
      <c r="AP5063" s="55">
        <v>21</v>
      </c>
      <c r="AQ5063" s="55">
        <v>0</v>
      </c>
      <c r="AR5063" s="55">
        <v>28500</v>
      </c>
      <c r="AS5063" s="78">
        <f t="shared" si="83"/>
        <v>0</v>
      </c>
    </row>
    <row r="5064" spans="39:45">
      <c r="AM5064" s="54">
        <v>2019</v>
      </c>
      <c r="AN5064" s="54" t="s">
        <v>188</v>
      </c>
      <c r="AO5064" s="54">
        <v>30</v>
      </c>
      <c r="AP5064" s="54">
        <v>22</v>
      </c>
      <c r="AQ5064" s="54">
        <v>0</v>
      </c>
      <c r="AR5064" s="55">
        <v>28500</v>
      </c>
      <c r="AS5064" s="78">
        <f t="shared" si="83"/>
        <v>0</v>
      </c>
    </row>
    <row r="5065" spans="39:45">
      <c r="AM5065" s="55">
        <v>2019</v>
      </c>
      <c r="AN5065" s="55" t="s">
        <v>188</v>
      </c>
      <c r="AO5065" s="55">
        <v>30</v>
      </c>
      <c r="AP5065" s="55">
        <v>23</v>
      </c>
      <c r="AQ5065" s="55">
        <v>0</v>
      </c>
      <c r="AR5065" s="55">
        <v>28500</v>
      </c>
      <c r="AS5065" s="78">
        <f t="shared" si="83"/>
        <v>0</v>
      </c>
    </row>
    <row r="5066" spans="39:45">
      <c r="AM5066" s="54">
        <v>2019</v>
      </c>
      <c r="AN5066" s="54" t="s">
        <v>188</v>
      </c>
      <c r="AO5066" s="54">
        <v>31</v>
      </c>
      <c r="AP5066" s="54">
        <v>24</v>
      </c>
      <c r="AQ5066" s="54">
        <v>0</v>
      </c>
      <c r="AR5066" s="55">
        <v>28500</v>
      </c>
      <c r="AS5066" s="78">
        <f t="shared" si="83"/>
        <v>0</v>
      </c>
    </row>
    <row r="5067" spans="39:45">
      <c r="AM5067" s="55">
        <v>2019</v>
      </c>
      <c r="AN5067" s="55" t="s">
        <v>188</v>
      </c>
      <c r="AO5067" s="55">
        <v>31</v>
      </c>
      <c r="AP5067" s="55">
        <v>1</v>
      </c>
      <c r="AQ5067" s="55">
        <v>0</v>
      </c>
      <c r="AR5067" s="55">
        <v>28500</v>
      </c>
      <c r="AS5067" s="78">
        <f t="shared" si="83"/>
        <v>0</v>
      </c>
    </row>
    <row r="5068" spans="39:45">
      <c r="AM5068" s="54">
        <v>2019</v>
      </c>
      <c r="AN5068" s="54" t="s">
        <v>188</v>
      </c>
      <c r="AO5068" s="54">
        <v>31</v>
      </c>
      <c r="AP5068" s="54">
        <v>2</v>
      </c>
      <c r="AQ5068" s="54">
        <v>0</v>
      </c>
      <c r="AR5068" s="55">
        <v>28500</v>
      </c>
      <c r="AS5068" s="78">
        <f t="shared" si="83"/>
        <v>0</v>
      </c>
    </row>
    <row r="5069" spans="39:45">
      <c r="AM5069" s="55">
        <v>2019</v>
      </c>
      <c r="AN5069" s="55" t="s">
        <v>188</v>
      </c>
      <c r="AO5069" s="55">
        <v>31</v>
      </c>
      <c r="AP5069" s="55">
        <v>3</v>
      </c>
      <c r="AQ5069" s="55">
        <v>0</v>
      </c>
      <c r="AR5069" s="55">
        <v>28500</v>
      </c>
      <c r="AS5069" s="78">
        <f t="shared" si="83"/>
        <v>0</v>
      </c>
    </row>
    <row r="5070" spans="39:45">
      <c r="AM5070" s="54">
        <v>2019</v>
      </c>
      <c r="AN5070" s="54" t="s">
        <v>188</v>
      </c>
      <c r="AO5070" s="54">
        <v>31</v>
      </c>
      <c r="AP5070" s="54">
        <v>4</v>
      </c>
      <c r="AQ5070" s="54">
        <v>0</v>
      </c>
      <c r="AR5070" s="55">
        <v>28500</v>
      </c>
      <c r="AS5070" s="78">
        <f t="shared" si="83"/>
        <v>0</v>
      </c>
    </row>
    <row r="5071" spans="39:45">
      <c r="AM5071" s="55">
        <v>2019</v>
      </c>
      <c r="AN5071" s="55" t="s">
        <v>188</v>
      </c>
      <c r="AO5071" s="55">
        <v>31</v>
      </c>
      <c r="AP5071" s="55">
        <v>5</v>
      </c>
      <c r="AQ5071" s="55">
        <v>182.5</v>
      </c>
      <c r="AR5071" s="55">
        <v>28500</v>
      </c>
      <c r="AS5071" s="78">
        <f t="shared" si="83"/>
        <v>6.4035087719298243E-3</v>
      </c>
    </row>
    <row r="5072" spans="39:45">
      <c r="AM5072" s="54">
        <v>2019</v>
      </c>
      <c r="AN5072" s="54" t="s">
        <v>188</v>
      </c>
      <c r="AO5072" s="54">
        <v>31</v>
      </c>
      <c r="AP5072" s="54">
        <v>6</v>
      </c>
      <c r="AQ5072" s="54">
        <v>1313.5</v>
      </c>
      <c r="AR5072" s="55">
        <v>28500</v>
      </c>
      <c r="AS5072" s="78">
        <f t="shared" si="83"/>
        <v>4.6087719298245615E-2</v>
      </c>
    </row>
    <row r="5073" spans="39:45">
      <c r="AM5073" s="55">
        <v>2019</v>
      </c>
      <c r="AN5073" s="55" t="s">
        <v>188</v>
      </c>
      <c r="AO5073" s="55">
        <v>31</v>
      </c>
      <c r="AP5073" s="55">
        <v>7</v>
      </c>
      <c r="AQ5073" s="55">
        <v>2424</v>
      </c>
      <c r="AR5073" s="55">
        <v>28500</v>
      </c>
      <c r="AS5073" s="78">
        <f t="shared" si="83"/>
        <v>8.5052631578947366E-2</v>
      </c>
    </row>
    <row r="5074" spans="39:45">
      <c r="AM5074" s="54">
        <v>2019</v>
      </c>
      <c r="AN5074" s="54" t="s">
        <v>188</v>
      </c>
      <c r="AO5074" s="54">
        <v>31</v>
      </c>
      <c r="AP5074" s="54">
        <v>8</v>
      </c>
      <c r="AQ5074" s="54">
        <v>15753.5</v>
      </c>
      <c r="AR5074" s="55">
        <v>28500</v>
      </c>
      <c r="AS5074" s="78">
        <f t="shared" si="83"/>
        <v>0.55275438596491233</v>
      </c>
    </row>
    <row r="5075" spans="39:45">
      <c r="AM5075" s="55">
        <v>2019</v>
      </c>
      <c r="AN5075" s="55" t="s">
        <v>188</v>
      </c>
      <c r="AO5075" s="55">
        <v>31</v>
      </c>
      <c r="AP5075" s="55">
        <v>9</v>
      </c>
      <c r="AQ5075" s="55">
        <v>26536</v>
      </c>
      <c r="AR5075" s="55">
        <v>28500</v>
      </c>
      <c r="AS5075" s="78">
        <f t="shared" si="83"/>
        <v>0.93108771929824563</v>
      </c>
    </row>
    <row r="5076" spans="39:45">
      <c r="AM5076" s="54">
        <v>2019</v>
      </c>
      <c r="AN5076" s="54" t="s">
        <v>188</v>
      </c>
      <c r="AO5076" s="54">
        <v>31</v>
      </c>
      <c r="AP5076" s="54">
        <v>10</v>
      </c>
      <c r="AQ5076" s="54">
        <v>18587</v>
      </c>
      <c r="AR5076" s="55">
        <v>28500</v>
      </c>
      <c r="AS5076" s="78">
        <f t="shared" si="83"/>
        <v>0.65217543859649119</v>
      </c>
    </row>
    <row r="5077" spans="39:45">
      <c r="AM5077" s="55">
        <v>2019</v>
      </c>
      <c r="AN5077" s="55" t="s">
        <v>188</v>
      </c>
      <c r="AO5077" s="55">
        <v>31</v>
      </c>
      <c r="AP5077" s="55">
        <v>11</v>
      </c>
      <c r="AQ5077" s="55">
        <v>12960</v>
      </c>
      <c r="AR5077" s="55">
        <v>28500</v>
      </c>
      <c r="AS5077" s="78">
        <f t="shared" si="83"/>
        <v>0.45473684210526316</v>
      </c>
    </row>
    <row r="5078" spans="39:45">
      <c r="AM5078" s="54">
        <v>2019</v>
      </c>
      <c r="AN5078" s="54" t="s">
        <v>188</v>
      </c>
      <c r="AO5078" s="54">
        <v>31</v>
      </c>
      <c r="AP5078" s="54">
        <v>12</v>
      </c>
      <c r="AQ5078" s="54">
        <v>15873.5</v>
      </c>
      <c r="AR5078" s="55">
        <v>28500</v>
      </c>
      <c r="AS5078" s="78">
        <f t="shared" si="83"/>
        <v>0.55696491228070177</v>
      </c>
    </row>
    <row r="5079" spans="39:45">
      <c r="AM5079" s="55">
        <v>2019</v>
      </c>
      <c r="AN5079" s="55" t="s">
        <v>188</v>
      </c>
      <c r="AO5079" s="55">
        <v>31</v>
      </c>
      <c r="AP5079" s="55">
        <v>13</v>
      </c>
      <c r="AQ5079" s="55">
        <v>24217.5</v>
      </c>
      <c r="AR5079" s="55">
        <v>28500</v>
      </c>
      <c r="AS5079" s="78">
        <f t="shared" si="83"/>
        <v>0.84973684210526312</v>
      </c>
    </row>
    <row r="5080" spans="39:45">
      <c r="AM5080" s="54">
        <v>2019</v>
      </c>
      <c r="AN5080" s="54" t="s">
        <v>188</v>
      </c>
      <c r="AO5080" s="54">
        <v>31</v>
      </c>
      <c r="AP5080" s="54">
        <v>14</v>
      </c>
      <c r="AQ5080" s="54">
        <v>24748</v>
      </c>
      <c r="AR5080" s="55">
        <v>28500</v>
      </c>
      <c r="AS5080" s="78">
        <f t="shared" si="83"/>
        <v>0.86835087719298243</v>
      </c>
    </row>
    <row r="5081" spans="39:45">
      <c r="AM5081" s="55">
        <v>2019</v>
      </c>
      <c r="AN5081" s="55" t="s">
        <v>188</v>
      </c>
      <c r="AO5081" s="55">
        <v>31</v>
      </c>
      <c r="AP5081" s="55">
        <v>15</v>
      </c>
      <c r="AQ5081" s="55">
        <v>26076.5</v>
      </c>
      <c r="AR5081" s="55">
        <v>28500</v>
      </c>
      <c r="AS5081" s="78">
        <f t="shared" si="83"/>
        <v>0.91496491228070176</v>
      </c>
    </row>
    <row r="5082" spans="39:45">
      <c r="AM5082" s="54">
        <v>2019</v>
      </c>
      <c r="AN5082" s="54" t="s">
        <v>188</v>
      </c>
      <c r="AO5082" s="54">
        <v>31</v>
      </c>
      <c r="AP5082" s="54">
        <v>16</v>
      </c>
      <c r="AQ5082" s="54">
        <v>17205</v>
      </c>
      <c r="AR5082" s="55">
        <v>28500</v>
      </c>
      <c r="AS5082" s="78">
        <f t="shared" si="83"/>
        <v>0.60368421052631582</v>
      </c>
    </row>
    <row r="5083" spans="39:45">
      <c r="AM5083" s="55">
        <v>2019</v>
      </c>
      <c r="AN5083" s="55" t="s">
        <v>188</v>
      </c>
      <c r="AO5083" s="55">
        <v>31</v>
      </c>
      <c r="AP5083" s="55">
        <v>17</v>
      </c>
      <c r="AQ5083" s="55">
        <v>8418</v>
      </c>
      <c r="AR5083" s="55">
        <v>28500</v>
      </c>
      <c r="AS5083" s="78">
        <f t="shared" si="83"/>
        <v>0.29536842105263156</v>
      </c>
    </row>
    <row r="5084" spans="39:45">
      <c r="AM5084" s="54">
        <v>2019</v>
      </c>
      <c r="AN5084" s="54" t="s">
        <v>188</v>
      </c>
      <c r="AO5084" s="54">
        <v>31</v>
      </c>
      <c r="AP5084" s="54">
        <v>18</v>
      </c>
      <c r="AQ5084" s="54">
        <v>2694</v>
      </c>
      <c r="AR5084" s="55">
        <v>28500</v>
      </c>
      <c r="AS5084" s="78">
        <f t="shared" si="83"/>
        <v>9.4526315789473681E-2</v>
      </c>
    </row>
    <row r="5085" spans="39:45">
      <c r="AM5085" s="55">
        <v>2019</v>
      </c>
      <c r="AN5085" s="55" t="s">
        <v>188</v>
      </c>
      <c r="AO5085" s="55">
        <v>31</v>
      </c>
      <c r="AP5085" s="55">
        <v>19</v>
      </c>
      <c r="AQ5085" s="55">
        <v>483</v>
      </c>
      <c r="AR5085" s="55">
        <v>28500</v>
      </c>
      <c r="AS5085" s="78">
        <f t="shared" si="83"/>
        <v>1.6947368421052631E-2</v>
      </c>
    </row>
    <row r="5086" spans="39:45">
      <c r="AM5086" s="54">
        <v>2019</v>
      </c>
      <c r="AN5086" s="54" t="s">
        <v>188</v>
      </c>
      <c r="AO5086" s="54">
        <v>31</v>
      </c>
      <c r="AP5086" s="54">
        <v>20</v>
      </c>
      <c r="AQ5086" s="54">
        <v>0</v>
      </c>
      <c r="AR5086" s="55">
        <v>28500</v>
      </c>
      <c r="AS5086" s="78">
        <f t="shared" si="83"/>
        <v>0</v>
      </c>
    </row>
    <row r="5087" spans="39:45">
      <c r="AM5087" s="55">
        <v>2019</v>
      </c>
      <c r="AN5087" s="55" t="s">
        <v>188</v>
      </c>
      <c r="AO5087" s="55">
        <v>31</v>
      </c>
      <c r="AP5087" s="55">
        <v>21</v>
      </c>
      <c r="AQ5087" s="55">
        <v>0</v>
      </c>
      <c r="AR5087" s="55">
        <v>28500</v>
      </c>
      <c r="AS5087" s="78">
        <f t="shared" si="83"/>
        <v>0</v>
      </c>
    </row>
    <row r="5088" spans="39:45">
      <c r="AM5088" s="54">
        <v>2019</v>
      </c>
      <c r="AN5088" s="54" t="s">
        <v>188</v>
      </c>
      <c r="AO5088" s="54">
        <v>31</v>
      </c>
      <c r="AP5088" s="54">
        <v>22</v>
      </c>
      <c r="AQ5088" s="54">
        <v>0</v>
      </c>
      <c r="AR5088" s="55">
        <v>28500</v>
      </c>
      <c r="AS5088" s="78">
        <f t="shared" si="83"/>
        <v>0</v>
      </c>
    </row>
    <row r="5089" spans="39:45">
      <c r="AM5089" s="55">
        <v>2019</v>
      </c>
      <c r="AN5089" s="55" t="s">
        <v>188</v>
      </c>
      <c r="AO5089" s="55">
        <v>31</v>
      </c>
      <c r="AP5089" s="55">
        <v>23</v>
      </c>
      <c r="AQ5089" s="55">
        <v>0</v>
      </c>
      <c r="AR5089" s="55">
        <v>28500</v>
      </c>
      <c r="AS5089" s="78">
        <f t="shared" si="83"/>
        <v>0</v>
      </c>
    </row>
    <row r="5090" spans="39:45">
      <c r="AM5090" s="54">
        <v>2019</v>
      </c>
      <c r="AN5090" s="54" t="s">
        <v>189</v>
      </c>
      <c r="AO5090" s="54">
        <v>1</v>
      </c>
      <c r="AP5090" s="54">
        <v>24</v>
      </c>
      <c r="AQ5090" s="54">
        <v>0</v>
      </c>
      <c r="AR5090" s="55">
        <v>28500</v>
      </c>
      <c r="AS5090" s="78">
        <f t="shared" si="83"/>
        <v>0</v>
      </c>
    </row>
    <row r="5091" spans="39:45">
      <c r="AM5091" s="55">
        <v>2019</v>
      </c>
      <c r="AN5091" s="55" t="s">
        <v>189</v>
      </c>
      <c r="AO5091" s="55">
        <v>1</v>
      </c>
      <c r="AP5091" s="55">
        <v>1</v>
      </c>
      <c r="AQ5091" s="55">
        <v>0</v>
      </c>
      <c r="AR5091" s="55">
        <v>28500</v>
      </c>
      <c r="AS5091" s="78">
        <f t="shared" si="83"/>
        <v>0</v>
      </c>
    </row>
    <row r="5092" spans="39:45">
      <c r="AM5092" s="54">
        <v>2019</v>
      </c>
      <c r="AN5092" s="54" t="s">
        <v>189</v>
      </c>
      <c r="AO5092" s="54">
        <v>1</v>
      </c>
      <c r="AP5092" s="54">
        <v>2</v>
      </c>
      <c r="AQ5092" s="54">
        <v>0</v>
      </c>
      <c r="AR5092" s="55">
        <v>28500</v>
      </c>
      <c r="AS5092" s="78">
        <f t="shared" si="83"/>
        <v>0</v>
      </c>
    </row>
    <row r="5093" spans="39:45">
      <c r="AM5093" s="55">
        <v>2019</v>
      </c>
      <c r="AN5093" s="55" t="s">
        <v>189</v>
      </c>
      <c r="AO5093" s="55">
        <v>1</v>
      </c>
      <c r="AP5093" s="55">
        <v>3</v>
      </c>
      <c r="AQ5093" s="55">
        <v>0</v>
      </c>
      <c r="AR5093" s="55">
        <v>28500</v>
      </c>
      <c r="AS5093" s="78">
        <f t="shared" si="83"/>
        <v>0</v>
      </c>
    </row>
    <row r="5094" spans="39:45">
      <c r="AM5094" s="54">
        <v>2019</v>
      </c>
      <c r="AN5094" s="54" t="s">
        <v>189</v>
      </c>
      <c r="AO5094" s="54">
        <v>1</v>
      </c>
      <c r="AP5094" s="54">
        <v>4</v>
      </c>
      <c r="AQ5094" s="54">
        <v>0</v>
      </c>
      <c r="AR5094" s="55">
        <v>28500</v>
      </c>
      <c r="AS5094" s="78">
        <f t="shared" si="83"/>
        <v>0</v>
      </c>
    </row>
    <row r="5095" spans="39:45">
      <c r="AM5095" s="55">
        <v>2019</v>
      </c>
      <c r="AN5095" s="55" t="s">
        <v>189</v>
      </c>
      <c r="AO5095" s="55">
        <v>1</v>
      </c>
      <c r="AP5095" s="55">
        <v>5</v>
      </c>
      <c r="AQ5095" s="55">
        <v>727.5</v>
      </c>
      <c r="AR5095" s="55">
        <v>28500</v>
      </c>
      <c r="AS5095" s="78">
        <f t="shared" si="83"/>
        <v>2.5526315789473685E-2</v>
      </c>
    </row>
    <row r="5096" spans="39:45">
      <c r="AM5096" s="54">
        <v>2019</v>
      </c>
      <c r="AN5096" s="54" t="s">
        <v>189</v>
      </c>
      <c r="AO5096" s="54">
        <v>1</v>
      </c>
      <c r="AP5096" s="54">
        <v>6</v>
      </c>
      <c r="AQ5096" s="54">
        <v>3044</v>
      </c>
      <c r="AR5096" s="55">
        <v>28500</v>
      </c>
      <c r="AS5096" s="78">
        <f t="shared" si="83"/>
        <v>0.10680701754385966</v>
      </c>
    </row>
    <row r="5097" spans="39:45">
      <c r="AM5097" s="55">
        <v>2019</v>
      </c>
      <c r="AN5097" s="55" t="s">
        <v>189</v>
      </c>
      <c r="AO5097" s="55">
        <v>1</v>
      </c>
      <c r="AP5097" s="55">
        <v>7</v>
      </c>
      <c r="AQ5097" s="55">
        <v>8722.5</v>
      </c>
      <c r="AR5097" s="55">
        <v>28500</v>
      </c>
      <c r="AS5097" s="78">
        <f t="shared" si="83"/>
        <v>0.30605263157894735</v>
      </c>
    </row>
    <row r="5098" spans="39:45">
      <c r="AM5098" s="54">
        <v>2019</v>
      </c>
      <c r="AN5098" s="54" t="s">
        <v>189</v>
      </c>
      <c r="AO5098" s="54">
        <v>1</v>
      </c>
      <c r="AP5098" s="54">
        <v>8</v>
      </c>
      <c r="AQ5098" s="54">
        <v>12621.5</v>
      </c>
      <c r="AR5098" s="55">
        <v>28500</v>
      </c>
      <c r="AS5098" s="78">
        <f t="shared" si="83"/>
        <v>0.44285964912280701</v>
      </c>
    </row>
    <row r="5099" spans="39:45">
      <c r="AM5099" s="55">
        <v>2019</v>
      </c>
      <c r="AN5099" s="55" t="s">
        <v>189</v>
      </c>
      <c r="AO5099" s="55">
        <v>1</v>
      </c>
      <c r="AP5099" s="55">
        <v>9</v>
      </c>
      <c r="AQ5099" s="55">
        <v>15150</v>
      </c>
      <c r="AR5099" s="55">
        <v>28500</v>
      </c>
      <c r="AS5099" s="78">
        <f t="shared" si="83"/>
        <v>0.53157894736842104</v>
      </c>
    </row>
    <row r="5100" spans="39:45">
      <c r="AM5100" s="54">
        <v>2019</v>
      </c>
      <c r="AN5100" s="54" t="s">
        <v>189</v>
      </c>
      <c r="AO5100" s="54">
        <v>1</v>
      </c>
      <c r="AP5100" s="54">
        <v>10</v>
      </c>
      <c r="AQ5100" s="54">
        <v>8707</v>
      </c>
      <c r="AR5100" s="55">
        <v>28500</v>
      </c>
      <c r="AS5100" s="78">
        <f t="shared" si="83"/>
        <v>0.30550877192982456</v>
      </c>
    </row>
    <row r="5101" spans="39:45">
      <c r="AM5101" s="55">
        <v>2019</v>
      </c>
      <c r="AN5101" s="55" t="s">
        <v>189</v>
      </c>
      <c r="AO5101" s="55">
        <v>1</v>
      </c>
      <c r="AP5101" s="55">
        <v>11</v>
      </c>
      <c r="AQ5101" s="55">
        <v>7602</v>
      </c>
      <c r="AR5101" s="55">
        <v>28500</v>
      </c>
      <c r="AS5101" s="78">
        <f t="shared" si="83"/>
        <v>0.26673684210526316</v>
      </c>
    </row>
    <row r="5102" spans="39:45">
      <c r="AM5102" s="54">
        <v>2019</v>
      </c>
      <c r="AN5102" s="54" t="s">
        <v>189</v>
      </c>
      <c r="AO5102" s="54">
        <v>1</v>
      </c>
      <c r="AP5102" s="54">
        <v>12</v>
      </c>
      <c r="AQ5102" s="54">
        <v>28787.5</v>
      </c>
      <c r="AR5102" s="55">
        <v>28500</v>
      </c>
      <c r="AS5102" s="78">
        <f t="shared" si="83"/>
        <v>1.0100877192982456</v>
      </c>
    </row>
    <row r="5103" spans="39:45">
      <c r="AM5103" s="55">
        <v>2019</v>
      </c>
      <c r="AN5103" s="55" t="s">
        <v>189</v>
      </c>
      <c r="AO5103" s="55">
        <v>1</v>
      </c>
      <c r="AP5103" s="55">
        <v>13</v>
      </c>
      <c r="AQ5103" s="55">
        <v>23668.5</v>
      </c>
      <c r="AR5103" s="55">
        <v>28500</v>
      </c>
      <c r="AS5103" s="78">
        <f t="shared" si="83"/>
        <v>0.83047368421052636</v>
      </c>
    </row>
    <row r="5104" spans="39:45">
      <c r="AM5104" s="54">
        <v>2019</v>
      </c>
      <c r="AN5104" s="54" t="s">
        <v>189</v>
      </c>
      <c r="AO5104" s="54">
        <v>1</v>
      </c>
      <c r="AP5104" s="54">
        <v>14</v>
      </c>
      <c r="AQ5104" s="54">
        <v>27862</v>
      </c>
      <c r="AR5104" s="55">
        <v>28500</v>
      </c>
      <c r="AS5104" s="78">
        <f t="shared" si="83"/>
        <v>0.97761403508771927</v>
      </c>
    </row>
    <row r="5105" spans="39:45">
      <c r="AM5105" s="55">
        <v>2019</v>
      </c>
      <c r="AN5105" s="55" t="s">
        <v>189</v>
      </c>
      <c r="AO5105" s="55">
        <v>1</v>
      </c>
      <c r="AP5105" s="55">
        <v>15</v>
      </c>
      <c r="AQ5105" s="55">
        <v>20494</v>
      </c>
      <c r="AR5105" s="55">
        <v>28500</v>
      </c>
      <c r="AS5105" s="78">
        <f t="shared" si="83"/>
        <v>0.71908771929824566</v>
      </c>
    </row>
    <row r="5106" spans="39:45">
      <c r="AM5106" s="54">
        <v>2019</v>
      </c>
      <c r="AN5106" s="54" t="s">
        <v>189</v>
      </c>
      <c r="AO5106" s="54">
        <v>1</v>
      </c>
      <c r="AP5106" s="54">
        <v>16</v>
      </c>
      <c r="AQ5106" s="54">
        <v>17931.5</v>
      </c>
      <c r="AR5106" s="55">
        <v>28500</v>
      </c>
      <c r="AS5106" s="78">
        <f t="shared" si="83"/>
        <v>0.62917543859649128</v>
      </c>
    </row>
    <row r="5107" spans="39:45">
      <c r="AM5107" s="55">
        <v>2019</v>
      </c>
      <c r="AN5107" s="55" t="s">
        <v>189</v>
      </c>
      <c r="AO5107" s="55">
        <v>1</v>
      </c>
      <c r="AP5107" s="55">
        <v>17</v>
      </c>
      <c r="AQ5107" s="55">
        <v>7308.5</v>
      </c>
      <c r="AR5107" s="55">
        <v>28500</v>
      </c>
      <c r="AS5107" s="78">
        <f t="shared" si="83"/>
        <v>0.25643859649122808</v>
      </c>
    </row>
    <row r="5108" spans="39:45">
      <c r="AM5108" s="54">
        <v>2019</v>
      </c>
      <c r="AN5108" s="54" t="s">
        <v>189</v>
      </c>
      <c r="AO5108" s="54">
        <v>1</v>
      </c>
      <c r="AP5108" s="54">
        <v>18</v>
      </c>
      <c r="AQ5108" s="54">
        <v>2707</v>
      </c>
      <c r="AR5108" s="55">
        <v>28500</v>
      </c>
      <c r="AS5108" s="78">
        <f t="shared" si="83"/>
        <v>9.4982456140350877E-2</v>
      </c>
    </row>
    <row r="5109" spans="39:45">
      <c r="AM5109" s="55">
        <v>2019</v>
      </c>
      <c r="AN5109" s="55" t="s">
        <v>189</v>
      </c>
      <c r="AO5109" s="55">
        <v>1</v>
      </c>
      <c r="AP5109" s="55">
        <v>19</v>
      </c>
      <c r="AQ5109" s="55">
        <v>0</v>
      </c>
      <c r="AR5109" s="55">
        <v>28500</v>
      </c>
      <c r="AS5109" s="78">
        <f t="shared" si="83"/>
        <v>0</v>
      </c>
    </row>
    <row r="5110" spans="39:45">
      <c r="AM5110" s="54">
        <v>2019</v>
      </c>
      <c r="AN5110" s="54" t="s">
        <v>189</v>
      </c>
      <c r="AO5110" s="54">
        <v>1</v>
      </c>
      <c r="AP5110" s="54">
        <v>20</v>
      </c>
      <c r="AQ5110" s="54">
        <v>0</v>
      </c>
      <c r="AR5110" s="55">
        <v>28500</v>
      </c>
      <c r="AS5110" s="78">
        <f t="shared" si="83"/>
        <v>0</v>
      </c>
    </row>
    <row r="5111" spans="39:45">
      <c r="AM5111" s="55">
        <v>2019</v>
      </c>
      <c r="AN5111" s="55" t="s">
        <v>189</v>
      </c>
      <c r="AO5111" s="55">
        <v>1</v>
      </c>
      <c r="AP5111" s="55">
        <v>21</v>
      </c>
      <c r="AQ5111" s="55">
        <v>0</v>
      </c>
      <c r="AR5111" s="55">
        <v>28500</v>
      </c>
      <c r="AS5111" s="78">
        <f t="shared" si="83"/>
        <v>0</v>
      </c>
    </row>
    <row r="5112" spans="39:45">
      <c r="AM5112" s="54">
        <v>2019</v>
      </c>
      <c r="AN5112" s="54" t="s">
        <v>189</v>
      </c>
      <c r="AO5112" s="54">
        <v>1</v>
      </c>
      <c r="AP5112" s="54">
        <v>22</v>
      </c>
      <c r="AQ5112" s="54">
        <v>0</v>
      </c>
      <c r="AR5112" s="55">
        <v>28500</v>
      </c>
      <c r="AS5112" s="78">
        <f t="shared" si="83"/>
        <v>0</v>
      </c>
    </row>
    <row r="5113" spans="39:45">
      <c r="AM5113" s="55">
        <v>2019</v>
      </c>
      <c r="AN5113" s="55" t="s">
        <v>189</v>
      </c>
      <c r="AO5113" s="55">
        <v>1</v>
      </c>
      <c r="AP5113" s="55">
        <v>23</v>
      </c>
      <c r="AQ5113" s="55">
        <v>0</v>
      </c>
      <c r="AR5113" s="55">
        <v>28500</v>
      </c>
      <c r="AS5113" s="78">
        <f t="shared" si="83"/>
        <v>0</v>
      </c>
    </row>
    <row r="5114" spans="39:45">
      <c r="AM5114" s="54">
        <v>2019</v>
      </c>
      <c r="AN5114" s="54" t="s">
        <v>189</v>
      </c>
      <c r="AO5114" s="54">
        <v>2</v>
      </c>
      <c r="AP5114" s="54">
        <v>24</v>
      </c>
      <c r="AQ5114" s="54">
        <v>0</v>
      </c>
      <c r="AR5114" s="55">
        <v>28500</v>
      </c>
      <c r="AS5114" s="78">
        <f t="shared" si="83"/>
        <v>0</v>
      </c>
    </row>
    <row r="5115" spans="39:45">
      <c r="AM5115" s="55">
        <v>2019</v>
      </c>
      <c r="AN5115" s="55" t="s">
        <v>189</v>
      </c>
      <c r="AO5115" s="55">
        <v>2</v>
      </c>
      <c r="AP5115" s="55">
        <v>1</v>
      </c>
      <c r="AQ5115" s="55">
        <v>0</v>
      </c>
      <c r="AR5115" s="55">
        <v>28500</v>
      </c>
      <c r="AS5115" s="78">
        <f t="shared" si="83"/>
        <v>0</v>
      </c>
    </row>
    <row r="5116" spans="39:45">
      <c r="AM5116" s="54">
        <v>2019</v>
      </c>
      <c r="AN5116" s="54" t="s">
        <v>189</v>
      </c>
      <c r="AO5116" s="54">
        <v>2</v>
      </c>
      <c r="AP5116" s="54">
        <v>2</v>
      </c>
      <c r="AQ5116" s="54">
        <v>0</v>
      </c>
      <c r="AR5116" s="55">
        <v>28500</v>
      </c>
      <c r="AS5116" s="78">
        <f t="shared" si="83"/>
        <v>0</v>
      </c>
    </row>
    <row r="5117" spans="39:45">
      <c r="AM5117" s="55">
        <v>2019</v>
      </c>
      <c r="AN5117" s="55" t="s">
        <v>189</v>
      </c>
      <c r="AO5117" s="55">
        <v>2</v>
      </c>
      <c r="AP5117" s="55">
        <v>3</v>
      </c>
      <c r="AQ5117" s="55">
        <v>0</v>
      </c>
      <c r="AR5117" s="55">
        <v>28500</v>
      </c>
      <c r="AS5117" s="78">
        <f t="shared" si="83"/>
        <v>0</v>
      </c>
    </row>
    <row r="5118" spans="39:45">
      <c r="AM5118" s="54">
        <v>2019</v>
      </c>
      <c r="AN5118" s="54" t="s">
        <v>189</v>
      </c>
      <c r="AO5118" s="54">
        <v>2</v>
      </c>
      <c r="AP5118" s="54">
        <v>4</v>
      </c>
      <c r="AQ5118" s="54">
        <v>0</v>
      </c>
      <c r="AR5118" s="55">
        <v>28500</v>
      </c>
      <c r="AS5118" s="78">
        <f t="shared" si="83"/>
        <v>0</v>
      </c>
    </row>
    <row r="5119" spans="39:45">
      <c r="AM5119" s="55">
        <v>2019</v>
      </c>
      <c r="AN5119" s="55" t="s">
        <v>189</v>
      </c>
      <c r="AO5119" s="55">
        <v>2</v>
      </c>
      <c r="AP5119" s="55">
        <v>5</v>
      </c>
      <c r="AQ5119" s="55">
        <v>207</v>
      </c>
      <c r="AR5119" s="55">
        <v>28500</v>
      </c>
      <c r="AS5119" s="78">
        <f t="shared" si="83"/>
        <v>7.263157894736842E-3</v>
      </c>
    </row>
    <row r="5120" spans="39:45">
      <c r="AM5120" s="54">
        <v>2019</v>
      </c>
      <c r="AN5120" s="54" t="s">
        <v>189</v>
      </c>
      <c r="AO5120" s="54">
        <v>2</v>
      </c>
      <c r="AP5120" s="54">
        <v>6</v>
      </c>
      <c r="AQ5120" s="54">
        <v>2855.5</v>
      </c>
      <c r="AR5120" s="55">
        <v>28500</v>
      </c>
      <c r="AS5120" s="78">
        <f t="shared" si="83"/>
        <v>0.10019298245614035</v>
      </c>
    </row>
    <row r="5121" spans="39:45">
      <c r="AM5121" s="55">
        <v>2019</v>
      </c>
      <c r="AN5121" s="55" t="s">
        <v>189</v>
      </c>
      <c r="AO5121" s="55">
        <v>2</v>
      </c>
      <c r="AP5121" s="55">
        <v>7</v>
      </c>
      <c r="AQ5121" s="55">
        <v>4923</v>
      </c>
      <c r="AR5121" s="55">
        <v>28500</v>
      </c>
      <c r="AS5121" s="78">
        <f t="shared" si="83"/>
        <v>0.17273684210526316</v>
      </c>
    </row>
    <row r="5122" spans="39:45">
      <c r="AM5122" s="54">
        <v>2019</v>
      </c>
      <c r="AN5122" s="54" t="s">
        <v>189</v>
      </c>
      <c r="AO5122" s="54">
        <v>2</v>
      </c>
      <c r="AP5122" s="54">
        <v>8</v>
      </c>
      <c r="AQ5122" s="54">
        <v>6419</v>
      </c>
      <c r="AR5122" s="55">
        <v>28500</v>
      </c>
      <c r="AS5122" s="78">
        <f t="shared" ref="AS5122:AS5185" si="84">AQ5122/AR5122</f>
        <v>0.22522807017543858</v>
      </c>
    </row>
    <row r="5123" spans="39:45">
      <c r="AM5123" s="55">
        <v>2019</v>
      </c>
      <c r="AN5123" s="55" t="s">
        <v>189</v>
      </c>
      <c r="AO5123" s="55">
        <v>2</v>
      </c>
      <c r="AP5123" s="55">
        <v>9</v>
      </c>
      <c r="AQ5123" s="55">
        <v>15841.5</v>
      </c>
      <c r="AR5123" s="55">
        <v>28500</v>
      </c>
      <c r="AS5123" s="78">
        <f t="shared" si="84"/>
        <v>0.55584210526315792</v>
      </c>
    </row>
    <row r="5124" spans="39:45">
      <c r="AM5124" s="54">
        <v>2019</v>
      </c>
      <c r="AN5124" s="54" t="s">
        <v>189</v>
      </c>
      <c r="AO5124" s="54">
        <v>2</v>
      </c>
      <c r="AP5124" s="54">
        <v>10</v>
      </c>
      <c r="AQ5124" s="54">
        <v>16873</v>
      </c>
      <c r="AR5124" s="55">
        <v>28500</v>
      </c>
      <c r="AS5124" s="78">
        <f t="shared" si="84"/>
        <v>0.59203508771929825</v>
      </c>
    </row>
    <row r="5125" spans="39:45">
      <c r="AM5125" s="55">
        <v>2019</v>
      </c>
      <c r="AN5125" s="55" t="s">
        <v>189</v>
      </c>
      <c r="AO5125" s="55">
        <v>2</v>
      </c>
      <c r="AP5125" s="55">
        <v>11</v>
      </c>
      <c r="AQ5125" s="55">
        <v>28201.5</v>
      </c>
      <c r="AR5125" s="55">
        <v>28500</v>
      </c>
      <c r="AS5125" s="78">
        <f t="shared" si="84"/>
        <v>0.9895263157894737</v>
      </c>
    </row>
    <row r="5126" spans="39:45">
      <c r="AM5126" s="54">
        <v>2019</v>
      </c>
      <c r="AN5126" s="54" t="s">
        <v>189</v>
      </c>
      <c r="AO5126" s="54">
        <v>2</v>
      </c>
      <c r="AP5126" s="54">
        <v>12</v>
      </c>
      <c r="AQ5126" s="54">
        <v>35439.5</v>
      </c>
      <c r="AR5126" s="55">
        <v>28500</v>
      </c>
      <c r="AS5126" s="78">
        <f t="shared" si="84"/>
        <v>1.2434912280701755</v>
      </c>
    </row>
    <row r="5127" spans="39:45">
      <c r="AM5127" s="55">
        <v>2019</v>
      </c>
      <c r="AN5127" s="55" t="s">
        <v>189</v>
      </c>
      <c r="AO5127" s="55">
        <v>2</v>
      </c>
      <c r="AP5127" s="55">
        <v>13</v>
      </c>
      <c r="AQ5127" s="55">
        <v>8820</v>
      </c>
      <c r="AR5127" s="55">
        <v>28500</v>
      </c>
      <c r="AS5127" s="78">
        <f t="shared" si="84"/>
        <v>0.30947368421052629</v>
      </c>
    </row>
    <row r="5128" spans="39:45">
      <c r="AM5128" s="54">
        <v>2019</v>
      </c>
      <c r="AN5128" s="54" t="s">
        <v>189</v>
      </c>
      <c r="AO5128" s="54">
        <v>2</v>
      </c>
      <c r="AP5128" s="54">
        <v>14</v>
      </c>
      <c r="AQ5128" s="54">
        <v>28737.5</v>
      </c>
      <c r="AR5128" s="55">
        <v>28500</v>
      </c>
      <c r="AS5128" s="78">
        <f t="shared" si="84"/>
        <v>1.0083333333333333</v>
      </c>
    </row>
    <row r="5129" spans="39:45">
      <c r="AM5129" s="55">
        <v>2019</v>
      </c>
      <c r="AN5129" s="55" t="s">
        <v>189</v>
      </c>
      <c r="AO5129" s="55">
        <v>2</v>
      </c>
      <c r="AP5129" s="55">
        <v>15</v>
      </c>
      <c r="AQ5129" s="55">
        <v>26273.5</v>
      </c>
      <c r="AR5129" s="55">
        <v>28500</v>
      </c>
      <c r="AS5129" s="78">
        <f t="shared" si="84"/>
        <v>0.92187719298245618</v>
      </c>
    </row>
    <row r="5130" spans="39:45">
      <c r="AM5130" s="54">
        <v>2019</v>
      </c>
      <c r="AN5130" s="54" t="s">
        <v>189</v>
      </c>
      <c r="AO5130" s="54">
        <v>2</v>
      </c>
      <c r="AP5130" s="54">
        <v>16</v>
      </c>
      <c r="AQ5130" s="54">
        <v>1544.5</v>
      </c>
      <c r="AR5130" s="55">
        <v>28500</v>
      </c>
      <c r="AS5130" s="78">
        <f t="shared" si="84"/>
        <v>5.4192982456140348E-2</v>
      </c>
    </row>
    <row r="5131" spans="39:45">
      <c r="AM5131" s="55">
        <v>2019</v>
      </c>
      <c r="AN5131" s="55" t="s">
        <v>189</v>
      </c>
      <c r="AO5131" s="55">
        <v>2</v>
      </c>
      <c r="AP5131" s="55">
        <v>17</v>
      </c>
      <c r="AQ5131" s="55">
        <v>8603</v>
      </c>
      <c r="AR5131" s="55">
        <v>28500</v>
      </c>
      <c r="AS5131" s="78">
        <f t="shared" si="84"/>
        <v>0.30185964912280699</v>
      </c>
    </row>
    <row r="5132" spans="39:45">
      <c r="AM5132" s="54">
        <v>2019</v>
      </c>
      <c r="AN5132" s="54" t="s">
        <v>189</v>
      </c>
      <c r="AO5132" s="54">
        <v>2</v>
      </c>
      <c r="AP5132" s="54">
        <v>18</v>
      </c>
      <c r="AQ5132" s="54">
        <v>2672.5</v>
      </c>
      <c r="AR5132" s="55">
        <v>28500</v>
      </c>
      <c r="AS5132" s="78">
        <f t="shared" si="84"/>
        <v>9.3771929824561409E-2</v>
      </c>
    </row>
    <row r="5133" spans="39:45">
      <c r="AM5133" s="55">
        <v>2019</v>
      </c>
      <c r="AN5133" s="55" t="s">
        <v>189</v>
      </c>
      <c r="AO5133" s="55">
        <v>2</v>
      </c>
      <c r="AP5133" s="55">
        <v>19</v>
      </c>
      <c r="AQ5133" s="55">
        <v>373</v>
      </c>
      <c r="AR5133" s="55">
        <v>28500</v>
      </c>
      <c r="AS5133" s="78">
        <f t="shared" si="84"/>
        <v>1.3087719298245613E-2</v>
      </c>
    </row>
    <row r="5134" spans="39:45">
      <c r="AM5134" s="54">
        <v>2019</v>
      </c>
      <c r="AN5134" s="54" t="s">
        <v>189</v>
      </c>
      <c r="AO5134" s="54">
        <v>2</v>
      </c>
      <c r="AP5134" s="54">
        <v>20</v>
      </c>
      <c r="AQ5134" s="54">
        <v>0</v>
      </c>
      <c r="AR5134" s="55">
        <v>28500</v>
      </c>
      <c r="AS5134" s="78">
        <f t="shared" si="84"/>
        <v>0</v>
      </c>
    </row>
    <row r="5135" spans="39:45">
      <c r="AM5135" s="55">
        <v>2019</v>
      </c>
      <c r="AN5135" s="55" t="s">
        <v>189</v>
      </c>
      <c r="AO5135" s="55">
        <v>2</v>
      </c>
      <c r="AP5135" s="55">
        <v>21</v>
      </c>
      <c r="AQ5135" s="55">
        <v>0</v>
      </c>
      <c r="AR5135" s="55">
        <v>28500</v>
      </c>
      <c r="AS5135" s="78">
        <f t="shared" si="84"/>
        <v>0</v>
      </c>
    </row>
    <row r="5136" spans="39:45">
      <c r="AM5136" s="54">
        <v>2019</v>
      </c>
      <c r="AN5136" s="54" t="s">
        <v>189</v>
      </c>
      <c r="AO5136" s="54">
        <v>2</v>
      </c>
      <c r="AP5136" s="54">
        <v>22</v>
      </c>
      <c r="AQ5136" s="54">
        <v>0</v>
      </c>
      <c r="AR5136" s="55">
        <v>28500</v>
      </c>
      <c r="AS5136" s="78">
        <f t="shared" si="84"/>
        <v>0</v>
      </c>
    </row>
    <row r="5137" spans="39:45">
      <c r="AM5137" s="55">
        <v>2019</v>
      </c>
      <c r="AN5137" s="55" t="s">
        <v>189</v>
      </c>
      <c r="AO5137" s="55">
        <v>2</v>
      </c>
      <c r="AP5137" s="55">
        <v>23</v>
      </c>
      <c r="AQ5137" s="55">
        <v>0</v>
      </c>
      <c r="AR5137" s="55">
        <v>28500</v>
      </c>
      <c r="AS5137" s="78">
        <f t="shared" si="84"/>
        <v>0</v>
      </c>
    </row>
    <row r="5138" spans="39:45">
      <c r="AM5138" s="54">
        <v>2019</v>
      </c>
      <c r="AN5138" s="54" t="s">
        <v>189</v>
      </c>
      <c r="AO5138" s="54">
        <v>3</v>
      </c>
      <c r="AP5138" s="54">
        <v>24</v>
      </c>
      <c r="AQ5138" s="54">
        <v>0</v>
      </c>
      <c r="AR5138" s="55">
        <v>28500</v>
      </c>
      <c r="AS5138" s="78">
        <f t="shared" si="84"/>
        <v>0</v>
      </c>
    </row>
    <row r="5139" spans="39:45">
      <c r="AM5139" s="55">
        <v>2019</v>
      </c>
      <c r="AN5139" s="55" t="s">
        <v>189</v>
      </c>
      <c r="AO5139" s="55">
        <v>3</v>
      </c>
      <c r="AP5139" s="55">
        <v>1</v>
      </c>
      <c r="AQ5139" s="55">
        <v>0</v>
      </c>
      <c r="AR5139" s="55">
        <v>28500</v>
      </c>
      <c r="AS5139" s="78">
        <f t="shared" si="84"/>
        <v>0</v>
      </c>
    </row>
    <row r="5140" spans="39:45">
      <c r="AM5140" s="54">
        <v>2019</v>
      </c>
      <c r="AN5140" s="54" t="s">
        <v>189</v>
      </c>
      <c r="AO5140" s="54">
        <v>3</v>
      </c>
      <c r="AP5140" s="54">
        <v>2</v>
      </c>
      <c r="AQ5140" s="54">
        <v>0</v>
      </c>
      <c r="AR5140" s="55">
        <v>28500</v>
      </c>
      <c r="AS5140" s="78">
        <f t="shared" si="84"/>
        <v>0</v>
      </c>
    </row>
    <row r="5141" spans="39:45">
      <c r="AM5141" s="55">
        <v>2019</v>
      </c>
      <c r="AN5141" s="55" t="s">
        <v>189</v>
      </c>
      <c r="AO5141" s="55">
        <v>3</v>
      </c>
      <c r="AP5141" s="55">
        <v>3</v>
      </c>
      <c r="AQ5141" s="55">
        <v>0</v>
      </c>
      <c r="AR5141" s="55">
        <v>28500</v>
      </c>
      <c r="AS5141" s="78">
        <f t="shared" si="84"/>
        <v>0</v>
      </c>
    </row>
    <row r="5142" spans="39:45">
      <c r="AM5142" s="54">
        <v>2019</v>
      </c>
      <c r="AN5142" s="54" t="s">
        <v>189</v>
      </c>
      <c r="AO5142" s="54">
        <v>3</v>
      </c>
      <c r="AP5142" s="54">
        <v>4</v>
      </c>
      <c r="AQ5142" s="54">
        <v>0</v>
      </c>
      <c r="AR5142" s="55">
        <v>28500</v>
      </c>
      <c r="AS5142" s="78">
        <f t="shared" si="84"/>
        <v>0</v>
      </c>
    </row>
    <row r="5143" spans="39:45">
      <c r="AM5143" s="55">
        <v>2019</v>
      </c>
      <c r="AN5143" s="55" t="s">
        <v>189</v>
      </c>
      <c r="AO5143" s="55">
        <v>3</v>
      </c>
      <c r="AP5143" s="55">
        <v>5</v>
      </c>
      <c r="AQ5143" s="55">
        <v>472.5</v>
      </c>
      <c r="AR5143" s="55">
        <v>28500</v>
      </c>
      <c r="AS5143" s="78">
        <f t="shared" si="84"/>
        <v>1.6578947368421054E-2</v>
      </c>
    </row>
    <row r="5144" spans="39:45">
      <c r="AM5144" s="54">
        <v>2019</v>
      </c>
      <c r="AN5144" s="54" t="s">
        <v>189</v>
      </c>
      <c r="AO5144" s="54">
        <v>3</v>
      </c>
      <c r="AP5144" s="54">
        <v>6</v>
      </c>
      <c r="AQ5144" s="54">
        <v>3209.5</v>
      </c>
      <c r="AR5144" s="55">
        <v>28500</v>
      </c>
      <c r="AS5144" s="78">
        <f t="shared" si="84"/>
        <v>0.11261403508771929</v>
      </c>
    </row>
    <row r="5145" spans="39:45">
      <c r="AM5145" s="55">
        <v>2019</v>
      </c>
      <c r="AN5145" s="55" t="s">
        <v>189</v>
      </c>
      <c r="AO5145" s="55">
        <v>3</v>
      </c>
      <c r="AP5145" s="55">
        <v>7</v>
      </c>
      <c r="AQ5145" s="55">
        <v>10214.5</v>
      </c>
      <c r="AR5145" s="55">
        <v>28500</v>
      </c>
      <c r="AS5145" s="78">
        <f t="shared" si="84"/>
        <v>0.35840350877192984</v>
      </c>
    </row>
    <row r="5146" spans="39:45">
      <c r="AM5146" s="54">
        <v>2019</v>
      </c>
      <c r="AN5146" s="54" t="s">
        <v>189</v>
      </c>
      <c r="AO5146" s="54">
        <v>3</v>
      </c>
      <c r="AP5146" s="54">
        <v>8</v>
      </c>
      <c r="AQ5146" s="54">
        <v>13772.5</v>
      </c>
      <c r="AR5146" s="55">
        <v>28500</v>
      </c>
      <c r="AS5146" s="78">
        <f t="shared" si="84"/>
        <v>0.4832456140350877</v>
      </c>
    </row>
    <row r="5147" spans="39:45">
      <c r="AM5147" s="55">
        <v>2019</v>
      </c>
      <c r="AN5147" s="55" t="s">
        <v>189</v>
      </c>
      <c r="AO5147" s="55">
        <v>3</v>
      </c>
      <c r="AP5147" s="55">
        <v>9</v>
      </c>
      <c r="AQ5147" s="55">
        <v>20162</v>
      </c>
      <c r="AR5147" s="55">
        <v>28500</v>
      </c>
      <c r="AS5147" s="78">
        <f t="shared" si="84"/>
        <v>0.70743859649122809</v>
      </c>
    </row>
    <row r="5148" spans="39:45">
      <c r="AM5148" s="54">
        <v>2019</v>
      </c>
      <c r="AN5148" s="54" t="s">
        <v>189</v>
      </c>
      <c r="AO5148" s="54">
        <v>3</v>
      </c>
      <c r="AP5148" s="54">
        <v>10</v>
      </c>
      <c r="AQ5148" s="54">
        <v>24185</v>
      </c>
      <c r="AR5148" s="55">
        <v>28500</v>
      </c>
      <c r="AS5148" s="78">
        <f t="shared" si="84"/>
        <v>0.84859649122807013</v>
      </c>
    </row>
    <row r="5149" spans="39:45">
      <c r="AM5149" s="55">
        <v>2019</v>
      </c>
      <c r="AN5149" s="55" t="s">
        <v>189</v>
      </c>
      <c r="AO5149" s="55">
        <v>3</v>
      </c>
      <c r="AP5149" s="55">
        <v>11</v>
      </c>
      <c r="AQ5149" s="55">
        <v>24235</v>
      </c>
      <c r="AR5149" s="55">
        <v>28500</v>
      </c>
      <c r="AS5149" s="78">
        <f t="shared" si="84"/>
        <v>0.85035087719298241</v>
      </c>
    </row>
    <row r="5150" spans="39:45">
      <c r="AM5150" s="54">
        <v>2019</v>
      </c>
      <c r="AN5150" s="54" t="s">
        <v>189</v>
      </c>
      <c r="AO5150" s="54">
        <v>3</v>
      </c>
      <c r="AP5150" s="54">
        <v>12</v>
      </c>
      <c r="AQ5150" s="54">
        <v>20662.5</v>
      </c>
      <c r="AR5150" s="55">
        <v>28500</v>
      </c>
      <c r="AS5150" s="78">
        <f t="shared" si="84"/>
        <v>0.72499999999999998</v>
      </c>
    </row>
    <row r="5151" spans="39:45">
      <c r="AM5151" s="55">
        <v>2019</v>
      </c>
      <c r="AN5151" s="55" t="s">
        <v>189</v>
      </c>
      <c r="AO5151" s="55">
        <v>3</v>
      </c>
      <c r="AP5151" s="55">
        <v>13</v>
      </c>
      <c r="AQ5151" s="55">
        <v>16322</v>
      </c>
      <c r="AR5151" s="55">
        <v>28500</v>
      </c>
      <c r="AS5151" s="78">
        <f t="shared" si="84"/>
        <v>0.57270175438596493</v>
      </c>
    </row>
    <row r="5152" spans="39:45">
      <c r="AM5152" s="54">
        <v>2019</v>
      </c>
      <c r="AN5152" s="54" t="s">
        <v>189</v>
      </c>
      <c r="AO5152" s="54">
        <v>3</v>
      </c>
      <c r="AP5152" s="54">
        <v>14</v>
      </c>
      <c r="AQ5152" s="54">
        <v>11008.5</v>
      </c>
      <c r="AR5152" s="55">
        <v>28500</v>
      </c>
      <c r="AS5152" s="78">
        <f t="shared" si="84"/>
        <v>0.38626315789473686</v>
      </c>
    </row>
    <row r="5153" spans="39:45">
      <c r="AM5153" s="55">
        <v>2019</v>
      </c>
      <c r="AN5153" s="55" t="s">
        <v>189</v>
      </c>
      <c r="AO5153" s="55">
        <v>3</v>
      </c>
      <c r="AP5153" s="55">
        <v>15</v>
      </c>
      <c r="AQ5153" s="55">
        <v>9223.5</v>
      </c>
      <c r="AR5153" s="55">
        <v>28500</v>
      </c>
      <c r="AS5153" s="78">
        <f t="shared" si="84"/>
        <v>0.32363157894736844</v>
      </c>
    </row>
    <row r="5154" spans="39:45">
      <c r="AM5154" s="54">
        <v>2019</v>
      </c>
      <c r="AN5154" s="54" t="s">
        <v>189</v>
      </c>
      <c r="AO5154" s="54">
        <v>3</v>
      </c>
      <c r="AP5154" s="54">
        <v>16</v>
      </c>
      <c r="AQ5154" s="54">
        <v>4201</v>
      </c>
      <c r="AR5154" s="55">
        <v>28500</v>
      </c>
      <c r="AS5154" s="78">
        <f t="shared" si="84"/>
        <v>0.14740350877192981</v>
      </c>
    </row>
    <row r="5155" spans="39:45">
      <c r="AM5155" s="55">
        <v>2019</v>
      </c>
      <c r="AN5155" s="55" t="s">
        <v>189</v>
      </c>
      <c r="AO5155" s="55">
        <v>3</v>
      </c>
      <c r="AP5155" s="55">
        <v>17</v>
      </c>
      <c r="AQ5155" s="55">
        <v>3032.5</v>
      </c>
      <c r="AR5155" s="55">
        <v>28500</v>
      </c>
      <c r="AS5155" s="78">
        <f t="shared" si="84"/>
        <v>0.10640350877192982</v>
      </c>
    </row>
    <row r="5156" spans="39:45">
      <c r="AM5156" s="54">
        <v>2019</v>
      </c>
      <c r="AN5156" s="54" t="s">
        <v>189</v>
      </c>
      <c r="AO5156" s="54">
        <v>3</v>
      </c>
      <c r="AP5156" s="54">
        <v>18</v>
      </c>
      <c r="AQ5156" s="54">
        <v>1272</v>
      </c>
      <c r="AR5156" s="55">
        <v>28500</v>
      </c>
      <c r="AS5156" s="78">
        <f t="shared" si="84"/>
        <v>4.4631578947368418E-2</v>
      </c>
    </row>
    <row r="5157" spans="39:45">
      <c r="AM5157" s="55">
        <v>2019</v>
      </c>
      <c r="AN5157" s="55" t="s">
        <v>189</v>
      </c>
      <c r="AO5157" s="55">
        <v>3</v>
      </c>
      <c r="AP5157" s="55">
        <v>19</v>
      </c>
      <c r="AQ5157" s="55">
        <v>2</v>
      </c>
      <c r="AR5157" s="55">
        <v>28500</v>
      </c>
      <c r="AS5157" s="78">
        <f t="shared" si="84"/>
        <v>7.0175438596491223E-5</v>
      </c>
    </row>
    <row r="5158" spans="39:45">
      <c r="AM5158" s="54">
        <v>2019</v>
      </c>
      <c r="AN5158" s="54" t="s">
        <v>189</v>
      </c>
      <c r="AO5158" s="54">
        <v>3</v>
      </c>
      <c r="AP5158" s="54">
        <v>20</v>
      </c>
      <c r="AQ5158" s="54">
        <v>0</v>
      </c>
      <c r="AR5158" s="55">
        <v>28500</v>
      </c>
      <c r="AS5158" s="78">
        <f t="shared" si="84"/>
        <v>0</v>
      </c>
    </row>
    <row r="5159" spans="39:45">
      <c r="AM5159" s="55">
        <v>2019</v>
      </c>
      <c r="AN5159" s="55" t="s">
        <v>189</v>
      </c>
      <c r="AO5159" s="55">
        <v>3</v>
      </c>
      <c r="AP5159" s="55">
        <v>21</v>
      </c>
      <c r="AQ5159" s="55">
        <v>0</v>
      </c>
      <c r="AR5159" s="55">
        <v>28500</v>
      </c>
      <c r="AS5159" s="78">
        <f t="shared" si="84"/>
        <v>0</v>
      </c>
    </row>
    <row r="5160" spans="39:45">
      <c r="AM5160" s="54">
        <v>2019</v>
      </c>
      <c r="AN5160" s="54" t="s">
        <v>189</v>
      </c>
      <c r="AO5160" s="54">
        <v>3</v>
      </c>
      <c r="AP5160" s="54">
        <v>22</v>
      </c>
      <c r="AQ5160" s="54">
        <v>0</v>
      </c>
      <c r="AR5160" s="55">
        <v>28500</v>
      </c>
      <c r="AS5160" s="78">
        <f t="shared" si="84"/>
        <v>0</v>
      </c>
    </row>
    <row r="5161" spans="39:45">
      <c r="AM5161" s="55">
        <v>2019</v>
      </c>
      <c r="AN5161" s="55" t="s">
        <v>189</v>
      </c>
      <c r="AO5161" s="55">
        <v>3</v>
      </c>
      <c r="AP5161" s="55">
        <v>23</v>
      </c>
      <c r="AQ5161" s="55">
        <v>0</v>
      </c>
      <c r="AR5161" s="55">
        <v>28500</v>
      </c>
      <c r="AS5161" s="78">
        <f t="shared" si="84"/>
        <v>0</v>
      </c>
    </row>
    <row r="5162" spans="39:45">
      <c r="AM5162" s="54">
        <v>2019</v>
      </c>
      <c r="AN5162" s="54" t="s">
        <v>189</v>
      </c>
      <c r="AO5162" s="54">
        <v>4</v>
      </c>
      <c r="AP5162" s="54">
        <v>24</v>
      </c>
      <c r="AQ5162" s="54">
        <v>0</v>
      </c>
      <c r="AR5162" s="55">
        <v>28500</v>
      </c>
      <c r="AS5162" s="78">
        <f t="shared" si="84"/>
        <v>0</v>
      </c>
    </row>
    <row r="5163" spans="39:45">
      <c r="AM5163" s="55">
        <v>2019</v>
      </c>
      <c r="AN5163" s="55" t="s">
        <v>189</v>
      </c>
      <c r="AO5163" s="55">
        <v>4</v>
      </c>
      <c r="AP5163" s="55">
        <v>1</v>
      </c>
      <c r="AQ5163" s="55">
        <v>0</v>
      </c>
      <c r="AR5163" s="55">
        <v>28500</v>
      </c>
      <c r="AS5163" s="78">
        <f t="shared" si="84"/>
        <v>0</v>
      </c>
    </row>
    <row r="5164" spans="39:45">
      <c r="AM5164" s="54">
        <v>2019</v>
      </c>
      <c r="AN5164" s="54" t="s">
        <v>189</v>
      </c>
      <c r="AO5164" s="54">
        <v>4</v>
      </c>
      <c r="AP5164" s="54">
        <v>2</v>
      </c>
      <c r="AQ5164" s="54">
        <v>0</v>
      </c>
      <c r="AR5164" s="55">
        <v>28500</v>
      </c>
      <c r="AS5164" s="78">
        <f t="shared" si="84"/>
        <v>0</v>
      </c>
    </row>
    <row r="5165" spans="39:45">
      <c r="AM5165" s="55">
        <v>2019</v>
      </c>
      <c r="AN5165" s="55" t="s">
        <v>189</v>
      </c>
      <c r="AO5165" s="55">
        <v>4</v>
      </c>
      <c r="AP5165" s="55">
        <v>3</v>
      </c>
      <c r="AQ5165" s="55">
        <v>0</v>
      </c>
      <c r="AR5165" s="55">
        <v>28500</v>
      </c>
      <c r="AS5165" s="78">
        <f t="shared" si="84"/>
        <v>0</v>
      </c>
    </row>
    <row r="5166" spans="39:45">
      <c r="AM5166" s="54">
        <v>2019</v>
      </c>
      <c r="AN5166" s="54" t="s">
        <v>189</v>
      </c>
      <c r="AO5166" s="54">
        <v>4</v>
      </c>
      <c r="AP5166" s="54">
        <v>4</v>
      </c>
      <c r="AQ5166" s="54">
        <v>0</v>
      </c>
      <c r="AR5166" s="55">
        <v>28500</v>
      </c>
      <c r="AS5166" s="78">
        <f t="shared" si="84"/>
        <v>0</v>
      </c>
    </row>
    <row r="5167" spans="39:45">
      <c r="AM5167" s="55">
        <v>2019</v>
      </c>
      <c r="AN5167" s="55" t="s">
        <v>189</v>
      </c>
      <c r="AO5167" s="55">
        <v>4</v>
      </c>
      <c r="AP5167" s="55">
        <v>5</v>
      </c>
      <c r="AQ5167" s="55">
        <v>0</v>
      </c>
      <c r="AR5167" s="55">
        <v>28500</v>
      </c>
      <c r="AS5167" s="78">
        <f t="shared" si="84"/>
        <v>0</v>
      </c>
    </row>
    <row r="5168" spans="39:45">
      <c r="AM5168" s="54">
        <v>2019</v>
      </c>
      <c r="AN5168" s="54" t="s">
        <v>189</v>
      </c>
      <c r="AO5168" s="54">
        <v>4</v>
      </c>
      <c r="AP5168" s="54">
        <v>6</v>
      </c>
      <c r="AQ5168" s="54">
        <v>3213</v>
      </c>
      <c r="AR5168" s="55">
        <v>28500</v>
      </c>
      <c r="AS5168" s="78">
        <f t="shared" si="84"/>
        <v>0.11273684210526316</v>
      </c>
    </row>
    <row r="5169" spans="39:45">
      <c r="AM5169" s="55">
        <v>2019</v>
      </c>
      <c r="AN5169" s="55" t="s">
        <v>189</v>
      </c>
      <c r="AO5169" s="55">
        <v>4</v>
      </c>
      <c r="AP5169" s="55">
        <v>7</v>
      </c>
      <c r="AQ5169" s="55">
        <v>7074.5</v>
      </c>
      <c r="AR5169" s="55">
        <v>28500</v>
      </c>
      <c r="AS5169" s="78">
        <f t="shared" si="84"/>
        <v>0.2482280701754386</v>
      </c>
    </row>
    <row r="5170" spans="39:45">
      <c r="AM5170" s="54">
        <v>2019</v>
      </c>
      <c r="AN5170" s="54" t="s">
        <v>189</v>
      </c>
      <c r="AO5170" s="54">
        <v>4</v>
      </c>
      <c r="AP5170" s="54">
        <v>8</v>
      </c>
      <c r="AQ5170" s="54">
        <v>9556.5</v>
      </c>
      <c r="AR5170" s="55">
        <v>28500</v>
      </c>
      <c r="AS5170" s="78">
        <f t="shared" si="84"/>
        <v>0.33531578947368423</v>
      </c>
    </row>
    <row r="5171" spans="39:45">
      <c r="AM5171" s="55">
        <v>2019</v>
      </c>
      <c r="AN5171" s="55" t="s">
        <v>189</v>
      </c>
      <c r="AO5171" s="55">
        <v>4</v>
      </c>
      <c r="AP5171" s="55">
        <v>9</v>
      </c>
      <c r="AQ5171" s="55">
        <v>14511.5</v>
      </c>
      <c r="AR5171" s="55">
        <v>28500</v>
      </c>
      <c r="AS5171" s="78">
        <f t="shared" si="84"/>
        <v>0.50917543859649128</v>
      </c>
    </row>
    <row r="5172" spans="39:45">
      <c r="AM5172" s="54">
        <v>2019</v>
      </c>
      <c r="AN5172" s="54" t="s">
        <v>189</v>
      </c>
      <c r="AO5172" s="54">
        <v>4</v>
      </c>
      <c r="AP5172" s="54">
        <v>10</v>
      </c>
      <c r="AQ5172" s="54">
        <v>24900</v>
      </c>
      <c r="AR5172" s="55">
        <v>28500</v>
      </c>
      <c r="AS5172" s="78">
        <f t="shared" si="84"/>
        <v>0.87368421052631584</v>
      </c>
    </row>
    <row r="5173" spans="39:45">
      <c r="AM5173" s="55">
        <v>2019</v>
      </c>
      <c r="AN5173" s="55" t="s">
        <v>189</v>
      </c>
      <c r="AO5173" s="55">
        <v>4</v>
      </c>
      <c r="AP5173" s="55">
        <v>11</v>
      </c>
      <c r="AQ5173" s="55">
        <v>22370</v>
      </c>
      <c r="AR5173" s="55">
        <v>28500</v>
      </c>
      <c r="AS5173" s="78">
        <f t="shared" si="84"/>
        <v>0.78491228070175434</v>
      </c>
    </row>
    <row r="5174" spans="39:45">
      <c r="AM5174" s="54">
        <v>2019</v>
      </c>
      <c r="AN5174" s="54" t="s">
        <v>189</v>
      </c>
      <c r="AO5174" s="54">
        <v>4</v>
      </c>
      <c r="AP5174" s="54">
        <v>12</v>
      </c>
      <c r="AQ5174" s="54">
        <v>21499</v>
      </c>
      <c r="AR5174" s="55">
        <v>28500</v>
      </c>
      <c r="AS5174" s="78">
        <f t="shared" si="84"/>
        <v>0.75435087719298244</v>
      </c>
    </row>
    <row r="5175" spans="39:45">
      <c r="AM5175" s="55">
        <v>2019</v>
      </c>
      <c r="AN5175" s="55" t="s">
        <v>189</v>
      </c>
      <c r="AO5175" s="55">
        <v>4</v>
      </c>
      <c r="AP5175" s="55">
        <v>13</v>
      </c>
      <c r="AQ5175" s="55">
        <v>24299.5</v>
      </c>
      <c r="AR5175" s="55">
        <v>28500</v>
      </c>
      <c r="AS5175" s="78">
        <f t="shared" si="84"/>
        <v>0.85261403508771927</v>
      </c>
    </row>
    <row r="5176" spans="39:45">
      <c r="AM5176" s="54">
        <v>2019</v>
      </c>
      <c r="AN5176" s="54" t="s">
        <v>189</v>
      </c>
      <c r="AO5176" s="54">
        <v>4</v>
      </c>
      <c r="AP5176" s="54">
        <v>14</v>
      </c>
      <c r="AQ5176" s="54">
        <v>27840.5</v>
      </c>
      <c r="AR5176" s="55">
        <v>28500</v>
      </c>
      <c r="AS5176" s="78">
        <f t="shared" si="84"/>
        <v>0.97685964912280698</v>
      </c>
    </row>
    <row r="5177" spans="39:45">
      <c r="AM5177" s="55">
        <v>2019</v>
      </c>
      <c r="AN5177" s="55" t="s">
        <v>189</v>
      </c>
      <c r="AO5177" s="55">
        <v>4</v>
      </c>
      <c r="AP5177" s="55">
        <v>15</v>
      </c>
      <c r="AQ5177" s="55">
        <v>7476.5</v>
      </c>
      <c r="AR5177" s="55">
        <v>28500</v>
      </c>
      <c r="AS5177" s="78">
        <f t="shared" si="84"/>
        <v>0.26233333333333331</v>
      </c>
    </row>
    <row r="5178" spans="39:45">
      <c r="AM5178" s="54">
        <v>2019</v>
      </c>
      <c r="AN5178" s="54" t="s">
        <v>189</v>
      </c>
      <c r="AO5178" s="54">
        <v>4</v>
      </c>
      <c r="AP5178" s="54">
        <v>16</v>
      </c>
      <c r="AQ5178" s="54">
        <v>1572</v>
      </c>
      <c r="AR5178" s="55">
        <v>28500</v>
      </c>
      <c r="AS5178" s="78">
        <f t="shared" si="84"/>
        <v>5.5157894736842107E-2</v>
      </c>
    </row>
    <row r="5179" spans="39:45">
      <c r="AM5179" s="55">
        <v>2019</v>
      </c>
      <c r="AN5179" s="55" t="s">
        <v>189</v>
      </c>
      <c r="AO5179" s="55">
        <v>4</v>
      </c>
      <c r="AP5179" s="55">
        <v>17</v>
      </c>
      <c r="AQ5179" s="55">
        <v>1236.5</v>
      </c>
      <c r="AR5179" s="55">
        <v>28500</v>
      </c>
      <c r="AS5179" s="78">
        <f t="shared" si="84"/>
        <v>4.3385964912280701E-2</v>
      </c>
    </row>
    <row r="5180" spans="39:45">
      <c r="AM5180" s="54">
        <v>2019</v>
      </c>
      <c r="AN5180" s="54" t="s">
        <v>189</v>
      </c>
      <c r="AO5180" s="54">
        <v>4</v>
      </c>
      <c r="AP5180" s="54">
        <v>18</v>
      </c>
      <c r="AQ5180" s="54">
        <v>179.5</v>
      </c>
      <c r="AR5180" s="55">
        <v>28500</v>
      </c>
      <c r="AS5180" s="78">
        <f t="shared" si="84"/>
        <v>6.2982456140350876E-3</v>
      </c>
    </row>
    <row r="5181" spans="39:45">
      <c r="AM5181" s="55">
        <v>2019</v>
      </c>
      <c r="AN5181" s="55" t="s">
        <v>189</v>
      </c>
      <c r="AO5181" s="55">
        <v>4</v>
      </c>
      <c r="AP5181" s="55">
        <v>19</v>
      </c>
      <c r="AQ5181" s="55">
        <v>0</v>
      </c>
      <c r="AR5181" s="55">
        <v>28500</v>
      </c>
      <c r="AS5181" s="78">
        <f t="shared" si="84"/>
        <v>0</v>
      </c>
    </row>
    <row r="5182" spans="39:45">
      <c r="AM5182" s="54">
        <v>2019</v>
      </c>
      <c r="AN5182" s="54" t="s">
        <v>189</v>
      </c>
      <c r="AO5182" s="54">
        <v>4</v>
      </c>
      <c r="AP5182" s="54">
        <v>20</v>
      </c>
      <c r="AQ5182" s="54">
        <v>0</v>
      </c>
      <c r="AR5182" s="55">
        <v>28500</v>
      </c>
      <c r="AS5182" s="78">
        <f t="shared" si="84"/>
        <v>0</v>
      </c>
    </row>
    <row r="5183" spans="39:45">
      <c r="AM5183" s="55">
        <v>2019</v>
      </c>
      <c r="AN5183" s="55" t="s">
        <v>189</v>
      </c>
      <c r="AO5183" s="55">
        <v>4</v>
      </c>
      <c r="AP5183" s="55">
        <v>21</v>
      </c>
      <c r="AQ5183" s="55">
        <v>0</v>
      </c>
      <c r="AR5183" s="55">
        <v>28500</v>
      </c>
      <c r="AS5183" s="78">
        <f t="shared" si="84"/>
        <v>0</v>
      </c>
    </row>
    <row r="5184" spans="39:45">
      <c r="AM5184" s="54">
        <v>2019</v>
      </c>
      <c r="AN5184" s="54" t="s">
        <v>189</v>
      </c>
      <c r="AO5184" s="54">
        <v>4</v>
      </c>
      <c r="AP5184" s="54">
        <v>22</v>
      </c>
      <c r="AQ5184" s="54">
        <v>0</v>
      </c>
      <c r="AR5184" s="55">
        <v>28500</v>
      </c>
      <c r="AS5184" s="78">
        <f t="shared" si="84"/>
        <v>0</v>
      </c>
    </row>
    <row r="5185" spans="39:45">
      <c r="AM5185" s="55">
        <v>2019</v>
      </c>
      <c r="AN5185" s="55" t="s">
        <v>189</v>
      </c>
      <c r="AO5185" s="55">
        <v>4</v>
      </c>
      <c r="AP5185" s="55">
        <v>23</v>
      </c>
      <c r="AQ5185" s="55">
        <v>0</v>
      </c>
      <c r="AR5185" s="55">
        <v>28500</v>
      </c>
      <c r="AS5185" s="78">
        <f t="shared" si="84"/>
        <v>0</v>
      </c>
    </row>
    <row r="5186" spans="39:45">
      <c r="AM5186" s="54">
        <v>2019</v>
      </c>
      <c r="AN5186" s="54" t="s">
        <v>189</v>
      </c>
      <c r="AO5186" s="54">
        <v>5</v>
      </c>
      <c r="AP5186" s="54">
        <v>24</v>
      </c>
      <c r="AQ5186" s="54">
        <v>0</v>
      </c>
      <c r="AR5186" s="55">
        <v>28500</v>
      </c>
      <c r="AS5186" s="78">
        <f t="shared" ref="AS5186:AS5249" si="85">AQ5186/AR5186</f>
        <v>0</v>
      </c>
    </row>
    <row r="5187" spans="39:45">
      <c r="AM5187" s="55">
        <v>2019</v>
      </c>
      <c r="AN5187" s="55" t="s">
        <v>189</v>
      </c>
      <c r="AO5187" s="55">
        <v>5</v>
      </c>
      <c r="AP5187" s="55">
        <v>1</v>
      </c>
      <c r="AQ5187" s="55">
        <v>0</v>
      </c>
      <c r="AR5187" s="55">
        <v>28500</v>
      </c>
      <c r="AS5187" s="78">
        <f t="shared" si="85"/>
        <v>0</v>
      </c>
    </row>
    <row r="5188" spans="39:45">
      <c r="AM5188" s="54">
        <v>2019</v>
      </c>
      <c r="AN5188" s="54" t="s">
        <v>189</v>
      </c>
      <c r="AO5188" s="54">
        <v>5</v>
      </c>
      <c r="AP5188" s="54">
        <v>2</v>
      </c>
      <c r="AQ5188" s="54">
        <v>0</v>
      </c>
      <c r="AR5188" s="55">
        <v>28500</v>
      </c>
      <c r="AS5188" s="78">
        <f t="shared" si="85"/>
        <v>0</v>
      </c>
    </row>
    <row r="5189" spans="39:45">
      <c r="AM5189" s="55">
        <v>2019</v>
      </c>
      <c r="AN5189" s="55" t="s">
        <v>189</v>
      </c>
      <c r="AO5189" s="55">
        <v>5</v>
      </c>
      <c r="AP5189" s="55">
        <v>3</v>
      </c>
      <c r="AQ5189" s="55">
        <v>0</v>
      </c>
      <c r="AR5189" s="55">
        <v>28500</v>
      </c>
      <c r="AS5189" s="78">
        <f t="shared" si="85"/>
        <v>0</v>
      </c>
    </row>
    <row r="5190" spans="39:45">
      <c r="AM5190" s="54">
        <v>2019</v>
      </c>
      <c r="AN5190" s="54" t="s">
        <v>189</v>
      </c>
      <c r="AO5190" s="54">
        <v>5</v>
      </c>
      <c r="AP5190" s="54">
        <v>4</v>
      </c>
      <c r="AQ5190" s="54">
        <v>0</v>
      </c>
      <c r="AR5190" s="55">
        <v>28500</v>
      </c>
      <c r="AS5190" s="78">
        <f t="shared" si="85"/>
        <v>0</v>
      </c>
    </row>
    <row r="5191" spans="39:45">
      <c r="AM5191" s="55">
        <v>2019</v>
      </c>
      <c r="AN5191" s="55" t="s">
        <v>189</v>
      </c>
      <c r="AO5191" s="55">
        <v>5</v>
      </c>
      <c r="AP5191" s="55">
        <v>5</v>
      </c>
      <c r="AQ5191" s="55">
        <v>3.5</v>
      </c>
      <c r="AR5191" s="55">
        <v>28500</v>
      </c>
      <c r="AS5191" s="78">
        <f t="shared" si="85"/>
        <v>1.2280701754385965E-4</v>
      </c>
    </row>
    <row r="5192" spans="39:45">
      <c r="AM5192" s="54">
        <v>2019</v>
      </c>
      <c r="AN5192" s="54" t="s">
        <v>189</v>
      </c>
      <c r="AO5192" s="54">
        <v>5</v>
      </c>
      <c r="AP5192" s="54">
        <v>6</v>
      </c>
      <c r="AQ5192" s="54">
        <v>1697.5</v>
      </c>
      <c r="AR5192" s="55">
        <v>28500</v>
      </c>
      <c r="AS5192" s="78">
        <f t="shared" si="85"/>
        <v>5.9561403508771933E-2</v>
      </c>
    </row>
    <row r="5193" spans="39:45">
      <c r="AM5193" s="55">
        <v>2019</v>
      </c>
      <c r="AN5193" s="55" t="s">
        <v>189</v>
      </c>
      <c r="AO5193" s="55">
        <v>5</v>
      </c>
      <c r="AP5193" s="55">
        <v>7</v>
      </c>
      <c r="AQ5193" s="55">
        <v>9196.5</v>
      </c>
      <c r="AR5193" s="55">
        <v>28500</v>
      </c>
      <c r="AS5193" s="78">
        <f t="shared" si="85"/>
        <v>0.3226842105263158</v>
      </c>
    </row>
    <row r="5194" spans="39:45">
      <c r="AM5194" s="54">
        <v>2019</v>
      </c>
      <c r="AN5194" s="54" t="s">
        <v>189</v>
      </c>
      <c r="AO5194" s="54">
        <v>5</v>
      </c>
      <c r="AP5194" s="54">
        <v>8</v>
      </c>
      <c r="AQ5194" s="54">
        <v>9555</v>
      </c>
      <c r="AR5194" s="55">
        <v>28500</v>
      </c>
      <c r="AS5194" s="78">
        <f t="shared" si="85"/>
        <v>0.33526315789473682</v>
      </c>
    </row>
    <row r="5195" spans="39:45">
      <c r="AM5195" s="55">
        <v>2019</v>
      </c>
      <c r="AN5195" s="55" t="s">
        <v>189</v>
      </c>
      <c r="AO5195" s="55">
        <v>5</v>
      </c>
      <c r="AP5195" s="55">
        <v>9</v>
      </c>
      <c r="AQ5195" s="55">
        <v>4943.5</v>
      </c>
      <c r="AR5195" s="55">
        <v>28500</v>
      </c>
      <c r="AS5195" s="78">
        <f t="shared" si="85"/>
        <v>0.1734561403508772</v>
      </c>
    </row>
    <row r="5196" spans="39:45">
      <c r="AM5196" s="54">
        <v>2019</v>
      </c>
      <c r="AN5196" s="54" t="s">
        <v>189</v>
      </c>
      <c r="AO5196" s="54">
        <v>5</v>
      </c>
      <c r="AP5196" s="54">
        <v>10</v>
      </c>
      <c r="AQ5196" s="54">
        <v>4437</v>
      </c>
      <c r="AR5196" s="55">
        <v>28500</v>
      </c>
      <c r="AS5196" s="78">
        <f t="shared" si="85"/>
        <v>0.15568421052631579</v>
      </c>
    </row>
    <row r="5197" spans="39:45">
      <c r="AM5197" s="55">
        <v>2019</v>
      </c>
      <c r="AN5197" s="55" t="s">
        <v>189</v>
      </c>
      <c r="AO5197" s="55">
        <v>5</v>
      </c>
      <c r="AP5197" s="55">
        <v>11</v>
      </c>
      <c r="AQ5197" s="55">
        <v>23211.5</v>
      </c>
      <c r="AR5197" s="55">
        <v>28500</v>
      </c>
      <c r="AS5197" s="78">
        <f t="shared" si="85"/>
        <v>0.81443859649122807</v>
      </c>
    </row>
    <row r="5198" spans="39:45">
      <c r="AM5198" s="54">
        <v>2019</v>
      </c>
      <c r="AN5198" s="54" t="s">
        <v>189</v>
      </c>
      <c r="AO5198" s="54">
        <v>5</v>
      </c>
      <c r="AP5198" s="54">
        <v>12</v>
      </c>
      <c r="AQ5198" s="54">
        <v>31678.5</v>
      </c>
      <c r="AR5198" s="55">
        <v>28500</v>
      </c>
      <c r="AS5198" s="78">
        <f t="shared" si="85"/>
        <v>1.1115263157894737</v>
      </c>
    </row>
    <row r="5199" spans="39:45">
      <c r="AM5199" s="55">
        <v>2019</v>
      </c>
      <c r="AN5199" s="55" t="s">
        <v>189</v>
      </c>
      <c r="AO5199" s="55">
        <v>5</v>
      </c>
      <c r="AP5199" s="55">
        <v>13</v>
      </c>
      <c r="AQ5199" s="55">
        <v>30076.5</v>
      </c>
      <c r="AR5199" s="55">
        <v>28500</v>
      </c>
      <c r="AS5199" s="78">
        <f t="shared" si="85"/>
        <v>1.0553157894736842</v>
      </c>
    </row>
    <row r="5200" spans="39:45">
      <c r="AM5200" s="54">
        <v>2019</v>
      </c>
      <c r="AN5200" s="54" t="s">
        <v>189</v>
      </c>
      <c r="AO5200" s="54">
        <v>5</v>
      </c>
      <c r="AP5200" s="54">
        <v>14</v>
      </c>
      <c r="AQ5200" s="54">
        <v>20642.5</v>
      </c>
      <c r="AR5200" s="55">
        <v>28500</v>
      </c>
      <c r="AS5200" s="78">
        <f t="shared" si="85"/>
        <v>0.72429824561403511</v>
      </c>
    </row>
    <row r="5201" spans="39:45">
      <c r="AM5201" s="55">
        <v>2019</v>
      </c>
      <c r="AN5201" s="55" t="s">
        <v>189</v>
      </c>
      <c r="AO5201" s="55">
        <v>5</v>
      </c>
      <c r="AP5201" s="55">
        <v>15</v>
      </c>
      <c r="AQ5201" s="55">
        <v>20757</v>
      </c>
      <c r="AR5201" s="55">
        <v>28500</v>
      </c>
      <c r="AS5201" s="78">
        <f t="shared" si="85"/>
        <v>0.72831578947368425</v>
      </c>
    </row>
    <row r="5202" spans="39:45">
      <c r="AM5202" s="54">
        <v>2019</v>
      </c>
      <c r="AN5202" s="54" t="s">
        <v>189</v>
      </c>
      <c r="AO5202" s="54">
        <v>5</v>
      </c>
      <c r="AP5202" s="54">
        <v>16</v>
      </c>
      <c r="AQ5202" s="54">
        <v>13990.5</v>
      </c>
      <c r="AR5202" s="55">
        <v>28500</v>
      </c>
      <c r="AS5202" s="78">
        <f t="shared" si="85"/>
        <v>0.49089473684210527</v>
      </c>
    </row>
    <row r="5203" spans="39:45">
      <c r="AM5203" s="55">
        <v>2019</v>
      </c>
      <c r="AN5203" s="55" t="s">
        <v>189</v>
      </c>
      <c r="AO5203" s="55">
        <v>5</v>
      </c>
      <c r="AP5203" s="55">
        <v>17</v>
      </c>
      <c r="AQ5203" s="55">
        <v>9180</v>
      </c>
      <c r="AR5203" s="55">
        <v>28500</v>
      </c>
      <c r="AS5203" s="78">
        <f t="shared" si="85"/>
        <v>0.32210526315789473</v>
      </c>
    </row>
    <row r="5204" spans="39:45">
      <c r="AM5204" s="54">
        <v>2019</v>
      </c>
      <c r="AN5204" s="54" t="s">
        <v>189</v>
      </c>
      <c r="AO5204" s="54">
        <v>5</v>
      </c>
      <c r="AP5204" s="54">
        <v>18</v>
      </c>
      <c r="AQ5204" s="54">
        <v>1988</v>
      </c>
      <c r="AR5204" s="55">
        <v>28500</v>
      </c>
      <c r="AS5204" s="78">
        <f t="shared" si="85"/>
        <v>6.9754385964912277E-2</v>
      </c>
    </row>
    <row r="5205" spans="39:45">
      <c r="AM5205" s="55">
        <v>2019</v>
      </c>
      <c r="AN5205" s="55" t="s">
        <v>189</v>
      </c>
      <c r="AO5205" s="55">
        <v>5</v>
      </c>
      <c r="AP5205" s="55">
        <v>19</v>
      </c>
      <c r="AQ5205" s="55">
        <v>248</v>
      </c>
      <c r="AR5205" s="55">
        <v>28500</v>
      </c>
      <c r="AS5205" s="78">
        <f t="shared" si="85"/>
        <v>8.7017543859649119E-3</v>
      </c>
    </row>
    <row r="5206" spans="39:45">
      <c r="AM5206" s="54">
        <v>2019</v>
      </c>
      <c r="AN5206" s="54" t="s">
        <v>189</v>
      </c>
      <c r="AO5206" s="54">
        <v>5</v>
      </c>
      <c r="AP5206" s="54">
        <v>20</v>
      </c>
      <c r="AQ5206" s="54">
        <v>0</v>
      </c>
      <c r="AR5206" s="55">
        <v>28500</v>
      </c>
      <c r="AS5206" s="78">
        <f t="shared" si="85"/>
        <v>0</v>
      </c>
    </row>
    <row r="5207" spans="39:45">
      <c r="AM5207" s="55">
        <v>2019</v>
      </c>
      <c r="AN5207" s="55" t="s">
        <v>189</v>
      </c>
      <c r="AO5207" s="55">
        <v>5</v>
      </c>
      <c r="AP5207" s="55">
        <v>21</v>
      </c>
      <c r="AQ5207" s="55">
        <v>0</v>
      </c>
      <c r="AR5207" s="55">
        <v>28500</v>
      </c>
      <c r="AS5207" s="78">
        <f t="shared" si="85"/>
        <v>0</v>
      </c>
    </row>
    <row r="5208" spans="39:45">
      <c r="AM5208" s="54">
        <v>2019</v>
      </c>
      <c r="AN5208" s="54" t="s">
        <v>189</v>
      </c>
      <c r="AO5208" s="54">
        <v>5</v>
      </c>
      <c r="AP5208" s="54">
        <v>22</v>
      </c>
      <c r="AQ5208" s="54">
        <v>0</v>
      </c>
      <c r="AR5208" s="55">
        <v>28500</v>
      </c>
      <c r="AS5208" s="78">
        <f t="shared" si="85"/>
        <v>0</v>
      </c>
    </row>
    <row r="5209" spans="39:45">
      <c r="AM5209" s="55">
        <v>2019</v>
      </c>
      <c r="AN5209" s="55" t="s">
        <v>189</v>
      </c>
      <c r="AO5209" s="55">
        <v>5</v>
      </c>
      <c r="AP5209" s="55">
        <v>23</v>
      </c>
      <c r="AQ5209" s="55">
        <v>0</v>
      </c>
      <c r="AR5209" s="55">
        <v>28500</v>
      </c>
      <c r="AS5209" s="78">
        <f t="shared" si="85"/>
        <v>0</v>
      </c>
    </row>
    <row r="5210" spans="39:45">
      <c r="AM5210" s="54">
        <v>2019</v>
      </c>
      <c r="AN5210" s="54" t="s">
        <v>189</v>
      </c>
      <c r="AO5210" s="54">
        <v>6</v>
      </c>
      <c r="AP5210" s="54">
        <v>24</v>
      </c>
      <c r="AQ5210" s="54">
        <v>0</v>
      </c>
      <c r="AR5210" s="55">
        <v>28500</v>
      </c>
      <c r="AS5210" s="78">
        <f t="shared" si="85"/>
        <v>0</v>
      </c>
    </row>
    <row r="5211" spans="39:45">
      <c r="AM5211" s="55">
        <v>2019</v>
      </c>
      <c r="AN5211" s="55" t="s">
        <v>189</v>
      </c>
      <c r="AO5211" s="55">
        <v>6</v>
      </c>
      <c r="AP5211" s="55">
        <v>1</v>
      </c>
      <c r="AQ5211" s="55">
        <v>0</v>
      </c>
      <c r="AR5211" s="55">
        <v>28500</v>
      </c>
      <c r="AS5211" s="78">
        <f t="shared" si="85"/>
        <v>0</v>
      </c>
    </row>
    <row r="5212" spans="39:45">
      <c r="AM5212" s="54">
        <v>2019</v>
      </c>
      <c r="AN5212" s="54" t="s">
        <v>189</v>
      </c>
      <c r="AO5212" s="54">
        <v>6</v>
      </c>
      <c r="AP5212" s="54">
        <v>2</v>
      </c>
      <c r="AQ5212" s="54">
        <v>0</v>
      </c>
      <c r="AR5212" s="55">
        <v>28500</v>
      </c>
      <c r="AS5212" s="78">
        <f t="shared" si="85"/>
        <v>0</v>
      </c>
    </row>
    <row r="5213" spans="39:45">
      <c r="AM5213" s="55">
        <v>2019</v>
      </c>
      <c r="AN5213" s="55" t="s">
        <v>189</v>
      </c>
      <c r="AO5213" s="55">
        <v>6</v>
      </c>
      <c r="AP5213" s="55">
        <v>3</v>
      </c>
      <c r="AQ5213" s="55">
        <v>0</v>
      </c>
      <c r="AR5213" s="55">
        <v>28500</v>
      </c>
      <c r="AS5213" s="78">
        <f t="shared" si="85"/>
        <v>0</v>
      </c>
    </row>
    <row r="5214" spans="39:45">
      <c r="AM5214" s="54">
        <v>2019</v>
      </c>
      <c r="AN5214" s="54" t="s">
        <v>189</v>
      </c>
      <c r="AO5214" s="54">
        <v>6</v>
      </c>
      <c r="AP5214" s="54">
        <v>4</v>
      </c>
      <c r="AQ5214" s="54">
        <v>0</v>
      </c>
      <c r="AR5214" s="55">
        <v>28500</v>
      </c>
      <c r="AS5214" s="78">
        <f t="shared" si="85"/>
        <v>0</v>
      </c>
    </row>
    <row r="5215" spans="39:45">
      <c r="AM5215" s="55">
        <v>2019</v>
      </c>
      <c r="AN5215" s="55" t="s">
        <v>189</v>
      </c>
      <c r="AO5215" s="55">
        <v>6</v>
      </c>
      <c r="AP5215" s="55">
        <v>5</v>
      </c>
      <c r="AQ5215" s="55">
        <v>525.5</v>
      </c>
      <c r="AR5215" s="55">
        <v>28500</v>
      </c>
      <c r="AS5215" s="78">
        <f t="shared" si="85"/>
        <v>1.843859649122807E-2</v>
      </c>
    </row>
    <row r="5216" spans="39:45">
      <c r="AM5216" s="54">
        <v>2019</v>
      </c>
      <c r="AN5216" s="54" t="s">
        <v>189</v>
      </c>
      <c r="AO5216" s="54">
        <v>6</v>
      </c>
      <c r="AP5216" s="54">
        <v>6</v>
      </c>
      <c r="AQ5216" s="54">
        <v>2779</v>
      </c>
      <c r="AR5216" s="55">
        <v>28500</v>
      </c>
      <c r="AS5216" s="78">
        <f t="shared" si="85"/>
        <v>9.7508771929824559E-2</v>
      </c>
    </row>
    <row r="5217" spans="39:45">
      <c r="AM5217" s="55">
        <v>2019</v>
      </c>
      <c r="AN5217" s="55" t="s">
        <v>189</v>
      </c>
      <c r="AO5217" s="55">
        <v>6</v>
      </c>
      <c r="AP5217" s="55">
        <v>7</v>
      </c>
      <c r="AQ5217" s="55">
        <v>10948.5</v>
      </c>
      <c r="AR5217" s="55">
        <v>28500</v>
      </c>
      <c r="AS5217" s="78">
        <f t="shared" si="85"/>
        <v>0.38415789473684209</v>
      </c>
    </row>
    <row r="5218" spans="39:45">
      <c r="AM5218" s="54">
        <v>2019</v>
      </c>
      <c r="AN5218" s="54" t="s">
        <v>189</v>
      </c>
      <c r="AO5218" s="54">
        <v>6</v>
      </c>
      <c r="AP5218" s="54">
        <v>8</v>
      </c>
      <c r="AQ5218" s="54">
        <v>19303</v>
      </c>
      <c r="AR5218" s="55">
        <v>28500</v>
      </c>
      <c r="AS5218" s="78">
        <f t="shared" si="85"/>
        <v>0.67729824561403507</v>
      </c>
    </row>
    <row r="5219" spans="39:45">
      <c r="AM5219" s="55">
        <v>2019</v>
      </c>
      <c r="AN5219" s="55" t="s">
        <v>189</v>
      </c>
      <c r="AO5219" s="55">
        <v>6</v>
      </c>
      <c r="AP5219" s="55">
        <v>9</v>
      </c>
      <c r="AQ5219" s="55">
        <v>27467</v>
      </c>
      <c r="AR5219" s="55">
        <v>28500</v>
      </c>
      <c r="AS5219" s="78">
        <f t="shared" si="85"/>
        <v>0.96375438596491225</v>
      </c>
    </row>
    <row r="5220" spans="39:45">
      <c r="AM5220" s="54">
        <v>2019</v>
      </c>
      <c r="AN5220" s="54" t="s">
        <v>189</v>
      </c>
      <c r="AO5220" s="54">
        <v>6</v>
      </c>
      <c r="AP5220" s="54">
        <v>10</v>
      </c>
      <c r="AQ5220" s="54">
        <v>25917.5</v>
      </c>
      <c r="AR5220" s="55">
        <v>28500</v>
      </c>
      <c r="AS5220" s="78">
        <f t="shared" si="85"/>
        <v>0.90938596491228074</v>
      </c>
    </row>
    <row r="5221" spans="39:45">
      <c r="AM5221" s="55">
        <v>2019</v>
      </c>
      <c r="AN5221" s="55" t="s">
        <v>189</v>
      </c>
      <c r="AO5221" s="55">
        <v>6</v>
      </c>
      <c r="AP5221" s="55">
        <v>11</v>
      </c>
      <c r="AQ5221" s="55">
        <v>26656.5</v>
      </c>
      <c r="AR5221" s="55">
        <v>28500</v>
      </c>
      <c r="AS5221" s="78">
        <f t="shared" si="85"/>
        <v>0.93531578947368421</v>
      </c>
    </row>
    <row r="5222" spans="39:45">
      <c r="AM5222" s="54">
        <v>2019</v>
      </c>
      <c r="AN5222" s="54" t="s">
        <v>189</v>
      </c>
      <c r="AO5222" s="54">
        <v>6</v>
      </c>
      <c r="AP5222" s="54">
        <v>12</v>
      </c>
      <c r="AQ5222" s="54">
        <v>18427</v>
      </c>
      <c r="AR5222" s="55">
        <v>28500</v>
      </c>
      <c r="AS5222" s="78">
        <f t="shared" si="85"/>
        <v>0.64656140350877189</v>
      </c>
    </row>
    <row r="5223" spans="39:45">
      <c r="AM5223" s="55">
        <v>2019</v>
      </c>
      <c r="AN5223" s="55" t="s">
        <v>189</v>
      </c>
      <c r="AO5223" s="55">
        <v>6</v>
      </c>
      <c r="AP5223" s="55">
        <v>13</v>
      </c>
      <c r="AQ5223" s="55">
        <v>20981</v>
      </c>
      <c r="AR5223" s="55">
        <v>28500</v>
      </c>
      <c r="AS5223" s="78">
        <f t="shared" si="85"/>
        <v>0.73617543859649126</v>
      </c>
    </row>
    <row r="5224" spans="39:45">
      <c r="AM5224" s="54">
        <v>2019</v>
      </c>
      <c r="AN5224" s="54" t="s">
        <v>189</v>
      </c>
      <c r="AO5224" s="54">
        <v>6</v>
      </c>
      <c r="AP5224" s="54">
        <v>14</v>
      </c>
      <c r="AQ5224" s="54">
        <v>29299</v>
      </c>
      <c r="AR5224" s="55">
        <v>28500</v>
      </c>
      <c r="AS5224" s="78">
        <f t="shared" si="85"/>
        <v>1.0280350877192983</v>
      </c>
    </row>
    <row r="5225" spans="39:45">
      <c r="AM5225" s="55">
        <v>2019</v>
      </c>
      <c r="AN5225" s="55" t="s">
        <v>189</v>
      </c>
      <c r="AO5225" s="55">
        <v>6</v>
      </c>
      <c r="AP5225" s="55">
        <v>15</v>
      </c>
      <c r="AQ5225" s="55">
        <v>15350</v>
      </c>
      <c r="AR5225" s="55">
        <v>28500</v>
      </c>
      <c r="AS5225" s="78">
        <f t="shared" si="85"/>
        <v>0.53859649122807018</v>
      </c>
    </row>
    <row r="5226" spans="39:45">
      <c r="AM5226" s="54">
        <v>2019</v>
      </c>
      <c r="AN5226" s="54" t="s">
        <v>189</v>
      </c>
      <c r="AO5226" s="54">
        <v>6</v>
      </c>
      <c r="AP5226" s="54">
        <v>16</v>
      </c>
      <c r="AQ5226" s="54">
        <v>15580</v>
      </c>
      <c r="AR5226" s="55">
        <v>28500</v>
      </c>
      <c r="AS5226" s="78">
        <f t="shared" si="85"/>
        <v>0.54666666666666663</v>
      </c>
    </row>
    <row r="5227" spans="39:45">
      <c r="AM5227" s="55">
        <v>2019</v>
      </c>
      <c r="AN5227" s="55" t="s">
        <v>189</v>
      </c>
      <c r="AO5227" s="55">
        <v>6</v>
      </c>
      <c r="AP5227" s="55">
        <v>17</v>
      </c>
      <c r="AQ5227" s="55">
        <v>8774.5</v>
      </c>
      <c r="AR5227" s="55">
        <v>28500</v>
      </c>
      <c r="AS5227" s="78">
        <f t="shared" si="85"/>
        <v>0.30787719298245614</v>
      </c>
    </row>
    <row r="5228" spans="39:45">
      <c r="AM5228" s="54">
        <v>2019</v>
      </c>
      <c r="AN5228" s="54" t="s">
        <v>189</v>
      </c>
      <c r="AO5228" s="54">
        <v>6</v>
      </c>
      <c r="AP5228" s="54">
        <v>18</v>
      </c>
      <c r="AQ5228" s="54">
        <v>2239</v>
      </c>
      <c r="AR5228" s="55">
        <v>28500</v>
      </c>
      <c r="AS5228" s="78">
        <f t="shared" si="85"/>
        <v>7.8561403508771929E-2</v>
      </c>
    </row>
    <row r="5229" spans="39:45">
      <c r="AM5229" s="55">
        <v>2019</v>
      </c>
      <c r="AN5229" s="55" t="s">
        <v>189</v>
      </c>
      <c r="AO5229" s="55">
        <v>6</v>
      </c>
      <c r="AP5229" s="55">
        <v>19</v>
      </c>
      <c r="AQ5229" s="55">
        <v>202</v>
      </c>
      <c r="AR5229" s="55">
        <v>28500</v>
      </c>
      <c r="AS5229" s="78">
        <f t="shared" si="85"/>
        <v>7.0877192982456141E-3</v>
      </c>
    </row>
    <row r="5230" spans="39:45">
      <c r="AM5230" s="54">
        <v>2019</v>
      </c>
      <c r="AN5230" s="54" t="s">
        <v>189</v>
      </c>
      <c r="AO5230" s="54">
        <v>6</v>
      </c>
      <c r="AP5230" s="54">
        <v>20</v>
      </c>
      <c r="AQ5230" s="54">
        <v>0</v>
      </c>
      <c r="AR5230" s="55">
        <v>28500</v>
      </c>
      <c r="AS5230" s="78">
        <f t="shared" si="85"/>
        <v>0</v>
      </c>
    </row>
    <row r="5231" spans="39:45">
      <c r="AM5231" s="55">
        <v>2019</v>
      </c>
      <c r="AN5231" s="55" t="s">
        <v>189</v>
      </c>
      <c r="AO5231" s="55">
        <v>6</v>
      </c>
      <c r="AP5231" s="55">
        <v>21</v>
      </c>
      <c r="AQ5231" s="55">
        <v>0</v>
      </c>
      <c r="AR5231" s="55">
        <v>28500</v>
      </c>
      <c r="AS5231" s="78">
        <f t="shared" si="85"/>
        <v>0</v>
      </c>
    </row>
    <row r="5232" spans="39:45">
      <c r="AM5232" s="54">
        <v>2019</v>
      </c>
      <c r="AN5232" s="54" t="s">
        <v>189</v>
      </c>
      <c r="AO5232" s="54">
        <v>6</v>
      </c>
      <c r="AP5232" s="54">
        <v>22</v>
      </c>
      <c r="AQ5232" s="54">
        <v>0</v>
      </c>
      <c r="AR5232" s="55">
        <v>28500</v>
      </c>
      <c r="AS5232" s="78">
        <f t="shared" si="85"/>
        <v>0</v>
      </c>
    </row>
    <row r="5233" spans="39:45">
      <c r="AM5233" s="55">
        <v>2019</v>
      </c>
      <c r="AN5233" s="55" t="s">
        <v>189</v>
      </c>
      <c r="AO5233" s="55">
        <v>6</v>
      </c>
      <c r="AP5233" s="55">
        <v>23</v>
      </c>
      <c r="AQ5233" s="55">
        <v>0</v>
      </c>
      <c r="AR5233" s="55">
        <v>28500</v>
      </c>
      <c r="AS5233" s="78">
        <f t="shared" si="85"/>
        <v>0</v>
      </c>
    </row>
    <row r="5234" spans="39:45">
      <c r="AM5234" s="54">
        <v>2019</v>
      </c>
      <c r="AN5234" s="54" t="s">
        <v>189</v>
      </c>
      <c r="AO5234" s="54">
        <v>7</v>
      </c>
      <c r="AP5234" s="54">
        <v>24</v>
      </c>
      <c r="AQ5234" s="54">
        <v>0</v>
      </c>
      <c r="AR5234" s="55">
        <v>28500</v>
      </c>
      <c r="AS5234" s="78">
        <f t="shared" si="85"/>
        <v>0</v>
      </c>
    </row>
    <row r="5235" spans="39:45">
      <c r="AM5235" s="55">
        <v>2019</v>
      </c>
      <c r="AN5235" s="55" t="s">
        <v>189</v>
      </c>
      <c r="AO5235" s="55">
        <v>7</v>
      </c>
      <c r="AP5235" s="55">
        <v>1</v>
      </c>
      <c r="AQ5235" s="55">
        <v>0</v>
      </c>
      <c r="AR5235" s="55">
        <v>28500</v>
      </c>
      <c r="AS5235" s="78">
        <f t="shared" si="85"/>
        <v>0</v>
      </c>
    </row>
    <row r="5236" spans="39:45">
      <c r="AM5236" s="54">
        <v>2019</v>
      </c>
      <c r="AN5236" s="54" t="s">
        <v>189</v>
      </c>
      <c r="AO5236" s="54">
        <v>7</v>
      </c>
      <c r="AP5236" s="54">
        <v>2</v>
      </c>
      <c r="AQ5236" s="54">
        <v>0</v>
      </c>
      <c r="AR5236" s="55">
        <v>28500</v>
      </c>
      <c r="AS5236" s="78">
        <f t="shared" si="85"/>
        <v>0</v>
      </c>
    </row>
    <row r="5237" spans="39:45">
      <c r="AM5237" s="55">
        <v>2019</v>
      </c>
      <c r="AN5237" s="55" t="s">
        <v>189</v>
      </c>
      <c r="AO5237" s="55">
        <v>7</v>
      </c>
      <c r="AP5237" s="55">
        <v>3</v>
      </c>
      <c r="AQ5237" s="55">
        <v>0</v>
      </c>
      <c r="AR5237" s="55">
        <v>28500</v>
      </c>
      <c r="AS5237" s="78">
        <f t="shared" si="85"/>
        <v>0</v>
      </c>
    </row>
    <row r="5238" spans="39:45">
      <c r="AM5238" s="54">
        <v>2019</v>
      </c>
      <c r="AN5238" s="54" t="s">
        <v>189</v>
      </c>
      <c r="AO5238" s="54">
        <v>7</v>
      </c>
      <c r="AP5238" s="54">
        <v>4</v>
      </c>
      <c r="AQ5238" s="54">
        <v>0</v>
      </c>
      <c r="AR5238" s="55">
        <v>28500</v>
      </c>
      <c r="AS5238" s="78">
        <f t="shared" si="85"/>
        <v>0</v>
      </c>
    </row>
    <row r="5239" spans="39:45">
      <c r="AM5239" s="55">
        <v>2019</v>
      </c>
      <c r="AN5239" s="55" t="s">
        <v>189</v>
      </c>
      <c r="AO5239" s="55">
        <v>7</v>
      </c>
      <c r="AP5239" s="55">
        <v>5</v>
      </c>
      <c r="AQ5239" s="55">
        <v>497.5</v>
      </c>
      <c r="AR5239" s="55">
        <v>28500</v>
      </c>
      <c r="AS5239" s="78">
        <f t="shared" si="85"/>
        <v>1.7456140350877194E-2</v>
      </c>
    </row>
    <row r="5240" spans="39:45">
      <c r="AM5240" s="54">
        <v>2019</v>
      </c>
      <c r="AN5240" s="54" t="s">
        <v>189</v>
      </c>
      <c r="AO5240" s="54">
        <v>7</v>
      </c>
      <c r="AP5240" s="54">
        <v>6</v>
      </c>
      <c r="AQ5240" s="54">
        <v>3001</v>
      </c>
      <c r="AR5240" s="55">
        <v>28500</v>
      </c>
      <c r="AS5240" s="78">
        <f t="shared" si="85"/>
        <v>0.10529824561403509</v>
      </c>
    </row>
    <row r="5241" spans="39:45">
      <c r="AM5241" s="55">
        <v>2019</v>
      </c>
      <c r="AN5241" s="55" t="s">
        <v>189</v>
      </c>
      <c r="AO5241" s="55">
        <v>7</v>
      </c>
      <c r="AP5241" s="55">
        <v>7</v>
      </c>
      <c r="AQ5241" s="55">
        <v>10629</v>
      </c>
      <c r="AR5241" s="55">
        <v>28500</v>
      </c>
      <c r="AS5241" s="78">
        <f t="shared" si="85"/>
        <v>0.37294736842105264</v>
      </c>
    </row>
    <row r="5242" spans="39:45">
      <c r="AM5242" s="54">
        <v>2019</v>
      </c>
      <c r="AN5242" s="54" t="s">
        <v>189</v>
      </c>
      <c r="AO5242" s="54">
        <v>7</v>
      </c>
      <c r="AP5242" s="54">
        <v>8</v>
      </c>
      <c r="AQ5242" s="54">
        <v>19799.5</v>
      </c>
      <c r="AR5242" s="55">
        <v>28500</v>
      </c>
      <c r="AS5242" s="78">
        <f t="shared" si="85"/>
        <v>0.69471929824561407</v>
      </c>
    </row>
    <row r="5243" spans="39:45">
      <c r="AM5243" s="55">
        <v>2019</v>
      </c>
      <c r="AN5243" s="55" t="s">
        <v>189</v>
      </c>
      <c r="AO5243" s="55">
        <v>7</v>
      </c>
      <c r="AP5243" s="55">
        <v>9</v>
      </c>
      <c r="AQ5243" s="55">
        <v>15915.5</v>
      </c>
      <c r="AR5243" s="55">
        <v>28500</v>
      </c>
      <c r="AS5243" s="78">
        <f t="shared" si="85"/>
        <v>0.55843859649122807</v>
      </c>
    </row>
    <row r="5244" spans="39:45">
      <c r="AM5244" s="54">
        <v>2019</v>
      </c>
      <c r="AN5244" s="54" t="s">
        <v>189</v>
      </c>
      <c r="AO5244" s="54">
        <v>7</v>
      </c>
      <c r="AP5244" s="54">
        <v>10</v>
      </c>
      <c r="AQ5244" s="54">
        <v>28896</v>
      </c>
      <c r="AR5244" s="55">
        <v>28500</v>
      </c>
      <c r="AS5244" s="78">
        <f t="shared" si="85"/>
        <v>1.0138947368421052</v>
      </c>
    </row>
    <row r="5245" spans="39:45">
      <c r="AM5245" s="55">
        <v>2019</v>
      </c>
      <c r="AN5245" s="55" t="s">
        <v>189</v>
      </c>
      <c r="AO5245" s="55">
        <v>7</v>
      </c>
      <c r="AP5245" s="55">
        <v>11</v>
      </c>
      <c r="AQ5245" s="55">
        <v>20123</v>
      </c>
      <c r="AR5245" s="55">
        <v>28500</v>
      </c>
      <c r="AS5245" s="78">
        <f t="shared" si="85"/>
        <v>0.70607017543859651</v>
      </c>
    </row>
    <row r="5246" spans="39:45">
      <c r="AM5246" s="54">
        <v>2019</v>
      </c>
      <c r="AN5246" s="54" t="s">
        <v>189</v>
      </c>
      <c r="AO5246" s="54">
        <v>7</v>
      </c>
      <c r="AP5246" s="54">
        <v>12</v>
      </c>
      <c r="AQ5246" s="54">
        <v>32769</v>
      </c>
      <c r="AR5246" s="55">
        <v>28500</v>
      </c>
      <c r="AS5246" s="78">
        <f t="shared" si="85"/>
        <v>1.1497894736842105</v>
      </c>
    </row>
    <row r="5247" spans="39:45">
      <c r="AM5247" s="55">
        <v>2019</v>
      </c>
      <c r="AN5247" s="55" t="s">
        <v>189</v>
      </c>
      <c r="AO5247" s="55">
        <v>7</v>
      </c>
      <c r="AP5247" s="55">
        <v>13</v>
      </c>
      <c r="AQ5247" s="55">
        <v>3612.5</v>
      </c>
      <c r="AR5247" s="55">
        <v>28500</v>
      </c>
      <c r="AS5247" s="78">
        <f t="shared" si="85"/>
        <v>0.12675438596491229</v>
      </c>
    </row>
    <row r="5248" spans="39:45">
      <c r="AM5248" s="54">
        <v>2019</v>
      </c>
      <c r="AN5248" s="54" t="s">
        <v>189</v>
      </c>
      <c r="AO5248" s="54">
        <v>7</v>
      </c>
      <c r="AP5248" s="54">
        <v>14</v>
      </c>
      <c r="AQ5248" s="54">
        <v>29655.5</v>
      </c>
      <c r="AR5248" s="55">
        <v>28500</v>
      </c>
      <c r="AS5248" s="78">
        <f t="shared" si="85"/>
        <v>1.0405438596491228</v>
      </c>
    </row>
    <row r="5249" spans="39:45">
      <c r="AM5249" s="55">
        <v>2019</v>
      </c>
      <c r="AN5249" s="55" t="s">
        <v>189</v>
      </c>
      <c r="AO5249" s="55">
        <v>7</v>
      </c>
      <c r="AP5249" s="55">
        <v>15</v>
      </c>
      <c r="AQ5249" s="55">
        <v>14088</v>
      </c>
      <c r="AR5249" s="55">
        <v>28500</v>
      </c>
      <c r="AS5249" s="78">
        <f t="shared" si="85"/>
        <v>0.49431578947368421</v>
      </c>
    </row>
    <row r="5250" spans="39:45">
      <c r="AM5250" s="54">
        <v>2019</v>
      </c>
      <c r="AN5250" s="54" t="s">
        <v>189</v>
      </c>
      <c r="AO5250" s="54">
        <v>7</v>
      </c>
      <c r="AP5250" s="54">
        <v>16</v>
      </c>
      <c r="AQ5250" s="54">
        <v>14211</v>
      </c>
      <c r="AR5250" s="55">
        <v>28500</v>
      </c>
      <c r="AS5250" s="78">
        <f t="shared" ref="AS5250:AS5313" si="86">AQ5250/AR5250</f>
        <v>0.49863157894736843</v>
      </c>
    </row>
    <row r="5251" spans="39:45">
      <c r="AM5251" s="55">
        <v>2019</v>
      </c>
      <c r="AN5251" s="55" t="s">
        <v>189</v>
      </c>
      <c r="AO5251" s="55">
        <v>7</v>
      </c>
      <c r="AP5251" s="55">
        <v>17</v>
      </c>
      <c r="AQ5251" s="55">
        <v>6900</v>
      </c>
      <c r="AR5251" s="55">
        <v>28500</v>
      </c>
      <c r="AS5251" s="78">
        <f t="shared" si="86"/>
        <v>0.24210526315789474</v>
      </c>
    </row>
    <row r="5252" spans="39:45">
      <c r="AM5252" s="54">
        <v>2019</v>
      </c>
      <c r="AN5252" s="54" t="s">
        <v>189</v>
      </c>
      <c r="AO5252" s="54">
        <v>7</v>
      </c>
      <c r="AP5252" s="54">
        <v>18</v>
      </c>
      <c r="AQ5252" s="54">
        <v>1483</v>
      </c>
      <c r="AR5252" s="55">
        <v>28500</v>
      </c>
      <c r="AS5252" s="78">
        <f t="shared" si="86"/>
        <v>5.2035087719298247E-2</v>
      </c>
    </row>
    <row r="5253" spans="39:45">
      <c r="AM5253" s="55">
        <v>2019</v>
      </c>
      <c r="AN5253" s="55" t="s">
        <v>189</v>
      </c>
      <c r="AO5253" s="55">
        <v>7</v>
      </c>
      <c r="AP5253" s="55">
        <v>19</v>
      </c>
      <c r="AQ5253" s="55">
        <v>133</v>
      </c>
      <c r="AR5253" s="55">
        <v>28500</v>
      </c>
      <c r="AS5253" s="78">
        <f t="shared" si="86"/>
        <v>4.6666666666666671E-3</v>
      </c>
    </row>
    <row r="5254" spans="39:45">
      <c r="AM5254" s="54">
        <v>2019</v>
      </c>
      <c r="AN5254" s="54" t="s">
        <v>189</v>
      </c>
      <c r="AO5254" s="54">
        <v>7</v>
      </c>
      <c r="AP5254" s="54">
        <v>20</v>
      </c>
      <c r="AQ5254" s="54">
        <v>0</v>
      </c>
      <c r="AR5254" s="55">
        <v>28500</v>
      </c>
      <c r="AS5254" s="78">
        <f t="shared" si="86"/>
        <v>0</v>
      </c>
    </row>
    <row r="5255" spans="39:45">
      <c r="AM5255" s="55">
        <v>2019</v>
      </c>
      <c r="AN5255" s="55" t="s">
        <v>189</v>
      </c>
      <c r="AO5255" s="55">
        <v>7</v>
      </c>
      <c r="AP5255" s="55">
        <v>21</v>
      </c>
      <c r="AQ5255" s="55">
        <v>0</v>
      </c>
      <c r="AR5255" s="55">
        <v>28500</v>
      </c>
      <c r="AS5255" s="78">
        <f t="shared" si="86"/>
        <v>0</v>
      </c>
    </row>
    <row r="5256" spans="39:45">
      <c r="AM5256" s="54">
        <v>2019</v>
      </c>
      <c r="AN5256" s="54" t="s">
        <v>189</v>
      </c>
      <c r="AO5256" s="54">
        <v>7</v>
      </c>
      <c r="AP5256" s="54">
        <v>22</v>
      </c>
      <c r="AQ5256" s="54">
        <v>0</v>
      </c>
      <c r="AR5256" s="55">
        <v>28500</v>
      </c>
      <c r="AS5256" s="78">
        <f t="shared" si="86"/>
        <v>0</v>
      </c>
    </row>
    <row r="5257" spans="39:45">
      <c r="AM5257" s="55">
        <v>2019</v>
      </c>
      <c r="AN5257" s="55" t="s">
        <v>189</v>
      </c>
      <c r="AO5257" s="55">
        <v>7</v>
      </c>
      <c r="AP5257" s="55">
        <v>23</v>
      </c>
      <c r="AQ5257" s="55">
        <v>0</v>
      </c>
      <c r="AR5257" s="55">
        <v>28500</v>
      </c>
      <c r="AS5257" s="78">
        <f t="shared" si="86"/>
        <v>0</v>
      </c>
    </row>
    <row r="5258" spans="39:45">
      <c r="AM5258" s="54">
        <v>2019</v>
      </c>
      <c r="AN5258" s="54" t="s">
        <v>189</v>
      </c>
      <c r="AO5258" s="54">
        <v>8</v>
      </c>
      <c r="AP5258" s="54">
        <v>24</v>
      </c>
      <c r="AQ5258" s="54">
        <v>0</v>
      </c>
      <c r="AR5258" s="55">
        <v>28500</v>
      </c>
      <c r="AS5258" s="78">
        <f t="shared" si="86"/>
        <v>0</v>
      </c>
    </row>
    <row r="5259" spans="39:45">
      <c r="AM5259" s="55">
        <v>2019</v>
      </c>
      <c r="AN5259" s="55" t="s">
        <v>189</v>
      </c>
      <c r="AO5259" s="55">
        <v>8</v>
      </c>
      <c r="AP5259" s="55">
        <v>1</v>
      </c>
      <c r="AQ5259" s="55">
        <v>0</v>
      </c>
      <c r="AR5259" s="55">
        <v>28500</v>
      </c>
      <c r="AS5259" s="78">
        <f t="shared" si="86"/>
        <v>0</v>
      </c>
    </row>
    <row r="5260" spans="39:45">
      <c r="AM5260" s="54">
        <v>2019</v>
      </c>
      <c r="AN5260" s="54" t="s">
        <v>189</v>
      </c>
      <c r="AO5260" s="54">
        <v>8</v>
      </c>
      <c r="AP5260" s="54">
        <v>2</v>
      </c>
      <c r="AQ5260" s="54">
        <v>0</v>
      </c>
      <c r="AR5260" s="55">
        <v>28500</v>
      </c>
      <c r="AS5260" s="78">
        <f t="shared" si="86"/>
        <v>0</v>
      </c>
    </row>
    <row r="5261" spans="39:45">
      <c r="AM5261" s="55">
        <v>2019</v>
      </c>
      <c r="AN5261" s="55" t="s">
        <v>189</v>
      </c>
      <c r="AO5261" s="55">
        <v>8</v>
      </c>
      <c r="AP5261" s="55">
        <v>3</v>
      </c>
      <c r="AQ5261" s="55">
        <v>0</v>
      </c>
      <c r="AR5261" s="55">
        <v>28500</v>
      </c>
      <c r="AS5261" s="78">
        <f t="shared" si="86"/>
        <v>0</v>
      </c>
    </row>
    <row r="5262" spans="39:45">
      <c r="AM5262" s="54">
        <v>2019</v>
      </c>
      <c r="AN5262" s="54" t="s">
        <v>189</v>
      </c>
      <c r="AO5262" s="54">
        <v>8</v>
      </c>
      <c r="AP5262" s="54">
        <v>4</v>
      </c>
      <c r="AQ5262" s="54">
        <v>0</v>
      </c>
      <c r="AR5262" s="55">
        <v>28500</v>
      </c>
      <c r="AS5262" s="78">
        <f t="shared" si="86"/>
        <v>0</v>
      </c>
    </row>
    <row r="5263" spans="39:45">
      <c r="AM5263" s="55">
        <v>2019</v>
      </c>
      <c r="AN5263" s="55" t="s">
        <v>189</v>
      </c>
      <c r="AO5263" s="55">
        <v>8</v>
      </c>
      <c r="AP5263" s="55">
        <v>5</v>
      </c>
      <c r="AQ5263" s="55">
        <v>309.5</v>
      </c>
      <c r="AR5263" s="55">
        <v>28500</v>
      </c>
      <c r="AS5263" s="78">
        <f t="shared" si="86"/>
        <v>1.0859649122807017E-2</v>
      </c>
    </row>
    <row r="5264" spans="39:45">
      <c r="AM5264" s="54">
        <v>2019</v>
      </c>
      <c r="AN5264" s="54" t="s">
        <v>189</v>
      </c>
      <c r="AO5264" s="54">
        <v>8</v>
      </c>
      <c r="AP5264" s="54">
        <v>6</v>
      </c>
      <c r="AQ5264" s="54">
        <v>3022</v>
      </c>
      <c r="AR5264" s="55">
        <v>28500</v>
      </c>
      <c r="AS5264" s="78">
        <f t="shared" si="86"/>
        <v>0.10603508771929825</v>
      </c>
    </row>
    <row r="5265" spans="39:45">
      <c r="AM5265" s="55">
        <v>2019</v>
      </c>
      <c r="AN5265" s="55" t="s">
        <v>189</v>
      </c>
      <c r="AO5265" s="55">
        <v>8</v>
      </c>
      <c r="AP5265" s="55">
        <v>7</v>
      </c>
      <c r="AQ5265" s="55">
        <v>8405.5</v>
      </c>
      <c r="AR5265" s="55">
        <v>28500</v>
      </c>
      <c r="AS5265" s="78">
        <f t="shared" si="86"/>
        <v>0.29492982456140349</v>
      </c>
    </row>
    <row r="5266" spans="39:45">
      <c r="AM5266" s="54">
        <v>2019</v>
      </c>
      <c r="AN5266" s="54" t="s">
        <v>189</v>
      </c>
      <c r="AO5266" s="54">
        <v>8</v>
      </c>
      <c r="AP5266" s="54">
        <v>8</v>
      </c>
      <c r="AQ5266" s="54">
        <v>18788.5</v>
      </c>
      <c r="AR5266" s="55">
        <v>28500</v>
      </c>
      <c r="AS5266" s="78">
        <f t="shared" si="86"/>
        <v>0.65924561403508775</v>
      </c>
    </row>
    <row r="5267" spans="39:45">
      <c r="AM5267" s="55">
        <v>2019</v>
      </c>
      <c r="AN5267" s="55" t="s">
        <v>189</v>
      </c>
      <c r="AO5267" s="55">
        <v>8</v>
      </c>
      <c r="AP5267" s="55">
        <v>9</v>
      </c>
      <c r="AQ5267" s="55">
        <v>28350</v>
      </c>
      <c r="AR5267" s="55">
        <v>28500</v>
      </c>
      <c r="AS5267" s="78">
        <f t="shared" si="86"/>
        <v>0.99473684210526314</v>
      </c>
    </row>
    <row r="5268" spans="39:45">
      <c r="AM5268" s="54">
        <v>2019</v>
      </c>
      <c r="AN5268" s="54" t="s">
        <v>189</v>
      </c>
      <c r="AO5268" s="54">
        <v>8</v>
      </c>
      <c r="AP5268" s="54">
        <v>10</v>
      </c>
      <c r="AQ5268" s="54">
        <v>25553.5</v>
      </c>
      <c r="AR5268" s="55">
        <v>28500</v>
      </c>
      <c r="AS5268" s="78">
        <f t="shared" si="86"/>
        <v>0.89661403508771931</v>
      </c>
    </row>
    <row r="5269" spans="39:45">
      <c r="AM5269" s="55">
        <v>2019</v>
      </c>
      <c r="AN5269" s="55" t="s">
        <v>189</v>
      </c>
      <c r="AO5269" s="55">
        <v>8</v>
      </c>
      <c r="AP5269" s="55">
        <v>11</v>
      </c>
      <c r="AQ5269" s="55">
        <v>26068</v>
      </c>
      <c r="AR5269" s="55">
        <v>28500</v>
      </c>
      <c r="AS5269" s="78">
        <f t="shared" si="86"/>
        <v>0.91466666666666663</v>
      </c>
    </row>
    <row r="5270" spans="39:45">
      <c r="AM5270" s="54">
        <v>2019</v>
      </c>
      <c r="AN5270" s="54" t="s">
        <v>189</v>
      </c>
      <c r="AO5270" s="54">
        <v>8</v>
      </c>
      <c r="AP5270" s="54">
        <v>12</v>
      </c>
      <c r="AQ5270" s="54">
        <v>13322</v>
      </c>
      <c r="AR5270" s="55">
        <v>28500</v>
      </c>
      <c r="AS5270" s="78">
        <f t="shared" si="86"/>
        <v>0.4674385964912281</v>
      </c>
    </row>
    <row r="5271" spans="39:45">
      <c r="AM5271" s="55">
        <v>2019</v>
      </c>
      <c r="AN5271" s="55" t="s">
        <v>189</v>
      </c>
      <c r="AO5271" s="55">
        <v>8</v>
      </c>
      <c r="AP5271" s="55">
        <v>13</v>
      </c>
      <c r="AQ5271" s="55">
        <v>33455</v>
      </c>
      <c r="AR5271" s="55">
        <v>28500</v>
      </c>
      <c r="AS5271" s="78">
        <f t="shared" si="86"/>
        <v>1.173859649122807</v>
      </c>
    </row>
    <row r="5272" spans="39:45">
      <c r="AM5272" s="54">
        <v>2019</v>
      </c>
      <c r="AN5272" s="54" t="s">
        <v>189</v>
      </c>
      <c r="AO5272" s="54">
        <v>8</v>
      </c>
      <c r="AP5272" s="54">
        <v>14</v>
      </c>
      <c r="AQ5272" s="54">
        <v>26790</v>
      </c>
      <c r="AR5272" s="55">
        <v>28500</v>
      </c>
      <c r="AS5272" s="78">
        <f t="shared" si="86"/>
        <v>0.94</v>
      </c>
    </row>
    <row r="5273" spans="39:45">
      <c r="AM5273" s="55">
        <v>2019</v>
      </c>
      <c r="AN5273" s="55" t="s">
        <v>189</v>
      </c>
      <c r="AO5273" s="55">
        <v>8</v>
      </c>
      <c r="AP5273" s="55">
        <v>15</v>
      </c>
      <c r="AQ5273" s="55">
        <v>10081.5</v>
      </c>
      <c r="AR5273" s="55">
        <v>28500</v>
      </c>
      <c r="AS5273" s="78">
        <f t="shared" si="86"/>
        <v>0.35373684210526318</v>
      </c>
    </row>
    <row r="5274" spans="39:45">
      <c r="AM5274" s="54">
        <v>2019</v>
      </c>
      <c r="AN5274" s="54" t="s">
        <v>189</v>
      </c>
      <c r="AO5274" s="54">
        <v>8</v>
      </c>
      <c r="AP5274" s="54">
        <v>16</v>
      </c>
      <c r="AQ5274" s="54">
        <v>9515.5</v>
      </c>
      <c r="AR5274" s="55">
        <v>28500</v>
      </c>
      <c r="AS5274" s="78">
        <f t="shared" si="86"/>
        <v>0.33387719298245616</v>
      </c>
    </row>
    <row r="5275" spans="39:45">
      <c r="AM5275" s="55">
        <v>2019</v>
      </c>
      <c r="AN5275" s="55" t="s">
        <v>189</v>
      </c>
      <c r="AO5275" s="55">
        <v>8</v>
      </c>
      <c r="AP5275" s="55">
        <v>17</v>
      </c>
      <c r="AQ5275" s="55">
        <v>7572</v>
      </c>
      <c r="AR5275" s="55">
        <v>28500</v>
      </c>
      <c r="AS5275" s="78">
        <f t="shared" si="86"/>
        <v>0.2656842105263158</v>
      </c>
    </row>
    <row r="5276" spans="39:45">
      <c r="AM5276" s="54">
        <v>2019</v>
      </c>
      <c r="AN5276" s="54" t="s">
        <v>189</v>
      </c>
      <c r="AO5276" s="54">
        <v>8</v>
      </c>
      <c r="AP5276" s="54">
        <v>18</v>
      </c>
      <c r="AQ5276" s="54">
        <v>1907.5</v>
      </c>
      <c r="AR5276" s="55">
        <v>28500</v>
      </c>
      <c r="AS5276" s="78">
        <f t="shared" si="86"/>
        <v>6.6929824561403506E-2</v>
      </c>
    </row>
    <row r="5277" spans="39:45">
      <c r="AM5277" s="55">
        <v>2019</v>
      </c>
      <c r="AN5277" s="55" t="s">
        <v>189</v>
      </c>
      <c r="AO5277" s="55">
        <v>8</v>
      </c>
      <c r="AP5277" s="55">
        <v>19</v>
      </c>
      <c r="AQ5277" s="55">
        <v>90</v>
      </c>
      <c r="AR5277" s="55">
        <v>28500</v>
      </c>
      <c r="AS5277" s="78">
        <f t="shared" si="86"/>
        <v>3.1578947368421052E-3</v>
      </c>
    </row>
    <row r="5278" spans="39:45">
      <c r="AM5278" s="54">
        <v>2019</v>
      </c>
      <c r="AN5278" s="54" t="s">
        <v>189</v>
      </c>
      <c r="AO5278" s="54">
        <v>8</v>
      </c>
      <c r="AP5278" s="54">
        <v>20</v>
      </c>
      <c r="AQ5278" s="54">
        <v>0</v>
      </c>
      <c r="AR5278" s="55">
        <v>28500</v>
      </c>
      <c r="AS5278" s="78">
        <f t="shared" si="86"/>
        <v>0</v>
      </c>
    </row>
    <row r="5279" spans="39:45">
      <c r="AM5279" s="55">
        <v>2019</v>
      </c>
      <c r="AN5279" s="55" t="s">
        <v>189</v>
      </c>
      <c r="AO5279" s="55">
        <v>8</v>
      </c>
      <c r="AP5279" s="55">
        <v>21</v>
      </c>
      <c r="AQ5279" s="55">
        <v>0</v>
      </c>
      <c r="AR5279" s="55">
        <v>28500</v>
      </c>
      <c r="AS5279" s="78">
        <f t="shared" si="86"/>
        <v>0</v>
      </c>
    </row>
    <row r="5280" spans="39:45">
      <c r="AM5280" s="54">
        <v>2019</v>
      </c>
      <c r="AN5280" s="54" t="s">
        <v>189</v>
      </c>
      <c r="AO5280" s="54">
        <v>8</v>
      </c>
      <c r="AP5280" s="54">
        <v>22</v>
      </c>
      <c r="AQ5280" s="54">
        <v>0</v>
      </c>
      <c r="AR5280" s="55">
        <v>28500</v>
      </c>
      <c r="AS5280" s="78">
        <f t="shared" si="86"/>
        <v>0</v>
      </c>
    </row>
    <row r="5281" spans="39:45">
      <c r="AM5281" s="55">
        <v>2019</v>
      </c>
      <c r="AN5281" s="55" t="s">
        <v>189</v>
      </c>
      <c r="AO5281" s="55">
        <v>8</v>
      </c>
      <c r="AP5281" s="55">
        <v>23</v>
      </c>
      <c r="AQ5281" s="55">
        <v>0</v>
      </c>
      <c r="AR5281" s="55">
        <v>28500</v>
      </c>
      <c r="AS5281" s="78">
        <f t="shared" si="86"/>
        <v>0</v>
      </c>
    </row>
    <row r="5282" spans="39:45">
      <c r="AM5282" s="54">
        <v>2019</v>
      </c>
      <c r="AN5282" s="54" t="s">
        <v>189</v>
      </c>
      <c r="AO5282" s="54">
        <v>9</v>
      </c>
      <c r="AP5282" s="54">
        <v>24</v>
      </c>
      <c r="AQ5282" s="54">
        <v>0</v>
      </c>
      <c r="AR5282" s="55">
        <v>28500</v>
      </c>
      <c r="AS5282" s="78">
        <f t="shared" si="86"/>
        <v>0</v>
      </c>
    </row>
    <row r="5283" spans="39:45">
      <c r="AM5283" s="55">
        <v>2019</v>
      </c>
      <c r="AN5283" s="55" t="s">
        <v>189</v>
      </c>
      <c r="AO5283" s="55">
        <v>9</v>
      </c>
      <c r="AP5283" s="55">
        <v>1</v>
      </c>
      <c r="AQ5283" s="55">
        <v>0</v>
      </c>
      <c r="AR5283" s="55">
        <v>28500</v>
      </c>
      <c r="AS5283" s="78">
        <f t="shared" si="86"/>
        <v>0</v>
      </c>
    </row>
    <row r="5284" spans="39:45">
      <c r="AM5284" s="54">
        <v>2019</v>
      </c>
      <c r="AN5284" s="54" t="s">
        <v>189</v>
      </c>
      <c r="AO5284" s="54">
        <v>9</v>
      </c>
      <c r="AP5284" s="54">
        <v>2</v>
      </c>
      <c r="AQ5284" s="54">
        <v>0</v>
      </c>
      <c r="AR5284" s="55">
        <v>28500</v>
      </c>
      <c r="AS5284" s="78">
        <f t="shared" si="86"/>
        <v>0</v>
      </c>
    </row>
    <row r="5285" spans="39:45">
      <c r="AM5285" s="55">
        <v>2019</v>
      </c>
      <c r="AN5285" s="55" t="s">
        <v>189</v>
      </c>
      <c r="AO5285" s="55">
        <v>9</v>
      </c>
      <c r="AP5285" s="55">
        <v>3</v>
      </c>
      <c r="AQ5285" s="55">
        <v>0</v>
      </c>
      <c r="AR5285" s="55">
        <v>28500</v>
      </c>
      <c r="AS5285" s="78">
        <f t="shared" si="86"/>
        <v>0</v>
      </c>
    </row>
    <row r="5286" spans="39:45">
      <c r="AM5286" s="54">
        <v>2019</v>
      </c>
      <c r="AN5286" s="54" t="s">
        <v>189</v>
      </c>
      <c r="AO5286" s="54">
        <v>9</v>
      </c>
      <c r="AP5286" s="54">
        <v>4</v>
      </c>
      <c r="AQ5286" s="54">
        <v>0</v>
      </c>
      <c r="AR5286" s="55">
        <v>28500</v>
      </c>
      <c r="AS5286" s="78">
        <f t="shared" si="86"/>
        <v>0</v>
      </c>
    </row>
    <row r="5287" spans="39:45">
      <c r="AM5287" s="55">
        <v>2019</v>
      </c>
      <c r="AN5287" s="55" t="s">
        <v>189</v>
      </c>
      <c r="AO5287" s="55">
        <v>9</v>
      </c>
      <c r="AP5287" s="55">
        <v>5</v>
      </c>
      <c r="AQ5287" s="55">
        <v>202.5</v>
      </c>
      <c r="AR5287" s="55">
        <v>28500</v>
      </c>
      <c r="AS5287" s="78">
        <f t="shared" si="86"/>
        <v>7.1052631578947369E-3</v>
      </c>
    </row>
    <row r="5288" spans="39:45">
      <c r="AM5288" s="54">
        <v>2019</v>
      </c>
      <c r="AN5288" s="54" t="s">
        <v>189</v>
      </c>
      <c r="AO5288" s="54">
        <v>9</v>
      </c>
      <c r="AP5288" s="54">
        <v>6</v>
      </c>
      <c r="AQ5288" s="54">
        <v>1362</v>
      </c>
      <c r="AR5288" s="55">
        <v>28500</v>
      </c>
      <c r="AS5288" s="78">
        <f t="shared" si="86"/>
        <v>4.7789473684210527E-2</v>
      </c>
    </row>
    <row r="5289" spans="39:45">
      <c r="AM5289" s="55">
        <v>2019</v>
      </c>
      <c r="AN5289" s="55" t="s">
        <v>189</v>
      </c>
      <c r="AO5289" s="55">
        <v>9</v>
      </c>
      <c r="AP5289" s="55">
        <v>7</v>
      </c>
      <c r="AQ5289" s="55">
        <v>7512.5</v>
      </c>
      <c r="AR5289" s="55">
        <v>28500</v>
      </c>
      <c r="AS5289" s="78">
        <f t="shared" si="86"/>
        <v>0.26359649122807016</v>
      </c>
    </row>
    <row r="5290" spans="39:45">
      <c r="AM5290" s="54">
        <v>2019</v>
      </c>
      <c r="AN5290" s="54" t="s">
        <v>189</v>
      </c>
      <c r="AO5290" s="54">
        <v>9</v>
      </c>
      <c r="AP5290" s="54">
        <v>8</v>
      </c>
      <c r="AQ5290" s="54">
        <v>1525.5</v>
      </c>
      <c r="AR5290" s="55">
        <v>28500</v>
      </c>
      <c r="AS5290" s="78">
        <f t="shared" si="86"/>
        <v>5.3526315789473686E-2</v>
      </c>
    </row>
    <row r="5291" spans="39:45">
      <c r="AM5291" s="55">
        <v>2019</v>
      </c>
      <c r="AN5291" s="55" t="s">
        <v>189</v>
      </c>
      <c r="AO5291" s="55">
        <v>9</v>
      </c>
      <c r="AP5291" s="55">
        <v>9</v>
      </c>
      <c r="AQ5291" s="55">
        <v>12852.5</v>
      </c>
      <c r="AR5291" s="55">
        <v>28500</v>
      </c>
      <c r="AS5291" s="78">
        <f t="shared" si="86"/>
        <v>0.45096491228070174</v>
      </c>
    </row>
    <row r="5292" spans="39:45">
      <c r="AM5292" s="54">
        <v>2019</v>
      </c>
      <c r="AN5292" s="54" t="s">
        <v>189</v>
      </c>
      <c r="AO5292" s="54">
        <v>9</v>
      </c>
      <c r="AP5292" s="54">
        <v>10</v>
      </c>
      <c r="AQ5292" s="54">
        <v>21977.5</v>
      </c>
      <c r="AR5292" s="55">
        <v>28500</v>
      </c>
      <c r="AS5292" s="78">
        <f t="shared" si="86"/>
        <v>0.77114035087719301</v>
      </c>
    </row>
    <row r="5293" spans="39:45">
      <c r="AM5293" s="55">
        <v>2019</v>
      </c>
      <c r="AN5293" s="55" t="s">
        <v>189</v>
      </c>
      <c r="AO5293" s="55">
        <v>9</v>
      </c>
      <c r="AP5293" s="55">
        <v>11</v>
      </c>
      <c r="AQ5293" s="55">
        <v>29800</v>
      </c>
      <c r="AR5293" s="55">
        <v>28500</v>
      </c>
      <c r="AS5293" s="78">
        <f t="shared" si="86"/>
        <v>1.0456140350877192</v>
      </c>
    </row>
    <row r="5294" spans="39:45">
      <c r="AM5294" s="54">
        <v>2019</v>
      </c>
      <c r="AN5294" s="54" t="s">
        <v>189</v>
      </c>
      <c r="AO5294" s="54">
        <v>9</v>
      </c>
      <c r="AP5294" s="54">
        <v>12</v>
      </c>
      <c r="AQ5294" s="54">
        <v>31506.5</v>
      </c>
      <c r="AR5294" s="55">
        <v>28500</v>
      </c>
      <c r="AS5294" s="78">
        <f t="shared" si="86"/>
        <v>1.1054912280701754</v>
      </c>
    </row>
    <row r="5295" spans="39:45">
      <c r="AM5295" s="55">
        <v>2019</v>
      </c>
      <c r="AN5295" s="55" t="s">
        <v>189</v>
      </c>
      <c r="AO5295" s="55">
        <v>9</v>
      </c>
      <c r="AP5295" s="55">
        <v>13</v>
      </c>
      <c r="AQ5295" s="55">
        <v>14299</v>
      </c>
      <c r="AR5295" s="55">
        <v>28500</v>
      </c>
      <c r="AS5295" s="78">
        <f t="shared" si="86"/>
        <v>0.50171929824561401</v>
      </c>
    </row>
    <row r="5296" spans="39:45">
      <c r="AM5296" s="54">
        <v>2019</v>
      </c>
      <c r="AN5296" s="54" t="s">
        <v>189</v>
      </c>
      <c r="AO5296" s="54">
        <v>9</v>
      </c>
      <c r="AP5296" s="54">
        <v>14</v>
      </c>
      <c r="AQ5296" s="54">
        <v>22202</v>
      </c>
      <c r="AR5296" s="55">
        <v>28500</v>
      </c>
      <c r="AS5296" s="78">
        <f t="shared" si="86"/>
        <v>0.77901754385964916</v>
      </c>
    </row>
    <row r="5297" spans="39:45">
      <c r="AM5297" s="55">
        <v>2019</v>
      </c>
      <c r="AN5297" s="55" t="s">
        <v>189</v>
      </c>
      <c r="AO5297" s="55">
        <v>9</v>
      </c>
      <c r="AP5297" s="55">
        <v>15</v>
      </c>
      <c r="AQ5297" s="55">
        <v>11251</v>
      </c>
      <c r="AR5297" s="55">
        <v>28500</v>
      </c>
      <c r="AS5297" s="78">
        <f t="shared" si="86"/>
        <v>0.39477192982456139</v>
      </c>
    </row>
    <row r="5298" spans="39:45">
      <c r="AM5298" s="54">
        <v>2019</v>
      </c>
      <c r="AN5298" s="54" t="s">
        <v>189</v>
      </c>
      <c r="AO5298" s="54">
        <v>9</v>
      </c>
      <c r="AP5298" s="54">
        <v>16</v>
      </c>
      <c r="AQ5298" s="54">
        <v>12029.5</v>
      </c>
      <c r="AR5298" s="55">
        <v>28500</v>
      </c>
      <c r="AS5298" s="78">
        <f t="shared" si="86"/>
        <v>0.42208771929824562</v>
      </c>
    </row>
    <row r="5299" spans="39:45">
      <c r="AM5299" s="55">
        <v>2019</v>
      </c>
      <c r="AN5299" s="55" t="s">
        <v>189</v>
      </c>
      <c r="AO5299" s="55">
        <v>9</v>
      </c>
      <c r="AP5299" s="55">
        <v>17</v>
      </c>
      <c r="AQ5299" s="55">
        <v>6746.5</v>
      </c>
      <c r="AR5299" s="55">
        <v>28500</v>
      </c>
      <c r="AS5299" s="78">
        <f t="shared" si="86"/>
        <v>0.23671929824561402</v>
      </c>
    </row>
    <row r="5300" spans="39:45">
      <c r="AM5300" s="54">
        <v>2019</v>
      </c>
      <c r="AN5300" s="54" t="s">
        <v>189</v>
      </c>
      <c r="AO5300" s="54">
        <v>9</v>
      </c>
      <c r="AP5300" s="54">
        <v>18</v>
      </c>
      <c r="AQ5300" s="54">
        <v>2091</v>
      </c>
      <c r="AR5300" s="55">
        <v>28500</v>
      </c>
      <c r="AS5300" s="78">
        <f t="shared" si="86"/>
        <v>7.3368421052631583E-2</v>
      </c>
    </row>
    <row r="5301" spans="39:45">
      <c r="AM5301" s="55">
        <v>2019</v>
      </c>
      <c r="AN5301" s="55" t="s">
        <v>189</v>
      </c>
      <c r="AO5301" s="55">
        <v>9</v>
      </c>
      <c r="AP5301" s="55">
        <v>19</v>
      </c>
      <c r="AQ5301" s="55">
        <v>0</v>
      </c>
      <c r="AR5301" s="55">
        <v>28500</v>
      </c>
      <c r="AS5301" s="78">
        <f t="shared" si="86"/>
        <v>0</v>
      </c>
    </row>
    <row r="5302" spans="39:45">
      <c r="AM5302" s="54">
        <v>2019</v>
      </c>
      <c r="AN5302" s="54" t="s">
        <v>189</v>
      </c>
      <c r="AO5302" s="54">
        <v>9</v>
      </c>
      <c r="AP5302" s="54">
        <v>20</v>
      </c>
      <c r="AQ5302" s="54">
        <v>0</v>
      </c>
      <c r="AR5302" s="55">
        <v>28500</v>
      </c>
      <c r="AS5302" s="78">
        <f t="shared" si="86"/>
        <v>0</v>
      </c>
    </row>
    <row r="5303" spans="39:45">
      <c r="AM5303" s="55">
        <v>2019</v>
      </c>
      <c r="AN5303" s="55" t="s">
        <v>189</v>
      </c>
      <c r="AO5303" s="55">
        <v>9</v>
      </c>
      <c r="AP5303" s="55">
        <v>21</v>
      </c>
      <c r="AQ5303" s="55">
        <v>0</v>
      </c>
      <c r="AR5303" s="55">
        <v>28500</v>
      </c>
      <c r="AS5303" s="78">
        <f t="shared" si="86"/>
        <v>0</v>
      </c>
    </row>
    <row r="5304" spans="39:45">
      <c r="AM5304" s="54">
        <v>2019</v>
      </c>
      <c r="AN5304" s="54" t="s">
        <v>189</v>
      </c>
      <c r="AO5304" s="54">
        <v>9</v>
      </c>
      <c r="AP5304" s="54">
        <v>22</v>
      </c>
      <c r="AQ5304" s="54">
        <v>0</v>
      </c>
      <c r="AR5304" s="55">
        <v>28500</v>
      </c>
      <c r="AS5304" s="78">
        <f t="shared" si="86"/>
        <v>0</v>
      </c>
    </row>
    <row r="5305" spans="39:45">
      <c r="AM5305" s="55">
        <v>2019</v>
      </c>
      <c r="AN5305" s="55" t="s">
        <v>189</v>
      </c>
      <c r="AO5305" s="55">
        <v>9</v>
      </c>
      <c r="AP5305" s="55">
        <v>23</v>
      </c>
      <c r="AQ5305" s="55">
        <v>0</v>
      </c>
      <c r="AR5305" s="55">
        <v>28500</v>
      </c>
      <c r="AS5305" s="78">
        <f t="shared" si="86"/>
        <v>0</v>
      </c>
    </row>
    <row r="5306" spans="39:45">
      <c r="AM5306" s="54">
        <v>2019</v>
      </c>
      <c r="AN5306" s="54" t="s">
        <v>189</v>
      </c>
      <c r="AO5306" s="54">
        <v>10</v>
      </c>
      <c r="AP5306" s="54">
        <v>24</v>
      </c>
      <c r="AQ5306" s="54">
        <v>0</v>
      </c>
      <c r="AR5306" s="55">
        <v>28500</v>
      </c>
      <c r="AS5306" s="78">
        <f t="shared" si="86"/>
        <v>0</v>
      </c>
    </row>
    <row r="5307" spans="39:45">
      <c r="AM5307" s="55">
        <v>2019</v>
      </c>
      <c r="AN5307" s="55" t="s">
        <v>189</v>
      </c>
      <c r="AO5307" s="55">
        <v>10</v>
      </c>
      <c r="AP5307" s="55">
        <v>1</v>
      </c>
      <c r="AQ5307" s="55">
        <v>0</v>
      </c>
      <c r="AR5307" s="55">
        <v>28500</v>
      </c>
      <c r="AS5307" s="78">
        <f t="shared" si="86"/>
        <v>0</v>
      </c>
    </row>
    <row r="5308" spans="39:45">
      <c r="AM5308" s="54">
        <v>2019</v>
      </c>
      <c r="AN5308" s="54" t="s">
        <v>189</v>
      </c>
      <c r="AO5308" s="54">
        <v>10</v>
      </c>
      <c r="AP5308" s="54">
        <v>2</v>
      </c>
      <c r="AQ5308" s="54">
        <v>0</v>
      </c>
      <c r="AR5308" s="55">
        <v>28500</v>
      </c>
      <c r="AS5308" s="78">
        <f t="shared" si="86"/>
        <v>0</v>
      </c>
    </row>
    <row r="5309" spans="39:45">
      <c r="AM5309" s="55">
        <v>2019</v>
      </c>
      <c r="AN5309" s="55" t="s">
        <v>189</v>
      </c>
      <c r="AO5309" s="55">
        <v>10</v>
      </c>
      <c r="AP5309" s="55">
        <v>3</v>
      </c>
      <c r="AQ5309" s="55">
        <v>0</v>
      </c>
      <c r="AR5309" s="55">
        <v>28500</v>
      </c>
      <c r="AS5309" s="78">
        <f t="shared" si="86"/>
        <v>0</v>
      </c>
    </row>
    <row r="5310" spans="39:45">
      <c r="AM5310" s="54">
        <v>2019</v>
      </c>
      <c r="AN5310" s="54" t="s">
        <v>189</v>
      </c>
      <c r="AO5310" s="54">
        <v>10</v>
      </c>
      <c r="AP5310" s="54">
        <v>4</v>
      </c>
      <c r="AQ5310" s="54">
        <v>0</v>
      </c>
      <c r="AR5310" s="55">
        <v>28500</v>
      </c>
      <c r="AS5310" s="78">
        <f t="shared" si="86"/>
        <v>0</v>
      </c>
    </row>
    <row r="5311" spans="39:45">
      <c r="AM5311" s="55">
        <v>2019</v>
      </c>
      <c r="AN5311" s="55" t="s">
        <v>189</v>
      </c>
      <c r="AO5311" s="55">
        <v>10</v>
      </c>
      <c r="AP5311" s="55">
        <v>5</v>
      </c>
      <c r="AQ5311" s="55">
        <v>278.5</v>
      </c>
      <c r="AR5311" s="55">
        <v>28500</v>
      </c>
      <c r="AS5311" s="78">
        <f t="shared" si="86"/>
        <v>9.7719298245614039E-3</v>
      </c>
    </row>
    <row r="5312" spans="39:45">
      <c r="AM5312" s="54">
        <v>2019</v>
      </c>
      <c r="AN5312" s="54" t="s">
        <v>189</v>
      </c>
      <c r="AO5312" s="54">
        <v>10</v>
      </c>
      <c r="AP5312" s="54">
        <v>6</v>
      </c>
      <c r="AQ5312" s="54">
        <v>2540.5</v>
      </c>
      <c r="AR5312" s="55">
        <v>28500</v>
      </c>
      <c r="AS5312" s="78">
        <f t="shared" si="86"/>
        <v>8.9140350877192978E-2</v>
      </c>
    </row>
    <row r="5313" spans="39:45">
      <c r="AM5313" s="55">
        <v>2019</v>
      </c>
      <c r="AN5313" s="55" t="s">
        <v>189</v>
      </c>
      <c r="AO5313" s="55">
        <v>10</v>
      </c>
      <c r="AP5313" s="55">
        <v>7</v>
      </c>
      <c r="AQ5313" s="55">
        <v>3647.5</v>
      </c>
      <c r="AR5313" s="55">
        <v>28500</v>
      </c>
      <c r="AS5313" s="78">
        <f t="shared" si="86"/>
        <v>0.12798245614035086</v>
      </c>
    </row>
    <row r="5314" spans="39:45">
      <c r="AM5314" s="54">
        <v>2019</v>
      </c>
      <c r="AN5314" s="54" t="s">
        <v>189</v>
      </c>
      <c r="AO5314" s="54">
        <v>10</v>
      </c>
      <c r="AP5314" s="54">
        <v>8</v>
      </c>
      <c r="AQ5314" s="54">
        <v>11449</v>
      </c>
      <c r="AR5314" s="55">
        <v>28500</v>
      </c>
      <c r="AS5314" s="78">
        <f t="shared" ref="AS5314:AS5377" si="87">AQ5314/AR5314</f>
        <v>0.40171929824561403</v>
      </c>
    </row>
    <row r="5315" spans="39:45">
      <c r="AM5315" s="55">
        <v>2019</v>
      </c>
      <c r="AN5315" s="55" t="s">
        <v>189</v>
      </c>
      <c r="AO5315" s="55">
        <v>10</v>
      </c>
      <c r="AP5315" s="55">
        <v>9</v>
      </c>
      <c r="AQ5315" s="55">
        <v>19292.5</v>
      </c>
      <c r="AR5315" s="55">
        <v>28500</v>
      </c>
      <c r="AS5315" s="78">
        <f t="shared" si="87"/>
        <v>0.67692982456140349</v>
      </c>
    </row>
    <row r="5316" spans="39:45">
      <c r="AM5316" s="54">
        <v>2019</v>
      </c>
      <c r="AN5316" s="54" t="s">
        <v>189</v>
      </c>
      <c r="AO5316" s="54">
        <v>10</v>
      </c>
      <c r="AP5316" s="54">
        <v>10</v>
      </c>
      <c r="AQ5316" s="54">
        <v>5302.5</v>
      </c>
      <c r="AR5316" s="55">
        <v>28500</v>
      </c>
      <c r="AS5316" s="78">
        <f t="shared" si="87"/>
        <v>0.18605263157894736</v>
      </c>
    </row>
    <row r="5317" spans="39:45">
      <c r="AM5317" s="55">
        <v>2019</v>
      </c>
      <c r="AN5317" s="55" t="s">
        <v>189</v>
      </c>
      <c r="AO5317" s="55">
        <v>10</v>
      </c>
      <c r="AP5317" s="55">
        <v>11</v>
      </c>
      <c r="AQ5317" s="55">
        <v>36790.5</v>
      </c>
      <c r="AR5317" s="55">
        <v>28500</v>
      </c>
      <c r="AS5317" s="78">
        <f t="shared" si="87"/>
        <v>1.2908947368421053</v>
      </c>
    </row>
    <row r="5318" spans="39:45">
      <c r="AM5318" s="54">
        <v>2019</v>
      </c>
      <c r="AN5318" s="54" t="s">
        <v>189</v>
      </c>
      <c r="AO5318" s="54">
        <v>10</v>
      </c>
      <c r="AP5318" s="54">
        <v>12</v>
      </c>
      <c r="AQ5318" s="54">
        <v>27525</v>
      </c>
      <c r="AR5318" s="55">
        <v>28500</v>
      </c>
      <c r="AS5318" s="78">
        <f t="shared" si="87"/>
        <v>0.96578947368421053</v>
      </c>
    </row>
    <row r="5319" spans="39:45">
      <c r="AM5319" s="55">
        <v>2019</v>
      </c>
      <c r="AN5319" s="55" t="s">
        <v>189</v>
      </c>
      <c r="AO5319" s="55">
        <v>10</v>
      </c>
      <c r="AP5319" s="55">
        <v>13</v>
      </c>
      <c r="AQ5319" s="55">
        <v>35384</v>
      </c>
      <c r="AR5319" s="55">
        <v>28500</v>
      </c>
      <c r="AS5319" s="78">
        <f t="shared" si="87"/>
        <v>1.2415438596491228</v>
      </c>
    </row>
    <row r="5320" spans="39:45">
      <c r="AM5320" s="54">
        <v>2019</v>
      </c>
      <c r="AN5320" s="54" t="s">
        <v>189</v>
      </c>
      <c r="AO5320" s="54">
        <v>10</v>
      </c>
      <c r="AP5320" s="54">
        <v>14</v>
      </c>
      <c r="AQ5320" s="54">
        <v>22000.5</v>
      </c>
      <c r="AR5320" s="55">
        <v>28500</v>
      </c>
      <c r="AS5320" s="78">
        <f t="shared" si="87"/>
        <v>0.7719473684210526</v>
      </c>
    </row>
    <row r="5321" spans="39:45">
      <c r="AM5321" s="55">
        <v>2019</v>
      </c>
      <c r="AN5321" s="55" t="s">
        <v>189</v>
      </c>
      <c r="AO5321" s="55">
        <v>10</v>
      </c>
      <c r="AP5321" s="55">
        <v>15</v>
      </c>
      <c r="AQ5321" s="55">
        <v>19570.5</v>
      </c>
      <c r="AR5321" s="55">
        <v>28500</v>
      </c>
      <c r="AS5321" s="78">
        <f t="shared" si="87"/>
        <v>0.68668421052631579</v>
      </c>
    </row>
    <row r="5322" spans="39:45">
      <c r="AM5322" s="54">
        <v>2019</v>
      </c>
      <c r="AN5322" s="54" t="s">
        <v>189</v>
      </c>
      <c r="AO5322" s="54">
        <v>10</v>
      </c>
      <c r="AP5322" s="54">
        <v>16</v>
      </c>
      <c r="AQ5322" s="54">
        <v>18064.5</v>
      </c>
      <c r="AR5322" s="55">
        <v>28500</v>
      </c>
      <c r="AS5322" s="78">
        <f t="shared" si="87"/>
        <v>0.63384210526315787</v>
      </c>
    </row>
    <row r="5323" spans="39:45">
      <c r="AM5323" s="55">
        <v>2019</v>
      </c>
      <c r="AN5323" s="55" t="s">
        <v>189</v>
      </c>
      <c r="AO5323" s="55">
        <v>10</v>
      </c>
      <c r="AP5323" s="55">
        <v>17</v>
      </c>
      <c r="AQ5323" s="55">
        <v>8829.5</v>
      </c>
      <c r="AR5323" s="55">
        <v>28500</v>
      </c>
      <c r="AS5323" s="78">
        <f t="shared" si="87"/>
        <v>0.30980701754385964</v>
      </c>
    </row>
    <row r="5324" spans="39:45">
      <c r="AM5324" s="54">
        <v>2019</v>
      </c>
      <c r="AN5324" s="54" t="s">
        <v>189</v>
      </c>
      <c r="AO5324" s="54">
        <v>10</v>
      </c>
      <c r="AP5324" s="54">
        <v>18</v>
      </c>
      <c r="AQ5324" s="54">
        <v>1780.5</v>
      </c>
      <c r="AR5324" s="55">
        <v>28500</v>
      </c>
      <c r="AS5324" s="78">
        <f t="shared" si="87"/>
        <v>6.2473684210526313E-2</v>
      </c>
    </row>
    <row r="5325" spans="39:45">
      <c r="AM5325" s="55">
        <v>2019</v>
      </c>
      <c r="AN5325" s="55" t="s">
        <v>189</v>
      </c>
      <c r="AO5325" s="55">
        <v>10</v>
      </c>
      <c r="AP5325" s="55">
        <v>19</v>
      </c>
      <c r="AQ5325" s="55">
        <v>53.5</v>
      </c>
      <c r="AR5325" s="55">
        <v>28500</v>
      </c>
      <c r="AS5325" s="78">
        <f t="shared" si="87"/>
        <v>1.8771929824561403E-3</v>
      </c>
    </row>
    <row r="5326" spans="39:45">
      <c r="AM5326" s="54">
        <v>2019</v>
      </c>
      <c r="AN5326" s="54" t="s">
        <v>189</v>
      </c>
      <c r="AO5326" s="54">
        <v>10</v>
      </c>
      <c r="AP5326" s="54">
        <v>20</v>
      </c>
      <c r="AQ5326" s="54">
        <v>0</v>
      </c>
      <c r="AR5326" s="55">
        <v>28500</v>
      </c>
      <c r="AS5326" s="78">
        <f t="shared" si="87"/>
        <v>0</v>
      </c>
    </row>
    <row r="5327" spans="39:45">
      <c r="AM5327" s="55">
        <v>2019</v>
      </c>
      <c r="AN5327" s="55" t="s">
        <v>189</v>
      </c>
      <c r="AO5327" s="55">
        <v>10</v>
      </c>
      <c r="AP5327" s="55">
        <v>21</v>
      </c>
      <c r="AQ5327" s="55">
        <v>0</v>
      </c>
      <c r="AR5327" s="55">
        <v>28500</v>
      </c>
      <c r="AS5327" s="78">
        <f t="shared" si="87"/>
        <v>0</v>
      </c>
    </row>
    <row r="5328" spans="39:45">
      <c r="AM5328" s="54">
        <v>2019</v>
      </c>
      <c r="AN5328" s="54" t="s">
        <v>189</v>
      </c>
      <c r="AO5328" s="54">
        <v>10</v>
      </c>
      <c r="AP5328" s="54">
        <v>22</v>
      </c>
      <c r="AQ5328" s="54">
        <v>0</v>
      </c>
      <c r="AR5328" s="55">
        <v>28500</v>
      </c>
      <c r="AS5328" s="78">
        <f t="shared" si="87"/>
        <v>0</v>
      </c>
    </row>
    <row r="5329" spans="39:45">
      <c r="AM5329" s="55">
        <v>2019</v>
      </c>
      <c r="AN5329" s="55" t="s">
        <v>189</v>
      </c>
      <c r="AO5329" s="55">
        <v>10</v>
      </c>
      <c r="AP5329" s="55">
        <v>23</v>
      </c>
      <c r="AQ5329" s="55">
        <v>0</v>
      </c>
      <c r="AR5329" s="55">
        <v>28500</v>
      </c>
      <c r="AS5329" s="78">
        <f t="shared" si="87"/>
        <v>0</v>
      </c>
    </row>
    <row r="5330" spans="39:45">
      <c r="AM5330" s="54">
        <v>2019</v>
      </c>
      <c r="AN5330" s="54" t="s">
        <v>189</v>
      </c>
      <c r="AO5330" s="54">
        <v>11</v>
      </c>
      <c r="AP5330" s="54">
        <v>24</v>
      </c>
      <c r="AQ5330" s="54">
        <v>0</v>
      </c>
      <c r="AR5330" s="55">
        <v>28500</v>
      </c>
      <c r="AS5330" s="78">
        <f t="shared" si="87"/>
        <v>0</v>
      </c>
    </row>
    <row r="5331" spans="39:45">
      <c r="AM5331" s="55">
        <v>2019</v>
      </c>
      <c r="AN5331" s="55" t="s">
        <v>189</v>
      </c>
      <c r="AO5331" s="55">
        <v>11</v>
      </c>
      <c r="AP5331" s="55">
        <v>1</v>
      </c>
      <c r="AQ5331" s="55">
        <v>0</v>
      </c>
      <c r="AR5331" s="55">
        <v>28500</v>
      </c>
      <c r="AS5331" s="78">
        <f t="shared" si="87"/>
        <v>0</v>
      </c>
    </row>
    <row r="5332" spans="39:45">
      <c r="AM5332" s="54">
        <v>2019</v>
      </c>
      <c r="AN5332" s="54" t="s">
        <v>189</v>
      </c>
      <c r="AO5332" s="54">
        <v>11</v>
      </c>
      <c r="AP5332" s="54">
        <v>2</v>
      </c>
      <c r="AQ5332" s="54">
        <v>0</v>
      </c>
      <c r="AR5332" s="55">
        <v>28500</v>
      </c>
      <c r="AS5332" s="78">
        <f t="shared" si="87"/>
        <v>0</v>
      </c>
    </row>
    <row r="5333" spans="39:45">
      <c r="AM5333" s="55">
        <v>2019</v>
      </c>
      <c r="AN5333" s="55" t="s">
        <v>189</v>
      </c>
      <c r="AO5333" s="55">
        <v>11</v>
      </c>
      <c r="AP5333" s="55">
        <v>3</v>
      </c>
      <c r="AQ5333" s="55">
        <v>0</v>
      </c>
      <c r="AR5333" s="55">
        <v>28500</v>
      </c>
      <c r="AS5333" s="78">
        <f t="shared" si="87"/>
        <v>0</v>
      </c>
    </row>
    <row r="5334" spans="39:45">
      <c r="AM5334" s="54">
        <v>2019</v>
      </c>
      <c r="AN5334" s="54" t="s">
        <v>189</v>
      </c>
      <c r="AO5334" s="54">
        <v>11</v>
      </c>
      <c r="AP5334" s="54">
        <v>4</v>
      </c>
      <c r="AQ5334" s="54">
        <v>0</v>
      </c>
      <c r="AR5334" s="55">
        <v>28500</v>
      </c>
      <c r="AS5334" s="78">
        <f t="shared" si="87"/>
        <v>0</v>
      </c>
    </row>
    <row r="5335" spans="39:45">
      <c r="AM5335" s="55">
        <v>2019</v>
      </c>
      <c r="AN5335" s="55" t="s">
        <v>189</v>
      </c>
      <c r="AO5335" s="55">
        <v>11</v>
      </c>
      <c r="AP5335" s="55">
        <v>5</v>
      </c>
      <c r="AQ5335" s="55">
        <v>307.5</v>
      </c>
      <c r="AR5335" s="55">
        <v>28500</v>
      </c>
      <c r="AS5335" s="78">
        <f t="shared" si="87"/>
        <v>1.0789473684210526E-2</v>
      </c>
    </row>
    <row r="5336" spans="39:45">
      <c r="AM5336" s="54">
        <v>2019</v>
      </c>
      <c r="AN5336" s="54" t="s">
        <v>189</v>
      </c>
      <c r="AO5336" s="54">
        <v>11</v>
      </c>
      <c r="AP5336" s="54">
        <v>6</v>
      </c>
      <c r="AQ5336" s="54">
        <v>2228.5</v>
      </c>
      <c r="AR5336" s="55">
        <v>28500</v>
      </c>
      <c r="AS5336" s="78">
        <f t="shared" si="87"/>
        <v>7.8192982456140356E-2</v>
      </c>
    </row>
    <row r="5337" spans="39:45">
      <c r="AM5337" s="55">
        <v>2019</v>
      </c>
      <c r="AN5337" s="55" t="s">
        <v>189</v>
      </c>
      <c r="AO5337" s="55">
        <v>11</v>
      </c>
      <c r="AP5337" s="55">
        <v>7</v>
      </c>
      <c r="AQ5337" s="55">
        <v>10796</v>
      </c>
      <c r="AR5337" s="55">
        <v>28500</v>
      </c>
      <c r="AS5337" s="78">
        <f t="shared" si="87"/>
        <v>0.37880701754385965</v>
      </c>
    </row>
    <row r="5338" spans="39:45">
      <c r="AM5338" s="54">
        <v>2019</v>
      </c>
      <c r="AN5338" s="54" t="s">
        <v>189</v>
      </c>
      <c r="AO5338" s="54">
        <v>11</v>
      </c>
      <c r="AP5338" s="54">
        <v>8</v>
      </c>
      <c r="AQ5338" s="54">
        <v>14456.5</v>
      </c>
      <c r="AR5338" s="55">
        <v>28500</v>
      </c>
      <c r="AS5338" s="78">
        <f t="shared" si="87"/>
        <v>0.50724561403508772</v>
      </c>
    </row>
    <row r="5339" spans="39:45">
      <c r="AM5339" s="55">
        <v>2019</v>
      </c>
      <c r="AN5339" s="55" t="s">
        <v>189</v>
      </c>
      <c r="AO5339" s="55">
        <v>11</v>
      </c>
      <c r="AP5339" s="55">
        <v>9</v>
      </c>
      <c r="AQ5339" s="55">
        <v>23828.5</v>
      </c>
      <c r="AR5339" s="55">
        <v>28500</v>
      </c>
      <c r="AS5339" s="78">
        <f t="shared" si="87"/>
        <v>0.83608771929824566</v>
      </c>
    </row>
    <row r="5340" spans="39:45">
      <c r="AM5340" s="54">
        <v>2019</v>
      </c>
      <c r="AN5340" s="54" t="s">
        <v>189</v>
      </c>
      <c r="AO5340" s="54">
        <v>11</v>
      </c>
      <c r="AP5340" s="54">
        <v>10</v>
      </c>
      <c r="AQ5340" s="54">
        <v>23496.5</v>
      </c>
      <c r="AR5340" s="55">
        <v>28500</v>
      </c>
      <c r="AS5340" s="78">
        <f t="shared" si="87"/>
        <v>0.82443859649122808</v>
      </c>
    </row>
    <row r="5341" spans="39:45">
      <c r="AM5341" s="55">
        <v>2019</v>
      </c>
      <c r="AN5341" s="55" t="s">
        <v>189</v>
      </c>
      <c r="AO5341" s="55">
        <v>11</v>
      </c>
      <c r="AP5341" s="55">
        <v>11</v>
      </c>
      <c r="AQ5341" s="55">
        <v>28067</v>
      </c>
      <c r="AR5341" s="55">
        <v>28500</v>
      </c>
      <c r="AS5341" s="78">
        <f t="shared" si="87"/>
        <v>0.98480701754385969</v>
      </c>
    </row>
    <row r="5342" spans="39:45">
      <c r="AM5342" s="54">
        <v>2019</v>
      </c>
      <c r="AN5342" s="54" t="s">
        <v>189</v>
      </c>
      <c r="AO5342" s="54">
        <v>11</v>
      </c>
      <c r="AP5342" s="54">
        <v>12</v>
      </c>
      <c r="AQ5342" s="54">
        <v>32888</v>
      </c>
      <c r="AR5342" s="55">
        <v>28500</v>
      </c>
      <c r="AS5342" s="78">
        <f t="shared" si="87"/>
        <v>1.1539649122807019</v>
      </c>
    </row>
    <row r="5343" spans="39:45">
      <c r="AM5343" s="55">
        <v>2019</v>
      </c>
      <c r="AN5343" s="55" t="s">
        <v>189</v>
      </c>
      <c r="AO5343" s="55">
        <v>11</v>
      </c>
      <c r="AP5343" s="55">
        <v>13</v>
      </c>
      <c r="AQ5343" s="55">
        <v>24963.5</v>
      </c>
      <c r="AR5343" s="55">
        <v>28500</v>
      </c>
      <c r="AS5343" s="78">
        <f t="shared" si="87"/>
        <v>0.87591228070175442</v>
      </c>
    </row>
    <row r="5344" spans="39:45">
      <c r="AM5344" s="54">
        <v>2019</v>
      </c>
      <c r="AN5344" s="54" t="s">
        <v>189</v>
      </c>
      <c r="AO5344" s="54">
        <v>11</v>
      </c>
      <c r="AP5344" s="54">
        <v>14</v>
      </c>
      <c r="AQ5344" s="54">
        <v>24897</v>
      </c>
      <c r="AR5344" s="55">
        <v>28500</v>
      </c>
      <c r="AS5344" s="78">
        <f t="shared" si="87"/>
        <v>0.87357894736842101</v>
      </c>
    </row>
    <row r="5345" spans="39:45">
      <c r="AM5345" s="55">
        <v>2019</v>
      </c>
      <c r="AN5345" s="55" t="s">
        <v>189</v>
      </c>
      <c r="AO5345" s="55">
        <v>11</v>
      </c>
      <c r="AP5345" s="55">
        <v>15</v>
      </c>
      <c r="AQ5345" s="55">
        <v>15075.5</v>
      </c>
      <c r="AR5345" s="55">
        <v>28500</v>
      </c>
      <c r="AS5345" s="78">
        <f t="shared" si="87"/>
        <v>0.52896491228070175</v>
      </c>
    </row>
    <row r="5346" spans="39:45">
      <c r="AM5346" s="54">
        <v>2019</v>
      </c>
      <c r="AN5346" s="54" t="s">
        <v>189</v>
      </c>
      <c r="AO5346" s="54">
        <v>11</v>
      </c>
      <c r="AP5346" s="54">
        <v>16</v>
      </c>
      <c r="AQ5346" s="54">
        <v>7079.5</v>
      </c>
      <c r="AR5346" s="55">
        <v>28500</v>
      </c>
      <c r="AS5346" s="78">
        <f t="shared" si="87"/>
        <v>0.24840350877192982</v>
      </c>
    </row>
    <row r="5347" spans="39:45">
      <c r="AM5347" s="55">
        <v>2019</v>
      </c>
      <c r="AN5347" s="55" t="s">
        <v>189</v>
      </c>
      <c r="AO5347" s="55">
        <v>11</v>
      </c>
      <c r="AP5347" s="55">
        <v>17</v>
      </c>
      <c r="AQ5347" s="55">
        <v>2461.5</v>
      </c>
      <c r="AR5347" s="55">
        <v>28500</v>
      </c>
      <c r="AS5347" s="78">
        <f t="shared" si="87"/>
        <v>8.636842105263158E-2</v>
      </c>
    </row>
    <row r="5348" spans="39:45">
      <c r="AM5348" s="54">
        <v>2019</v>
      </c>
      <c r="AN5348" s="54" t="s">
        <v>189</v>
      </c>
      <c r="AO5348" s="54">
        <v>11</v>
      </c>
      <c r="AP5348" s="54">
        <v>18</v>
      </c>
      <c r="AQ5348" s="54">
        <v>1492.5</v>
      </c>
      <c r="AR5348" s="55">
        <v>28500</v>
      </c>
      <c r="AS5348" s="78">
        <f t="shared" si="87"/>
        <v>5.2368421052631578E-2</v>
      </c>
    </row>
    <row r="5349" spans="39:45">
      <c r="AM5349" s="55">
        <v>2019</v>
      </c>
      <c r="AN5349" s="55" t="s">
        <v>189</v>
      </c>
      <c r="AO5349" s="55">
        <v>11</v>
      </c>
      <c r="AP5349" s="55">
        <v>19</v>
      </c>
      <c r="AQ5349" s="55">
        <v>0</v>
      </c>
      <c r="AR5349" s="55">
        <v>28500</v>
      </c>
      <c r="AS5349" s="78">
        <f t="shared" si="87"/>
        <v>0</v>
      </c>
    </row>
    <row r="5350" spans="39:45">
      <c r="AM5350" s="54">
        <v>2019</v>
      </c>
      <c r="AN5350" s="54" t="s">
        <v>189</v>
      </c>
      <c r="AO5350" s="54">
        <v>11</v>
      </c>
      <c r="AP5350" s="54">
        <v>20</v>
      </c>
      <c r="AQ5350" s="54">
        <v>0</v>
      </c>
      <c r="AR5350" s="55">
        <v>28500</v>
      </c>
      <c r="AS5350" s="78">
        <f t="shared" si="87"/>
        <v>0</v>
      </c>
    </row>
    <row r="5351" spans="39:45">
      <c r="AM5351" s="55">
        <v>2019</v>
      </c>
      <c r="AN5351" s="55" t="s">
        <v>189</v>
      </c>
      <c r="AO5351" s="55">
        <v>11</v>
      </c>
      <c r="AP5351" s="55">
        <v>21</v>
      </c>
      <c r="AQ5351" s="55">
        <v>0</v>
      </c>
      <c r="AR5351" s="55">
        <v>28500</v>
      </c>
      <c r="AS5351" s="78">
        <f t="shared" si="87"/>
        <v>0</v>
      </c>
    </row>
    <row r="5352" spans="39:45">
      <c r="AM5352" s="54">
        <v>2019</v>
      </c>
      <c r="AN5352" s="54" t="s">
        <v>189</v>
      </c>
      <c r="AO5352" s="54">
        <v>11</v>
      </c>
      <c r="AP5352" s="54">
        <v>22</v>
      </c>
      <c r="AQ5352" s="54">
        <v>0</v>
      </c>
      <c r="AR5352" s="55">
        <v>28500</v>
      </c>
      <c r="AS5352" s="78">
        <f t="shared" si="87"/>
        <v>0</v>
      </c>
    </row>
    <row r="5353" spans="39:45">
      <c r="AM5353" s="55">
        <v>2019</v>
      </c>
      <c r="AN5353" s="55" t="s">
        <v>189</v>
      </c>
      <c r="AO5353" s="55">
        <v>11</v>
      </c>
      <c r="AP5353" s="55">
        <v>23</v>
      </c>
      <c r="AQ5353" s="55">
        <v>0</v>
      </c>
      <c r="AR5353" s="55">
        <v>28500</v>
      </c>
      <c r="AS5353" s="78">
        <f t="shared" si="87"/>
        <v>0</v>
      </c>
    </row>
    <row r="5354" spans="39:45">
      <c r="AM5354" s="54">
        <v>2019</v>
      </c>
      <c r="AN5354" s="54" t="s">
        <v>189</v>
      </c>
      <c r="AO5354" s="54">
        <v>12</v>
      </c>
      <c r="AP5354" s="54">
        <v>24</v>
      </c>
      <c r="AQ5354" s="54">
        <v>0</v>
      </c>
      <c r="AR5354" s="55">
        <v>28500</v>
      </c>
      <c r="AS5354" s="78">
        <f t="shared" si="87"/>
        <v>0</v>
      </c>
    </row>
    <row r="5355" spans="39:45">
      <c r="AM5355" s="55">
        <v>2019</v>
      </c>
      <c r="AN5355" s="55" t="s">
        <v>189</v>
      </c>
      <c r="AO5355" s="55">
        <v>12</v>
      </c>
      <c r="AP5355" s="55">
        <v>1</v>
      </c>
      <c r="AQ5355" s="55">
        <v>0</v>
      </c>
      <c r="AR5355" s="55">
        <v>28500</v>
      </c>
      <c r="AS5355" s="78">
        <f t="shared" si="87"/>
        <v>0</v>
      </c>
    </row>
    <row r="5356" spans="39:45">
      <c r="AM5356" s="54">
        <v>2019</v>
      </c>
      <c r="AN5356" s="54" t="s">
        <v>189</v>
      </c>
      <c r="AO5356" s="54">
        <v>12</v>
      </c>
      <c r="AP5356" s="54">
        <v>2</v>
      </c>
      <c r="AQ5356" s="54">
        <v>0</v>
      </c>
      <c r="AR5356" s="55">
        <v>28500</v>
      </c>
      <c r="AS5356" s="78">
        <f t="shared" si="87"/>
        <v>0</v>
      </c>
    </row>
    <row r="5357" spans="39:45">
      <c r="AM5357" s="55">
        <v>2019</v>
      </c>
      <c r="AN5357" s="55" t="s">
        <v>189</v>
      </c>
      <c r="AO5357" s="55">
        <v>12</v>
      </c>
      <c r="AP5357" s="55">
        <v>3</v>
      </c>
      <c r="AQ5357" s="55">
        <v>0</v>
      </c>
      <c r="AR5357" s="55">
        <v>28500</v>
      </c>
      <c r="AS5357" s="78">
        <f t="shared" si="87"/>
        <v>0</v>
      </c>
    </row>
    <row r="5358" spans="39:45">
      <c r="AM5358" s="54">
        <v>2019</v>
      </c>
      <c r="AN5358" s="54" t="s">
        <v>189</v>
      </c>
      <c r="AO5358" s="54">
        <v>12</v>
      </c>
      <c r="AP5358" s="54">
        <v>4</v>
      </c>
      <c r="AQ5358" s="54">
        <v>0</v>
      </c>
      <c r="AR5358" s="55">
        <v>28500</v>
      </c>
      <c r="AS5358" s="78">
        <f t="shared" si="87"/>
        <v>0</v>
      </c>
    </row>
    <row r="5359" spans="39:45">
      <c r="AM5359" s="55">
        <v>2019</v>
      </c>
      <c r="AN5359" s="55" t="s">
        <v>189</v>
      </c>
      <c r="AO5359" s="55">
        <v>12</v>
      </c>
      <c r="AP5359" s="55">
        <v>5</v>
      </c>
      <c r="AQ5359" s="55">
        <v>0</v>
      </c>
      <c r="AR5359" s="55">
        <v>28500</v>
      </c>
      <c r="AS5359" s="78">
        <f t="shared" si="87"/>
        <v>0</v>
      </c>
    </row>
    <row r="5360" spans="39:45">
      <c r="AM5360" s="54">
        <v>2019</v>
      </c>
      <c r="AN5360" s="54" t="s">
        <v>189</v>
      </c>
      <c r="AO5360" s="54">
        <v>12</v>
      </c>
      <c r="AP5360" s="54">
        <v>6</v>
      </c>
      <c r="AQ5360" s="54">
        <v>2476.5</v>
      </c>
      <c r="AR5360" s="55">
        <v>28500</v>
      </c>
      <c r="AS5360" s="78">
        <f t="shared" si="87"/>
        <v>8.6894736842105261E-2</v>
      </c>
    </row>
    <row r="5361" spans="39:45">
      <c r="AM5361" s="55">
        <v>2019</v>
      </c>
      <c r="AN5361" s="55" t="s">
        <v>189</v>
      </c>
      <c r="AO5361" s="55">
        <v>12</v>
      </c>
      <c r="AP5361" s="55">
        <v>7</v>
      </c>
      <c r="AQ5361" s="55">
        <v>5496</v>
      </c>
      <c r="AR5361" s="55">
        <v>28500</v>
      </c>
      <c r="AS5361" s="78">
        <f t="shared" si="87"/>
        <v>0.1928421052631579</v>
      </c>
    </row>
    <row r="5362" spans="39:45">
      <c r="AM5362" s="54">
        <v>2019</v>
      </c>
      <c r="AN5362" s="54" t="s">
        <v>189</v>
      </c>
      <c r="AO5362" s="54">
        <v>12</v>
      </c>
      <c r="AP5362" s="54">
        <v>8</v>
      </c>
      <c r="AQ5362" s="54">
        <v>8114.5</v>
      </c>
      <c r="AR5362" s="55">
        <v>28500</v>
      </c>
      <c r="AS5362" s="78">
        <f t="shared" si="87"/>
        <v>0.28471929824561404</v>
      </c>
    </row>
    <row r="5363" spans="39:45">
      <c r="AM5363" s="55">
        <v>2019</v>
      </c>
      <c r="AN5363" s="55" t="s">
        <v>189</v>
      </c>
      <c r="AO5363" s="55">
        <v>12</v>
      </c>
      <c r="AP5363" s="55">
        <v>9</v>
      </c>
      <c r="AQ5363" s="55">
        <v>15027.5</v>
      </c>
      <c r="AR5363" s="55">
        <v>28500</v>
      </c>
      <c r="AS5363" s="78">
        <f t="shared" si="87"/>
        <v>0.52728070175438602</v>
      </c>
    </row>
    <row r="5364" spans="39:45">
      <c r="AM5364" s="54">
        <v>2019</v>
      </c>
      <c r="AN5364" s="54" t="s">
        <v>189</v>
      </c>
      <c r="AO5364" s="54">
        <v>12</v>
      </c>
      <c r="AP5364" s="54">
        <v>10</v>
      </c>
      <c r="AQ5364" s="54">
        <v>2297.5</v>
      </c>
      <c r="AR5364" s="55">
        <v>28500</v>
      </c>
      <c r="AS5364" s="78">
        <f t="shared" si="87"/>
        <v>8.0614035087719305E-2</v>
      </c>
    </row>
    <row r="5365" spans="39:45">
      <c r="AM5365" s="55">
        <v>2019</v>
      </c>
      <c r="AN5365" s="55" t="s">
        <v>189</v>
      </c>
      <c r="AO5365" s="55">
        <v>12</v>
      </c>
      <c r="AP5365" s="55">
        <v>11</v>
      </c>
      <c r="AQ5365" s="55">
        <v>7898.5</v>
      </c>
      <c r="AR5365" s="55">
        <v>28500</v>
      </c>
      <c r="AS5365" s="78">
        <f t="shared" si="87"/>
        <v>0.27714035087719296</v>
      </c>
    </row>
    <row r="5366" spans="39:45">
      <c r="AM5366" s="54">
        <v>2019</v>
      </c>
      <c r="AN5366" s="54" t="s">
        <v>189</v>
      </c>
      <c r="AO5366" s="54">
        <v>12</v>
      </c>
      <c r="AP5366" s="54">
        <v>12</v>
      </c>
      <c r="AQ5366" s="54">
        <v>12667.5</v>
      </c>
      <c r="AR5366" s="55">
        <v>28500</v>
      </c>
      <c r="AS5366" s="78">
        <f t="shared" si="87"/>
        <v>0.4444736842105263</v>
      </c>
    </row>
    <row r="5367" spans="39:45">
      <c r="AM5367" s="55">
        <v>2019</v>
      </c>
      <c r="AN5367" s="55" t="s">
        <v>189</v>
      </c>
      <c r="AO5367" s="55">
        <v>12</v>
      </c>
      <c r="AP5367" s="55">
        <v>13</v>
      </c>
      <c r="AQ5367" s="55">
        <v>4691.5</v>
      </c>
      <c r="AR5367" s="55">
        <v>28500</v>
      </c>
      <c r="AS5367" s="78">
        <f t="shared" si="87"/>
        <v>0.1646140350877193</v>
      </c>
    </row>
    <row r="5368" spans="39:45">
      <c r="AM5368" s="54">
        <v>2019</v>
      </c>
      <c r="AN5368" s="54" t="s">
        <v>189</v>
      </c>
      <c r="AO5368" s="54">
        <v>12</v>
      </c>
      <c r="AP5368" s="54">
        <v>14</v>
      </c>
      <c r="AQ5368" s="54">
        <v>2075.5</v>
      </c>
      <c r="AR5368" s="55">
        <v>28500</v>
      </c>
      <c r="AS5368" s="78">
        <f t="shared" si="87"/>
        <v>7.2824561403508778E-2</v>
      </c>
    </row>
    <row r="5369" spans="39:45">
      <c r="AM5369" s="55">
        <v>2019</v>
      </c>
      <c r="AN5369" s="55" t="s">
        <v>189</v>
      </c>
      <c r="AO5369" s="55">
        <v>12</v>
      </c>
      <c r="AP5369" s="55">
        <v>15</v>
      </c>
      <c r="AQ5369" s="55">
        <v>23352</v>
      </c>
      <c r="AR5369" s="55">
        <v>28500</v>
      </c>
      <c r="AS5369" s="78">
        <f t="shared" si="87"/>
        <v>0.81936842105263152</v>
      </c>
    </row>
    <row r="5370" spans="39:45">
      <c r="AM5370" s="54">
        <v>2019</v>
      </c>
      <c r="AN5370" s="54" t="s">
        <v>189</v>
      </c>
      <c r="AO5370" s="54">
        <v>12</v>
      </c>
      <c r="AP5370" s="54">
        <v>16</v>
      </c>
      <c r="AQ5370" s="54">
        <v>3530.5</v>
      </c>
      <c r="AR5370" s="55">
        <v>28500</v>
      </c>
      <c r="AS5370" s="78">
        <f t="shared" si="87"/>
        <v>0.12387719298245614</v>
      </c>
    </row>
    <row r="5371" spans="39:45">
      <c r="AM5371" s="55">
        <v>2019</v>
      </c>
      <c r="AN5371" s="55" t="s">
        <v>189</v>
      </c>
      <c r="AO5371" s="55">
        <v>12</v>
      </c>
      <c r="AP5371" s="55">
        <v>17</v>
      </c>
      <c r="AQ5371" s="55">
        <v>2452.5</v>
      </c>
      <c r="AR5371" s="55">
        <v>28500</v>
      </c>
      <c r="AS5371" s="78">
        <f t="shared" si="87"/>
        <v>8.6052631578947367E-2</v>
      </c>
    </row>
    <row r="5372" spans="39:45">
      <c r="AM5372" s="54">
        <v>2019</v>
      </c>
      <c r="AN5372" s="54" t="s">
        <v>189</v>
      </c>
      <c r="AO5372" s="54">
        <v>12</v>
      </c>
      <c r="AP5372" s="54">
        <v>18</v>
      </c>
      <c r="AQ5372" s="54">
        <v>2082.5</v>
      </c>
      <c r="AR5372" s="55">
        <v>28500</v>
      </c>
      <c r="AS5372" s="78">
        <f t="shared" si="87"/>
        <v>7.3070175438596494E-2</v>
      </c>
    </row>
    <row r="5373" spans="39:45">
      <c r="AM5373" s="55">
        <v>2019</v>
      </c>
      <c r="AN5373" s="55" t="s">
        <v>189</v>
      </c>
      <c r="AO5373" s="55">
        <v>12</v>
      </c>
      <c r="AP5373" s="55">
        <v>19</v>
      </c>
      <c r="AQ5373" s="55">
        <v>0</v>
      </c>
      <c r="AR5373" s="55">
        <v>28500</v>
      </c>
      <c r="AS5373" s="78">
        <f t="shared" si="87"/>
        <v>0</v>
      </c>
    </row>
    <row r="5374" spans="39:45">
      <c r="AM5374" s="54">
        <v>2019</v>
      </c>
      <c r="AN5374" s="54" t="s">
        <v>189</v>
      </c>
      <c r="AO5374" s="54">
        <v>12</v>
      </c>
      <c r="AP5374" s="54">
        <v>20</v>
      </c>
      <c r="AQ5374" s="54">
        <v>0</v>
      </c>
      <c r="AR5374" s="55">
        <v>28500</v>
      </c>
      <c r="AS5374" s="78">
        <f t="shared" si="87"/>
        <v>0</v>
      </c>
    </row>
    <row r="5375" spans="39:45">
      <c r="AM5375" s="55">
        <v>2019</v>
      </c>
      <c r="AN5375" s="55" t="s">
        <v>189</v>
      </c>
      <c r="AO5375" s="55">
        <v>12</v>
      </c>
      <c r="AP5375" s="55">
        <v>21</v>
      </c>
      <c r="AQ5375" s="55">
        <v>0</v>
      </c>
      <c r="AR5375" s="55">
        <v>28500</v>
      </c>
      <c r="AS5375" s="78">
        <f t="shared" si="87"/>
        <v>0</v>
      </c>
    </row>
    <row r="5376" spans="39:45">
      <c r="AM5376" s="54">
        <v>2019</v>
      </c>
      <c r="AN5376" s="54" t="s">
        <v>189</v>
      </c>
      <c r="AO5376" s="54">
        <v>12</v>
      </c>
      <c r="AP5376" s="54">
        <v>22</v>
      </c>
      <c r="AQ5376" s="54">
        <v>0</v>
      </c>
      <c r="AR5376" s="55">
        <v>28500</v>
      </c>
      <c r="AS5376" s="78">
        <f t="shared" si="87"/>
        <v>0</v>
      </c>
    </row>
    <row r="5377" spans="39:45">
      <c r="AM5377" s="55">
        <v>2019</v>
      </c>
      <c r="AN5377" s="55" t="s">
        <v>189</v>
      </c>
      <c r="AO5377" s="55">
        <v>12</v>
      </c>
      <c r="AP5377" s="55">
        <v>23</v>
      </c>
      <c r="AQ5377" s="55">
        <v>0</v>
      </c>
      <c r="AR5377" s="55">
        <v>28500</v>
      </c>
      <c r="AS5377" s="78">
        <f t="shared" si="87"/>
        <v>0</v>
      </c>
    </row>
    <row r="5378" spans="39:45">
      <c r="AM5378" s="54">
        <v>2019</v>
      </c>
      <c r="AN5378" s="54" t="s">
        <v>189</v>
      </c>
      <c r="AO5378" s="54">
        <v>13</v>
      </c>
      <c r="AP5378" s="54">
        <v>24</v>
      </c>
      <c r="AQ5378" s="54">
        <v>0</v>
      </c>
      <c r="AR5378" s="55">
        <v>28500</v>
      </c>
      <c r="AS5378" s="78">
        <f t="shared" ref="AS5378:AS5441" si="88">AQ5378/AR5378</f>
        <v>0</v>
      </c>
    </row>
    <row r="5379" spans="39:45">
      <c r="AM5379" s="55">
        <v>2019</v>
      </c>
      <c r="AN5379" s="55" t="s">
        <v>189</v>
      </c>
      <c r="AO5379" s="55">
        <v>13</v>
      </c>
      <c r="AP5379" s="55">
        <v>1</v>
      </c>
      <c r="AQ5379" s="55">
        <v>0</v>
      </c>
      <c r="AR5379" s="55">
        <v>28500</v>
      </c>
      <c r="AS5379" s="78">
        <f t="shared" si="88"/>
        <v>0</v>
      </c>
    </row>
    <row r="5380" spans="39:45">
      <c r="AM5380" s="54">
        <v>2019</v>
      </c>
      <c r="AN5380" s="54" t="s">
        <v>189</v>
      </c>
      <c r="AO5380" s="54">
        <v>13</v>
      </c>
      <c r="AP5380" s="54">
        <v>2</v>
      </c>
      <c r="AQ5380" s="54">
        <v>0</v>
      </c>
      <c r="AR5380" s="55">
        <v>28500</v>
      </c>
      <c r="AS5380" s="78">
        <f t="shared" si="88"/>
        <v>0</v>
      </c>
    </row>
    <row r="5381" spans="39:45">
      <c r="AM5381" s="55">
        <v>2019</v>
      </c>
      <c r="AN5381" s="55" t="s">
        <v>189</v>
      </c>
      <c r="AO5381" s="55">
        <v>13</v>
      </c>
      <c r="AP5381" s="55">
        <v>3</v>
      </c>
      <c r="AQ5381" s="55">
        <v>0</v>
      </c>
      <c r="AR5381" s="55">
        <v>28500</v>
      </c>
      <c r="AS5381" s="78">
        <f t="shared" si="88"/>
        <v>0</v>
      </c>
    </row>
    <row r="5382" spans="39:45">
      <c r="AM5382" s="54">
        <v>2019</v>
      </c>
      <c r="AN5382" s="54" t="s">
        <v>189</v>
      </c>
      <c r="AO5382" s="54">
        <v>13</v>
      </c>
      <c r="AP5382" s="54">
        <v>4</v>
      </c>
      <c r="AQ5382" s="54">
        <v>0</v>
      </c>
      <c r="AR5382" s="55">
        <v>28500</v>
      </c>
      <c r="AS5382" s="78">
        <f t="shared" si="88"/>
        <v>0</v>
      </c>
    </row>
    <row r="5383" spans="39:45">
      <c r="AM5383" s="55">
        <v>2019</v>
      </c>
      <c r="AN5383" s="55" t="s">
        <v>189</v>
      </c>
      <c r="AO5383" s="55">
        <v>13</v>
      </c>
      <c r="AP5383" s="55">
        <v>5</v>
      </c>
      <c r="AQ5383" s="55">
        <v>236.5</v>
      </c>
      <c r="AR5383" s="55">
        <v>28500</v>
      </c>
      <c r="AS5383" s="78">
        <f t="shared" si="88"/>
        <v>8.2982456140350876E-3</v>
      </c>
    </row>
    <row r="5384" spans="39:45">
      <c r="AM5384" s="54">
        <v>2019</v>
      </c>
      <c r="AN5384" s="54" t="s">
        <v>189</v>
      </c>
      <c r="AO5384" s="54">
        <v>13</v>
      </c>
      <c r="AP5384" s="54">
        <v>6</v>
      </c>
      <c r="AQ5384" s="54">
        <v>992.5</v>
      </c>
      <c r="AR5384" s="55">
        <v>28500</v>
      </c>
      <c r="AS5384" s="78">
        <f t="shared" si="88"/>
        <v>3.4824561403508772E-2</v>
      </c>
    </row>
    <row r="5385" spans="39:45">
      <c r="AM5385" s="55">
        <v>2019</v>
      </c>
      <c r="AN5385" s="55" t="s">
        <v>189</v>
      </c>
      <c r="AO5385" s="55">
        <v>13</v>
      </c>
      <c r="AP5385" s="55">
        <v>7</v>
      </c>
      <c r="AQ5385" s="55">
        <v>7787.5</v>
      </c>
      <c r="AR5385" s="55">
        <v>28500</v>
      </c>
      <c r="AS5385" s="78">
        <f t="shared" si="88"/>
        <v>0.27324561403508774</v>
      </c>
    </row>
    <row r="5386" spans="39:45">
      <c r="AM5386" s="54">
        <v>2019</v>
      </c>
      <c r="AN5386" s="54" t="s">
        <v>189</v>
      </c>
      <c r="AO5386" s="54">
        <v>13</v>
      </c>
      <c r="AP5386" s="54">
        <v>8</v>
      </c>
      <c r="AQ5386" s="54">
        <v>17338</v>
      </c>
      <c r="AR5386" s="55">
        <v>28500</v>
      </c>
      <c r="AS5386" s="78">
        <f t="shared" si="88"/>
        <v>0.60835087719298242</v>
      </c>
    </row>
    <row r="5387" spans="39:45">
      <c r="AM5387" s="55">
        <v>2019</v>
      </c>
      <c r="AN5387" s="55" t="s">
        <v>189</v>
      </c>
      <c r="AO5387" s="55">
        <v>13</v>
      </c>
      <c r="AP5387" s="55">
        <v>9</v>
      </c>
      <c r="AQ5387" s="55">
        <v>30000</v>
      </c>
      <c r="AR5387" s="55">
        <v>28500</v>
      </c>
      <c r="AS5387" s="78">
        <f t="shared" si="88"/>
        <v>1.0526315789473684</v>
      </c>
    </row>
    <row r="5388" spans="39:45">
      <c r="AM5388" s="54">
        <v>2019</v>
      </c>
      <c r="AN5388" s="54" t="s">
        <v>189</v>
      </c>
      <c r="AO5388" s="54">
        <v>13</v>
      </c>
      <c r="AP5388" s="54">
        <v>10</v>
      </c>
      <c r="AQ5388" s="54">
        <v>34601</v>
      </c>
      <c r="AR5388" s="55">
        <v>28500</v>
      </c>
      <c r="AS5388" s="78">
        <f t="shared" si="88"/>
        <v>1.2140701754385965</v>
      </c>
    </row>
    <row r="5389" spans="39:45">
      <c r="AM5389" s="55">
        <v>2019</v>
      </c>
      <c r="AN5389" s="55" t="s">
        <v>189</v>
      </c>
      <c r="AO5389" s="55">
        <v>13</v>
      </c>
      <c r="AP5389" s="55">
        <v>11</v>
      </c>
      <c r="AQ5389" s="55">
        <v>32540</v>
      </c>
      <c r="AR5389" s="55">
        <v>28500</v>
      </c>
      <c r="AS5389" s="78">
        <f t="shared" si="88"/>
        <v>1.1417543859649122</v>
      </c>
    </row>
    <row r="5390" spans="39:45">
      <c r="AM5390" s="54">
        <v>2019</v>
      </c>
      <c r="AN5390" s="54" t="s">
        <v>189</v>
      </c>
      <c r="AO5390" s="54">
        <v>13</v>
      </c>
      <c r="AP5390" s="54">
        <v>12</v>
      </c>
      <c r="AQ5390" s="54">
        <v>23220</v>
      </c>
      <c r="AR5390" s="55">
        <v>28500</v>
      </c>
      <c r="AS5390" s="78">
        <f t="shared" si="88"/>
        <v>0.8147368421052632</v>
      </c>
    </row>
    <row r="5391" spans="39:45">
      <c r="AM5391" s="55">
        <v>2019</v>
      </c>
      <c r="AN5391" s="55" t="s">
        <v>189</v>
      </c>
      <c r="AO5391" s="55">
        <v>13</v>
      </c>
      <c r="AP5391" s="55">
        <v>13</v>
      </c>
      <c r="AQ5391" s="55">
        <v>37522.5</v>
      </c>
      <c r="AR5391" s="55">
        <v>28500</v>
      </c>
      <c r="AS5391" s="78">
        <f t="shared" si="88"/>
        <v>1.3165789473684211</v>
      </c>
    </row>
    <row r="5392" spans="39:45">
      <c r="AM5392" s="54">
        <v>2019</v>
      </c>
      <c r="AN5392" s="54" t="s">
        <v>189</v>
      </c>
      <c r="AO5392" s="54">
        <v>13</v>
      </c>
      <c r="AP5392" s="54">
        <v>14</v>
      </c>
      <c r="AQ5392" s="54">
        <v>33762</v>
      </c>
      <c r="AR5392" s="55">
        <v>28500</v>
      </c>
      <c r="AS5392" s="78">
        <f t="shared" si="88"/>
        <v>1.1846315789473685</v>
      </c>
    </row>
    <row r="5393" spans="39:45">
      <c r="AM5393" s="55">
        <v>2019</v>
      </c>
      <c r="AN5393" s="55" t="s">
        <v>189</v>
      </c>
      <c r="AO5393" s="55">
        <v>13</v>
      </c>
      <c r="AP5393" s="55">
        <v>15</v>
      </c>
      <c r="AQ5393" s="55">
        <v>26171.5</v>
      </c>
      <c r="AR5393" s="55">
        <v>28500</v>
      </c>
      <c r="AS5393" s="78">
        <f t="shared" si="88"/>
        <v>0.91829824561403506</v>
      </c>
    </row>
    <row r="5394" spans="39:45">
      <c r="AM5394" s="54">
        <v>2019</v>
      </c>
      <c r="AN5394" s="54" t="s">
        <v>189</v>
      </c>
      <c r="AO5394" s="54">
        <v>13</v>
      </c>
      <c r="AP5394" s="54">
        <v>16</v>
      </c>
      <c r="AQ5394" s="54">
        <v>12496</v>
      </c>
      <c r="AR5394" s="55">
        <v>28500</v>
      </c>
      <c r="AS5394" s="78">
        <f t="shared" si="88"/>
        <v>0.43845614035087721</v>
      </c>
    </row>
    <row r="5395" spans="39:45">
      <c r="AM5395" s="55">
        <v>2019</v>
      </c>
      <c r="AN5395" s="55" t="s">
        <v>189</v>
      </c>
      <c r="AO5395" s="55">
        <v>13</v>
      </c>
      <c r="AP5395" s="55">
        <v>17</v>
      </c>
      <c r="AQ5395" s="55">
        <v>8208.5</v>
      </c>
      <c r="AR5395" s="55">
        <v>28500</v>
      </c>
      <c r="AS5395" s="78">
        <f t="shared" si="88"/>
        <v>0.28801754385964912</v>
      </c>
    </row>
    <row r="5396" spans="39:45">
      <c r="AM5396" s="54">
        <v>2019</v>
      </c>
      <c r="AN5396" s="54" t="s">
        <v>189</v>
      </c>
      <c r="AO5396" s="54">
        <v>13</v>
      </c>
      <c r="AP5396" s="54">
        <v>18</v>
      </c>
      <c r="AQ5396" s="54">
        <v>1192</v>
      </c>
      <c r="AR5396" s="55">
        <v>28500</v>
      </c>
      <c r="AS5396" s="78">
        <f t="shared" si="88"/>
        <v>4.1824561403508771E-2</v>
      </c>
    </row>
    <row r="5397" spans="39:45">
      <c r="AM5397" s="55">
        <v>2019</v>
      </c>
      <c r="AN5397" s="55" t="s">
        <v>189</v>
      </c>
      <c r="AO5397" s="55">
        <v>13</v>
      </c>
      <c r="AP5397" s="55">
        <v>19</v>
      </c>
      <c r="AQ5397" s="55">
        <v>0</v>
      </c>
      <c r="AR5397" s="55">
        <v>28500</v>
      </c>
      <c r="AS5397" s="78">
        <f t="shared" si="88"/>
        <v>0</v>
      </c>
    </row>
    <row r="5398" spans="39:45">
      <c r="AM5398" s="54">
        <v>2019</v>
      </c>
      <c r="AN5398" s="54" t="s">
        <v>189</v>
      </c>
      <c r="AO5398" s="54">
        <v>13</v>
      </c>
      <c r="AP5398" s="54">
        <v>20</v>
      </c>
      <c r="AQ5398" s="54">
        <v>0</v>
      </c>
      <c r="AR5398" s="55">
        <v>28500</v>
      </c>
      <c r="AS5398" s="78">
        <f t="shared" si="88"/>
        <v>0</v>
      </c>
    </row>
    <row r="5399" spans="39:45">
      <c r="AM5399" s="55">
        <v>2019</v>
      </c>
      <c r="AN5399" s="55" t="s">
        <v>189</v>
      </c>
      <c r="AO5399" s="55">
        <v>13</v>
      </c>
      <c r="AP5399" s="55">
        <v>21</v>
      </c>
      <c r="AQ5399" s="55">
        <v>0</v>
      </c>
      <c r="AR5399" s="55">
        <v>28500</v>
      </c>
      <c r="AS5399" s="78">
        <f t="shared" si="88"/>
        <v>0</v>
      </c>
    </row>
    <row r="5400" spans="39:45">
      <c r="AM5400" s="54">
        <v>2019</v>
      </c>
      <c r="AN5400" s="54" t="s">
        <v>189</v>
      </c>
      <c r="AO5400" s="54">
        <v>13</v>
      </c>
      <c r="AP5400" s="54">
        <v>22</v>
      </c>
      <c r="AQ5400" s="54">
        <v>0</v>
      </c>
      <c r="AR5400" s="55">
        <v>28500</v>
      </c>
      <c r="AS5400" s="78">
        <f t="shared" si="88"/>
        <v>0</v>
      </c>
    </row>
    <row r="5401" spans="39:45">
      <c r="AM5401" s="55">
        <v>2019</v>
      </c>
      <c r="AN5401" s="55" t="s">
        <v>189</v>
      </c>
      <c r="AO5401" s="55">
        <v>13</v>
      </c>
      <c r="AP5401" s="55">
        <v>23</v>
      </c>
      <c r="AQ5401" s="55">
        <v>0</v>
      </c>
      <c r="AR5401" s="55">
        <v>28500</v>
      </c>
      <c r="AS5401" s="78">
        <f t="shared" si="88"/>
        <v>0</v>
      </c>
    </row>
    <row r="5402" spans="39:45">
      <c r="AM5402" s="54">
        <v>2019</v>
      </c>
      <c r="AN5402" s="54" t="s">
        <v>189</v>
      </c>
      <c r="AO5402" s="54">
        <v>14</v>
      </c>
      <c r="AP5402" s="54">
        <v>24</v>
      </c>
      <c r="AQ5402" s="54">
        <v>0</v>
      </c>
      <c r="AR5402" s="55">
        <v>28500</v>
      </c>
      <c r="AS5402" s="78">
        <f t="shared" si="88"/>
        <v>0</v>
      </c>
    </row>
    <row r="5403" spans="39:45">
      <c r="AM5403" s="55">
        <v>2019</v>
      </c>
      <c r="AN5403" s="55" t="s">
        <v>189</v>
      </c>
      <c r="AO5403" s="55">
        <v>14</v>
      </c>
      <c r="AP5403" s="55">
        <v>1</v>
      </c>
      <c r="AQ5403" s="55">
        <v>0</v>
      </c>
      <c r="AR5403" s="55">
        <v>28500</v>
      </c>
      <c r="AS5403" s="78">
        <f t="shared" si="88"/>
        <v>0</v>
      </c>
    </row>
    <row r="5404" spans="39:45">
      <c r="AM5404" s="54">
        <v>2019</v>
      </c>
      <c r="AN5404" s="54" t="s">
        <v>189</v>
      </c>
      <c r="AO5404" s="54">
        <v>14</v>
      </c>
      <c r="AP5404" s="54">
        <v>2</v>
      </c>
      <c r="AQ5404" s="54">
        <v>0</v>
      </c>
      <c r="AR5404" s="55">
        <v>28500</v>
      </c>
      <c r="AS5404" s="78">
        <f t="shared" si="88"/>
        <v>0</v>
      </c>
    </row>
    <row r="5405" spans="39:45">
      <c r="AM5405" s="55">
        <v>2019</v>
      </c>
      <c r="AN5405" s="55" t="s">
        <v>189</v>
      </c>
      <c r="AO5405" s="55">
        <v>14</v>
      </c>
      <c r="AP5405" s="55">
        <v>3</v>
      </c>
      <c r="AQ5405" s="55">
        <v>0</v>
      </c>
      <c r="AR5405" s="55">
        <v>28500</v>
      </c>
      <c r="AS5405" s="78">
        <f t="shared" si="88"/>
        <v>0</v>
      </c>
    </row>
    <row r="5406" spans="39:45">
      <c r="AM5406" s="54">
        <v>2019</v>
      </c>
      <c r="AN5406" s="54" t="s">
        <v>189</v>
      </c>
      <c r="AO5406" s="54">
        <v>14</v>
      </c>
      <c r="AP5406" s="54">
        <v>4</v>
      </c>
      <c r="AQ5406" s="54">
        <v>0</v>
      </c>
      <c r="AR5406" s="55">
        <v>28500</v>
      </c>
      <c r="AS5406" s="78">
        <f t="shared" si="88"/>
        <v>0</v>
      </c>
    </row>
    <row r="5407" spans="39:45">
      <c r="AM5407" s="55">
        <v>2019</v>
      </c>
      <c r="AN5407" s="55" t="s">
        <v>189</v>
      </c>
      <c r="AO5407" s="55">
        <v>14</v>
      </c>
      <c r="AP5407" s="55">
        <v>5</v>
      </c>
      <c r="AQ5407" s="55">
        <v>210</v>
      </c>
      <c r="AR5407" s="55">
        <v>28500</v>
      </c>
      <c r="AS5407" s="78">
        <f t="shared" si="88"/>
        <v>7.3684210526315788E-3</v>
      </c>
    </row>
    <row r="5408" spans="39:45">
      <c r="AM5408" s="54">
        <v>2019</v>
      </c>
      <c r="AN5408" s="54" t="s">
        <v>189</v>
      </c>
      <c r="AO5408" s="54">
        <v>14</v>
      </c>
      <c r="AP5408" s="54">
        <v>6</v>
      </c>
      <c r="AQ5408" s="54">
        <v>1541</v>
      </c>
      <c r="AR5408" s="55">
        <v>28500</v>
      </c>
      <c r="AS5408" s="78">
        <f t="shared" si="88"/>
        <v>5.4070175438596491E-2</v>
      </c>
    </row>
    <row r="5409" spans="39:45">
      <c r="AM5409" s="55">
        <v>2019</v>
      </c>
      <c r="AN5409" s="55" t="s">
        <v>189</v>
      </c>
      <c r="AO5409" s="55">
        <v>14</v>
      </c>
      <c r="AP5409" s="55">
        <v>7</v>
      </c>
      <c r="AQ5409" s="55">
        <v>3151</v>
      </c>
      <c r="AR5409" s="55">
        <v>28500</v>
      </c>
      <c r="AS5409" s="78">
        <f t="shared" si="88"/>
        <v>0.11056140350877193</v>
      </c>
    </row>
    <row r="5410" spans="39:45">
      <c r="AM5410" s="54">
        <v>2019</v>
      </c>
      <c r="AN5410" s="54" t="s">
        <v>189</v>
      </c>
      <c r="AO5410" s="54">
        <v>14</v>
      </c>
      <c r="AP5410" s="54">
        <v>8</v>
      </c>
      <c r="AQ5410" s="54">
        <v>1177.5</v>
      </c>
      <c r="AR5410" s="55">
        <v>28500</v>
      </c>
      <c r="AS5410" s="78">
        <f t="shared" si="88"/>
        <v>4.1315789473684209E-2</v>
      </c>
    </row>
    <row r="5411" spans="39:45">
      <c r="AM5411" s="55">
        <v>2019</v>
      </c>
      <c r="AN5411" s="55" t="s">
        <v>189</v>
      </c>
      <c r="AO5411" s="55">
        <v>14</v>
      </c>
      <c r="AP5411" s="55">
        <v>9</v>
      </c>
      <c r="AQ5411" s="55">
        <v>3789</v>
      </c>
      <c r="AR5411" s="55">
        <v>28500</v>
      </c>
      <c r="AS5411" s="78">
        <f t="shared" si="88"/>
        <v>0.13294736842105262</v>
      </c>
    </row>
    <row r="5412" spans="39:45">
      <c r="AM5412" s="54">
        <v>2019</v>
      </c>
      <c r="AN5412" s="54" t="s">
        <v>189</v>
      </c>
      <c r="AO5412" s="54">
        <v>14</v>
      </c>
      <c r="AP5412" s="54">
        <v>10</v>
      </c>
      <c r="AQ5412" s="54">
        <v>3371</v>
      </c>
      <c r="AR5412" s="55">
        <v>28500</v>
      </c>
      <c r="AS5412" s="78">
        <f t="shared" si="88"/>
        <v>0.11828070175438596</v>
      </c>
    </row>
    <row r="5413" spans="39:45">
      <c r="AM5413" s="55">
        <v>2019</v>
      </c>
      <c r="AN5413" s="55" t="s">
        <v>189</v>
      </c>
      <c r="AO5413" s="55">
        <v>14</v>
      </c>
      <c r="AP5413" s="55">
        <v>11</v>
      </c>
      <c r="AQ5413" s="55">
        <v>3175</v>
      </c>
      <c r="AR5413" s="55">
        <v>28500</v>
      </c>
      <c r="AS5413" s="78">
        <f t="shared" si="88"/>
        <v>0.11140350877192982</v>
      </c>
    </row>
    <row r="5414" spans="39:45">
      <c r="AM5414" s="54">
        <v>2019</v>
      </c>
      <c r="AN5414" s="54" t="s">
        <v>189</v>
      </c>
      <c r="AO5414" s="54">
        <v>14</v>
      </c>
      <c r="AP5414" s="54">
        <v>12</v>
      </c>
      <c r="AQ5414" s="54">
        <v>2054</v>
      </c>
      <c r="AR5414" s="55">
        <v>28500</v>
      </c>
      <c r="AS5414" s="78">
        <f t="shared" si="88"/>
        <v>7.2070175438596493E-2</v>
      </c>
    </row>
    <row r="5415" spans="39:45">
      <c r="AM5415" s="55">
        <v>2019</v>
      </c>
      <c r="AN5415" s="55" t="s">
        <v>189</v>
      </c>
      <c r="AO5415" s="55">
        <v>14</v>
      </c>
      <c r="AP5415" s="55">
        <v>13</v>
      </c>
      <c r="AQ5415" s="55">
        <v>3773.5</v>
      </c>
      <c r="AR5415" s="55">
        <v>28500</v>
      </c>
      <c r="AS5415" s="78">
        <f t="shared" si="88"/>
        <v>0.13240350877192983</v>
      </c>
    </row>
    <row r="5416" spans="39:45">
      <c r="AM5416" s="54">
        <v>2019</v>
      </c>
      <c r="AN5416" s="54" t="s">
        <v>189</v>
      </c>
      <c r="AO5416" s="54">
        <v>14</v>
      </c>
      <c r="AP5416" s="54">
        <v>14</v>
      </c>
      <c r="AQ5416" s="54">
        <v>1909.5</v>
      </c>
      <c r="AR5416" s="55">
        <v>28500</v>
      </c>
      <c r="AS5416" s="78">
        <f t="shared" si="88"/>
        <v>6.7000000000000004E-2</v>
      </c>
    </row>
    <row r="5417" spans="39:45">
      <c r="AM5417" s="55">
        <v>2019</v>
      </c>
      <c r="AN5417" s="55" t="s">
        <v>189</v>
      </c>
      <c r="AO5417" s="55">
        <v>14</v>
      </c>
      <c r="AP5417" s="55">
        <v>15</v>
      </c>
      <c r="AQ5417" s="55">
        <v>4881</v>
      </c>
      <c r="AR5417" s="55">
        <v>28500</v>
      </c>
      <c r="AS5417" s="78">
        <f t="shared" si="88"/>
        <v>0.17126315789473684</v>
      </c>
    </row>
    <row r="5418" spans="39:45">
      <c r="AM5418" s="54">
        <v>2019</v>
      </c>
      <c r="AN5418" s="54" t="s">
        <v>189</v>
      </c>
      <c r="AO5418" s="54">
        <v>14</v>
      </c>
      <c r="AP5418" s="54">
        <v>16</v>
      </c>
      <c r="AQ5418" s="54">
        <v>4881.5</v>
      </c>
      <c r="AR5418" s="55">
        <v>28500</v>
      </c>
      <c r="AS5418" s="78">
        <f t="shared" si="88"/>
        <v>0.17128070175438598</v>
      </c>
    </row>
    <row r="5419" spans="39:45">
      <c r="AM5419" s="55">
        <v>2019</v>
      </c>
      <c r="AN5419" s="55" t="s">
        <v>189</v>
      </c>
      <c r="AO5419" s="55">
        <v>14</v>
      </c>
      <c r="AP5419" s="55">
        <v>17</v>
      </c>
      <c r="AQ5419" s="55">
        <v>4675</v>
      </c>
      <c r="AR5419" s="55">
        <v>28500</v>
      </c>
      <c r="AS5419" s="78">
        <f t="shared" si="88"/>
        <v>0.16403508771929826</v>
      </c>
    </row>
    <row r="5420" spans="39:45">
      <c r="AM5420" s="54">
        <v>2019</v>
      </c>
      <c r="AN5420" s="54" t="s">
        <v>189</v>
      </c>
      <c r="AO5420" s="54">
        <v>14</v>
      </c>
      <c r="AP5420" s="54">
        <v>18</v>
      </c>
      <c r="AQ5420" s="54">
        <v>1169</v>
      </c>
      <c r="AR5420" s="55">
        <v>28500</v>
      </c>
      <c r="AS5420" s="78">
        <f t="shared" si="88"/>
        <v>4.1017543859649126E-2</v>
      </c>
    </row>
    <row r="5421" spans="39:45">
      <c r="AM5421" s="55">
        <v>2019</v>
      </c>
      <c r="AN5421" s="55" t="s">
        <v>189</v>
      </c>
      <c r="AO5421" s="55">
        <v>14</v>
      </c>
      <c r="AP5421" s="55">
        <v>19</v>
      </c>
      <c r="AQ5421" s="55">
        <v>0</v>
      </c>
      <c r="AR5421" s="55">
        <v>28500</v>
      </c>
      <c r="AS5421" s="78">
        <f t="shared" si="88"/>
        <v>0</v>
      </c>
    </row>
    <row r="5422" spans="39:45">
      <c r="AM5422" s="54">
        <v>2019</v>
      </c>
      <c r="AN5422" s="54" t="s">
        <v>189</v>
      </c>
      <c r="AO5422" s="54">
        <v>14</v>
      </c>
      <c r="AP5422" s="54">
        <v>20</v>
      </c>
      <c r="AQ5422" s="54">
        <v>0</v>
      </c>
      <c r="AR5422" s="55">
        <v>28500</v>
      </c>
      <c r="AS5422" s="78">
        <f t="shared" si="88"/>
        <v>0</v>
      </c>
    </row>
    <row r="5423" spans="39:45">
      <c r="AM5423" s="55">
        <v>2019</v>
      </c>
      <c r="AN5423" s="55" t="s">
        <v>189</v>
      </c>
      <c r="AO5423" s="55">
        <v>14</v>
      </c>
      <c r="AP5423" s="55">
        <v>21</v>
      </c>
      <c r="AQ5423" s="55">
        <v>0</v>
      </c>
      <c r="AR5423" s="55">
        <v>28500</v>
      </c>
      <c r="AS5423" s="78">
        <f t="shared" si="88"/>
        <v>0</v>
      </c>
    </row>
    <row r="5424" spans="39:45">
      <c r="AM5424" s="54">
        <v>2019</v>
      </c>
      <c r="AN5424" s="54" t="s">
        <v>189</v>
      </c>
      <c r="AO5424" s="54">
        <v>14</v>
      </c>
      <c r="AP5424" s="54">
        <v>22</v>
      </c>
      <c r="AQ5424" s="54">
        <v>0</v>
      </c>
      <c r="AR5424" s="55">
        <v>28500</v>
      </c>
      <c r="AS5424" s="78">
        <f t="shared" si="88"/>
        <v>0</v>
      </c>
    </row>
    <row r="5425" spans="39:45">
      <c r="AM5425" s="55">
        <v>2019</v>
      </c>
      <c r="AN5425" s="55" t="s">
        <v>189</v>
      </c>
      <c r="AO5425" s="55">
        <v>14</v>
      </c>
      <c r="AP5425" s="55">
        <v>23</v>
      </c>
      <c r="AQ5425" s="55">
        <v>0</v>
      </c>
      <c r="AR5425" s="55">
        <v>28500</v>
      </c>
      <c r="AS5425" s="78">
        <f t="shared" si="88"/>
        <v>0</v>
      </c>
    </row>
    <row r="5426" spans="39:45">
      <c r="AM5426" s="54">
        <v>2019</v>
      </c>
      <c r="AN5426" s="54" t="s">
        <v>189</v>
      </c>
      <c r="AO5426" s="54">
        <v>15</v>
      </c>
      <c r="AP5426" s="54">
        <v>24</v>
      </c>
      <c r="AQ5426" s="54">
        <v>0</v>
      </c>
      <c r="AR5426" s="55">
        <v>28500</v>
      </c>
      <c r="AS5426" s="78">
        <f t="shared" si="88"/>
        <v>0</v>
      </c>
    </row>
    <row r="5427" spans="39:45">
      <c r="AM5427" s="55">
        <v>2019</v>
      </c>
      <c r="AN5427" s="55" t="s">
        <v>189</v>
      </c>
      <c r="AO5427" s="55">
        <v>15</v>
      </c>
      <c r="AP5427" s="55">
        <v>1</v>
      </c>
      <c r="AQ5427" s="55">
        <v>0</v>
      </c>
      <c r="AR5427" s="55">
        <v>28500</v>
      </c>
      <c r="AS5427" s="78">
        <f t="shared" si="88"/>
        <v>0</v>
      </c>
    </row>
    <row r="5428" spans="39:45">
      <c r="AM5428" s="54">
        <v>2019</v>
      </c>
      <c r="AN5428" s="54" t="s">
        <v>189</v>
      </c>
      <c r="AO5428" s="54">
        <v>15</v>
      </c>
      <c r="AP5428" s="54">
        <v>2</v>
      </c>
      <c r="AQ5428" s="54">
        <v>0</v>
      </c>
      <c r="AR5428" s="55">
        <v>28500</v>
      </c>
      <c r="AS5428" s="78">
        <f t="shared" si="88"/>
        <v>0</v>
      </c>
    </row>
    <row r="5429" spans="39:45">
      <c r="AM5429" s="55">
        <v>2019</v>
      </c>
      <c r="AN5429" s="55" t="s">
        <v>189</v>
      </c>
      <c r="AO5429" s="55">
        <v>15</v>
      </c>
      <c r="AP5429" s="55">
        <v>3</v>
      </c>
      <c r="AQ5429" s="55">
        <v>0</v>
      </c>
      <c r="AR5429" s="55">
        <v>28500</v>
      </c>
      <c r="AS5429" s="78">
        <f t="shared" si="88"/>
        <v>0</v>
      </c>
    </row>
    <row r="5430" spans="39:45">
      <c r="AM5430" s="54">
        <v>2019</v>
      </c>
      <c r="AN5430" s="54" t="s">
        <v>189</v>
      </c>
      <c r="AO5430" s="54">
        <v>15</v>
      </c>
      <c r="AP5430" s="54">
        <v>4</v>
      </c>
      <c r="AQ5430" s="54">
        <v>0</v>
      </c>
      <c r="AR5430" s="55">
        <v>28500</v>
      </c>
      <c r="AS5430" s="78">
        <f t="shared" si="88"/>
        <v>0</v>
      </c>
    </row>
    <row r="5431" spans="39:45">
      <c r="AM5431" s="55">
        <v>2019</v>
      </c>
      <c r="AN5431" s="55" t="s">
        <v>189</v>
      </c>
      <c r="AO5431" s="55">
        <v>15</v>
      </c>
      <c r="AP5431" s="55">
        <v>5</v>
      </c>
      <c r="AQ5431" s="55">
        <v>116</v>
      </c>
      <c r="AR5431" s="55">
        <v>28500</v>
      </c>
      <c r="AS5431" s="78">
        <f t="shared" si="88"/>
        <v>4.0701754385964913E-3</v>
      </c>
    </row>
    <row r="5432" spans="39:45">
      <c r="AM5432" s="54">
        <v>2019</v>
      </c>
      <c r="AN5432" s="54" t="s">
        <v>189</v>
      </c>
      <c r="AO5432" s="54">
        <v>15</v>
      </c>
      <c r="AP5432" s="54">
        <v>6</v>
      </c>
      <c r="AQ5432" s="54">
        <v>2355.5</v>
      </c>
      <c r="AR5432" s="55">
        <v>28500</v>
      </c>
      <c r="AS5432" s="78">
        <f t="shared" si="88"/>
        <v>8.2649122807017542E-2</v>
      </c>
    </row>
    <row r="5433" spans="39:45">
      <c r="AM5433" s="55">
        <v>2019</v>
      </c>
      <c r="AN5433" s="55" t="s">
        <v>189</v>
      </c>
      <c r="AO5433" s="55">
        <v>15</v>
      </c>
      <c r="AP5433" s="55">
        <v>7</v>
      </c>
      <c r="AQ5433" s="55">
        <v>2992</v>
      </c>
      <c r="AR5433" s="55">
        <v>28500</v>
      </c>
      <c r="AS5433" s="78">
        <f t="shared" si="88"/>
        <v>0.10498245614035087</v>
      </c>
    </row>
    <row r="5434" spans="39:45">
      <c r="AM5434" s="54">
        <v>2019</v>
      </c>
      <c r="AN5434" s="54" t="s">
        <v>189</v>
      </c>
      <c r="AO5434" s="54">
        <v>15</v>
      </c>
      <c r="AP5434" s="54">
        <v>8</v>
      </c>
      <c r="AQ5434" s="54">
        <v>16519</v>
      </c>
      <c r="AR5434" s="55">
        <v>28500</v>
      </c>
      <c r="AS5434" s="78">
        <f t="shared" si="88"/>
        <v>0.57961403508771925</v>
      </c>
    </row>
    <row r="5435" spans="39:45">
      <c r="AM5435" s="55">
        <v>2019</v>
      </c>
      <c r="AN5435" s="55" t="s">
        <v>189</v>
      </c>
      <c r="AO5435" s="55">
        <v>15</v>
      </c>
      <c r="AP5435" s="55">
        <v>9</v>
      </c>
      <c r="AQ5435" s="55">
        <v>19950.5</v>
      </c>
      <c r="AR5435" s="55">
        <v>28500</v>
      </c>
      <c r="AS5435" s="78">
        <f t="shared" si="88"/>
        <v>0.70001754385964909</v>
      </c>
    </row>
    <row r="5436" spans="39:45">
      <c r="AM5436" s="54">
        <v>2019</v>
      </c>
      <c r="AN5436" s="54" t="s">
        <v>189</v>
      </c>
      <c r="AO5436" s="54">
        <v>15</v>
      </c>
      <c r="AP5436" s="54">
        <v>10</v>
      </c>
      <c r="AQ5436" s="54">
        <v>17063.5</v>
      </c>
      <c r="AR5436" s="55">
        <v>28500</v>
      </c>
      <c r="AS5436" s="78">
        <f t="shared" si="88"/>
        <v>0.59871929824561398</v>
      </c>
    </row>
    <row r="5437" spans="39:45">
      <c r="AM5437" s="55">
        <v>2019</v>
      </c>
      <c r="AN5437" s="55" t="s">
        <v>189</v>
      </c>
      <c r="AO5437" s="55">
        <v>15</v>
      </c>
      <c r="AP5437" s="55">
        <v>11</v>
      </c>
      <c r="AQ5437" s="55">
        <v>16232.5</v>
      </c>
      <c r="AR5437" s="55">
        <v>28500</v>
      </c>
      <c r="AS5437" s="78">
        <f t="shared" si="88"/>
        <v>0.56956140350877194</v>
      </c>
    </row>
    <row r="5438" spans="39:45">
      <c r="AM5438" s="54">
        <v>2019</v>
      </c>
      <c r="AN5438" s="54" t="s">
        <v>189</v>
      </c>
      <c r="AO5438" s="54">
        <v>15</v>
      </c>
      <c r="AP5438" s="54">
        <v>12</v>
      </c>
      <c r="AQ5438" s="54">
        <v>25743</v>
      </c>
      <c r="AR5438" s="55">
        <v>28500</v>
      </c>
      <c r="AS5438" s="78">
        <f t="shared" si="88"/>
        <v>0.90326315789473688</v>
      </c>
    </row>
    <row r="5439" spans="39:45">
      <c r="AM5439" s="55">
        <v>2019</v>
      </c>
      <c r="AN5439" s="55" t="s">
        <v>189</v>
      </c>
      <c r="AO5439" s="55">
        <v>15</v>
      </c>
      <c r="AP5439" s="55">
        <v>13</v>
      </c>
      <c r="AQ5439" s="55">
        <v>38256</v>
      </c>
      <c r="AR5439" s="55">
        <v>28500</v>
      </c>
      <c r="AS5439" s="78">
        <f t="shared" si="88"/>
        <v>1.3423157894736841</v>
      </c>
    </row>
    <row r="5440" spans="39:45">
      <c r="AM5440" s="54">
        <v>2019</v>
      </c>
      <c r="AN5440" s="54" t="s">
        <v>189</v>
      </c>
      <c r="AO5440" s="54">
        <v>15</v>
      </c>
      <c r="AP5440" s="54">
        <v>14</v>
      </c>
      <c r="AQ5440" s="54">
        <v>32171</v>
      </c>
      <c r="AR5440" s="55">
        <v>28500</v>
      </c>
      <c r="AS5440" s="78">
        <f t="shared" si="88"/>
        <v>1.1288070175438596</v>
      </c>
    </row>
    <row r="5441" spans="39:45">
      <c r="AM5441" s="55">
        <v>2019</v>
      </c>
      <c r="AN5441" s="55" t="s">
        <v>189</v>
      </c>
      <c r="AO5441" s="55">
        <v>15</v>
      </c>
      <c r="AP5441" s="55">
        <v>15</v>
      </c>
      <c r="AQ5441" s="55">
        <v>24682</v>
      </c>
      <c r="AR5441" s="55">
        <v>28500</v>
      </c>
      <c r="AS5441" s="78">
        <f t="shared" si="88"/>
        <v>0.86603508771929827</v>
      </c>
    </row>
    <row r="5442" spans="39:45">
      <c r="AM5442" s="54">
        <v>2019</v>
      </c>
      <c r="AN5442" s="54" t="s">
        <v>189</v>
      </c>
      <c r="AO5442" s="54">
        <v>15</v>
      </c>
      <c r="AP5442" s="54">
        <v>16</v>
      </c>
      <c r="AQ5442" s="54">
        <v>16972.5</v>
      </c>
      <c r="AR5442" s="55">
        <v>28500</v>
      </c>
      <c r="AS5442" s="78">
        <f t="shared" ref="AS5442:AS5505" si="89">AQ5442/AR5442</f>
        <v>0.59552631578947368</v>
      </c>
    </row>
    <row r="5443" spans="39:45">
      <c r="AM5443" s="55">
        <v>2019</v>
      </c>
      <c r="AN5443" s="55" t="s">
        <v>189</v>
      </c>
      <c r="AO5443" s="55">
        <v>15</v>
      </c>
      <c r="AP5443" s="55">
        <v>17</v>
      </c>
      <c r="AQ5443" s="55">
        <v>3105.5</v>
      </c>
      <c r="AR5443" s="55">
        <v>28500</v>
      </c>
      <c r="AS5443" s="78">
        <f t="shared" si="89"/>
        <v>0.10896491228070175</v>
      </c>
    </row>
    <row r="5444" spans="39:45">
      <c r="AM5444" s="54">
        <v>2019</v>
      </c>
      <c r="AN5444" s="54" t="s">
        <v>189</v>
      </c>
      <c r="AO5444" s="54">
        <v>15</v>
      </c>
      <c r="AP5444" s="54">
        <v>18</v>
      </c>
      <c r="AQ5444" s="54">
        <v>1088</v>
      </c>
      <c r="AR5444" s="55">
        <v>28500</v>
      </c>
      <c r="AS5444" s="78">
        <f t="shared" si="89"/>
        <v>3.817543859649123E-2</v>
      </c>
    </row>
    <row r="5445" spans="39:45">
      <c r="AM5445" s="55">
        <v>2019</v>
      </c>
      <c r="AN5445" s="55" t="s">
        <v>189</v>
      </c>
      <c r="AO5445" s="55">
        <v>15</v>
      </c>
      <c r="AP5445" s="55">
        <v>19</v>
      </c>
      <c r="AQ5445" s="55">
        <v>0</v>
      </c>
      <c r="AR5445" s="55">
        <v>28500</v>
      </c>
      <c r="AS5445" s="78">
        <f t="shared" si="89"/>
        <v>0</v>
      </c>
    </row>
    <row r="5446" spans="39:45">
      <c r="AM5446" s="54">
        <v>2019</v>
      </c>
      <c r="AN5446" s="54" t="s">
        <v>189</v>
      </c>
      <c r="AO5446" s="54">
        <v>15</v>
      </c>
      <c r="AP5446" s="54">
        <v>20</v>
      </c>
      <c r="AQ5446" s="54">
        <v>0</v>
      </c>
      <c r="AR5446" s="55">
        <v>28500</v>
      </c>
      <c r="AS5446" s="78">
        <f t="shared" si="89"/>
        <v>0</v>
      </c>
    </row>
    <row r="5447" spans="39:45">
      <c r="AM5447" s="55">
        <v>2019</v>
      </c>
      <c r="AN5447" s="55" t="s">
        <v>189</v>
      </c>
      <c r="AO5447" s="55">
        <v>15</v>
      </c>
      <c r="AP5447" s="55">
        <v>21</v>
      </c>
      <c r="AQ5447" s="55">
        <v>0</v>
      </c>
      <c r="AR5447" s="55">
        <v>28500</v>
      </c>
      <c r="AS5447" s="78">
        <f t="shared" si="89"/>
        <v>0</v>
      </c>
    </row>
    <row r="5448" spans="39:45">
      <c r="AM5448" s="54">
        <v>2019</v>
      </c>
      <c r="AN5448" s="54" t="s">
        <v>189</v>
      </c>
      <c r="AO5448" s="54">
        <v>15</v>
      </c>
      <c r="AP5448" s="54">
        <v>22</v>
      </c>
      <c r="AQ5448" s="54">
        <v>0</v>
      </c>
      <c r="AR5448" s="55">
        <v>28500</v>
      </c>
      <c r="AS5448" s="78">
        <f t="shared" si="89"/>
        <v>0</v>
      </c>
    </row>
    <row r="5449" spans="39:45">
      <c r="AM5449" s="55">
        <v>2019</v>
      </c>
      <c r="AN5449" s="55" t="s">
        <v>189</v>
      </c>
      <c r="AO5449" s="55">
        <v>15</v>
      </c>
      <c r="AP5449" s="55">
        <v>23</v>
      </c>
      <c r="AQ5449" s="55">
        <v>0</v>
      </c>
      <c r="AR5449" s="55">
        <v>28500</v>
      </c>
      <c r="AS5449" s="78">
        <f t="shared" si="89"/>
        <v>0</v>
      </c>
    </row>
    <row r="5450" spans="39:45">
      <c r="AM5450" s="54">
        <v>2019</v>
      </c>
      <c r="AN5450" s="54" t="s">
        <v>189</v>
      </c>
      <c r="AO5450" s="54">
        <v>16</v>
      </c>
      <c r="AP5450" s="54">
        <v>24</v>
      </c>
      <c r="AQ5450" s="54">
        <v>0</v>
      </c>
      <c r="AR5450" s="55">
        <v>28500</v>
      </c>
      <c r="AS5450" s="78">
        <f t="shared" si="89"/>
        <v>0</v>
      </c>
    </row>
    <row r="5451" spans="39:45">
      <c r="AM5451" s="55">
        <v>2019</v>
      </c>
      <c r="AN5451" s="55" t="s">
        <v>189</v>
      </c>
      <c r="AO5451" s="55">
        <v>16</v>
      </c>
      <c r="AP5451" s="55">
        <v>1</v>
      </c>
      <c r="AQ5451" s="55">
        <v>0</v>
      </c>
      <c r="AR5451" s="55">
        <v>28500</v>
      </c>
      <c r="AS5451" s="78">
        <f t="shared" si="89"/>
        <v>0</v>
      </c>
    </row>
    <row r="5452" spans="39:45">
      <c r="AM5452" s="54">
        <v>2019</v>
      </c>
      <c r="AN5452" s="54" t="s">
        <v>189</v>
      </c>
      <c r="AO5452" s="54">
        <v>16</v>
      </c>
      <c r="AP5452" s="54">
        <v>2</v>
      </c>
      <c r="AQ5452" s="54">
        <v>0</v>
      </c>
      <c r="AR5452" s="55">
        <v>28500</v>
      </c>
      <c r="AS5452" s="78">
        <f t="shared" si="89"/>
        <v>0</v>
      </c>
    </row>
    <row r="5453" spans="39:45">
      <c r="AM5453" s="55">
        <v>2019</v>
      </c>
      <c r="AN5453" s="55" t="s">
        <v>189</v>
      </c>
      <c r="AO5453" s="55">
        <v>16</v>
      </c>
      <c r="AP5453" s="55">
        <v>3</v>
      </c>
      <c r="AQ5453" s="55">
        <v>0</v>
      </c>
      <c r="AR5453" s="55">
        <v>28500</v>
      </c>
      <c r="AS5453" s="78">
        <f t="shared" si="89"/>
        <v>0</v>
      </c>
    </row>
    <row r="5454" spans="39:45">
      <c r="AM5454" s="54">
        <v>2019</v>
      </c>
      <c r="AN5454" s="54" t="s">
        <v>189</v>
      </c>
      <c r="AO5454" s="54">
        <v>16</v>
      </c>
      <c r="AP5454" s="54">
        <v>4</v>
      </c>
      <c r="AQ5454" s="54">
        <v>0</v>
      </c>
      <c r="AR5454" s="55">
        <v>28500</v>
      </c>
      <c r="AS5454" s="78">
        <f t="shared" si="89"/>
        <v>0</v>
      </c>
    </row>
    <row r="5455" spans="39:45">
      <c r="AM5455" s="55">
        <v>2019</v>
      </c>
      <c r="AN5455" s="55" t="s">
        <v>189</v>
      </c>
      <c r="AO5455" s="55">
        <v>16</v>
      </c>
      <c r="AP5455" s="55">
        <v>5</v>
      </c>
      <c r="AQ5455" s="55">
        <v>117.5</v>
      </c>
      <c r="AR5455" s="55">
        <v>28500</v>
      </c>
      <c r="AS5455" s="78">
        <f t="shared" si="89"/>
        <v>4.1228070175438596E-3</v>
      </c>
    </row>
    <row r="5456" spans="39:45">
      <c r="AM5456" s="54">
        <v>2019</v>
      </c>
      <c r="AN5456" s="54" t="s">
        <v>189</v>
      </c>
      <c r="AO5456" s="54">
        <v>16</v>
      </c>
      <c r="AP5456" s="54">
        <v>6</v>
      </c>
      <c r="AQ5456" s="54">
        <v>2529.5</v>
      </c>
      <c r="AR5456" s="55">
        <v>28500</v>
      </c>
      <c r="AS5456" s="78">
        <f t="shared" si="89"/>
        <v>8.875438596491228E-2</v>
      </c>
    </row>
    <row r="5457" spans="39:45">
      <c r="AM5457" s="55">
        <v>2019</v>
      </c>
      <c r="AN5457" s="55" t="s">
        <v>189</v>
      </c>
      <c r="AO5457" s="55">
        <v>16</v>
      </c>
      <c r="AP5457" s="55">
        <v>7</v>
      </c>
      <c r="AQ5457" s="55">
        <v>1280</v>
      </c>
      <c r="AR5457" s="55">
        <v>28500</v>
      </c>
      <c r="AS5457" s="78">
        <f t="shared" si="89"/>
        <v>4.4912280701754383E-2</v>
      </c>
    </row>
    <row r="5458" spans="39:45">
      <c r="AM5458" s="54">
        <v>2019</v>
      </c>
      <c r="AN5458" s="54" t="s">
        <v>189</v>
      </c>
      <c r="AO5458" s="54">
        <v>16</v>
      </c>
      <c r="AP5458" s="54">
        <v>8</v>
      </c>
      <c r="AQ5458" s="54">
        <v>5988</v>
      </c>
      <c r="AR5458" s="55">
        <v>28500</v>
      </c>
      <c r="AS5458" s="78">
        <f t="shared" si="89"/>
        <v>0.21010526315789474</v>
      </c>
    </row>
    <row r="5459" spans="39:45">
      <c r="AM5459" s="55">
        <v>2019</v>
      </c>
      <c r="AN5459" s="55" t="s">
        <v>189</v>
      </c>
      <c r="AO5459" s="55">
        <v>16</v>
      </c>
      <c r="AP5459" s="55">
        <v>9</v>
      </c>
      <c r="AQ5459" s="55">
        <v>2007</v>
      </c>
      <c r="AR5459" s="55">
        <v>28500</v>
      </c>
      <c r="AS5459" s="78">
        <f t="shared" si="89"/>
        <v>7.0421052631578954E-2</v>
      </c>
    </row>
    <row r="5460" spans="39:45">
      <c r="AM5460" s="54">
        <v>2019</v>
      </c>
      <c r="AN5460" s="54" t="s">
        <v>189</v>
      </c>
      <c r="AO5460" s="54">
        <v>16</v>
      </c>
      <c r="AP5460" s="54">
        <v>10</v>
      </c>
      <c r="AQ5460" s="54">
        <v>4511</v>
      </c>
      <c r="AR5460" s="55">
        <v>28500</v>
      </c>
      <c r="AS5460" s="78">
        <f t="shared" si="89"/>
        <v>0.15828070175438597</v>
      </c>
    </row>
    <row r="5461" spans="39:45">
      <c r="AM5461" s="55">
        <v>2019</v>
      </c>
      <c r="AN5461" s="55" t="s">
        <v>189</v>
      </c>
      <c r="AO5461" s="55">
        <v>16</v>
      </c>
      <c r="AP5461" s="55">
        <v>11</v>
      </c>
      <c r="AQ5461" s="55">
        <v>10218.5</v>
      </c>
      <c r="AR5461" s="55">
        <v>28500</v>
      </c>
      <c r="AS5461" s="78">
        <f t="shared" si="89"/>
        <v>0.35854385964912283</v>
      </c>
    </row>
    <row r="5462" spans="39:45">
      <c r="AM5462" s="54">
        <v>2019</v>
      </c>
      <c r="AN5462" s="54" t="s">
        <v>189</v>
      </c>
      <c r="AO5462" s="54">
        <v>16</v>
      </c>
      <c r="AP5462" s="54">
        <v>12</v>
      </c>
      <c r="AQ5462" s="54">
        <v>4478</v>
      </c>
      <c r="AR5462" s="55">
        <v>28500</v>
      </c>
      <c r="AS5462" s="78">
        <f t="shared" si="89"/>
        <v>0.15712280701754386</v>
      </c>
    </row>
    <row r="5463" spans="39:45">
      <c r="AM5463" s="55">
        <v>2019</v>
      </c>
      <c r="AN5463" s="55" t="s">
        <v>189</v>
      </c>
      <c r="AO5463" s="55">
        <v>16</v>
      </c>
      <c r="AP5463" s="55">
        <v>13</v>
      </c>
      <c r="AQ5463" s="55">
        <v>8878</v>
      </c>
      <c r="AR5463" s="55">
        <v>28500</v>
      </c>
      <c r="AS5463" s="78">
        <f t="shared" si="89"/>
        <v>0.31150877192982457</v>
      </c>
    </row>
    <row r="5464" spans="39:45">
      <c r="AM5464" s="54">
        <v>2019</v>
      </c>
      <c r="AN5464" s="54" t="s">
        <v>189</v>
      </c>
      <c r="AO5464" s="54">
        <v>16</v>
      </c>
      <c r="AP5464" s="54">
        <v>14</v>
      </c>
      <c r="AQ5464" s="54">
        <v>3417</v>
      </c>
      <c r="AR5464" s="55">
        <v>28500</v>
      </c>
      <c r="AS5464" s="78">
        <f t="shared" si="89"/>
        <v>0.11989473684210526</v>
      </c>
    </row>
    <row r="5465" spans="39:45">
      <c r="AM5465" s="55">
        <v>2019</v>
      </c>
      <c r="AN5465" s="55" t="s">
        <v>189</v>
      </c>
      <c r="AO5465" s="55">
        <v>16</v>
      </c>
      <c r="AP5465" s="55">
        <v>15</v>
      </c>
      <c r="AQ5465" s="55">
        <v>2452.5</v>
      </c>
      <c r="AR5465" s="55">
        <v>28500</v>
      </c>
      <c r="AS5465" s="78">
        <f t="shared" si="89"/>
        <v>8.6052631578947367E-2</v>
      </c>
    </row>
    <row r="5466" spans="39:45">
      <c r="AM5466" s="54">
        <v>2019</v>
      </c>
      <c r="AN5466" s="54" t="s">
        <v>189</v>
      </c>
      <c r="AO5466" s="54">
        <v>16</v>
      </c>
      <c r="AP5466" s="54">
        <v>16</v>
      </c>
      <c r="AQ5466" s="54">
        <v>2056</v>
      </c>
      <c r="AR5466" s="55">
        <v>28500</v>
      </c>
      <c r="AS5466" s="78">
        <f t="shared" si="89"/>
        <v>7.2140350877192977E-2</v>
      </c>
    </row>
    <row r="5467" spans="39:45">
      <c r="AM5467" s="55">
        <v>2019</v>
      </c>
      <c r="AN5467" s="55" t="s">
        <v>189</v>
      </c>
      <c r="AO5467" s="55">
        <v>16</v>
      </c>
      <c r="AP5467" s="55">
        <v>17</v>
      </c>
      <c r="AQ5467" s="55">
        <v>678</v>
      </c>
      <c r="AR5467" s="55">
        <v>28500</v>
      </c>
      <c r="AS5467" s="78">
        <f t="shared" si="89"/>
        <v>2.3789473684210527E-2</v>
      </c>
    </row>
    <row r="5468" spans="39:45">
      <c r="AM5468" s="54">
        <v>2019</v>
      </c>
      <c r="AN5468" s="54" t="s">
        <v>189</v>
      </c>
      <c r="AO5468" s="54">
        <v>16</v>
      </c>
      <c r="AP5468" s="54">
        <v>18</v>
      </c>
      <c r="AQ5468" s="54">
        <v>113</v>
      </c>
      <c r="AR5468" s="55">
        <v>28500</v>
      </c>
      <c r="AS5468" s="78">
        <f t="shared" si="89"/>
        <v>3.9649122807017545E-3</v>
      </c>
    </row>
    <row r="5469" spans="39:45">
      <c r="AM5469" s="55">
        <v>2019</v>
      </c>
      <c r="AN5469" s="55" t="s">
        <v>189</v>
      </c>
      <c r="AO5469" s="55">
        <v>16</v>
      </c>
      <c r="AP5469" s="55">
        <v>19</v>
      </c>
      <c r="AQ5469" s="55">
        <v>0</v>
      </c>
      <c r="AR5469" s="55">
        <v>28500</v>
      </c>
      <c r="AS5469" s="78">
        <f t="shared" si="89"/>
        <v>0</v>
      </c>
    </row>
    <row r="5470" spans="39:45">
      <c r="AM5470" s="54">
        <v>2019</v>
      </c>
      <c r="AN5470" s="54" t="s">
        <v>189</v>
      </c>
      <c r="AO5470" s="54">
        <v>16</v>
      </c>
      <c r="AP5470" s="54">
        <v>20</v>
      </c>
      <c r="AQ5470" s="54">
        <v>0</v>
      </c>
      <c r="AR5470" s="55">
        <v>28500</v>
      </c>
      <c r="AS5470" s="78">
        <f t="shared" si="89"/>
        <v>0</v>
      </c>
    </row>
    <row r="5471" spans="39:45">
      <c r="AM5471" s="55">
        <v>2019</v>
      </c>
      <c r="AN5471" s="55" t="s">
        <v>189</v>
      </c>
      <c r="AO5471" s="55">
        <v>16</v>
      </c>
      <c r="AP5471" s="55">
        <v>21</v>
      </c>
      <c r="AQ5471" s="55">
        <v>0</v>
      </c>
      <c r="AR5471" s="55">
        <v>28500</v>
      </c>
      <c r="AS5471" s="78">
        <f t="shared" si="89"/>
        <v>0</v>
      </c>
    </row>
    <row r="5472" spans="39:45">
      <c r="AM5472" s="54">
        <v>2019</v>
      </c>
      <c r="AN5472" s="54" t="s">
        <v>189</v>
      </c>
      <c r="AO5472" s="54">
        <v>16</v>
      </c>
      <c r="AP5472" s="54">
        <v>22</v>
      </c>
      <c r="AQ5472" s="54">
        <v>0</v>
      </c>
      <c r="AR5472" s="55">
        <v>28500</v>
      </c>
      <c r="AS5472" s="78">
        <f t="shared" si="89"/>
        <v>0</v>
      </c>
    </row>
    <row r="5473" spans="39:45">
      <c r="AM5473" s="55">
        <v>2019</v>
      </c>
      <c r="AN5473" s="55" t="s">
        <v>189</v>
      </c>
      <c r="AO5473" s="55">
        <v>16</v>
      </c>
      <c r="AP5473" s="55">
        <v>23</v>
      </c>
      <c r="AQ5473" s="55">
        <v>0</v>
      </c>
      <c r="AR5473" s="55">
        <v>28500</v>
      </c>
      <c r="AS5473" s="78">
        <f t="shared" si="89"/>
        <v>0</v>
      </c>
    </row>
    <row r="5474" spans="39:45">
      <c r="AM5474" s="54">
        <v>2019</v>
      </c>
      <c r="AN5474" s="54" t="s">
        <v>189</v>
      </c>
      <c r="AO5474" s="54">
        <v>17</v>
      </c>
      <c r="AP5474" s="54">
        <v>24</v>
      </c>
      <c r="AQ5474" s="54">
        <v>0</v>
      </c>
      <c r="AR5474" s="55">
        <v>28500</v>
      </c>
      <c r="AS5474" s="78">
        <f t="shared" si="89"/>
        <v>0</v>
      </c>
    </row>
    <row r="5475" spans="39:45">
      <c r="AM5475" s="55">
        <v>2019</v>
      </c>
      <c r="AN5475" s="55" t="s">
        <v>189</v>
      </c>
      <c r="AO5475" s="55">
        <v>17</v>
      </c>
      <c r="AP5475" s="55">
        <v>1</v>
      </c>
      <c r="AQ5475" s="55">
        <v>0</v>
      </c>
      <c r="AR5475" s="55">
        <v>28500</v>
      </c>
      <c r="AS5475" s="78">
        <f t="shared" si="89"/>
        <v>0</v>
      </c>
    </row>
    <row r="5476" spans="39:45">
      <c r="AM5476" s="54">
        <v>2019</v>
      </c>
      <c r="AN5476" s="54" t="s">
        <v>189</v>
      </c>
      <c r="AO5476" s="54">
        <v>17</v>
      </c>
      <c r="AP5476" s="54">
        <v>2</v>
      </c>
      <c r="AQ5476" s="54">
        <v>0</v>
      </c>
      <c r="AR5476" s="55">
        <v>28500</v>
      </c>
      <c r="AS5476" s="78">
        <f t="shared" si="89"/>
        <v>0</v>
      </c>
    </row>
    <row r="5477" spans="39:45">
      <c r="AM5477" s="55">
        <v>2019</v>
      </c>
      <c r="AN5477" s="55" t="s">
        <v>189</v>
      </c>
      <c r="AO5477" s="55">
        <v>17</v>
      </c>
      <c r="AP5477" s="55">
        <v>3</v>
      </c>
      <c r="AQ5477" s="55">
        <v>0</v>
      </c>
      <c r="AR5477" s="55">
        <v>28500</v>
      </c>
      <c r="AS5477" s="78">
        <f t="shared" si="89"/>
        <v>0</v>
      </c>
    </row>
    <row r="5478" spans="39:45">
      <c r="AM5478" s="54">
        <v>2019</v>
      </c>
      <c r="AN5478" s="54" t="s">
        <v>189</v>
      </c>
      <c r="AO5478" s="54">
        <v>17</v>
      </c>
      <c r="AP5478" s="54">
        <v>4</v>
      </c>
      <c r="AQ5478" s="54">
        <v>0</v>
      </c>
      <c r="AR5478" s="55">
        <v>28500</v>
      </c>
      <c r="AS5478" s="78">
        <f t="shared" si="89"/>
        <v>0</v>
      </c>
    </row>
    <row r="5479" spans="39:45">
      <c r="AM5479" s="55">
        <v>2019</v>
      </c>
      <c r="AN5479" s="55" t="s">
        <v>189</v>
      </c>
      <c r="AO5479" s="55">
        <v>17</v>
      </c>
      <c r="AP5479" s="55">
        <v>5</v>
      </c>
      <c r="AQ5479" s="55">
        <v>36</v>
      </c>
      <c r="AR5479" s="55">
        <v>28500</v>
      </c>
      <c r="AS5479" s="78">
        <f t="shared" si="89"/>
        <v>1.2631578947368421E-3</v>
      </c>
    </row>
    <row r="5480" spans="39:45">
      <c r="AM5480" s="54">
        <v>2019</v>
      </c>
      <c r="AN5480" s="54" t="s">
        <v>189</v>
      </c>
      <c r="AO5480" s="54">
        <v>17</v>
      </c>
      <c r="AP5480" s="54">
        <v>6</v>
      </c>
      <c r="AQ5480" s="54">
        <v>2400.5</v>
      </c>
      <c r="AR5480" s="55">
        <v>28500</v>
      </c>
      <c r="AS5480" s="78">
        <f t="shared" si="89"/>
        <v>8.4228070175438596E-2</v>
      </c>
    </row>
    <row r="5481" spans="39:45">
      <c r="AM5481" s="55">
        <v>2019</v>
      </c>
      <c r="AN5481" s="55" t="s">
        <v>189</v>
      </c>
      <c r="AO5481" s="55">
        <v>17</v>
      </c>
      <c r="AP5481" s="55">
        <v>7</v>
      </c>
      <c r="AQ5481" s="55">
        <v>10290.5</v>
      </c>
      <c r="AR5481" s="55">
        <v>28500</v>
      </c>
      <c r="AS5481" s="78">
        <f t="shared" si="89"/>
        <v>0.36107017543859649</v>
      </c>
    </row>
    <row r="5482" spans="39:45">
      <c r="AM5482" s="54">
        <v>2019</v>
      </c>
      <c r="AN5482" s="54" t="s">
        <v>189</v>
      </c>
      <c r="AO5482" s="54">
        <v>17</v>
      </c>
      <c r="AP5482" s="54">
        <v>8</v>
      </c>
      <c r="AQ5482" s="54">
        <v>8299</v>
      </c>
      <c r="AR5482" s="55">
        <v>28500</v>
      </c>
      <c r="AS5482" s="78">
        <f t="shared" si="89"/>
        <v>0.29119298245614034</v>
      </c>
    </row>
    <row r="5483" spans="39:45">
      <c r="AM5483" s="55">
        <v>2019</v>
      </c>
      <c r="AN5483" s="55" t="s">
        <v>189</v>
      </c>
      <c r="AO5483" s="55">
        <v>17</v>
      </c>
      <c r="AP5483" s="55">
        <v>9</v>
      </c>
      <c r="AQ5483" s="55">
        <v>7734.5</v>
      </c>
      <c r="AR5483" s="55">
        <v>28500</v>
      </c>
      <c r="AS5483" s="78">
        <f t="shared" si="89"/>
        <v>0.27138596491228067</v>
      </c>
    </row>
    <row r="5484" spans="39:45">
      <c r="AM5484" s="54">
        <v>2019</v>
      </c>
      <c r="AN5484" s="54" t="s">
        <v>189</v>
      </c>
      <c r="AO5484" s="54">
        <v>17</v>
      </c>
      <c r="AP5484" s="54">
        <v>10</v>
      </c>
      <c r="AQ5484" s="54">
        <v>11926.5</v>
      </c>
      <c r="AR5484" s="55">
        <v>28500</v>
      </c>
      <c r="AS5484" s="78">
        <f t="shared" si="89"/>
        <v>0.41847368421052633</v>
      </c>
    </row>
    <row r="5485" spans="39:45">
      <c r="AM5485" s="55">
        <v>2019</v>
      </c>
      <c r="AN5485" s="55" t="s">
        <v>189</v>
      </c>
      <c r="AO5485" s="55">
        <v>17</v>
      </c>
      <c r="AP5485" s="55">
        <v>11</v>
      </c>
      <c r="AQ5485" s="55">
        <v>26514</v>
      </c>
      <c r="AR5485" s="55">
        <v>28500</v>
      </c>
      <c r="AS5485" s="78">
        <f t="shared" si="89"/>
        <v>0.93031578947368421</v>
      </c>
    </row>
    <row r="5486" spans="39:45">
      <c r="AM5486" s="54">
        <v>2019</v>
      </c>
      <c r="AN5486" s="54" t="s">
        <v>189</v>
      </c>
      <c r="AO5486" s="54">
        <v>17</v>
      </c>
      <c r="AP5486" s="54">
        <v>12</v>
      </c>
      <c r="AQ5486" s="54">
        <v>20249</v>
      </c>
      <c r="AR5486" s="55">
        <v>28500</v>
      </c>
      <c r="AS5486" s="78">
        <f t="shared" si="89"/>
        <v>0.7104912280701754</v>
      </c>
    </row>
    <row r="5487" spans="39:45">
      <c r="AM5487" s="55">
        <v>2019</v>
      </c>
      <c r="AN5487" s="55" t="s">
        <v>189</v>
      </c>
      <c r="AO5487" s="55">
        <v>17</v>
      </c>
      <c r="AP5487" s="55">
        <v>13</v>
      </c>
      <c r="AQ5487" s="55">
        <v>15540.5</v>
      </c>
      <c r="AR5487" s="55">
        <v>28500</v>
      </c>
      <c r="AS5487" s="78">
        <f t="shared" si="89"/>
        <v>0.54528070175438592</v>
      </c>
    </row>
    <row r="5488" spans="39:45">
      <c r="AM5488" s="54">
        <v>2019</v>
      </c>
      <c r="AN5488" s="54" t="s">
        <v>189</v>
      </c>
      <c r="AO5488" s="54">
        <v>17</v>
      </c>
      <c r="AP5488" s="54">
        <v>14</v>
      </c>
      <c r="AQ5488" s="54">
        <v>23292</v>
      </c>
      <c r="AR5488" s="55">
        <v>28500</v>
      </c>
      <c r="AS5488" s="78">
        <f t="shared" si="89"/>
        <v>0.8172631578947368</v>
      </c>
    </row>
    <row r="5489" spans="39:45">
      <c r="AM5489" s="55">
        <v>2019</v>
      </c>
      <c r="AN5489" s="55" t="s">
        <v>189</v>
      </c>
      <c r="AO5489" s="55">
        <v>17</v>
      </c>
      <c r="AP5489" s="55">
        <v>15</v>
      </c>
      <c r="AQ5489" s="55">
        <v>25246.5</v>
      </c>
      <c r="AR5489" s="55">
        <v>28500</v>
      </c>
      <c r="AS5489" s="78">
        <f t="shared" si="89"/>
        <v>0.88584210526315788</v>
      </c>
    </row>
    <row r="5490" spans="39:45">
      <c r="AM5490" s="54">
        <v>2019</v>
      </c>
      <c r="AN5490" s="54" t="s">
        <v>189</v>
      </c>
      <c r="AO5490" s="54">
        <v>17</v>
      </c>
      <c r="AP5490" s="54">
        <v>16</v>
      </c>
      <c r="AQ5490" s="54">
        <v>7679</v>
      </c>
      <c r="AR5490" s="55">
        <v>28500</v>
      </c>
      <c r="AS5490" s="78">
        <f t="shared" si="89"/>
        <v>0.26943859649122809</v>
      </c>
    </row>
    <row r="5491" spans="39:45">
      <c r="AM5491" s="55">
        <v>2019</v>
      </c>
      <c r="AN5491" s="55" t="s">
        <v>189</v>
      </c>
      <c r="AO5491" s="55">
        <v>17</v>
      </c>
      <c r="AP5491" s="55">
        <v>17</v>
      </c>
      <c r="AQ5491" s="55">
        <v>1425.5</v>
      </c>
      <c r="AR5491" s="55">
        <v>28500</v>
      </c>
      <c r="AS5491" s="78">
        <f t="shared" si="89"/>
        <v>5.001754385964912E-2</v>
      </c>
    </row>
    <row r="5492" spans="39:45">
      <c r="AM5492" s="54">
        <v>2019</v>
      </c>
      <c r="AN5492" s="54" t="s">
        <v>189</v>
      </c>
      <c r="AO5492" s="54">
        <v>17</v>
      </c>
      <c r="AP5492" s="54">
        <v>18</v>
      </c>
      <c r="AQ5492" s="54">
        <v>699.5</v>
      </c>
      <c r="AR5492" s="55">
        <v>28500</v>
      </c>
      <c r="AS5492" s="78">
        <f t="shared" si="89"/>
        <v>2.4543859649122805E-2</v>
      </c>
    </row>
    <row r="5493" spans="39:45">
      <c r="AM5493" s="55">
        <v>2019</v>
      </c>
      <c r="AN5493" s="55" t="s">
        <v>189</v>
      </c>
      <c r="AO5493" s="55">
        <v>17</v>
      </c>
      <c r="AP5493" s="55">
        <v>19</v>
      </c>
      <c r="AQ5493" s="55">
        <v>0</v>
      </c>
      <c r="AR5493" s="55">
        <v>28500</v>
      </c>
      <c r="AS5493" s="78">
        <f t="shared" si="89"/>
        <v>0</v>
      </c>
    </row>
    <row r="5494" spans="39:45">
      <c r="AM5494" s="54">
        <v>2019</v>
      </c>
      <c r="AN5494" s="54" t="s">
        <v>189</v>
      </c>
      <c r="AO5494" s="54">
        <v>17</v>
      </c>
      <c r="AP5494" s="54">
        <v>20</v>
      </c>
      <c r="AQ5494" s="54">
        <v>0</v>
      </c>
      <c r="AR5494" s="55">
        <v>28500</v>
      </c>
      <c r="AS5494" s="78">
        <f t="shared" si="89"/>
        <v>0</v>
      </c>
    </row>
    <row r="5495" spans="39:45">
      <c r="AM5495" s="55">
        <v>2019</v>
      </c>
      <c r="AN5495" s="55" t="s">
        <v>189</v>
      </c>
      <c r="AO5495" s="55">
        <v>17</v>
      </c>
      <c r="AP5495" s="55">
        <v>21</v>
      </c>
      <c r="AQ5495" s="55">
        <v>0</v>
      </c>
      <c r="AR5495" s="55">
        <v>28500</v>
      </c>
      <c r="AS5495" s="78">
        <f t="shared" si="89"/>
        <v>0</v>
      </c>
    </row>
    <row r="5496" spans="39:45">
      <c r="AM5496" s="54">
        <v>2019</v>
      </c>
      <c r="AN5496" s="54" t="s">
        <v>189</v>
      </c>
      <c r="AO5496" s="54">
        <v>17</v>
      </c>
      <c r="AP5496" s="54">
        <v>22</v>
      </c>
      <c r="AQ5496" s="54">
        <v>0</v>
      </c>
      <c r="AR5496" s="55">
        <v>28500</v>
      </c>
      <c r="AS5496" s="78">
        <f t="shared" si="89"/>
        <v>0</v>
      </c>
    </row>
    <row r="5497" spans="39:45">
      <c r="AM5497" s="55">
        <v>2019</v>
      </c>
      <c r="AN5497" s="55" t="s">
        <v>189</v>
      </c>
      <c r="AO5497" s="55">
        <v>17</v>
      </c>
      <c r="AP5497" s="55">
        <v>23</v>
      </c>
      <c r="AQ5497" s="55">
        <v>0</v>
      </c>
      <c r="AR5497" s="55">
        <v>28500</v>
      </c>
      <c r="AS5497" s="78">
        <f t="shared" si="89"/>
        <v>0</v>
      </c>
    </row>
    <row r="5498" spans="39:45">
      <c r="AM5498" s="54">
        <v>2019</v>
      </c>
      <c r="AN5498" s="54" t="s">
        <v>189</v>
      </c>
      <c r="AO5498" s="54">
        <v>18</v>
      </c>
      <c r="AP5498" s="54">
        <v>24</v>
      </c>
      <c r="AQ5498" s="54">
        <v>0</v>
      </c>
      <c r="AR5498" s="55">
        <v>28500</v>
      </c>
      <c r="AS5498" s="78">
        <f t="shared" si="89"/>
        <v>0</v>
      </c>
    </row>
    <row r="5499" spans="39:45">
      <c r="AM5499" s="55">
        <v>2019</v>
      </c>
      <c r="AN5499" s="55" t="s">
        <v>189</v>
      </c>
      <c r="AO5499" s="55">
        <v>18</v>
      </c>
      <c r="AP5499" s="55">
        <v>1</v>
      </c>
      <c r="AQ5499" s="55">
        <v>0</v>
      </c>
      <c r="AR5499" s="55">
        <v>28500</v>
      </c>
      <c r="AS5499" s="78">
        <f t="shared" si="89"/>
        <v>0</v>
      </c>
    </row>
    <row r="5500" spans="39:45">
      <c r="AM5500" s="54">
        <v>2019</v>
      </c>
      <c r="AN5500" s="54" t="s">
        <v>189</v>
      </c>
      <c r="AO5500" s="54">
        <v>18</v>
      </c>
      <c r="AP5500" s="54">
        <v>2</v>
      </c>
      <c r="AQ5500" s="54">
        <v>0</v>
      </c>
      <c r="AR5500" s="55">
        <v>28500</v>
      </c>
      <c r="AS5500" s="78">
        <f t="shared" si="89"/>
        <v>0</v>
      </c>
    </row>
    <row r="5501" spans="39:45">
      <c r="AM5501" s="55">
        <v>2019</v>
      </c>
      <c r="AN5501" s="55" t="s">
        <v>189</v>
      </c>
      <c r="AO5501" s="55">
        <v>18</v>
      </c>
      <c r="AP5501" s="55">
        <v>3</v>
      </c>
      <c r="AQ5501" s="55">
        <v>0</v>
      </c>
      <c r="AR5501" s="55">
        <v>28500</v>
      </c>
      <c r="AS5501" s="78">
        <f t="shared" si="89"/>
        <v>0</v>
      </c>
    </row>
    <row r="5502" spans="39:45">
      <c r="AM5502" s="54">
        <v>2019</v>
      </c>
      <c r="AN5502" s="54" t="s">
        <v>189</v>
      </c>
      <c r="AO5502" s="54">
        <v>18</v>
      </c>
      <c r="AP5502" s="54">
        <v>4</v>
      </c>
      <c r="AQ5502" s="54">
        <v>0</v>
      </c>
      <c r="AR5502" s="55">
        <v>28500</v>
      </c>
      <c r="AS5502" s="78">
        <f t="shared" si="89"/>
        <v>0</v>
      </c>
    </row>
    <row r="5503" spans="39:45">
      <c r="AM5503" s="55">
        <v>2019</v>
      </c>
      <c r="AN5503" s="55" t="s">
        <v>189</v>
      </c>
      <c r="AO5503" s="55">
        <v>18</v>
      </c>
      <c r="AP5503" s="55">
        <v>5</v>
      </c>
      <c r="AQ5503" s="55">
        <v>0</v>
      </c>
      <c r="AR5503" s="55">
        <v>28500</v>
      </c>
      <c r="AS5503" s="78">
        <f t="shared" si="89"/>
        <v>0</v>
      </c>
    </row>
    <row r="5504" spans="39:45">
      <c r="AM5504" s="54">
        <v>2019</v>
      </c>
      <c r="AN5504" s="54" t="s">
        <v>189</v>
      </c>
      <c r="AO5504" s="54">
        <v>18</v>
      </c>
      <c r="AP5504" s="54">
        <v>6</v>
      </c>
      <c r="AQ5504" s="54">
        <v>2063.5</v>
      </c>
      <c r="AR5504" s="55">
        <v>28500</v>
      </c>
      <c r="AS5504" s="78">
        <f t="shared" si="89"/>
        <v>7.2403508771929831E-2</v>
      </c>
    </row>
    <row r="5505" spans="39:45">
      <c r="AM5505" s="55">
        <v>2019</v>
      </c>
      <c r="AN5505" s="55" t="s">
        <v>189</v>
      </c>
      <c r="AO5505" s="55">
        <v>18</v>
      </c>
      <c r="AP5505" s="55">
        <v>7</v>
      </c>
      <c r="AQ5505" s="55">
        <v>6632.5</v>
      </c>
      <c r="AR5505" s="55">
        <v>28500</v>
      </c>
      <c r="AS5505" s="78">
        <f t="shared" si="89"/>
        <v>0.23271929824561405</v>
      </c>
    </row>
    <row r="5506" spans="39:45">
      <c r="AM5506" s="54">
        <v>2019</v>
      </c>
      <c r="AN5506" s="54" t="s">
        <v>189</v>
      </c>
      <c r="AO5506" s="54">
        <v>18</v>
      </c>
      <c r="AP5506" s="54">
        <v>8</v>
      </c>
      <c r="AQ5506" s="54">
        <v>15877</v>
      </c>
      <c r="AR5506" s="55">
        <v>28500</v>
      </c>
      <c r="AS5506" s="78">
        <f t="shared" ref="AS5506:AS5569" si="90">AQ5506/AR5506</f>
        <v>0.55708771929824563</v>
      </c>
    </row>
    <row r="5507" spans="39:45">
      <c r="AM5507" s="55">
        <v>2019</v>
      </c>
      <c r="AN5507" s="55" t="s">
        <v>189</v>
      </c>
      <c r="AO5507" s="55">
        <v>18</v>
      </c>
      <c r="AP5507" s="55">
        <v>9</v>
      </c>
      <c r="AQ5507" s="55">
        <v>2501</v>
      </c>
      <c r="AR5507" s="55">
        <v>28500</v>
      </c>
      <c r="AS5507" s="78">
        <f t="shared" si="90"/>
        <v>8.7754385964912279E-2</v>
      </c>
    </row>
    <row r="5508" spans="39:45">
      <c r="AM5508" s="54">
        <v>2019</v>
      </c>
      <c r="AN5508" s="54" t="s">
        <v>189</v>
      </c>
      <c r="AO5508" s="54">
        <v>18</v>
      </c>
      <c r="AP5508" s="54">
        <v>10</v>
      </c>
      <c r="AQ5508" s="54">
        <v>4621</v>
      </c>
      <c r="AR5508" s="55">
        <v>28500</v>
      </c>
      <c r="AS5508" s="78">
        <f t="shared" si="90"/>
        <v>0.16214035087719297</v>
      </c>
    </row>
    <row r="5509" spans="39:45">
      <c r="AM5509" s="55">
        <v>2019</v>
      </c>
      <c r="AN5509" s="55" t="s">
        <v>189</v>
      </c>
      <c r="AO5509" s="55">
        <v>18</v>
      </c>
      <c r="AP5509" s="55">
        <v>11</v>
      </c>
      <c r="AQ5509" s="55">
        <v>20364.5</v>
      </c>
      <c r="AR5509" s="55">
        <v>28500</v>
      </c>
      <c r="AS5509" s="78">
        <f t="shared" si="90"/>
        <v>0.71454385964912281</v>
      </c>
    </row>
    <row r="5510" spans="39:45">
      <c r="AM5510" s="54">
        <v>2019</v>
      </c>
      <c r="AN5510" s="54" t="s">
        <v>189</v>
      </c>
      <c r="AO5510" s="54">
        <v>18</v>
      </c>
      <c r="AP5510" s="54">
        <v>12</v>
      </c>
      <c r="AQ5510" s="54">
        <v>15290.5</v>
      </c>
      <c r="AR5510" s="55">
        <v>28500</v>
      </c>
      <c r="AS5510" s="78">
        <f t="shared" si="90"/>
        <v>0.5365087719298246</v>
      </c>
    </row>
    <row r="5511" spans="39:45">
      <c r="AM5511" s="55">
        <v>2019</v>
      </c>
      <c r="AN5511" s="55" t="s">
        <v>189</v>
      </c>
      <c r="AO5511" s="55">
        <v>18</v>
      </c>
      <c r="AP5511" s="55">
        <v>13</v>
      </c>
      <c r="AQ5511" s="55">
        <v>36273</v>
      </c>
      <c r="AR5511" s="55">
        <v>28500</v>
      </c>
      <c r="AS5511" s="78">
        <f t="shared" si="90"/>
        <v>1.2727368421052632</v>
      </c>
    </row>
    <row r="5512" spans="39:45">
      <c r="AM5512" s="54">
        <v>2019</v>
      </c>
      <c r="AN5512" s="54" t="s">
        <v>189</v>
      </c>
      <c r="AO5512" s="54">
        <v>18</v>
      </c>
      <c r="AP5512" s="54">
        <v>14</v>
      </c>
      <c r="AQ5512" s="54">
        <v>24959.5</v>
      </c>
      <c r="AR5512" s="55">
        <v>28500</v>
      </c>
      <c r="AS5512" s="78">
        <f t="shared" si="90"/>
        <v>0.87577192982456142</v>
      </c>
    </row>
    <row r="5513" spans="39:45">
      <c r="AM5513" s="55">
        <v>2019</v>
      </c>
      <c r="AN5513" s="55" t="s">
        <v>189</v>
      </c>
      <c r="AO5513" s="55">
        <v>18</v>
      </c>
      <c r="AP5513" s="55">
        <v>15</v>
      </c>
      <c r="AQ5513" s="55">
        <v>4315</v>
      </c>
      <c r="AR5513" s="55">
        <v>28500</v>
      </c>
      <c r="AS5513" s="78">
        <f t="shared" si="90"/>
        <v>0.15140350877192982</v>
      </c>
    </row>
    <row r="5514" spans="39:45">
      <c r="AM5514" s="54">
        <v>2019</v>
      </c>
      <c r="AN5514" s="54" t="s">
        <v>189</v>
      </c>
      <c r="AO5514" s="54">
        <v>18</v>
      </c>
      <c r="AP5514" s="54">
        <v>16</v>
      </c>
      <c r="AQ5514" s="54">
        <v>18718</v>
      </c>
      <c r="AR5514" s="55">
        <v>28500</v>
      </c>
      <c r="AS5514" s="78">
        <f t="shared" si="90"/>
        <v>0.65677192982456145</v>
      </c>
    </row>
    <row r="5515" spans="39:45">
      <c r="AM5515" s="55">
        <v>2019</v>
      </c>
      <c r="AN5515" s="55" t="s">
        <v>189</v>
      </c>
      <c r="AO5515" s="55">
        <v>18</v>
      </c>
      <c r="AP5515" s="55">
        <v>17</v>
      </c>
      <c r="AQ5515" s="55">
        <v>6098.5</v>
      </c>
      <c r="AR5515" s="55">
        <v>28500</v>
      </c>
      <c r="AS5515" s="78">
        <f t="shared" si="90"/>
        <v>0.21398245614035089</v>
      </c>
    </row>
    <row r="5516" spans="39:45">
      <c r="AM5516" s="54">
        <v>2019</v>
      </c>
      <c r="AN5516" s="54" t="s">
        <v>189</v>
      </c>
      <c r="AO5516" s="54">
        <v>18</v>
      </c>
      <c r="AP5516" s="54">
        <v>18</v>
      </c>
      <c r="AQ5516" s="54">
        <v>1152</v>
      </c>
      <c r="AR5516" s="55">
        <v>28500</v>
      </c>
      <c r="AS5516" s="78">
        <f t="shared" si="90"/>
        <v>4.0421052631578948E-2</v>
      </c>
    </row>
    <row r="5517" spans="39:45">
      <c r="AM5517" s="55">
        <v>2019</v>
      </c>
      <c r="AN5517" s="55" t="s">
        <v>189</v>
      </c>
      <c r="AO5517" s="55">
        <v>18</v>
      </c>
      <c r="AP5517" s="55">
        <v>19</v>
      </c>
      <c r="AQ5517" s="55">
        <v>0</v>
      </c>
      <c r="AR5517" s="55">
        <v>28500</v>
      </c>
      <c r="AS5517" s="78">
        <f t="shared" si="90"/>
        <v>0</v>
      </c>
    </row>
    <row r="5518" spans="39:45">
      <c r="AM5518" s="54">
        <v>2019</v>
      </c>
      <c r="AN5518" s="54" t="s">
        <v>189</v>
      </c>
      <c r="AO5518" s="54">
        <v>18</v>
      </c>
      <c r="AP5518" s="54">
        <v>20</v>
      </c>
      <c r="AQ5518" s="54">
        <v>0</v>
      </c>
      <c r="AR5518" s="55">
        <v>28500</v>
      </c>
      <c r="AS5518" s="78">
        <f t="shared" si="90"/>
        <v>0</v>
      </c>
    </row>
    <row r="5519" spans="39:45">
      <c r="AM5519" s="55">
        <v>2019</v>
      </c>
      <c r="AN5519" s="55" t="s">
        <v>189</v>
      </c>
      <c r="AO5519" s="55">
        <v>18</v>
      </c>
      <c r="AP5519" s="55">
        <v>21</v>
      </c>
      <c r="AQ5519" s="55">
        <v>0</v>
      </c>
      <c r="AR5519" s="55">
        <v>28500</v>
      </c>
      <c r="AS5519" s="78">
        <f t="shared" si="90"/>
        <v>0</v>
      </c>
    </row>
    <row r="5520" spans="39:45">
      <c r="AM5520" s="54">
        <v>2019</v>
      </c>
      <c r="AN5520" s="54" t="s">
        <v>189</v>
      </c>
      <c r="AO5520" s="54">
        <v>18</v>
      </c>
      <c r="AP5520" s="54">
        <v>22</v>
      </c>
      <c r="AQ5520" s="54">
        <v>0</v>
      </c>
      <c r="AR5520" s="55">
        <v>28500</v>
      </c>
      <c r="AS5520" s="78">
        <f t="shared" si="90"/>
        <v>0</v>
      </c>
    </row>
    <row r="5521" spans="39:45">
      <c r="AM5521" s="55">
        <v>2019</v>
      </c>
      <c r="AN5521" s="55" t="s">
        <v>189</v>
      </c>
      <c r="AO5521" s="55">
        <v>18</v>
      </c>
      <c r="AP5521" s="55">
        <v>23</v>
      </c>
      <c r="AQ5521" s="55">
        <v>0</v>
      </c>
      <c r="AR5521" s="55">
        <v>28500</v>
      </c>
      <c r="AS5521" s="78">
        <f t="shared" si="90"/>
        <v>0</v>
      </c>
    </row>
    <row r="5522" spans="39:45">
      <c r="AM5522" s="54">
        <v>2019</v>
      </c>
      <c r="AN5522" s="54" t="s">
        <v>189</v>
      </c>
      <c r="AO5522" s="54">
        <v>19</v>
      </c>
      <c r="AP5522" s="54">
        <v>24</v>
      </c>
      <c r="AQ5522" s="54">
        <v>0</v>
      </c>
      <c r="AR5522" s="55">
        <v>28500</v>
      </c>
      <c r="AS5522" s="78">
        <f t="shared" si="90"/>
        <v>0</v>
      </c>
    </row>
    <row r="5523" spans="39:45">
      <c r="AM5523" s="55">
        <v>2019</v>
      </c>
      <c r="AN5523" s="55" t="s">
        <v>189</v>
      </c>
      <c r="AO5523" s="55">
        <v>19</v>
      </c>
      <c r="AP5523" s="55">
        <v>1</v>
      </c>
      <c r="AQ5523" s="55">
        <v>0</v>
      </c>
      <c r="AR5523" s="55">
        <v>28500</v>
      </c>
      <c r="AS5523" s="78">
        <f t="shared" si="90"/>
        <v>0</v>
      </c>
    </row>
    <row r="5524" spans="39:45">
      <c r="AM5524" s="54">
        <v>2019</v>
      </c>
      <c r="AN5524" s="54" t="s">
        <v>189</v>
      </c>
      <c r="AO5524" s="54">
        <v>19</v>
      </c>
      <c r="AP5524" s="54">
        <v>2</v>
      </c>
      <c r="AQ5524" s="54">
        <v>0</v>
      </c>
      <c r="AR5524" s="55">
        <v>28500</v>
      </c>
      <c r="AS5524" s="78">
        <f t="shared" si="90"/>
        <v>0</v>
      </c>
    </row>
    <row r="5525" spans="39:45">
      <c r="AM5525" s="55">
        <v>2019</v>
      </c>
      <c r="AN5525" s="55" t="s">
        <v>189</v>
      </c>
      <c r="AO5525" s="55">
        <v>19</v>
      </c>
      <c r="AP5525" s="55">
        <v>3</v>
      </c>
      <c r="AQ5525" s="55">
        <v>0</v>
      </c>
      <c r="AR5525" s="55">
        <v>28500</v>
      </c>
      <c r="AS5525" s="78">
        <f t="shared" si="90"/>
        <v>0</v>
      </c>
    </row>
    <row r="5526" spans="39:45">
      <c r="AM5526" s="54">
        <v>2019</v>
      </c>
      <c r="AN5526" s="54" t="s">
        <v>189</v>
      </c>
      <c r="AO5526" s="54">
        <v>19</v>
      </c>
      <c r="AP5526" s="54">
        <v>4</v>
      </c>
      <c r="AQ5526" s="54">
        <v>0</v>
      </c>
      <c r="AR5526" s="55">
        <v>28500</v>
      </c>
      <c r="AS5526" s="78">
        <f t="shared" si="90"/>
        <v>0</v>
      </c>
    </row>
    <row r="5527" spans="39:45">
      <c r="AM5527" s="55">
        <v>2019</v>
      </c>
      <c r="AN5527" s="55" t="s">
        <v>189</v>
      </c>
      <c r="AO5527" s="55">
        <v>19</v>
      </c>
      <c r="AP5527" s="55">
        <v>5</v>
      </c>
      <c r="AQ5527" s="55">
        <v>0</v>
      </c>
      <c r="AR5527" s="55">
        <v>28500</v>
      </c>
      <c r="AS5527" s="78">
        <f t="shared" si="90"/>
        <v>0</v>
      </c>
    </row>
    <row r="5528" spans="39:45">
      <c r="AM5528" s="54">
        <v>2019</v>
      </c>
      <c r="AN5528" s="54" t="s">
        <v>189</v>
      </c>
      <c r="AO5528" s="54">
        <v>19</v>
      </c>
      <c r="AP5528" s="54">
        <v>6</v>
      </c>
      <c r="AQ5528" s="54">
        <v>2452</v>
      </c>
      <c r="AR5528" s="55">
        <v>28500</v>
      </c>
      <c r="AS5528" s="78">
        <f t="shared" si="90"/>
        <v>8.6035087719298242E-2</v>
      </c>
    </row>
    <row r="5529" spans="39:45">
      <c r="AM5529" s="55">
        <v>2019</v>
      </c>
      <c r="AN5529" s="55" t="s">
        <v>189</v>
      </c>
      <c r="AO5529" s="55">
        <v>19</v>
      </c>
      <c r="AP5529" s="55">
        <v>7</v>
      </c>
      <c r="AQ5529" s="55">
        <v>8164.5</v>
      </c>
      <c r="AR5529" s="55">
        <v>28500</v>
      </c>
      <c r="AS5529" s="78">
        <f t="shared" si="90"/>
        <v>0.28647368421052632</v>
      </c>
    </row>
    <row r="5530" spans="39:45">
      <c r="AM5530" s="54">
        <v>2019</v>
      </c>
      <c r="AN5530" s="54" t="s">
        <v>189</v>
      </c>
      <c r="AO5530" s="54">
        <v>19</v>
      </c>
      <c r="AP5530" s="54">
        <v>8</v>
      </c>
      <c r="AQ5530" s="54">
        <v>20710.5</v>
      </c>
      <c r="AR5530" s="55">
        <v>28500</v>
      </c>
      <c r="AS5530" s="78">
        <f t="shared" si="90"/>
        <v>0.72668421052631582</v>
      </c>
    </row>
    <row r="5531" spans="39:45">
      <c r="AM5531" s="55">
        <v>2019</v>
      </c>
      <c r="AN5531" s="55" t="s">
        <v>189</v>
      </c>
      <c r="AO5531" s="55">
        <v>19</v>
      </c>
      <c r="AP5531" s="55">
        <v>9</v>
      </c>
      <c r="AQ5531" s="55">
        <v>24562</v>
      </c>
      <c r="AR5531" s="55">
        <v>28500</v>
      </c>
      <c r="AS5531" s="78">
        <f t="shared" si="90"/>
        <v>0.86182456140350883</v>
      </c>
    </row>
    <row r="5532" spans="39:45">
      <c r="AM5532" s="54">
        <v>2019</v>
      </c>
      <c r="AN5532" s="54" t="s">
        <v>189</v>
      </c>
      <c r="AO5532" s="54">
        <v>19</v>
      </c>
      <c r="AP5532" s="54">
        <v>10</v>
      </c>
      <c r="AQ5532" s="54">
        <v>30647</v>
      </c>
      <c r="AR5532" s="55">
        <v>28500</v>
      </c>
      <c r="AS5532" s="78">
        <f t="shared" si="90"/>
        <v>1.0753333333333333</v>
      </c>
    </row>
    <row r="5533" spans="39:45">
      <c r="AM5533" s="55">
        <v>2019</v>
      </c>
      <c r="AN5533" s="55" t="s">
        <v>189</v>
      </c>
      <c r="AO5533" s="55">
        <v>19</v>
      </c>
      <c r="AP5533" s="55">
        <v>11</v>
      </c>
      <c r="AQ5533" s="55">
        <v>21692.5</v>
      </c>
      <c r="AR5533" s="55">
        <v>28500</v>
      </c>
      <c r="AS5533" s="78">
        <f t="shared" si="90"/>
        <v>0.76114035087719301</v>
      </c>
    </row>
    <row r="5534" spans="39:45">
      <c r="AM5534" s="54">
        <v>2019</v>
      </c>
      <c r="AN5534" s="54" t="s">
        <v>189</v>
      </c>
      <c r="AO5534" s="54">
        <v>19</v>
      </c>
      <c r="AP5534" s="54">
        <v>12</v>
      </c>
      <c r="AQ5534" s="54">
        <v>19158</v>
      </c>
      <c r="AR5534" s="55">
        <v>28500</v>
      </c>
      <c r="AS5534" s="78">
        <f t="shared" si="90"/>
        <v>0.67221052631578948</v>
      </c>
    </row>
    <row r="5535" spans="39:45">
      <c r="AM5535" s="55">
        <v>2019</v>
      </c>
      <c r="AN5535" s="55" t="s">
        <v>189</v>
      </c>
      <c r="AO5535" s="55">
        <v>19</v>
      </c>
      <c r="AP5535" s="55">
        <v>13</v>
      </c>
      <c r="AQ5535" s="55">
        <v>1884.5</v>
      </c>
      <c r="AR5535" s="55">
        <v>28500</v>
      </c>
      <c r="AS5535" s="78">
        <f t="shared" si="90"/>
        <v>6.6122807017543861E-2</v>
      </c>
    </row>
    <row r="5536" spans="39:45">
      <c r="AM5536" s="54">
        <v>2019</v>
      </c>
      <c r="AN5536" s="54" t="s">
        <v>189</v>
      </c>
      <c r="AO5536" s="54">
        <v>19</v>
      </c>
      <c r="AP5536" s="54">
        <v>14</v>
      </c>
      <c r="AQ5536" s="54">
        <v>17394.5</v>
      </c>
      <c r="AR5536" s="55">
        <v>28500</v>
      </c>
      <c r="AS5536" s="78">
        <f t="shared" si="90"/>
        <v>0.61033333333333328</v>
      </c>
    </row>
    <row r="5537" spans="39:45">
      <c r="AM5537" s="55">
        <v>2019</v>
      </c>
      <c r="AN5537" s="55" t="s">
        <v>189</v>
      </c>
      <c r="AO5537" s="55">
        <v>19</v>
      </c>
      <c r="AP5537" s="55">
        <v>15</v>
      </c>
      <c r="AQ5537" s="55">
        <v>22450.5</v>
      </c>
      <c r="AR5537" s="55">
        <v>28500</v>
      </c>
      <c r="AS5537" s="78">
        <f t="shared" si="90"/>
        <v>0.78773684210526318</v>
      </c>
    </row>
    <row r="5538" spans="39:45">
      <c r="AM5538" s="54">
        <v>2019</v>
      </c>
      <c r="AN5538" s="54" t="s">
        <v>189</v>
      </c>
      <c r="AO5538" s="54">
        <v>19</v>
      </c>
      <c r="AP5538" s="54">
        <v>16</v>
      </c>
      <c r="AQ5538" s="54">
        <v>5380</v>
      </c>
      <c r="AR5538" s="55">
        <v>28500</v>
      </c>
      <c r="AS5538" s="78">
        <f t="shared" si="90"/>
        <v>0.1887719298245614</v>
      </c>
    </row>
    <row r="5539" spans="39:45">
      <c r="AM5539" s="55">
        <v>2019</v>
      </c>
      <c r="AN5539" s="55" t="s">
        <v>189</v>
      </c>
      <c r="AO5539" s="55">
        <v>19</v>
      </c>
      <c r="AP5539" s="55">
        <v>17</v>
      </c>
      <c r="AQ5539" s="55">
        <v>8187.5</v>
      </c>
      <c r="AR5539" s="55">
        <v>28500</v>
      </c>
      <c r="AS5539" s="78">
        <f t="shared" si="90"/>
        <v>0.28728070175438597</v>
      </c>
    </row>
    <row r="5540" spans="39:45">
      <c r="AM5540" s="54">
        <v>2019</v>
      </c>
      <c r="AN5540" s="54" t="s">
        <v>189</v>
      </c>
      <c r="AO5540" s="54">
        <v>19</v>
      </c>
      <c r="AP5540" s="54">
        <v>18</v>
      </c>
      <c r="AQ5540" s="54">
        <v>1184</v>
      </c>
      <c r="AR5540" s="55">
        <v>28500</v>
      </c>
      <c r="AS5540" s="78">
        <f t="shared" si="90"/>
        <v>4.1543859649122807E-2</v>
      </c>
    </row>
    <row r="5541" spans="39:45">
      <c r="AM5541" s="55">
        <v>2019</v>
      </c>
      <c r="AN5541" s="55" t="s">
        <v>189</v>
      </c>
      <c r="AO5541" s="55">
        <v>19</v>
      </c>
      <c r="AP5541" s="55">
        <v>19</v>
      </c>
      <c r="AQ5541" s="55">
        <v>0</v>
      </c>
      <c r="AR5541" s="55">
        <v>28500</v>
      </c>
      <c r="AS5541" s="78">
        <f t="shared" si="90"/>
        <v>0</v>
      </c>
    </row>
    <row r="5542" spans="39:45">
      <c r="AM5542" s="54">
        <v>2019</v>
      </c>
      <c r="AN5542" s="54" t="s">
        <v>189</v>
      </c>
      <c r="AO5542" s="54">
        <v>19</v>
      </c>
      <c r="AP5542" s="54">
        <v>20</v>
      </c>
      <c r="AQ5542" s="54">
        <v>0</v>
      </c>
      <c r="AR5542" s="55">
        <v>28500</v>
      </c>
      <c r="AS5542" s="78">
        <f t="shared" si="90"/>
        <v>0</v>
      </c>
    </row>
    <row r="5543" spans="39:45">
      <c r="AM5543" s="55">
        <v>2019</v>
      </c>
      <c r="AN5543" s="55" t="s">
        <v>189</v>
      </c>
      <c r="AO5543" s="55">
        <v>19</v>
      </c>
      <c r="AP5543" s="55">
        <v>21</v>
      </c>
      <c r="AQ5543" s="55">
        <v>0</v>
      </c>
      <c r="AR5543" s="55">
        <v>28500</v>
      </c>
      <c r="AS5543" s="78">
        <f t="shared" si="90"/>
        <v>0</v>
      </c>
    </row>
    <row r="5544" spans="39:45">
      <c r="AM5544" s="54">
        <v>2019</v>
      </c>
      <c r="AN5544" s="54" t="s">
        <v>189</v>
      </c>
      <c r="AO5544" s="54">
        <v>19</v>
      </c>
      <c r="AP5544" s="54">
        <v>22</v>
      </c>
      <c r="AQ5544" s="54">
        <v>0</v>
      </c>
      <c r="AR5544" s="55">
        <v>28500</v>
      </c>
      <c r="AS5544" s="78">
        <f t="shared" si="90"/>
        <v>0</v>
      </c>
    </row>
    <row r="5545" spans="39:45">
      <c r="AM5545" s="55">
        <v>2019</v>
      </c>
      <c r="AN5545" s="55" t="s">
        <v>189</v>
      </c>
      <c r="AO5545" s="55">
        <v>19</v>
      </c>
      <c r="AP5545" s="55">
        <v>23</v>
      </c>
      <c r="AQ5545" s="55">
        <v>0</v>
      </c>
      <c r="AR5545" s="55">
        <v>28500</v>
      </c>
      <c r="AS5545" s="78">
        <f t="shared" si="90"/>
        <v>0</v>
      </c>
    </row>
    <row r="5546" spans="39:45">
      <c r="AM5546" s="54">
        <v>2019</v>
      </c>
      <c r="AN5546" s="54" t="s">
        <v>189</v>
      </c>
      <c r="AO5546" s="54">
        <v>20</v>
      </c>
      <c r="AP5546" s="54">
        <v>24</v>
      </c>
      <c r="AQ5546" s="54">
        <v>0</v>
      </c>
      <c r="AR5546" s="55">
        <v>28500</v>
      </c>
      <c r="AS5546" s="78">
        <f t="shared" si="90"/>
        <v>0</v>
      </c>
    </row>
    <row r="5547" spans="39:45">
      <c r="AM5547" s="55">
        <v>2019</v>
      </c>
      <c r="AN5547" s="55" t="s">
        <v>189</v>
      </c>
      <c r="AO5547" s="55">
        <v>20</v>
      </c>
      <c r="AP5547" s="55">
        <v>1</v>
      </c>
      <c r="AQ5547" s="55">
        <v>0</v>
      </c>
      <c r="AR5547" s="55">
        <v>28500</v>
      </c>
      <c r="AS5547" s="78">
        <f t="shared" si="90"/>
        <v>0</v>
      </c>
    </row>
    <row r="5548" spans="39:45">
      <c r="AM5548" s="54">
        <v>2019</v>
      </c>
      <c r="AN5548" s="54" t="s">
        <v>189</v>
      </c>
      <c r="AO5548" s="54">
        <v>20</v>
      </c>
      <c r="AP5548" s="54">
        <v>2</v>
      </c>
      <c r="AQ5548" s="54">
        <v>0</v>
      </c>
      <c r="AR5548" s="55">
        <v>28500</v>
      </c>
      <c r="AS5548" s="78">
        <f t="shared" si="90"/>
        <v>0</v>
      </c>
    </row>
    <row r="5549" spans="39:45">
      <c r="AM5549" s="55">
        <v>2019</v>
      </c>
      <c r="AN5549" s="55" t="s">
        <v>189</v>
      </c>
      <c r="AO5549" s="55">
        <v>20</v>
      </c>
      <c r="AP5549" s="55">
        <v>3</v>
      </c>
      <c r="AQ5549" s="55">
        <v>0</v>
      </c>
      <c r="AR5549" s="55">
        <v>28500</v>
      </c>
      <c r="AS5549" s="78">
        <f t="shared" si="90"/>
        <v>0</v>
      </c>
    </row>
    <row r="5550" spans="39:45">
      <c r="AM5550" s="54">
        <v>2019</v>
      </c>
      <c r="AN5550" s="54" t="s">
        <v>189</v>
      </c>
      <c r="AO5550" s="54">
        <v>20</v>
      </c>
      <c r="AP5550" s="54">
        <v>4</v>
      </c>
      <c r="AQ5550" s="54">
        <v>0</v>
      </c>
      <c r="AR5550" s="55">
        <v>28500</v>
      </c>
      <c r="AS5550" s="78">
        <f t="shared" si="90"/>
        <v>0</v>
      </c>
    </row>
    <row r="5551" spans="39:45">
      <c r="AM5551" s="55">
        <v>2019</v>
      </c>
      <c r="AN5551" s="55" t="s">
        <v>189</v>
      </c>
      <c r="AO5551" s="55">
        <v>20</v>
      </c>
      <c r="AP5551" s="55">
        <v>5</v>
      </c>
      <c r="AQ5551" s="55">
        <v>0</v>
      </c>
      <c r="AR5551" s="55">
        <v>28500</v>
      </c>
      <c r="AS5551" s="78">
        <f t="shared" si="90"/>
        <v>0</v>
      </c>
    </row>
    <row r="5552" spans="39:45">
      <c r="AM5552" s="54">
        <v>2019</v>
      </c>
      <c r="AN5552" s="54" t="s">
        <v>189</v>
      </c>
      <c r="AO5552" s="54">
        <v>20</v>
      </c>
      <c r="AP5552" s="54">
        <v>6</v>
      </c>
      <c r="AQ5552" s="54">
        <v>2351.5</v>
      </c>
      <c r="AR5552" s="55">
        <v>28500</v>
      </c>
      <c r="AS5552" s="78">
        <f t="shared" si="90"/>
        <v>8.2508771929824559E-2</v>
      </c>
    </row>
    <row r="5553" spans="39:45">
      <c r="AM5553" s="55">
        <v>2019</v>
      </c>
      <c r="AN5553" s="55" t="s">
        <v>189</v>
      </c>
      <c r="AO5553" s="55">
        <v>20</v>
      </c>
      <c r="AP5553" s="55">
        <v>7</v>
      </c>
      <c r="AQ5553" s="55">
        <v>11058</v>
      </c>
      <c r="AR5553" s="55">
        <v>28500</v>
      </c>
      <c r="AS5553" s="78">
        <f t="shared" si="90"/>
        <v>0.38800000000000001</v>
      </c>
    </row>
    <row r="5554" spans="39:45">
      <c r="AM5554" s="54">
        <v>2019</v>
      </c>
      <c r="AN5554" s="54" t="s">
        <v>189</v>
      </c>
      <c r="AO5554" s="54">
        <v>20</v>
      </c>
      <c r="AP5554" s="54">
        <v>8</v>
      </c>
      <c r="AQ5554" s="54">
        <v>21486.5</v>
      </c>
      <c r="AR5554" s="55">
        <v>28500</v>
      </c>
      <c r="AS5554" s="78">
        <f t="shared" si="90"/>
        <v>0.75391228070175442</v>
      </c>
    </row>
    <row r="5555" spans="39:45">
      <c r="AM5555" s="55">
        <v>2019</v>
      </c>
      <c r="AN5555" s="55" t="s">
        <v>189</v>
      </c>
      <c r="AO5555" s="55">
        <v>20</v>
      </c>
      <c r="AP5555" s="55">
        <v>9</v>
      </c>
      <c r="AQ5555" s="55">
        <v>29373.5</v>
      </c>
      <c r="AR5555" s="55">
        <v>28500</v>
      </c>
      <c r="AS5555" s="78">
        <f t="shared" si="90"/>
        <v>1.0306491228070176</v>
      </c>
    </row>
    <row r="5556" spans="39:45">
      <c r="AM5556" s="54">
        <v>2019</v>
      </c>
      <c r="AN5556" s="54" t="s">
        <v>189</v>
      </c>
      <c r="AO5556" s="54">
        <v>20</v>
      </c>
      <c r="AP5556" s="54">
        <v>10</v>
      </c>
      <c r="AQ5556" s="54">
        <v>29584</v>
      </c>
      <c r="AR5556" s="55">
        <v>28500</v>
      </c>
      <c r="AS5556" s="78">
        <f t="shared" si="90"/>
        <v>1.0380350877192983</v>
      </c>
    </row>
    <row r="5557" spans="39:45">
      <c r="AM5557" s="55">
        <v>2019</v>
      </c>
      <c r="AN5557" s="55" t="s">
        <v>189</v>
      </c>
      <c r="AO5557" s="55">
        <v>20</v>
      </c>
      <c r="AP5557" s="55">
        <v>11</v>
      </c>
      <c r="AQ5557" s="55">
        <v>33738.5</v>
      </c>
      <c r="AR5557" s="55">
        <v>28500</v>
      </c>
      <c r="AS5557" s="78">
        <f t="shared" si="90"/>
        <v>1.1838070175438598</v>
      </c>
    </row>
    <row r="5558" spans="39:45">
      <c r="AM5558" s="54">
        <v>2019</v>
      </c>
      <c r="AN5558" s="54" t="s">
        <v>189</v>
      </c>
      <c r="AO5558" s="54">
        <v>20</v>
      </c>
      <c r="AP5558" s="54">
        <v>12</v>
      </c>
      <c r="AQ5558" s="54">
        <v>32821</v>
      </c>
      <c r="AR5558" s="55">
        <v>28500</v>
      </c>
      <c r="AS5558" s="78">
        <f t="shared" si="90"/>
        <v>1.1516140350877193</v>
      </c>
    </row>
    <row r="5559" spans="39:45">
      <c r="AM5559" s="55">
        <v>2019</v>
      </c>
      <c r="AN5559" s="55" t="s">
        <v>189</v>
      </c>
      <c r="AO5559" s="55">
        <v>20</v>
      </c>
      <c r="AP5559" s="55">
        <v>13</v>
      </c>
      <c r="AQ5559" s="55">
        <v>33351.5</v>
      </c>
      <c r="AR5559" s="55">
        <v>28500</v>
      </c>
      <c r="AS5559" s="78">
        <f t="shared" si="90"/>
        <v>1.1702280701754386</v>
      </c>
    </row>
    <row r="5560" spans="39:45">
      <c r="AM5560" s="54">
        <v>2019</v>
      </c>
      <c r="AN5560" s="54" t="s">
        <v>189</v>
      </c>
      <c r="AO5560" s="54">
        <v>20</v>
      </c>
      <c r="AP5560" s="54">
        <v>14</v>
      </c>
      <c r="AQ5560" s="54">
        <v>28526.5</v>
      </c>
      <c r="AR5560" s="55">
        <v>28500</v>
      </c>
      <c r="AS5560" s="78">
        <f t="shared" si="90"/>
        <v>1.0009298245614036</v>
      </c>
    </row>
    <row r="5561" spans="39:45">
      <c r="AM5561" s="55">
        <v>2019</v>
      </c>
      <c r="AN5561" s="55" t="s">
        <v>189</v>
      </c>
      <c r="AO5561" s="55">
        <v>20</v>
      </c>
      <c r="AP5561" s="55">
        <v>15</v>
      </c>
      <c r="AQ5561" s="55">
        <v>26574</v>
      </c>
      <c r="AR5561" s="55">
        <v>28500</v>
      </c>
      <c r="AS5561" s="78">
        <f t="shared" si="90"/>
        <v>0.93242105263157893</v>
      </c>
    </row>
    <row r="5562" spans="39:45">
      <c r="AM5562" s="54">
        <v>2019</v>
      </c>
      <c r="AN5562" s="54" t="s">
        <v>189</v>
      </c>
      <c r="AO5562" s="54">
        <v>20</v>
      </c>
      <c r="AP5562" s="54">
        <v>16</v>
      </c>
      <c r="AQ5562" s="54">
        <v>17597.5</v>
      </c>
      <c r="AR5562" s="55">
        <v>28500</v>
      </c>
      <c r="AS5562" s="78">
        <f t="shared" si="90"/>
        <v>0.61745614035087715</v>
      </c>
    </row>
    <row r="5563" spans="39:45">
      <c r="AM5563" s="55">
        <v>2019</v>
      </c>
      <c r="AN5563" s="55" t="s">
        <v>189</v>
      </c>
      <c r="AO5563" s="55">
        <v>20</v>
      </c>
      <c r="AP5563" s="55">
        <v>17</v>
      </c>
      <c r="AQ5563" s="55">
        <v>8157.5</v>
      </c>
      <c r="AR5563" s="55">
        <v>28500</v>
      </c>
      <c r="AS5563" s="78">
        <f t="shared" si="90"/>
        <v>0.28622807017543861</v>
      </c>
    </row>
    <row r="5564" spans="39:45">
      <c r="AM5564" s="54">
        <v>2019</v>
      </c>
      <c r="AN5564" s="54" t="s">
        <v>189</v>
      </c>
      <c r="AO5564" s="54">
        <v>20</v>
      </c>
      <c r="AP5564" s="54">
        <v>18</v>
      </c>
      <c r="AQ5564" s="54">
        <v>1284</v>
      </c>
      <c r="AR5564" s="55">
        <v>28500</v>
      </c>
      <c r="AS5564" s="78">
        <f t="shared" si="90"/>
        <v>4.5052631578947365E-2</v>
      </c>
    </row>
    <row r="5565" spans="39:45">
      <c r="AM5565" s="55">
        <v>2019</v>
      </c>
      <c r="AN5565" s="55" t="s">
        <v>189</v>
      </c>
      <c r="AO5565" s="55">
        <v>20</v>
      </c>
      <c r="AP5565" s="55">
        <v>19</v>
      </c>
      <c r="AQ5565" s="55">
        <v>0</v>
      </c>
      <c r="AR5565" s="55">
        <v>28500</v>
      </c>
      <c r="AS5565" s="78">
        <f t="shared" si="90"/>
        <v>0</v>
      </c>
    </row>
    <row r="5566" spans="39:45">
      <c r="AM5566" s="54">
        <v>2019</v>
      </c>
      <c r="AN5566" s="54" t="s">
        <v>189</v>
      </c>
      <c r="AO5566" s="54">
        <v>20</v>
      </c>
      <c r="AP5566" s="54">
        <v>20</v>
      </c>
      <c r="AQ5566" s="54">
        <v>0</v>
      </c>
      <c r="AR5566" s="55">
        <v>28500</v>
      </c>
      <c r="AS5566" s="78">
        <f t="shared" si="90"/>
        <v>0</v>
      </c>
    </row>
    <row r="5567" spans="39:45">
      <c r="AM5567" s="55">
        <v>2019</v>
      </c>
      <c r="AN5567" s="55" t="s">
        <v>189</v>
      </c>
      <c r="AO5567" s="55">
        <v>20</v>
      </c>
      <c r="AP5567" s="55">
        <v>21</v>
      </c>
      <c r="AQ5567" s="55">
        <v>0</v>
      </c>
      <c r="AR5567" s="55">
        <v>28500</v>
      </c>
      <c r="AS5567" s="78">
        <f t="shared" si="90"/>
        <v>0</v>
      </c>
    </row>
    <row r="5568" spans="39:45">
      <c r="AM5568" s="54">
        <v>2019</v>
      </c>
      <c r="AN5568" s="54" t="s">
        <v>189</v>
      </c>
      <c r="AO5568" s="54">
        <v>20</v>
      </c>
      <c r="AP5568" s="54">
        <v>22</v>
      </c>
      <c r="AQ5568" s="54">
        <v>0</v>
      </c>
      <c r="AR5568" s="55">
        <v>28500</v>
      </c>
      <c r="AS5568" s="78">
        <f t="shared" si="90"/>
        <v>0</v>
      </c>
    </row>
    <row r="5569" spans="39:45">
      <c r="AM5569" s="55">
        <v>2019</v>
      </c>
      <c r="AN5569" s="55" t="s">
        <v>189</v>
      </c>
      <c r="AO5569" s="55">
        <v>20</v>
      </c>
      <c r="AP5569" s="55">
        <v>23</v>
      </c>
      <c r="AQ5569" s="55">
        <v>0</v>
      </c>
      <c r="AR5569" s="55">
        <v>28500</v>
      </c>
      <c r="AS5569" s="78">
        <f t="shared" si="90"/>
        <v>0</v>
      </c>
    </row>
    <row r="5570" spans="39:45">
      <c r="AM5570" s="54">
        <v>2019</v>
      </c>
      <c r="AN5570" s="54" t="s">
        <v>189</v>
      </c>
      <c r="AO5570" s="54">
        <v>21</v>
      </c>
      <c r="AP5570" s="54">
        <v>24</v>
      </c>
      <c r="AQ5570" s="54">
        <v>0</v>
      </c>
      <c r="AR5570" s="55">
        <v>28500</v>
      </c>
      <c r="AS5570" s="78">
        <f t="shared" ref="AS5570:AS5633" si="91">AQ5570/AR5570</f>
        <v>0</v>
      </c>
    </row>
    <row r="5571" spans="39:45">
      <c r="AM5571" s="55">
        <v>2019</v>
      </c>
      <c r="AN5571" s="55" t="s">
        <v>189</v>
      </c>
      <c r="AO5571" s="55">
        <v>21</v>
      </c>
      <c r="AP5571" s="55">
        <v>1</v>
      </c>
      <c r="AQ5571" s="55">
        <v>0</v>
      </c>
      <c r="AR5571" s="55">
        <v>28500</v>
      </c>
      <c r="AS5571" s="78">
        <f t="shared" si="91"/>
        <v>0</v>
      </c>
    </row>
    <row r="5572" spans="39:45">
      <c r="AM5572" s="54">
        <v>2019</v>
      </c>
      <c r="AN5572" s="54" t="s">
        <v>189</v>
      </c>
      <c r="AO5572" s="54">
        <v>21</v>
      </c>
      <c r="AP5572" s="54">
        <v>2</v>
      </c>
      <c r="AQ5572" s="54">
        <v>0</v>
      </c>
      <c r="AR5572" s="55">
        <v>28500</v>
      </c>
      <c r="AS5572" s="78">
        <f t="shared" si="91"/>
        <v>0</v>
      </c>
    </row>
    <row r="5573" spans="39:45">
      <c r="AM5573" s="55">
        <v>2019</v>
      </c>
      <c r="AN5573" s="55" t="s">
        <v>189</v>
      </c>
      <c r="AO5573" s="55">
        <v>21</v>
      </c>
      <c r="AP5573" s="55">
        <v>3</v>
      </c>
      <c r="AQ5573" s="55">
        <v>0</v>
      </c>
      <c r="AR5573" s="55">
        <v>28500</v>
      </c>
      <c r="AS5573" s="78">
        <f t="shared" si="91"/>
        <v>0</v>
      </c>
    </row>
    <row r="5574" spans="39:45">
      <c r="AM5574" s="54">
        <v>2019</v>
      </c>
      <c r="AN5574" s="54" t="s">
        <v>189</v>
      </c>
      <c r="AO5574" s="54">
        <v>21</v>
      </c>
      <c r="AP5574" s="54">
        <v>4</v>
      </c>
      <c r="AQ5574" s="54">
        <v>0</v>
      </c>
      <c r="AR5574" s="55">
        <v>28500</v>
      </c>
      <c r="AS5574" s="78">
        <f t="shared" si="91"/>
        <v>0</v>
      </c>
    </row>
    <row r="5575" spans="39:45">
      <c r="AM5575" s="55">
        <v>2019</v>
      </c>
      <c r="AN5575" s="55" t="s">
        <v>189</v>
      </c>
      <c r="AO5575" s="55">
        <v>21</v>
      </c>
      <c r="AP5575" s="55">
        <v>5</v>
      </c>
      <c r="AQ5575" s="55">
        <v>0</v>
      </c>
      <c r="AR5575" s="55">
        <v>28500</v>
      </c>
      <c r="AS5575" s="78">
        <f t="shared" si="91"/>
        <v>0</v>
      </c>
    </row>
    <row r="5576" spans="39:45">
      <c r="AM5576" s="54">
        <v>2019</v>
      </c>
      <c r="AN5576" s="54" t="s">
        <v>189</v>
      </c>
      <c r="AO5576" s="54">
        <v>21</v>
      </c>
      <c r="AP5576" s="54">
        <v>6</v>
      </c>
      <c r="AQ5576" s="54">
        <v>2229.5</v>
      </c>
      <c r="AR5576" s="55">
        <v>28500</v>
      </c>
      <c r="AS5576" s="78">
        <f t="shared" si="91"/>
        <v>7.8228070175438591E-2</v>
      </c>
    </row>
    <row r="5577" spans="39:45">
      <c r="AM5577" s="55">
        <v>2019</v>
      </c>
      <c r="AN5577" s="55" t="s">
        <v>189</v>
      </c>
      <c r="AO5577" s="55">
        <v>21</v>
      </c>
      <c r="AP5577" s="55">
        <v>7</v>
      </c>
      <c r="AQ5577" s="55">
        <v>9563.5</v>
      </c>
      <c r="AR5577" s="55">
        <v>28500</v>
      </c>
      <c r="AS5577" s="78">
        <f t="shared" si="91"/>
        <v>0.33556140350877195</v>
      </c>
    </row>
    <row r="5578" spans="39:45">
      <c r="AM5578" s="54">
        <v>2019</v>
      </c>
      <c r="AN5578" s="54" t="s">
        <v>189</v>
      </c>
      <c r="AO5578" s="54">
        <v>21</v>
      </c>
      <c r="AP5578" s="54">
        <v>8</v>
      </c>
      <c r="AQ5578" s="54">
        <v>15201</v>
      </c>
      <c r="AR5578" s="55">
        <v>28500</v>
      </c>
      <c r="AS5578" s="78">
        <f t="shared" si="91"/>
        <v>0.5333684210526316</v>
      </c>
    </row>
    <row r="5579" spans="39:45">
      <c r="AM5579" s="55">
        <v>2019</v>
      </c>
      <c r="AN5579" s="55" t="s">
        <v>189</v>
      </c>
      <c r="AO5579" s="55">
        <v>21</v>
      </c>
      <c r="AP5579" s="55">
        <v>9</v>
      </c>
      <c r="AQ5579" s="55">
        <v>23658.5</v>
      </c>
      <c r="AR5579" s="55">
        <v>28500</v>
      </c>
      <c r="AS5579" s="78">
        <f t="shared" si="91"/>
        <v>0.83012280701754382</v>
      </c>
    </row>
    <row r="5580" spans="39:45">
      <c r="AM5580" s="54">
        <v>2019</v>
      </c>
      <c r="AN5580" s="54" t="s">
        <v>189</v>
      </c>
      <c r="AO5580" s="54">
        <v>21</v>
      </c>
      <c r="AP5580" s="54">
        <v>10</v>
      </c>
      <c r="AQ5580" s="54">
        <v>30812.5</v>
      </c>
      <c r="AR5580" s="55">
        <v>28500</v>
      </c>
      <c r="AS5580" s="78">
        <f t="shared" si="91"/>
        <v>1.0811403508771931</v>
      </c>
    </row>
    <row r="5581" spans="39:45">
      <c r="AM5581" s="55">
        <v>2019</v>
      </c>
      <c r="AN5581" s="55" t="s">
        <v>189</v>
      </c>
      <c r="AO5581" s="55">
        <v>21</v>
      </c>
      <c r="AP5581" s="55">
        <v>11</v>
      </c>
      <c r="AQ5581" s="55">
        <v>33066</v>
      </c>
      <c r="AR5581" s="55">
        <v>28500</v>
      </c>
      <c r="AS5581" s="78">
        <f t="shared" si="91"/>
        <v>1.1602105263157896</v>
      </c>
    </row>
    <row r="5582" spans="39:45">
      <c r="AM5582" s="54">
        <v>2019</v>
      </c>
      <c r="AN5582" s="54" t="s">
        <v>189</v>
      </c>
      <c r="AO5582" s="54">
        <v>21</v>
      </c>
      <c r="AP5582" s="54">
        <v>12</v>
      </c>
      <c r="AQ5582" s="54">
        <v>29735</v>
      </c>
      <c r="AR5582" s="55">
        <v>28500</v>
      </c>
      <c r="AS5582" s="78">
        <f t="shared" si="91"/>
        <v>1.0433333333333332</v>
      </c>
    </row>
    <row r="5583" spans="39:45">
      <c r="AM5583" s="55">
        <v>2019</v>
      </c>
      <c r="AN5583" s="55" t="s">
        <v>189</v>
      </c>
      <c r="AO5583" s="55">
        <v>21</v>
      </c>
      <c r="AP5583" s="55">
        <v>13</v>
      </c>
      <c r="AQ5583" s="55">
        <v>21353.5</v>
      </c>
      <c r="AR5583" s="55">
        <v>28500</v>
      </c>
      <c r="AS5583" s="78">
        <f t="shared" si="91"/>
        <v>0.74924561403508771</v>
      </c>
    </row>
    <row r="5584" spans="39:45">
      <c r="AM5584" s="54">
        <v>2019</v>
      </c>
      <c r="AN5584" s="54" t="s">
        <v>189</v>
      </c>
      <c r="AO5584" s="54">
        <v>21</v>
      </c>
      <c r="AP5584" s="54">
        <v>14</v>
      </c>
      <c r="AQ5584" s="54">
        <v>26178</v>
      </c>
      <c r="AR5584" s="55">
        <v>28500</v>
      </c>
      <c r="AS5584" s="78">
        <f t="shared" si="91"/>
        <v>0.91852631578947364</v>
      </c>
    </row>
    <row r="5585" spans="39:45">
      <c r="AM5585" s="55">
        <v>2019</v>
      </c>
      <c r="AN5585" s="55" t="s">
        <v>189</v>
      </c>
      <c r="AO5585" s="55">
        <v>21</v>
      </c>
      <c r="AP5585" s="55">
        <v>15</v>
      </c>
      <c r="AQ5585" s="55">
        <v>21312</v>
      </c>
      <c r="AR5585" s="55">
        <v>28500</v>
      </c>
      <c r="AS5585" s="78">
        <f t="shared" si="91"/>
        <v>0.74778947368421056</v>
      </c>
    </row>
    <row r="5586" spans="39:45">
      <c r="AM5586" s="54">
        <v>2019</v>
      </c>
      <c r="AN5586" s="54" t="s">
        <v>189</v>
      </c>
      <c r="AO5586" s="54">
        <v>21</v>
      </c>
      <c r="AP5586" s="54">
        <v>16</v>
      </c>
      <c r="AQ5586" s="54">
        <v>17510.5</v>
      </c>
      <c r="AR5586" s="55">
        <v>28500</v>
      </c>
      <c r="AS5586" s="78">
        <f t="shared" si="91"/>
        <v>0.61440350877192984</v>
      </c>
    </row>
    <row r="5587" spans="39:45">
      <c r="AM5587" s="55">
        <v>2019</v>
      </c>
      <c r="AN5587" s="55" t="s">
        <v>189</v>
      </c>
      <c r="AO5587" s="55">
        <v>21</v>
      </c>
      <c r="AP5587" s="55">
        <v>17</v>
      </c>
      <c r="AQ5587" s="55">
        <v>8022.5</v>
      </c>
      <c r="AR5587" s="55">
        <v>28500</v>
      </c>
      <c r="AS5587" s="78">
        <f t="shared" si="91"/>
        <v>0.28149122807017546</v>
      </c>
    </row>
    <row r="5588" spans="39:45">
      <c r="AM5588" s="54">
        <v>2019</v>
      </c>
      <c r="AN5588" s="54" t="s">
        <v>189</v>
      </c>
      <c r="AO5588" s="54">
        <v>21</v>
      </c>
      <c r="AP5588" s="54">
        <v>18</v>
      </c>
      <c r="AQ5588" s="54">
        <v>882.5</v>
      </c>
      <c r="AR5588" s="55">
        <v>28500</v>
      </c>
      <c r="AS5588" s="78">
        <f t="shared" si="91"/>
        <v>3.0964912280701754E-2</v>
      </c>
    </row>
    <row r="5589" spans="39:45">
      <c r="AM5589" s="55">
        <v>2019</v>
      </c>
      <c r="AN5589" s="55" t="s">
        <v>189</v>
      </c>
      <c r="AO5589" s="55">
        <v>21</v>
      </c>
      <c r="AP5589" s="55">
        <v>19</v>
      </c>
      <c r="AQ5589" s="55">
        <v>0</v>
      </c>
      <c r="AR5589" s="55">
        <v>28500</v>
      </c>
      <c r="AS5589" s="78">
        <f t="shared" si="91"/>
        <v>0</v>
      </c>
    </row>
    <row r="5590" spans="39:45">
      <c r="AM5590" s="54">
        <v>2019</v>
      </c>
      <c r="AN5590" s="54" t="s">
        <v>189</v>
      </c>
      <c r="AO5590" s="54">
        <v>21</v>
      </c>
      <c r="AP5590" s="54">
        <v>20</v>
      </c>
      <c r="AQ5590" s="54">
        <v>0</v>
      </c>
      <c r="AR5590" s="55">
        <v>28500</v>
      </c>
      <c r="AS5590" s="78">
        <f t="shared" si="91"/>
        <v>0</v>
      </c>
    </row>
    <row r="5591" spans="39:45">
      <c r="AM5591" s="55">
        <v>2019</v>
      </c>
      <c r="AN5591" s="55" t="s">
        <v>189</v>
      </c>
      <c r="AO5591" s="55">
        <v>21</v>
      </c>
      <c r="AP5591" s="55">
        <v>21</v>
      </c>
      <c r="AQ5591" s="55">
        <v>0</v>
      </c>
      <c r="AR5591" s="55">
        <v>28500</v>
      </c>
      <c r="AS5591" s="78">
        <f t="shared" si="91"/>
        <v>0</v>
      </c>
    </row>
    <row r="5592" spans="39:45">
      <c r="AM5592" s="54">
        <v>2019</v>
      </c>
      <c r="AN5592" s="54" t="s">
        <v>189</v>
      </c>
      <c r="AO5592" s="54">
        <v>21</v>
      </c>
      <c r="AP5592" s="54">
        <v>22</v>
      </c>
      <c r="AQ5592" s="54">
        <v>0</v>
      </c>
      <c r="AR5592" s="55">
        <v>28500</v>
      </c>
      <c r="AS5592" s="78">
        <f t="shared" si="91"/>
        <v>0</v>
      </c>
    </row>
    <row r="5593" spans="39:45">
      <c r="AM5593" s="55">
        <v>2019</v>
      </c>
      <c r="AN5593" s="55" t="s">
        <v>189</v>
      </c>
      <c r="AO5593" s="55">
        <v>21</v>
      </c>
      <c r="AP5593" s="55">
        <v>23</v>
      </c>
      <c r="AQ5593" s="55">
        <v>0</v>
      </c>
      <c r="AR5593" s="55">
        <v>28500</v>
      </c>
      <c r="AS5593" s="78">
        <f t="shared" si="91"/>
        <v>0</v>
      </c>
    </row>
    <row r="5594" spans="39:45">
      <c r="AM5594" s="54">
        <v>2019</v>
      </c>
      <c r="AN5594" s="54" t="s">
        <v>189</v>
      </c>
      <c r="AO5594" s="54">
        <v>22</v>
      </c>
      <c r="AP5594" s="54">
        <v>24</v>
      </c>
      <c r="AQ5594" s="54">
        <v>0</v>
      </c>
      <c r="AR5594" s="55">
        <v>28500</v>
      </c>
      <c r="AS5594" s="78">
        <f t="shared" si="91"/>
        <v>0</v>
      </c>
    </row>
    <row r="5595" spans="39:45">
      <c r="AM5595" s="55">
        <v>2019</v>
      </c>
      <c r="AN5595" s="55" t="s">
        <v>189</v>
      </c>
      <c r="AO5595" s="55">
        <v>22</v>
      </c>
      <c r="AP5595" s="55">
        <v>1</v>
      </c>
      <c r="AQ5595" s="55">
        <v>0</v>
      </c>
      <c r="AR5595" s="55">
        <v>28500</v>
      </c>
      <c r="AS5595" s="78">
        <f t="shared" si="91"/>
        <v>0</v>
      </c>
    </row>
    <row r="5596" spans="39:45">
      <c r="AM5596" s="54">
        <v>2019</v>
      </c>
      <c r="AN5596" s="54" t="s">
        <v>189</v>
      </c>
      <c r="AO5596" s="54">
        <v>22</v>
      </c>
      <c r="AP5596" s="54">
        <v>2</v>
      </c>
      <c r="AQ5596" s="54">
        <v>0</v>
      </c>
      <c r="AR5596" s="55">
        <v>28500</v>
      </c>
      <c r="AS5596" s="78">
        <f t="shared" si="91"/>
        <v>0</v>
      </c>
    </row>
    <row r="5597" spans="39:45">
      <c r="AM5597" s="55">
        <v>2019</v>
      </c>
      <c r="AN5597" s="55" t="s">
        <v>189</v>
      </c>
      <c r="AO5597" s="55">
        <v>22</v>
      </c>
      <c r="AP5597" s="55">
        <v>3</v>
      </c>
      <c r="AQ5597" s="55">
        <v>0</v>
      </c>
      <c r="AR5597" s="55">
        <v>28500</v>
      </c>
      <c r="AS5597" s="78">
        <f t="shared" si="91"/>
        <v>0</v>
      </c>
    </row>
    <row r="5598" spans="39:45">
      <c r="AM5598" s="54">
        <v>2019</v>
      </c>
      <c r="AN5598" s="54" t="s">
        <v>189</v>
      </c>
      <c r="AO5598" s="54">
        <v>22</v>
      </c>
      <c r="AP5598" s="54">
        <v>4</v>
      </c>
      <c r="AQ5598" s="54">
        <v>0</v>
      </c>
      <c r="AR5598" s="55">
        <v>28500</v>
      </c>
      <c r="AS5598" s="78">
        <f t="shared" si="91"/>
        <v>0</v>
      </c>
    </row>
    <row r="5599" spans="39:45">
      <c r="AM5599" s="55">
        <v>2019</v>
      </c>
      <c r="AN5599" s="55" t="s">
        <v>189</v>
      </c>
      <c r="AO5599" s="55">
        <v>22</v>
      </c>
      <c r="AP5599" s="55">
        <v>5</v>
      </c>
      <c r="AQ5599" s="55">
        <v>0</v>
      </c>
      <c r="AR5599" s="55">
        <v>28500</v>
      </c>
      <c r="AS5599" s="78">
        <f t="shared" si="91"/>
        <v>0</v>
      </c>
    </row>
    <row r="5600" spans="39:45">
      <c r="AM5600" s="54">
        <v>2019</v>
      </c>
      <c r="AN5600" s="54" t="s">
        <v>189</v>
      </c>
      <c r="AO5600" s="54">
        <v>22</v>
      </c>
      <c r="AP5600" s="54">
        <v>6</v>
      </c>
      <c r="AQ5600" s="54">
        <v>1967</v>
      </c>
      <c r="AR5600" s="55">
        <v>28500</v>
      </c>
      <c r="AS5600" s="78">
        <f t="shared" si="91"/>
        <v>6.9017543859649116E-2</v>
      </c>
    </row>
    <row r="5601" spans="39:45">
      <c r="AM5601" s="55">
        <v>2019</v>
      </c>
      <c r="AN5601" s="55" t="s">
        <v>189</v>
      </c>
      <c r="AO5601" s="55">
        <v>22</v>
      </c>
      <c r="AP5601" s="55">
        <v>7</v>
      </c>
      <c r="AQ5601" s="55">
        <v>10707</v>
      </c>
      <c r="AR5601" s="55">
        <v>28500</v>
      </c>
      <c r="AS5601" s="78">
        <f t="shared" si="91"/>
        <v>0.37568421052631579</v>
      </c>
    </row>
    <row r="5602" spans="39:45">
      <c r="AM5602" s="54">
        <v>2019</v>
      </c>
      <c r="AN5602" s="54" t="s">
        <v>189</v>
      </c>
      <c r="AO5602" s="54">
        <v>22</v>
      </c>
      <c r="AP5602" s="54">
        <v>8</v>
      </c>
      <c r="AQ5602" s="54">
        <v>20659.5</v>
      </c>
      <c r="AR5602" s="55">
        <v>28500</v>
      </c>
      <c r="AS5602" s="78">
        <f t="shared" si="91"/>
        <v>0.72489473684210526</v>
      </c>
    </row>
    <row r="5603" spans="39:45">
      <c r="AM5603" s="55">
        <v>2019</v>
      </c>
      <c r="AN5603" s="55" t="s">
        <v>189</v>
      </c>
      <c r="AO5603" s="55">
        <v>22</v>
      </c>
      <c r="AP5603" s="55">
        <v>9</v>
      </c>
      <c r="AQ5603" s="55">
        <v>28962</v>
      </c>
      <c r="AR5603" s="55">
        <v>28500</v>
      </c>
      <c r="AS5603" s="78">
        <f t="shared" si="91"/>
        <v>1.0162105263157895</v>
      </c>
    </row>
    <row r="5604" spans="39:45">
      <c r="AM5604" s="54">
        <v>2019</v>
      </c>
      <c r="AN5604" s="54" t="s">
        <v>189</v>
      </c>
      <c r="AO5604" s="54">
        <v>22</v>
      </c>
      <c r="AP5604" s="54">
        <v>10</v>
      </c>
      <c r="AQ5604" s="54">
        <v>34930.5</v>
      </c>
      <c r="AR5604" s="55">
        <v>28500</v>
      </c>
      <c r="AS5604" s="78">
        <f t="shared" si="91"/>
        <v>1.2256315789473684</v>
      </c>
    </row>
    <row r="5605" spans="39:45">
      <c r="AM5605" s="55">
        <v>2019</v>
      </c>
      <c r="AN5605" s="55" t="s">
        <v>189</v>
      </c>
      <c r="AO5605" s="55">
        <v>22</v>
      </c>
      <c r="AP5605" s="55">
        <v>11</v>
      </c>
      <c r="AQ5605" s="55">
        <v>37605.5</v>
      </c>
      <c r="AR5605" s="55">
        <v>28500</v>
      </c>
      <c r="AS5605" s="78">
        <f t="shared" si="91"/>
        <v>1.3194912280701754</v>
      </c>
    </row>
    <row r="5606" spans="39:45">
      <c r="AM5606" s="54">
        <v>2019</v>
      </c>
      <c r="AN5606" s="54" t="s">
        <v>189</v>
      </c>
      <c r="AO5606" s="54">
        <v>22</v>
      </c>
      <c r="AP5606" s="54">
        <v>12</v>
      </c>
      <c r="AQ5606" s="54">
        <v>37894.5</v>
      </c>
      <c r="AR5606" s="55">
        <v>28500</v>
      </c>
      <c r="AS5606" s="78">
        <f t="shared" si="91"/>
        <v>1.3296315789473685</v>
      </c>
    </row>
    <row r="5607" spans="39:45">
      <c r="AM5607" s="55">
        <v>2019</v>
      </c>
      <c r="AN5607" s="55" t="s">
        <v>189</v>
      </c>
      <c r="AO5607" s="55">
        <v>22</v>
      </c>
      <c r="AP5607" s="55">
        <v>13</v>
      </c>
      <c r="AQ5607" s="55">
        <v>38812</v>
      </c>
      <c r="AR5607" s="55">
        <v>28500</v>
      </c>
      <c r="AS5607" s="78">
        <f t="shared" si="91"/>
        <v>1.3618245614035087</v>
      </c>
    </row>
    <row r="5608" spans="39:45">
      <c r="AM5608" s="54">
        <v>2019</v>
      </c>
      <c r="AN5608" s="54" t="s">
        <v>189</v>
      </c>
      <c r="AO5608" s="54">
        <v>22</v>
      </c>
      <c r="AP5608" s="54">
        <v>14</v>
      </c>
      <c r="AQ5608" s="54">
        <v>32253</v>
      </c>
      <c r="AR5608" s="55">
        <v>28500</v>
      </c>
      <c r="AS5608" s="78">
        <f t="shared" si="91"/>
        <v>1.1316842105263158</v>
      </c>
    </row>
    <row r="5609" spans="39:45">
      <c r="AM5609" s="55">
        <v>2019</v>
      </c>
      <c r="AN5609" s="55" t="s">
        <v>189</v>
      </c>
      <c r="AO5609" s="55">
        <v>22</v>
      </c>
      <c r="AP5609" s="55">
        <v>15</v>
      </c>
      <c r="AQ5609" s="55">
        <v>27160.5</v>
      </c>
      <c r="AR5609" s="55">
        <v>28500</v>
      </c>
      <c r="AS5609" s="78">
        <f t="shared" si="91"/>
        <v>0.95299999999999996</v>
      </c>
    </row>
    <row r="5610" spans="39:45">
      <c r="AM5610" s="54">
        <v>2019</v>
      </c>
      <c r="AN5610" s="54" t="s">
        <v>189</v>
      </c>
      <c r="AO5610" s="54">
        <v>22</v>
      </c>
      <c r="AP5610" s="54">
        <v>16</v>
      </c>
      <c r="AQ5610" s="54">
        <v>18603</v>
      </c>
      <c r="AR5610" s="55">
        <v>28500</v>
      </c>
      <c r="AS5610" s="78">
        <f t="shared" si="91"/>
        <v>0.65273684210526317</v>
      </c>
    </row>
    <row r="5611" spans="39:45">
      <c r="AM5611" s="55">
        <v>2019</v>
      </c>
      <c r="AN5611" s="55" t="s">
        <v>189</v>
      </c>
      <c r="AO5611" s="55">
        <v>22</v>
      </c>
      <c r="AP5611" s="55">
        <v>17</v>
      </c>
      <c r="AQ5611" s="55">
        <v>7737</v>
      </c>
      <c r="AR5611" s="55">
        <v>28500</v>
      </c>
      <c r="AS5611" s="78">
        <f t="shared" si="91"/>
        <v>0.27147368421052631</v>
      </c>
    </row>
    <row r="5612" spans="39:45">
      <c r="AM5612" s="54">
        <v>2019</v>
      </c>
      <c r="AN5612" s="54" t="s">
        <v>189</v>
      </c>
      <c r="AO5612" s="54">
        <v>22</v>
      </c>
      <c r="AP5612" s="54">
        <v>18</v>
      </c>
      <c r="AQ5612" s="54">
        <v>857.5</v>
      </c>
      <c r="AR5612" s="55">
        <v>28500</v>
      </c>
      <c r="AS5612" s="78">
        <f t="shared" si="91"/>
        <v>3.0087719298245615E-2</v>
      </c>
    </row>
    <row r="5613" spans="39:45">
      <c r="AM5613" s="55">
        <v>2019</v>
      </c>
      <c r="AN5613" s="55" t="s">
        <v>189</v>
      </c>
      <c r="AO5613" s="55">
        <v>22</v>
      </c>
      <c r="AP5613" s="55">
        <v>19</v>
      </c>
      <c r="AQ5613" s="55">
        <v>0</v>
      </c>
      <c r="AR5613" s="55">
        <v>28500</v>
      </c>
      <c r="AS5613" s="78">
        <f t="shared" si="91"/>
        <v>0</v>
      </c>
    </row>
    <row r="5614" spans="39:45">
      <c r="AM5614" s="54">
        <v>2019</v>
      </c>
      <c r="AN5614" s="54" t="s">
        <v>189</v>
      </c>
      <c r="AO5614" s="54">
        <v>22</v>
      </c>
      <c r="AP5614" s="54">
        <v>20</v>
      </c>
      <c r="AQ5614" s="54">
        <v>0</v>
      </c>
      <c r="AR5614" s="55">
        <v>28500</v>
      </c>
      <c r="AS5614" s="78">
        <f t="shared" si="91"/>
        <v>0</v>
      </c>
    </row>
    <row r="5615" spans="39:45">
      <c r="AM5615" s="55">
        <v>2019</v>
      </c>
      <c r="AN5615" s="55" t="s">
        <v>189</v>
      </c>
      <c r="AO5615" s="55">
        <v>22</v>
      </c>
      <c r="AP5615" s="55">
        <v>21</v>
      </c>
      <c r="AQ5615" s="55">
        <v>0</v>
      </c>
      <c r="AR5615" s="55">
        <v>28500</v>
      </c>
      <c r="AS5615" s="78">
        <f t="shared" si="91"/>
        <v>0</v>
      </c>
    </row>
    <row r="5616" spans="39:45">
      <c r="AM5616" s="54">
        <v>2019</v>
      </c>
      <c r="AN5616" s="54" t="s">
        <v>189</v>
      </c>
      <c r="AO5616" s="54">
        <v>22</v>
      </c>
      <c r="AP5616" s="54">
        <v>22</v>
      </c>
      <c r="AQ5616" s="54">
        <v>0</v>
      </c>
      <c r="AR5616" s="55">
        <v>28500</v>
      </c>
      <c r="AS5616" s="78">
        <f t="shared" si="91"/>
        <v>0</v>
      </c>
    </row>
    <row r="5617" spans="39:45">
      <c r="AM5617" s="55">
        <v>2019</v>
      </c>
      <c r="AN5617" s="55" t="s">
        <v>189</v>
      </c>
      <c r="AO5617" s="55">
        <v>22</v>
      </c>
      <c r="AP5617" s="55">
        <v>23</v>
      </c>
      <c r="AQ5617" s="55">
        <v>0</v>
      </c>
      <c r="AR5617" s="55">
        <v>28500</v>
      </c>
      <c r="AS5617" s="78">
        <f t="shared" si="91"/>
        <v>0</v>
      </c>
    </row>
    <row r="5618" spans="39:45">
      <c r="AM5618" s="54">
        <v>2019</v>
      </c>
      <c r="AN5618" s="54" t="s">
        <v>189</v>
      </c>
      <c r="AO5618" s="54">
        <v>23</v>
      </c>
      <c r="AP5618" s="54">
        <v>24</v>
      </c>
      <c r="AQ5618" s="54">
        <v>0</v>
      </c>
      <c r="AR5618" s="55">
        <v>28500</v>
      </c>
      <c r="AS5618" s="78">
        <f t="shared" si="91"/>
        <v>0</v>
      </c>
    </row>
    <row r="5619" spans="39:45">
      <c r="AM5619" s="55">
        <v>2019</v>
      </c>
      <c r="AN5619" s="55" t="s">
        <v>189</v>
      </c>
      <c r="AO5619" s="55">
        <v>23</v>
      </c>
      <c r="AP5619" s="55">
        <v>1</v>
      </c>
      <c r="AQ5619" s="55">
        <v>0</v>
      </c>
      <c r="AR5619" s="55">
        <v>28500</v>
      </c>
      <c r="AS5619" s="78">
        <f t="shared" si="91"/>
        <v>0</v>
      </c>
    </row>
    <row r="5620" spans="39:45">
      <c r="AM5620" s="54">
        <v>2019</v>
      </c>
      <c r="AN5620" s="54" t="s">
        <v>189</v>
      </c>
      <c r="AO5620" s="54">
        <v>23</v>
      </c>
      <c r="AP5620" s="54">
        <v>2</v>
      </c>
      <c r="AQ5620" s="54">
        <v>0</v>
      </c>
      <c r="AR5620" s="55">
        <v>28500</v>
      </c>
      <c r="AS5620" s="78">
        <f t="shared" si="91"/>
        <v>0</v>
      </c>
    </row>
    <row r="5621" spans="39:45">
      <c r="AM5621" s="55">
        <v>2019</v>
      </c>
      <c r="AN5621" s="55" t="s">
        <v>189</v>
      </c>
      <c r="AO5621" s="55">
        <v>23</v>
      </c>
      <c r="AP5621" s="55">
        <v>3</v>
      </c>
      <c r="AQ5621" s="55">
        <v>0</v>
      </c>
      <c r="AR5621" s="55">
        <v>28500</v>
      </c>
      <c r="AS5621" s="78">
        <f t="shared" si="91"/>
        <v>0</v>
      </c>
    </row>
    <row r="5622" spans="39:45">
      <c r="AM5622" s="54">
        <v>2019</v>
      </c>
      <c r="AN5622" s="54" t="s">
        <v>189</v>
      </c>
      <c r="AO5622" s="54">
        <v>23</v>
      </c>
      <c r="AP5622" s="54">
        <v>4</v>
      </c>
      <c r="AQ5622" s="54">
        <v>0</v>
      </c>
      <c r="AR5622" s="55">
        <v>28500</v>
      </c>
      <c r="AS5622" s="78">
        <f t="shared" si="91"/>
        <v>0</v>
      </c>
    </row>
    <row r="5623" spans="39:45">
      <c r="AM5623" s="55">
        <v>2019</v>
      </c>
      <c r="AN5623" s="55" t="s">
        <v>189</v>
      </c>
      <c r="AO5623" s="55">
        <v>23</v>
      </c>
      <c r="AP5623" s="55">
        <v>5</v>
      </c>
      <c r="AQ5623" s="55">
        <v>0</v>
      </c>
      <c r="AR5623" s="55">
        <v>28500</v>
      </c>
      <c r="AS5623" s="78">
        <f t="shared" si="91"/>
        <v>0</v>
      </c>
    </row>
    <row r="5624" spans="39:45">
      <c r="AM5624" s="54">
        <v>2019</v>
      </c>
      <c r="AN5624" s="54" t="s">
        <v>189</v>
      </c>
      <c r="AO5624" s="54">
        <v>23</v>
      </c>
      <c r="AP5624" s="54">
        <v>6</v>
      </c>
      <c r="AQ5624" s="54">
        <v>2108.5</v>
      </c>
      <c r="AR5624" s="55">
        <v>28500</v>
      </c>
      <c r="AS5624" s="78">
        <f t="shared" si="91"/>
        <v>7.3982456140350872E-2</v>
      </c>
    </row>
    <row r="5625" spans="39:45">
      <c r="AM5625" s="55">
        <v>2019</v>
      </c>
      <c r="AN5625" s="55" t="s">
        <v>189</v>
      </c>
      <c r="AO5625" s="55">
        <v>23</v>
      </c>
      <c r="AP5625" s="55">
        <v>7</v>
      </c>
      <c r="AQ5625" s="55">
        <v>8002.5</v>
      </c>
      <c r="AR5625" s="55">
        <v>28500</v>
      </c>
      <c r="AS5625" s="78">
        <f t="shared" si="91"/>
        <v>0.28078947368421053</v>
      </c>
    </row>
    <row r="5626" spans="39:45">
      <c r="AM5626" s="54">
        <v>2019</v>
      </c>
      <c r="AN5626" s="54" t="s">
        <v>189</v>
      </c>
      <c r="AO5626" s="54">
        <v>23</v>
      </c>
      <c r="AP5626" s="54">
        <v>8</v>
      </c>
      <c r="AQ5626" s="54">
        <v>17410</v>
      </c>
      <c r="AR5626" s="55">
        <v>28500</v>
      </c>
      <c r="AS5626" s="78">
        <f t="shared" si="91"/>
        <v>0.61087719298245613</v>
      </c>
    </row>
    <row r="5627" spans="39:45">
      <c r="AM5627" s="55">
        <v>2019</v>
      </c>
      <c r="AN5627" s="55" t="s">
        <v>189</v>
      </c>
      <c r="AO5627" s="55">
        <v>23</v>
      </c>
      <c r="AP5627" s="55">
        <v>9</v>
      </c>
      <c r="AQ5627" s="55">
        <v>27617</v>
      </c>
      <c r="AR5627" s="55">
        <v>28500</v>
      </c>
      <c r="AS5627" s="78">
        <f t="shared" si="91"/>
        <v>0.96901754385964911</v>
      </c>
    </row>
    <row r="5628" spans="39:45">
      <c r="AM5628" s="54">
        <v>2019</v>
      </c>
      <c r="AN5628" s="54" t="s">
        <v>189</v>
      </c>
      <c r="AO5628" s="54">
        <v>23</v>
      </c>
      <c r="AP5628" s="54">
        <v>10</v>
      </c>
      <c r="AQ5628" s="54">
        <v>29381</v>
      </c>
      <c r="AR5628" s="55">
        <v>28500</v>
      </c>
      <c r="AS5628" s="78">
        <f t="shared" si="91"/>
        <v>1.0309122807017543</v>
      </c>
    </row>
    <row r="5629" spans="39:45">
      <c r="AM5629" s="55">
        <v>2019</v>
      </c>
      <c r="AN5629" s="55" t="s">
        <v>189</v>
      </c>
      <c r="AO5629" s="55">
        <v>23</v>
      </c>
      <c r="AP5629" s="55">
        <v>11</v>
      </c>
      <c r="AQ5629" s="55">
        <v>36294</v>
      </c>
      <c r="AR5629" s="55">
        <v>28500</v>
      </c>
      <c r="AS5629" s="78">
        <f t="shared" si="91"/>
        <v>1.2734736842105263</v>
      </c>
    </row>
    <row r="5630" spans="39:45">
      <c r="AM5630" s="54">
        <v>2019</v>
      </c>
      <c r="AN5630" s="54" t="s">
        <v>189</v>
      </c>
      <c r="AO5630" s="54">
        <v>23</v>
      </c>
      <c r="AP5630" s="54">
        <v>12</v>
      </c>
      <c r="AQ5630" s="54">
        <v>36746</v>
      </c>
      <c r="AR5630" s="55">
        <v>28500</v>
      </c>
      <c r="AS5630" s="78">
        <f t="shared" si="91"/>
        <v>1.2893333333333334</v>
      </c>
    </row>
    <row r="5631" spans="39:45">
      <c r="AM5631" s="55">
        <v>2019</v>
      </c>
      <c r="AN5631" s="55" t="s">
        <v>189</v>
      </c>
      <c r="AO5631" s="55">
        <v>23</v>
      </c>
      <c r="AP5631" s="55">
        <v>13</v>
      </c>
      <c r="AQ5631" s="55">
        <v>35994</v>
      </c>
      <c r="AR5631" s="55">
        <v>28500</v>
      </c>
      <c r="AS5631" s="78">
        <f t="shared" si="91"/>
        <v>1.2629473684210526</v>
      </c>
    </row>
    <row r="5632" spans="39:45">
      <c r="AM5632" s="54">
        <v>2019</v>
      </c>
      <c r="AN5632" s="54" t="s">
        <v>189</v>
      </c>
      <c r="AO5632" s="54">
        <v>23</v>
      </c>
      <c r="AP5632" s="54">
        <v>14</v>
      </c>
      <c r="AQ5632" s="54">
        <v>32304.5</v>
      </c>
      <c r="AR5632" s="55">
        <v>28500</v>
      </c>
      <c r="AS5632" s="78">
        <f t="shared" si="91"/>
        <v>1.1334912280701754</v>
      </c>
    </row>
    <row r="5633" spans="39:45">
      <c r="AM5633" s="55">
        <v>2019</v>
      </c>
      <c r="AN5633" s="55" t="s">
        <v>189</v>
      </c>
      <c r="AO5633" s="55">
        <v>23</v>
      </c>
      <c r="AP5633" s="55">
        <v>15</v>
      </c>
      <c r="AQ5633" s="55">
        <v>24812</v>
      </c>
      <c r="AR5633" s="55">
        <v>28500</v>
      </c>
      <c r="AS5633" s="78">
        <f t="shared" si="91"/>
        <v>0.87059649122807015</v>
      </c>
    </row>
    <row r="5634" spans="39:45">
      <c r="AM5634" s="54">
        <v>2019</v>
      </c>
      <c r="AN5634" s="54" t="s">
        <v>189</v>
      </c>
      <c r="AO5634" s="54">
        <v>23</v>
      </c>
      <c r="AP5634" s="54">
        <v>16</v>
      </c>
      <c r="AQ5634" s="54">
        <v>18034</v>
      </c>
      <c r="AR5634" s="55">
        <v>28500</v>
      </c>
      <c r="AS5634" s="78">
        <f t="shared" ref="AS5634:AS5697" si="92">AQ5634/AR5634</f>
        <v>0.63277192982456143</v>
      </c>
    </row>
    <row r="5635" spans="39:45">
      <c r="AM5635" s="55">
        <v>2019</v>
      </c>
      <c r="AN5635" s="55" t="s">
        <v>189</v>
      </c>
      <c r="AO5635" s="55">
        <v>23</v>
      </c>
      <c r="AP5635" s="55">
        <v>17</v>
      </c>
      <c r="AQ5635" s="55">
        <v>7385.5</v>
      </c>
      <c r="AR5635" s="55">
        <v>28500</v>
      </c>
      <c r="AS5635" s="78">
        <f t="shared" si="92"/>
        <v>0.259140350877193</v>
      </c>
    </row>
    <row r="5636" spans="39:45">
      <c r="AM5636" s="54">
        <v>2019</v>
      </c>
      <c r="AN5636" s="54" t="s">
        <v>189</v>
      </c>
      <c r="AO5636" s="54">
        <v>23</v>
      </c>
      <c r="AP5636" s="54">
        <v>18</v>
      </c>
      <c r="AQ5636" s="54">
        <v>869</v>
      </c>
      <c r="AR5636" s="55">
        <v>28500</v>
      </c>
      <c r="AS5636" s="78">
        <f t="shared" si="92"/>
        <v>3.0491228070175437E-2</v>
      </c>
    </row>
    <row r="5637" spans="39:45">
      <c r="AM5637" s="55">
        <v>2019</v>
      </c>
      <c r="AN5637" s="55" t="s">
        <v>189</v>
      </c>
      <c r="AO5637" s="55">
        <v>23</v>
      </c>
      <c r="AP5637" s="55">
        <v>19</v>
      </c>
      <c r="AQ5637" s="55">
        <v>0</v>
      </c>
      <c r="AR5637" s="55">
        <v>28500</v>
      </c>
      <c r="AS5637" s="78">
        <f t="shared" si="92"/>
        <v>0</v>
      </c>
    </row>
    <row r="5638" spans="39:45">
      <c r="AM5638" s="54">
        <v>2019</v>
      </c>
      <c r="AN5638" s="54" t="s">
        <v>189</v>
      </c>
      <c r="AO5638" s="54">
        <v>23</v>
      </c>
      <c r="AP5638" s="54">
        <v>20</v>
      </c>
      <c r="AQ5638" s="54">
        <v>0</v>
      </c>
      <c r="AR5638" s="55">
        <v>28500</v>
      </c>
      <c r="AS5638" s="78">
        <f t="shared" si="92"/>
        <v>0</v>
      </c>
    </row>
    <row r="5639" spans="39:45">
      <c r="AM5639" s="55">
        <v>2019</v>
      </c>
      <c r="AN5639" s="55" t="s">
        <v>189</v>
      </c>
      <c r="AO5639" s="55">
        <v>23</v>
      </c>
      <c r="AP5639" s="55">
        <v>21</v>
      </c>
      <c r="AQ5639" s="55">
        <v>0</v>
      </c>
      <c r="AR5639" s="55">
        <v>28500</v>
      </c>
      <c r="AS5639" s="78">
        <f t="shared" si="92"/>
        <v>0</v>
      </c>
    </row>
    <row r="5640" spans="39:45">
      <c r="AM5640" s="54">
        <v>2019</v>
      </c>
      <c r="AN5640" s="54" t="s">
        <v>189</v>
      </c>
      <c r="AO5640" s="54">
        <v>23</v>
      </c>
      <c r="AP5640" s="54">
        <v>22</v>
      </c>
      <c r="AQ5640" s="54">
        <v>0</v>
      </c>
      <c r="AR5640" s="55">
        <v>28500</v>
      </c>
      <c r="AS5640" s="78">
        <f t="shared" si="92"/>
        <v>0</v>
      </c>
    </row>
    <row r="5641" spans="39:45">
      <c r="AM5641" s="55">
        <v>2019</v>
      </c>
      <c r="AN5641" s="55" t="s">
        <v>189</v>
      </c>
      <c r="AO5641" s="55">
        <v>23</v>
      </c>
      <c r="AP5641" s="55">
        <v>23</v>
      </c>
      <c r="AQ5641" s="55">
        <v>0</v>
      </c>
      <c r="AR5641" s="55">
        <v>28500</v>
      </c>
      <c r="AS5641" s="78">
        <f t="shared" si="92"/>
        <v>0</v>
      </c>
    </row>
    <row r="5642" spans="39:45">
      <c r="AM5642" s="54">
        <v>2019</v>
      </c>
      <c r="AN5642" s="54" t="s">
        <v>189</v>
      </c>
      <c r="AO5642" s="54">
        <v>24</v>
      </c>
      <c r="AP5642" s="54">
        <v>24</v>
      </c>
      <c r="AQ5642" s="54">
        <v>0</v>
      </c>
      <c r="AR5642" s="55">
        <v>28500</v>
      </c>
      <c r="AS5642" s="78">
        <f t="shared" si="92"/>
        <v>0</v>
      </c>
    </row>
    <row r="5643" spans="39:45">
      <c r="AM5643" s="55">
        <v>2019</v>
      </c>
      <c r="AN5643" s="55" t="s">
        <v>189</v>
      </c>
      <c r="AO5643" s="55">
        <v>24</v>
      </c>
      <c r="AP5643" s="55">
        <v>1</v>
      </c>
      <c r="AQ5643" s="55">
        <v>0</v>
      </c>
      <c r="AR5643" s="55">
        <v>28500</v>
      </c>
      <c r="AS5643" s="78">
        <f t="shared" si="92"/>
        <v>0</v>
      </c>
    </row>
    <row r="5644" spans="39:45">
      <c r="AM5644" s="54">
        <v>2019</v>
      </c>
      <c r="AN5644" s="54" t="s">
        <v>189</v>
      </c>
      <c r="AO5644" s="54">
        <v>24</v>
      </c>
      <c r="AP5644" s="54">
        <v>2</v>
      </c>
      <c r="AQ5644" s="54">
        <v>0</v>
      </c>
      <c r="AR5644" s="55">
        <v>28500</v>
      </c>
      <c r="AS5644" s="78">
        <f t="shared" si="92"/>
        <v>0</v>
      </c>
    </row>
    <row r="5645" spans="39:45">
      <c r="AM5645" s="55">
        <v>2019</v>
      </c>
      <c r="AN5645" s="55" t="s">
        <v>189</v>
      </c>
      <c r="AO5645" s="55">
        <v>24</v>
      </c>
      <c r="AP5645" s="55">
        <v>3</v>
      </c>
      <c r="AQ5645" s="55">
        <v>0</v>
      </c>
      <c r="AR5645" s="55">
        <v>28500</v>
      </c>
      <c r="AS5645" s="78">
        <f t="shared" si="92"/>
        <v>0</v>
      </c>
    </row>
    <row r="5646" spans="39:45">
      <c r="AM5646" s="54">
        <v>2019</v>
      </c>
      <c r="AN5646" s="54" t="s">
        <v>189</v>
      </c>
      <c r="AO5646" s="54">
        <v>24</v>
      </c>
      <c r="AP5646" s="54">
        <v>4</v>
      </c>
      <c r="AQ5646" s="54">
        <v>0</v>
      </c>
      <c r="AR5646" s="55">
        <v>28500</v>
      </c>
      <c r="AS5646" s="78">
        <f t="shared" si="92"/>
        <v>0</v>
      </c>
    </row>
    <row r="5647" spans="39:45">
      <c r="AM5647" s="55">
        <v>2019</v>
      </c>
      <c r="AN5647" s="55" t="s">
        <v>189</v>
      </c>
      <c r="AO5647" s="55">
        <v>24</v>
      </c>
      <c r="AP5647" s="55">
        <v>5</v>
      </c>
      <c r="AQ5647" s="55">
        <v>0</v>
      </c>
      <c r="AR5647" s="55">
        <v>28500</v>
      </c>
      <c r="AS5647" s="78">
        <f t="shared" si="92"/>
        <v>0</v>
      </c>
    </row>
    <row r="5648" spans="39:45">
      <c r="AM5648" s="54">
        <v>2019</v>
      </c>
      <c r="AN5648" s="54" t="s">
        <v>189</v>
      </c>
      <c r="AO5648" s="54">
        <v>24</v>
      </c>
      <c r="AP5648" s="54">
        <v>6</v>
      </c>
      <c r="AQ5648" s="54">
        <v>2183.5</v>
      </c>
      <c r="AR5648" s="55">
        <v>28500</v>
      </c>
      <c r="AS5648" s="78">
        <f t="shared" si="92"/>
        <v>7.6614035087719301E-2</v>
      </c>
    </row>
    <row r="5649" spans="39:45">
      <c r="AM5649" s="55">
        <v>2019</v>
      </c>
      <c r="AN5649" s="55" t="s">
        <v>189</v>
      </c>
      <c r="AO5649" s="55">
        <v>24</v>
      </c>
      <c r="AP5649" s="55">
        <v>7</v>
      </c>
      <c r="AQ5649" s="55">
        <v>8589</v>
      </c>
      <c r="AR5649" s="55">
        <v>28500</v>
      </c>
      <c r="AS5649" s="78">
        <f t="shared" si="92"/>
        <v>0.30136842105263156</v>
      </c>
    </row>
    <row r="5650" spans="39:45">
      <c r="AM5650" s="54">
        <v>2019</v>
      </c>
      <c r="AN5650" s="54" t="s">
        <v>189</v>
      </c>
      <c r="AO5650" s="54">
        <v>24</v>
      </c>
      <c r="AP5650" s="54">
        <v>8</v>
      </c>
      <c r="AQ5650" s="54">
        <v>17571.5</v>
      </c>
      <c r="AR5650" s="55">
        <v>28500</v>
      </c>
      <c r="AS5650" s="78">
        <f t="shared" si="92"/>
        <v>0.61654385964912284</v>
      </c>
    </row>
    <row r="5651" spans="39:45">
      <c r="AM5651" s="55">
        <v>2019</v>
      </c>
      <c r="AN5651" s="55" t="s">
        <v>189</v>
      </c>
      <c r="AO5651" s="55">
        <v>24</v>
      </c>
      <c r="AP5651" s="55">
        <v>9</v>
      </c>
      <c r="AQ5651" s="55">
        <v>23303.5</v>
      </c>
      <c r="AR5651" s="55">
        <v>28500</v>
      </c>
      <c r="AS5651" s="78">
        <f t="shared" si="92"/>
        <v>0.81766666666666665</v>
      </c>
    </row>
    <row r="5652" spans="39:45">
      <c r="AM5652" s="54">
        <v>2019</v>
      </c>
      <c r="AN5652" s="54" t="s">
        <v>189</v>
      </c>
      <c r="AO5652" s="54">
        <v>24</v>
      </c>
      <c r="AP5652" s="54">
        <v>10</v>
      </c>
      <c r="AQ5652" s="54">
        <v>31760.5</v>
      </c>
      <c r="AR5652" s="55">
        <v>28500</v>
      </c>
      <c r="AS5652" s="78">
        <f t="shared" si="92"/>
        <v>1.1144035087719297</v>
      </c>
    </row>
    <row r="5653" spans="39:45">
      <c r="AM5653" s="55">
        <v>2019</v>
      </c>
      <c r="AN5653" s="55" t="s">
        <v>189</v>
      </c>
      <c r="AO5653" s="55">
        <v>24</v>
      </c>
      <c r="AP5653" s="55">
        <v>11</v>
      </c>
      <c r="AQ5653" s="55">
        <v>37034</v>
      </c>
      <c r="AR5653" s="55">
        <v>28500</v>
      </c>
      <c r="AS5653" s="78">
        <f t="shared" si="92"/>
        <v>1.2994385964912281</v>
      </c>
    </row>
    <row r="5654" spans="39:45">
      <c r="AM5654" s="54">
        <v>2019</v>
      </c>
      <c r="AN5654" s="54" t="s">
        <v>189</v>
      </c>
      <c r="AO5654" s="54">
        <v>24</v>
      </c>
      <c r="AP5654" s="54">
        <v>12</v>
      </c>
      <c r="AQ5654" s="54">
        <v>37354.5</v>
      </c>
      <c r="AR5654" s="55">
        <v>28500</v>
      </c>
      <c r="AS5654" s="78">
        <f t="shared" si="92"/>
        <v>1.3106842105263159</v>
      </c>
    </row>
    <row r="5655" spans="39:45">
      <c r="AM5655" s="55">
        <v>2019</v>
      </c>
      <c r="AN5655" s="55" t="s">
        <v>189</v>
      </c>
      <c r="AO5655" s="55">
        <v>24</v>
      </c>
      <c r="AP5655" s="55">
        <v>13</v>
      </c>
      <c r="AQ5655" s="55">
        <v>37345.5</v>
      </c>
      <c r="AR5655" s="55">
        <v>28500</v>
      </c>
      <c r="AS5655" s="78">
        <f t="shared" si="92"/>
        <v>1.3103684210526316</v>
      </c>
    </row>
    <row r="5656" spans="39:45">
      <c r="AM5656" s="54">
        <v>2019</v>
      </c>
      <c r="AN5656" s="54" t="s">
        <v>189</v>
      </c>
      <c r="AO5656" s="54">
        <v>24</v>
      </c>
      <c r="AP5656" s="54">
        <v>14</v>
      </c>
      <c r="AQ5656" s="54">
        <v>29115</v>
      </c>
      <c r="AR5656" s="55">
        <v>28500</v>
      </c>
      <c r="AS5656" s="78">
        <f t="shared" si="92"/>
        <v>1.0215789473684211</v>
      </c>
    </row>
    <row r="5657" spans="39:45">
      <c r="AM5657" s="55">
        <v>2019</v>
      </c>
      <c r="AN5657" s="55" t="s">
        <v>189</v>
      </c>
      <c r="AO5657" s="55">
        <v>24</v>
      </c>
      <c r="AP5657" s="55">
        <v>15</v>
      </c>
      <c r="AQ5657" s="55">
        <v>19591.5</v>
      </c>
      <c r="AR5657" s="55">
        <v>28500</v>
      </c>
      <c r="AS5657" s="78">
        <f t="shared" si="92"/>
        <v>0.68742105263157893</v>
      </c>
    </row>
    <row r="5658" spans="39:45">
      <c r="AM5658" s="54">
        <v>2019</v>
      </c>
      <c r="AN5658" s="54" t="s">
        <v>189</v>
      </c>
      <c r="AO5658" s="54">
        <v>24</v>
      </c>
      <c r="AP5658" s="54">
        <v>16</v>
      </c>
      <c r="AQ5658" s="54">
        <v>11349</v>
      </c>
      <c r="AR5658" s="55">
        <v>28500</v>
      </c>
      <c r="AS5658" s="78">
        <f t="shared" si="92"/>
        <v>0.39821052631578946</v>
      </c>
    </row>
    <row r="5659" spans="39:45">
      <c r="AM5659" s="55">
        <v>2019</v>
      </c>
      <c r="AN5659" s="55" t="s">
        <v>189</v>
      </c>
      <c r="AO5659" s="55">
        <v>24</v>
      </c>
      <c r="AP5659" s="55">
        <v>17</v>
      </c>
      <c r="AQ5659" s="55">
        <v>5670.5</v>
      </c>
      <c r="AR5659" s="55">
        <v>28500</v>
      </c>
      <c r="AS5659" s="78">
        <f t="shared" si="92"/>
        <v>0.19896491228070176</v>
      </c>
    </row>
    <row r="5660" spans="39:45">
      <c r="AM5660" s="54">
        <v>2019</v>
      </c>
      <c r="AN5660" s="54" t="s">
        <v>189</v>
      </c>
      <c r="AO5660" s="54">
        <v>24</v>
      </c>
      <c r="AP5660" s="54">
        <v>18</v>
      </c>
      <c r="AQ5660" s="54">
        <v>1141</v>
      </c>
      <c r="AR5660" s="55">
        <v>28500</v>
      </c>
      <c r="AS5660" s="78">
        <f t="shared" si="92"/>
        <v>4.0035087719298243E-2</v>
      </c>
    </row>
    <row r="5661" spans="39:45">
      <c r="AM5661" s="55">
        <v>2019</v>
      </c>
      <c r="AN5661" s="55" t="s">
        <v>189</v>
      </c>
      <c r="AO5661" s="55">
        <v>24</v>
      </c>
      <c r="AP5661" s="55">
        <v>19</v>
      </c>
      <c r="AQ5661" s="55">
        <v>0</v>
      </c>
      <c r="AR5661" s="55">
        <v>28500</v>
      </c>
      <c r="AS5661" s="78">
        <f t="shared" si="92"/>
        <v>0</v>
      </c>
    </row>
    <row r="5662" spans="39:45">
      <c r="AM5662" s="54">
        <v>2019</v>
      </c>
      <c r="AN5662" s="54" t="s">
        <v>189</v>
      </c>
      <c r="AO5662" s="54">
        <v>24</v>
      </c>
      <c r="AP5662" s="54">
        <v>20</v>
      </c>
      <c r="AQ5662" s="54">
        <v>0</v>
      </c>
      <c r="AR5662" s="55">
        <v>28500</v>
      </c>
      <c r="AS5662" s="78">
        <f t="shared" si="92"/>
        <v>0</v>
      </c>
    </row>
    <row r="5663" spans="39:45">
      <c r="AM5663" s="55">
        <v>2019</v>
      </c>
      <c r="AN5663" s="55" t="s">
        <v>189</v>
      </c>
      <c r="AO5663" s="55">
        <v>24</v>
      </c>
      <c r="AP5663" s="55">
        <v>21</v>
      </c>
      <c r="AQ5663" s="55">
        <v>0</v>
      </c>
      <c r="AR5663" s="55">
        <v>28500</v>
      </c>
      <c r="AS5663" s="78">
        <f t="shared" si="92"/>
        <v>0</v>
      </c>
    </row>
    <row r="5664" spans="39:45">
      <c r="AM5664" s="54">
        <v>2019</v>
      </c>
      <c r="AN5664" s="54" t="s">
        <v>189</v>
      </c>
      <c r="AO5664" s="54">
        <v>24</v>
      </c>
      <c r="AP5664" s="54">
        <v>22</v>
      </c>
      <c r="AQ5664" s="54">
        <v>0</v>
      </c>
      <c r="AR5664" s="55">
        <v>28500</v>
      </c>
      <c r="AS5664" s="78">
        <f t="shared" si="92"/>
        <v>0</v>
      </c>
    </row>
    <row r="5665" spans="39:45">
      <c r="AM5665" s="55">
        <v>2019</v>
      </c>
      <c r="AN5665" s="55" t="s">
        <v>189</v>
      </c>
      <c r="AO5665" s="55">
        <v>24</v>
      </c>
      <c r="AP5665" s="55">
        <v>23</v>
      </c>
      <c r="AQ5665" s="55">
        <v>0</v>
      </c>
      <c r="AR5665" s="55">
        <v>28500</v>
      </c>
      <c r="AS5665" s="78">
        <f t="shared" si="92"/>
        <v>0</v>
      </c>
    </row>
    <row r="5666" spans="39:45">
      <c r="AM5666" s="54">
        <v>2019</v>
      </c>
      <c r="AN5666" s="54" t="s">
        <v>189</v>
      </c>
      <c r="AO5666" s="54">
        <v>25</v>
      </c>
      <c r="AP5666" s="54">
        <v>24</v>
      </c>
      <c r="AQ5666" s="54">
        <v>0</v>
      </c>
      <c r="AR5666" s="55">
        <v>28500</v>
      </c>
      <c r="AS5666" s="78">
        <f t="shared" si="92"/>
        <v>0</v>
      </c>
    </row>
    <row r="5667" spans="39:45">
      <c r="AM5667" s="55">
        <v>2019</v>
      </c>
      <c r="AN5667" s="55" t="s">
        <v>189</v>
      </c>
      <c r="AO5667" s="55">
        <v>25</v>
      </c>
      <c r="AP5667" s="55">
        <v>1</v>
      </c>
      <c r="AQ5667" s="55">
        <v>0</v>
      </c>
      <c r="AR5667" s="55">
        <v>28500</v>
      </c>
      <c r="AS5667" s="78">
        <f t="shared" si="92"/>
        <v>0</v>
      </c>
    </row>
    <row r="5668" spans="39:45">
      <c r="AM5668" s="54">
        <v>2019</v>
      </c>
      <c r="AN5668" s="54" t="s">
        <v>189</v>
      </c>
      <c r="AO5668" s="54">
        <v>25</v>
      </c>
      <c r="AP5668" s="54">
        <v>2</v>
      </c>
      <c r="AQ5668" s="54">
        <v>0</v>
      </c>
      <c r="AR5668" s="55">
        <v>28500</v>
      </c>
      <c r="AS5668" s="78">
        <f t="shared" si="92"/>
        <v>0</v>
      </c>
    </row>
    <row r="5669" spans="39:45">
      <c r="AM5669" s="55">
        <v>2019</v>
      </c>
      <c r="AN5669" s="55" t="s">
        <v>189</v>
      </c>
      <c r="AO5669" s="55">
        <v>25</v>
      </c>
      <c r="AP5669" s="55">
        <v>3</v>
      </c>
      <c r="AQ5669" s="55">
        <v>0</v>
      </c>
      <c r="AR5669" s="55">
        <v>28500</v>
      </c>
      <c r="AS5669" s="78">
        <f t="shared" si="92"/>
        <v>0</v>
      </c>
    </row>
    <row r="5670" spans="39:45">
      <c r="AM5670" s="54">
        <v>2019</v>
      </c>
      <c r="AN5670" s="54" t="s">
        <v>189</v>
      </c>
      <c r="AO5670" s="54">
        <v>25</v>
      </c>
      <c r="AP5670" s="54">
        <v>4</v>
      </c>
      <c r="AQ5670" s="54">
        <v>0</v>
      </c>
      <c r="AR5670" s="55">
        <v>28500</v>
      </c>
      <c r="AS5670" s="78">
        <f t="shared" si="92"/>
        <v>0</v>
      </c>
    </row>
    <row r="5671" spans="39:45">
      <c r="AM5671" s="55">
        <v>2019</v>
      </c>
      <c r="AN5671" s="55" t="s">
        <v>189</v>
      </c>
      <c r="AO5671" s="55">
        <v>25</v>
      </c>
      <c r="AP5671" s="55">
        <v>5</v>
      </c>
      <c r="AQ5671" s="55">
        <v>0</v>
      </c>
      <c r="AR5671" s="55">
        <v>28500</v>
      </c>
      <c r="AS5671" s="78">
        <f t="shared" si="92"/>
        <v>0</v>
      </c>
    </row>
    <row r="5672" spans="39:45">
      <c r="AM5672" s="54">
        <v>2019</v>
      </c>
      <c r="AN5672" s="54" t="s">
        <v>189</v>
      </c>
      <c r="AO5672" s="54">
        <v>25</v>
      </c>
      <c r="AP5672" s="54">
        <v>6</v>
      </c>
      <c r="AQ5672" s="54">
        <v>266</v>
      </c>
      <c r="AR5672" s="55">
        <v>28500</v>
      </c>
      <c r="AS5672" s="78">
        <f t="shared" si="92"/>
        <v>9.3333333333333341E-3</v>
      </c>
    </row>
    <row r="5673" spans="39:45">
      <c r="AM5673" s="55">
        <v>2019</v>
      </c>
      <c r="AN5673" s="55" t="s">
        <v>189</v>
      </c>
      <c r="AO5673" s="55">
        <v>25</v>
      </c>
      <c r="AP5673" s="55">
        <v>7</v>
      </c>
      <c r="AQ5673" s="55">
        <v>7230.5</v>
      </c>
      <c r="AR5673" s="55">
        <v>28500</v>
      </c>
      <c r="AS5673" s="78">
        <f t="shared" si="92"/>
        <v>0.25370175438596493</v>
      </c>
    </row>
    <row r="5674" spans="39:45">
      <c r="AM5674" s="54">
        <v>2019</v>
      </c>
      <c r="AN5674" s="54" t="s">
        <v>189</v>
      </c>
      <c r="AO5674" s="54">
        <v>25</v>
      </c>
      <c r="AP5674" s="54">
        <v>8</v>
      </c>
      <c r="AQ5674" s="54">
        <v>19501.5</v>
      </c>
      <c r="AR5674" s="55">
        <v>28500</v>
      </c>
      <c r="AS5674" s="78">
        <f t="shared" si="92"/>
        <v>0.6842631578947368</v>
      </c>
    </row>
    <row r="5675" spans="39:45">
      <c r="AM5675" s="55">
        <v>2019</v>
      </c>
      <c r="AN5675" s="55" t="s">
        <v>189</v>
      </c>
      <c r="AO5675" s="55">
        <v>25</v>
      </c>
      <c r="AP5675" s="55">
        <v>9</v>
      </c>
      <c r="AQ5675" s="55">
        <v>27138.5</v>
      </c>
      <c r="AR5675" s="55">
        <v>28500</v>
      </c>
      <c r="AS5675" s="78">
        <f t="shared" si="92"/>
        <v>0.95222807017543865</v>
      </c>
    </row>
    <row r="5676" spans="39:45">
      <c r="AM5676" s="54">
        <v>2019</v>
      </c>
      <c r="AN5676" s="54" t="s">
        <v>189</v>
      </c>
      <c r="AO5676" s="54">
        <v>25</v>
      </c>
      <c r="AP5676" s="54">
        <v>10</v>
      </c>
      <c r="AQ5676" s="54">
        <v>33043.5</v>
      </c>
      <c r="AR5676" s="55">
        <v>28500</v>
      </c>
      <c r="AS5676" s="78">
        <f t="shared" si="92"/>
        <v>1.1594210526315789</v>
      </c>
    </row>
    <row r="5677" spans="39:45">
      <c r="AM5677" s="55">
        <v>2019</v>
      </c>
      <c r="AN5677" s="55" t="s">
        <v>189</v>
      </c>
      <c r="AO5677" s="55">
        <v>25</v>
      </c>
      <c r="AP5677" s="55">
        <v>11</v>
      </c>
      <c r="AQ5677" s="55">
        <v>36059</v>
      </c>
      <c r="AR5677" s="55">
        <v>28500</v>
      </c>
      <c r="AS5677" s="78">
        <f t="shared" si="92"/>
        <v>1.2652280701754386</v>
      </c>
    </row>
    <row r="5678" spans="39:45">
      <c r="AM5678" s="54">
        <v>2019</v>
      </c>
      <c r="AN5678" s="54" t="s">
        <v>189</v>
      </c>
      <c r="AO5678" s="54">
        <v>25</v>
      </c>
      <c r="AP5678" s="54">
        <v>12</v>
      </c>
      <c r="AQ5678" s="54">
        <v>31524.5</v>
      </c>
      <c r="AR5678" s="55">
        <v>28500</v>
      </c>
      <c r="AS5678" s="78">
        <f t="shared" si="92"/>
        <v>1.106122807017544</v>
      </c>
    </row>
    <row r="5679" spans="39:45">
      <c r="AM5679" s="55">
        <v>2019</v>
      </c>
      <c r="AN5679" s="55" t="s">
        <v>189</v>
      </c>
      <c r="AO5679" s="55">
        <v>25</v>
      </c>
      <c r="AP5679" s="55">
        <v>13</v>
      </c>
      <c r="AQ5679" s="55">
        <v>36730</v>
      </c>
      <c r="AR5679" s="55">
        <v>28500</v>
      </c>
      <c r="AS5679" s="78">
        <f t="shared" si="92"/>
        <v>1.2887719298245615</v>
      </c>
    </row>
    <row r="5680" spans="39:45">
      <c r="AM5680" s="54">
        <v>2019</v>
      </c>
      <c r="AN5680" s="54" t="s">
        <v>189</v>
      </c>
      <c r="AO5680" s="54">
        <v>25</v>
      </c>
      <c r="AP5680" s="54">
        <v>14</v>
      </c>
      <c r="AQ5680" s="54">
        <v>31762.5</v>
      </c>
      <c r="AR5680" s="55">
        <v>28500</v>
      </c>
      <c r="AS5680" s="78">
        <f t="shared" si="92"/>
        <v>1.1144736842105263</v>
      </c>
    </row>
    <row r="5681" spans="39:45">
      <c r="AM5681" s="55">
        <v>2019</v>
      </c>
      <c r="AN5681" s="55" t="s">
        <v>189</v>
      </c>
      <c r="AO5681" s="55">
        <v>25</v>
      </c>
      <c r="AP5681" s="55">
        <v>15</v>
      </c>
      <c r="AQ5681" s="55">
        <v>26146</v>
      </c>
      <c r="AR5681" s="55">
        <v>28500</v>
      </c>
      <c r="AS5681" s="78">
        <f t="shared" si="92"/>
        <v>0.91740350877192978</v>
      </c>
    </row>
    <row r="5682" spans="39:45">
      <c r="AM5682" s="54">
        <v>2019</v>
      </c>
      <c r="AN5682" s="54" t="s">
        <v>189</v>
      </c>
      <c r="AO5682" s="54">
        <v>25</v>
      </c>
      <c r="AP5682" s="54">
        <v>16</v>
      </c>
      <c r="AQ5682" s="54">
        <v>17357</v>
      </c>
      <c r="AR5682" s="55">
        <v>28500</v>
      </c>
      <c r="AS5682" s="78">
        <f t="shared" si="92"/>
        <v>0.60901754385964912</v>
      </c>
    </row>
    <row r="5683" spans="39:45">
      <c r="AM5683" s="55">
        <v>2019</v>
      </c>
      <c r="AN5683" s="55" t="s">
        <v>189</v>
      </c>
      <c r="AO5683" s="55">
        <v>25</v>
      </c>
      <c r="AP5683" s="55">
        <v>17</v>
      </c>
      <c r="AQ5683" s="55">
        <v>6896</v>
      </c>
      <c r="AR5683" s="55">
        <v>28500</v>
      </c>
      <c r="AS5683" s="78">
        <f t="shared" si="92"/>
        <v>0.24196491228070174</v>
      </c>
    </row>
    <row r="5684" spans="39:45">
      <c r="AM5684" s="54">
        <v>2019</v>
      </c>
      <c r="AN5684" s="54" t="s">
        <v>189</v>
      </c>
      <c r="AO5684" s="54">
        <v>25</v>
      </c>
      <c r="AP5684" s="54">
        <v>18</v>
      </c>
      <c r="AQ5684" s="54">
        <v>942</v>
      </c>
      <c r="AR5684" s="55">
        <v>28500</v>
      </c>
      <c r="AS5684" s="78">
        <f t="shared" si="92"/>
        <v>3.3052631578947368E-2</v>
      </c>
    </row>
    <row r="5685" spans="39:45">
      <c r="AM5685" s="55">
        <v>2019</v>
      </c>
      <c r="AN5685" s="55" t="s">
        <v>189</v>
      </c>
      <c r="AO5685" s="55">
        <v>25</v>
      </c>
      <c r="AP5685" s="55">
        <v>19</v>
      </c>
      <c r="AQ5685" s="55">
        <v>0</v>
      </c>
      <c r="AR5685" s="55">
        <v>28500</v>
      </c>
      <c r="AS5685" s="78">
        <f t="shared" si="92"/>
        <v>0</v>
      </c>
    </row>
    <row r="5686" spans="39:45">
      <c r="AM5686" s="54">
        <v>2019</v>
      </c>
      <c r="AN5686" s="54" t="s">
        <v>189</v>
      </c>
      <c r="AO5686" s="54">
        <v>25</v>
      </c>
      <c r="AP5686" s="54">
        <v>20</v>
      </c>
      <c r="AQ5686" s="54">
        <v>0</v>
      </c>
      <c r="AR5686" s="55">
        <v>28500</v>
      </c>
      <c r="AS5686" s="78">
        <f t="shared" si="92"/>
        <v>0</v>
      </c>
    </row>
    <row r="5687" spans="39:45">
      <c r="AM5687" s="55">
        <v>2019</v>
      </c>
      <c r="AN5687" s="55" t="s">
        <v>189</v>
      </c>
      <c r="AO5687" s="55">
        <v>25</v>
      </c>
      <c r="AP5687" s="55">
        <v>21</v>
      </c>
      <c r="AQ5687" s="55">
        <v>0</v>
      </c>
      <c r="AR5687" s="55">
        <v>28500</v>
      </c>
      <c r="AS5687" s="78">
        <f t="shared" si="92"/>
        <v>0</v>
      </c>
    </row>
    <row r="5688" spans="39:45">
      <c r="AM5688" s="54">
        <v>2019</v>
      </c>
      <c r="AN5688" s="54" t="s">
        <v>189</v>
      </c>
      <c r="AO5688" s="54">
        <v>25</v>
      </c>
      <c r="AP5688" s="54">
        <v>22</v>
      </c>
      <c r="AQ5688" s="54">
        <v>0</v>
      </c>
      <c r="AR5688" s="55">
        <v>28500</v>
      </c>
      <c r="AS5688" s="78">
        <f t="shared" si="92"/>
        <v>0</v>
      </c>
    </row>
    <row r="5689" spans="39:45">
      <c r="AM5689" s="55">
        <v>2019</v>
      </c>
      <c r="AN5689" s="55" t="s">
        <v>189</v>
      </c>
      <c r="AO5689" s="55">
        <v>25</v>
      </c>
      <c r="AP5689" s="55">
        <v>23</v>
      </c>
      <c r="AQ5689" s="55">
        <v>0</v>
      </c>
      <c r="AR5689" s="55">
        <v>28500</v>
      </c>
      <c r="AS5689" s="78">
        <f t="shared" si="92"/>
        <v>0</v>
      </c>
    </row>
    <row r="5690" spans="39:45">
      <c r="AM5690" s="54">
        <v>2019</v>
      </c>
      <c r="AN5690" s="54" t="s">
        <v>189</v>
      </c>
      <c r="AO5690" s="54">
        <v>26</v>
      </c>
      <c r="AP5690" s="54">
        <v>24</v>
      </c>
      <c r="AQ5690" s="54">
        <v>0</v>
      </c>
      <c r="AR5690" s="55">
        <v>28500</v>
      </c>
      <c r="AS5690" s="78">
        <f t="shared" si="92"/>
        <v>0</v>
      </c>
    </row>
    <row r="5691" spans="39:45">
      <c r="AM5691" s="55">
        <v>2019</v>
      </c>
      <c r="AN5691" s="55" t="s">
        <v>189</v>
      </c>
      <c r="AO5691" s="55">
        <v>26</v>
      </c>
      <c r="AP5691" s="55">
        <v>1</v>
      </c>
      <c r="AQ5691" s="55">
        <v>0</v>
      </c>
      <c r="AR5691" s="55">
        <v>28500</v>
      </c>
      <c r="AS5691" s="78">
        <f t="shared" si="92"/>
        <v>0</v>
      </c>
    </row>
    <row r="5692" spans="39:45">
      <c r="AM5692" s="54">
        <v>2019</v>
      </c>
      <c r="AN5692" s="54" t="s">
        <v>189</v>
      </c>
      <c r="AO5692" s="54">
        <v>26</v>
      </c>
      <c r="AP5692" s="54">
        <v>2</v>
      </c>
      <c r="AQ5692" s="54">
        <v>0</v>
      </c>
      <c r="AR5692" s="55">
        <v>28500</v>
      </c>
      <c r="AS5692" s="78">
        <f t="shared" si="92"/>
        <v>0</v>
      </c>
    </row>
    <row r="5693" spans="39:45">
      <c r="AM5693" s="55">
        <v>2019</v>
      </c>
      <c r="AN5693" s="55" t="s">
        <v>189</v>
      </c>
      <c r="AO5693" s="55">
        <v>26</v>
      </c>
      <c r="AP5693" s="55">
        <v>3</v>
      </c>
      <c r="AQ5693" s="55">
        <v>0</v>
      </c>
      <c r="AR5693" s="55">
        <v>28500</v>
      </c>
      <c r="AS5693" s="78">
        <f t="shared" si="92"/>
        <v>0</v>
      </c>
    </row>
    <row r="5694" spans="39:45">
      <c r="AM5694" s="54">
        <v>2019</v>
      </c>
      <c r="AN5694" s="54" t="s">
        <v>189</v>
      </c>
      <c r="AO5694" s="54">
        <v>26</v>
      </c>
      <c r="AP5694" s="54">
        <v>4</v>
      </c>
      <c r="AQ5694" s="54">
        <v>0</v>
      </c>
      <c r="AR5694" s="55">
        <v>28500</v>
      </c>
      <c r="AS5694" s="78">
        <f t="shared" si="92"/>
        <v>0</v>
      </c>
    </row>
    <row r="5695" spans="39:45">
      <c r="AM5695" s="55">
        <v>2019</v>
      </c>
      <c r="AN5695" s="55" t="s">
        <v>189</v>
      </c>
      <c r="AO5695" s="55">
        <v>26</v>
      </c>
      <c r="AP5695" s="55">
        <v>5</v>
      </c>
      <c r="AQ5695" s="55">
        <v>0</v>
      </c>
      <c r="AR5695" s="55">
        <v>28500</v>
      </c>
      <c r="AS5695" s="78">
        <f t="shared" si="92"/>
        <v>0</v>
      </c>
    </row>
    <row r="5696" spans="39:45">
      <c r="AM5696" s="54">
        <v>2019</v>
      </c>
      <c r="AN5696" s="54" t="s">
        <v>189</v>
      </c>
      <c r="AO5696" s="54">
        <v>26</v>
      </c>
      <c r="AP5696" s="54">
        <v>6</v>
      </c>
      <c r="AQ5696" s="54">
        <v>1847</v>
      </c>
      <c r="AR5696" s="55">
        <v>28500</v>
      </c>
      <c r="AS5696" s="78">
        <f t="shared" si="92"/>
        <v>6.4807017543859646E-2</v>
      </c>
    </row>
    <row r="5697" spans="39:45">
      <c r="AM5697" s="55">
        <v>2019</v>
      </c>
      <c r="AN5697" s="55" t="s">
        <v>189</v>
      </c>
      <c r="AO5697" s="55">
        <v>26</v>
      </c>
      <c r="AP5697" s="55">
        <v>7</v>
      </c>
      <c r="AQ5697" s="55">
        <v>10075.5</v>
      </c>
      <c r="AR5697" s="55">
        <v>28500</v>
      </c>
      <c r="AS5697" s="78">
        <f t="shared" si="92"/>
        <v>0.35352631578947369</v>
      </c>
    </row>
    <row r="5698" spans="39:45">
      <c r="AM5698" s="54">
        <v>2019</v>
      </c>
      <c r="AN5698" s="54" t="s">
        <v>189</v>
      </c>
      <c r="AO5698" s="54">
        <v>26</v>
      </c>
      <c r="AP5698" s="54">
        <v>8</v>
      </c>
      <c r="AQ5698" s="54">
        <v>19320.5</v>
      </c>
      <c r="AR5698" s="55">
        <v>28500</v>
      </c>
      <c r="AS5698" s="78">
        <f t="shared" ref="AS5698:AS5761" si="93">AQ5698/AR5698</f>
        <v>0.67791228070175436</v>
      </c>
    </row>
    <row r="5699" spans="39:45">
      <c r="AM5699" s="55">
        <v>2019</v>
      </c>
      <c r="AN5699" s="55" t="s">
        <v>189</v>
      </c>
      <c r="AO5699" s="55">
        <v>26</v>
      </c>
      <c r="AP5699" s="55">
        <v>9</v>
      </c>
      <c r="AQ5699" s="55">
        <v>26867</v>
      </c>
      <c r="AR5699" s="55">
        <v>28500</v>
      </c>
      <c r="AS5699" s="78">
        <f t="shared" si="93"/>
        <v>0.94270175438596493</v>
      </c>
    </row>
    <row r="5700" spans="39:45">
      <c r="AM5700" s="54">
        <v>2019</v>
      </c>
      <c r="AN5700" s="54" t="s">
        <v>189</v>
      </c>
      <c r="AO5700" s="54">
        <v>26</v>
      </c>
      <c r="AP5700" s="54">
        <v>10</v>
      </c>
      <c r="AQ5700" s="54">
        <v>32621.5</v>
      </c>
      <c r="AR5700" s="55">
        <v>28500</v>
      </c>
      <c r="AS5700" s="78">
        <f t="shared" si="93"/>
        <v>1.1446140350877192</v>
      </c>
    </row>
    <row r="5701" spans="39:45">
      <c r="AM5701" s="55">
        <v>2019</v>
      </c>
      <c r="AN5701" s="55" t="s">
        <v>189</v>
      </c>
      <c r="AO5701" s="55">
        <v>26</v>
      </c>
      <c r="AP5701" s="55">
        <v>11</v>
      </c>
      <c r="AQ5701" s="55">
        <v>35547</v>
      </c>
      <c r="AR5701" s="55">
        <v>28500</v>
      </c>
      <c r="AS5701" s="78">
        <f t="shared" si="93"/>
        <v>1.2472631578947369</v>
      </c>
    </row>
    <row r="5702" spans="39:45">
      <c r="AM5702" s="54">
        <v>2019</v>
      </c>
      <c r="AN5702" s="54" t="s">
        <v>189</v>
      </c>
      <c r="AO5702" s="54">
        <v>26</v>
      </c>
      <c r="AP5702" s="54">
        <v>12</v>
      </c>
      <c r="AQ5702" s="54">
        <v>37141.5</v>
      </c>
      <c r="AR5702" s="55">
        <v>28500</v>
      </c>
      <c r="AS5702" s="78">
        <f t="shared" si="93"/>
        <v>1.3032105263157894</v>
      </c>
    </row>
    <row r="5703" spans="39:45">
      <c r="AM5703" s="55">
        <v>2019</v>
      </c>
      <c r="AN5703" s="55" t="s">
        <v>189</v>
      </c>
      <c r="AO5703" s="55">
        <v>26</v>
      </c>
      <c r="AP5703" s="55">
        <v>13</v>
      </c>
      <c r="AQ5703" s="55">
        <v>36371.5</v>
      </c>
      <c r="AR5703" s="55">
        <v>28500</v>
      </c>
      <c r="AS5703" s="78">
        <f t="shared" si="93"/>
        <v>1.2761929824561404</v>
      </c>
    </row>
    <row r="5704" spans="39:45">
      <c r="AM5704" s="54">
        <v>2019</v>
      </c>
      <c r="AN5704" s="54" t="s">
        <v>189</v>
      </c>
      <c r="AO5704" s="54">
        <v>26</v>
      </c>
      <c r="AP5704" s="54">
        <v>14</v>
      </c>
      <c r="AQ5704" s="54">
        <v>31345.5</v>
      </c>
      <c r="AR5704" s="55">
        <v>28500</v>
      </c>
      <c r="AS5704" s="78">
        <f t="shared" si="93"/>
        <v>1.099842105263158</v>
      </c>
    </row>
    <row r="5705" spans="39:45">
      <c r="AM5705" s="55">
        <v>2019</v>
      </c>
      <c r="AN5705" s="55" t="s">
        <v>189</v>
      </c>
      <c r="AO5705" s="55">
        <v>26</v>
      </c>
      <c r="AP5705" s="55">
        <v>15</v>
      </c>
      <c r="AQ5705" s="55">
        <v>25441.5</v>
      </c>
      <c r="AR5705" s="55">
        <v>28500</v>
      </c>
      <c r="AS5705" s="78">
        <f t="shared" si="93"/>
        <v>0.89268421052631575</v>
      </c>
    </row>
    <row r="5706" spans="39:45">
      <c r="AM5706" s="54">
        <v>2019</v>
      </c>
      <c r="AN5706" s="54" t="s">
        <v>189</v>
      </c>
      <c r="AO5706" s="54">
        <v>26</v>
      </c>
      <c r="AP5706" s="54">
        <v>16</v>
      </c>
      <c r="AQ5706" s="54">
        <v>16441</v>
      </c>
      <c r="AR5706" s="55">
        <v>28500</v>
      </c>
      <c r="AS5706" s="78">
        <f t="shared" si="93"/>
        <v>0.5768771929824561</v>
      </c>
    </row>
    <row r="5707" spans="39:45">
      <c r="AM5707" s="55">
        <v>2019</v>
      </c>
      <c r="AN5707" s="55" t="s">
        <v>189</v>
      </c>
      <c r="AO5707" s="55">
        <v>26</v>
      </c>
      <c r="AP5707" s="55">
        <v>17</v>
      </c>
      <c r="AQ5707" s="55">
        <v>6801.5</v>
      </c>
      <c r="AR5707" s="55">
        <v>28500</v>
      </c>
      <c r="AS5707" s="78">
        <f t="shared" si="93"/>
        <v>0.23864912280701756</v>
      </c>
    </row>
    <row r="5708" spans="39:45">
      <c r="AM5708" s="54">
        <v>2019</v>
      </c>
      <c r="AN5708" s="54" t="s">
        <v>189</v>
      </c>
      <c r="AO5708" s="54">
        <v>26</v>
      </c>
      <c r="AP5708" s="54">
        <v>18</v>
      </c>
      <c r="AQ5708" s="54">
        <v>853.5</v>
      </c>
      <c r="AR5708" s="55">
        <v>28500</v>
      </c>
      <c r="AS5708" s="78">
        <f t="shared" si="93"/>
        <v>2.9947368421052632E-2</v>
      </c>
    </row>
    <row r="5709" spans="39:45">
      <c r="AM5709" s="55">
        <v>2019</v>
      </c>
      <c r="AN5709" s="55" t="s">
        <v>189</v>
      </c>
      <c r="AO5709" s="55">
        <v>26</v>
      </c>
      <c r="AP5709" s="55">
        <v>19</v>
      </c>
      <c r="AQ5709" s="55">
        <v>0</v>
      </c>
      <c r="AR5709" s="55">
        <v>28500</v>
      </c>
      <c r="AS5709" s="78">
        <f t="shared" si="93"/>
        <v>0</v>
      </c>
    </row>
    <row r="5710" spans="39:45">
      <c r="AM5710" s="54">
        <v>2019</v>
      </c>
      <c r="AN5710" s="54" t="s">
        <v>189</v>
      </c>
      <c r="AO5710" s="54">
        <v>26</v>
      </c>
      <c r="AP5710" s="54">
        <v>20</v>
      </c>
      <c r="AQ5710" s="54">
        <v>0</v>
      </c>
      <c r="AR5710" s="55">
        <v>28500</v>
      </c>
      <c r="AS5710" s="78">
        <f t="shared" si="93"/>
        <v>0</v>
      </c>
    </row>
    <row r="5711" spans="39:45">
      <c r="AM5711" s="55">
        <v>2019</v>
      </c>
      <c r="AN5711" s="55" t="s">
        <v>189</v>
      </c>
      <c r="AO5711" s="55">
        <v>26</v>
      </c>
      <c r="AP5711" s="55">
        <v>21</v>
      </c>
      <c r="AQ5711" s="55">
        <v>0</v>
      </c>
      <c r="AR5711" s="55">
        <v>28500</v>
      </c>
      <c r="AS5711" s="78">
        <f t="shared" si="93"/>
        <v>0</v>
      </c>
    </row>
    <row r="5712" spans="39:45">
      <c r="AM5712" s="54">
        <v>2019</v>
      </c>
      <c r="AN5712" s="54" t="s">
        <v>189</v>
      </c>
      <c r="AO5712" s="54">
        <v>26</v>
      </c>
      <c r="AP5712" s="54">
        <v>22</v>
      </c>
      <c r="AQ5712" s="54">
        <v>0</v>
      </c>
      <c r="AR5712" s="55">
        <v>28500</v>
      </c>
      <c r="AS5712" s="78">
        <f t="shared" si="93"/>
        <v>0</v>
      </c>
    </row>
    <row r="5713" spans="39:45">
      <c r="AM5713" s="55">
        <v>2019</v>
      </c>
      <c r="AN5713" s="55" t="s">
        <v>189</v>
      </c>
      <c r="AO5713" s="55">
        <v>26</v>
      </c>
      <c r="AP5713" s="55">
        <v>23</v>
      </c>
      <c r="AQ5713" s="55">
        <v>0</v>
      </c>
      <c r="AR5713" s="55">
        <v>28500</v>
      </c>
      <c r="AS5713" s="78">
        <f t="shared" si="93"/>
        <v>0</v>
      </c>
    </row>
    <row r="5714" spans="39:45">
      <c r="AM5714" s="54">
        <v>2019</v>
      </c>
      <c r="AN5714" s="54" t="s">
        <v>189</v>
      </c>
      <c r="AO5714" s="54">
        <v>27</v>
      </c>
      <c r="AP5714" s="54">
        <v>24</v>
      </c>
      <c r="AQ5714" s="54">
        <v>0</v>
      </c>
      <c r="AR5714" s="55">
        <v>28500</v>
      </c>
      <c r="AS5714" s="78">
        <f t="shared" si="93"/>
        <v>0</v>
      </c>
    </row>
    <row r="5715" spans="39:45">
      <c r="AM5715" s="55">
        <v>2019</v>
      </c>
      <c r="AN5715" s="55" t="s">
        <v>189</v>
      </c>
      <c r="AO5715" s="55">
        <v>27</v>
      </c>
      <c r="AP5715" s="55">
        <v>1</v>
      </c>
      <c r="AQ5715" s="55">
        <v>0</v>
      </c>
      <c r="AR5715" s="55">
        <v>28500</v>
      </c>
      <c r="AS5715" s="78">
        <f t="shared" si="93"/>
        <v>0</v>
      </c>
    </row>
    <row r="5716" spans="39:45">
      <c r="AM5716" s="54">
        <v>2019</v>
      </c>
      <c r="AN5716" s="54" t="s">
        <v>189</v>
      </c>
      <c r="AO5716" s="54">
        <v>27</v>
      </c>
      <c r="AP5716" s="54">
        <v>2</v>
      </c>
      <c r="AQ5716" s="54">
        <v>0</v>
      </c>
      <c r="AR5716" s="55">
        <v>28500</v>
      </c>
      <c r="AS5716" s="78">
        <f t="shared" si="93"/>
        <v>0</v>
      </c>
    </row>
    <row r="5717" spans="39:45">
      <c r="AM5717" s="55">
        <v>2019</v>
      </c>
      <c r="AN5717" s="55" t="s">
        <v>189</v>
      </c>
      <c r="AO5717" s="55">
        <v>27</v>
      </c>
      <c r="AP5717" s="55">
        <v>3</v>
      </c>
      <c r="AQ5717" s="55">
        <v>0</v>
      </c>
      <c r="AR5717" s="55">
        <v>28500</v>
      </c>
      <c r="AS5717" s="78">
        <f t="shared" si="93"/>
        <v>0</v>
      </c>
    </row>
    <row r="5718" spans="39:45">
      <c r="AM5718" s="54">
        <v>2019</v>
      </c>
      <c r="AN5718" s="54" t="s">
        <v>189</v>
      </c>
      <c r="AO5718" s="54">
        <v>27</v>
      </c>
      <c r="AP5718" s="54">
        <v>4</v>
      </c>
      <c r="AQ5718" s="54">
        <v>0</v>
      </c>
      <c r="AR5718" s="55">
        <v>28500</v>
      </c>
      <c r="AS5718" s="78">
        <f t="shared" si="93"/>
        <v>0</v>
      </c>
    </row>
    <row r="5719" spans="39:45">
      <c r="AM5719" s="55">
        <v>2019</v>
      </c>
      <c r="AN5719" s="55" t="s">
        <v>189</v>
      </c>
      <c r="AO5719" s="55">
        <v>27</v>
      </c>
      <c r="AP5719" s="55">
        <v>5</v>
      </c>
      <c r="AQ5719" s="55">
        <v>0</v>
      </c>
      <c r="AR5719" s="55">
        <v>28500</v>
      </c>
      <c r="AS5719" s="78">
        <f t="shared" si="93"/>
        <v>0</v>
      </c>
    </row>
    <row r="5720" spans="39:45">
      <c r="AM5720" s="54">
        <v>2019</v>
      </c>
      <c r="AN5720" s="54" t="s">
        <v>189</v>
      </c>
      <c r="AO5720" s="54">
        <v>27</v>
      </c>
      <c r="AP5720" s="54">
        <v>6</v>
      </c>
      <c r="AQ5720" s="54">
        <v>1887</v>
      </c>
      <c r="AR5720" s="55">
        <v>28500</v>
      </c>
      <c r="AS5720" s="78">
        <f t="shared" si="93"/>
        <v>6.621052631578947E-2</v>
      </c>
    </row>
    <row r="5721" spans="39:45">
      <c r="AM5721" s="55">
        <v>2019</v>
      </c>
      <c r="AN5721" s="55" t="s">
        <v>189</v>
      </c>
      <c r="AO5721" s="55">
        <v>27</v>
      </c>
      <c r="AP5721" s="55">
        <v>7</v>
      </c>
      <c r="AQ5721" s="55">
        <v>9632</v>
      </c>
      <c r="AR5721" s="55">
        <v>28500</v>
      </c>
      <c r="AS5721" s="78">
        <f t="shared" si="93"/>
        <v>0.33796491228070175</v>
      </c>
    </row>
    <row r="5722" spans="39:45">
      <c r="AM5722" s="54">
        <v>2019</v>
      </c>
      <c r="AN5722" s="54" t="s">
        <v>189</v>
      </c>
      <c r="AO5722" s="54">
        <v>27</v>
      </c>
      <c r="AP5722" s="54">
        <v>8</v>
      </c>
      <c r="AQ5722" s="54">
        <v>18429</v>
      </c>
      <c r="AR5722" s="55">
        <v>28500</v>
      </c>
      <c r="AS5722" s="78">
        <f t="shared" si="93"/>
        <v>0.64663157894736845</v>
      </c>
    </row>
    <row r="5723" spans="39:45">
      <c r="AM5723" s="55">
        <v>2019</v>
      </c>
      <c r="AN5723" s="55" t="s">
        <v>189</v>
      </c>
      <c r="AO5723" s="55">
        <v>27</v>
      </c>
      <c r="AP5723" s="55">
        <v>9</v>
      </c>
      <c r="AQ5723" s="55">
        <v>26021.5</v>
      </c>
      <c r="AR5723" s="55">
        <v>28500</v>
      </c>
      <c r="AS5723" s="78">
        <f t="shared" si="93"/>
        <v>0.9130350877192982</v>
      </c>
    </row>
    <row r="5724" spans="39:45">
      <c r="AM5724" s="54">
        <v>2019</v>
      </c>
      <c r="AN5724" s="54" t="s">
        <v>189</v>
      </c>
      <c r="AO5724" s="54">
        <v>27</v>
      </c>
      <c r="AP5724" s="54">
        <v>10</v>
      </c>
      <c r="AQ5724" s="54">
        <v>31417</v>
      </c>
      <c r="AR5724" s="55">
        <v>28500</v>
      </c>
      <c r="AS5724" s="78">
        <f t="shared" si="93"/>
        <v>1.1023508771929824</v>
      </c>
    </row>
    <row r="5725" spans="39:45">
      <c r="AM5725" s="55">
        <v>2019</v>
      </c>
      <c r="AN5725" s="55" t="s">
        <v>189</v>
      </c>
      <c r="AO5725" s="55">
        <v>27</v>
      </c>
      <c r="AP5725" s="55">
        <v>11</v>
      </c>
      <c r="AQ5725" s="55">
        <v>34483.5</v>
      </c>
      <c r="AR5725" s="55">
        <v>28500</v>
      </c>
      <c r="AS5725" s="78">
        <f t="shared" si="93"/>
        <v>1.2099473684210527</v>
      </c>
    </row>
    <row r="5726" spans="39:45">
      <c r="AM5726" s="54">
        <v>2019</v>
      </c>
      <c r="AN5726" s="54" t="s">
        <v>189</v>
      </c>
      <c r="AO5726" s="54">
        <v>27</v>
      </c>
      <c r="AP5726" s="54">
        <v>12</v>
      </c>
      <c r="AQ5726" s="54">
        <v>35952.5</v>
      </c>
      <c r="AR5726" s="55">
        <v>28500</v>
      </c>
      <c r="AS5726" s="78">
        <f t="shared" si="93"/>
        <v>1.2614912280701753</v>
      </c>
    </row>
    <row r="5727" spans="39:45">
      <c r="AM5727" s="55">
        <v>2019</v>
      </c>
      <c r="AN5727" s="55" t="s">
        <v>189</v>
      </c>
      <c r="AO5727" s="55">
        <v>27</v>
      </c>
      <c r="AP5727" s="55">
        <v>13</v>
      </c>
      <c r="AQ5727" s="55">
        <v>34751</v>
      </c>
      <c r="AR5727" s="55">
        <v>28500</v>
      </c>
      <c r="AS5727" s="78">
        <f t="shared" si="93"/>
        <v>1.2193333333333334</v>
      </c>
    </row>
    <row r="5728" spans="39:45">
      <c r="AM5728" s="54">
        <v>2019</v>
      </c>
      <c r="AN5728" s="54" t="s">
        <v>189</v>
      </c>
      <c r="AO5728" s="54">
        <v>27</v>
      </c>
      <c r="AP5728" s="54">
        <v>14</v>
      </c>
      <c r="AQ5728" s="54">
        <v>29663</v>
      </c>
      <c r="AR5728" s="55">
        <v>28500</v>
      </c>
      <c r="AS5728" s="78">
        <f t="shared" si="93"/>
        <v>1.0408070175438597</v>
      </c>
    </row>
    <row r="5729" spans="39:45">
      <c r="AM5729" s="55">
        <v>2019</v>
      </c>
      <c r="AN5729" s="55" t="s">
        <v>189</v>
      </c>
      <c r="AO5729" s="55">
        <v>27</v>
      </c>
      <c r="AP5729" s="55">
        <v>15</v>
      </c>
      <c r="AQ5729" s="55">
        <v>23791</v>
      </c>
      <c r="AR5729" s="55">
        <v>28500</v>
      </c>
      <c r="AS5729" s="78">
        <f t="shared" si="93"/>
        <v>0.83477192982456139</v>
      </c>
    </row>
    <row r="5730" spans="39:45">
      <c r="AM5730" s="54">
        <v>2019</v>
      </c>
      <c r="AN5730" s="54" t="s">
        <v>189</v>
      </c>
      <c r="AO5730" s="54">
        <v>27</v>
      </c>
      <c r="AP5730" s="54">
        <v>16</v>
      </c>
      <c r="AQ5730" s="54">
        <v>15729</v>
      </c>
      <c r="AR5730" s="55">
        <v>28500</v>
      </c>
      <c r="AS5730" s="78">
        <f t="shared" si="93"/>
        <v>0.55189473684210522</v>
      </c>
    </row>
    <row r="5731" spans="39:45">
      <c r="AM5731" s="55">
        <v>2019</v>
      </c>
      <c r="AN5731" s="55" t="s">
        <v>189</v>
      </c>
      <c r="AO5731" s="55">
        <v>27</v>
      </c>
      <c r="AP5731" s="55">
        <v>17</v>
      </c>
      <c r="AQ5731" s="55">
        <v>6486</v>
      </c>
      <c r="AR5731" s="55">
        <v>28500</v>
      </c>
      <c r="AS5731" s="78">
        <f t="shared" si="93"/>
        <v>0.22757894736842105</v>
      </c>
    </row>
    <row r="5732" spans="39:45">
      <c r="AM5732" s="54">
        <v>2019</v>
      </c>
      <c r="AN5732" s="54" t="s">
        <v>189</v>
      </c>
      <c r="AO5732" s="54">
        <v>27</v>
      </c>
      <c r="AP5732" s="54">
        <v>18</v>
      </c>
      <c r="AQ5732" s="54">
        <v>768</v>
      </c>
      <c r="AR5732" s="55">
        <v>28500</v>
      </c>
      <c r="AS5732" s="78">
        <f t="shared" si="93"/>
        <v>2.6947368421052633E-2</v>
      </c>
    </row>
    <row r="5733" spans="39:45">
      <c r="AM5733" s="55">
        <v>2019</v>
      </c>
      <c r="AN5733" s="55" t="s">
        <v>189</v>
      </c>
      <c r="AO5733" s="55">
        <v>27</v>
      </c>
      <c r="AP5733" s="55">
        <v>19</v>
      </c>
      <c r="AQ5733" s="55">
        <v>0</v>
      </c>
      <c r="AR5733" s="55">
        <v>28500</v>
      </c>
      <c r="AS5733" s="78">
        <f t="shared" si="93"/>
        <v>0</v>
      </c>
    </row>
    <row r="5734" spans="39:45">
      <c r="AM5734" s="54">
        <v>2019</v>
      </c>
      <c r="AN5734" s="54" t="s">
        <v>189</v>
      </c>
      <c r="AO5734" s="54">
        <v>27</v>
      </c>
      <c r="AP5734" s="54">
        <v>20</v>
      </c>
      <c r="AQ5734" s="54">
        <v>0</v>
      </c>
      <c r="AR5734" s="55">
        <v>28500</v>
      </c>
      <c r="AS5734" s="78">
        <f t="shared" si="93"/>
        <v>0</v>
      </c>
    </row>
    <row r="5735" spans="39:45">
      <c r="AM5735" s="55">
        <v>2019</v>
      </c>
      <c r="AN5735" s="55" t="s">
        <v>189</v>
      </c>
      <c r="AO5735" s="55">
        <v>27</v>
      </c>
      <c r="AP5735" s="55">
        <v>21</v>
      </c>
      <c r="AQ5735" s="55">
        <v>0</v>
      </c>
      <c r="AR5735" s="55">
        <v>28500</v>
      </c>
      <c r="AS5735" s="78">
        <f t="shared" si="93"/>
        <v>0</v>
      </c>
    </row>
    <row r="5736" spans="39:45">
      <c r="AM5736" s="54">
        <v>2019</v>
      </c>
      <c r="AN5736" s="54" t="s">
        <v>189</v>
      </c>
      <c r="AO5736" s="54">
        <v>27</v>
      </c>
      <c r="AP5736" s="54">
        <v>22</v>
      </c>
      <c r="AQ5736" s="54">
        <v>0</v>
      </c>
      <c r="AR5736" s="55">
        <v>28500</v>
      </c>
      <c r="AS5736" s="78">
        <f t="shared" si="93"/>
        <v>0</v>
      </c>
    </row>
    <row r="5737" spans="39:45">
      <c r="AM5737" s="55">
        <v>2019</v>
      </c>
      <c r="AN5737" s="55" t="s">
        <v>189</v>
      </c>
      <c r="AO5737" s="55">
        <v>27</v>
      </c>
      <c r="AP5737" s="55">
        <v>23</v>
      </c>
      <c r="AQ5737" s="55">
        <v>0</v>
      </c>
      <c r="AR5737" s="55">
        <v>28500</v>
      </c>
      <c r="AS5737" s="78">
        <f t="shared" si="93"/>
        <v>0</v>
      </c>
    </row>
    <row r="5738" spans="39:45">
      <c r="AM5738" s="54">
        <v>2019</v>
      </c>
      <c r="AN5738" s="54" t="s">
        <v>189</v>
      </c>
      <c r="AO5738" s="54">
        <v>28</v>
      </c>
      <c r="AP5738" s="54">
        <v>24</v>
      </c>
      <c r="AQ5738" s="54">
        <v>0</v>
      </c>
      <c r="AR5738" s="55">
        <v>28500</v>
      </c>
      <c r="AS5738" s="78">
        <f t="shared" si="93"/>
        <v>0</v>
      </c>
    </row>
    <row r="5739" spans="39:45">
      <c r="AM5739" s="55">
        <v>2019</v>
      </c>
      <c r="AN5739" s="55" t="s">
        <v>189</v>
      </c>
      <c r="AO5739" s="55">
        <v>28</v>
      </c>
      <c r="AP5739" s="55">
        <v>1</v>
      </c>
      <c r="AQ5739" s="55">
        <v>0</v>
      </c>
      <c r="AR5739" s="55">
        <v>28500</v>
      </c>
      <c r="AS5739" s="78">
        <f t="shared" si="93"/>
        <v>0</v>
      </c>
    </row>
    <row r="5740" spans="39:45">
      <c r="AM5740" s="54">
        <v>2019</v>
      </c>
      <c r="AN5740" s="54" t="s">
        <v>189</v>
      </c>
      <c r="AO5740" s="54">
        <v>28</v>
      </c>
      <c r="AP5740" s="54">
        <v>2</v>
      </c>
      <c r="AQ5740" s="54">
        <v>0</v>
      </c>
      <c r="AR5740" s="55">
        <v>28500</v>
      </c>
      <c r="AS5740" s="78">
        <f t="shared" si="93"/>
        <v>0</v>
      </c>
    </row>
    <row r="5741" spans="39:45">
      <c r="AM5741" s="55">
        <v>2019</v>
      </c>
      <c r="AN5741" s="55" t="s">
        <v>189</v>
      </c>
      <c r="AO5741" s="55">
        <v>28</v>
      </c>
      <c r="AP5741" s="55">
        <v>3</v>
      </c>
      <c r="AQ5741" s="55">
        <v>0</v>
      </c>
      <c r="AR5741" s="55">
        <v>28500</v>
      </c>
      <c r="AS5741" s="78">
        <f t="shared" si="93"/>
        <v>0</v>
      </c>
    </row>
    <row r="5742" spans="39:45">
      <c r="AM5742" s="54">
        <v>2019</v>
      </c>
      <c r="AN5742" s="54" t="s">
        <v>189</v>
      </c>
      <c r="AO5742" s="54">
        <v>28</v>
      </c>
      <c r="AP5742" s="54">
        <v>4</v>
      </c>
      <c r="AQ5742" s="54">
        <v>0</v>
      </c>
      <c r="AR5742" s="55">
        <v>28500</v>
      </c>
      <c r="AS5742" s="78">
        <f t="shared" si="93"/>
        <v>0</v>
      </c>
    </row>
    <row r="5743" spans="39:45">
      <c r="AM5743" s="55">
        <v>2019</v>
      </c>
      <c r="AN5743" s="55" t="s">
        <v>189</v>
      </c>
      <c r="AO5743" s="55">
        <v>28</v>
      </c>
      <c r="AP5743" s="55">
        <v>5</v>
      </c>
      <c r="AQ5743" s="55">
        <v>0</v>
      </c>
      <c r="AR5743" s="55">
        <v>28500</v>
      </c>
      <c r="AS5743" s="78">
        <f t="shared" si="93"/>
        <v>0</v>
      </c>
    </row>
    <row r="5744" spans="39:45">
      <c r="AM5744" s="54">
        <v>2019</v>
      </c>
      <c r="AN5744" s="54" t="s">
        <v>189</v>
      </c>
      <c r="AO5744" s="54">
        <v>28</v>
      </c>
      <c r="AP5744" s="54">
        <v>6</v>
      </c>
      <c r="AQ5744" s="54">
        <v>68</v>
      </c>
      <c r="AR5744" s="55">
        <v>28500</v>
      </c>
      <c r="AS5744" s="78">
        <f t="shared" si="93"/>
        <v>2.3859649122807019E-3</v>
      </c>
    </row>
    <row r="5745" spans="39:45">
      <c r="AM5745" s="55">
        <v>2019</v>
      </c>
      <c r="AN5745" s="55" t="s">
        <v>189</v>
      </c>
      <c r="AO5745" s="55">
        <v>28</v>
      </c>
      <c r="AP5745" s="55">
        <v>7</v>
      </c>
      <c r="AQ5745" s="55">
        <v>4143.5</v>
      </c>
      <c r="AR5745" s="55">
        <v>28500</v>
      </c>
      <c r="AS5745" s="78">
        <f t="shared" si="93"/>
        <v>0.1453859649122807</v>
      </c>
    </row>
    <row r="5746" spans="39:45">
      <c r="AM5746" s="54">
        <v>2019</v>
      </c>
      <c r="AN5746" s="54" t="s">
        <v>189</v>
      </c>
      <c r="AO5746" s="54">
        <v>28</v>
      </c>
      <c r="AP5746" s="54">
        <v>8</v>
      </c>
      <c r="AQ5746" s="54">
        <v>2381</v>
      </c>
      <c r="AR5746" s="55">
        <v>28500</v>
      </c>
      <c r="AS5746" s="78">
        <f t="shared" si="93"/>
        <v>8.3543859649122809E-2</v>
      </c>
    </row>
    <row r="5747" spans="39:45">
      <c r="AM5747" s="55">
        <v>2019</v>
      </c>
      <c r="AN5747" s="55" t="s">
        <v>189</v>
      </c>
      <c r="AO5747" s="55">
        <v>28</v>
      </c>
      <c r="AP5747" s="55">
        <v>9</v>
      </c>
      <c r="AQ5747" s="55">
        <v>9179</v>
      </c>
      <c r="AR5747" s="55">
        <v>28500</v>
      </c>
      <c r="AS5747" s="78">
        <f t="shared" si="93"/>
        <v>0.32207017543859651</v>
      </c>
    </row>
    <row r="5748" spans="39:45">
      <c r="AM5748" s="54">
        <v>2019</v>
      </c>
      <c r="AN5748" s="54" t="s">
        <v>189</v>
      </c>
      <c r="AO5748" s="54">
        <v>28</v>
      </c>
      <c r="AP5748" s="54">
        <v>10</v>
      </c>
      <c r="AQ5748" s="54">
        <v>16840</v>
      </c>
      <c r="AR5748" s="55">
        <v>28500</v>
      </c>
      <c r="AS5748" s="78">
        <f t="shared" si="93"/>
        <v>0.59087719298245611</v>
      </c>
    </row>
    <row r="5749" spans="39:45">
      <c r="AM5749" s="55">
        <v>2019</v>
      </c>
      <c r="AN5749" s="55" t="s">
        <v>189</v>
      </c>
      <c r="AO5749" s="55">
        <v>28</v>
      </c>
      <c r="AP5749" s="55">
        <v>11</v>
      </c>
      <c r="AQ5749" s="55">
        <v>37662</v>
      </c>
      <c r="AR5749" s="55">
        <v>28500</v>
      </c>
      <c r="AS5749" s="78">
        <f t="shared" si="93"/>
        <v>1.3214736842105264</v>
      </c>
    </row>
    <row r="5750" spans="39:45">
      <c r="AM5750" s="54">
        <v>2019</v>
      </c>
      <c r="AN5750" s="54" t="s">
        <v>189</v>
      </c>
      <c r="AO5750" s="54">
        <v>28</v>
      </c>
      <c r="AP5750" s="54">
        <v>12</v>
      </c>
      <c r="AQ5750" s="54">
        <v>38402.5</v>
      </c>
      <c r="AR5750" s="55">
        <v>28500</v>
      </c>
      <c r="AS5750" s="78">
        <f t="shared" si="93"/>
        <v>1.3474561403508771</v>
      </c>
    </row>
    <row r="5751" spans="39:45">
      <c r="AM5751" s="55">
        <v>2019</v>
      </c>
      <c r="AN5751" s="55" t="s">
        <v>189</v>
      </c>
      <c r="AO5751" s="55">
        <v>28</v>
      </c>
      <c r="AP5751" s="55">
        <v>13</v>
      </c>
      <c r="AQ5751" s="55">
        <v>30005</v>
      </c>
      <c r="AR5751" s="55">
        <v>28500</v>
      </c>
      <c r="AS5751" s="78">
        <f t="shared" si="93"/>
        <v>1.0528070175438597</v>
      </c>
    </row>
    <row r="5752" spans="39:45">
      <c r="AM5752" s="54">
        <v>2019</v>
      </c>
      <c r="AN5752" s="54" t="s">
        <v>189</v>
      </c>
      <c r="AO5752" s="54">
        <v>28</v>
      </c>
      <c r="AP5752" s="54">
        <v>14</v>
      </c>
      <c r="AQ5752" s="54">
        <v>28576</v>
      </c>
      <c r="AR5752" s="55">
        <v>28500</v>
      </c>
      <c r="AS5752" s="78">
        <f t="shared" si="93"/>
        <v>1.0026666666666666</v>
      </c>
    </row>
    <row r="5753" spans="39:45">
      <c r="AM5753" s="55">
        <v>2019</v>
      </c>
      <c r="AN5753" s="55" t="s">
        <v>189</v>
      </c>
      <c r="AO5753" s="55">
        <v>28</v>
      </c>
      <c r="AP5753" s="55">
        <v>15</v>
      </c>
      <c r="AQ5753" s="55">
        <v>6388</v>
      </c>
      <c r="AR5753" s="55">
        <v>28500</v>
      </c>
      <c r="AS5753" s="78">
        <f t="shared" si="93"/>
        <v>0.22414035087719297</v>
      </c>
    </row>
    <row r="5754" spans="39:45">
      <c r="AM5754" s="54">
        <v>2019</v>
      </c>
      <c r="AN5754" s="54" t="s">
        <v>189</v>
      </c>
      <c r="AO5754" s="54">
        <v>28</v>
      </c>
      <c r="AP5754" s="54">
        <v>16</v>
      </c>
      <c r="AQ5754" s="54">
        <v>7790.5</v>
      </c>
      <c r="AR5754" s="55">
        <v>28500</v>
      </c>
      <c r="AS5754" s="78">
        <f t="shared" si="93"/>
        <v>0.27335087719298246</v>
      </c>
    </row>
    <row r="5755" spans="39:45">
      <c r="AM5755" s="55">
        <v>2019</v>
      </c>
      <c r="AN5755" s="55" t="s">
        <v>189</v>
      </c>
      <c r="AO5755" s="55">
        <v>28</v>
      </c>
      <c r="AP5755" s="55">
        <v>17</v>
      </c>
      <c r="AQ5755" s="55">
        <v>3112</v>
      </c>
      <c r="AR5755" s="55">
        <v>28500</v>
      </c>
      <c r="AS5755" s="78">
        <f t="shared" si="93"/>
        <v>0.10919298245614036</v>
      </c>
    </row>
    <row r="5756" spans="39:45">
      <c r="AM5756" s="54">
        <v>2019</v>
      </c>
      <c r="AN5756" s="54" t="s">
        <v>189</v>
      </c>
      <c r="AO5756" s="54">
        <v>28</v>
      </c>
      <c r="AP5756" s="54">
        <v>18</v>
      </c>
      <c r="AQ5756" s="54">
        <v>482.5</v>
      </c>
      <c r="AR5756" s="55">
        <v>28500</v>
      </c>
      <c r="AS5756" s="78">
        <f t="shared" si="93"/>
        <v>1.692982456140351E-2</v>
      </c>
    </row>
    <row r="5757" spans="39:45">
      <c r="AM5757" s="55">
        <v>2019</v>
      </c>
      <c r="AN5757" s="55" t="s">
        <v>189</v>
      </c>
      <c r="AO5757" s="55">
        <v>28</v>
      </c>
      <c r="AP5757" s="55">
        <v>19</v>
      </c>
      <c r="AQ5757" s="55">
        <v>0</v>
      </c>
      <c r="AR5757" s="55">
        <v>28500</v>
      </c>
      <c r="AS5757" s="78">
        <f t="shared" si="93"/>
        <v>0</v>
      </c>
    </row>
    <row r="5758" spans="39:45">
      <c r="AM5758" s="54">
        <v>2019</v>
      </c>
      <c r="AN5758" s="54" t="s">
        <v>189</v>
      </c>
      <c r="AO5758" s="54">
        <v>28</v>
      </c>
      <c r="AP5758" s="54">
        <v>20</v>
      </c>
      <c r="AQ5758" s="54">
        <v>0</v>
      </c>
      <c r="AR5758" s="55">
        <v>28500</v>
      </c>
      <c r="AS5758" s="78">
        <f t="shared" si="93"/>
        <v>0</v>
      </c>
    </row>
    <row r="5759" spans="39:45">
      <c r="AM5759" s="55">
        <v>2019</v>
      </c>
      <c r="AN5759" s="55" t="s">
        <v>189</v>
      </c>
      <c r="AO5759" s="55">
        <v>28</v>
      </c>
      <c r="AP5759" s="55">
        <v>21</v>
      </c>
      <c r="AQ5759" s="55">
        <v>0</v>
      </c>
      <c r="AR5759" s="55">
        <v>28500</v>
      </c>
      <c r="AS5759" s="78">
        <f t="shared" si="93"/>
        <v>0</v>
      </c>
    </row>
    <row r="5760" spans="39:45">
      <c r="AM5760" s="54">
        <v>2019</v>
      </c>
      <c r="AN5760" s="54" t="s">
        <v>189</v>
      </c>
      <c r="AO5760" s="54">
        <v>28</v>
      </c>
      <c r="AP5760" s="54">
        <v>22</v>
      </c>
      <c r="AQ5760" s="54">
        <v>0</v>
      </c>
      <c r="AR5760" s="55">
        <v>28500</v>
      </c>
      <c r="AS5760" s="78">
        <f t="shared" si="93"/>
        <v>0</v>
      </c>
    </row>
    <row r="5761" spans="39:45">
      <c r="AM5761" s="55">
        <v>2019</v>
      </c>
      <c r="AN5761" s="55" t="s">
        <v>189</v>
      </c>
      <c r="AO5761" s="55">
        <v>28</v>
      </c>
      <c r="AP5761" s="55">
        <v>23</v>
      </c>
      <c r="AQ5761" s="55">
        <v>0</v>
      </c>
      <c r="AR5761" s="55">
        <v>28500</v>
      </c>
      <c r="AS5761" s="78">
        <f t="shared" si="93"/>
        <v>0</v>
      </c>
    </row>
    <row r="5762" spans="39:45">
      <c r="AM5762" s="54">
        <v>2019</v>
      </c>
      <c r="AN5762" s="54" t="s">
        <v>189</v>
      </c>
      <c r="AO5762" s="54">
        <v>29</v>
      </c>
      <c r="AP5762" s="54">
        <v>24</v>
      </c>
      <c r="AQ5762" s="54">
        <v>0</v>
      </c>
      <c r="AR5762" s="55">
        <v>28500</v>
      </c>
      <c r="AS5762" s="78">
        <f t="shared" ref="AS5762:AS5825" si="94">AQ5762/AR5762</f>
        <v>0</v>
      </c>
    </row>
    <row r="5763" spans="39:45">
      <c r="AM5763" s="55">
        <v>2019</v>
      </c>
      <c r="AN5763" s="55" t="s">
        <v>189</v>
      </c>
      <c r="AO5763" s="55">
        <v>29</v>
      </c>
      <c r="AP5763" s="55">
        <v>1</v>
      </c>
      <c r="AQ5763" s="55">
        <v>0</v>
      </c>
      <c r="AR5763" s="55">
        <v>28500</v>
      </c>
      <c r="AS5763" s="78">
        <f t="shared" si="94"/>
        <v>0</v>
      </c>
    </row>
    <row r="5764" spans="39:45">
      <c r="AM5764" s="54">
        <v>2019</v>
      </c>
      <c r="AN5764" s="54" t="s">
        <v>189</v>
      </c>
      <c r="AO5764" s="54">
        <v>29</v>
      </c>
      <c r="AP5764" s="54">
        <v>2</v>
      </c>
      <c r="AQ5764" s="54">
        <v>0</v>
      </c>
      <c r="AR5764" s="55">
        <v>28500</v>
      </c>
      <c r="AS5764" s="78">
        <f t="shared" si="94"/>
        <v>0</v>
      </c>
    </row>
    <row r="5765" spans="39:45">
      <c r="AM5765" s="55">
        <v>2019</v>
      </c>
      <c r="AN5765" s="55" t="s">
        <v>189</v>
      </c>
      <c r="AO5765" s="55">
        <v>29</v>
      </c>
      <c r="AP5765" s="55">
        <v>3</v>
      </c>
      <c r="AQ5765" s="55">
        <v>0</v>
      </c>
      <c r="AR5765" s="55">
        <v>28500</v>
      </c>
      <c r="AS5765" s="78">
        <f t="shared" si="94"/>
        <v>0</v>
      </c>
    </row>
    <row r="5766" spans="39:45">
      <c r="AM5766" s="54">
        <v>2019</v>
      </c>
      <c r="AN5766" s="54" t="s">
        <v>189</v>
      </c>
      <c r="AO5766" s="54">
        <v>29</v>
      </c>
      <c r="AP5766" s="54">
        <v>4</v>
      </c>
      <c r="AQ5766" s="54">
        <v>0</v>
      </c>
      <c r="AR5766" s="55">
        <v>28500</v>
      </c>
      <c r="AS5766" s="78">
        <f t="shared" si="94"/>
        <v>0</v>
      </c>
    </row>
    <row r="5767" spans="39:45">
      <c r="AM5767" s="55">
        <v>2019</v>
      </c>
      <c r="AN5767" s="55" t="s">
        <v>189</v>
      </c>
      <c r="AO5767" s="55">
        <v>29</v>
      </c>
      <c r="AP5767" s="55">
        <v>5</v>
      </c>
      <c r="AQ5767" s="55">
        <v>0</v>
      </c>
      <c r="AR5767" s="55">
        <v>28500</v>
      </c>
      <c r="AS5767" s="78">
        <f t="shared" si="94"/>
        <v>0</v>
      </c>
    </row>
    <row r="5768" spans="39:45">
      <c r="AM5768" s="54">
        <v>2019</v>
      </c>
      <c r="AN5768" s="54" t="s">
        <v>189</v>
      </c>
      <c r="AO5768" s="54">
        <v>29</v>
      </c>
      <c r="AP5768" s="54">
        <v>6</v>
      </c>
      <c r="AQ5768" s="54">
        <v>1616.5</v>
      </c>
      <c r="AR5768" s="55">
        <v>28500</v>
      </c>
      <c r="AS5768" s="78">
        <f t="shared" si="94"/>
        <v>5.6719298245614037E-2</v>
      </c>
    </row>
    <row r="5769" spans="39:45">
      <c r="AM5769" s="55">
        <v>2019</v>
      </c>
      <c r="AN5769" s="55" t="s">
        <v>189</v>
      </c>
      <c r="AO5769" s="55">
        <v>29</v>
      </c>
      <c r="AP5769" s="55">
        <v>7</v>
      </c>
      <c r="AQ5769" s="55">
        <v>9487.5</v>
      </c>
      <c r="AR5769" s="55">
        <v>28500</v>
      </c>
      <c r="AS5769" s="78">
        <f t="shared" si="94"/>
        <v>0.33289473684210524</v>
      </c>
    </row>
    <row r="5770" spans="39:45">
      <c r="AM5770" s="54">
        <v>2019</v>
      </c>
      <c r="AN5770" s="54" t="s">
        <v>189</v>
      </c>
      <c r="AO5770" s="54">
        <v>29</v>
      </c>
      <c r="AP5770" s="54">
        <v>8</v>
      </c>
      <c r="AQ5770" s="54">
        <v>21205.5</v>
      </c>
      <c r="AR5770" s="55">
        <v>28500</v>
      </c>
      <c r="AS5770" s="78">
        <f t="shared" si="94"/>
        <v>0.74405263157894741</v>
      </c>
    </row>
    <row r="5771" spans="39:45">
      <c r="AM5771" s="55">
        <v>2019</v>
      </c>
      <c r="AN5771" s="55" t="s">
        <v>189</v>
      </c>
      <c r="AO5771" s="55">
        <v>29</v>
      </c>
      <c r="AP5771" s="55">
        <v>9</v>
      </c>
      <c r="AQ5771" s="55">
        <v>29477.5</v>
      </c>
      <c r="AR5771" s="55">
        <v>28500</v>
      </c>
      <c r="AS5771" s="78">
        <f t="shared" si="94"/>
        <v>1.0342982456140351</v>
      </c>
    </row>
    <row r="5772" spans="39:45">
      <c r="AM5772" s="54">
        <v>2019</v>
      </c>
      <c r="AN5772" s="54" t="s">
        <v>189</v>
      </c>
      <c r="AO5772" s="54">
        <v>29</v>
      </c>
      <c r="AP5772" s="54">
        <v>10</v>
      </c>
      <c r="AQ5772" s="54">
        <v>35261</v>
      </c>
      <c r="AR5772" s="55">
        <v>28500</v>
      </c>
      <c r="AS5772" s="78">
        <f t="shared" si="94"/>
        <v>1.2372280701754386</v>
      </c>
    </row>
    <row r="5773" spans="39:45">
      <c r="AM5773" s="55">
        <v>2019</v>
      </c>
      <c r="AN5773" s="55" t="s">
        <v>189</v>
      </c>
      <c r="AO5773" s="55">
        <v>29</v>
      </c>
      <c r="AP5773" s="55">
        <v>11</v>
      </c>
      <c r="AQ5773" s="55">
        <v>38139</v>
      </c>
      <c r="AR5773" s="55">
        <v>28500</v>
      </c>
      <c r="AS5773" s="78">
        <f t="shared" si="94"/>
        <v>1.3382105263157895</v>
      </c>
    </row>
    <row r="5774" spans="39:45">
      <c r="AM5774" s="54">
        <v>2019</v>
      </c>
      <c r="AN5774" s="54" t="s">
        <v>189</v>
      </c>
      <c r="AO5774" s="54">
        <v>29</v>
      </c>
      <c r="AP5774" s="54">
        <v>12</v>
      </c>
      <c r="AQ5774" s="54">
        <v>39428</v>
      </c>
      <c r="AR5774" s="55">
        <v>28500</v>
      </c>
      <c r="AS5774" s="78">
        <f t="shared" si="94"/>
        <v>1.3834385964912281</v>
      </c>
    </row>
    <row r="5775" spans="39:45">
      <c r="AM5775" s="55">
        <v>2019</v>
      </c>
      <c r="AN5775" s="55" t="s">
        <v>189</v>
      </c>
      <c r="AO5775" s="55">
        <v>29</v>
      </c>
      <c r="AP5775" s="55">
        <v>13</v>
      </c>
      <c r="AQ5775" s="55">
        <v>37703</v>
      </c>
      <c r="AR5775" s="55">
        <v>28500</v>
      </c>
      <c r="AS5775" s="78">
        <f t="shared" si="94"/>
        <v>1.3229122807017544</v>
      </c>
    </row>
    <row r="5776" spans="39:45">
      <c r="AM5776" s="54">
        <v>2019</v>
      </c>
      <c r="AN5776" s="54" t="s">
        <v>189</v>
      </c>
      <c r="AO5776" s="54">
        <v>29</v>
      </c>
      <c r="AP5776" s="54">
        <v>14</v>
      </c>
      <c r="AQ5776" s="54">
        <v>28246</v>
      </c>
      <c r="AR5776" s="55">
        <v>28500</v>
      </c>
      <c r="AS5776" s="78">
        <f t="shared" si="94"/>
        <v>0.99108771929824557</v>
      </c>
    </row>
    <row r="5777" spans="39:45">
      <c r="AM5777" s="55">
        <v>2019</v>
      </c>
      <c r="AN5777" s="55" t="s">
        <v>189</v>
      </c>
      <c r="AO5777" s="55">
        <v>29</v>
      </c>
      <c r="AP5777" s="55">
        <v>15</v>
      </c>
      <c r="AQ5777" s="55">
        <v>11670.5</v>
      </c>
      <c r="AR5777" s="55">
        <v>28500</v>
      </c>
      <c r="AS5777" s="78">
        <f t="shared" si="94"/>
        <v>0.40949122807017546</v>
      </c>
    </row>
    <row r="5778" spans="39:45">
      <c r="AM5778" s="54">
        <v>2019</v>
      </c>
      <c r="AN5778" s="54" t="s">
        <v>189</v>
      </c>
      <c r="AO5778" s="54">
        <v>29</v>
      </c>
      <c r="AP5778" s="54">
        <v>16</v>
      </c>
      <c r="AQ5778" s="54">
        <v>17000</v>
      </c>
      <c r="AR5778" s="55">
        <v>28500</v>
      </c>
      <c r="AS5778" s="78">
        <f t="shared" si="94"/>
        <v>0.59649122807017541</v>
      </c>
    </row>
    <row r="5779" spans="39:45">
      <c r="AM5779" s="55">
        <v>2019</v>
      </c>
      <c r="AN5779" s="55" t="s">
        <v>189</v>
      </c>
      <c r="AO5779" s="55">
        <v>29</v>
      </c>
      <c r="AP5779" s="55">
        <v>17</v>
      </c>
      <c r="AQ5779" s="55">
        <v>6697.5</v>
      </c>
      <c r="AR5779" s="55">
        <v>28500</v>
      </c>
      <c r="AS5779" s="78">
        <f t="shared" si="94"/>
        <v>0.23499999999999999</v>
      </c>
    </row>
    <row r="5780" spans="39:45">
      <c r="AM5780" s="54">
        <v>2019</v>
      </c>
      <c r="AN5780" s="54" t="s">
        <v>189</v>
      </c>
      <c r="AO5780" s="54">
        <v>29</v>
      </c>
      <c r="AP5780" s="54">
        <v>18</v>
      </c>
      <c r="AQ5780" s="54">
        <v>594.5</v>
      </c>
      <c r="AR5780" s="55">
        <v>28500</v>
      </c>
      <c r="AS5780" s="78">
        <f t="shared" si="94"/>
        <v>2.0859649122807019E-2</v>
      </c>
    </row>
    <row r="5781" spans="39:45">
      <c r="AM5781" s="55">
        <v>2019</v>
      </c>
      <c r="AN5781" s="55" t="s">
        <v>189</v>
      </c>
      <c r="AO5781" s="55">
        <v>29</v>
      </c>
      <c r="AP5781" s="55">
        <v>19</v>
      </c>
      <c r="AQ5781" s="55">
        <v>0</v>
      </c>
      <c r="AR5781" s="55">
        <v>28500</v>
      </c>
      <c r="AS5781" s="78">
        <f t="shared" si="94"/>
        <v>0</v>
      </c>
    </row>
    <row r="5782" spans="39:45">
      <c r="AM5782" s="54">
        <v>2019</v>
      </c>
      <c r="AN5782" s="54" t="s">
        <v>189</v>
      </c>
      <c r="AO5782" s="54">
        <v>29</v>
      </c>
      <c r="AP5782" s="54">
        <v>20</v>
      </c>
      <c r="AQ5782" s="54">
        <v>0</v>
      </c>
      <c r="AR5782" s="55">
        <v>28500</v>
      </c>
      <c r="AS5782" s="78">
        <f t="shared" si="94"/>
        <v>0</v>
      </c>
    </row>
    <row r="5783" spans="39:45">
      <c r="AM5783" s="55">
        <v>2019</v>
      </c>
      <c r="AN5783" s="55" t="s">
        <v>189</v>
      </c>
      <c r="AO5783" s="55">
        <v>29</v>
      </c>
      <c r="AP5783" s="55">
        <v>21</v>
      </c>
      <c r="AQ5783" s="55">
        <v>0</v>
      </c>
      <c r="AR5783" s="55">
        <v>28500</v>
      </c>
      <c r="AS5783" s="78">
        <f t="shared" si="94"/>
        <v>0</v>
      </c>
    </row>
    <row r="5784" spans="39:45">
      <c r="AM5784" s="54">
        <v>2019</v>
      </c>
      <c r="AN5784" s="54" t="s">
        <v>189</v>
      </c>
      <c r="AO5784" s="54">
        <v>29</v>
      </c>
      <c r="AP5784" s="54">
        <v>22</v>
      </c>
      <c r="AQ5784" s="54">
        <v>0</v>
      </c>
      <c r="AR5784" s="55">
        <v>28500</v>
      </c>
      <c r="AS5784" s="78">
        <f t="shared" si="94"/>
        <v>0</v>
      </c>
    </row>
    <row r="5785" spans="39:45">
      <c r="AM5785" s="55">
        <v>2019</v>
      </c>
      <c r="AN5785" s="55" t="s">
        <v>189</v>
      </c>
      <c r="AO5785" s="55">
        <v>29</v>
      </c>
      <c r="AP5785" s="55">
        <v>23</v>
      </c>
      <c r="AQ5785" s="55">
        <v>0</v>
      </c>
      <c r="AR5785" s="55">
        <v>28500</v>
      </c>
      <c r="AS5785" s="78">
        <f t="shared" si="94"/>
        <v>0</v>
      </c>
    </row>
    <row r="5786" spans="39:45">
      <c r="AM5786" s="54">
        <v>2019</v>
      </c>
      <c r="AN5786" s="54" t="s">
        <v>189</v>
      </c>
      <c r="AO5786" s="54">
        <v>30</v>
      </c>
      <c r="AP5786" s="54">
        <v>24</v>
      </c>
      <c r="AQ5786" s="54">
        <v>0</v>
      </c>
      <c r="AR5786" s="55">
        <v>28500</v>
      </c>
      <c r="AS5786" s="78">
        <f t="shared" si="94"/>
        <v>0</v>
      </c>
    </row>
    <row r="5787" spans="39:45">
      <c r="AM5787" s="55">
        <v>2019</v>
      </c>
      <c r="AN5787" s="55" t="s">
        <v>189</v>
      </c>
      <c r="AO5787" s="55">
        <v>30</v>
      </c>
      <c r="AP5787" s="55">
        <v>1</v>
      </c>
      <c r="AQ5787" s="55">
        <v>0</v>
      </c>
      <c r="AR5787" s="55">
        <v>28500</v>
      </c>
      <c r="AS5787" s="78">
        <f t="shared" si="94"/>
        <v>0</v>
      </c>
    </row>
    <row r="5788" spans="39:45">
      <c r="AM5788" s="54">
        <v>2019</v>
      </c>
      <c r="AN5788" s="54" t="s">
        <v>189</v>
      </c>
      <c r="AO5788" s="54">
        <v>30</v>
      </c>
      <c r="AP5788" s="54">
        <v>2</v>
      </c>
      <c r="AQ5788" s="54">
        <v>0</v>
      </c>
      <c r="AR5788" s="55">
        <v>28500</v>
      </c>
      <c r="AS5788" s="78">
        <f t="shared" si="94"/>
        <v>0</v>
      </c>
    </row>
    <row r="5789" spans="39:45">
      <c r="AM5789" s="55">
        <v>2019</v>
      </c>
      <c r="AN5789" s="55" t="s">
        <v>189</v>
      </c>
      <c r="AO5789" s="55">
        <v>30</v>
      </c>
      <c r="AP5789" s="55">
        <v>3</v>
      </c>
      <c r="AQ5789" s="55">
        <v>0</v>
      </c>
      <c r="AR5789" s="55">
        <v>28500</v>
      </c>
      <c r="AS5789" s="78">
        <f t="shared" si="94"/>
        <v>0</v>
      </c>
    </row>
    <row r="5790" spans="39:45">
      <c r="AM5790" s="54">
        <v>2019</v>
      </c>
      <c r="AN5790" s="54" t="s">
        <v>189</v>
      </c>
      <c r="AO5790" s="54">
        <v>30</v>
      </c>
      <c r="AP5790" s="54">
        <v>4</v>
      </c>
      <c r="AQ5790" s="54">
        <v>0</v>
      </c>
      <c r="AR5790" s="55">
        <v>28500</v>
      </c>
      <c r="AS5790" s="78">
        <f t="shared" si="94"/>
        <v>0</v>
      </c>
    </row>
    <row r="5791" spans="39:45">
      <c r="AM5791" s="55">
        <v>2019</v>
      </c>
      <c r="AN5791" s="55" t="s">
        <v>189</v>
      </c>
      <c r="AO5791" s="55">
        <v>30</v>
      </c>
      <c r="AP5791" s="55">
        <v>5</v>
      </c>
      <c r="AQ5791" s="55">
        <v>0</v>
      </c>
      <c r="AR5791" s="55">
        <v>28500</v>
      </c>
      <c r="AS5791" s="78">
        <f t="shared" si="94"/>
        <v>0</v>
      </c>
    </row>
    <row r="5792" spans="39:45">
      <c r="AM5792" s="54">
        <v>2019</v>
      </c>
      <c r="AN5792" s="54" t="s">
        <v>189</v>
      </c>
      <c r="AO5792" s="54">
        <v>30</v>
      </c>
      <c r="AP5792" s="54">
        <v>6</v>
      </c>
      <c r="AQ5792" s="54">
        <v>1569</v>
      </c>
      <c r="AR5792" s="55">
        <v>28500</v>
      </c>
      <c r="AS5792" s="78">
        <f t="shared" si="94"/>
        <v>5.5052631578947367E-2</v>
      </c>
    </row>
    <row r="5793" spans="39:45">
      <c r="AM5793" s="55">
        <v>2019</v>
      </c>
      <c r="AN5793" s="55" t="s">
        <v>189</v>
      </c>
      <c r="AO5793" s="55">
        <v>30</v>
      </c>
      <c r="AP5793" s="55">
        <v>7</v>
      </c>
      <c r="AQ5793" s="55">
        <v>7780.5</v>
      </c>
      <c r="AR5793" s="55">
        <v>28500</v>
      </c>
      <c r="AS5793" s="78">
        <f t="shared" si="94"/>
        <v>0.27300000000000002</v>
      </c>
    </row>
    <row r="5794" spans="39:45">
      <c r="AM5794" s="54">
        <v>2019</v>
      </c>
      <c r="AN5794" s="54" t="s">
        <v>189</v>
      </c>
      <c r="AO5794" s="54">
        <v>30</v>
      </c>
      <c r="AP5794" s="54">
        <v>8</v>
      </c>
      <c r="AQ5794" s="54">
        <v>11638</v>
      </c>
      <c r="AR5794" s="55">
        <v>28500</v>
      </c>
      <c r="AS5794" s="78">
        <f t="shared" si="94"/>
        <v>0.40835087719298246</v>
      </c>
    </row>
    <row r="5795" spans="39:45">
      <c r="AM5795" s="55">
        <v>2019</v>
      </c>
      <c r="AN5795" s="55" t="s">
        <v>189</v>
      </c>
      <c r="AO5795" s="55">
        <v>30</v>
      </c>
      <c r="AP5795" s="55">
        <v>9</v>
      </c>
      <c r="AQ5795" s="55">
        <v>19264.5</v>
      </c>
      <c r="AR5795" s="55">
        <v>28500</v>
      </c>
      <c r="AS5795" s="78">
        <f t="shared" si="94"/>
        <v>0.67594736842105263</v>
      </c>
    </row>
    <row r="5796" spans="39:45">
      <c r="AM5796" s="54">
        <v>2019</v>
      </c>
      <c r="AN5796" s="54" t="s">
        <v>189</v>
      </c>
      <c r="AO5796" s="54">
        <v>30</v>
      </c>
      <c r="AP5796" s="54">
        <v>10</v>
      </c>
      <c r="AQ5796" s="54">
        <v>27501.5</v>
      </c>
      <c r="AR5796" s="55">
        <v>28500</v>
      </c>
      <c r="AS5796" s="78">
        <f t="shared" si="94"/>
        <v>0.9649649122807018</v>
      </c>
    </row>
    <row r="5797" spans="39:45">
      <c r="AM5797" s="55">
        <v>2019</v>
      </c>
      <c r="AN5797" s="55" t="s">
        <v>189</v>
      </c>
      <c r="AO5797" s="55">
        <v>30</v>
      </c>
      <c r="AP5797" s="55">
        <v>11</v>
      </c>
      <c r="AQ5797" s="55">
        <v>32322</v>
      </c>
      <c r="AR5797" s="55">
        <v>28500</v>
      </c>
      <c r="AS5797" s="78">
        <f t="shared" si="94"/>
        <v>1.1341052631578947</v>
      </c>
    </row>
    <row r="5798" spans="39:45">
      <c r="AM5798" s="54">
        <v>2019</v>
      </c>
      <c r="AN5798" s="54" t="s">
        <v>189</v>
      </c>
      <c r="AO5798" s="54">
        <v>30</v>
      </c>
      <c r="AP5798" s="54">
        <v>12</v>
      </c>
      <c r="AQ5798" s="54">
        <v>35241.5</v>
      </c>
      <c r="AR5798" s="55">
        <v>28500</v>
      </c>
      <c r="AS5798" s="78">
        <f t="shared" si="94"/>
        <v>1.2365438596491227</v>
      </c>
    </row>
    <row r="5799" spans="39:45">
      <c r="AM5799" s="55">
        <v>2019</v>
      </c>
      <c r="AN5799" s="55" t="s">
        <v>189</v>
      </c>
      <c r="AO5799" s="55">
        <v>30</v>
      </c>
      <c r="AP5799" s="55">
        <v>13</v>
      </c>
      <c r="AQ5799" s="55">
        <v>30528</v>
      </c>
      <c r="AR5799" s="55">
        <v>28500</v>
      </c>
      <c r="AS5799" s="78">
        <f t="shared" si="94"/>
        <v>1.0711578947368421</v>
      </c>
    </row>
    <row r="5800" spans="39:45">
      <c r="AM5800" s="54">
        <v>2019</v>
      </c>
      <c r="AN5800" s="54" t="s">
        <v>189</v>
      </c>
      <c r="AO5800" s="54">
        <v>30</v>
      </c>
      <c r="AP5800" s="54">
        <v>14</v>
      </c>
      <c r="AQ5800" s="54">
        <v>31829.5</v>
      </c>
      <c r="AR5800" s="55">
        <v>28500</v>
      </c>
      <c r="AS5800" s="78">
        <f t="shared" si="94"/>
        <v>1.1168245614035088</v>
      </c>
    </row>
    <row r="5801" spans="39:45">
      <c r="AM5801" s="55">
        <v>2019</v>
      </c>
      <c r="AN5801" s="55" t="s">
        <v>189</v>
      </c>
      <c r="AO5801" s="55">
        <v>30</v>
      </c>
      <c r="AP5801" s="55">
        <v>15</v>
      </c>
      <c r="AQ5801" s="55">
        <v>26130</v>
      </c>
      <c r="AR5801" s="55">
        <v>28500</v>
      </c>
      <c r="AS5801" s="78">
        <f t="shared" si="94"/>
        <v>0.9168421052631579</v>
      </c>
    </row>
    <row r="5802" spans="39:45">
      <c r="AM5802" s="54">
        <v>2019</v>
      </c>
      <c r="AN5802" s="54" t="s">
        <v>189</v>
      </c>
      <c r="AO5802" s="54">
        <v>30</v>
      </c>
      <c r="AP5802" s="54">
        <v>16</v>
      </c>
      <c r="AQ5802" s="54">
        <v>16477.5</v>
      </c>
      <c r="AR5802" s="55">
        <v>28500</v>
      </c>
      <c r="AS5802" s="78">
        <f t="shared" si="94"/>
        <v>0.57815789473684209</v>
      </c>
    </row>
    <row r="5803" spans="39:45">
      <c r="AM5803" s="55">
        <v>2019</v>
      </c>
      <c r="AN5803" s="55" t="s">
        <v>189</v>
      </c>
      <c r="AO5803" s="55">
        <v>30</v>
      </c>
      <c r="AP5803" s="55">
        <v>17</v>
      </c>
      <c r="AQ5803" s="55">
        <v>6600.5</v>
      </c>
      <c r="AR5803" s="55">
        <v>28500</v>
      </c>
      <c r="AS5803" s="78">
        <f t="shared" si="94"/>
        <v>0.23159649122807019</v>
      </c>
    </row>
    <row r="5804" spans="39:45">
      <c r="AM5804" s="54">
        <v>2019</v>
      </c>
      <c r="AN5804" s="54" t="s">
        <v>189</v>
      </c>
      <c r="AO5804" s="54">
        <v>30</v>
      </c>
      <c r="AP5804" s="54">
        <v>18</v>
      </c>
      <c r="AQ5804" s="54">
        <v>681</v>
      </c>
      <c r="AR5804" s="55">
        <v>28500</v>
      </c>
      <c r="AS5804" s="78">
        <f t="shared" si="94"/>
        <v>2.3894736842105264E-2</v>
      </c>
    </row>
    <row r="5805" spans="39:45">
      <c r="AM5805" s="55">
        <v>2019</v>
      </c>
      <c r="AN5805" s="55" t="s">
        <v>189</v>
      </c>
      <c r="AO5805" s="55">
        <v>30</v>
      </c>
      <c r="AP5805" s="55">
        <v>19</v>
      </c>
      <c r="AQ5805" s="55">
        <v>0</v>
      </c>
      <c r="AR5805" s="55">
        <v>28500</v>
      </c>
      <c r="AS5805" s="78">
        <f t="shared" si="94"/>
        <v>0</v>
      </c>
    </row>
    <row r="5806" spans="39:45">
      <c r="AM5806" s="54">
        <v>2019</v>
      </c>
      <c r="AN5806" s="54" t="s">
        <v>189</v>
      </c>
      <c r="AO5806" s="54">
        <v>30</v>
      </c>
      <c r="AP5806" s="54">
        <v>20</v>
      </c>
      <c r="AQ5806" s="54">
        <v>0</v>
      </c>
      <c r="AR5806" s="55">
        <v>28500</v>
      </c>
      <c r="AS5806" s="78">
        <f t="shared" si="94"/>
        <v>0</v>
      </c>
    </row>
    <row r="5807" spans="39:45">
      <c r="AM5807" s="55">
        <v>2019</v>
      </c>
      <c r="AN5807" s="55" t="s">
        <v>189</v>
      </c>
      <c r="AO5807" s="55">
        <v>30</v>
      </c>
      <c r="AP5807" s="55">
        <v>21</v>
      </c>
      <c r="AQ5807" s="55">
        <v>0</v>
      </c>
      <c r="AR5807" s="55">
        <v>28500</v>
      </c>
      <c r="AS5807" s="78">
        <f t="shared" si="94"/>
        <v>0</v>
      </c>
    </row>
    <row r="5808" spans="39:45">
      <c r="AM5808" s="54">
        <v>2019</v>
      </c>
      <c r="AN5808" s="54" t="s">
        <v>189</v>
      </c>
      <c r="AO5808" s="54">
        <v>30</v>
      </c>
      <c r="AP5808" s="54">
        <v>22</v>
      </c>
      <c r="AQ5808" s="54">
        <v>0</v>
      </c>
      <c r="AR5808" s="55">
        <v>28500</v>
      </c>
      <c r="AS5808" s="78">
        <f t="shared" si="94"/>
        <v>0</v>
      </c>
    </row>
    <row r="5809" spans="39:45">
      <c r="AM5809" s="55">
        <v>2019</v>
      </c>
      <c r="AN5809" s="55" t="s">
        <v>189</v>
      </c>
      <c r="AO5809" s="55">
        <v>30</v>
      </c>
      <c r="AP5809" s="55">
        <v>23</v>
      </c>
      <c r="AQ5809" s="55">
        <v>0</v>
      </c>
      <c r="AR5809" s="55">
        <v>28500</v>
      </c>
      <c r="AS5809" s="78">
        <f t="shared" si="94"/>
        <v>0</v>
      </c>
    </row>
    <row r="5810" spans="39:45">
      <c r="AM5810" s="54">
        <v>2019</v>
      </c>
      <c r="AN5810" s="54" t="s">
        <v>189</v>
      </c>
      <c r="AO5810" s="54">
        <v>31</v>
      </c>
      <c r="AP5810" s="54">
        <v>24</v>
      </c>
      <c r="AQ5810" s="54">
        <v>0</v>
      </c>
      <c r="AR5810" s="55">
        <v>28500</v>
      </c>
      <c r="AS5810" s="78">
        <f t="shared" si="94"/>
        <v>0</v>
      </c>
    </row>
    <row r="5811" spans="39:45">
      <c r="AM5811" s="55">
        <v>2019</v>
      </c>
      <c r="AN5811" s="55" t="s">
        <v>189</v>
      </c>
      <c r="AO5811" s="55">
        <v>31</v>
      </c>
      <c r="AP5811" s="55">
        <v>1</v>
      </c>
      <c r="AQ5811" s="55">
        <v>0</v>
      </c>
      <c r="AR5811" s="55">
        <v>28500</v>
      </c>
      <c r="AS5811" s="78">
        <f t="shared" si="94"/>
        <v>0</v>
      </c>
    </row>
    <row r="5812" spans="39:45">
      <c r="AM5812" s="54">
        <v>2019</v>
      </c>
      <c r="AN5812" s="54" t="s">
        <v>189</v>
      </c>
      <c r="AO5812" s="54">
        <v>31</v>
      </c>
      <c r="AP5812" s="54">
        <v>2</v>
      </c>
      <c r="AQ5812" s="54">
        <v>0</v>
      </c>
      <c r="AR5812" s="55">
        <v>28500</v>
      </c>
      <c r="AS5812" s="78">
        <f t="shared" si="94"/>
        <v>0</v>
      </c>
    </row>
    <row r="5813" spans="39:45">
      <c r="AM5813" s="55">
        <v>2019</v>
      </c>
      <c r="AN5813" s="55" t="s">
        <v>189</v>
      </c>
      <c r="AO5813" s="55">
        <v>31</v>
      </c>
      <c r="AP5813" s="55">
        <v>3</v>
      </c>
      <c r="AQ5813" s="55">
        <v>0</v>
      </c>
      <c r="AR5813" s="55">
        <v>28500</v>
      </c>
      <c r="AS5813" s="78">
        <f t="shared" si="94"/>
        <v>0</v>
      </c>
    </row>
    <row r="5814" spans="39:45">
      <c r="AM5814" s="54">
        <v>2019</v>
      </c>
      <c r="AN5814" s="54" t="s">
        <v>189</v>
      </c>
      <c r="AO5814" s="54">
        <v>31</v>
      </c>
      <c r="AP5814" s="54">
        <v>4</v>
      </c>
      <c r="AQ5814" s="54">
        <v>0</v>
      </c>
      <c r="AR5814" s="55">
        <v>28500</v>
      </c>
      <c r="AS5814" s="78">
        <f t="shared" si="94"/>
        <v>0</v>
      </c>
    </row>
    <row r="5815" spans="39:45">
      <c r="AM5815" s="55">
        <v>2019</v>
      </c>
      <c r="AN5815" s="55" t="s">
        <v>189</v>
      </c>
      <c r="AO5815" s="55">
        <v>31</v>
      </c>
      <c r="AP5815" s="55">
        <v>5</v>
      </c>
      <c r="AQ5815" s="55">
        <v>0</v>
      </c>
      <c r="AR5815" s="55">
        <v>28500</v>
      </c>
      <c r="AS5815" s="78">
        <f t="shared" si="94"/>
        <v>0</v>
      </c>
    </row>
    <row r="5816" spans="39:45">
      <c r="AM5816" s="54">
        <v>2019</v>
      </c>
      <c r="AN5816" s="54" t="s">
        <v>189</v>
      </c>
      <c r="AO5816" s="54">
        <v>31</v>
      </c>
      <c r="AP5816" s="54">
        <v>6</v>
      </c>
      <c r="AQ5816" s="54">
        <v>1626</v>
      </c>
      <c r="AR5816" s="55">
        <v>28500</v>
      </c>
      <c r="AS5816" s="78">
        <f t="shared" si="94"/>
        <v>5.7052631578947369E-2</v>
      </c>
    </row>
    <row r="5817" spans="39:45">
      <c r="AM5817" s="55">
        <v>2019</v>
      </c>
      <c r="AN5817" s="55" t="s">
        <v>189</v>
      </c>
      <c r="AO5817" s="55">
        <v>31</v>
      </c>
      <c r="AP5817" s="55">
        <v>7</v>
      </c>
      <c r="AQ5817" s="55">
        <v>10868.5</v>
      </c>
      <c r="AR5817" s="55">
        <v>28500</v>
      </c>
      <c r="AS5817" s="78">
        <f t="shared" si="94"/>
        <v>0.38135087719298244</v>
      </c>
    </row>
    <row r="5818" spans="39:45">
      <c r="AM5818" s="54">
        <v>2019</v>
      </c>
      <c r="AN5818" s="54" t="s">
        <v>189</v>
      </c>
      <c r="AO5818" s="54">
        <v>31</v>
      </c>
      <c r="AP5818" s="54">
        <v>8</v>
      </c>
      <c r="AQ5818" s="54">
        <v>17486</v>
      </c>
      <c r="AR5818" s="55">
        <v>28500</v>
      </c>
      <c r="AS5818" s="78">
        <f t="shared" si="94"/>
        <v>0.61354385964912284</v>
      </c>
    </row>
    <row r="5819" spans="39:45">
      <c r="AM5819" s="55">
        <v>2019</v>
      </c>
      <c r="AN5819" s="55" t="s">
        <v>189</v>
      </c>
      <c r="AO5819" s="55">
        <v>31</v>
      </c>
      <c r="AP5819" s="55">
        <v>9</v>
      </c>
      <c r="AQ5819" s="55">
        <v>26942</v>
      </c>
      <c r="AR5819" s="55">
        <v>28500</v>
      </c>
      <c r="AS5819" s="78">
        <f t="shared" si="94"/>
        <v>0.94533333333333336</v>
      </c>
    </row>
    <row r="5820" spans="39:45">
      <c r="AM5820" s="54">
        <v>2019</v>
      </c>
      <c r="AN5820" s="54" t="s">
        <v>189</v>
      </c>
      <c r="AO5820" s="54">
        <v>31</v>
      </c>
      <c r="AP5820" s="54">
        <v>10</v>
      </c>
      <c r="AQ5820" s="54">
        <v>31635.5</v>
      </c>
      <c r="AR5820" s="55">
        <v>28500</v>
      </c>
      <c r="AS5820" s="78">
        <f t="shared" si="94"/>
        <v>1.1100175438596491</v>
      </c>
    </row>
    <row r="5821" spans="39:45">
      <c r="AM5821" s="55">
        <v>2019</v>
      </c>
      <c r="AN5821" s="55" t="s">
        <v>189</v>
      </c>
      <c r="AO5821" s="55">
        <v>31</v>
      </c>
      <c r="AP5821" s="55">
        <v>11</v>
      </c>
      <c r="AQ5821" s="55">
        <v>26006</v>
      </c>
      <c r="AR5821" s="55">
        <v>28500</v>
      </c>
      <c r="AS5821" s="78">
        <f t="shared" si="94"/>
        <v>0.91249122807017546</v>
      </c>
    </row>
    <row r="5822" spans="39:45">
      <c r="AM5822" s="54">
        <v>2019</v>
      </c>
      <c r="AN5822" s="54" t="s">
        <v>189</v>
      </c>
      <c r="AO5822" s="54">
        <v>31</v>
      </c>
      <c r="AP5822" s="54">
        <v>12</v>
      </c>
      <c r="AQ5822" s="54">
        <v>39173.5</v>
      </c>
      <c r="AR5822" s="55">
        <v>28500</v>
      </c>
      <c r="AS5822" s="78">
        <f t="shared" si="94"/>
        <v>1.3745087719298246</v>
      </c>
    </row>
    <row r="5823" spans="39:45">
      <c r="AM5823" s="55">
        <v>2019</v>
      </c>
      <c r="AN5823" s="55" t="s">
        <v>189</v>
      </c>
      <c r="AO5823" s="55">
        <v>31</v>
      </c>
      <c r="AP5823" s="55">
        <v>13</v>
      </c>
      <c r="AQ5823" s="55">
        <v>26428</v>
      </c>
      <c r="AR5823" s="55">
        <v>28500</v>
      </c>
      <c r="AS5823" s="78">
        <f t="shared" si="94"/>
        <v>0.92729824561403507</v>
      </c>
    </row>
    <row r="5824" spans="39:45">
      <c r="AM5824" s="54">
        <v>2019</v>
      </c>
      <c r="AN5824" s="54" t="s">
        <v>189</v>
      </c>
      <c r="AO5824" s="54">
        <v>31</v>
      </c>
      <c r="AP5824" s="54">
        <v>14</v>
      </c>
      <c r="AQ5824" s="54">
        <v>11571</v>
      </c>
      <c r="AR5824" s="55">
        <v>28500</v>
      </c>
      <c r="AS5824" s="78">
        <f t="shared" si="94"/>
        <v>0.40600000000000003</v>
      </c>
    </row>
    <row r="5825" spans="39:45">
      <c r="AM5825" s="55">
        <v>2019</v>
      </c>
      <c r="AN5825" s="55" t="s">
        <v>189</v>
      </c>
      <c r="AO5825" s="55">
        <v>31</v>
      </c>
      <c r="AP5825" s="55">
        <v>15</v>
      </c>
      <c r="AQ5825" s="55">
        <v>9858.5</v>
      </c>
      <c r="AR5825" s="55">
        <v>28500</v>
      </c>
      <c r="AS5825" s="78">
        <f t="shared" si="94"/>
        <v>0.34591228070175439</v>
      </c>
    </row>
    <row r="5826" spans="39:45">
      <c r="AM5826" s="54">
        <v>2019</v>
      </c>
      <c r="AN5826" s="54" t="s">
        <v>189</v>
      </c>
      <c r="AO5826" s="54">
        <v>31</v>
      </c>
      <c r="AP5826" s="54">
        <v>16</v>
      </c>
      <c r="AQ5826" s="54">
        <v>3953.5</v>
      </c>
      <c r="AR5826" s="55">
        <v>28500</v>
      </c>
      <c r="AS5826" s="78">
        <f t="shared" ref="AS5826:AS5889" si="95">AQ5826/AR5826</f>
        <v>0.13871929824561405</v>
      </c>
    </row>
    <row r="5827" spans="39:45">
      <c r="AM5827" s="55">
        <v>2019</v>
      </c>
      <c r="AN5827" s="55" t="s">
        <v>189</v>
      </c>
      <c r="AO5827" s="55">
        <v>31</v>
      </c>
      <c r="AP5827" s="55">
        <v>17</v>
      </c>
      <c r="AQ5827" s="55">
        <v>545</v>
      </c>
      <c r="AR5827" s="55">
        <v>28500</v>
      </c>
      <c r="AS5827" s="78">
        <f t="shared" si="95"/>
        <v>1.9122807017543861E-2</v>
      </c>
    </row>
    <row r="5828" spans="39:45">
      <c r="AM5828" s="54">
        <v>2019</v>
      </c>
      <c r="AN5828" s="54" t="s">
        <v>189</v>
      </c>
      <c r="AO5828" s="54">
        <v>31</v>
      </c>
      <c r="AP5828" s="54">
        <v>18</v>
      </c>
      <c r="AQ5828" s="54">
        <v>598.5</v>
      </c>
      <c r="AR5828" s="55">
        <v>28500</v>
      </c>
      <c r="AS5828" s="78">
        <f t="shared" si="95"/>
        <v>2.1000000000000001E-2</v>
      </c>
    </row>
    <row r="5829" spans="39:45">
      <c r="AM5829" s="55">
        <v>2019</v>
      </c>
      <c r="AN5829" s="55" t="s">
        <v>189</v>
      </c>
      <c r="AO5829" s="55">
        <v>31</v>
      </c>
      <c r="AP5829" s="55">
        <v>19</v>
      </c>
      <c r="AQ5829" s="55">
        <v>0</v>
      </c>
      <c r="AR5829" s="55">
        <v>28500</v>
      </c>
      <c r="AS5829" s="78">
        <f t="shared" si="95"/>
        <v>0</v>
      </c>
    </row>
    <row r="5830" spans="39:45">
      <c r="AM5830" s="54">
        <v>2019</v>
      </c>
      <c r="AN5830" s="54" t="s">
        <v>189</v>
      </c>
      <c r="AO5830" s="54">
        <v>31</v>
      </c>
      <c r="AP5830" s="54">
        <v>20</v>
      </c>
      <c r="AQ5830" s="54">
        <v>0</v>
      </c>
      <c r="AR5830" s="55">
        <v>28500</v>
      </c>
      <c r="AS5830" s="78">
        <f t="shared" si="95"/>
        <v>0</v>
      </c>
    </row>
    <row r="5831" spans="39:45">
      <c r="AM5831" s="55">
        <v>2019</v>
      </c>
      <c r="AN5831" s="55" t="s">
        <v>189</v>
      </c>
      <c r="AO5831" s="55">
        <v>31</v>
      </c>
      <c r="AP5831" s="55">
        <v>21</v>
      </c>
      <c r="AQ5831" s="55">
        <v>0</v>
      </c>
      <c r="AR5831" s="55">
        <v>28500</v>
      </c>
      <c r="AS5831" s="78">
        <f t="shared" si="95"/>
        <v>0</v>
      </c>
    </row>
    <row r="5832" spans="39:45">
      <c r="AM5832" s="54">
        <v>2019</v>
      </c>
      <c r="AN5832" s="54" t="s">
        <v>189</v>
      </c>
      <c r="AO5832" s="54">
        <v>31</v>
      </c>
      <c r="AP5832" s="54">
        <v>22</v>
      </c>
      <c r="AQ5832" s="54">
        <v>0</v>
      </c>
      <c r="AR5832" s="55">
        <v>28500</v>
      </c>
      <c r="AS5832" s="78">
        <f t="shared" si="95"/>
        <v>0</v>
      </c>
    </row>
    <row r="5833" spans="39:45">
      <c r="AM5833" s="55">
        <v>2019</v>
      </c>
      <c r="AN5833" s="55" t="s">
        <v>189</v>
      </c>
      <c r="AO5833" s="55">
        <v>31</v>
      </c>
      <c r="AP5833" s="55">
        <v>23</v>
      </c>
      <c r="AQ5833" s="55">
        <v>0</v>
      </c>
      <c r="AR5833" s="55">
        <v>28500</v>
      </c>
      <c r="AS5833" s="78">
        <f t="shared" si="95"/>
        <v>0</v>
      </c>
    </row>
    <row r="5834" spans="39:45">
      <c r="AM5834" s="54">
        <v>2019</v>
      </c>
      <c r="AN5834" s="54" t="s">
        <v>190</v>
      </c>
      <c r="AO5834" s="54">
        <v>1</v>
      </c>
      <c r="AP5834" s="54">
        <v>24</v>
      </c>
      <c r="AQ5834" s="54">
        <v>0</v>
      </c>
      <c r="AR5834" s="55">
        <v>28500</v>
      </c>
      <c r="AS5834" s="78">
        <f t="shared" si="95"/>
        <v>0</v>
      </c>
    </row>
    <row r="5835" spans="39:45">
      <c r="AM5835" s="55">
        <v>2019</v>
      </c>
      <c r="AN5835" s="55" t="s">
        <v>190</v>
      </c>
      <c r="AO5835" s="55">
        <v>1</v>
      </c>
      <c r="AP5835" s="55">
        <v>1</v>
      </c>
      <c r="AQ5835" s="55">
        <v>0</v>
      </c>
      <c r="AR5835" s="55">
        <v>28500</v>
      </c>
      <c r="AS5835" s="78">
        <f t="shared" si="95"/>
        <v>0</v>
      </c>
    </row>
    <row r="5836" spans="39:45">
      <c r="AM5836" s="54">
        <v>2019</v>
      </c>
      <c r="AN5836" s="54" t="s">
        <v>190</v>
      </c>
      <c r="AO5836" s="54">
        <v>1</v>
      </c>
      <c r="AP5836" s="54">
        <v>2</v>
      </c>
      <c r="AQ5836" s="54">
        <v>0</v>
      </c>
      <c r="AR5836" s="55">
        <v>28500</v>
      </c>
      <c r="AS5836" s="78">
        <f t="shared" si="95"/>
        <v>0</v>
      </c>
    </row>
    <row r="5837" spans="39:45">
      <c r="AM5837" s="55">
        <v>2019</v>
      </c>
      <c r="AN5837" s="55" t="s">
        <v>190</v>
      </c>
      <c r="AO5837" s="55">
        <v>1</v>
      </c>
      <c r="AP5837" s="55">
        <v>3</v>
      </c>
      <c r="AQ5837" s="55">
        <v>0</v>
      </c>
      <c r="AR5837" s="55">
        <v>28500</v>
      </c>
      <c r="AS5837" s="78">
        <f t="shared" si="95"/>
        <v>0</v>
      </c>
    </row>
    <row r="5838" spans="39:45">
      <c r="AM5838" s="54">
        <v>2019</v>
      </c>
      <c r="AN5838" s="54" t="s">
        <v>190</v>
      </c>
      <c r="AO5838" s="54">
        <v>1</v>
      </c>
      <c r="AP5838" s="54">
        <v>4</v>
      </c>
      <c r="AQ5838" s="54">
        <v>0</v>
      </c>
      <c r="AR5838" s="55">
        <v>28500</v>
      </c>
      <c r="AS5838" s="78">
        <f t="shared" si="95"/>
        <v>0</v>
      </c>
    </row>
    <row r="5839" spans="39:45">
      <c r="AM5839" s="55">
        <v>2019</v>
      </c>
      <c r="AN5839" s="55" t="s">
        <v>190</v>
      </c>
      <c r="AO5839" s="55">
        <v>1</v>
      </c>
      <c r="AP5839" s="55">
        <v>5</v>
      </c>
      <c r="AQ5839" s="55">
        <v>0</v>
      </c>
      <c r="AR5839" s="55">
        <v>28500</v>
      </c>
      <c r="AS5839" s="78">
        <f t="shared" si="95"/>
        <v>0</v>
      </c>
    </row>
    <row r="5840" spans="39:45">
      <c r="AM5840" s="54">
        <v>2019</v>
      </c>
      <c r="AN5840" s="54" t="s">
        <v>190</v>
      </c>
      <c r="AO5840" s="54">
        <v>1</v>
      </c>
      <c r="AP5840" s="54">
        <v>6</v>
      </c>
      <c r="AQ5840" s="54">
        <v>217</v>
      </c>
      <c r="AR5840" s="55">
        <v>28500</v>
      </c>
      <c r="AS5840" s="78">
        <f t="shared" si="95"/>
        <v>7.6140350877192979E-3</v>
      </c>
    </row>
    <row r="5841" spans="39:45">
      <c r="AM5841" s="55">
        <v>2019</v>
      </c>
      <c r="AN5841" s="55" t="s">
        <v>190</v>
      </c>
      <c r="AO5841" s="55">
        <v>1</v>
      </c>
      <c r="AP5841" s="55">
        <v>7</v>
      </c>
      <c r="AQ5841" s="55">
        <v>10810.5</v>
      </c>
      <c r="AR5841" s="55">
        <v>28500</v>
      </c>
      <c r="AS5841" s="78">
        <f t="shared" si="95"/>
        <v>0.37931578947368422</v>
      </c>
    </row>
    <row r="5842" spans="39:45">
      <c r="AM5842" s="54">
        <v>2019</v>
      </c>
      <c r="AN5842" s="54" t="s">
        <v>190</v>
      </c>
      <c r="AO5842" s="54">
        <v>1</v>
      </c>
      <c r="AP5842" s="54">
        <v>8</v>
      </c>
      <c r="AQ5842" s="54">
        <v>21261</v>
      </c>
      <c r="AR5842" s="55">
        <v>28500</v>
      </c>
      <c r="AS5842" s="78">
        <f t="shared" si="95"/>
        <v>0.746</v>
      </c>
    </row>
    <row r="5843" spans="39:45">
      <c r="AM5843" s="55">
        <v>2019</v>
      </c>
      <c r="AN5843" s="55" t="s">
        <v>190</v>
      </c>
      <c r="AO5843" s="55">
        <v>1</v>
      </c>
      <c r="AP5843" s="55">
        <v>9</v>
      </c>
      <c r="AQ5843" s="55">
        <v>29626</v>
      </c>
      <c r="AR5843" s="55">
        <v>28500</v>
      </c>
      <c r="AS5843" s="78">
        <f t="shared" si="95"/>
        <v>1.0395087719298246</v>
      </c>
    </row>
    <row r="5844" spans="39:45">
      <c r="AM5844" s="54">
        <v>2019</v>
      </c>
      <c r="AN5844" s="54" t="s">
        <v>190</v>
      </c>
      <c r="AO5844" s="54">
        <v>1</v>
      </c>
      <c r="AP5844" s="54">
        <v>10</v>
      </c>
      <c r="AQ5844" s="54">
        <v>31329</v>
      </c>
      <c r="AR5844" s="55">
        <v>28500</v>
      </c>
      <c r="AS5844" s="78">
        <f t="shared" si="95"/>
        <v>1.0992631578947369</v>
      </c>
    </row>
    <row r="5845" spans="39:45">
      <c r="AM5845" s="55">
        <v>2019</v>
      </c>
      <c r="AN5845" s="55" t="s">
        <v>190</v>
      </c>
      <c r="AO5845" s="55">
        <v>1</v>
      </c>
      <c r="AP5845" s="55">
        <v>11</v>
      </c>
      <c r="AQ5845" s="55">
        <v>26197</v>
      </c>
      <c r="AR5845" s="55">
        <v>28500</v>
      </c>
      <c r="AS5845" s="78">
        <f t="shared" si="95"/>
        <v>0.91919298245614034</v>
      </c>
    </row>
    <row r="5846" spans="39:45">
      <c r="AM5846" s="54">
        <v>2019</v>
      </c>
      <c r="AN5846" s="54" t="s">
        <v>190</v>
      </c>
      <c r="AO5846" s="54">
        <v>1</v>
      </c>
      <c r="AP5846" s="54">
        <v>12</v>
      </c>
      <c r="AQ5846" s="54">
        <v>2615.5</v>
      </c>
      <c r="AR5846" s="55">
        <v>28500</v>
      </c>
      <c r="AS5846" s="78">
        <f t="shared" si="95"/>
        <v>9.1771929824561407E-2</v>
      </c>
    </row>
    <row r="5847" spans="39:45">
      <c r="AM5847" s="55">
        <v>2019</v>
      </c>
      <c r="AN5847" s="55" t="s">
        <v>190</v>
      </c>
      <c r="AO5847" s="55">
        <v>1</v>
      </c>
      <c r="AP5847" s="55">
        <v>13</v>
      </c>
      <c r="AQ5847" s="55">
        <v>26666</v>
      </c>
      <c r="AR5847" s="55">
        <v>28500</v>
      </c>
      <c r="AS5847" s="78">
        <f t="shared" si="95"/>
        <v>0.93564912280701751</v>
      </c>
    </row>
    <row r="5848" spans="39:45">
      <c r="AM5848" s="54">
        <v>2019</v>
      </c>
      <c r="AN5848" s="54" t="s">
        <v>190</v>
      </c>
      <c r="AO5848" s="54">
        <v>1</v>
      </c>
      <c r="AP5848" s="54">
        <v>14</v>
      </c>
      <c r="AQ5848" s="54">
        <v>25407</v>
      </c>
      <c r="AR5848" s="55">
        <v>28500</v>
      </c>
      <c r="AS5848" s="78">
        <f t="shared" si="95"/>
        <v>0.89147368421052631</v>
      </c>
    </row>
    <row r="5849" spans="39:45">
      <c r="AM5849" s="55">
        <v>2019</v>
      </c>
      <c r="AN5849" s="55" t="s">
        <v>190</v>
      </c>
      <c r="AO5849" s="55">
        <v>1</v>
      </c>
      <c r="AP5849" s="55">
        <v>15</v>
      </c>
      <c r="AQ5849" s="55">
        <v>14983.5</v>
      </c>
      <c r="AR5849" s="55">
        <v>28500</v>
      </c>
      <c r="AS5849" s="78">
        <f t="shared" si="95"/>
        <v>0.52573684210526317</v>
      </c>
    </row>
    <row r="5850" spans="39:45">
      <c r="AM5850" s="54">
        <v>2019</v>
      </c>
      <c r="AN5850" s="54" t="s">
        <v>190</v>
      </c>
      <c r="AO5850" s="54">
        <v>1</v>
      </c>
      <c r="AP5850" s="54">
        <v>16</v>
      </c>
      <c r="AQ5850" s="54">
        <v>15565</v>
      </c>
      <c r="AR5850" s="55">
        <v>28500</v>
      </c>
      <c r="AS5850" s="78">
        <f t="shared" si="95"/>
        <v>0.54614035087719304</v>
      </c>
    </row>
    <row r="5851" spans="39:45">
      <c r="AM5851" s="55">
        <v>2019</v>
      </c>
      <c r="AN5851" s="55" t="s">
        <v>190</v>
      </c>
      <c r="AO5851" s="55">
        <v>1</v>
      </c>
      <c r="AP5851" s="55">
        <v>17</v>
      </c>
      <c r="AQ5851" s="55">
        <v>6652.5</v>
      </c>
      <c r="AR5851" s="55">
        <v>28500</v>
      </c>
      <c r="AS5851" s="78">
        <f t="shared" si="95"/>
        <v>0.23342105263157895</v>
      </c>
    </row>
    <row r="5852" spans="39:45">
      <c r="AM5852" s="54">
        <v>2019</v>
      </c>
      <c r="AN5852" s="54" t="s">
        <v>190</v>
      </c>
      <c r="AO5852" s="54">
        <v>1</v>
      </c>
      <c r="AP5852" s="54">
        <v>18</v>
      </c>
      <c r="AQ5852" s="54">
        <v>252.5</v>
      </c>
      <c r="AR5852" s="55">
        <v>28500</v>
      </c>
      <c r="AS5852" s="78">
        <f t="shared" si="95"/>
        <v>8.859649122807017E-3</v>
      </c>
    </row>
    <row r="5853" spans="39:45">
      <c r="AM5853" s="55">
        <v>2019</v>
      </c>
      <c r="AN5853" s="55" t="s">
        <v>190</v>
      </c>
      <c r="AO5853" s="55">
        <v>1</v>
      </c>
      <c r="AP5853" s="55">
        <v>19</v>
      </c>
      <c r="AQ5853" s="55">
        <v>0</v>
      </c>
      <c r="AR5853" s="55">
        <v>28500</v>
      </c>
      <c r="AS5853" s="78">
        <f t="shared" si="95"/>
        <v>0</v>
      </c>
    </row>
    <row r="5854" spans="39:45">
      <c r="AM5854" s="54">
        <v>2019</v>
      </c>
      <c r="AN5854" s="54" t="s">
        <v>190</v>
      </c>
      <c r="AO5854" s="54">
        <v>1</v>
      </c>
      <c r="AP5854" s="54">
        <v>20</v>
      </c>
      <c r="AQ5854" s="54">
        <v>0</v>
      </c>
      <c r="AR5854" s="55">
        <v>28500</v>
      </c>
      <c r="AS5854" s="78">
        <f t="shared" si="95"/>
        <v>0</v>
      </c>
    </row>
    <row r="5855" spans="39:45">
      <c r="AM5855" s="55">
        <v>2019</v>
      </c>
      <c r="AN5855" s="55" t="s">
        <v>190</v>
      </c>
      <c r="AO5855" s="55">
        <v>1</v>
      </c>
      <c r="AP5855" s="55">
        <v>21</v>
      </c>
      <c r="AQ5855" s="55">
        <v>0</v>
      </c>
      <c r="AR5855" s="55">
        <v>28500</v>
      </c>
      <c r="AS5855" s="78">
        <f t="shared" si="95"/>
        <v>0</v>
      </c>
    </row>
    <row r="5856" spans="39:45">
      <c r="AM5856" s="54">
        <v>2019</v>
      </c>
      <c r="AN5856" s="54" t="s">
        <v>190</v>
      </c>
      <c r="AO5856" s="54">
        <v>1</v>
      </c>
      <c r="AP5856" s="54">
        <v>22</v>
      </c>
      <c r="AQ5856" s="54">
        <v>0</v>
      </c>
      <c r="AR5856" s="55">
        <v>28500</v>
      </c>
      <c r="AS5856" s="78">
        <f t="shared" si="95"/>
        <v>0</v>
      </c>
    </row>
    <row r="5857" spans="39:45">
      <c r="AM5857" s="55">
        <v>2019</v>
      </c>
      <c r="AN5857" s="55" t="s">
        <v>190</v>
      </c>
      <c r="AO5857" s="55">
        <v>1</v>
      </c>
      <c r="AP5857" s="55">
        <v>23</v>
      </c>
      <c r="AQ5857" s="55">
        <v>0</v>
      </c>
      <c r="AR5857" s="55">
        <v>28500</v>
      </c>
      <c r="AS5857" s="78">
        <f t="shared" si="95"/>
        <v>0</v>
      </c>
    </row>
    <row r="5858" spans="39:45">
      <c r="AM5858" s="54">
        <v>2019</v>
      </c>
      <c r="AN5858" s="54" t="s">
        <v>190</v>
      </c>
      <c r="AO5858" s="54">
        <v>2</v>
      </c>
      <c r="AP5858" s="54">
        <v>24</v>
      </c>
      <c r="AQ5858" s="54">
        <v>0</v>
      </c>
      <c r="AR5858" s="55">
        <v>28500</v>
      </c>
      <c r="AS5858" s="78">
        <f t="shared" si="95"/>
        <v>0</v>
      </c>
    </row>
    <row r="5859" spans="39:45">
      <c r="AM5859" s="55">
        <v>2019</v>
      </c>
      <c r="AN5859" s="55" t="s">
        <v>190</v>
      </c>
      <c r="AO5859" s="55">
        <v>2</v>
      </c>
      <c r="AP5859" s="55">
        <v>1</v>
      </c>
      <c r="AQ5859" s="55">
        <v>0</v>
      </c>
      <c r="AR5859" s="55">
        <v>28500</v>
      </c>
      <c r="AS5859" s="78">
        <f t="shared" si="95"/>
        <v>0</v>
      </c>
    </row>
    <row r="5860" spans="39:45">
      <c r="AM5860" s="54">
        <v>2019</v>
      </c>
      <c r="AN5860" s="54" t="s">
        <v>190</v>
      </c>
      <c r="AO5860" s="54">
        <v>2</v>
      </c>
      <c r="AP5860" s="54">
        <v>2</v>
      </c>
      <c r="AQ5860" s="54">
        <v>0</v>
      </c>
      <c r="AR5860" s="55">
        <v>28500</v>
      </c>
      <c r="AS5860" s="78">
        <f t="shared" si="95"/>
        <v>0</v>
      </c>
    </row>
    <row r="5861" spans="39:45">
      <c r="AM5861" s="55">
        <v>2019</v>
      </c>
      <c r="AN5861" s="55" t="s">
        <v>190</v>
      </c>
      <c r="AO5861" s="55">
        <v>2</v>
      </c>
      <c r="AP5861" s="55">
        <v>3</v>
      </c>
      <c r="AQ5861" s="55">
        <v>0</v>
      </c>
      <c r="AR5861" s="55">
        <v>28500</v>
      </c>
      <c r="AS5861" s="78">
        <f t="shared" si="95"/>
        <v>0</v>
      </c>
    </row>
    <row r="5862" spans="39:45">
      <c r="AM5862" s="54">
        <v>2019</v>
      </c>
      <c r="AN5862" s="54" t="s">
        <v>190</v>
      </c>
      <c r="AO5862" s="54">
        <v>2</v>
      </c>
      <c r="AP5862" s="54">
        <v>4</v>
      </c>
      <c r="AQ5862" s="54">
        <v>0</v>
      </c>
      <c r="AR5862" s="55">
        <v>28500</v>
      </c>
      <c r="AS5862" s="78">
        <f t="shared" si="95"/>
        <v>0</v>
      </c>
    </row>
    <row r="5863" spans="39:45">
      <c r="AM5863" s="55">
        <v>2019</v>
      </c>
      <c r="AN5863" s="55" t="s">
        <v>190</v>
      </c>
      <c r="AO5863" s="55">
        <v>2</v>
      </c>
      <c r="AP5863" s="55">
        <v>5</v>
      </c>
      <c r="AQ5863" s="55">
        <v>0</v>
      </c>
      <c r="AR5863" s="55">
        <v>28500</v>
      </c>
      <c r="AS5863" s="78">
        <f t="shared" si="95"/>
        <v>0</v>
      </c>
    </row>
    <row r="5864" spans="39:45">
      <c r="AM5864" s="54">
        <v>2019</v>
      </c>
      <c r="AN5864" s="54" t="s">
        <v>190</v>
      </c>
      <c r="AO5864" s="54">
        <v>2</v>
      </c>
      <c r="AP5864" s="54">
        <v>6</v>
      </c>
      <c r="AQ5864" s="54">
        <v>1579.5</v>
      </c>
      <c r="AR5864" s="55">
        <v>28500</v>
      </c>
      <c r="AS5864" s="78">
        <f t="shared" si="95"/>
        <v>5.5421052631578947E-2</v>
      </c>
    </row>
    <row r="5865" spans="39:45">
      <c r="AM5865" s="55">
        <v>2019</v>
      </c>
      <c r="AN5865" s="55" t="s">
        <v>190</v>
      </c>
      <c r="AO5865" s="55">
        <v>2</v>
      </c>
      <c r="AP5865" s="55">
        <v>7</v>
      </c>
      <c r="AQ5865" s="55">
        <v>9613</v>
      </c>
      <c r="AR5865" s="55">
        <v>28500</v>
      </c>
      <c r="AS5865" s="78">
        <f t="shared" si="95"/>
        <v>0.3372982456140351</v>
      </c>
    </row>
    <row r="5866" spans="39:45">
      <c r="AM5866" s="54">
        <v>2019</v>
      </c>
      <c r="AN5866" s="54" t="s">
        <v>190</v>
      </c>
      <c r="AO5866" s="54">
        <v>2</v>
      </c>
      <c r="AP5866" s="54">
        <v>8</v>
      </c>
      <c r="AQ5866" s="54">
        <v>18147.5</v>
      </c>
      <c r="AR5866" s="55">
        <v>28500</v>
      </c>
      <c r="AS5866" s="78">
        <f t="shared" si="95"/>
        <v>0.6367543859649123</v>
      </c>
    </row>
    <row r="5867" spans="39:45">
      <c r="AM5867" s="55">
        <v>2019</v>
      </c>
      <c r="AN5867" s="55" t="s">
        <v>190</v>
      </c>
      <c r="AO5867" s="55">
        <v>2</v>
      </c>
      <c r="AP5867" s="55">
        <v>9</v>
      </c>
      <c r="AQ5867" s="55">
        <v>29291</v>
      </c>
      <c r="AR5867" s="55">
        <v>28500</v>
      </c>
      <c r="AS5867" s="78">
        <f t="shared" si="95"/>
        <v>1.0277543859649123</v>
      </c>
    </row>
    <row r="5868" spans="39:45">
      <c r="AM5868" s="54">
        <v>2019</v>
      </c>
      <c r="AN5868" s="54" t="s">
        <v>190</v>
      </c>
      <c r="AO5868" s="54">
        <v>2</v>
      </c>
      <c r="AP5868" s="54">
        <v>10</v>
      </c>
      <c r="AQ5868" s="54">
        <v>34071.5</v>
      </c>
      <c r="AR5868" s="55">
        <v>28500</v>
      </c>
      <c r="AS5868" s="78">
        <f t="shared" si="95"/>
        <v>1.1954912280701755</v>
      </c>
    </row>
    <row r="5869" spans="39:45">
      <c r="AM5869" s="55">
        <v>2019</v>
      </c>
      <c r="AN5869" s="55" t="s">
        <v>190</v>
      </c>
      <c r="AO5869" s="55">
        <v>2</v>
      </c>
      <c r="AP5869" s="55">
        <v>11</v>
      </c>
      <c r="AQ5869" s="55">
        <v>28948.5</v>
      </c>
      <c r="AR5869" s="55">
        <v>28500</v>
      </c>
      <c r="AS5869" s="78">
        <f t="shared" si="95"/>
        <v>1.015736842105263</v>
      </c>
    </row>
    <row r="5870" spans="39:45">
      <c r="AM5870" s="54">
        <v>2019</v>
      </c>
      <c r="AN5870" s="54" t="s">
        <v>190</v>
      </c>
      <c r="AO5870" s="54">
        <v>2</v>
      </c>
      <c r="AP5870" s="54">
        <v>12</v>
      </c>
      <c r="AQ5870" s="54">
        <v>32507</v>
      </c>
      <c r="AR5870" s="55">
        <v>28500</v>
      </c>
      <c r="AS5870" s="78">
        <f t="shared" si="95"/>
        <v>1.1405964912280702</v>
      </c>
    </row>
    <row r="5871" spans="39:45">
      <c r="AM5871" s="55">
        <v>2019</v>
      </c>
      <c r="AN5871" s="55" t="s">
        <v>190</v>
      </c>
      <c r="AO5871" s="55">
        <v>2</v>
      </c>
      <c r="AP5871" s="55">
        <v>13</v>
      </c>
      <c r="AQ5871" s="55">
        <v>30909.5</v>
      </c>
      <c r="AR5871" s="55">
        <v>28500</v>
      </c>
      <c r="AS5871" s="78">
        <f t="shared" si="95"/>
        <v>1.0845438596491228</v>
      </c>
    </row>
    <row r="5872" spans="39:45">
      <c r="AM5872" s="54">
        <v>2019</v>
      </c>
      <c r="AN5872" s="54" t="s">
        <v>190</v>
      </c>
      <c r="AO5872" s="54">
        <v>2</v>
      </c>
      <c r="AP5872" s="54">
        <v>14</v>
      </c>
      <c r="AQ5872" s="54">
        <v>18829</v>
      </c>
      <c r="AR5872" s="55">
        <v>28500</v>
      </c>
      <c r="AS5872" s="78">
        <f t="shared" si="95"/>
        <v>0.66066666666666662</v>
      </c>
    </row>
    <row r="5873" spans="39:45">
      <c r="AM5873" s="55">
        <v>2019</v>
      </c>
      <c r="AN5873" s="55" t="s">
        <v>190</v>
      </c>
      <c r="AO5873" s="55">
        <v>2</v>
      </c>
      <c r="AP5873" s="55">
        <v>15</v>
      </c>
      <c r="AQ5873" s="55">
        <v>12245</v>
      </c>
      <c r="AR5873" s="55">
        <v>28500</v>
      </c>
      <c r="AS5873" s="78">
        <f t="shared" si="95"/>
        <v>0.42964912280701756</v>
      </c>
    </row>
    <row r="5874" spans="39:45">
      <c r="AM5874" s="54">
        <v>2019</v>
      </c>
      <c r="AN5874" s="54" t="s">
        <v>190</v>
      </c>
      <c r="AO5874" s="54">
        <v>2</v>
      </c>
      <c r="AP5874" s="54">
        <v>16</v>
      </c>
      <c r="AQ5874" s="54">
        <v>5194</v>
      </c>
      <c r="AR5874" s="55">
        <v>28500</v>
      </c>
      <c r="AS5874" s="78">
        <f t="shared" si="95"/>
        <v>0.18224561403508771</v>
      </c>
    </row>
    <row r="5875" spans="39:45">
      <c r="AM5875" s="55">
        <v>2019</v>
      </c>
      <c r="AN5875" s="55" t="s">
        <v>190</v>
      </c>
      <c r="AO5875" s="55">
        <v>2</v>
      </c>
      <c r="AP5875" s="55">
        <v>17</v>
      </c>
      <c r="AQ5875" s="55">
        <v>1991</v>
      </c>
      <c r="AR5875" s="55">
        <v>28500</v>
      </c>
      <c r="AS5875" s="78">
        <f t="shared" si="95"/>
        <v>6.9859649122807024E-2</v>
      </c>
    </row>
    <row r="5876" spans="39:45">
      <c r="AM5876" s="54">
        <v>2019</v>
      </c>
      <c r="AN5876" s="54" t="s">
        <v>190</v>
      </c>
      <c r="AO5876" s="54">
        <v>2</v>
      </c>
      <c r="AP5876" s="54">
        <v>18</v>
      </c>
      <c r="AQ5876" s="54">
        <v>459</v>
      </c>
      <c r="AR5876" s="55">
        <v>28500</v>
      </c>
      <c r="AS5876" s="78">
        <f t="shared" si="95"/>
        <v>1.6105263157894737E-2</v>
      </c>
    </row>
    <row r="5877" spans="39:45">
      <c r="AM5877" s="55">
        <v>2019</v>
      </c>
      <c r="AN5877" s="55" t="s">
        <v>190</v>
      </c>
      <c r="AO5877" s="55">
        <v>2</v>
      </c>
      <c r="AP5877" s="55">
        <v>19</v>
      </c>
      <c r="AQ5877" s="55">
        <v>0</v>
      </c>
      <c r="AR5877" s="55">
        <v>28500</v>
      </c>
      <c r="AS5877" s="78">
        <f t="shared" si="95"/>
        <v>0</v>
      </c>
    </row>
    <row r="5878" spans="39:45">
      <c r="AM5878" s="54">
        <v>2019</v>
      </c>
      <c r="AN5878" s="54" t="s">
        <v>190</v>
      </c>
      <c r="AO5878" s="54">
        <v>2</v>
      </c>
      <c r="AP5878" s="54">
        <v>20</v>
      </c>
      <c r="AQ5878" s="54">
        <v>0</v>
      </c>
      <c r="AR5878" s="55">
        <v>28500</v>
      </c>
      <c r="AS5878" s="78">
        <f t="shared" si="95"/>
        <v>0</v>
      </c>
    </row>
    <row r="5879" spans="39:45">
      <c r="AM5879" s="55">
        <v>2019</v>
      </c>
      <c r="AN5879" s="55" t="s">
        <v>190</v>
      </c>
      <c r="AO5879" s="55">
        <v>2</v>
      </c>
      <c r="AP5879" s="55">
        <v>21</v>
      </c>
      <c r="AQ5879" s="55">
        <v>0</v>
      </c>
      <c r="AR5879" s="55">
        <v>28500</v>
      </c>
      <c r="AS5879" s="78">
        <f t="shared" si="95"/>
        <v>0</v>
      </c>
    </row>
    <row r="5880" spans="39:45">
      <c r="AM5880" s="54">
        <v>2019</v>
      </c>
      <c r="AN5880" s="54" t="s">
        <v>190</v>
      </c>
      <c r="AO5880" s="54">
        <v>2</v>
      </c>
      <c r="AP5880" s="54">
        <v>22</v>
      </c>
      <c r="AQ5880" s="54">
        <v>0</v>
      </c>
      <c r="AR5880" s="55">
        <v>28500</v>
      </c>
      <c r="AS5880" s="78">
        <f t="shared" si="95"/>
        <v>0</v>
      </c>
    </row>
    <row r="5881" spans="39:45">
      <c r="AM5881" s="55">
        <v>2019</v>
      </c>
      <c r="AN5881" s="55" t="s">
        <v>190</v>
      </c>
      <c r="AO5881" s="55">
        <v>2</v>
      </c>
      <c r="AP5881" s="55">
        <v>23</v>
      </c>
      <c r="AQ5881" s="55">
        <v>0</v>
      </c>
      <c r="AR5881" s="55">
        <v>28500</v>
      </c>
      <c r="AS5881" s="78">
        <f t="shared" si="95"/>
        <v>0</v>
      </c>
    </row>
    <row r="5882" spans="39:45">
      <c r="AM5882" s="54">
        <v>2019</v>
      </c>
      <c r="AN5882" s="54" t="s">
        <v>190</v>
      </c>
      <c r="AO5882" s="54">
        <v>3</v>
      </c>
      <c r="AP5882" s="54">
        <v>24</v>
      </c>
      <c r="AQ5882" s="54">
        <v>0</v>
      </c>
      <c r="AR5882" s="55">
        <v>28500</v>
      </c>
      <c r="AS5882" s="78">
        <f t="shared" si="95"/>
        <v>0</v>
      </c>
    </row>
    <row r="5883" spans="39:45">
      <c r="AM5883" s="55">
        <v>2019</v>
      </c>
      <c r="AN5883" s="55" t="s">
        <v>190</v>
      </c>
      <c r="AO5883" s="55">
        <v>3</v>
      </c>
      <c r="AP5883" s="55">
        <v>1</v>
      </c>
      <c r="AQ5883" s="55">
        <v>0</v>
      </c>
      <c r="AR5883" s="55">
        <v>28500</v>
      </c>
      <c r="AS5883" s="78">
        <f t="shared" si="95"/>
        <v>0</v>
      </c>
    </row>
    <row r="5884" spans="39:45">
      <c r="AM5884" s="54">
        <v>2019</v>
      </c>
      <c r="AN5884" s="54" t="s">
        <v>190</v>
      </c>
      <c r="AO5884" s="54">
        <v>3</v>
      </c>
      <c r="AP5884" s="54">
        <v>2</v>
      </c>
      <c r="AQ5884" s="54">
        <v>0</v>
      </c>
      <c r="AR5884" s="55">
        <v>28500</v>
      </c>
      <c r="AS5884" s="78">
        <f t="shared" si="95"/>
        <v>0</v>
      </c>
    </row>
    <row r="5885" spans="39:45">
      <c r="AM5885" s="55">
        <v>2019</v>
      </c>
      <c r="AN5885" s="55" t="s">
        <v>190</v>
      </c>
      <c r="AO5885" s="55">
        <v>3</v>
      </c>
      <c r="AP5885" s="55">
        <v>3</v>
      </c>
      <c r="AQ5885" s="55">
        <v>0</v>
      </c>
      <c r="AR5885" s="55">
        <v>28500</v>
      </c>
      <c r="AS5885" s="78">
        <f t="shared" si="95"/>
        <v>0</v>
      </c>
    </row>
    <row r="5886" spans="39:45">
      <c r="AM5886" s="54">
        <v>2019</v>
      </c>
      <c r="AN5886" s="54" t="s">
        <v>190</v>
      </c>
      <c r="AO5886" s="54">
        <v>3</v>
      </c>
      <c r="AP5886" s="54">
        <v>4</v>
      </c>
      <c r="AQ5886" s="54">
        <v>0</v>
      </c>
      <c r="AR5886" s="55">
        <v>28500</v>
      </c>
      <c r="AS5886" s="78">
        <f t="shared" si="95"/>
        <v>0</v>
      </c>
    </row>
    <row r="5887" spans="39:45">
      <c r="AM5887" s="55">
        <v>2019</v>
      </c>
      <c r="AN5887" s="55" t="s">
        <v>190</v>
      </c>
      <c r="AO5887" s="55">
        <v>3</v>
      </c>
      <c r="AP5887" s="55">
        <v>5</v>
      </c>
      <c r="AQ5887" s="55">
        <v>0</v>
      </c>
      <c r="AR5887" s="55">
        <v>28500</v>
      </c>
      <c r="AS5887" s="78">
        <f t="shared" si="95"/>
        <v>0</v>
      </c>
    </row>
    <row r="5888" spans="39:45">
      <c r="AM5888" s="54">
        <v>2019</v>
      </c>
      <c r="AN5888" s="54" t="s">
        <v>190</v>
      </c>
      <c r="AO5888" s="54">
        <v>3</v>
      </c>
      <c r="AP5888" s="54">
        <v>6</v>
      </c>
      <c r="AQ5888" s="54">
        <v>1081</v>
      </c>
      <c r="AR5888" s="55">
        <v>28500</v>
      </c>
      <c r="AS5888" s="78">
        <f t="shared" si="95"/>
        <v>3.7929824561403508E-2</v>
      </c>
    </row>
    <row r="5889" spans="39:45">
      <c r="AM5889" s="55">
        <v>2019</v>
      </c>
      <c r="AN5889" s="55" t="s">
        <v>190</v>
      </c>
      <c r="AO5889" s="55">
        <v>3</v>
      </c>
      <c r="AP5889" s="55">
        <v>7</v>
      </c>
      <c r="AQ5889" s="55">
        <v>4003.5</v>
      </c>
      <c r="AR5889" s="55">
        <v>28500</v>
      </c>
      <c r="AS5889" s="78">
        <f t="shared" si="95"/>
        <v>0.14047368421052631</v>
      </c>
    </row>
    <row r="5890" spans="39:45">
      <c r="AM5890" s="54">
        <v>2019</v>
      </c>
      <c r="AN5890" s="54" t="s">
        <v>190</v>
      </c>
      <c r="AO5890" s="54">
        <v>3</v>
      </c>
      <c r="AP5890" s="54">
        <v>8</v>
      </c>
      <c r="AQ5890" s="54">
        <v>13411.5</v>
      </c>
      <c r="AR5890" s="55">
        <v>28500</v>
      </c>
      <c r="AS5890" s="78">
        <f t="shared" ref="AS5890:AS5953" si="96">AQ5890/AR5890</f>
        <v>0.47057894736842104</v>
      </c>
    </row>
    <row r="5891" spans="39:45">
      <c r="AM5891" s="55">
        <v>2019</v>
      </c>
      <c r="AN5891" s="55" t="s">
        <v>190</v>
      </c>
      <c r="AO5891" s="55">
        <v>3</v>
      </c>
      <c r="AP5891" s="55">
        <v>9</v>
      </c>
      <c r="AQ5891" s="55">
        <v>11691</v>
      </c>
      <c r="AR5891" s="55">
        <v>28500</v>
      </c>
      <c r="AS5891" s="78">
        <f t="shared" si="96"/>
        <v>0.41021052631578947</v>
      </c>
    </row>
    <row r="5892" spans="39:45">
      <c r="AM5892" s="54">
        <v>2019</v>
      </c>
      <c r="AN5892" s="54" t="s">
        <v>190</v>
      </c>
      <c r="AO5892" s="54">
        <v>3</v>
      </c>
      <c r="AP5892" s="54">
        <v>10</v>
      </c>
      <c r="AQ5892" s="54">
        <v>14384.5</v>
      </c>
      <c r="AR5892" s="55">
        <v>28500</v>
      </c>
      <c r="AS5892" s="78">
        <f t="shared" si="96"/>
        <v>0.50471929824561401</v>
      </c>
    </row>
    <row r="5893" spans="39:45">
      <c r="AM5893" s="55">
        <v>2019</v>
      </c>
      <c r="AN5893" s="55" t="s">
        <v>190</v>
      </c>
      <c r="AO5893" s="55">
        <v>3</v>
      </c>
      <c r="AP5893" s="55">
        <v>11</v>
      </c>
      <c r="AQ5893" s="55">
        <v>17214.5</v>
      </c>
      <c r="AR5893" s="55">
        <v>28500</v>
      </c>
      <c r="AS5893" s="78">
        <f t="shared" si="96"/>
        <v>0.60401754385964912</v>
      </c>
    </row>
    <row r="5894" spans="39:45">
      <c r="AM5894" s="54">
        <v>2019</v>
      </c>
      <c r="AN5894" s="54" t="s">
        <v>190</v>
      </c>
      <c r="AO5894" s="54">
        <v>3</v>
      </c>
      <c r="AP5894" s="54">
        <v>12</v>
      </c>
      <c r="AQ5894" s="54">
        <v>16386.5</v>
      </c>
      <c r="AR5894" s="55">
        <v>28500</v>
      </c>
      <c r="AS5894" s="78">
        <f t="shared" si="96"/>
        <v>0.57496491228070179</v>
      </c>
    </row>
    <row r="5895" spans="39:45">
      <c r="AM5895" s="55">
        <v>2019</v>
      </c>
      <c r="AN5895" s="55" t="s">
        <v>190</v>
      </c>
      <c r="AO5895" s="55">
        <v>3</v>
      </c>
      <c r="AP5895" s="55">
        <v>13</v>
      </c>
      <c r="AQ5895" s="55">
        <v>15253.5</v>
      </c>
      <c r="AR5895" s="55">
        <v>28500</v>
      </c>
      <c r="AS5895" s="78">
        <f t="shared" si="96"/>
        <v>0.53521052631578947</v>
      </c>
    </row>
    <row r="5896" spans="39:45">
      <c r="AM5896" s="54">
        <v>2019</v>
      </c>
      <c r="AN5896" s="54" t="s">
        <v>190</v>
      </c>
      <c r="AO5896" s="54">
        <v>3</v>
      </c>
      <c r="AP5896" s="54">
        <v>14</v>
      </c>
      <c r="AQ5896" s="54">
        <v>20955</v>
      </c>
      <c r="AR5896" s="55">
        <v>28500</v>
      </c>
      <c r="AS5896" s="78">
        <f t="shared" si="96"/>
        <v>0.73526315789473684</v>
      </c>
    </row>
    <row r="5897" spans="39:45">
      <c r="AM5897" s="55">
        <v>2019</v>
      </c>
      <c r="AN5897" s="55" t="s">
        <v>190</v>
      </c>
      <c r="AO5897" s="55">
        <v>3</v>
      </c>
      <c r="AP5897" s="55">
        <v>15</v>
      </c>
      <c r="AQ5897" s="55">
        <v>22118.5</v>
      </c>
      <c r="AR5897" s="55">
        <v>28500</v>
      </c>
      <c r="AS5897" s="78">
        <f t="shared" si="96"/>
        <v>0.7760877192982456</v>
      </c>
    </row>
    <row r="5898" spans="39:45">
      <c r="AM5898" s="54">
        <v>2019</v>
      </c>
      <c r="AN5898" s="54" t="s">
        <v>190</v>
      </c>
      <c r="AO5898" s="54">
        <v>3</v>
      </c>
      <c r="AP5898" s="54">
        <v>16</v>
      </c>
      <c r="AQ5898" s="54">
        <v>2262</v>
      </c>
      <c r="AR5898" s="55">
        <v>28500</v>
      </c>
      <c r="AS5898" s="78">
        <f t="shared" si="96"/>
        <v>7.9368421052631574E-2</v>
      </c>
    </row>
    <row r="5899" spans="39:45">
      <c r="AM5899" s="55">
        <v>2019</v>
      </c>
      <c r="AN5899" s="55" t="s">
        <v>190</v>
      </c>
      <c r="AO5899" s="55">
        <v>3</v>
      </c>
      <c r="AP5899" s="55">
        <v>17</v>
      </c>
      <c r="AQ5899" s="55">
        <v>2231.5</v>
      </c>
      <c r="AR5899" s="55">
        <v>28500</v>
      </c>
      <c r="AS5899" s="78">
        <f t="shared" si="96"/>
        <v>7.8298245614035089E-2</v>
      </c>
    </row>
    <row r="5900" spans="39:45">
      <c r="AM5900" s="54">
        <v>2019</v>
      </c>
      <c r="AN5900" s="54" t="s">
        <v>190</v>
      </c>
      <c r="AO5900" s="54">
        <v>3</v>
      </c>
      <c r="AP5900" s="54">
        <v>18</v>
      </c>
      <c r="AQ5900" s="54">
        <v>111.5</v>
      </c>
      <c r="AR5900" s="55">
        <v>28500</v>
      </c>
      <c r="AS5900" s="78">
        <f t="shared" si="96"/>
        <v>3.9122807017543861E-3</v>
      </c>
    </row>
    <row r="5901" spans="39:45">
      <c r="AM5901" s="55">
        <v>2019</v>
      </c>
      <c r="AN5901" s="55" t="s">
        <v>190</v>
      </c>
      <c r="AO5901" s="55">
        <v>3</v>
      </c>
      <c r="AP5901" s="55">
        <v>19</v>
      </c>
      <c r="AQ5901" s="55">
        <v>0</v>
      </c>
      <c r="AR5901" s="55">
        <v>28500</v>
      </c>
      <c r="AS5901" s="78">
        <f t="shared" si="96"/>
        <v>0</v>
      </c>
    </row>
    <row r="5902" spans="39:45">
      <c r="AM5902" s="54">
        <v>2019</v>
      </c>
      <c r="AN5902" s="54" t="s">
        <v>190</v>
      </c>
      <c r="AO5902" s="54">
        <v>3</v>
      </c>
      <c r="AP5902" s="54">
        <v>20</v>
      </c>
      <c r="AQ5902" s="54">
        <v>0</v>
      </c>
      <c r="AR5902" s="55">
        <v>28500</v>
      </c>
      <c r="AS5902" s="78">
        <f t="shared" si="96"/>
        <v>0</v>
      </c>
    </row>
    <row r="5903" spans="39:45">
      <c r="AM5903" s="55">
        <v>2019</v>
      </c>
      <c r="AN5903" s="55" t="s">
        <v>190</v>
      </c>
      <c r="AO5903" s="55">
        <v>3</v>
      </c>
      <c r="AP5903" s="55">
        <v>21</v>
      </c>
      <c r="AQ5903" s="55">
        <v>0</v>
      </c>
      <c r="AR5903" s="55">
        <v>28500</v>
      </c>
      <c r="AS5903" s="78">
        <f t="shared" si="96"/>
        <v>0</v>
      </c>
    </row>
    <row r="5904" spans="39:45">
      <c r="AM5904" s="54">
        <v>2019</v>
      </c>
      <c r="AN5904" s="54" t="s">
        <v>190</v>
      </c>
      <c r="AO5904" s="54">
        <v>3</v>
      </c>
      <c r="AP5904" s="54">
        <v>22</v>
      </c>
      <c r="AQ5904" s="54">
        <v>0</v>
      </c>
      <c r="AR5904" s="55">
        <v>28500</v>
      </c>
      <c r="AS5904" s="78">
        <f t="shared" si="96"/>
        <v>0</v>
      </c>
    </row>
    <row r="5905" spans="39:45">
      <c r="AM5905" s="55">
        <v>2019</v>
      </c>
      <c r="AN5905" s="55" t="s">
        <v>190</v>
      </c>
      <c r="AO5905" s="55">
        <v>3</v>
      </c>
      <c r="AP5905" s="55">
        <v>23</v>
      </c>
      <c r="AQ5905" s="55">
        <v>0</v>
      </c>
      <c r="AR5905" s="55">
        <v>28500</v>
      </c>
      <c r="AS5905" s="78">
        <f t="shared" si="96"/>
        <v>0</v>
      </c>
    </row>
    <row r="5906" spans="39:45">
      <c r="AM5906" s="54">
        <v>2019</v>
      </c>
      <c r="AN5906" s="54" t="s">
        <v>190</v>
      </c>
      <c r="AO5906" s="54">
        <v>4</v>
      </c>
      <c r="AP5906" s="54">
        <v>24</v>
      </c>
      <c r="AQ5906" s="54">
        <v>0</v>
      </c>
      <c r="AR5906" s="55">
        <v>28500</v>
      </c>
      <c r="AS5906" s="78">
        <f t="shared" si="96"/>
        <v>0</v>
      </c>
    </row>
    <row r="5907" spans="39:45">
      <c r="AM5907" s="55">
        <v>2019</v>
      </c>
      <c r="AN5907" s="55" t="s">
        <v>190</v>
      </c>
      <c r="AO5907" s="55">
        <v>4</v>
      </c>
      <c r="AP5907" s="55">
        <v>1</v>
      </c>
      <c r="AQ5907" s="55">
        <v>0</v>
      </c>
      <c r="AR5907" s="55">
        <v>28500</v>
      </c>
      <c r="AS5907" s="78">
        <f t="shared" si="96"/>
        <v>0</v>
      </c>
    </row>
    <row r="5908" spans="39:45">
      <c r="AM5908" s="54">
        <v>2019</v>
      </c>
      <c r="AN5908" s="54" t="s">
        <v>190</v>
      </c>
      <c r="AO5908" s="54">
        <v>4</v>
      </c>
      <c r="AP5908" s="54">
        <v>2</v>
      </c>
      <c r="AQ5908" s="54">
        <v>0</v>
      </c>
      <c r="AR5908" s="55">
        <v>28500</v>
      </c>
      <c r="AS5908" s="78">
        <f t="shared" si="96"/>
        <v>0</v>
      </c>
    </row>
    <row r="5909" spans="39:45">
      <c r="AM5909" s="55">
        <v>2019</v>
      </c>
      <c r="AN5909" s="55" t="s">
        <v>190</v>
      </c>
      <c r="AO5909" s="55">
        <v>4</v>
      </c>
      <c r="AP5909" s="55">
        <v>3</v>
      </c>
      <c r="AQ5909" s="55">
        <v>0</v>
      </c>
      <c r="AR5909" s="55">
        <v>28500</v>
      </c>
      <c r="AS5909" s="78">
        <f t="shared" si="96"/>
        <v>0</v>
      </c>
    </row>
    <row r="5910" spans="39:45">
      <c r="AM5910" s="54">
        <v>2019</v>
      </c>
      <c r="AN5910" s="54" t="s">
        <v>190</v>
      </c>
      <c r="AO5910" s="54">
        <v>4</v>
      </c>
      <c r="AP5910" s="54">
        <v>4</v>
      </c>
      <c r="AQ5910" s="54">
        <v>0</v>
      </c>
      <c r="AR5910" s="55">
        <v>28500</v>
      </c>
      <c r="AS5910" s="78">
        <f t="shared" si="96"/>
        <v>0</v>
      </c>
    </row>
    <row r="5911" spans="39:45">
      <c r="AM5911" s="55">
        <v>2019</v>
      </c>
      <c r="AN5911" s="55" t="s">
        <v>190</v>
      </c>
      <c r="AO5911" s="55">
        <v>4</v>
      </c>
      <c r="AP5911" s="55">
        <v>5</v>
      </c>
      <c r="AQ5911" s="55">
        <v>0</v>
      </c>
      <c r="AR5911" s="55">
        <v>28500</v>
      </c>
      <c r="AS5911" s="78">
        <f t="shared" si="96"/>
        <v>0</v>
      </c>
    </row>
    <row r="5912" spans="39:45">
      <c r="AM5912" s="54">
        <v>2019</v>
      </c>
      <c r="AN5912" s="54" t="s">
        <v>190</v>
      </c>
      <c r="AO5912" s="54">
        <v>4</v>
      </c>
      <c r="AP5912" s="54">
        <v>6</v>
      </c>
      <c r="AQ5912" s="54">
        <v>29.5</v>
      </c>
      <c r="AR5912" s="55">
        <v>28500</v>
      </c>
      <c r="AS5912" s="78">
        <f t="shared" si="96"/>
        <v>1.0350877192982456E-3</v>
      </c>
    </row>
    <row r="5913" spans="39:45">
      <c r="AM5913" s="55">
        <v>2019</v>
      </c>
      <c r="AN5913" s="55" t="s">
        <v>190</v>
      </c>
      <c r="AO5913" s="55">
        <v>4</v>
      </c>
      <c r="AP5913" s="55">
        <v>7</v>
      </c>
      <c r="AQ5913" s="55">
        <v>2175</v>
      </c>
      <c r="AR5913" s="55">
        <v>28500</v>
      </c>
      <c r="AS5913" s="78">
        <f t="shared" si="96"/>
        <v>7.6315789473684212E-2</v>
      </c>
    </row>
    <row r="5914" spans="39:45">
      <c r="AM5914" s="54">
        <v>2019</v>
      </c>
      <c r="AN5914" s="54" t="s">
        <v>190</v>
      </c>
      <c r="AO5914" s="54">
        <v>4</v>
      </c>
      <c r="AP5914" s="54">
        <v>8</v>
      </c>
      <c r="AQ5914" s="54">
        <v>4974.5</v>
      </c>
      <c r="AR5914" s="55">
        <v>28500</v>
      </c>
      <c r="AS5914" s="78">
        <f t="shared" si="96"/>
        <v>0.17454385964912281</v>
      </c>
    </row>
    <row r="5915" spans="39:45">
      <c r="AM5915" s="55">
        <v>2019</v>
      </c>
      <c r="AN5915" s="55" t="s">
        <v>190</v>
      </c>
      <c r="AO5915" s="55">
        <v>4</v>
      </c>
      <c r="AP5915" s="55">
        <v>9</v>
      </c>
      <c r="AQ5915" s="55">
        <v>9228</v>
      </c>
      <c r="AR5915" s="55">
        <v>28500</v>
      </c>
      <c r="AS5915" s="78">
        <f t="shared" si="96"/>
        <v>0.32378947368421052</v>
      </c>
    </row>
    <row r="5916" spans="39:45">
      <c r="AM5916" s="54">
        <v>2019</v>
      </c>
      <c r="AN5916" s="54" t="s">
        <v>190</v>
      </c>
      <c r="AO5916" s="54">
        <v>4</v>
      </c>
      <c r="AP5916" s="54">
        <v>10</v>
      </c>
      <c r="AQ5916" s="54">
        <v>21495.5</v>
      </c>
      <c r="AR5916" s="55">
        <v>28500</v>
      </c>
      <c r="AS5916" s="78">
        <f t="shared" si="96"/>
        <v>0.75422807017543858</v>
      </c>
    </row>
    <row r="5917" spans="39:45">
      <c r="AM5917" s="55">
        <v>2019</v>
      </c>
      <c r="AN5917" s="55" t="s">
        <v>190</v>
      </c>
      <c r="AO5917" s="55">
        <v>4</v>
      </c>
      <c r="AP5917" s="55">
        <v>11</v>
      </c>
      <c r="AQ5917" s="55">
        <v>19444.5</v>
      </c>
      <c r="AR5917" s="55">
        <v>28500</v>
      </c>
      <c r="AS5917" s="78">
        <f t="shared" si="96"/>
        <v>0.68226315789473679</v>
      </c>
    </row>
    <row r="5918" spans="39:45">
      <c r="AM5918" s="54">
        <v>2019</v>
      </c>
      <c r="AN5918" s="54" t="s">
        <v>190</v>
      </c>
      <c r="AO5918" s="54">
        <v>4</v>
      </c>
      <c r="AP5918" s="54">
        <v>12</v>
      </c>
      <c r="AQ5918" s="54">
        <v>35853.5</v>
      </c>
      <c r="AR5918" s="55">
        <v>28500</v>
      </c>
      <c r="AS5918" s="78">
        <f t="shared" si="96"/>
        <v>1.258017543859649</v>
      </c>
    </row>
    <row r="5919" spans="39:45">
      <c r="AM5919" s="55">
        <v>2019</v>
      </c>
      <c r="AN5919" s="55" t="s">
        <v>190</v>
      </c>
      <c r="AO5919" s="55">
        <v>4</v>
      </c>
      <c r="AP5919" s="55">
        <v>13</v>
      </c>
      <c r="AQ5919" s="55">
        <v>36865</v>
      </c>
      <c r="AR5919" s="55">
        <v>28500</v>
      </c>
      <c r="AS5919" s="78">
        <f t="shared" si="96"/>
        <v>1.2935087719298246</v>
      </c>
    </row>
    <row r="5920" spans="39:45">
      <c r="AM5920" s="54">
        <v>2019</v>
      </c>
      <c r="AN5920" s="54" t="s">
        <v>190</v>
      </c>
      <c r="AO5920" s="54">
        <v>4</v>
      </c>
      <c r="AP5920" s="54">
        <v>14</v>
      </c>
      <c r="AQ5920" s="54">
        <v>20580.5</v>
      </c>
      <c r="AR5920" s="55">
        <v>28500</v>
      </c>
      <c r="AS5920" s="78">
        <f t="shared" si="96"/>
        <v>0.72212280701754383</v>
      </c>
    </row>
    <row r="5921" spans="39:45">
      <c r="AM5921" s="55">
        <v>2019</v>
      </c>
      <c r="AN5921" s="55" t="s">
        <v>190</v>
      </c>
      <c r="AO5921" s="55">
        <v>4</v>
      </c>
      <c r="AP5921" s="55">
        <v>15</v>
      </c>
      <c r="AQ5921" s="55">
        <v>24614.5</v>
      </c>
      <c r="AR5921" s="55">
        <v>28500</v>
      </c>
      <c r="AS5921" s="78">
        <f t="shared" si="96"/>
        <v>0.86366666666666669</v>
      </c>
    </row>
    <row r="5922" spans="39:45">
      <c r="AM5922" s="54">
        <v>2019</v>
      </c>
      <c r="AN5922" s="54" t="s">
        <v>190</v>
      </c>
      <c r="AO5922" s="54">
        <v>4</v>
      </c>
      <c r="AP5922" s="54">
        <v>16</v>
      </c>
      <c r="AQ5922" s="54">
        <v>14238.5</v>
      </c>
      <c r="AR5922" s="55">
        <v>28500</v>
      </c>
      <c r="AS5922" s="78">
        <f t="shared" si="96"/>
        <v>0.49959649122807015</v>
      </c>
    </row>
    <row r="5923" spans="39:45">
      <c r="AM5923" s="55">
        <v>2019</v>
      </c>
      <c r="AN5923" s="55" t="s">
        <v>190</v>
      </c>
      <c r="AO5923" s="55">
        <v>4</v>
      </c>
      <c r="AP5923" s="55">
        <v>17</v>
      </c>
      <c r="AQ5923" s="55">
        <v>5976</v>
      </c>
      <c r="AR5923" s="55">
        <v>28500</v>
      </c>
      <c r="AS5923" s="78">
        <f t="shared" si="96"/>
        <v>0.20968421052631578</v>
      </c>
    </row>
    <row r="5924" spans="39:45">
      <c r="AM5924" s="54">
        <v>2019</v>
      </c>
      <c r="AN5924" s="54" t="s">
        <v>190</v>
      </c>
      <c r="AO5924" s="54">
        <v>4</v>
      </c>
      <c r="AP5924" s="54">
        <v>18</v>
      </c>
      <c r="AQ5924" s="54">
        <v>354</v>
      </c>
      <c r="AR5924" s="55">
        <v>28500</v>
      </c>
      <c r="AS5924" s="78">
        <f t="shared" si="96"/>
        <v>1.2421052631578947E-2</v>
      </c>
    </row>
    <row r="5925" spans="39:45">
      <c r="AM5925" s="55">
        <v>2019</v>
      </c>
      <c r="AN5925" s="55" t="s">
        <v>190</v>
      </c>
      <c r="AO5925" s="55">
        <v>4</v>
      </c>
      <c r="AP5925" s="55">
        <v>19</v>
      </c>
      <c r="AQ5925" s="55">
        <v>0</v>
      </c>
      <c r="AR5925" s="55">
        <v>28500</v>
      </c>
      <c r="AS5925" s="78">
        <f t="shared" si="96"/>
        <v>0</v>
      </c>
    </row>
    <row r="5926" spans="39:45">
      <c r="AM5926" s="54">
        <v>2019</v>
      </c>
      <c r="AN5926" s="54" t="s">
        <v>190</v>
      </c>
      <c r="AO5926" s="54">
        <v>4</v>
      </c>
      <c r="AP5926" s="54">
        <v>20</v>
      </c>
      <c r="AQ5926" s="54">
        <v>0</v>
      </c>
      <c r="AR5926" s="55">
        <v>28500</v>
      </c>
      <c r="AS5926" s="78">
        <f t="shared" si="96"/>
        <v>0</v>
      </c>
    </row>
    <row r="5927" spans="39:45">
      <c r="AM5927" s="55">
        <v>2019</v>
      </c>
      <c r="AN5927" s="55" t="s">
        <v>190</v>
      </c>
      <c r="AO5927" s="55">
        <v>4</v>
      </c>
      <c r="AP5927" s="55">
        <v>21</v>
      </c>
      <c r="AQ5927" s="55">
        <v>0</v>
      </c>
      <c r="AR5927" s="55">
        <v>28500</v>
      </c>
      <c r="AS5927" s="78">
        <f t="shared" si="96"/>
        <v>0</v>
      </c>
    </row>
    <row r="5928" spans="39:45">
      <c r="AM5928" s="54">
        <v>2019</v>
      </c>
      <c r="AN5928" s="54" t="s">
        <v>190</v>
      </c>
      <c r="AO5928" s="54">
        <v>4</v>
      </c>
      <c r="AP5928" s="54">
        <v>22</v>
      </c>
      <c r="AQ5928" s="54">
        <v>0</v>
      </c>
      <c r="AR5928" s="55">
        <v>28500</v>
      </c>
      <c r="AS5928" s="78">
        <f t="shared" si="96"/>
        <v>0</v>
      </c>
    </row>
    <row r="5929" spans="39:45">
      <c r="AM5929" s="55">
        <v>2019</v>
      </c>
      <c r="AN5929" s="55" t="s">
        <v>190</v>
      </c>
      <c r="AO5929" s="55">
        <v>4</v>
      </c>
      <c r="AP5929" s="55">
        <v>23</v>
      </c>
      <c r="AQ5929" s="55">
        <v>0</v>
      </c>
      <c r="AR5929" s="55">
        <v>28500</v>
      </c>
      <c r="AS5929" s="78">
        <f t="shared" si="96"/>
        <v>0</v>
      </c>
    </row>
    <row r="5930" spans="39:45">
      <c r="AM5930" s="54">
        <v>2019</v>
      </c>
      <c r="AN5930" s="54" t="s">
        <v>190</v>
      </c>
      <c r="AO5930" s="54">
        <v>5</v>
      </c>
      <c r="AP5930" s="54">
        <v>24</v>
      </c>
      <c r="AQ5930" s="54">
        <v>0</v>
      </c>
      <c r="AR5930" s="55">
        <v>28500</v>
      </c>
      <c r="AS5930" s="78">
        <f t="shared" si="96"/>
        <v>0</v>
      </c>
    </row>
    <row r="5931" spans="39:45">
      <c r="AM5931" s="55">
        <v>2019</v>
      </c>
      <c r="AN5931" s="55" t="s">
        <v>190</v>
      </c>
      <c r="AO5931" s="55">
        <v>5</v>
      </c>
      <c r="AP5931" s="55">
        <v>1</v>
      </c>
      <c r="AQ5931" s="55">
        <v>0</v>
      </c>
      <c r="AR5931" s="55">
        <v>28500</v>
      </c>
      <c r="AS5931" s="78">
        <f t="shared" si="96"/>
        <v>0</v>
      </c>
    </row>
    <row r="5932" spans="39:45">
      <c r="AM5932" s="54">
        <v>2019</v>
      </c>
      <c r="AN5932" s="54" t="s">
        <v>190</v>
      </c>
      <c r="AO5932" s="54">
        <v>5</v>
      </c>
      <c r="AP5932" s="54">
        <v>2</v>
      </c>
      <c r="AQ5932" s="54">
        <v>0</v>
      </c>
      <c r="AR5932" s="55">
        <v>28500</v>
      </c>
      <c r="AS5932" s="78">
        <f t="shared" si="96"/>
        <v>0</v>
      </c>
    </row>
    <row r="5933" spans="39:45">
      <c r="AM5933" s="55">
        <v>2019</v>
      </c>
      <c r="AN5933" s="55" t="s">
        <v>190</v>
      </c>
      <c r="AO5933" s="55">
        <v>5</v>
      </c>
      <c r="AP5933" s="55">
        <v>3</v>
      </c>
      <c r="AQ5933" s="55">
        <v>0</v>
      </c>
      <c r="AR5933" s="55">
        <v>28500</v>
      </c>
      <c r="AS5933" s="78">
        <f t="shared" si="96"/>
        <v>0</v>
      </c>
    </row>
    <row r="5934" spans="39:45">
      <c r="AM5934" s="54">
        <v>2019</v>
      </c>
      <c r="AN5934" s="54" t="s">
        <v>190</v>
      </c>
      <c r="AO5934" s="54">
        <v>5</v>
      </c>
      <c r="AP5934" s="54">
        <v>4</v>
      </c>
      <c r="AQ5934" s="54">
        <v>0</v>
      </c>
      <c r="AR5934" s="55">
        <v>28500</v>
      </c>
      <c r="AS5934" s="78">
        <f t="shared" si="96"/>
        <v>0</v>
      </c>
    </row>
    <row r="5935" spans="39:45">
      <c r="AM5935" s="55">
        <v>2019</v>
      </c>
      <c r="AN5935" s="55" t="s">
        <v>190</v>
      </c>
      <c r="AO5935" s="55">
        <v>5</v>
      </c>
      <c r="AP5935" s="55">
        <v>5</v>
      </c>
      <c r="AQ5935" s="55">
        <v>0</v>
      </c>
      <c r="AR5935" s="55">
        <v>28500</v>
      </c>
      <c r="AS5935" s="78">
        <f t="shared" si="96"/>
        <v>0</v>
      </c>
    </row>
    <row r="5936" spans="39:45">
      <c r="AM5936" s="54">
        <v>2019</v>
      </c>
      <c r="AN5936" s="54" t="s">
        <v>190</v>
      </c>
      <c r="AO5936" s="54">
        <v>5</v>
      </c>
      <c r="AP5936" s="54">
        <v>6</v>
      </c>
      <c r="AQ5936" s="54">
        <v>1506.5</v>
      </c>
      <c r="AR5936" s="55">
        <v>28500</v>
      </c>
      <c r="AS5936" s="78">
        <f t="shared" si="96"/>
        <v>5.2859649122807016E-2</v>
      </c>
    </row>
    <row r="5937" spans="39:45">
      <c r="AM5937" s="55">
        <v>2019</v>
      </c>
      <c r="AN5937" s="55" t="s">
        <v>190</v>
      </c>
      <c r="AO5937" s="55">
        <v>5</v>
      </c>
      <c r="AP5937" s="55">
        <v>7</v>
      </c>
      <c r="AQ5937" s="55">
        <v>10656</v>
      </c>
      <c r="AR5937" s="55">
        <v>28500</v>
      </c>
      <c r="AS5937" s="78">
        <f t="shared" si="96"/>
        <v>0.37389473684210528</v>
      </c>
    </row>
    <row r="5938" spans="39:45">
      <c r="AM5938" s="54">
        <v>2019</v>
      </c>
      <c r="AN5938" s="54" t="s">
        <v>190</v>
      </c>
      <c r="AO5938" s="54">
        <v>5</v>
      </c>
      <c r="AP5938" s="54">
        <v>8</v>
      </c>
      <c r="AQ5938" s="54">
        <v>21539.5</v>
      </c>
      <c r="AR5938" s="55">
        <v>28500</v>
      </c>
      <c r="AS5938" s="78">
        <f t="shared" si="96"/>
        <v>0.75577192982456143</v>
      </c>
    </row>
    <row r="5939" spans="39:45">
      <c r="AM5939" s="55">
        <v>2019</v>
      </c>
      <c r="AN5939" s="55" t="s">
        <v>190</v>
      </c>
      <c r="AO5939" s="55">
        <v>5</v>
      </c>
      <c r="AP5939" s="55">
        <v>9</v>
      </c>
      <c r="AQ5939" s="55">
        <v>22208.5</v>
      </c>
      <c r="AR5939" s="55">
        <v>28500</v>
      </c>
      <c r="AS5939" s="78">
        <f t="shared" si="96"/>
        <v>0.77924561403508774</v>
      </c>
    </row>
    <row r="5940" spans="39:45">
      <c r="AM5940" s="54">
        <v>2019</v>
      </c>
      <c r="AN5940" s="54" t="s">
        <v>190</v>
      </c>
      <c r="AO5940" s="54">
        <v>5</v>
      </c>
      <c r="AP5940" s="54">
        <v>10</v>
      </c>
      <c r="AQ5940" s="54">
        <v>17005.5</v>
      </c>
      <c r="AR5940" s="55">
        <v>28500</v>
      </c>
      <c r="AS5940" s="78">
        <f t="shared" si="96"/>
        <v>0.59668421052631582</v>
      </c>
    </row>
    <row r="5941" spans="39:45">
      <c r="AM5941" s="55">
        <v>2019</v>
      </c>
      <c r="AN5941" s="55" t="s">
        <v>190</v>
      </c>
      <c r="AO5941" s="55">
        <v>5</v>
      </c>
      <c r="AP5941" s="55">
        <v>11</v>
      </c>
      <c r="AQ5941" s="55">
        <v>37920</v>
      </c>
      <c r="AR5941" s="55">
        <v>28500</v>
      </c>
      <c r="AS5941" s="78">
        <f t="shared" si="96"/>
        <v>1.3305263157894738</v>
      </c>
    </row>
    <row r="5942" spans="39:45">
      <c r="AM5942" s="54">
        <v>2019</v>
      </c>
      <c r="AN5942" s="54" t="s">
        <v>190</v>
      </c>
      <c r="AO5942" s="54">
        <v>5</v>
      </c>
      <c r="AP5942" s="54">
        <v>12</v>
      </c>
      <c r="AQ5942" s="54">
        <v>39510</v>
      </c>
      <c r="AR5942" s="55">
        <v>28500</v>
      </c>
      <c r="AS5942" s="78">
        <f t="shared" si="96"/>
        <v>1.3863157894736842</v>
      </c>
    </row>
    <row r="5943" spans="39:45">
      <c r="AM5943" s="55">
        <v>2019</v>
      </c>
      <c r="AN5943" s="55" t="s">
        <v>190</v>
      </c>
      <c r="AO5943" s="55">
        <v>5</v>
      </c>
      <c r="AP5943" s="55">
        <v>13</v>
      </c>
      <c r="AQ5943" s="55">
        <v>34844.5</v>
      </c>
      <c r="AR5943" s="55">
        <v>28500</v>
      </c>
      <c r="AS5943" s="78">
        <f t="shared" si="96"/>
        <v>1.2226140350877193</v>
      </c>
    </row>
    <row r="5944" spans="39:45">
      <c r="AM5944" s="54">
        <v>2019</v>
      </c>
      <c r="AN5944" s="54" t="s">
        <v>190</v>
      </c>
      <c r="AO5944" s="54">
        <v>5</v>
      </c>
      <c r="AP5944" s="54">
        <v>14</v>
      </c>
      <c r="AQ5944" s="54">
        <v>20657</v>
      </c>
      <c r="AR5944" s="55">
        <v>28500</v>
      </c>
      <c r="AS5944" s="78">
        <f t="shared" si="96"/>
        <v>0.72480701754385968</v>
      </c>
    </row>
    <row r="5945" spans="39:45">
      <c r="AM5945" s="55">
        <v>2019</v>
      </c>
      <c r="AN5945" s="55" t="s">
        <v>190</v>
      </c>
      <c r="AO5945" s="55">
        <v>5</v>
      </c>
      <c r="AP5945" s="55">
        <v>15</v>
      </c>
      <c r="AQ5945" s="55">
        <v>19517.5</v>
      </c>
      <c r="AR5945" s="55">
        <v>28500</v>
      </c>
      <c r="AS5945" s="78">
        <f t="shared" si="96"/>
        <v>0.68482456140350878</v>
      </c>
    </row>
    <row r="5946" spans="39:45">
      <c r="AM5946" s="54">
        <v>2019</v>
      </c>
      <c r="AN5946" s="54" t="s">
        <v>190</v>
      </c>
      <c r="AO5946" s="54">
        <v>5</v>
      </c>
      <c r="AP5946" s="54">
        <v>16</v>
      </c>
      <c r="AQ5946" s="54">
        <v>13574.5</v>
      </c>
      <c r="AR5946" s="55">
        <v>28500</v>
      </c>
      <c r="AS5946" s="78">
        <f t="shared" si="96"/>
        <v>0.47629824561403511</v>
      </c>
    </row>
    <row r="5947" spans="39:45">
      <c r="AM5947" s="55">
        <v>2019</v>
      </c>
      <c r="AN5947" s="55" t="s">
        <v>190</v>
      </c>
      <c r="AO5947" s="55">
        <v>5</v>
      </c>
      <c r="AP5947" s="55">
        <v>17</v>
      </c>
      <c r="AQ5947" s="55">
        <v>5200.5</v>
      </c>
      <c r="AR5947" s="55">
        <v>28500</v>
      </c>
      <c r="AS5947" s="78">
        <f t="shared" si="96"/>
        <v>0.18247368421052632</v>
      </c>
    </row>
    <row r="5948" spans="39:45">
      <c r="AM5948" s="54">
        <v>2019</v>
      </c>
      <c r="AN5948" s="54" t="s">
        <v>190</v>
      </c>
      <c r="AO5948" s="54">
        <v>5</v>
      </c>
      <c r="AP5948" s="54">
        <v>18</v>
      </c>
      <c r="AQ5948" s="54">
        <v>205.5</v>
      </c>
      <c r="AR5948" s="55">
        <v>28500</v>
      </c>
      <c r="AS5948" s="78">
        <f t="shared" si="96"/>
        <v>7.2105263157894737E-3</v>
      </c>
    </row>
    <row r="5949" spans="39:45">
      <c r="AM5949" s="55">
        <v>2019</v>
      </c>
      <c r="AN5949" s="55" t="s">
        <v>190</v>
      </c>
      <c r="AO5949" s="55">
        <v>5</v>
      </c>
      <c r="AP5949" s="55">
        <v>19</v>
      </c>
      <c r="AQ5949" s="55">
        <v>0</v>
      </c>
      <c r="AR5949" s="55">
        <v>28500</v>
      </c>
      <c r="AS5949" s="78">
        <f t="shared" si="96"/>
        <v>0</v>
      </c>
    </row>
    <row r="5950" spans="39:45">
      <c r="AM5950" s="54">
        <v>2019</v>
      </c>
      <c r="AN5950" s="54" t="s">
        <v>190</v>
      </c>
      <c r="AO5950" s="54">
        <v>5</v>
      </c>
      <c r="AP5950" s="54">
        <v>20</v>
      </c>
      <c r="AQ5950" s="54">
        <v>0</v>
      </c>
      <c r="AR5950" s="55">
        <v>28500</v>
      </c>
      <c r="AS5950" s="78">
        <f t="shared" si="96"/>
        <v>0</v>
      </c>
    </row>
    <row r="5951" spans="39:45">
      <c r="AM5951" s="55">
        <v>2019</v>
      </c>
      <c r="AN5951" s="55" t="s">
        <v>190</v>
      </c>
      <c r="AO5951" s="55">
        <v>5</v>
      </c>
      <c r="AP5951" s="55">
        <v>21</v>
      </c>
      <c r="AQ5951" s="55">
        <v>0</v>
      </c>
      <c r="AR5951" s="55">
        <v>28500</v>
      </c>
      <c r="AS5951" s="78">
        <f t="shared" si="96"/>
        <v>0</v>
      </c>
    </row>
    <row r="5952" spans="39:45">
      <c r="AM5952" s="54">
        <v>2019</v>
      </c>
      <c r="AN5952" s="54" t="s">
        <v>190</v>
      </c>
      <c r="AO5952" s="54">
        <v>5</v>
      </c>
      <c r="AP5952" s="54">
        <v>22</v>
      </c>
      <c r="AQ5952" s="54">
        <v>0</v>
      </c>
      <c r="AR5952" s="55">
        <v>28500</v>
      </c>
      <c r="AS5952" s="78">
        <f t="shared" si="96"/>
        <v>0</v>
      </c>
    </row>
    <row r="5953" spans="39:45">
      <c r="AM5953" s="55">
        <v>2019</v>
      </c>
      <c r="AN5953" s="55" t="s">
        <v>190</v>
      </c>
      <c r="AO5953" s="55">
        <v>5</v>
      </c>
      <c r="AP5953" s="55">
        <v>23</v>
      </c>
      <c r="AQ5953" s="55">
        <v>0</v>
      </c>
      <c r="AR5953" s="55">
        <v>28500</v>
      </c>
      <c r="AS5953" s="78">
        <f t="shared" si="96"/>
        <v>0</v>
      </c>
    </row>
    <row r="5954" spans="39:45">
      <c r="AM5954" s="54">
        <v>2019</v>
      </c>
      <c r="AN5954" s="54" t="s">
        <v>190</v>
      </c>
      <c r="AO5954" s="54">
        <v>6</v>
      </c>
      <c r="AP5954" s="54">
        <v>24</v>
      </c>
      <c r="AQ5954" s="54">
        <v>0</v>
      </c>
      <c r="AR5954" s="55">
        <v>28500</v>
      </c>
      <c r="AS5954" s="78">
        <f t="shared" ref="AS5954:AS6017" si="97">AQ5954/AR5954</f>
        <v>0</v>
      </c>
    </row>
    <row r="5955" spans="39:45">
      <c r="AM5955" s="55">
        <v>2019</v>
      </c>
      <c r="AN5955" s="55" t="s">
        <v>190</v>
      </c>
      <c r="AO5955" s="55">
        <v>6</v>
      </c>
      <c r="AP5955" s="55">
        <v>1</v>
      </c>
      <c r="AQ5955" s="55">
        <v>0</v>
      </c>
      <c r="AR5955" s="55">
        <v>28500</v>
      </c>
      <c r="AS5955" s="78">
        <f t="shared" si="97"/>
        <v>0</v>
      </c>
    </row>
    <row r="5956" spans="39:45">
      <c r="AM5956" s="54">
        <v>2019</v>
      </c>
      <c r="AN5956" s="54" t="s">
        <v>190</v>
      </c>
      <c r="AO5956" s="54">
        <v>6</v>
      </c>
      <c r="AP5956" s="54">
        <v>2</v>
      </c>
      <c r="AQ5956" s="54">
        <v>0</v>
      </c>
      <c r="AR5956" s="55">
        <v>28500</v>
      </c>
      <c r="AS5956" s="78">
        <f t="shared" si="97"/>
        <v>0</v>
      </c>
    </row>
    <row r="5957" spans="39:45">
      <c r="AM5957" s="55">
        <v>2019</v>
      </c>
      <c r="AN5957" s="55" t="s">
        <v>190</v>
      </c>
      <c r="AO5957" s="55">
        <v>6</v>
      </c>
      <c r="AP5957" s="55">
        <v>3</v>
      </c>
      <c r="AQ5957" s="55">
        <v>0</v>
      </c>
      <c r="AR5957" s="55">
        <v>28500</v>
      </c>
      <c r="AS5957" s="78">
        <f t="shared" si="97"/>
        <v>0</v>
      </c>
    </row>
    <row r="5958" spans="39:45">
      <c r="AM5958" s="54">
        <v>2019</v>
      </c>
      <c r="AN5958" s="54" t="s">
        <v>190</v>
      </c>
      <c r="AO5958" s="54">
        <v>6</v>
      </c>
      <c r="AP5958" s="54">
        <v>4</v>
      </c>
      <c r="AQ5958" s="54">
        <v>0</v>
      </c>
      <c r="AR5958" s="55">
        <v>28500</v>
      </c>
      <c r="AS5958" s="78">
        <f t="shared" si="97"/>
        <v>0</v>
      </c>
    </row>
    <row r="5959" spans="39:45">
      <c r="AM5959" s="55">
        <v>2019</v>
      </c>
      <c r="AN5959" s="55" t="s">
        <v>190</v>
      </c>
      <c r="AO5959" s="55">
        <v>6</v>
      </c>
      <c r="AP5959" s="55">
        <v>5</v>
      </c>
      <c r="AQ5959" s="55">
        <v>0</v>
      </c>
      <c r="AR5959" s="55">
        <v>28500</v>
      </c>
      <c r="AS5959" s="78">
        <f t="shared" si="97"/>
        <v>0</v>
      </c>
    </row>
    <row r="5960" spans="39:45">
      <c r="AM5960" s="54">
        <v>2019</v>
      </c>
      <c r="AN5960" s="54" t="s">
        <v>190</v>
      </c>
      <c r="AO5960" s="54">
        <v>6</v>
      </c>
      <c r="AP5960" s="54">
        <v>6</v>
      </c>
      <c r="AQ5960" s="54">
        <v>1442.5</v>
      </c>
      <c r="AR5960" s="55">
        <v>28500</v>
      </c>
      <c r="AS5960" s="78">
        <f t="shared" si="97"/>
        <v>5.0614035087719299E-2</v>
      </c>
    </row>
    <row r="5961" spans="39:45">
      <c r="AM5961" s="55">
        <v>2019</v>
      </c>
      <c r="AN5961" s="55" t="s">
        <v>190</v>
      </c>
      <c r="AO5961" s="55">
        <v>6</v>
      </c>
      <c r="AP5961" s="55">
        <v>7</v>
      </c>
      <c r="AQ5961" s="55">
        <v>4250.5</v>
      </c>
      <c r="AR5961" s="55">
        <v>28500</v>
      </c>
      <c r="AS5961" s="78">
        <f t="shared" si="97"/>
        <v>0.14914035087719299</v>
      </c>
    </row>
    <row r="5962" spans="39:45">
      <c r="AM5962" s="54">
        <v>2019</v>
      </c>
      <c r="AN5962" s="54" t="s">
        <v>190</v>
      </c>
      <c r="AO5962" s="54">
        <v>6</v>
      </c>
      <c r="AP5962" s="54">
        <v>8</v>
      </c>
      <c r="AQ5962" s="54">
        <v>6619</v>
      </c>
      <c r="AR5962" s="55">
        <v>28500</v>
      </c>
      <c r="AS5962" s="78">
        <f t="shared" si="97"/>
        <v>0.23224561403508773</v>
      </c>
    </row>
    <row r="5963" spans="39:45">
      <c r="AM5963" s="55">
        <v>2019</v>
      </c>
      <c r="AN5963" s="55" t="s">
        <v>190</v>
      </c>
      <c r="AO5963" s="55">
        <v>6</v>
      </c>
      <c r="AP5963" s="55">
        <v>9</v>
      </c>
      <c r="AQ5963" s="55">
        <v>8624.5</v>
      </c>
      <c r="AR5963" s="55">
        <v>28500</v>
      </c>
      <c r="AS5963" s="78">
        <f t="shared" si="97"/>
        <v>0.30261403508771928</v>
      </c>
    </row>
    <row r="5964" spans="39:45">
      <c r="AM5964" s="54">
        <v>2019</v>
      </c>
      <c r="AN5964" s="54" t="s">
        <v>190</v>
      </c>
      <c r="AO5964" s="54">
        <v>6</v>
      </c>
      <c r="AP5964" s="54">
        <v>10</v>
      </c>
      <c r="AQ5964" s="54">
        <v>16209.5</v>
      </c>
      <c r="AR5964" s="55">
        <v>28500</v>
      </c>
      <c r="AS5964" s="78">
        <f t="shared" si="97"/>
        <v>0.56875438596491223</v>
      </c>
    </row>
    <row r="5965" spans="39:45">
      <c r="AM5965" s="55">
        <v>2019</v>
      </c>
      <c r="AN5965" s="55" t="s">
        <v>190</v>
      </c>
      <c r="AO5965" s="55">
        <v>6</v>
      </c>
      <c r="AP5965" s="55">
        <v>11</v>
      </c>
      <c r="AQ5965" s="55">
        <v>17417</v>
      </c>
      <c r="AR5965" s="55">
        <v>28500</v>
      </c>
      <c r="AS5965" s="78">
        <f t="shared" si="97"/>
        <v>0.61112280701754385</v>
      </c>
    </row>
    <row r="5966" spans="39:45">
      <c r="AM5966" s="54">
        <v>2019</v>
      </c>
      <c r="AN5966" s="54" t="s">
        <v>190</v>
      </c>
      <c r="AO5966" s="54">
        <v>6</v>
      </c>
      <c r="AP5966" s="54">
        <v>12</v>
      </c>
      <c r="AQ5966" s="54">
        <v>4172.5</v>
      </c>
      <c r="AR5966" s="55">
        <v>28500</v>
      </c>
      <c r="AS5966" s="78">
        <f t="shared" si="97"/>
        <v>0.14640350877192981</v>
      </c>
    </row>
    <row r="5967" spans="39:45">
      <c r="AM5967" s="55">
        <v>2019</v>
      </c>
      <c r="AN5967" s="55" t="s">
        <v>190</v>
      </c>
      <c r="AO5967" s="55">
        <v>6</v>
      </c>
      <c r="AP5967" s="55">
        <v>13</v>
      </c>
      <c r="AQ5967" s="55">
        <v>4335</v>
      </c>
      <c r="AR5967" s="55">
        <v>28500</v>
      </c>
      <c r="AS5967" s="78">
        <f t="shared" si="97"/>
        <v>0.15210526315789474</v>
      </c>
    </row>
    <row r="5968" spans="39:45">
      <c r="AM5968" s="54">
        <v>2019</v>
      </c>
      <c r="AN5968" s="54" t="s">
        <v>190</v>
      </c>
      <c r="AO5968" s="54">
        <v>6</v>
      </c>
      <c r="AP5968" s="54">
        <v>14</v>
      </c>
      <c r="AQ5968" s="54">
        <v>5961</v>
      </c>
      <c r="AR5968" s="55">
        <v>28500</v>
      </c>
      <c r="AS5968" s="78">
        <f t="shared" si="97"/>
        <v>0.2091578947368421</v>
      </c>
    </row>
    <row r="5969" spans="39:45">
      <c r="AM5969" s="55">
        <v>2019</v>
      </c>
      <c r="AN5969" s="55" t="s">
        <v>190</v>
      </c>
      <c r="AO5969" s="55">
        <v>6</v>
      </c>
      <c r="AP5969" s="55">
        <v>15</v>
      </c>
      <c r="AQ5969" s="55">
        <v>4610</v>
      </c>
      <c r="AR5969" s="55">
        <v>28500</v>
      </c>
      <c r="AS5969" s="78">
        <f t="shared" si="97"/>
        <v>0.16175438596491229</v>
      </c>
    </row>
    <row r="5970" spans="39:45">
      <c r="AM5970" s="54">
        <v>2019</v>
      </c>
      <c r="AN5970" s="54" t="s">
        <v>190</v>
      </c>
      <c r="AO5970" s="54">
        <v>6</v>
      </c>
      <c r="AP5970" s="54">
        <v>16</v>
      </c>
      <c r="AQ5970" s="54">
        <v>11145.5</v>
      </c>
      <c r="AR5970" s="55">
        <v>28500</v>
      </c>
      <c r="AS5970" s="78">
        <f t="shared" si="97"/>
        <v>0.39107017543859651</v>
      </c>
    </row>
    <row r="5971" spans="39:45">
      <c r="AM5971" s="55">
        <v>2019</v>
      </c>
      <c r="AN5971" s="55" t="s">
        <v>190</v>
      </c>
      <c r="AO5971" s="55">
        <v>6</v>
      </c>
      <c r="AP5971" s="55">
        <v>17</v>
      </c>
      <c r="AQ5971" s="55">
        <v>2197</v>
      </c>
      <c r="AR5971" s="55">
        <v>28500</v>
      </c>
      <c r="AS5971" s="78">
        <f t="shared" si="97"/>
        <v>7.7087719298245608E-2</v>
      </c>
    </row>
    <row r="5972" spans="39:45">
      <c r="AM5972" s="54">
        <v>2019</v>
      </c>
      <c r="AN5972" s="54" t="s">
        <v>190</v>
      </c>
      <c r="AO5972" s="54">
        <v>6</v>
      </c>
      <c r="AP5972" s="54">
        <v>18</v>
      </c>
      <c r="AQ5972" s="54">
        <v>0</v>
      </c>
      <c r="AR5972" s="55">
        <v>28500</v>
      </c>
      <c r="AS5972" s="78">
        <f t="shared" si="97"/>
        <v>0</v>
      </c>
    </row>
    <row r="5973" spans="39:45">
      <c r="AM5973" s="55">
        <v>2019</v>
      </c>
      <c r="AN5973" s="55" t="s">
        <v>190</v>
      </c>
      <c r="AO5973" s="55">
        <v>6</v>
      </c>
      <c r="AP5973" s="55">
        <v>19</v>
      </c>
      <c r="AQ5973" s="55">
        <v>0</v>
      </c>
      <c r="AR5973" s="55">
        <v>28500</v>
      </c>
      <c r="AS5973" s="78">
        <f t="shared" si="97"/>
        <v>0</v>
      </c>
    </row>
    <row r="5974" spans="39:45">
      <c r="AM5974" s="54">
        <v>2019</v>
      </c>
      <c r="AN5974" s="54" t="s">
        <v>190</v>
      </c>
      <c r="AO5974" s="54">
        <v>6</v>
      </c>
      <c r="AP5974" s="54">
        <v>20</v>
      </c>
      <c r="AQ5974" s="54">
        <v>0</v>
      </c>
      <c r="AR5974" s="55">
        <v>28500</v>
      </c>
      <c r="AS5974" s="78">
        <f t="shared" si="97"/>
        <v>0</v>
      </c>
    </row>
    <row r="5975" spans="39:45">
      <c r="AM5975" s="55">
        <v>2019</v>
      </c>
      <c r="AN5975" s="55" t="s">
        <v>190</v>
      </c>
      <c r="AO5975" s="55">
        <v>6</v>
      </c>
      <c r="AP5975" s="55">
        <v>21</v>
      </c>
      <c r="AQ5975" s="55">
        <v>0</v>
      </c>
      <c r="AR5975" s="55">
        <v>28500</v>
      </c>
      <c r="AS5975" s="78">
        <f t="shared" si="97"/>
        <v>0</v>
      </c>
    </row>
    <row r="5976" spans="39:45">
      <c r="AM5976" s="54">
        <v>2019</v>
      </c>
      <c r="AN5976" s="54" t="s">
        <v>190</v>
      </c>
      <c r="AO5976" s="54">
        <v>6</v>
      </c>
      <c r="AP5976" s="54">
        <v>22</v>
      </c>
      <c r="AQ5976" s="54">
        <v>0</v>
      </c>
      <c r="AR5976" s="55">
        <v>28500</v>
      </c>
      <c r="AS5976" s="78">
        <f t="shared" si="97"/>
        <v>0</v>
      </c>
    </row>
    <row r="5977" spans="39:45">
      <c r="AM5977" s="55">
        <v>2019</v>
      </c>
      <c r="AN5977" s="55" t="s">
        <v>190</v>
      </c>
      <c r="AO5977" s="55">
        <v>6</v>
      </c>
      <c r="AP5977" s="55">
        <v>23</v>
      </c>
      <c r="AQ5977" s="55">
        <v>0</v>
      </c>
      <c r="AR5977" s="55">
        <v>28500</v>
      </c>
      <c r="AS5977" s="78">
        <f t="shared" si="97"/>
        <v>0</v>
      </c>
    </row>
    <row r="5978" spans="39:45">
      <c r="AM5978" s="54">
        <v>2019</v>
      </c>
      <c r="AN5978" s="54" t="s">
        <v>190</v>
      </c>
      <c r="AO5978" s="54">
        <v>7</v>
      </c>
      <c r="AP5978" s="54">
        <v>24</v>
      </c>
      <c r="AQ5978" s="54">
        <v>0</v>
      </c>
      <c r="AR5978" s="55">
        <v>28500</v>
      </c>
      <c r="AS5978" s="78">
        <f t="shared" si="97"/>
        <v>0</v>
      </c>
    </row>
    <row r="5979" spans="39:45">
      <c r="AM5979" s="55">
        <v>2019</v>
      </c>
      <c r="AN5979" s="55" t="s">
        <v>190</v>
      </c>
      <c r="AO5979" s="55">
        <v>7</v>
      </c>
      <c r="AP5979" s="55">
        <v>1</v>
      </c>
      <c r="AQ5979" s="55">
        <v>0</v>
      </c>
      <c r="AR5979" s="55">
        <v>28500</v>
      </c>
      <c r="AS5979" s="78">
        <f t="shared" si="97"/>
        <v>0</v>
      </c>
    </row>
    <row r="5980" spans="39:45">
      <c r="AM5980" s="54">
        <v>2019</v>
      </c>
      <c r="AN5980" s="54" t="s">
        <v>190</v>
      </c>
      <c r="AO5980" s="54">
        <v>7</v>
      </c>
      <c r="AP5980" s="54">
        <v>2</v>
      </c>
      <c r="AQ5980" s="54">
        <v>0</v>
      </c>
      <c r="AR5980" s="55">
        <v>28500</v>
      </c>
      <c r="AS5980" s="78">
        <f t="shared" si="97"/>
        <v>0</v>
      </c>
    </row>
    <row r="5981" spans="39:45">
      <c r="AM5981" s="55">
        <v>2019</v>
      </c>
      <c r="AN5981" s="55" t="s">
        <v>190</v>
      </c>
      <c r="AO5981" s="55">
        <v>7</v>
      </c>
      <c r="AP5981" s="55">
        <v>3</v>
      </c>
      <c r="AQ5981" s="55">
        <v>0</v>
      </c>
      <c r="AR5981" s="55">
        <v>28500</v>
      </c>
      <c r="AS5981" s="78">
        <f t="shared" si="97"/>
        <v>0</v>
      </c>
    </row>
    <row r="5982" spans="39:45">
      <c r="AM5982" s="54">
        <v>2019</v>
      </c>
      <c r="AN5982" s="54" t="s">
        <v>190</v>
      </c>
      <c r="AO5982" s="54">
        <v>7</v>
      </c>
      <c r="AP5982" s="54">
        <v>4</v>
      </c>
      <c r="AQ5982" s="54">
        <v>0</v>
      </c>
      <c r="AR5982" s="55">
        <v>28500</v>
      </c>
      <c r="AS5982" s="78">
        <f t="shared" si="97"/>
        <v>0</v>
      </c>
    </row>
    <row r="5983" spans="39:45">
      <c r="AM5983" s="55">
        <v>2019</v>
      </c>
      <c r="AN5983" s="55" t="s">
        <v>190</v>
      </c>
      <c r="AO5983" s="55">
        <v>7</v>
      </c>
      <c r="AP5983" s="55">
        <v>5</v>
      </c>
      <c r="AQ5983" s="55">
        <v>0</v>
      </c>
      <c r="AR5983" s="55">
        <v>28500</v>
      </c>
      <c r="AS5983" s="78">
        <f t="shared" si="97"/>
        <v>0</v>
      </c>
    </row>
    <row r="5984" spans="39:45">
      <c r="AM5984" s="54">
        <v>2019</v>
      </c>
      <c r="AN5984" s="54" t="s">
        <v>190</v>
      </c>
      <c r="AO5984" s="54">
        <v>7</v>
      </c>
      <c r="AP5984" s="54">
        <v>6</v>
      </c>
      <c r="AQ5984" s="54">
        <v>1000.5</v>
      </c>
      <c r="AR5984" s="55">
        <v>28500</v>
      </c>
      <c r="AS5984" s="78">
        <f t="shared" si="97"/>
        <v>3.5105263157894737E-2</v>
      </c>
    </row>
    <row r="5985" spans="39:45">
      <c r="AM5985" s="55">
        <v>2019</v>
      </c>
      <c r="AN5985" s="55" t="s">
        <v>190</v>
      </c>
      <c r="AO5985" s="55">
        <v>7</v>
      </c>
      <c r="AP5985" s="55">
        <v>7</v>
      </c>
      <c r="AQ5985" s="55">
        <v>4819.5</v>
      </c>
      <c r="AR5985" s="55">
        <v>28500</v>
      </c>
      <c r="AS5985" s="78">
        <f t="shared" si="97"/>
        <v>0.16910526315789473</v>
      </c>
    </row>
    <row r="5986" spans="39:45">
      <c r="AM5986" s="54">
        <v>2019</v>
      </c>
      <c r="AN5986" s="54" t="s">
        <v>190</v>
      </c>
      <c r="AO5986" s="54">
        <v>7</v>
      </c>
      <c r="AP5986" s="54">
        <v>8</v>
      </c>
      <c r="AQ5986" s="54">
        <v>10626</v>
      </c>
      <c r="AR5986" s="55">
        <v>28500</v>
      </c>
      <c r="AS5986" s="78">
        <f t="shared" si="97"/>
        <v>0.37284210526315792</v>
      </c>
    </row>
    <row r="5987" spans="39:45">
      <c r="AM5987" s="55">
        <v>2019</v>
      </c>
      <c r="AN5987" s="55" t="s">
        <v>190</v>
      </c>
      <c r="AO5987" s="55">
        <v>7</v>
      </c>
      <c r="AP5987" s="55">
        <v>9</v>
      </c>
      <c r="AQ5987" s="55">
        <v>9868</v>
      </c>
      <c r="AR5987" s="55">
        <v>28500</v>
      </c>
      <c r="AS5987" s="78">
        <f t="shared" si="97"/>
        <v>0.34624561403508775</v>
      </c>
    </row>
    <row r="5988" spans="39:45">
      <c r="AM5988" s="54">
        <v>2019</v>
      </c>
      <c r="AN5988" s="54" t="s">
        <v>190</v>
      </c>
      <c r="AO5988" s="54">
        <v>7</v>
      </c>
      <c r="AP5988" s="54">
        <v>10</v>
      </c>
      <c r="AQ5988" s="54">
        <v>7261</v>
      </c>
      <c r="AR5988" s="55">
        <v>28500</v>
      </c>
      <c r="AS5988" s="78">
        <f t="shared" si="97"/>
        <v>0.25477192982456143</v>
      </c>
    </row>
    <row r="5989" spans="39:45">
      <c r="AM5989" s="55">
        <v>2019</v>
      </c>
      <c r="AN5989" s="55" t="s">
        <v>190</v>
      </c>
      <c r="AO5989" s="55">
        <v>7</v>
      </c>
      <c r="AP5989" s="55">
        <v>11</v>
      </c>
      <c r="AQ5989" s="55">
        <v>12160.5</v>
      </c>
      <c r="AR5989" s="55">
        <v>28500</v>
      </c>
      <c r="AS5989" s="78">
        <f t="shared" si="97"/>
        <v>0.42668421052631578</v>
      </c>
    </row>
    <row r="5990" spans="39:45">
      <c r="AM5990" s="54">
        <v>2019</v>
      </c>
      <c r="AN5990" s="54" t="s">
        <v>190</v>
      </c>
      <c r="AO5990" s="54">
        <v>7</v>
      </c>
      <c r="AP5990" s="54">
        <v>12</v>
      </c>
      <c r="AQ5990" s="54">
        <v>3878.5</v>
      </c>
      <c r="AR5990" s="55">
        <v>28500</v>
      </c>
      <c r="AS5990" s="78">
        <f t="shared" si="97"/>
        <v>0.13608771929824562</v>
      </c>
    </row>
    <row r="5991" spans="39:45">
      <c r="AM5991" s="55">
        <v>2019</v>
      </c>
      <c r="AN5991" s="55" t="s">
        <v>190</v>
      </c>
      <c r="AO5991" s="55">
        <v>7</v>
      </c>
      <c r="AP5991" s="55">
        <v>13</v>
      </c>
      <c r="AQ5991" s="55">
        <v>19701.5</v>
      </c>
      <c r="AR5991" s="55">
        <v>28500</v>
      </c>
      <c r="AS5991" s="78">
        <f t="shared" si="97"/>
        <v>0.69128070175438594</v>
      </c>
    </row>
    <row r="5992" spans="39:45">
      <c r="AM5992" s="54">
        <v>2019</v>
      </c>
      <c r="AN5992" s="54" t="s">
        <v>190</v>
      </c>
      <c r="AO5992" s="54">
        <v>7</v>
      </c>
      <c r="AP5992" s="54">
        <v>14</v>
      </c>
      <c r="AQ5992" s="54">
        <v>14374</v>
      </c>
      <c r="AR5992" s="55">
        <v>28500</v>
      </c>
      <c r="AS5992" s="78">
        <f t="shared" si="97"/>
        <v>0.50435087719298244</v>
      </c>
    </row>
    <row r="5993" spans="39:45">
      <c r="AM5993" s="55">
        <v>2019</v>
      </c>
      <c r="AN5993" s="55" t="s">
        <v>190</v>
      </c>
      <c r="AO5993" s="55">
        <v>7</v>
      </c>
      <c r="AP5993" s="55">
        <v>15</v>
      </c>
      <c r="AQ5993" s="55">
        <v>12362.5</v>
      </c>
      <c r="AR5993" s="55">
        <v>28500</v>
      </c>
      <c r="AS5993" s="78">
        <f t="shared" si="97"/>
        <v>0.43377192982456142</v>
      </c>
    </row>
    <row r="5994" spans="39:45">
      <c r="AM5994" s="54">
        <v>2019</v>
      </c>
      <c r="AN5994" s="54" t="s">
        <v>190</v>
      </c>
      <c r="AO5994" s="54">
        <v>7</v>
      </c>
      <c r="AP5994" s="54">
        <v>16</v>
      </c>
      <c r="AQ5994" s="54">
        <v>14778.5</v>
      </c>
      <c r="AR5994" s="55">
        <v>28500</v>
      </c>
      <c r="AS5994" s="78">
        <f t="shared" si="97"/>
        <v>0.51854385964912286</v>
      </c>
    </row>
    <row r="5995" spans="39:45">
      <c r="AM5995" s="55">
        <v>2019</v>
      </c>
      <c r="AN5995" s="55" t="s">
        <v>190</v>
      </c>
      <c r="AO5995" s="55">
        <v>7</v>
      </c>
      <c r="AP5995" s="55">
        <v>17</v>
      </c>
      <c r="AQ5995" s="55">
        <v>5457.5</v>
      </c>
      <c r="AR5995" s="55">
        <v>28500</v>
      </c>
      <c r="AS5995" s="78">
        <f t="shared" si="97"/>
        <v>0.19149122807017543</v>
      </c>
    </row>
    <row r="5996" spans="39:45">
      <c r="AM5996" s="54">
        <v>2019</v>
      </c>
      <c r="AN5996" s="54" t="s">
        <v>190</v>
      </c>
      <c r="AO5996" s="54">
        <v>7</v>
      </c>
      <c r="AP5996" s="54">
        <v>18</v>
      </c>
      <c r="AQ5996" s="54">
        <v>160</v>
      </c>
      <c r="AR5996" s="55">
        <v>28500</v>
      </c>
      <c r="AS5996" s="78">
        <f t="shared" si="97"/>
        <v>5.6140350877192978E-3</v>
      </c>
    </row>
    <row r="5997" spans="39:45">
      <c r="AM5997" s="55">
        <v>2019</v>
      </c>
      <c r="AN5997" s="55" t="s">
        <v>190</v>
      </c>
      <c r="AO5997" s="55">
        <v>7</v>
      </c>
      <c r="AP5997" s="55">
        <v>19</v>
      </c>
      <c r="AQ5997" s="55">
        <v>0</v>
      </c>
      <c r="AR5997" s="55">
        <v>28500</v>
      </c>
      <c r="AS5997" s="78">
        <f t="shared" si="97"/>
        <v>0</v>
      </c>
    </row>
    <row r="5998" spans="39:45">
      <c r="AM5998" s="54">
        <v>2019</v>
      </c>
      <c r="AN5998" s="54" t="s">
        <v>190</v>
      </c>
      <c r="AO5998" s="54">
        <v>7</v>
      </c>
      <c r="AP5998" s="54">
        <v>20</v>
      </c>
      <c r="AQ5998" s="54">
        <v>0</v>
      </c>
      <c r="AR5998" s="55">
        <v>28500</v>
      </c>
      <c r="AS5998" s="78">
        <f t="shared" si="97"/>
        <v>0</v>
      </c>
    </row>
    <row r="5999" spans="39:45">
      <c r="AM5999" s="55">
        <v>2019</v>
      </c>
      <c r="AN5999" s="55" t="s">
        <v>190</v>
      </c>
      <c r="AO5999" s="55">
        <v>7</v>
      </c>
      <c r="AP5999" s="55">
        <v>21</v>
      </c>
      <c r="AQ5999" s="55">
        <v>0</v>
      </c>
      <c r="AR5999" s="55">
        <v>28500</v>
      </c>
      <c r="AS5999" s="78">
        <f t="shared" si="97"/>
        <v>0</v>
      </c>
    </row>
    <row r="6000" spans="39:45">
      <c r="AM6000" s="54">
        <v>2019</v>
      </c>
      <c r="AN6000" s="54" t="s">
        <v>190</v>
      </c>
      <c r="AO6000" s="54">
        <v>7</v>
      </c>
      <c r="AP6000" s="54">
        <v>22</v>
      </c>
      <c r="AQ6000" s="54">
        <v>0</v>
      </c>
      <c r="AR6000" s="55">
        <v>28500</v>
      </c>
      <c r="AS6000" s="78">
        <f t="shared" si="97"/>
        <v>0</v>
      </c>
    </row>
    <row r="6001" spans="39:45">
      <c r="AM6001" s="55">
        <v>2019</v>
      </c>
      <c r="AN6001" s="55" t="s">
        <v>190</v>
      </c>
      <c r="AO6001" s="55">
        <v>7</v>
      </c>
      <c r="AP6001" s="55">
        <v>23</v>
      </c>
      <c r="AQ6001" s="55">
        <v>0</v>
      </c>
      <c r="AR6001" s="55">
        <v>28500</v>
      </c>
      <c r="AS6001" s="78">
        <f t="shared" si="97"/>
        <v>0</v>
      </c>
    </row>
    <row r="6002" spans="39:45">
      <c r="AM6002" s="54">
        <v>2019</v>
      </c>
      <c r="AN6002" s="54" t="s">
        <v>190</v>
      </c>
      <c r="AO6002" s="54">
        <v>8</v>
      </c>
      <c r="AP6002" s="54">
        <v>24</v>
      </c>
      <c r="AQ6002" s="54">
        <v>0</v>
      </c>
      <c r="AR6002" s="55">
        <v>28500</v>
      </c>
      <c r="AS6002" s="78">
        <f t="shared" si="97"/>
        <v>0</v>
      </c>
    </row>
    <row r="6003" spans="39:45">
      <c r="AM6003" s="55">
        <v>2019</v>
      </c>
      <c r="AN6003" s="55" t="s">
        <v>190</v>
      </c>
      <c r="AO6003" s="55">
        <v>8</v>
      </c>
      <c r="AP6003" s="55">
        <v>1</v>
      </c>
      <c r="AQ6003" s="55">
        <v>0</v>
      </c>
      <c r="AR6003" s="55">
        <v>28500</v>
      </c>
      <c r="AS6003" s="78">
        <f t="shared" si="97"/>
        <v>0</v>
      </c>
    </row>
    <row r="6004" spans="39:45">
      <c r="AM6004" s="54">
        <v>2019</v>
      </c>
      <c r="AN6004" s="54" t="s">
        <v>190</v>
      </c>
      <c r="AO6004" s="54">
        <v>8</v>
      </c>
      <c r="AP6004" s="54">
        <v>2</v>
      </c>
      <c r="AQ6004" s="54">
        <v>0</v>
      </c>
      <c r="AR6004" s="55">
        <v>28500</v>
      </c>
      <c r="AS6004" s="78">
        <f t="shared" si="97"/>
        <v>0</v>
      </c>
    </row>
    <row r="6005" spans="39:45">
      <c r="AM6005" s="55">
        <v>2019</v>
      </c>
      <c r="AN6005" s="55" t="s">
        <v>190</v>
      </c>
      <c r="AO6005" s="55">
        <v>8</v>
      </c>
      <c r="AP6005" s="55">
        <v>3</v>
      </c>
      <c r="AQ6005" s="55">
        <v>0</v>
      </c>
      <c r="AR6005" s="55">
        <v>28500</v>
      </c>
      <c r="AS6005" s="78">
        <f t="shared" si="97"/>
        <v>0</v>
      </c>
    </row>
    <row r="6006" spans="39:45">
      <c r="AM6006" s="54">
        <v>2019</v>
      </c>
      <c r="AN6006" s="54" t="s">
        <v>190</v>
      </c>
      <c r="AO6006" s="54">
        <v>8</v>
      </c>
      <c r="AP6006" s="54">
        <v>4</v>
      </c>
      <c r="AQ6006" s="54">
        <v>0</v>
      </c>
      <c r="AR6006" s="55">
        <v>28500</v>
      </c>
      <c r="AS6006" s="78">
        <f t="shared" si="97"/>
        <v>0</v>
      </c>
    </row>
    <row r="6007" spans="39:45">
      <c r="AM6007" s="55">
        <v>2019</v>
      </c>
      <c r="AN6007" s="55" t="s">
        <v>190</v>
      </c>
      <c r="AO6007" s="55">
        <v>8</v>
      </c>
      <c r="AP6007" s="55">
        <v>5</v>
      </c>
      <c r="AQ6007" s="55">
        <v>0</v>
      </c>
      <c r="AR6007" s="55">
        <v>28500</v>
      </c>
      <c r="AS6007" s="78">
        <f t="shared" si="97"/>
        <v>0</v>
      </c>
    </row>
    <row r="6008" spans="39:45">
      <c r="AM6008" s="54">
        <v>2019</v>
      </c>
      <c r="AN6008" s="54" t="s">
        <v>190</v>
      </c>
      <c r="AO6008" s="54">
        <v>8</v>
      </c>
      <c r="AP6008" s="54">
        <v>6</v>
      </c>
      <c r="AQ6008" s="54">
        <v>1394</v>
      </c>
      <c r="AR6008" s="55">
        <v>28500</v>
      </c>
      <c r="AS6008" s="78">
        <f t="shared" si="97"/>
        <v>4.8912280701754386E-2</v>
      </c>
    </row>
    <row r="6009" spans="39:45">
      <c r="AM6009" s="55">
        <v>2019</v>
      </c>
      <c r="AN6009" s="55" t="s">
        <v>190</v>
      </c>
      <c r="AO6009" s="55">
        <v>8</v>
      </c>
      <c r="AP6009" s="55">
        <v>7</v>
      </c>
      <c r="AQ6009" s="55">
        <v>10565.5</v>
      </c>
      <c r="AR6009" s="55">
        <v>28500</v>
      </c>
      <c r="AS6009" s="78">
        <f t="shared" si="97"/>
        <v>0.37071929824561406</v>
      </c>
    </row>
    <row r="6010" spans="39:45">
      <c r="AM6010" s="54">
        <v>2019</v>
      </c>
      <c r="AN6010" s="54" t="s">
        <v>190</v>
      </c>
      <c r="AO6010" s="54">
        <v>8</v>
      </c>
      <c r="AP6010" s="54">
        <v>8</v>
      </c>
      <c r="AQ6010" s="54">
        <v>21028</v>
      </c>
      <c r="AR6010" s="55">
        <v>28500</v>
      </c>
      <c r="AS6010" s="78">
        <f t="shared" si="97"/>
        <v>0.73782456140350883</v>
      </c>
    </row>
    <row r="6011" spans="39:45">
      <c r="AM6011" s="55">
        <v>2019</v>
      </c>
      <c r="AN6011" s="55" t="s">
        <v>190</v>
      </c>
      <c r="AO6011" s="55">
        <v>8</v>
      </c>
      <c r="AP6011" s="55">
        <v>9</v>
      </c>
      <c r="AQ6011" s="55">
        <v>25211</v>
      </c>
      <c r="AR6011" s="55">
        <v>28500</v>
      </c>
      <c r="AS6011" s="78">
        <f t="shared" si="97"/>
        <v>0.88459649122807016</v>
      </c>
    </row>
    <row r="6012" spans="39:45">
      <c r="AM6012" s="54">
        <v>2019</v>
      </c>
      <c r="AN6012" s="54" t="s">
        <v>190</v>
      </c>
      <c r="AO6012" s="54">
        <v>8</v>
      </c>
      <c r="AP6012" s="54">
        <v>10</v>
      </c>
      <c r="AQ6012" s="54">
        <v>32829.5</v>
      </c>
      <c r="AR6012" s="55">
        <v>28500</v>
      </c>
      <c r="AS6012" s="78">
        <f t="shared" si="97"/>
        <v>1.1519122807017543</v>
      </c>
    </row>
    <row r="6013" spans="39:45">
      <c r="AM6013" s="55">
        <v>2019</v>
      </c>
      <c r="AN6013" s="55" t="s">
        <v>190</v>
      </c>
      <c r="AO6013" s="55">
        <v>8</v>
      </c>
      <c r="AP6013" s="55">
        <v>11</v>
      </c>
      <c r="AQ6013" s="55">
        <v>27313</v>
      </c>
      <c r="AR6013" s="55">
        <v>28500</v>
      </c>
      <c r="AS6013" s="78">
        <f t="shared" si="97"/>
        <v>0.95835087719298251</v>
      </c>
    </row>
    <row r="6014" spans="39:45">
      <c r="AM6014" s="54">
        <v>2019</v>
      </c>
      <c r="AN6014" s="54" t="s">
        <v>190</v>
      </c>
      <c r="AO6014" s="54">
        <v>8</v>
      </c>
      <c r="AP6014" s="54">
        <v>12</v>
      </c>
      <c r="AQ6014" s="54">
        <v>36402</v>
      </c>
      <c r="AR6014" s="55">
        <v>28500</v>
      </c>
      <c r="AS6014" s="78">
        <f t="shared" si="97"/>
        <v>1.2772631578947369</v>
      </c>
    </row>
    <row r="6015" spans="39:45">
      <c r="AM6015" s="55">
        <v>2019</v>
      </c>
      <c r="AN6015" s="55" t="s">
        <v>190</v>
      </c>
      <c r="AO6015" s="55">
        <v>8</v>
      </c>
      <c r="AP6015" s="55">
        <v>13</v>
      </c>
      <c r="AQ6015" s="55">
        <v>35467.5</v>
      </c>
      <c r="AR6015" s="55">
        <v>28500</v>
      </c>
      <c r="AS6015" s="78">
        <f t="shared" si="97"/>
        <v>1.2444736842105264</v>
      </c>
    </row>
    <row r="6016" spans="39:45">
      <c r="AM6016" s="54">
        <v>2019</v>
      </c>
      <c r="AN6016" s="54" t="s">
        <v>190</v>
      </c>
      <c r="AO6016" s="54">
        <v>8</v>
      </c>
      <c r="AP6016" s="54">
        <v>14</v>
      </c>
      <c r="AQ6016" s="54">
        <v>24729</v>
      </c>
      <c r="AR6016" s="55">
        <v>28500</v>
      </c>
      <c r="AS6016" s="78">
        <f t="shared" si="97"/>
        <v>0.86768421052631584</v>
      </c>
    </row>
    <row r="6017" spans="39:45">
      <c r="AM6017" s="55">
        <v>2019</v>
      </c>
      <c r="AN6017" s="55" t="s">
        <v>190</v>
      </c>
      <c r="AO6017" s="55">
        <v>8</v>
      </c>
      <c r="AP6017" s="55">
        <v>15</v>
      </c>
      <c r="AQ6017" s="55">
        <v>22485.5</v>
      </c>
      <c r="AR6017" s="55">
        <v>28500</v>
      </c>
      <c r="AS6017" s="78">
        <f t="shared" si="97"/>
        <v>0.78896491228070176</v>
      </c>
    </row>
    <row r="6018" spans="39:45">
      <c r="AM6018" s="54">
        <v>2019</v>
      </c>
      <c r="AN6018" s="54" t="s">
        <v>190</v>
      </c>
      <c r="AO6018" s="54">
        <v>8</v>
      </c>
      <c r="AP6018" s="54">
        <v>16</v>
      </c>
      <c r="AQ6018" s="54">
        <v>15290</v>
      </c>
      <c r="AR6018" s="55">
        <v>28500</v>
      </c>
      <c r="AS6018" s="78">
        <f t="shared" ref="AS6018:AS6081" si="98">AQ6018/AR6018</f>
        <v>0.53649122807017546</v>
      </c>
    </row>
    <row r="6019" spans="39:45">
      <c r="AM6019" s="55">
        <v>2019</v>
      </c>
      <c r="AN6019" s="55" t="s">
        <v>190</v>
      </c>
      <c r="AO6019" s="55">
        <v>8</v>
      </c>
      <c r="AP6019" s="55">
        <v>17</v>
      </c>
      <c r="AQ6019" s="55">
        <v>5619</v>
      </c>
      <c r="AR6019" s="55">
        <v>28500</v>
      </c>
      <c r="AS6019" s="78">
        <f t="shared" si="98"/>
        <v>0.19715789473684212</v>
      </c>
    </row>
    <row r="6020" spans="39:45">
      <c r="AM6020" s="54">
        <v>2019</v>
      </c>
      <c r="AN6020" s="54" t="s">
        <v>190</v>
      </c>
      <c r="AO6020" s="54">
        <v>8</v>
      </c>
      <c r="AP6020" s="54">
        <v>18</v>
      </c>
      <c r="AQ6020" s="54">
        <v>73.5</v>
      </c>
      <c r="AR6020" s="55">
        <v>28500</v>
      </c>
      <c r="AS6020" s="78">
        <f t="shared" si="98"/>
        <v>2.5789473684210526E-3</v>
      </c>
    </row>
    <row r="6021" spans="39:45">
      <c r="AM6021" s="55">
        <v>2019</v>
      </c>
      <c r="AN6021" s="55" t="s">
        <v>190</v>
      </c>
      <c r="AO6021" s="55">
        <v>8</v>
      </c>
      <c r="AP6021" s="55">
        <v>19</v>
      </c>
      <c r="AQ6021" s="55">
        <v>0</v>
      </c>
      <c r="AR6021" s="55">
        <v>28500</v>
      </c>
      <c r="AS6021" s="78">
        <f t="shared" si="98"/>
        <v>0</v>
      </c>
    </row>
    <row r="6022" spans="39:45">
      <c r="AM6022" s="54">
        <v>2019</v>
      </c>
      <c r="AN6022" s="54" t="s">
        <v>190</v>
      </c>
      <c r="AO6022" s="54">
        <v>8</v>
      </c>
      <c r="AP6022" s="54">
        <v>20</v>
      </c>
      <c r="AQ6022" s="54">
        <v>0</v>
      </c>
      <c r="AR6022" s="55">
        <v>28500</v>
      </c>
      <c r="AS6022" s="78">
        <f t="shared" si="98"/>
        <v>0</v>
      </c>
    </row>
    <row r="6023" spans="39:45">
      <c r="AM6023" s="55">
        <v>2019</v>
      </c>
      <c r="AN6023" s="55" t="s">
        <v>190</v>
      </c>
      <c r="AO6023" s="55">
        <v>8</v>
      </c>
      <c r="AP6023" s="55">
        <v>21</v>
      </c>
      <c r="AQ6023" s="55">
        <v>0</v>
      </c>
      <c r="AR6023" s="55">
        <v>28500</v>
      </c>
      <c r="AS6023" s="78">
        <f t="shared" si="98"/>
        <v>0</v>
      </c>
    </row>
    <row r="6024" spans="39:45">
      <c r="AM6024" s="54">
        <v>2019</v>
      </c>
      <c r="AN6024" s="54" t="s">
        <v>190</v>
      </c>
      <c r="AO6024" s="54">
        <v>8</v>
      </c>
      <c r="AP6024" s="54">
        <v>22</v>
      </c>
      <c r="AQ6024" s="54">
        <v>0</v>
      </c>
      <c r="AR6024" s="55">
        <v>28500</v>
      </c>
      <c r="AS6024" s="78">
        <f t="shared" si="98"/>
        <v>0</v>
      </c>
    </row>
    <row r="6025" spans="39:45">
      <c r="AM6025" s="55">
        <v>2019</v>
      </c>
      <c r="AN6025" s="55" t="s">
        <v>190</v>
      </c>
      <c r="AO6025" s="55">
        <v>8</v>
      </c>
      <c r="AP6025" s="55">
        <v>23</v>
      </c>
      <c r="AQ6025" s="55">
        <v>0</v>
      </c>
      <c r="AR6025" s="55">
        <v>28500</v>
      </c>
      <c r="AS6025" s="78">
        <f t="shared" si="98"/>
        <v>0</v>
      </c>
    </row>
    <row r="6026" spans="39:45">
      <c r="AM6026" s="54">
        <v>2019</v>
      </c>
      <c r="AN6026" s="54" t="s">
        <v>190</v>
      </c>
      <c r="AO6026" s="54">
        <v>9</v>
      </c>
      <c r="AP6026" s="54">
        <v>24</v>
      </c>
      <c r="AQ6026" s="54">
        <v>0</v>
      </c>
      <c r="AR6026" s="55">
        <v>28500</v>
      </c>
      <c r="AS6026" s="78">
        <f t="shared" si="98"/>
        <v>0</v>
      </c>
    </row>
    <row r="6027" spans="39:45">
      <c r="AM6027" s="55">
        <v>2019</v>
      </c>
      <c r="AN6027" s="55" t="s">
        <v>190</v>
      </c>
      <c r="AO6027" s="55">
        <v>9</v>
      </c>
      <c r="AP6027" s="55">
        <v>1</v>
      </c>
      <c r="AQ6027" s="55">
        <v>0</v>
      </c>
      <c r="AR6027" s="55">
        <v>28500</v>
      </c>
      <c r="AS6027" s="78">
        <f t="shared" si="98"/>
        <v>0</v>
      </c>
    </row>
    <row r="6028" spans="39:45">
      <c r="AM6028" s="54">
        <v>2019</v>
      </c>
      <c r="AN6028" s="54" t="s">
        <v>190</v>
      </c>
      <c r="AO6028" s="54">
        <v>9</v>
      </c>
      <c r="AP6028" s="54">
        <v>2</v>
      </c>
      <c r="AQ6028" s="54">
        <v>0</v>
      </c>
      <c r="AR6028" s="55">
        <v>28500</v>
      </c>
      <c r="AS6028" s="78">
        <f t="shared" si="98"/>
        <v>0</v>
      </c>
    </row>
    <row r="6029" spans="39:45">
      <c r="AM6029" s="55">
        <v>2019</v>
      </c>
      <c r="AN6029" s="55" t="s">
        <v>190</v>
      </c>
      <c r="AO6029" s="55">
        <v>9</v>
      </c>
      <c r="AP6029" s="55">
        <v>3</v>
      </c>
      <c r="AQ6029" s="55">
        <v>0</v>
      </c>
      <c r="AR6029" s="55">
        <v>28500</v>
      </c>
      <c r="AS6029" s="78">
        <f t="shared" si="98"/>
        <v>0</v>
      </c>
    </row>
    <row r="6030" spans="39:45">
      <c r="AM6030" s="54">
        <v>2019</v>
      </c>
      <c r="AN6030" s="54" t="s">
        <v>190</v>
      </c>
      <c r="AO6030" s="54">
        <v>9</v>
      </c>
      <c r="AP6030" s="54">
        <v>4</v>
      </c>
      <c r="AQ6030" s="54">
        <v>0</v>
      </c>
      <c r="AR6030" s="55">
        <v>28500</v>
      </c>
      <c r="AS6030" s="78">
        <f t="shared" si="98"/>
        <v>0</v>
      </c>
    </row>
    <row r="6031" spans="39:45">
      <c r="AM6031" s="55">
        <v>2019</v>
      </c>
      <c r="AN6031" s="55" t="s">
        <v>190</v>
      </c>
      <c r="AO6031" s="55">
        <v>9</v>
      </c>
      <c r="AP6031" s="55">
        <v>5</v>
      </c>
      <c r="AQ6031" s="55">
        <v>0</v>
      </c>
      <c r="AR6031" s="55">
        <v>28500</v>
      </c>
      <c r="AS6031" s="78">
        <f t="shared" si="98"/>
        <v>0</v>
      </c>
    </row>
    <row r="6032" spans="39:45">
      <c r="AM6032" s="54">
        <v>2019</v>
      </c>
      <c r="AN6032" s="54" t="s">
        <v>190</v>
      </c>
      <c r="AO6032" s="54">
        <v>9</v>
      </c>
      <c r="AP6032" s="54">
        <v>6</v>
      </c>
      <c r="AQ6032" s="54">
        <v>94</v>
      </c>
      <c r="AR6032" s="55">
        <v>28500</v>
      </c>
      <c r="AS6032" s="78">
        <f t="shared" si="98"/>
        <v>3.2982456140350875E-3</v>
      </c>
    </row>
    <row r="6033" spans="39:45">
      <c r="AM6033" s="55">
        <v>2019</v>
      </c>
      <c r="AN6033" s="55" t="s">
        <v>190</v>
      </c>
      <c r="AO6033" s="55">
        <v>9</v>
      </c>
      <c r="AP6033" s="55">
        <v>7</v>
      </c>
      <c r="AQ6033" s="55">
        <v>1231.5</v>
      </c>
      <c r="AR6033" s="55">
        <v>28500</v>
      </c>
      <c r="AS6033" s="78">
        <f t="shared" si="98"/>
        <v>4.3210526315789477E-2</v>
      </c>
    </row>
    <row r="6034" spans="39:45">
      <c r="AM6034" s="54">
        <v>2019</v>
      </c>
      <c r="AN6034" s="54" t="s">
        <v>190</v>
      </c>
      <c r="AO6034" s="54">
        <v>9</v>
      </c>
      <c r="AP6034" s="54">
        <v>8</v>
      </c>
      <c r="AQ6034" s="54">
        <v>1692</v>
      </c>
      <c r="AR6034" s="55">
        <v>28500</v>
      </c>
      <c r="AS6034" s="78">
        <f t="shared" si="98"/>
        <v>5.9368421052631577E-2</v>
      </c>
    </row>
    <row r="6035" spans="39:45">
      <c r="AM6035" s="55">
        <v>2019</v>
      </c>
      <c r="AN6035" s="55" t="s">
        <v>190</v>
      </c>
      <c r="AO6035" s="55">
        <v>9</v>
      </c>
      <c r="AP6035" s="55">
        <v>9</v>
      </c>
      <c r="AQ6035" s="55">
        <v>4722</v>
      </c>
      <c r="AR6035" s="55">
        <v>28500</v>
      </c>
      <c r="AS6035" s="78">
        <f t="shared" si="98"/>
        <v>0.16568421052631579</v>
      </c>
    </row>
    <row r="6036" spans="39:45">
      <c r="AM6036" s="54">
        <v>2019</v>
      </c>
      <c r="AN6036" s="54" t="s">
        <v>190</v>
      </c>
      <c r="AO6036" s="54">
        <v>9</v>
      </c>
      <c r="AP6036" s="54">
        <v>10</v>
      </c>
      <c r="AQ6036" s="54">
        <v>3057.5</v>
      </c>
      <c r="AR6036" s="55">
        <v>28500</v>
      </c>
      <c r="AS6036" s="78">
        <f t="shared" si="98"/>
        <v>0.10728070175438596</v>
      </c>
    </row>
    <row r="6037" spans="39:45">
      <c r="AM6037" s="55">
        <v>2019</v>
      </c>
      <c r="AN6037" s="55" t="s">
        <v>190</v>
      </c>
      <c r="AO6037" s="55">
        <v>9</v>
      </c>
      <c r="AP6037" s="55">
        <v>11</v>
      </c>
      <c r="AQ6037" s="55">
        <v>4053</v>
      </c>
      <c r="AR6037" s="55">
        <v>28500</v>
      </c>
      <c r="AS6037" s="78">
        <f t="shared" si="98"/>
        <v>0.14221052631578948</v>
      </c>
    </row>
    <row r="6038" spans="39:45">
      <c r="AM6038" s="54">
        <v>2019</v>
      </c>
      <c r="AN6038" s="54" t="s">
        <v>190</v>
      </c>
      <c r="AO6038" s="54">
        <v>9</v>
      </c>
      <c r="AP6038" s="54">
        <v>12</v>
      </c>
      <c r="AQ6038" s="54">
        <v>4051.5</v>
      </c>
      <c r="AR6038" s="55">
        <v>28500</v>
      </c>
      <c r="AS6038" s="78">
        <f t="shared" si="98"/>
        <v>0.14215789473684209</v>
      </c>
    </row>
    <row r="6039" spans="39:45">
      <c r="AM6039" s="55">
        <v>2019</v>
      </c>
      <c r="AN6039" s="55" t="s">
        <v>190</v>
      </c>
      <c r="AO6039" s="55">
        <v>9</v>
      </c>
      <c r="AP6039" s="55">
        <v>13</v>
      </c>
      <c r="AQ6039" s="55">
        <v>12599.5</v>
      </c>
      <c r="AR6039" s="55">
        <v>28500</v>
      </c>
      <c r="AS6039" s="78">
        <f t="shared" si="98"/>
        <v>0.44208771929824564</v>
      </c>
    </row>
    <row r="6040" spans="39:45">
      <c r="AM6040" s="54">
        <v>2019</v>
      </c>
      <c r="AN6040" s="54" t="s">
        <v>190</v>
      </c>
      <c r="AO6040" s="54">
        <v>9</v>
      </c>
      <c r="AP6040" s="54">
        <v>14</v>
      </c>
      <c r="AQ6040" s="54">
        <v>3396.5</v>
      </c>
      <c r="AR6040" s="55">
        <v>28500</v>
      </c>
      <c r="AS6040" s="78">
        <f t="shared" si="98"/>
        <v>0.11917543859649123</v>
      </c>
    </row>
    <row r="6041" spans="39:45">
      <c r="AM6041" s="55">
        <v>2019</v>
      </c>
      <c r="AN6041" s="55" t="s">
        <v>190</v>
      </c>
      <c r="AO6041" s="55">
        <v>9</v>
      </c>
      <c r="AP6041" s="55">
        <v>15</v>
      </c>
      <c r="AQ6041" s="55">
        <v>7164</v>
      </c>
      <c r="AR6041" s="55">
        <v>28500</v>
      </c>
      <c r="AS6041" s="78">
        <f t="shared" si="98"/>
        <v>0.25136842105263157</v>
      </c>
    </row>
    <row r="6042" spans="39:45">
      <c r="AM6042" s="54">
        <v>2019</v>
      </c>
      <c r="AN6042" s="54" t="s">
        <v>190</v>
      </c>
      <c r="AO6042" s="54">
        <v>9</v>
      </c>
      <c r="AP6042" s="54">
        <v>16</v>
      </c>
      <c r="AQ6042" s="54">
        <v>5173</v>
      </c>
      <c r="AR6042" s="55">
        <v>28500</v>
      </c>
      <c r="AS6042" s="78">
        <f t="shared" si="98"/>
        <v>0.18150877192982456</v>
      </c>
    </row>
    <row r="6043" spans="39:45">
      <c r="AM6043" s="55">
        <v>2019</v>
      </c>
      <c r="AN6043" s="55" t="s">
        <v>190</v>
      </c>
      <c r="AO6043" s="55">
        <v>9</v>
      </c>
      <c r="AP6043" s="55">
        <v>17</v>
      </c>
      <c r="AQ6043" s="55">
        <v>2388</v>
      </c>
      <c r="AR6043" s="55">
        <v>28500</v>
      </c>
      <c r="AS6043" s="78">
        <f t="shared" si="98"/>
        <v>8.3789473684210525E-2</v>
      </c>
    </row>
    <row r="6044" spans="39:45">
      <c r="AM6044" s="54">
        <v>2019</v>
      </c>
      <c r="AN6044" s="54" t="s">
        <v>190</v>
      </c>
      <c r="AO6044" s="54">
        <v>9</v>
      </c>
      <c r="AP6044" s="54">
        <v>18</v>
      </c>
      <c r="AQ6044" s="54">
        <v>0</v>
      </c>
      <c r="AR6044" s="55">
        <v>28500</v>
      </c>
      <c r="AS6044" s="78">
        <f t="shared" si="98"/>
        <v>0</v>
      </c>
    </row>
    <row r="6045" spans="39:45">
      <c r="AM6045" s="55">
        <v>2019</v>
      </c>
      <c r="AN6045" s="55" t="s">
        <v>190</v>
      </c>
      <c r="AO6045" s="55">
        <v>9</v>
      </c>
      <c r="AP6045" s="55">
        <v>19</v>
      </c>
      <c r="AQ6045" s="55">
        <v>0</v>
      </c>
      <c r="AR6045" s="55">
        <v>28500</v>
      </c>
      <c r="AS6045" s="78">
        <f t="shared" si="98"/>
        <v>0</v>
      </c>
    </row>
    <row r="6046" spans="39:45">
      <c r="AM6046" s="54">
        <v>2019</v>
      </c>
      <c r="AN6046" s="54" t="s">
        <v>190</v>
      </c>
      <c r="AO6046" s="54">
        <v>9</v>
      </c>
      <c r="AP6046" s="54">
        <v>20</v>
      </c>
      <c r="AQ6046" s="54">
        <v>0</v>
      </c>
      <c r="AR6046" s="55">
        <v>28500</v>
      </c>
      <c r="AS6046" s="78">
        <f t="shared" si="98"/>
        <v>0</v>
      </c>
    </row>
    <row r="6047" spans="39:45">
      <c r="AM6047" s="55">
        <v>2019</v>
      </c>
      <c r="AN6047" s="55" t="s">
        <v>190</v>
      </c>
      <c r="AO6047" s="55">
        <v>9</v>
      </c>
      <c r="AP6047" s="55">
        <v>21</v>
      </c>
      <c r="AQ6047" s="55">
        <v>0</v>
      </c>
      <c r="AR6047" s="55">
        <v>28500</v>
      </c>
      <c r="AS6047" s="78">
        <f t="shared" si="98"/>
        <v>0</v>
      </c>
    </row>
    <row r="6048" spans="39:45">
      <c r="AM6048" s="54">
        <v>2019</v>
      </c>
      <c r="AN6048" s="54" t="s">
        <v>190</v>
      </c>
      <c r="AO6048" s="54">
        <v>9</v>
      </c>
      <c r="AP6048" s="54">
        <v>22</v>
      </c>
      <c r="AQ6048" s="54">
        <v>0</v>
      </c>
      <c r="AR6048" s="55">
        <v>28500</v>
      </c>
      <c r="AS6048" s="78">
        <f t="shared" si="98"/>
        <v>0</v>
      </c>
    </row>
    <row r="6049" spans="39:45">
      <c r="AM6049" s="55">
        <v>2019</v>
      </c>
      <c r="AN6049" s="55" t="s">
        <v>190</v>
      </c>
      <c r="AO6049" s="55">
        <v>9</v>
      </c>
      <c r="AP6049" s="55">
        <v>23</v>
      </c>
      <c r="AQ6049" s="55">
        <v>0</v>
      </c>
      <c r="AR6049" s="55">
        <v>28500</v>
      </c>
      <c r="AS6049" s="78">
        <f t="shared" si="98"/>
        <v>0</v>
      </c>
    </row>
    <row r="6050" spans="39:45">
      <c r="AM6050" s="54">
        <v>2019</v>
      </c>
      <c r="AN6050" s="54" t="s">
        <v>190</v>
      </c>
      <c r="AO6050" s="54">
        <v>10</v>
      </c>
      <c r="AP6050" s="54">
        <v>24</v>
      </c>
      <c r="AQ6050" s="54">
        <v>0</v>
      </c>
      <c r="AR6050" s="55">
        <v>28500</v>
      </c>
      <c r="AS6050" s="78">
        <f t="shared" si="98"/>
        <v>0</v>
      </c>
    </row>
    <row r="6051" spans="39:45">
      <c r="AM6051" s="55">
        <v>2019</v>
      </c>
      <c r="AN6051" s="55" t="s">
        <v>190</v>
      </c>
      <c r="AO6051" s="55">
        <v>10</v>
      </c>
      <c r="AP6051" s="55">
        <v>1</v>
      </c>
      <c r="AQ6051" s="55">
        <v>0</v>
      </c>
      <c r="AR6051" s="55">
        <v>28500</v>
      </c>
      <c r="AS6051" s="78">
        <f t="shared" si="98"/>
        <v>0</v>
      </c>
    </row>
    <row r="6052" spans="39:45">
      <c r="AM6052" s="54">
        <v>2019</v>
      </c>
      <c r="AN6052" s="54" t="s">
        <v>190</v>
      </c>
      <c r="AO6052" s="54">
        <v>10</v>
      </c>
      <c r="AP6052" s="54">
        <v>2</v>
      </c>
      <c r="AQ6052" s="54">
        <v>0</v>
      </c>
      <c r="AR6052" s="55">
        <v>28500</v>
      </c>
      <c r="AS6052" s="78">
        <f t="shared" si="98"/>
        <v>0</v>
      </c>
    </row>
    <row r="6053" spans="39:45">
      <c r="AM6053" s="55">
        <v>2019</v>
      </c>
      <c r="AN6053" s="55" t="s">
        <v>190</v>
      </c>
      <c r="AO6053" s="55">
        <v>10</v>
      </c>
      <c r="AP6053" s="55">
        <v>3</v>
      </c>
      <c r="AQ6053" s="55">
        <v>0</v>
      </c>
      <c r="AR6053" s="55">
        <v>28500</v>
      </c>
      <c r="AS6053" s="78">
        <f t="shared" si="98"/>
        <v>0</v>
      </c>
    </row>
    <row r="6054" spans="39:45">
      <c r="AM6054" s="54">
        <v>2019</v>
      </c>
      <c r="AN6054" s="54" t="s">
        <v>190</v>
      </c>
      <c r="AO6054" s="54">
        <v>10</v>
      </c>
      <c r="AP6054" s="54">
        <v>4</v>
      </c>
      <c r="AQ6054" s="54">
        <v>0</v>
      </c>
      <c r="AR6054" s="55">
        <v>28500</v>
      </c>
      <c r="AS6054" s="78">
        <f t="shared" si="98"/>
        <v>0</v>
      </c>
    </row>
    <row r="6055" spans="39:45">
      <c r="AM6055" s="55">
        <v>2019</v>
      </c>
      <c r="AN6055" s="55" t="s">
        <v>190</v>
      </c>
      <c r="AO6055" s="55">
        <v>10</v>
      </c>
      <c r="AP6055" s="55">
        <v>5</v>
      </c>
      <c r="AQ6055" s="55">
        <v>0</v>
      </c>
      <c r="AR6055" s="55">
        <v>28500</v>
      </c>
      <c r="AS6055" s="78">
        <f t="shared" si="98"/>
        <v>0</v>
      </c>
    </row>
    <row r="6056" spans="39:45">
      <c r="AM6056" s="54">
        <v>2019</v>
      </c>
      <c r="AN6056" s="54" t="s">
        <v>190</v>
      </c>
      <c r="AO6056" s="54">
        <v>10</v>
      </c>
      <c r="AP6056" s="54">
        <v>6</v>
      </c>
      <c r="AQ6056" s="54">
        <v>1174</v>
      </c>
      <c r="AR6056" s="55">
        <v>28500</v>
      </c>
      <c r="AS6056" s="78">
        <f t="shared" si="98"/>
        <v>4.1192982456140351E-2</v>
      </c>
    </row>
    <row r="6057" spans="39:45">
      <c r="AM6057" s="55">
        <v>2019</v>
      </c>
      <c r="AN6057" s="55" t="s">
        <v>190</v>
      </c>
      <c r="AO6057" s="55">
        <v>10</v>
      </c>
      <c r="AP6057" s="55">
        <v>7</v>
      </c>
      <c r="AQ6057" s="55">
        <v>8225</v>
      </c>
      <c r="AR6057" s="55">
        <v>28500</v>
      </c>
      <c r="AS6057" s="78">
        <f t="shared" si="98"/>
        <v>0.28859649122807018</v>
      </c>
    </row>
    <row r="6058" spans="39:45">
      <c r="AM6058" s="54">
        <v>2019</v>
      </c>
      <c r="AN6058" s="54" t="s">
        <v>190</v>
      </c>
      <c r="AO6058" s="54">
        <v>10</v>
      </c>
      <c r="AP6058" s="54">
        <v>8</v>
      </c>
      <c r="AQ6058" s="54">
        <v>14164.5</v>
      </c>
      <c r="AR6058" s="55">
        <v>28500</v>
      </c>
      <c r="AS6058" s="78">
        <f t="shared" si="98"/>
        <v>0.497</v>
      </c>
    </row>
    <row r="6059" spans="39:45">
      <c r="AM6059" s="55">
        <v>2019</v>
      </c>
      <c r="AN6059" s="55" t="s">
        <v>190</v>
      </c>
      <c r="AO6059" s="55">
        <v>10</v>
      </c>
      <c r="AP6059" s="55">
        <v>9</v>
      </c>
      <c r="AQ6059" s="55">
        <v>25644</v>
      </c>
      <c r="AR6059" s="55">
        <v>28500</v>
      </c>
      <c r="AS6059" s="78">
        <f t="shared" si="98"/>
        <v>0.89978947368421047</v>
      </c>
    </row>
    <row r="6060" spans="39:45">
      <c r="AM6060" s="54">
        <v>2019</v>
      </c>
      <c r="AN6060" s="54" t="s">
        <v>190</v>
      </c>
      <c r="AO6060" s="54">
        <v>10</v>
      </c>
      <c r="AP6060" s="54">
        <v>10</v>
      </c>
      <c r="AQ6060" s="54">
        <v>29483</v>
      </c>
      <c r="AR6060" s="55">
        <v>28500</v>
      </c>
      <c r="AS6060" s="78">
        <f t="shared" si="98"/>
        <v>1.0344912280701755</v>
      </c>
    </row>
    <row r="6061" spans="39:45">
      <c r="AM6061" s="55">
        <v>2019</v>
      </c>
      <c r="AN6061" s="55" t="s">
        <v>190</v>
      </c>
      <c r="AO6061" s="55">
        <v>10</v>
      </c>
      <c r="AP6061" s="55">
        <v>11</v>
      </c>
      <c r="AQ6061" s="55">
        <v>25054</v>
      </c>
      <c r="AR6061" s="55">
        <v>28500</v>
      </c>
      <c r="AS6061" s="78">
        <f t="shared" si="98"/>
        <v>0.87908771929824558</v>
      </c>
    </row>
    <row r="6062" spans="39:45">
      <c r="AM6062" s="54">
        <v>2019</v>
      </c>
      <c r="AN6062" s="54" t="s">
        <v>190</v>
      </c>
      <c r="AO6062" s="54">
        <v>10</v>
      </c>
      <c r="AP6062" s="54">
        <v>12</v>
      </c>
      <c r="AQ6062" s="54">
        <v>4387.5</v>
      </c>
      <c r="AR6062" s="55">
        <v>28500</v>
      </c>
      <c r="AS6062" s="78">
        <f t="shared" si="98"/>
        <v>0.15394736842105264</v>
      </c>
    </row>
    <row r="6063" spans="39:45">
      <c r="AM6063" s="55">
        <v>2019</v>
      </c>
      <c r="AN6063" s="55" t="s">
        <v>190</v>
      </c>
      <c r="AO6063" s="55">
        <v>10</v>
      </c>
      <c r="AP6063" s="55">
        <v>13</v>
      </c>
      <c r="AQ6063" s="55">
        <v>3630.5</v>
      </c>
      <c r="AR6063" s="55">
        <v>28500</v>
      </c>
      <c r="AS6063" s="78">
        <f t="shared" si="98"/>
        <v>0.12738596491228071</v>
      </c>
    </row>
    <row r="6064" spans="39:45">
      <c r="AM6064" s="54">
        <v>2019</v>
      </c>
      <c r="AN6064" s="54" t="s">
        <v>190</v>
      </c>
      <c r="AO6064" s="54">
        <v>10</v>
      </c>
      <c r="AP6064" s="54">
        <v>14</v>
      </c>
      <c r="AQ6064" s="54">
        <v>4424.5</v>
      </c>
      <c r="AR6064" s="55">
        <v>28500</v>
      </c>
      <c r="AS6064" s="78">
        <f t="shared" si="98"/>
        <v>0.15524561403508771</v>
      </c>
    </row>
    <row r="6065" spans="39:45">
      <c r="AM6065" s="55">
        <v>2019</v>
      </c>
      <c r="AN6065" s="55" t="s">
        <v>190</v>
      </c>
      <c r="AO6065" s="55">
        <v>10</v>
      </c>
      <c r="AP6065" s="55">
        <v>15</v>
      </c>
      <c r="AQ6065" s="55">
        <v>6547</v>
      </c>
      <c r="AR6065" s="55">
        <v>28500</v>
      </c>
      <c r="AS6065" s="78">
        <f t="shared" si="98"/>
        <v>0.22971929824561405</v>
      </c>
    </row>
    <row r="6066" spans="39:45">
      <c r="AM6066" s="54">
        <v>2019</v>
      </c>
      <c r="AN6066" s="54" t="s">
        <v>190</v>
      </c>
      <c r="AO6066" s="54">
        <v>10</v>
      </c>
      <c r="AP6066" s="54">
        <v>16</v>
      </c>
      <c r="AQ6066" s="54">
        <v>5772.5</v>
      </c>
      <c r="AR6066" s="55">
        <v>28500</v>
      </c>
      <c r="AS6066" s="78">
        <f t="shared" si="98"/>
        <v>0.2025438596491228</v>
      </c>
    </row>
    <row r="6067" spans="39:45">
      <c r="AM6067" s="55">
        <v>2019</v>
      </c>
      <c r="AN6067" s="55" t="s">
        <v>190</v>
      </c>
      <c r="AO6067" s="55">
        <v>10</v>
      </c>
      <c r="AP6067" s="55">
        <v>17</v>
      </c>
      <c r="AQ6067" s="55">
        <v>2626</v>
      </c>
      <c r="AR6067" s="55">
        <v>28500</v>
      </c>
      <c r="AS6067" s="78">
        <f t="shared" si="98"/>
        <v>9.2140350877192981E-2</v>
      </c>
    </row>
    <row r="6068" spans="39:45">
      <c r="AM6068" s="54">
        <v>2019</v>
      </c>
      <c r="AN6068" s="54" t="s">
        <v>190</v>
      </c>
      <c r="AO6068" s="54">
        <v>10</v>
      </c>
      <c r="AP6068" s="54">
        <v>18</v>
      </c>
      <c r="AQ6068" s="54">
        <v>0</v>
      </c>
      <c r="AR6068" s="55">
        <v>28500</v>
      </c>
      <c r="AS6068" s="78">
        <f t="shared" si="98"/>
        <v>0</v>
      </c>
    </row>
    <row r="6069" spans="39:45">
      <c r="AM6069" s="55">
        <v>2019</v>
      </c>
      <c r="AN6069" s="55" t="s">
        <v>190</v>
      </c>
      <c r="AO6069" s="55">
        <v>10</v>
      </c>
      <c r="AP6069" s="55">
        <v>19</v>
      </c>
      <c r="AQ6069" s="55">
        <v>0</v>
      </c>
      <c r="AR6069" s="55">
        <v>28500</v>
      </c>
      <c r="AS6069" s="78">
        <f t="shared" si="98"/>
        <v>0</v>
      </c>
    </row>
    <row r="6070" spans="39:45">
      <c r="AM6070" s="54">
        <v>2019</v>
      </c>
      <c r="AN6070" s="54" t="s">
        <v>190</v>
      </c>
      <c r="AO6070" s="54">
        <v>10</v>
      </c>
      <c r="AP6070" s="54">
        <v>20</v>
      </c>
      <c r="AQ6070" s="54">
        <v>0</v>
      </c>
      <c r="AR6070" s="55">
        <v>28500</v>
      </c>
      <c r="AS6070" s="78">
        <f t="shared" si="98"/>
        <v>0</v>
      </c>
    </row>
    <row r="6071" spans="39:45">
      <c r="AM6071" s="55">
        <v>2019</v>
      </c>
      <c r="AN6071" s="55" t="s">
        <v>190</v>
      </c>
      <c r="AO6071" s="55">
        <v>10</v>
      </c>
      <c r="AP6071" s="55">
        <v>21</v>
      </c>
      <c r="AQ6071" s="55">
        <v>0</v>
      </c>
      <c r="AR6071" s="55">
        <v>28500</v>
      </c>
      <c r="AS6071" s="78">
        <f t="shared" si="98"/>
        <v>0</v>
      </c>
    </row>
    <row r="6072" spans="39:45">
      <c r="AM6072" s="54">
        <v>2019</v>
      </c>
      <c r="AN6072" s="54" t="s">
        <v>190</v>
      </c>
      <c r="AO6072" s="54">
        <v>10</v>
      </c>
      <c r="AP6072" s="54">
        <v>22</v>
      </c>
      <c r="AQ6072" s="54">
        <v>0</v>
      </c>
      <c r="AR6072" s="55">
        <v>28500</v>
      </c>
      <c r="AS6072" s="78">
        <f t="shared" si="98"/>
        <v>0</v>
      </c>
    </row>
    <row r="6073" spans="39:45">
      <c r="AM6073" s="55">
        <v>2019</v>
      </c>
      <c r="AN6073" s="55" t="s">
        <v>190</v>
      </c>
      <c r="AO6073" s="55">
        <v>10</v>
      </c>
      <c r="AP6073" s="55">
        <v>23</v>
      </c>
      <c r="AQ6073" s="55">
        <v>0</v>
      </c>
      <c r="AR6073" s="55">
        <v>28500</v>
      </c>
      <c r="AS6073" s="78">
        <f t="shared" si="98"/>
        <v>0</v>
      </c>
    </row>
    <row r="6074" spans="39:45">
      <c r="AM6074" s="54">
        <v>2019</v>
      </c>
      <c r="AN6074" s="54" t="s">
        <v>190</v>
      </c>
      <c r="AO6074" s="54">
        <v>11</v>
      </c>
      <c r="AP6074" s="54">
        <v>24</v>
      </c>
      <c r="AQ6074" s="54">
        <v>0</v>
      </c>
      <c r="AR6074" s="55">
        <v>28500</v>
      </c>
      <c r="AS6074" s="78">
        <f t="shared" si="98"/>
        <v>0</v>
      </c>
    </row>
    <row r="6075" spans="39:45">
      <c r="AM6075" s="55">
        <v>2019</v>
      </c>
      <c r="AN6075" s="55" t="s">
        <v>190</v>
      </c>
      <c r="AO6075" s="55">
        <v>11</v>
      </c>
      <c r="AP6075" s="55">
        <v>1</v>
      </c>
      <c r="AQ6075" s="55">
        <v>0</v>
      </c>
      <c r="AR6075" s="55">
        <v>28500</v>
      </c>
      <c r="AS6075" s="78">
        <f t="shared" si="98"/>
        <v>0</v>
      </c>
    </row>
    <row r="6076" spans="39:45">
      <c r="AM6076" s="54">
        <v>2019</v>
      </c>
      <c r="AN6076" s="54" t="s">
        <v>190</v>
      </c>
      <c r="AO6076" s="54">
        <v>11</v>
      </c>
      <c r="AP6076" s="54">
        <v>2</v>
      </c>
      <c r="AQ6076" s="54">
        <v>0</v>
      </c>
      <c r="AR6076" s="55">
        <v>28500</v>
      </c>
      <c r="AS6076" s="78">
        <f t="shared" si="98"/>
        <v>0</v>
      </c>
    </row>
    <row r="6077" spans="39:45">
      <c r="AM6077" s="55">
        <v>2019</v>
      </c>
      <c r="AN6077" s="55" t="s">
        <v>190</v>
      </c>
      <c r="AO6077" s="55">
        <v>11</v>
      </c>
      <c r="AP6077" s="55">
        <v>3</v>
      </c>
      <c r="AQ6077" s="55">
        <v>0</v>
      </c>
      <c r="AR6077" s="55">
        <v>28500</v>
      </c>
      <c r="AS6077" s="78">
        <f t="shared" si="98"/>
        <v>0</v>
      </c>
    </row>
    <row r="6078" spans="39:45">
      <c r="AM6078" s="54">
        <v>2019</v>
      </c>
      <c r="AN6078" s="54" t="s">
        <v>190</v>
      </c>
      <c r="AO6078" s="54">
        <v>11</v>
      </c>
      <c r="AP6078" s="54">
        <v>4</v>
      </c>
      <c r="AQ6078" s="54">
        <v>0</v>
      </c>
      <c r="AR6078" s="55">
        <v>28500</v>
      </c>
      <c r="AS6078" s="78">
        <f t="shared" si="98"/>
        <v>0</v>
      </c>
    </row>
    <row r="6079" spans="39:45">
      <c r="AM6079" s="55">
        <v>2019</v>
      </c>
      <c r="AN6079" s="55" t="s">
        <v>190</v>
      </c>
      <c r="AO6079" s="55">
        <v>11</v>
      </c>
      <c r="AP6079" s="55">
        <v>5</v>
      </c>
      <c r="AQ6079" s="55">
        <v>0</v>
      </c>
      <c r="AR6079" s="55">
        <v>28500</v>
      </c>
      <c r="AS6079" s="78">
        <f t="shared" si="98"/>
        <v>0</v>
      </c>
    </row>
    <row r="6080" spans="39:45">
      <c r="AM6080" s="54">
        <v>2019</v>
      </c>
      <c r="AN6080" s="54" t="s">
        <v>190</v>
      </c>
      <c r="AO6080" s="54">
        <v>11</v>
      </c>
      <c r="AP6080" s="54">
        <v>6</v>
      </c>
      <c r="AQ6080" s="54">
        <v>575</v>
      </c>
      <c r="AR6080" s="55">
        <v>28500</v>
      </c>
      <c r="AS6080" s="78">
        <f t="shared" si="98"/>
        <v>2.0175438596491228E-2</v>
      </c>
    </row>
    <row r="6081" spans="39:45">
      <c r="AM6081" s="55">
        <v>2019</v>
      </c>
      <c r="AN6081" s="55" t="s">
        <v>190</v>
      </c>
      <c r="AO6081" s="55">
        <v>11</v>
      </c>
      <c r="AP6081" s="55">
        <v>7</v>
      </c>
      <c r="AQ6081" s="55">
        <v>2796</v>
      </c>
      <c r="AR6081" s="55">
        <v>28500</v>
      </c>
      <c r="AS6081" s="78">
        <f t="shared" si="98"/>
        <v>9.8105263157894737E-2</v>
      </c>
    </row>
    <row r="6082" spans="39:45">
      <c r="AM6082" s="54">
        <v>2019</v>
      </c>
      <c r="AN6082" s="54" t="s">
        <v>190</v>
      </c>
      <c r="AO6082" s="54">
        <v>11</v>
      </c>
      <c r="AP6082" s="54">
        <v>8</v>
      </c>
      <c r="AQ6082" s="54">
        <v>14169</v>
      </c>
      <c r="AR6082" s="55">
        <v>28500</v>
      </c>
      <c r="AS6082" s="78">
        <f t="shared" ref="AS6082:AS6145" si="99">AQ6082/AR6082</f>
        <v>0.49715789473684213</v>
      </c>
    </row>
    <row r="6083" spans="39:45">
      <c r="AM6083" s="55">
        <v>2019</v>
      </c>
      <c r="AN6083" s="55" t="s">
        <v>190</v>
      </c>
      <c r="AO6083" s="55">
        <v>11</v>
      </c>
      <c r="AP6083" s="55">
        <v>9</v>
      </c>
      <c r="AQ6083" s="55">
        <v>5102.5</v>
      </c>
      <c r="AR6083" s="55">
        <v>28500</v>
      </c>
      <c r="AS6083" s="78">
        <f t="shared" si="99"/>
        <v>0.17903508771929824</v>
      </c>
    </row>
    <row r="6084" spans="39:45">
      <c r="AM6084" s="54">
        <v>2019</v>
      </c>
      <c r="AN6084" s="54" t="s">
        <v>190</v>
      </c>
      <c r="AO6084" s="54">
        <v>11</v>
      </c>
      <c r="AP6084" s="54">
        <v>10</v>
      </c>
      <c r="AQ6084" s="54">
        <v>10876</v>
      </c>
      <c r="AR6084" s="55">
        <v>28500</v>
      </c>
      <c r="AS6084" s="78">
        <f t="shared" si="99"/>
        <v>0.38161403508771929</v>
      </c>
    </row>
    <row r="6085" spans="39:45">
      <c r="AM6085" s="55">
        <v>2019</v>
      </c>
      <c r="AN6085" s="55" t="s">
        <v>190</v>
      </c>
      <c r="AO6085" s="55">
        <v>11</v>
      </c>
      <c r="AP6085" s="55">
        <v>11</v>
      </c>
      <c r="AQ6085" s="55">
        <v>13182.5</v>
      </c>
      <c r="AR6085" s="55">
        <v>28500</v>
      </c>
      <c r="AS6085" s="78">
        <f t="shared" si="99"/>
        <v>0.46254385964912281</v>
      </c>
    </row>
    <row r="6086" spans="39:45">
      <c r="AM6086" s="54">
        <v>2019</v>
      </c>
      <c r="AN6086" s="54" t="s">
        <v>190</v>
      </c>
      <c r="AO6086" s="54">
        <v>11</v>
      </c>
      <c r="AP6086" s="54">
        <v>12</v>
      </c>
      <c r="AQ6086" s="54">
        <v>5052.5</v>
      </c>
      <c r="AR6086" s="55">
        <v>28500</v>
      </c>
      <c r="AS6086" s="78">
        <f t="shared" si="99"/>
        <v>0.17728070175438596</v>
      </c>
    </row>
    <row r="6087" spans="39:45">
      <c r="AM6087" s="55">
        <v>2019</v>
      </c>
      <c r="AN6087" s="55" t="s">
        <v>190</v>
      </c>
      <c r="AO6087" s="55">
        <v>11</v>
      </c>
      <c r="AP6087" s="55">
        <v>13</v>
      </c>
      <c r="AQ6087" s="55">
        <v>5877.5</v>
      </c>
      <c r="AR6087" s="55">
        <v>28500</v>
      </c>
      <c r="AS6087" s="78">
        <f t="shared" si="99"/>
        <v>0.20622807017543859</v>
      </c>
    </row>
    <row r="6088" spans="39:45">
      <c r="AM6088" s="54">
        <v>2019</v>
      </c>
      <c r="AN6088" s="54" t="s">
        <v>190</v>
      </c>
      <c r="AO6088" s="54">
        <v>11</v>
      </c>
      <c r="AP6088" s="54">
        <v>14</v>
      </c>
      <c r="AQ6088" s="54">
        <v>2459</v>
      </c>
      <c r="AR6088" s="55">
        <v>28500</v>
      </c>
      <c r="AS6088" s="78">
        <f t="shared" si="99"/>
        <v>8.6280701754385972E-2</v>
      </c>
    </row>
    <row r="6089" spans="39:45">
      <c r="AM6089" s="55">
        <v>2019</v>
      </c>
      <c r="AN6089" s="55" t="s">
        <v>190</v>
      </c>
      <c r="AO6089" s="55">
        <v>11</v>
      </c>
      <c r="AP6089" s="55">
        <v>15</v>
      </c>
      <c r="AQ6089" s="55">
        <v>2531</v>
      </c>
      <c r="AR6089" s="55">
        <v>28500</v>
      </c>
      <c r="AS6089" s="78">
        <f t="shared" si="99"/>
        <v>8.8807017543859654E-2</v>
      </c>
    </row>
    <row r="6090" spans="39:45">
      <c r="AM6090" s="54">
        <v>2019</v>
      </c>
      <c r="AN6090" s="54" t="s">
        <v>190</v>
      </c>
      <c r="AO6090" s="54">
        <v>11</v>
      </c>
      <c r="AP6090" s="54">
        <v>16</v>
      </c>
      <c r="AQ6090" s="54">
        <v>3862</v>
      </c>
      <c r="AR6090" s="55">
        <v>28500</v>
      </c>
      <c r="AS6090" s="78">
        <f t="shared" si="99"/>
        <v>0.13550877192982455</v>
      </c>
    </row>
    <row r="6091" spans="39:45">
      <c r="AM6091" s="55">
        <v>2019</v>
      </c>
      <c r="AN6091" s="55" t="s">
        <v>190</v>
      </c>
      <c r="AO6091" s="55">
        <v>11</v>
      </c>
      <c r="AP6091" s="55">
        <v>17</v>
      </c>
      <c r="AQ6091" s="55">
        <v>3438</v>
      </c>
      <c r="AR6091" s="55">
        <v>28500</v>
      </c>
      <c r="AS6091" s="78">
        <f t="shared" si="99"/>
        <v>0.12063157894736842</v>
      </c>
    </row>
    <row r="6092" spans="39:45">
      <c r="AM6092" s="54">
        <v>2019</v>
      </c>
      <c r="AN6092" s="54" t="s">
        <v>190</v>
      </c>
      <c r="AO6092" s="54">
        <v>11</v>
      </c>
      <c r="AP6092" s="54">
        <v>18</v>
      </c>
      <c r="AQ6092" s="54">
        <v>0</v>
      </c>
      <c r="AR6092" s="55">
        <v>28500</v>
      </c>
      <c r="AS6092" s="78">
        <f t="shared" si="99"/>
        <v>0</v>
      </c>
    </row>
    <row r="6093" spans="39:45">
      <c r="AM6093" s="55">
        <v>2019</v>
      </c>
      <c r="AN6093" s="55" t="s">
        <v>190</v>
      </c>
      <c r="AO6093" s="55">
        <v>11</v>
      </c>
      <c r="AP6093" s="55">
        <v>19</v>
      </c>
      <c r="AQ6093" s="55">
        <v>0</v>
      </c>
      <c r="AR6093" s="55">
        <v>28500</v>
      </c>
      <c r="AS6093" s="78">
        <f t="shared" si="99"/>
        <v>0</v>
      </c>
    </row>
    <row r="6094" spans="39:45">
      <c r="AM6094" s="54">
        <v>2019</v>
      </c>
      <c r="AN6094" s="54" t="s">
        <v>190</v>
      </c>
      <c r="AO6094" s="54">
        <v>11</v>
      </c>
      <c r="AP6094" s="54">
        <v>20</v>
      </c>
      <c r="AQ6094" s="54">
        <v>0</v>
      </c>
      <c r="AR6094" s="55">
        <v>28500</v>
      </c>
      <c r="AS6094" s="78">
        <f t="shared" si="99"/>
        <v>0</v>
      </c>
    </row>
    <row r="6095" spans="39:45">
      <c r="AM6095" s="55">
        <v>2019</v>
      </c>
      <c r="AN6095" s="55" t="s">
        <v>190</v>
      </c>
      <c r="AO6095" s="55">
        <v>11</v>
      </c>
      <c r="AP6095" s="55">
        <v>21</v>
      </c>
      <c r="AQ6095" s="55">
        <v>0</v>
      </c>
      <c r="AR6095" s="55">
        <v>28500</v>
      </c>
      <c r="AS6095" s="78">
        <f t="shared" si="99"/>
        <v>0</v>
      </c>
    </row>
    <row r="6096" spans="39:45">
      <c r="AM6096" s="54">
        <v>2019</v>
      </c>
      <c r="AN6096" s="54" t="s">
        <v>190</v>
      </c>
      <c r="AO6096" s="54">
        <v>11</v>
      </c>
      <c r="AP6096" s="54">
        <v>22</v>
      </c>
      <c r="AQ6096" s="54">
        <v>0</v>
      </c>
      <c r="AR6096" s="55">
        <v>28500</v>
      </c>
      <c r="AS6096" s="78">
        <f t="shared" si="99"/>
        <v>0</v>
      </c>
    </row>
    <row r="6097" spans="39:45">
      <c r="AM6097" s="55">
        <v>2019</v>
      </c>
      <c r="AN6097" s="55" t="s">
        <v>190</v>
      </c>
      <c r="AO6097" s="55">
        <v>11</v>
      </c>
      <c r="AP6097" s="55">
        <v>23</v>
      </c>
      <c r="AQ6097" s="55">
        <v>0</v>
      </c>
      <c r="AR6097" s="55">
        <v>28500</v>
      </c>
      <c r="AS6097" s="78">
        <f t="shared" si="99"/>
        <v>0</v>
      </c>
    </row>
    <row r="6098" spans="39:45">
      <c r="AM6098" s="54">
        <v>2019</v>
      </c>
      <c r="AN6098" s="54" t="s">
        <v>190</v>
      </c>
      <c r="AO6098" s="54">
        <v>12</v>
      </c>
      <c r="AP6098" s="54">
        <v>24</v>
      </c>
      <c r="AQ6098" s="54">
        <v>0</v>
      </c>
      <c r="AR6098" s="55">
        <v>28500</v>
      </c>
      <c r="AS6098" s="78">
        <f t="shared" si="99"/>
        <v>0</v>
      </c>
    </row>
    <row r="6099" spans="39:45">
      <c r="AM6099" s="55">
        <v>2019</v>
      </c>
      <c r="AN6099" s="55" t="s">
        <v>190</v>
      </c>
      <c r="AO6099" s="55">
        <v>12</v>
      </c>
      <c r="AP6099" s="55">
        <v>1</v>
      </c>
      <c r="AQ6099" s="55">
        <v>0</v>
      </c>
      <c r="AR6099" s="55">
        <v>28500</v>
      </c>
      <c r="AS6099" s="78">
        <f t="shared" si="99"/>
        <v>0</v>
      </c>
    </row>
    <row r="6100" spans="39:45">
      <c r="AM6100" s="54">
        <v>2019</v>
      </c>
      <c r="AN6100" s="54" t="s">
        <v>190</v>
      </c>
      <c r="AO6100" s="54">
        <v>12</v>
      </c>
      <c r="AP6100" s="54">
        <v>2</v>
      </c>
      <c r="AQ6100" s="54">
        <v>0</v>
      </c>
      <c r="AR6100" s="55">
        <v>28500</v>
      </c>
      <c r="AS6100" s="78">
        <f t="shared" si="99"/>
        <v>0</v>
      </c>
    </row>
    <row r="6101" spans="39:45">
      <c r="AM6101" s="55">
        <v>2019</v>
      </c>
      <c r="AN6101" s="55" t="s">
        <v>190</v>
      </c>
      <c r="AO6101" s="55">
        <v>12</v>
      </c>
      <c r="AP6101" s="55">
        <v>3</v>
      </c>
      <c r="AQ6101" s="55">
        <v>0</v>
      </c>
      <c r="AR6101" s="55">
        <v>28500</v>
      </c>
      <c r="AS6101" s="78">
        <f t="shared" si="99"/>
        <v>0</v>
      </c>
    </row>
    <row r="6102" spans="39:45">
      <c r="AM6102" s="54">
        <v>2019</v>
      </c>
      <c r="AN6102" s="54" t="s">
        <v>190</v>
      </c>
      <c r="AO6102" s="54">
        <v>12</v>
      </c>
      <c r="AP6102" s="54">
        <v>4</v>
      </c>
      <c r="AQ6102" s="54">
        <v>0</v>
      </c>
      <c r="AR6102" s="55">
        <v>28500</v>
      </c>
      <c r="AS6102" s="78">
        <f t="shared" si="99"/>
        <v>0</v>
      </c>
    </row>
    <row r="6103" spans="39:45">
      <c r="AM6103" s="55">
        <v>2019</v>
      </c>
      <c r="AN6103" s="55" t="s">
        <v>190</v>
      </c>
      <c r="AO6103" s="55">
        <v>12</v>
      </c>
      <c r="AP6103" s="55">
        <v>5</v>
      </c>
      <c r="AQ6103" s="55">
        <v>0</v>
      </c>
      <c r="AR6103" s="55">
        <v>28500</v>
      </c>
      <c r="AS6103" s="78">
        <f t="shared" si="99"/>
        <v>0</v>
      </c>
    </row>
    <row r="6104" spans="39:45">
      <c r="AM6104" s="54">
        <v>2019</v>
      </c>
      <c r="AN6104" s="54" t="s">
        <v>190</v>
      </c>
      <c r="AO6104" s="54">
        <v>12</v>
      </c>
      <c r="AP6104" s="54">
        <v>6</v>
      </c>
      <c r="AQ6104" s="54">
        <v>1101</v>
      </c>
      <c r="AR6104" s="55">
        <v>28500</v>
      </c>
      <c r="AS6104" s="78">
        <f t="shared" si="99"/>
        <v>3.863157894736842E-2</v>
      </c>
    </row>
    <row r="6105" spans="39:45">
      <c r="AM6105" s="55">
        <v>2019</v>
      </c>
      <c r="AN6105" s="55" t="s">
        <v>190</v>
      </c>
      <c r="AO6105" s="55">
        <v>12</v>
      </c>
      <c r="AP6105" s="55">
        <v>7</v>
      </c>
      <c r="AQ6105" s="55">
        <v>4479.5</v>
      </c>
      <c r="AR6105" s="55">
        <v>28500</v>
      </c>
      <c r="AS6105" s="78">
        <f t="shared" si="99"/>
        <v>0.15717543859649122</v>
      </c>
    </row>
    <row r="6106" spans="39:45">
      <c r="AM6106" s="54">
        <v>2019</v>
      </c>
      <c r="AN6106" s="54" t="s">
        <v>190</v>
      </c>
      <c r="AO6106" s="54">
        <v>12</v>
      </c>
      <c r="AP6106" s="54">
        <v>8</v>
      </c>
      <c r="AQ6106" s="54">
        <v>19201.5</v>
      </c>
      <c r="AR6106" s="55">
        <v>28500</v>
      </c>
      <c r="AS6106" s="78">
        <f t="shared" si="99"/>
        <v>0.67373684210526319</v>
      </c>
    </row>
    <row r="6107" spans="39:45">
      <c r="AM6107" s="55">
        <v>2019</v>
      </c>
      <c r="AN6107" s="55" t="s">
        <v>190</v>
      </c>
      <c r="AO6107" s="55">
        <v>12</v>
      </c>
      <c r="AP6107" s="55">
        <v>9</v>
      </c>
      <c r="AQ6107" s="55">
        <v>13458.5</v>
      </c>
      <c r="AR6107" s="55">
        <v>28500</v>
      </c>
      <c r="AS6107" s="78">
        <f t="shared" si="99"/>
        <v>0.47222807017543861</v>
      </c>
    </row>
    <row r="6108" spans="39:45">
      <c r="AM6108" s="54">
        <v>2019</v>
      </c>
      <c r="AN6108" s="54" t="s">
        <v>190</v>
      </c>
      <c r="AO6108" s="54">
        <v>12</v>
      </c>
      <c r="AP6108" s="54">
        <v>10</v>
      </c>
      <c r="AQ6108" s="54">
        <v>6631</v>
      </c>
      <c r="AR6108" s="55">
        <v>28500</v>
      </c>
      <c r="AS6108" s="78">
        <f t="shared" si="99"/>
        <v>0.23266666666666666</v>
      </c>
    </row>
    <row r="6109" spans="39:45">
      <c r="AM6109" s="55">
        <v>2019</v>
      </c>
      <c r="AN6109" s="55" t="s">
        <v>190</v>
      </c>
      <c r="AO6109" s="55">
        <v>12</v>
      </c>
      <c r="AP6109" s="55">
        <v>11</v>
      </c>
      <c r="AQ6109" s="55">
        <v>8486</v>
      </c>
      <c r="AR6109" s="55">
        <v>28500</v>
      </c>
      <c r="AS6109" s="78">
        <f t="shared" si="99"/>
        <v>0.29775438596491227</v>
      </c>
    </row>
    <row r="6110" spans="39:45">
      <c r="AM6110" s="54">
        <v>2019</v>
      </c>
      <c r="AN6110" s="54" t="s">
        <v>190</v>
      </c>
      <c r="AO6110" s="54">
        <v>12</v>
      </c>
      <c r="AP6110" s="54">
        <v>12</v>
      </c>
      <c r="AQ6110" s="54">
        <v>18052</v>
      </c>
      <c r="AR6110" s="55">
        <v>28500</v>
      </c>
      <c r="AS6110" s="78">
        <f t="shared" si="99"/>
        <v>0.63340350877192986</v>
      </c>
    </row>
    <row r="6111" spans="39:45">
      <c r="AM6111" s="55">
        <v>2019</v>
      </c>
      <c r="AN6111" s="55" t="s">
        <v>190</v>
      </c>
      <c r="AO6111" s="55">
        <v>12</v>
      </c>
      <c r="AP6111" s="55">
        <v>13</v>
      </c>
      <c r="AQ6111" s="55">
        <v>34316.5</v>
      </c>
      <c r="AR6111" s="55">
        <v>28500</v>
      </c>
      <c r="AS6111" s="78">
        <f t="shared" si="99"/>
        <v>1.2040877192982455</v>
      </c>
    </row>
    <row r="6112" spans="39:45">
      <c r="AM6112" s="54">
        <v>2019</v>
      </c>
      <c r="AN6112" s="54" t="s">
        <v>190</v>
      </c>
      <c r="AO6112" s="54">
        <v>12</v>
      </c>
      <c r="AP6112" s="54">
        <v>14</v>
      </c>
      <c r="AQ6112" s="54">
        <v>27478</v>
      </c>
      <c r="AR6112" s="55">
        <v>28500</v>
      </c>
      <c r="AS6112" s="78">
        <f t="shared" si="99"/>
        <v>0.96414035087719296</v>
      </c>
    </row>
    <row r="6113" spans="39:45">
      <c r="AM6113" s="55">
        <v>2019</v>
      </c>
      <c r="AN6113" s="55" t="s">
        <v>190</v>
      </c>
      <c r="AO6113" s="55">
        <v>12</v>
      </c>
      <c r="AP6113" s="55">
        <v>15</v>
      </c>
      <c r="AQ6113" s="55">
        <v>17635.5</v>
      </c>
      <c r="AR6113" s="55">
        <v>28500</v>
      </c>
      <c r="AS6113" s="78">
        <f t="shared" si="99"/>
        <v>0.61878947368421056</v>
      </c>
    </row>
    <row r="6114" spans="39:45">
      <c r="AM6114" s="54">
        <v>2019</v>
      </c>
      <c r="AN6114" s="54" t="s">
        <v>190</v>
      </c>
      <c r="AO6114" s="54">
        <v>12</v>
      </c>
      <c r="AP6114" s="54">
        <v>16</v>
      </c>
      <c r="AQ6114" s="54">
        <v>11374.5</v>
      </c>
      <c r="AR6114" s="55">
        <v>28500</v>
      </c>
      <c r="AS6114" s="78">
        <f t="shared" si="99"/>
        <v>0.39910526315789474</v>
      </c>
    </row>
    <row r="6115" spans="39:45">
      <c r="AM6115" s="55">
        <v>2019</v>
      </c>
      <c r="AN6115" s="55" t="s">
        <v>190</v>
      </c>
      <c r="AO6115" s="55">
        <v>12</v>
      </c>
      <c r="AP6115" s="55">
        <v>17</v>
      </c>
      <c r="AQ6115" s="55">
        <v>4076</v>
      </c>
      <c r="AR6115" s="55">
        <v>28500</v>
      </c>
      <c r="AS6115" s="78">
        <f t="shared" si="99"/>
        <v>0.14301754385964913</v>
      </c>
    </row>
    <row r="6116" spans="39:45">
      <c r="AM6116" s="54">
        <v>2019</v>
      </c>
      <c r="AN6116" s="54" t="s">
        <v>190</v>
      </c>
      <c r="AO6116" s="54">
        <v>12</v>
      </c>
      <c r="AP6116" s="54">
        <v>18</v>
      </c>
      <c r="AQ6116" s="54">
        <v>0</v>
      </c>
      <c r="AR6116" s="55">
        <v>28500</v>
      </c>
      <c r="AS6116" s="78">
        <f t="shared" si="99"/>
        <v>0</v>
      </c>
    </row>
    <row r="6117" spans="39:45">
      <c r="AM6117" s="55">
        <v>2019</v>
      </c>
      <c r="AN6117" s="55" t="s">
        <v>190</v>
      </c>
      <c r="AO6117" s="55">
        <v>12</v>
      </c>
      <c r="AP6117" s="55">
        <v>19</v>
      </c>
      <c r="AQ6117" s="55">
        <v>0</v>
      </c>
      <c r="AR6117" s="55">
        <v>28500</v>
      </c>
      <c r="AS6117" s="78">
        <f t="shared" si="99"/>
        <v>0</v>
      </c>
    </row>
    <row r="6118" spans="39:45">
      <c r="AM6118" s="54">
        <v>2019</v>
      </c>
      <c r="AN6118" s="54" t="s">
        <v>190</v>
      </c>
      <c r="AO6118" s="54">
        <v>12</v>
      </c>
      <c r="AP6118" s="54">
        <v>20</v>
      </c>
      <c r="AQ6118" s="54">
        <v>0</v>
      </c>
      <c r="AR6118" s="55">
        <v>28500</v>
      </c>
      <c r="AS6118" s="78">
        <f t="shared" si="99"/>
        <v>0</v>
      </c>
    </row>
    <row r="6119" spans="39:45">
      <c r="AM6119" s="55">
        <v>2019</v>
      </c>
      <c r="AN6119" s="55" t="s">
        <v>190</v>
      </c>
      <c r="AO6119" s="55">
        <v>12</v>
      </c>
      <c r="AP6119" s="55">
        <v>21</v>
      </c>
      <c r="AQ6119" s="55">
        <v>0</v>
      </c>
      <c r="AR6119" s="55">
        <v>28500</v>
      </c>
      <c r="AS6119" s="78">
        <f t="shared" si="99"/>
        <v>0</v>
      </c>
    </row>
    <row r="6120" spans="39:45">
      <c r="AM6120" s="54">
        <v>2019</v>
      </c>
      <c r="AN6120" s="54" t="s">
        <v>190</v>
      </c>
      <c r="AO6120" s="54">
        <v>12</v>
      </c>
      <c r="AP6120" s="54">
        <v>22</v>
      </c>
      <c r="AQ6120" s="54">
        <v>0</v>
      </c>
      <c r="AR6120" s="55">
        <v>28500</v>
      </c>
      <c r="AS6120" s="78">
        <f t="shared" si="99"/>
        <v>0</v>
      </c>
    </row>
    <row r="6121" spans="39:45">
      <c r="AM6121" s="55">
        <v>2019</v>
      </c>
      <c r="AN6121" s="55" t="s">
        <v>190</v>
      </c>
      <c r="AO6121" s="55">
        <v>12</v>
      </c>
      <c r="AP6121" s="55">
        <v>23</v>
      </c>
      <c r="AQ6121" s="55">
        <v>0</v>
      </c>
      <c r="AR6121" s="55">
        <v>28500</v>
      </c>
      <c r="AS6121" s="78">
        <f t="shared" si="99"/>
        <v>0</v>
      </c>
    </row>
    <row r="6122" spans="39:45">
      <c r="AM6122" s="54">
        <v>2019</v>
      </c>
      <c r="AN6122" s="54" t="s">
        <v>190</v>
      </c>
      <c r="AO6122" s="54">
        <v>13</v>
      </c>
      <c r="AP6122" s="54">
        <v>24</v>
      </c>
      <c r="AQ6122" s="54">
        <v>0</v>
      </c>
      <c r="AR6122" s="55">
        <v>28500</v>
      </c>
      <c r="AS6122" s="78">
        <f t="shared" si="99"/>
        <v>0</v>
      </c>
    </row>
    <row r="6123" spans="39:45">
      <c r="AM6123" s="55">
        <v>2019</v>
      </c>
      <c r="AN6123" s="55" t="s">
        <v>190</v>
      </c>
      <c r="AO6123" s="55">
        <v>13</v>
      </c>
      <c r="AP6123" s="55">
        <v>1</v>
      </c>
      <c r="AQ6123" s="55">
        <v>0</v>
      </c>
      <c r="AR6123" s="55">
        <v>28500</v>
      </c>
      <c r="AS6123" s="78">
        <f t="shared" si="99"/>
        <v>0</v>
      </c>
    </row>
    <row r="6124" spans="39:45">
      <c r="AM6124" s="54">
        <v>2019</v>
      </c>
      <c r="AN6124" s="54" t="s">
        <v>190</v>
      </c>
      <c r="AO6124" s="54">
        <v>13</v>
      </c>
      <c r="AP6124" s="54">
        <v>2</v>
      </c>
      <c r="AQ6124" s="54">
        <v>0</v>
      </c>
      <c r="AR6124" s="55">
        <v>28500</v>
      </c>
      <c r="AS6124" s="78">
        <f t="shared" si="99"/>
        <v>0</v>
      </c>
    </row>
    <row r="6125" spans="39:45">
      <c r="AM6125" s="55">
        <v>2019</v>
      </c>
      <c r="AN6125" s="55" t="s">
        <v>190</v>
      </c>
      <c r="AO6125" s="55">
        <v>13</v>
      </c>
      <c r="AP6125" s="55">
        <v>3</v>
      </c>
      <c r="AQ6125" s="55">
        <v>0</v>
      </c>
      <c r="AR6125" s="55">
        <v>28500</v>
      </c>
      <c r="AS6125" s="78">
        <f t="shared" si="99"/>
        <v>0</v>
      </c>
    </row>
    <row r="6126" spans="39:45">
      <c r="AM6126" s="54">
        <v>2019</v>
      </c>
      <c r="AN6126" s="54" t="s">
        <v>190</v>
      </c>
      <c r="AO6126" s="54">
        <v>13</v>
      </c>
      <c r="AP6126" s="54">
        <v>4</v>
      </c>
      <c r="AQ6126" s="54">
        <v>0</v>
      </c>
      <c r="AR6126" s="55">
        <v>28500</v>
      </c>
      <c r="AS6126" s="78">
        <f t="shared" si="99"/>
        <v>0</v>
      </c>
    </row>
    <row r="6127" spans="39:45">
      <c r="AM6127" s="55">
        <v>2019</v>
      </c>
      <c r="AN6127" s="55" t="s">
        <v>190</v>
      </c>
      <c r="AO6127" s="55">
        <v>13</v>
      </c>
      <c r="AP6127" s="55">
        <v>5</v>
      </c>
      <c r="AQ6127" s="55">
        <v>0</v>
      </c>
      <c r="AR6127" s="55">
        <v>28500</v>
      </c>
      <c r="AS6127" s="78">
        <f t="shared" si="99"/>
        <v>0</v>
      </c>
    </row>
    <row r="6128" spans="39:45">
      <c r="AM6128" s="54">
        <v>2019</v>
      </c>
      <c r="AN6128" s="54" t="s">
        <v>190</v>
      </c>
      <c r="AO6128" s="54">
        <v>13</v>
      </c>
      <c r="AP6128" s="54">
        <v>6</v>
      </c>
      <c r="AQ6128" s="54">
        <v>874</v>
      </c>
      <c r="AR6128" s="55">
        <v>28500</v>
      </c>
      <c r="AS6128" s="78">
        <f t="shared" si="99"/>
        <v>3.0666666666666665E-2</v>
      </c>
    </row>
    <row r="6129" spans="39:45">
      <c r="AM6129" s="55">
        <v>2019</v>
      </c>
      <c r="AN6129" s="55" t="s">
        <v>190</v>
      </c>
      <c r="AO6129" s="55">
        <v>13</v>
      </c>
      <c r="AP6129" s="55">
        <v>7</v>
      </c>
      <c r="AQ6129" s="55">
        <v>9800.5</v>
      </c>
      <c r="AR6129" s="55">
        <v>28500</v>
      </c>
      <c r="AS6129" s="78">
        <f t="shared" si="99"/>
        <v>0.34387719298245611</v>
      </c>
    </row>
    <row r="6130" spans="39:45">
      <c r="AM6130" s="54">
        <v>2019</v>
      </c>
      <c r="AN6130" s="54" t="s">
        <v>190</v>
      </c>
      <c r="AO6130" s="54">
        <v>13</v>
      </c>
      <c r="AP6130" s="54">
        <v>8</v>
      </c>
      <c r="AQ6130" s="54">
        <v>19845.5</v>
      </c>
      <c r="AR6130" s="55">
        <v>28500</v>
      </c>
      <c r="AS6130" s="78">
        <f t="shared" si="99"/>
        <v>0.69633333333333336</v>
      </c>
    </row>
    <row r="6131" spans="39:45">
      <c r="AM6131" s="55">
        <v>2019</v>
      </c>
      <c r="AN6131" s="55" t="s">
        <v>190</v>
      </c>
      <c r="AO6131" s="55">
        <v>13</v>
      </c>
      <c r="AP6131" s="55">
        <v>9</v>
      </c>
      <c r="AQ6131" s="55">
        <v>27856</v>
      </c>
      <c r="AR6131" s="55">
        <v>28500</v>
      </c>
      <c r="AS6131" s="78">
        <f t="shared" si="99"/>
        <v>0.97740350877192983</v>
      </c>
    </row>
    <row r="6132" spans="39:45">
      <c r="AM6132" s="54">
        <v>2019</v>
      </c>
      <c r="AN6132" s="54" t="s">
        <v>190</v>
      </c>
      <c r="AO6132" s="54">
        <v>13</v>
      </c>
      <c r="AP6132" s="54">
        <v>10</v>
      </c>
      <c r="AQ6132" s="54">
        <v>35040.5</v>
      </c>
      <c r="AR6132" s="55">
        <v>28500</v>
      </c>
      <c r="AS6132" s="78">
        <f t="shared" si="99"/>
        <v>1.2294912280701755</v>
      </c>
    </row>
    <row r="6133" spans="39:45">
      <c r="AM6133" s="55">
        <v>2019</v>
      </c>
      <c r="AN6133" s="55" t="s">
        <v>190</v>
      </c>
      <c r="AO6133" s="55">
        <v>13</v>
      </c>
      <c r="AP6133" s="55">
        <v>11</v>
      </c>
      <c r="AQ6133" s="55">
        <v>38127</v>
      </c>
      <c r="AR6133" s="55">
        <v>28500</v>
      </c>
      <c r="AS6133" s="78">
        <f t="shared" si="99"/>
        <v>1.3377894736842104</v>
      </c>
    </row>
    <row r="6134" spans="39:45">
      <c r="AM6134" s="54">
        <v>2019</v>
      </c>
      <c r="AN6134" s="54" t="s">
        <v>190</v>
      </c>
      <c r="AO6134" s="54">
        <v>13</v>
      </c>
      <c r="AP6134" s="54">
        <v>12</v>
      </c>
      <c r="AQ6134" s="54">
        <v>37750.5</v>
      </c>
      <c r="AR6134" s="55">
        <v>28500</v>
      </c>
      <c r="AS6134" s="78">
        <f t="shared" si="99"/>
        <v>1.3245789473684211</v>
      </c>
    </row>
    <row r="6135" spans="39:45">
      <c r="AM6135" s="55">
        <v>2019</v>
      </c>
      <c r="AN6135" s="55" t="s">
        <v>190</v>
      </c>
      <c r="AO6135" s="55">
        <v>13</v>
      </c>
      <c r="AP6135" s="55">
        <v>13</v>
      </c>
      <c r="AQ6135" s="55">
        <v>36923</v>
      </c>
      <c r="AR6135" s="55">
        <v>28500</v>
      </c>
      <c r="AS6135" s="78">
        <f t="shared" si="99"/>
        <v>1.2955438596491229</v>
      </c>
    </row>
    <row r="6136" spans="39:45">
      <c r="AM6136" s="54">
        <v>2019</v>
      </c>
      <c r="AN6136" s="54" t="s">
        <v>190</v>
      </c>
      <c r="AO6136" s="54">
        <v>13</v>
      </c>
      <c r="AP6136" s="54">
        <v>14</v>
      </c>
      <c r="AQ6136" s="54">
        <v>32203.5</v>
      </c>
      <c r="AR6136" s="55">
        <v>28500</v>
      </c>
      <c r="AS6136" s="78">
        <f t="shared" si="99"/>
        <v>1.1299473684210526</v>
      </c>
    </row>
    <row r="6137" spans="39:45">
      <c r="AM6137" s="55">
        <v>2019</v>
      </c>
      <c r="AN6137" s="55" t="s">
        <v>190</v>
      </c>
      <c r="AO6137" s="55">
        <v>13</v>
      </c>
      <c r="AP6137" s="55">
        <v>15</v>
      </c>
      <c r="AQ6137" s="55">
        <v>25001</v>
      </c>
      <c r="AR6137" s="55">
        <v>28500</v>
      </c>
      <c r="AS6137" s="78">
        <f t="shared" si="99"/>
        <v>0.87722807017543858</v>
      </c>
    </row>
    <row r="6138" spans="39:45">
      <c r="AM6138" s="54">
        <v>2019</v>
      </c>
      <c r="AN6138" s="54" t="s">
        <v>190</v>
      </c>
      <c r="AO6138" s="54">
        <v>13</v>
      </c>
      <c r="AP6138" s="54">
        <v>16</v>
      </c>
      <c r="AQ6138" s="54">
        <v>14927.5</v>
      </c>
      <c r="AR6138" s="55">
        <v>28500</v>
      </c>
      <c r="AS6138" s="78">
        <f t="shared" si="99"/>
        <v>0.52377192982456144</v>
      </c>
    </row>
    <row r="6139" spans="39:45">
      <c r="AM6139" s="55">
        <v>2019</v>
      </c>
      <c r="AN6139" s="55" t="s">
        <v>190</v>
      </c>
      <c r="AO6139" s="55">
        <v>13</v>
      </c>
      <c r="AP6139" s="55">
        <v>17</v>
      </c>
      <c r="AQ6139" s="55">
        <v>4558.5</v>
      </c>
      <c r="AR6139" s="55">
        <v>28500</v>
      </c>
      <c r="AS6139" s="78">
        <f t="shared" si="99"/>
        <v>0.15994736842105264</v>
      </c>
    </row>
    <row r="6140" spans="39:45">
      <c r="AM6140" s="54">
        <v>2019</v>
      </c>
      <c r="AN6140" s="54" t="s">
        <v>190</v>
      </c>
      <c r="AO6140" s="54">
        <v>13</v>
      </c>
      <c r="AP6140" s="54">
        <v>18</v>
      </c>
      <c r="AQ6140" s="54">
        <v>0</v>
      </c>
      <c r="AR6140" s="55">
        <v>28500</v>
      </c>
      <c r="AS6140" s="78">
        <f t="shared" si="99"/>
        <v>0</v>
      </c>
    </row>
    <row r="6141" spans="39:45">
      <c r="AM6141" s="55">
        <v>2019</v>
      </c>
      <c r="AN6141" s="55" t="s">
        <v>190</v>
      </c>
      <c r="AO6141" s="55">
        <v>13</v>
      </c>
      <c r="AP6141" s="55">
        <v>19</v>
      </c>
      <c r="AQ6141" s="55">
        <v>0</v>
      </c>
      <c r="AR6141" s="55">
        <v>28500</v>
      </c>
      <c r="AS6141" s="78">
        <f t="shared" si="99"/>
        <v>0</v>
      </c>
    </row>
    <row r="6142" spans="39:45">
      <c r="AM6142" s="54">
        <v>2019</v>
      </c>
      <c r="AN6142" s="54" t="s">
        <v>190</v>
      </c>
      <c r="AO6142" s="54">
        <v>13</v>
      </c>
      <c r="AP6142" s="54">
        <v>20</v>
      </c>
      <c r="AQ6142" s="54">
        <v>0</v>
      </c>
      <c r="AR6142" s="55">
        <v>28500</v>
      </c>
      <c r="AS6142" s="78">
        <f t="shared" si="99"/>
        <v>0</v>
      </c>
    </row>
    <row r="6143" spans="39:45">
      <c r="AM6143" s="55">
        <v>2019</v>
      </c>
      <c r="AN6143" s="55" t="s">
        <v>190</v>
      </c>
      <c r="AO6143" s="55">
        <v>13</v>
      </c>
      <c r="AP6143" s="55">
        <v>21</v>
      </c>
      <c r="AQ6143" s="55">
        <v>0</v>
      </c>
      <c r="AR6143" s="55">
        <v>28500</v>
      </c>
      <c r="AS6143" s="78">
        <f t="shared" si="99"/>
        <v>0</v>
      </c>
    </row>
    <row r="6144" spans="39:45">
      <c r="AM6144" s="54">
        <v>2019</v>
      </c>
      <c r="AN6144" s="54" t="s">
        <v>190</v>
      </c>
      <c r="AO6144" s="54">
        <v>13</v>
      </c>
      <c r="AP6144" s="54">
        <v>22</v>
      </c>
      <c r="AQ6144" s="54">
        <v>0</v>
      </c>
      <c r="AR6144" s="55">
        <v>28500</v>
      </c>
      <c r="AS6144" s="78">
        <f t="shared" si="99"/>
        <v>0</v>
      </c>
    </row>
    <row r="6145" spans="39:45">
      <c r="AM6145" s="55">
        <v>2019</v>
      </c>
      <c r="AN6145" s="55" t="s">
        <v>190</v>
      </c>
      <c r="AO6145" s="55">
        <v>13</v>
      </c>
      <c r="AP6145" s="55">
        <v>23</v>
      </c>
      <c r="AQ6145" s="55">
        <v>0</v>
      </c>
      <c r="AR6145" s="55">
        <v>28500</v>
      </c>
      <c r="AS6145" s="78">
        <f t="shared" si="99"/>
        <v>0</v>
      </c>
    </row>
    <row r="6146" spans="39:45">
      <c r="AM6146" s="54">
        <v>2019</v>
      </c>
      <c r="AN6146" s="54" t="s">
        <v>190</v>
      </c>
      <c r="AO6146" s="54">
        <v>14</v>
      </c>
      <c r="AP6146" s="54">
        <v>24</v>
      </c>
      <c r="AQ6146" s="54">
        <v>0</v>
      </c>
      <c r="AR6146" s="55">
        <v>28500</v>
      </c>
      <c r="AS6146" s="78">
        <f t="shared" ref="AS6146:AS6209" si="100">AQ6146/AR6146</f>
        <v>0</v>
      </c>
    </row>
    <row r="6147" spans="39:45">
      <c r="AM6147" s="55">
        <v>2019</v>
      </c>
      <c r="AN6147" s="55" t="s">
        <v>190</v>
      </c>
      <c r="AO6147" s="55">
        <v>14</v>
      </c>
      <c r="AP6147" s="55">
        <v>1</v>
      </c>
      <c r="AQ6147" s="55">
        <v>0</v>
      </c>
      <c r="AR6147" s="55">
        <v>28500</v>
      </c>
      <c r="AS6147" s="78">
        <f t="shared" si="100"/>
        <v>0</v>
      </c>
    </row>
    <row r="6148" spans="39:45">
      <c r="AM6148" s="54">
        <v>2019</v>
      </c>
      <c r="AN6148" s="54" t="s">
        <v>190</v>
      </c>
      <c r="AO6148" s="54">
        <v>14</v>
      </c>
      <c r="AP6148" s="54">
        <v>2</v>
      </c>
      <c r="AQ6148" s="54">
        <v>0</v>
      </c>
      <c r="AR6148" s="55">
        <v>28500</v>
      </c>
      <c r="AS6148" s="78">
        <f t="shared" si="100"/>
        <v>0</v>
      </c>
    </row>
    <row r="6149" spans="39:45">
      <c r="AM6149" s="55">
        <v>2019</v>
      </c>
      <c r="AN6149" s="55" t="s">
        <v>190</v>
      </c>
      <c r="AO6149" s="55">
        <v>14</v>
      </c>
      <c r="AP6149" s="55">
        <v>3</v>
      </c>
      <c r="AQ6149" s="55">
        <v>0</v>
      </c>
      <c r="AR6149" s="55">
        <v>28500</v>
      </c>
      <c r="AS6149" s="78">
        <f t="shared" si="100"/>
        <v>0</v>
      </c>
    </row>
    <row r="6150" spans="39:45">
      <c r="AM6150" s="54">
        <v>2019</v>
      </c>
      <c r="AN6150" s="54" t="s">
        <v>190</v>
      </c>
      <c r="AO6150" s="54">
        <v>14</v>
      </c>
      <c r="AP6150" s="54">
        <v>4</v>
      </c>
      <c r="AQ6150" s="54">
        <v>0</v>
      </c>
      <c r="AR6150" s="55">
        <v>28500</v>
      </c>
      <c r="AS6150" s="78">
        <f t="shared" si="100"/>
        <v>0</v>
      </c>
    </row>
    <row r="6151" spans="39:45">
      <c r="AM6151" s="55">
        <v>2019</v>
      </c>
      <c r="AN6151" s="55" t="s">
        <v>190</v>
      </c>
      <c r="AO6151" s="55">
        <v>14</v>
      </c>
      <c r="AP6151" s="55">
        <v>5</v>
      </c>
      <c r="AQ6151" s="55">
        <v>0</v>
      </c>
      <c r="AR6151" s="55">
        <v>28500</v>
      </c>
      <c r="AS6151" s="78">
        <f t="shared" si="100"/>
        <v>0</v>
      </c>
    </row>
    <row r="6152" spans="39:45">
      <c r="AM6152" s="54">
        <v>2019</v>
      </c>
      <c r="AN6152" s="54" t="s">
        <v>190</v>
      </c>
      <c r="AO6152" s="54">
        <v>14</v>
      </c>
      <c r="AP6152" s="54">
        <v>6</v>
      </c>
      <c r="AQ6152" s="54">
        <v>892</v>
      </c>
      <c r="AR6152" s="55">
        <v>28500</v>
      </c>
      <c r="AS6152" s="78">
        <f t="shared" si="100"/>
        <v>3.1298245614035089E-2</v>
      </c>
    </row>
    <row r="6153" spans="39:45">
      <c r="AM6153" s="55">
        <v>2019</v>
      </c>
      <c r="AN6153" s="55" t="s">
        <v>190</v>
      </c>
      <c r="AO6153" s="55">
        <v>14</v>
      </c>
      <c r="AP6153" s="55">
        <v>7</v>
      </c>
      <c r="AQ6153" s="55">
        <v>9690.5</v>
      </c>
      <c r="AR6153" s="55">
        <v>28500</v>
      </c>
      <c r="AS6153" s="78">
        <f t="shared" si="100"/>
        <v>0.34001754385964911</v>
      </c>
    </row>
    <row r="6154" spans="39:45">
      <c r="AM6154" s="54">
        <v>2019</v>
      </c>
      <c r="AN6154" s="54" t="s">
        <v>190</v>
      </c>
      <c r="AO6154" s="54">
        <v>14</v>
      </c>
      <c r="AP6154" s="54">
        <v>8</v>
      </c>
      <c r="AQ6154" s="54">
        <v>18795</v>
      </c>
      <c r="AR6154" s="55">
        <v>28500</v>
      </c>
      <c r="AS6154" s="78">
        <f t="shared" si="100"/>
        <v>0.65947368421052632</v>
      </c>
    </row>
    <row r="6155" spans="39:45">
      <c r="AM6155" s="55">
        <v>2019</v>
      </c>
      <c r="AN6155" s="55" t="s">
        <v>190</v>
      </c>
      <c r="AO6155" s="55">
        <v>14</v>
      </c>
      <c r="AP6155" s="55">
        <v>9</v>
      </c>
      <c r="AQ6155" s="55">
        <v>28203.5</v>
      </c>
      <c r="AR6155" s="55">
        <v>28500</v>
      </c>
      <c r="AS6155" s="78">
        <f t="shared" si="100"/>
        <v>0.98959649122807014</v>
      </c>
    </row>
    <row r="6156" spans="39:45">
      <c r="AM6156" s="54">
        <v>2019</v>
      </c>
      <c r="AN6156" s="54" t="s">
        <v>190</v>
      </c>
      <c r="AO6156" s="54">
        <v>14</v>
      </c>
      <c r="AP6156" s="54">
        <v>10</v>
      </c>
      <c r="AQ6156" s="54">
        <v>33459.5</v>
      </c>
      <c r="AR6156" s="55">
        <v>28500</v>
      </c>
      <c r="AS6156" s="78">
        <f t="shared" si="100"/>
        <v>1.1740175438596492</v>
      </c>
    </row>
    <row r="6157" spans="39:45">
      <c r="AM6157" s="55">
        <v>2019</v>
      </c>
      <c r="AN6157" s="55" t="s">
        <v>190</v>
      </c>
      <c r="AO6157" s="55">
        <v>14</v>
      </c>
      <c r="AP6157" s="55">
        <v>11</v>
      </c>
      <c r="AQ6157" s="55">
        <v>35507</v>
      </c>
      <c r="AR6157" s="55">
        <v>28500</v>
      </c>
      <c r="AS6157" s="78">
        <f t="shared" si="100"/>
        <v>1.2458596491228071</v>
      </c>
    </row>
    <row r="6158" spans="39:45">
      <c r="AM6158" s="54">
        <v>2019</v>
      </c>
      <c r="AN6158" s="54" t="s">
        <v>190</v>
      </c>
      <c r="AO6158" s="54">
        <v>14</v>
      </c>
      <c r="AP6158" s="54">
        <v>12</v>
      </c>
      <c r="AQ6158" s="54">
        <v>36403</v>
      </c>
      <c r="AR6158" s="55">
        <v>28500</v>
      </c>
      <c r="AS6158" s="78">
        <f t="shared" si="100"/>
        <v>1.2772982456140352</v>
      </c>
    </row>
    <row r="6159" spans="39:45">
      <c r="AM6159" s="55">
        <v>2019</v>
      </c>
      <c r="AN6159" s="55" t="s">
        <v>190</v>
      </c>
      <c r="AO6159" s="55">
        <v>14</v>
      </c>
      <c r="AP6159" s="55">
        <v>13</v>
      </c>
      <c r="AQ6159" s="55">
        <v>35249.5</v>
      </c>
      <c r="AR6159" s="55">
        <v>28500</v>
      </c>
      <c r="AS6159" s="78">
        <f t="shared" si="100"/>
        <v>1.2368245614035087</v>
      </c>
    </row>
    <row r="6160" spans="39:45">
      <c r="AM6160" s="54">
        <v>2019</v>
      </c>
      <c r="AN6160" s="54" t="s">
        <v>190</v>
      </c>
      <c r="AO6160" s="54">
        <v>14</v>
      </c>
      <c r="AP6160" s="54">
        <v>14</v>
      </c>
      <c r="AQ6160" s="54">
        <v>30031</v>
      </c>
      <c r="AR6160" s="55">
        <v>28500</v>
      </c>
      <c r="AS6160" s="78">
        <f t="shared" si="100"/>
        <v>1.0537192982456141</v>
      </c>
    </row>
    <row r="6161" spans="39:45">
      <c r="AM6161" s="55">
        <v>2019</v>
      </c>
      <c r="AN6161" s="55" t="s">
        <v>190</v>
      </c>
      <c r="AO6161" s="55">
        <v>14</v>
      </c>
      <c r="AP6161" s="55">
        <v>15</v>
      </c>
      <c r="AQ6161" s="55">
        <v>23578</v>
      </c>
      <c r="AR6161" s="55">
        <v>28500</v>
      </c>
      <c r="AS6161" s="78">
        <f t="shared" si="100"/>
        <v>0.82729824561403509</v>
      </c>
    </row>
    <row r="6162" spans="39:45">
      <c r="AM6162" s="54">
        <v>2019</v>
      </c>
      <c r="AN6162" s="54" t="s">
        <v>190</v>
      </c>
      <c r="AO6162" s="54">
        <v>14</v>
      </c>
      <c r="AP6162" s="54">
        <v>16</v>
      </c>
      <c r="AQ6162" s="54">
        <v>13557</v>
      </c>
      <c r="AR6162" s="55">
        <v>28500</v>
      </c>
      <c r="AS6162" s="78">
        <f t="shared" si="100"/>
        <v>0.47568421052631576</v>
      </c>
    </row>
    <row r="6163" spans="39:45">
      <c r="AM6163" s="55">
        <v>2019</v>
      </c>
      <c r="AN6163" s="55" t="s">
        <v>190</v>
      </c>
      <c r="AO6163" s="55">
        <v>14</v>
      </c>
      <c r="AP6163" s="55">
        <v>17</v>
      </c>
      <c r="AQ6163" s="55">
        <v>3431.5</v>
      </c>
      <c r="AR6163" s="55">
        <v>28500</v>
      </c>
      <c r="AS6163" s="78">
        <f t="shared" si="100"/>
        <v>0.12040350877192982</v>
      </c>
    </row>
    <row r="6164" spans="39:45">
      <c r="AM6164" s="54">
        <v>2019</v>
      </c>
      <c r="AN6164" s="54" t="s">
        <v>190</v>
      </c>
      <c r="AO6164" s="54">
        <v>14</v>
      </c>
      <c r="AP6164" s="54">
        <v>18</v>
      </c>
      <c r="AQ6164" s="54">
        <v>0</v>
      </c>
      <c r="AR6164" s="55">
        <v>28500</v>
      </c>
      <c r="AS6164" s="78">
        <f t="shared" si="100"/>
        <v>0</v>
      </c>
    </row>
    <row r="6165" spans="39:45">
      <c r="AM6165" s="55">
        <v>2019</v>
      </c>
      <c r="AN6165" s="55" t="s">
        <v>190</v>
      </c>
      <c r="AO6165" s="55">
        <v>14</v>
      </c>
      <c r="AP6165" s="55">
        <v>19</v>
      </c>
      <c r="AQ6165" s="55">
        <v>0</v>
      </c>
      <c r="AR6165" s="55">
        <v>28500</v>
      </c>
      <c r="AS6165" s="78">
        <f t="shared" si="100"/>
        <v>0</v>
      </c>
    </row>
    <row r="6166" spans="39:45">
      <c r="AM6166" s="54">
        <v>2019</v>
      </c>
      <c r="AN6166" s="54" t="s">
        <v>190</v>
      </c>
      <c r="AO6166" s="54">
        <v>14</v>
      </c>
      <c r="AP6166" s="54">
        <v>20</v>
      </c>
      <c r="AQ6166" s="54">
        <v>0</v>
      </c>
      <c r="AR6166" s="55">
        <v>28500</v>
      </c>
      <c r="AS6166" s="78">
        <f t="shared" si="100"/>
        <v>0</v>
      </c>
    </row>
    <row r="6167" spans="39:45">
      <c r="AM6167" s="55">
        <v>2019</v>
      </c>
      <c r="AN6167" s="55" t="s">
        <v>190</v>
      </c>
      <c r="AO6167" s="55">
        <v>14</v>
      </c>
      <c r="AP6167" s="55">
        <v>21</v>
      </c>
      <c r="AQ6167" s="55">
        <v>0</v>
      </c>
      <c r="AR6167" s="55">
        <v>28500</v>
      </c>
      <c r="AS6167" s="78">
        <f t="shared" si="100"/>
        <v>0</v>
      </c>
    </row>
    <row r="6168" spans="39:45">
      <c r="AM6168" s="54">
        <v>2019</v>
      </c>
      <c r="AN6168" s="54" t="s">
        <v>190</v>
      </c>
      <c r="AO6168" s="54">
        <v>14</v>
      </c>
      <c r="AP6168" s="54">
        <v>22</v>
      </c>
      <c r="AQ6168" s="54">
        <v>0</v>
      </c>
      <c r="AR6168" s="55">
        <v>28500</v>
      </c>
      <c r="AS6168" s="78">
        <f t="shared" si="100"/>
        <v>0</v>
      </c>
    </row>
    <row r="6169" spans="39:45">
      <c r="AM6169" s="55">
        <v>2019</v>
      </c>
      <c r="AN6169" s="55" t="s">
        <v>190</v>
      </c>
      <c r="AO6169" s="55">
        <v>14</v>
      </c>
      <c r="AP6169" s="55">
        <v>23</v>
      </c>
      <c r="AQ6169" s="55">
        <v>0</v>
      </c>
      <c r="AR6169" s="55">
        <v>28500</v>
      </c>
      <c r="AS6169" s="78">
        <f t="shared" si="100"/>
        <v>0</v>
      </c>
    </row>
    <row r="6170" spans="39:45">
      <c r="AM6170" s="54">
        <v>2019</v>
      </c>
      <c r="AN6170" s="54" t="s">
        <v>190</v>
      </c>
      <c r="AO6170" s="54">
        <v>15</v>
      </c>
      <c r="AP6170" s="54">
        <v>24</v>
      </c>
      <c r="AQ6170" s="54">
        <v>0</v>
      </c>
      <c r="AR6170" s="55">
        <v>28500</v>
      </c>
      <c r="AS6170" s="78">
        <f t="shared" si="100"/>
        <v>0</v>
      </c>
    </row>
    <row r="6171" spans="39:45">
      <c r="AM6171" s="55">
        <v>2019</v>
      </c>
      <c r="AN6171" s="55" t="s">
        <v>190</v>
      </c>
      <c r="AO6171" s="55">
        <v>15</v>
      </c>
      <c r="AP6171" s="55">
        <v>1</v>
      </c>
      <c r="AQ6171" s="55">
        <v>0</v>
      </c>
      <c r="AR6171" s="55">
        <v>28500</v>
      </c>
      <c r="AS6171" s="78">
        <f t="shared" si="100"/>
        <v>0</v>
      </c>
    </row>
    <row r="6172" spans="39:45">
      <c r="AM6172" s="54">
        <v>2019</v>
      </c>
      <c r="AN6172" s="54" t="s">
        <v>190</v>
      </c>
      <c r="AO6172" s="54">
        <v>15</v>
      </c>
      <c r="AP6172" s="54">
        <v>2</v>
      </c>
      <c r="AQ6172" s="54">
        <v>0</v>
      </c>
      <c r="AR6172" s="55">
        <v>28500</v>
      </c>
      <c r="AS6172" s="78">
        <f t="shared" si="100"/>
        <v>0</v>
      </c>
    </row>
    <row r="6173" spans="39:45">
      <c r="AM6173" s="55">
        <v>2019</v>
      </c>
      <c r="AN6173" s="55" t="s">
        <v>190</v>
      </c>
      <c r="AO6173" s="55">
        <v>15</v>
      </c>
      <c r="AP6173" s="55">
        <v>3</v>
      </c>
      <c r="AQ6173" s="55">
        <v>0</v>
      </c>
      <c r="AR6173" s="55">
        <v>28500</v>
      </c>
      <c r="AS6173" s="78">
        <f t="shared" si="100"/>
        <v>0</v>
      </c>
    </row>
    <row r="6174" spans="39:45">
      <c r="AM6174" s="54">
        <v>2019</v>
      </c>
      <c r="AN6174" s="54" t="s">
        <v>190</v>
      </c>
      <c r="AO6174" s="54">
        <v>15</v>
      </c>
      <c r="AP6174" s="54">
        <v>4</v>
      </c>
      <c r="AQ6174" s="54">
        <v>0</v>
      </c>
      <c r="AR6174" s="55">
        <v>28500</v>
      </c>
      <c r="AS6174" s="78">
        <f t="shared" si="100"/>
        <v>0</v>
      </c>
    </row>
    <row r="6175" spans="39:45">
      <c r="AM6175" s="55">
        <v>2019</v>
      </c>
      <c r="AN6175" s="55" t="s">
        <v>190</v>
      </c>
      <c r="AO6175" s="55">
        <v>15</v>
      </c>
      <c r="AP6175" s="55">
        <v>5</v>
      </c>
      <c r="AQ6175" s="55">
        <v>0</v>
      </c>
      <c r="AR6175" s="55">
        <v>28500</v>
      </c>
      <c r="AS6175" s="78">
        <f t="shared" si="100"/>
        <v>0</v>
      </c>
    </row>
    <row r="6176" spans="39:45">
      <c r="AM6176" s="54">
        <v>2019</v>
      </c>
      <c r="AN6176" s="54" t="s">
        <v>190</v>
      </c>
      <c r="AO6176" s="54">
        <v>15</v>
      </c>
      <c r="AP6176" s="54">
        <v>6</v>
      </c>
      <c r="AQ6176" s="54">
        <v>611.5</v>
      </c>
      <c r="AR6176" s="55">
        <v>28500</v>
      </c>
      <c r="AS6176" s="78">
        <f t="shared" si="100"/>
        <v>2.1456140350877194E-2</v>
      </c>
    </row>
    <row r="6177" spans="39:45">
      <c r="AM6177" s="55">
        <v>2019</v>
      </c>
      <c r="AN6177" s="55" t="s">
        <v>190</v>
      </c>
      <c r="AO6177" s="55">
        <v>15</v>
      </c>
      <c r="AP6177" s="55">
        <v>7</v>
      </c>
      <c r="AQ6177" s="55">
        <v>7873.5</v>
      </c>
      <c r="AR6177" s="55">
        <v>28500</v>
      </c>
      <c r="AS6177" s="78">
        <f t="shared" si="100"/>
        <v>0.27626315789473682</v>
      </c>
    </row>
    <row r="6178" spans="39:45">
      <c r="AM6178" s="54">
        <v>2019</v>
      </c>
      <c r="AN6178" s="54" t="s">
        <v>190</v>
      </c>
      <c r="AO6178" s="54">
        <v>15</v>
      </c>
      <c r="AP6178" s="54">
        <v>8</v>
      </c>
      <c r="AQ6178" s="54">
        <v>19060.5</v>
      </c>
      <c r="AR6178" s="55">
        <v>28500</v>
      </c>
      <c r="AS6178" s="78">
        <f t="shared" si="100"/>
        <v>0.66878947368421049</v>
      </c>
    </row>
    <row r="6179" spans="39:45">
      <c r="AM6179" s="55">
        <v>2019</v>
      </c>
      <c r="AN6179" s="55" t="s">
        <v>190</v>
      </c>
      <c r="AO6179" s="55">
        <v>15</v>
      </c>
      <c r="AP6179" s="55">
        <v>9</v>
      </c>
      <c r="AQ6179" s="55">
        <v>27707.5</v>
      </c>
      <c r="AR6179" s="55">
        <v>28500</v>
      </c>
      <c r="AS6179" s="78">
        <f t="shared" si="100"/>
        <v>0.97219298245614039</v>
      </c>
    </row>
    <row r="6180" spans="39:45">
      <c r="AM6180" s="54">
        <v>2019</v>
      </c>
      <c r="AN6180" s="54" t="s">
        <v>190</v>
      </c>
      <c r="AO6180" s="54">
        <v>15</v>
      </c>
      <c r="AP6180" s="54">
        <v>10</v>
      </c>
      <c r="AQ6180" s="54">
        <v>32885</v>
      </c>
      <c r="AR6180" s="55">
        <v>28500</v>
      </c>
      <c r="AS6180" s="78">
        <f t="shared" si="100"/>
        <v>1.153859649122807</v>
      </c>
    </row>
    <row r="6181" spans="39:45">
      <c r="AM6181" s="55">
        <v>2019</v>
      </c>
      <c r="AN6181" s="55" t="s">
        <v>190</v>
      </c>
      <c r="AO6181" s="55">
        <v>15</v>
      </c>
      <c r="AP6181" s="55">
        <v>11</v>
      </c>
      <c r="AQ6181" s="55">
        <v>35051</v>
      </c>
      <c r="AR6181" s="55">
        <v>28500</v>
      </c>
      <c r="AS6181" s="78">
        <f t="shared" si="100"/>
        <v>1.2298596491228071</v>
      </c>
    </row>
    <row r="6182" spans="39:45">
      <c r="AM6182" s="54">
        <v>2019</v>
      </c>
      <c r="AN6182" s="54" t="s">
        <v>190</v>
      </c>
      <c r="AO6182" s="54">
        <v>15</v>
      </c>
      <c r="AP6182" s="54">
        <v>12</v>
      </c>
      <c r="AQ6182" s="54">
        <v>35763</v>
      </c>
      <c r="AR6182" s="55">
        <v>28500</v>
      </c>
      <c r="AS6182" s="78">
        <f t="shared" si="100"/>
        <v>1.254842105263158</v>
      </c>
    </row>
    <row r="6183" spans="39:45">
      <c r="AM6183" s="55">
        <v>2019</v>
      </c>
      <c r="AN6183" s="55" t="s">
        <v>190</v>
      </c>
      <c r="AO6183" s="55">
        <v>15</v>
      </c>
      <c r="AP6183" s="55">
        <v>13</v>
      </c>
      <c r="AQ6183" s="55">
        <v>34327.5</v>
      </c>
      <c r="AR6183" s="55">
        <v>28500</v>
      </c>
      <c r="AS6183" s="78">
        <f t="shared" si="100"/>
        <v>1.2044736842105264</v>
      </c>
    </row>
    <row r="6184" spans="39:45">
      <c r="AM6184" s="54">
        <v>2019</v>
      </c>
      <c r="AN6184" s="54" t="s">
        <v>190</v>
      </c>
      <c r="AO6184" s="54">
        <v>15</v>
      </c>
      <c r="AP6184" s="54">
        <v>14</v>
      </c>
      <c r="AQ6184" s="54">
        <v>30168.5</v>
      </c>
      <c r="AR6184" s="55">
        <v>28500</v>
      </c>
      <c r="AS6184" s="78">
        <f t="shared" si="100"/>
        <v>1.0585438596491228</v>
      </c>
    </row>
    <row r="6185" spans="39:45">
      <c r="AM6185" s="55">
        <v>2019</v>
      </c>
      <c r="AN6185" s="55" t="s">
        <v>190</v>
      </c>
      <c r="AO6185" s="55">
        <v>15</v>
      </c>
      <c r="AP6185" s="55">
        <v>15</v>
      </c>
      <c r="AQ6185" s="55">
        <v>19485</v>
      </c>
      <c r="AR6185" s="55">
        <v>28500</v>
      </c>
      <c r="AS6185" s="78">
        <f t="shared" si="100"/>
        <v>0.68368421052631578</v>
      </c>
    </row>
    <row r="6186" spans="39:45">
      <c r="AM6186" s="54">
        <v>2019</v>
      </c>
      <c r="AN6186" s="54" t="s">
        <v>190</v>
      </c>
      <c r="AO6186" s="54">
        <v>15</v>
      </c>
      <c r="AP6186" s="54">
        <v>16</v>
      </c>
      <c r="AQ6186" s="54">
        <v>13427.5</v>
      </c>
      <c r="AR6186" s="55">
        <v>28500</v>
      </c>
      <c r="AS6186" s="78">
        <f t="shared" si="100"/>
        <v>0.47114035087719297</v>
      </c>
    </row>
    <row r="6187" spans="39:45">
      <c r="AM6187" s="55">
        <v>2019</v>
      </c>
      <c r="AN6187" s="55" t="s">
        <v>190</v>
      </c>
      <c r="AO6187" s="55">
        <v>15</v>
      </c>
      <c r="AP6187" s="55">
        <v>17</v>
      </c>
      <c r="AQ6187" s="55">
        <v>3949.5</v>
      </c>
      <c r="AR6187" s="55">
        <v>28500</v>
      </c>
      <c r="AS6187" s="78">
        <f t="shared" si="100"/>
        <v>0.13857894736842105</v>
      </c>
    </row>
    <row r="6188" spans="39:45">
      <c r="AM6188" s="54">
        <v>2019</v>
      </c>
      <c r="AN6188" s="54" t="s">
        <v>190</v>
      </c>
      <c r="AO6188" s="54">
        <v>15</v>
      </c>
      <c r="AP6188" s="54">
        <v>18</v>
      </c>
      <c r="AQ6188" s="54">
        <v>0</v>
      </c>
      <c r="AR6188" s="55">
        <v>28500</v>
      </c>
      <c r="AS6188" s="78">
        <f t="shared" si="100"/>
        <v>0</v>
      </c>
    </row>
    <row r="6189" spans="39:45">
      <c r="AM6189" s="55">
        <v>2019</v>
      </c>
      <c r="AN6189" s="55" t="s">
        <v>190</v>
      </c>
      <c r="AO6189" s="55">
        <v>15</v>
      </c>
      <c r="AP6189" s="55">
        <v>19</v>
      </c>
      <c r="AQ6189" s="55">
        <v>0</v>
      </c>
      <c r="AR6189" s="55">
        <v>28500</v>
      </c>
      <c r="AS6189" s="78">
        <f t="shared" si="100"/>
        <v>0</v>
      </c>
    </row>
    <row r="6190" spans="39:45">
      <c r="AM6190" s="54">
        <v>2019</v>
      </c>
      <c r="AN6190" s="54" t="s">
        <v>190</v>
      </c>
      <c r="AO6190" s="54">
        <v>15</v>
      </c>
      <c r="AP6190" s="54">
        <v>20</v>
      </c>
      <c r="AQ6190" s="54">
        <v>0</v>
      </c>
      <c r="AR6190" s="55">
        <v>28500</v>
      </c>
      <c r="AS6190" s="78">
        <f t="shared" si="100"/>
        <v>0</v>
      </c>
    </row>
    <row r="6191" spans="39:45">
      <c r="AM6191" s="55">
        <v>2019</v>
      </c>
      <c r="AN6191" s="55" t="s">
        <v>190</v>
      </c>
      <c r="AO6191" s="55">
        <v>15</v>
      </c>
      <c r="AP6191" s="55">
        <v>21</v>
      </c>
      <c r="AQ6191" s="55">
        <v>0</v>
      </c>
      <c r="AR6191" s="55">
        <v>28500</v>
      </c>
      <c r="AS6191" s="78">
        <f t="shared" si="100"/>
        <v>0</v>
      </c>
    </row>
    <row r="6192" spans="39:45">
      <c r="AM6192" s="54">
        <v>2019</v>
      </c>
      <c r="AN6192" s="54" t="s">
        <v>190</v>
      </c>
      <c r="AO6192" s="54">
        <v>15</v>
      </c>
      <c r="AP6192" s="54">
        <v>22</v>
      </c>
      <c r="AQ6192" s="54">
        <v>0</v>
      </c>
      <c r="AR6192" s="55">
        <v>28500</v>
      </c>
      <c r="AS6192" s="78">
        <f t="shared" si="100"/>
        <v>0</v>
      </c>
    </row>
    <row r="6193" spans="39:45">
      <c r="AM6193" s="55">
        <v>2019</v>
      </c>
      <c r="AN6193" s="55" t="s">
        <v>190</v>
      </c>
      <c r="AO6193" s="55">
        <v>15</v>
      </c>
      <c r="AP6193" s="55">
        <v>23</v>
      </c>
      <c r="AQ6193" s="55">
        <v>0</v>
      </c>
      <c r="AR6193" s="55">
        <v>28500</v>
      </c>
      <c r="AS6193" s="78">
        <f t="shared" si="100"/>
        <v>0</v>
      </c>
    </row>
    <row r="6194" spans="39:45">
      <c r="AM6194" s="54">
        <v>2019</v>
      </c>
      <c r="AN6194" s="54" t="s">
        <v>190</v>
      </c>
      <c r="AO6194" s="54">
        <v>16</v>
      </c>
      <c r="AP6194" s="54">
        <v>24</v>
      </c>
      <c r="AQ6194" s="54">
        <v>0</v>
      </c>
      <c r="AR6194" s="55">
        <v>28500</v>
      </c>
      <c r="AS6194" s="78">
        <f t="shared" si="100"/>
        <v>0</v>
      </c>
    </row>
    <row r="6195" spans="39:45">
      <c r="AM6195" s="55">
        <v>2019</v>
      </c>
      <c r="AN6195" s="55" t="s">
        <v>190</v>
      </c>
      <c r="AO6195" s="55">
        <v>16</v>
      </c>
      <c r="AP6195" s="55">
        <v>1</v>
      </c>
      <c r="AQ6195" s="55">
        <v>0</v>
      </c>
      <c r="AR6195" s="55">
        <v>28500</v>
      </c>
      <c r="AS6195" s="78">
        <f t="shared" si="100"/>
        <v>0</v>
      </c>
    </row>
    <row r="6196" spans="39:45">
      <c r="AM6196" s="54">
        <v>2019</v>
      </c>
      <c r="AN6196" s="54" t="s">
        <v>190</v>
      </c>
      <c r="AO6196" s="54">
        <v>16</v>
      </c>
      <c r="AP6196" s="54">
        <v>2</v>
      </c>
      <c r="AQ6196" s="54">
        <v>0</v>
      </c>
      <c r="AR6196" s="55">
        <v>28500</v>
      </c>
      <c r="AS6196" s="78">
        <f t="shared" si="100"/>
        <v>0</v>
      </c>
    </row>
    <row r="6197" spans="39:45">
      <c r="AM6197" s="55">
        <v>2019</v>
      </c>
      <c r="AN6197" s="55" t="s">
        <v>190</v>
      </c>
      <c r="AO6197" s="55">
        <v>16</v>
      </c>
      <c r="AP6197" s="55">
        <v>3</v>
      </c>
      <c r="AQ6197" s="55">
        <v>0</v>
      </c>
      <c r="AR6197" s="55">
        <v>28500</v>
      </c>
      <c r="AS6197" s="78">
        <f t="shared" si="100"/>
        <v>0</v>
      </c>
    </row>
    <row r="6198" spans="39:45">
      <c r="AM6198" s="54">
        <v>2019</v>
      </c>
      <c r="AN6198" s="54" t="s">
        <v>190</v>
      </c>
      <c r="AO6198" s="54">
        <v>16</v>
      </c>
      <c r="AP6198" s="54">
        <v>4</v>
      </c>
      <c r="AQ6198" s="54">
        <v>0</v>
      </c>
      <c r="AR6198" s="55">
        <v>28500</v>
      </c>
      <c r="AS6198" s="78">
        <f t="shared" si="100"/>
        <v>0</v>
      </c>
    </row>
    <row r="6199" spans="39:45">
      <c r="AM6199" s="55">
        <v>2019</v>
      </c>
      <c r="AN6199" s="55" t="s">
        <v>190</v>
      </c>
      <c r="AO6199" s="55">
        <v>16</v>
      </c>
      <c r="AP6199" s="55">
        <v>5</v>
      </c>
      <c r="AQ6199" s="55">
        <v>0</v>
      </c>
      <c r="AR6199" s="55">
        <v>28500</v>
      </c>
      <c r="AS6199" s="78">
        <f t="shared" si="100"/>
        <v>0</v>
      </c>
    </row>
    <row r="6200" spans="39:45">
      <c r="AM6200" s="54">
        <v>2019</v>
      </c>
      <c r="AN6200" s="54" t="s">
        <v>190</v>
      </c>
      <c r="AO6200" s="54">
        <v>16</v>
      </c>
      <c r="AP6200" s="54">
        <v>6</v>
      </c>
      <c r="AQ6200" s="54">
        <v>69.5</v>
      </c>
      <c r="AR6200" s="55">
        <v>28500</v>
      </c>
      <c r="AS6200" s="78">
        <f t="shared" si="100"/>
        <v>2.4385964912280703E-3</v>
      </c>
    </row>
    <row r="6201" spans="39:45">
      <c r="AM6201" s="55">
        <v>2019</v>
      </c>
      <c r="AN6201" s="55" t="s">
        <v>190</v>
      </c>
      <c r="AO6201" s="55">
        <v>16</v>
      </c>
      <c r="AP6201" s="55">
        <v>7</v>
      </c>
      <c r="AQ6201" s="55">
        <v>1974.5</v>
      </c>
      <c r="AR6201" s="55">
        <v>28500</v>
      </c>
      <c r="AS6201" s="78">
        <f t="shared" si="100"/>
        <v>6.928070175438597E-2</v>
      </c>
    </row>
    <row r="6202" spans="39:45">
      <c r="AM6202" s="54">
        <v>2019</v>
      </c>
      <c r="AN6202" s="54" t="s">
        <v>190</v>
      </c>
      <c r="AO6202" s="54">
        <v>16</v>
      </c>
      <c r="AP6202" s="54">
        <v>8</v>
      </c>
      <c r="AQ6202" s="54">
        <v>3094</v>
      </c>
      <c r="AR6202" s="55">
        <v>28500</v>
      </c>
      <c r="AS6202" s="78">
        <f t="shared" si="100"/>
        <v>0.10856140350877193</v>
      </c>
    </row>
    <row r="6203" spans="39:45">
      <c r="AM6203" s="55">
        <v>2019</v>
      </c>
      <c r="AN6203" s="55" t="s">
        <v>190</v>
      </c>
      <c r="AO6203" s="55">
        <v>16</v>
      </c>
      <c r="AP6203" s="55">
        <v>9</v>
      </c>
      <c r="AQ6203" s="55">
        <v>5515</v>
      </c>
      <c r="AR6203" s="55">
        <v>28500</v>
      </c>
      <c r="AS6203" s="78">
        <f t="shared" si="100"/>
        <v>0.19350877192982457</v>
      </c>
    </row>
    <row r="6204" spans="39:45">
      <c r="AM6204" s="54">
        <v>2019</v>
      </c>
      <c r="AN6204" s="54" t="s">
        <v>190</v>
      </c>
      <c r="AO6204" s="54">
        <v>16</v>
      </c>
      <c r="AP6204" s="54">
        <v>10</v>
      </c>
      <c r="AQ6204" s="54">
        <v>9557</v>
      </c>
      <c r="AR6204" s="55">
        <v>28500</v>
      </c>
      <c r="AS6204" s="78">
        <f t="shared" si="100"/>
        <v>0.33533333333333332</v>
      </c>
    </row>
    <row r="6205" spans="39:45">
      <c r="AM6205" s="55">
        <v>2019</v>
      </c>
      <c r="AN6205" s="55" t="s">
        <v>190</v>
      </c>
      <c r="AO6205" s="55">
        <v>16</v>
      </c>
      <c r="AP6205" s="55">
        <v>11</v>
      </c>
      <c r="AQ6205" s="55">
        <v>7768.5</v>
      </c>
      <c r="AR6205" s="55">
        <v>28500</v>
      </c>
      <c r="AS6205" s="78">
        <f t="shared" si="100"/>
        <v>0.27257894736842103</v>
      </c>
    </row>
    <row r="6206" spans="39:45">
      <c r="AM6206" s="54">
        <v>2019</v>
      </c>
      <c r="AN6206" s="54" t="s">
        <v>190</v>
      </c>
      <c r="AO6206" s="54">
        <v>16</v>
      </c>
      <c r="AP6206" s="54">
        <v>12</v>
      </c>
      <c r="AQ6206" s="54">
        <v>4108.5</v>
      </c>
      <c r="AR6206" s="55">
        <v>28500</v>
      </c>
      <c r="AS6206" s="78">
        <f t="shared" si="100"/>
        <v>0.1441578947368421</v>
      </c>
    </row>
    <row r="6207" spans="39:45">
      <c r="AM6207" s="55">
        <v>2019</v>
      </c>
      <c r="AN6207" s="55" t="s">
        <v>190</v>
      </c>
      <c r="AO6207" s="55">
        <v>16</v>
      </c>
      <c r="AP6207" s="55">
        <v>13</v>
      </c>
      <c r="AQ6207" s="55">
        <v>5814</v>
      </c>
      <c r="AR6207" s="55">
        <v>28500</v>
      </c>
      <c r="AS6207" s="78">
        <f t="shared" si="100"/>
        <v>0.20399999999999999</v>
      </c>
    </row>
    <row r="6208" spans="39:45">
      <c r="AM6208" s="54">
        <v>2019</v>
      </c>
      <c r="AN6208" s="54" t="s">
        <v>190</v>
      </c>
      <c r="AO6208" s="54">
        <v>16</v>
      </c>
      <c r="AP6208" s="54">
        <v>14</v>
      </c>
      <c r="AQ6208" s="54">
        <v>3770.5</v>
      </c>
      <c r="AR6208" s="55">
        <v>28500</v>
      </c>
      <c r="AS6208" s="78">
        <f t="shared" si="100"/>
        <v>0.13229824561403508</v>
      </c>
    </row>
    <row r="6209" spans="39:45">
      <c r="AM6209" s="55">
        <v>2019</v>
      </c>
      <c r="AN6209" s="55" t="s">
        <v>190</v>
      </c>
      <c r="AO6209" s="55">
        <v>16</v>
      </c>
      <c r="AP6209" s="55">
        <v>15</v>
      </c>
      <c r="AQ6209" s="55">
        <v>2441.5</v>
      </c>
      <c r="AR6209" s="55">
        <v>28500</v>
      </c>
      <c r="AS6209" s="78">
        <f t="shared" si="100"/>
        <v>8.5666666666666669E-2</v>
      </c>
    </row>
    <row r="6210" spans="39:45">
      <c r="AM6210" s="54">
        <v>2019</v>
      </c>
      <c r="AN6210" s="54" t="s">
        <v>190</v>
      </c>
      <c r="AO6210" s="54">
        <v>16</v>
      </c>
      <c r="AP6210" s="54">
        <v>16</v>
      </c>
      <c r="AQ6210" s="54">
        <v>803</v>
      </c>
      <c r="AR6210" s="55">
        <v>28500</v>
      </c>
      <c r="AS6210" s="78">
        <f t="shared" ref="AS6210:AS6273" si="101">AQ6210/AR6210</f>
        <v>2.8175438596491229E-2</v>
      </c>
    </row>
    <row r="6211" spans="39:45">
      <c r="AM6211" s="55">
        <v>2019</v>
      </c>
      <c r="AN6211" s="55" t="s">
        <v>190</v>
      </c>
      <c r="AO6211" s="55">
        <v>16</v>
      </c>
      <c r="AP6211" s="55">
        <v>17</v>
      </c>
      <c r="AQ6211" s="55">
        <v>1322</v>
      </c>
      <c r="AR6211" s="55">
        <v>28500</v>
      </c>
      <c r="AS6211" s="78">
        <f t="shared" si="101"/>
        <v>4.6385964912280704E-2</v>
      </c>
    </row>
    <row r="6212" spans="39:45">
      <c r="AM6212" s="54">
        <v>2019</v>
      </c>
      <c r="AN6212" s="54" t="s">
        <v>190</v>
      </c>
      <c r="AO6212" s="54">
        <v>16</v>
      </c>
      <c r="AP6212" s="54">
        <v>18</v>
      </c>
      <c r="AQ6212" s="54">
        <v>0</v>
      </c>
      <c r="AR6212" s="55">
        <v>28500</v>
      </c>
      <c r="AS6212" s="78">
        <f t="shared" si="101"/>
        <v>0</v>
      </c>
    </row>
    <row r="6213" spans="39:45">
      <c r="AM6213" s="55">
        <v>2019</v>
      </c>
      <c r="AN6213" s="55" t="s">
        <v>190</v>
      </c>
      <c r="AO6213" s="55">
        <v>16</v>
      </c>
      <c r="AP6213" s="55">
        <v>19</v>
      </c>
      <c r="AQ6213" s="55">
        <v>0</v>
      </c>
      <c r="AR6213" s="55">
        <v>28500</v>
      </c>
      <c r="AS6213" s="78">
        <f t="shared" si="101"/>
        <v>0</v>
      </c>
    </row>
    <row r="6214" spans="39:45">
      <c r="AM6214" s="54">
        <v>2019</v>
      </c>
      <c r="AN6214" s="54" t="s">
        <v>190</v>
      </c>
      <c r="AO6214" s="54">
        <v>16</v>
      </c>
      <c r="AP6214" s="54">
        <v>20</v>
      </c>
      <c r="AQ6214" s="54">
        <v>0</v>
      </c>
      <c r="AR6214" s="55">
        <v>28500</v>
      </c>
      <c r="AS6214" s="78">
        <f t="shared" si="101"/>
        <v>0</v>
      </c>
    </row>
    <row r="6215" spans="39:45">
      <c r="AM6215" s="55">
        <v>2019</v>
      </c>
      <c r="AN6215" s="55" t="s">
        <v>190</v>
      </c>
      <c r="AO6215" s="55">
        <v>16</v>
      </c>
      <c r="AP6215" s="55">
        <v>21</v>
      </c>
      <c r="AQ6215" s="55">
        <v>0</v>
      </c>
      <c r="AR6215" s="55">
        <v>28500</v>
      </c>
      <c r="AS6215" s="78">
        <f t="shared" si="101"/>
        <v>0</v>
      </c>
    </row>
    <row r="6216" spans="39:45">
      <c r="AM6216" s="54">
        <v>2019</v>
      </c>
      <c r="AN6216" s="54" t="s">
        <v>190</v>
      </c>
      <c r="AO6216" s="54">
        <v>16</v>
      </c>
      <c r="AP6216" s="54">
        <v>22</v>
      </c>
      <c r="AQ6216" s="54">
        <v>0</v>
      </c>
      <c r="AR6216" s="55">
        <v>28500</v>
      </c>
      <c r="AS6216" s="78">
        <f t="shared" si="101"/>
        <v>0</v>
      </c>
    </row>
    <row r="6217" spans="39:45">
      <c r="AM6217" s="55">
        <v>2019</v>
      </c>
      <c r="AN6217" s="55" t="s">
        <v>190</v>
      </c>
      <c r="AO6217" s="55">
        <v>16</v>
      </c>
      <c r="AP6217" s="55">
        <v>23</v>
      </c>
      <c r="AQ6217" s="55">
        <v>0</v>
      </c>
      <c r="AR6217" s="55">
        <v>28500</v>
      </c>
      <c r="AS6217" s="78">
        <f t="shared" si="101"/>
        <v>0</v>
      </c>
    </row>
    <row r="6218" spans="39:45">
      <c r="AM6218" s="54">
        <v>2019</v>
      </c>
      <c r="AN6218" s="54" t="s">
        <v>190</v>
      </c>
      <c r="AO6218" s="54">
        <v>17</v>
      </c>
      <c r="AP6218" s="54">
        <v>24</v>
      </c>
      <c r="AQ6218" s="54">
        <v>0</v>
      </c>
      <c r="AR6218" s="55">
        <v>28500</v>
      </c>
      <c r="AS6218" s="78">
        <f t="shared" si="101"/>
        <v>0</v>
      </c>
    </row>
    <row r="6219" spans="39:45">
      <c r="AM6219" s="55">
        <v>2019</v>
      </c>
      <c r="AN6219" s="55" t="s">
        <v>190</v>
      </c>
      <c r="AO6219" s="55">
        <v>17</v>
      </c>
      <c r="AP6219" s="55">
        <v>1</v>
      </c>
      <c r="AQ6219" s="55">
        <v>0</v>
      </c>
      <c r="AR6219" s="55">
        <v>28500</v>
      </c>
      <c r="AS6219" s="78">
        <f t="shared" si="101"/>
        <v>0</v>
      </c>
    </row>
    <row r="6220" spans="39:45">
      <c r="AM6220" s="54">
        <v>2019</v>
      </c>
      <c r="AN6220" s="54" t="s">
        <v>190</v>
      </c>
      <c r="AO6220" s="54">
        <v>17</v>
      </c>
      <c r="AP6220" s="54">
        <v>2</v>
      </c>
      <c r="AQ6220" s="54">
        <v>0</v>
      </c>
      <c r="AR6220" s="55">
        <v>28500</v>
      </c>
      <c r="AS6220" s="78">
        <f t="shared" si="101"/>
        <v>0</v>
      </c>
    </row>
    <row r="6221" spans="39:45">
      <c r="AM6221" s="55">
        <v>2019</v>
      </c>
      <c r="AN6221" s="55" t="s">
        <v>190</v>
      </c>
      <c r="AO6221" s="55">
        <v>17</v>
      </c>
      <c r="AP6221" s="55">
        <v>3</v>
      </c>
      <c r="AQ6221" s="55">
        <v>0</v>
      </c>
      <c r="AR6221" s="55">
        <v>28500</v>
      </c>
      <c r="AS6221" s="78">
        <f t="shared" si="101"/>
        <v>0</v>
      </c>
    </row>
    <row r="6222" spans="39:45">
      <c r="AM6222" s="54">
        <v>2019</v>
      </c>
      <c r="AN6222" s="54" t="s">
        <v>190</v>
      </c>
      <c r="AO6222" s="54">
        <v>17</v>
      </c>
      <c r="AP6222" s="54">
        <v>4</v>
      </c>
      <c r="AQ6222" s="54">
        <v>0</v>
      </c>
      <c r="AR6222" s="55">
        <v>28500</v>
      </c>
      <c r="AS6222" s="78">
        <f t="shared" si="101"/>
        <v>0</v>
      </c>
    </row>
    <row r="6223" spans="39:45">
      <c r="AM6223" s="55">
        <v>2019</v>
      </c>
      <c r="AN6223" s="55" t="s">
        <v>190</v>
      </c>
      <c r="AO6223" s="55">
        <v>17</v>
      </c>
      <c r="AP6223" s="55">
        <v>5</v>
      </c>
      <c r="AQ6223" s="55">
        <v>0</v>
      </c>
      <c r="AR6223" s="55">
        <v>28500</v>
      </c>
      <c r="AS6223" s="78">
        <f t="shared" si="101"/>
        <v>0</v>
      </c>
    </row>
    <row r="6224" spans="39:45">
      <c r="AM6224" s="54">
        <v>2019</v>
      </c>
      <c r="AN6224" s="54" t="s">
        <v>190</v>
      </c>
      <c r="AO6224" s="54">
        <v>17</v>
      </c>
      <c r="AP6224" s="54">
        <v>6</v>
      </c>
      <c r="AQ6224" s="54">
        <v>594</v>
      </c>
      <c r="AR6224" s="55">
        <v>28500</v>
      </c>
      <c r="AS6224" s="78">
        <f t="shared" si="101"/>
        <v>2.0842105263157894E-2</v>
      </c>
    </row>
    <row r="6225" spans="39:45">
      <c r="AM6225" s="55">
        <v>2019</v>
      </c>
      <c r="AN6225" s="55" t="s">
        <v>190</v>
      </c>
      <c r="AO6225" s="55">
        <v>17</v>
      </c>
      <c r="AP6225" s="55">
        <v>7</v>
      </c>
      <c r="AQ6225" s="55">
        <v>9286</v>
      </c>
      <c r="AR6225" s="55">
        <v>28500</v>
      </c>
      <c r="AS6225" s="78">
        <f t="shared" si="101"/>
        <v>0.32582456140350879</v>
      </c>
    </row>
    <row r="6226" spans="39:45">
      <c r="AM6226" s="54">
        <v>2019</v>
      </c>
      <c r="AN6226" s="54" t="s">
        <v>190</v>
      </c>
      <c r="AO6226" s="54">
        <v>17</v>
      </c>
      <c r="AP6226" s="54">
        <v>8</v>
      </c>
      <c r="AQ6226" s="54">
        <v>20393</v>
      </c>
      <c r="AR6226" s="55">
        <v>28500</v>
      </c>
      <c r="AS6226" s="78">
        <f t="shared" si="101"/>
        <v>0.71554385964912282</v>
      </c>
    </row>
    <row r="6227" spans="39:45">
      <c r="AM6227" s="55">
        <v>2019</v>
      </c>
      <c r="AN6227" s="55" t="s">
        <v>190</v>
      </c>
      <c r="AO6227" s="55">
        <v>17</v>
      </c>
      <c r="AP6227" s="55">
        <v>9</v>
      </c>
      <c r="AQ6227" s="55">
        <v>28592.5</v>
      </c>
      <c r="AR6227" s="55">
        <v>28500</v>
      </c>
      <c r="AS6227" s="78">
        <f t="shared" si="101"/>
        <v>1.0032456140350878</v>
      </c>
    </row>
    <row r="6228" spans="39:45">
      <c r="AM6228" s="54">
        <v>2019</v>
      </c>
      <c r="AN6228" s="54" t="s">
        <v>190</v>
      </c>
      <c r="AO6228" s="54">
        <v>17</v>
      </c>
      <c r="AP6228" s="54">
        <v>10</v>
      </c>
      <c r="AQ6228" s="54">
        <v>34274</v>
      </c>
      <c r="AR6228" s="55">
        <v>28500</v>
      </c>
      <c r="AS6228" s="78">
        <f t="shared" si="101"/>
        <v>1.2025964912280702</v>
      </c>
    </row>
    <row r="6229" spans="39:45">
      <c r="AM6229" s="55">
        <v>2019</v>
      </c>
      <c r="AN6229" s="55" t="s">
        <v>190</v>
      </c>
      <c r="AO6229" s="55">
        <v>17</v>
      </c>
      <c r="AP6229" s="55">
        <v>11</v>
      </c>
      <c r="AQ6229" s="55">
        <v>36939.5</v>
      </c>
      <c r="AR6229" s="55">
        <v>28500</v>
      </c>
      <c r="AS6229" s="78">
        <f t="shared" si="101"/>
        <v>1.2961228070175439</v>
      </c>
    </row>
    <row r="6230" spans="39:45">
      <c r="AM6230" s="54">
        <v>2019</v>
      </c>
      <c r="AN6230" s="54" t="s">
        <v>190</v>
      </c>
      <c r="AO6230" s="54">
        <v>17</v>
      </c>
      <c r="AP6230" s="54">
        <v>12</v>
      </c>
      <c r="AQ6230" s="54">
        <v>37475</v>
      </c>
      <c r="AR6230" s="55">
        <v>28500</v>
      </c>
      <c r="AS6230" s="78">
        <f t="shared" si="101"/>
        <v>1.3149122807017544</v>
      </c>
    </row>
    <row r="6231" spans="39:45">
      <c r="AM6231" s="55">
        <v>2019</v>
      </c>
      <c r="AN6231" s="55" t="s">
        <v>190</v>
      </c>
      <c r="AO6231" s="55">
        <v>17</v>
      </c>
      <c r="AP6231" s="55">
        <v>13</v>
      </c>
      <c r="AQ6231" s="55">
        <v>36129</v>
      </c>
      <c r="AR6231" s="55">
        <v>28500</v>
      </c>
      <c r="AS6231" s="78">
        <f t="shared" si="101"/>
        <v>1.2676842105263157</v>
      </c>
    </row>
    <row r="6232" spans="39:45">
      <c r="AM6232" s="54">
        <v>2019</v>
      </c>
      <c r="AN6232" s="54" t="s">
        <v>190</v>
      </c>
      <c r="AO6232" s="54">
        <v>17</v>
      </c>
      <c r="AP6232" s="54">
        <v>14</v>
      </c>
      <c r="AQ6232" s="54">
        <v>31728</v>
      </c>
      <c r="AR6232" s="55">
        <v>28500</v>
      </c>
      <c r="AS6232" s="78">
        <f t="shared" si="101"/>
        <v>1.1132631578947367</v>
      </c>
    </row>
    <row r="6233" spans="39:45">
      <c r="AM6233" s="55">
        <v>2019</v>
      </c>
      <c r="AN6233" s="55" t="s">
        <v>190</v>
      </c>
      <c r="AO6233" s="55">
        <v>17</v>
      </c>
      <c r="AP6233" s="55">
        <v>15</v>
      </c>
      <c r="AQ6233" s="55">
        <v>24492</v>
      </c>
      <c r="AR6233" s="55">
        <v>28500</v>
      </c>
      <c r="AS6233" s="78">
        <f t="shared" si="101"/>
        <v>0.85936842105263156</v>
      </c>
    </row>
    <row r="6234" spans="39:45">
      <c r="AM6234" s="54">
        <v>2019</v>
      </c>
      <c r="AN6234" s="54" t="s">
        <v>190</v>
      </c>
      <c r="AO6234" s="54">
        <v>17</v>
      </c>
      <c r="AP6234" s="54">
        <v>16</v>
      </c>
      <c r="AQ6234" s="54">
        <v>14236.5</v>
      </c>
      <c r="AR6234" s="55">
        <v>28500</v>
      </c>
      <c r="AS6234" s="78">
        <f t="shared" si="101"/>
        <v>0.49952631578947371</v>
      </c>
    </row>
    <row r="6235" spans="39:45">
      <c r="AM6235" s="55">
        <v>2019</v>
      </c>
      <c r="AN6235" s="55" t="s">
        <v>190</v>
      </c>
      <c r="AO6235" s="55">
        <v>17</v>
      </c>
      <c r="AP6235" s="55">
        <v>17</v>
      </c>
      <c r="AQ6235" s="55">
        <v>3548.5</v>
      </c>
      <c r="AR6235" s="55">
        <v>28500</v>
      </c>
      <c r="AS6235" s="78">
        <f t="shared" si="101"/>
        <v>0.12450877192982455</v>
      </c>
    </row>
    <row r="6236" spans="39:45">
      <c r="AM6236" s="54">
        <v>2019</v>
      </c>
      <c r="AN6236" s="54" t="s">
        <v>190</v>
      </c>
      <c r="AO6236" s="54">
        <v>17</v>
      </c>
      <c r="AP6236" s="54">
        <v>18</v>
      </c>
      <c r="AQ6236" s="54">
        <v>0</v>
      </c>
      <c r="AR6236" s="55">
        <v>28500</v>
      </c>
      <c r="AS6236" s="78">
        <f t="shared" si="101"/>
        <v>0</v>
      </c>
    </row>
    <row r="6237" spans="39:45">
      <c r="AM6237" s="55">
        <v>2019</v>
      </c>
      <c r="AN6237" s="55" t="s">
        <v>190</v>
      </c>
      <c r="AO6237" s="55">
        <v>17</v>
      </c>
      <c r="AP6237" s="55">
        <v>19</v>
      </c>
      <c r="AQ6237" s="55">
        <v>0</v>
      </c>
      <c r="AR6237" s="55">
        <v>28500</v>
      </c>
      <c r="AS6237" s="78">
        <f t="shared" si="101"/>
        <v>0</v>
      </c>
    </row>
    <row r="6238" spans="39:45">
      <c r="AM6238" s="54">
        <v>2019</v>
      </c>
      <c r="AN6238" s="54" t="s">
        <v>190</v>
      </c>
      <c r="AO6238" s="54">
        <v>17</v>
      </c>
      <c r="AP6238" s="54">
        <v>20</v>
      </c>
      <c r="AQ6238" s="54">
        <v>0</v>
      </c>
      <c r="AR6238" s="55">
        <v>28500</v>
      </c>
      <c r="AS6238" s="78">
        <f t="shared" si="101"/>
        <v>0</v>
      </c>
    </row>
    <row r="6239" spans="39:45">
      <c r="AM6239" s="55">
        <v>2019</v>
      </c>
      <c r="AN6239" s="55" t="s">
        <v>190</v>
      </c>
      <c r="AO6239" s="55">
        <v>17</v>
      </c>
      <c r="AP6239" s="55">
        <v>21</v>
      </c>
      <c r="AQ6239" s="55">
        <v>0</v>
      </c>
      <c r="AR6239" s="55">
        <v>28500</v>
      </c>
      <c r="AS6239" s="78">
        <f t="shared" si="101"/>
        <v>0</v>
      </c>
    </row>
    <row r="6240" spans="39:45">
      <c r="AM6240" s="54">
        <v>2019</v>
      </c>
      <c r="AN6240" s="54" t="s">
        <v>190</v>
      </c>
      <c r="AO6240" s="54">
        <v>17</v>
      </c>
      <c r="AP6240" s="54">
        <v>22</v>
      </c>
      <c r="AQ6240" s="54">
        <v>0</v>
      </c>
      <c r="AR6240" s="55">
        <v>28500</v>
      </c>
      <c r="AS6240" s="78">
        <f t="shared" si="101"/>
        <v>0</v>
      </c>
    </row>
    <row r="6241" spans="39:45">
      <c r="AM6241" s="55">
        <v>2019</v>
      </c>
      <c r="AN6241" s="55" t="s">
        <v>190</v>
      </c>
      <c r="AO6241" s="55">
        <v>17</v>
      </c>
      <c r="AP6241" s="55">
        <v>23</v>
      </c>
      <c r="AQ6241" s="55">
        <v>0</v>
      </c>
      <c r="AR6241" s="55">
        <v>28500</v>
      </c>
      <c r="AS6241" s="78">
        <f t="shared" si="101"/>
        <v>0</v>
      </c>
    </row>
    <row r="6242" spans="39:45">
      <c r="AM6242" s="54">
        <v>2019</v>
      </c>
      <c r="AN6242" s="54" t="s">
        <v>190</v>
      </c>
      <c r="AO6242" s="54">
        <v>18</v>
      </c>
      <c r="AP6242" s="54">
        <v>24</v>
      </c>
      <c r="AQ6242" s="54">
        <v>0</v>
      </c>
      <c r="AR6242" s="55">
        <v>28500</v>
      </c>
      <c r="AS6242" s="78">
        <f t="shared" si="101"/>
        <v>0</v>
      </c>
    </row>
    <row r="6243" spans="39:45">
      <c r="AM6243" s="55">
        <v>2019</v>
      </c>
      <c r="AN6243" s="55" t="s">
        <v>190</v>
      </c>
      <c r="AO6243" s="55">
        <v>18</v>
      </c>
      <c r="AP6243" s="55">
        <v>1</v>
      </c>
      <c r="AQ6243" s="55">
        <v>0</v>
      </c>
      <c r="AR6243" s="55">
        <v>28500</v>
      </c>
      <c r="AS6243" s="78">
        <f t="shared" si="101"/>
        <v>0</v>
      </c>
    </row>
    <row r="6244" spans="39:45">
      <c r="AM6244" s="54">
        <v>2019</v>
      </c>
      <c r="AN6244" s="54" t="s">
        <v>190</v>
      </c>
      <c r="AO6244" s="54">
        <v>18</v>
      </c>
      <c r="AP6244" s="54">
        <v>2</v>
      </c>
      <c r="AQ6244" s="54">
        <v>0</v>
      </c>
      <c r="AR6244" s="55">
        <v>28500</v>
      </c>
      <c r="AS6244" s="78">
        <f t="shared" si="101"/>
        <v>0</v>
      </c>
    </row>
    <row r="6245" spans="39:45">
      <c r="AM6245" s="55">
        <v>2019</v>
      </c>
      <c r="AN6245" s="55" t="s">
        <v>190</v>
      </c>
      <c r="AO6245" s="55">
        <v>18</v>
      </c>
      <c r="AP6245" s="55">
        <v>3</v>
      </c>
      <c r="AQ6245" s="55">
        <v>0</v>
      </c>
      <c r="AR6245" s="55">
        <v>28500</v>
      </c>
      <c r="AS6245" s="78">
        <f t="shared" si="101"/>
        <v>0</v>
      </c>
    </row>
    <row r="6246" spans="39:45">
      <c r="AM6246" s="54">
        <v>2019</v>
      </c>
      <c r="AN6246" s="54" t="s">
        <v>190</v>
      </c>
      <c r="AO6246" s="54">
        <v>18</v>
      </c>
      <c r="AP6246" s="54">
        <v>4</v>
      </c>
      <c r="AQ6246" s="54">
        <v>0</v>
      </c>
      <c r="AR6246" s="55">
        <v>28500</v>
      </c>
      <c r="AS6246" s="78">
        <f t="shared" si="101"/>
        <v>0</v>
      </c>
    </row>
    <row r="6247" spans="39:45">
      <c r="AM6247" s="55">
        <v>2019</v>
      </c>
      <c r="AN6247" s="55" t="s">
        <v>190</v>
      </c>
      <c r="AO6247" s="55">
        <v>18</v>
      </c>
      <c r="AP6247" s="55">
        <v>5</v>
      </c>
      <c r="AQ6247" s="55">
        <v>0</v>
      </c>
      <c r="AR6247" s="55">
        <v>28500</v>
      </c>
      <c r="AS6247" s="78">
        <f t="shared" si="101"/>
        <v>0</v>
      </c>
    </row>
    <row r="6248" spans="39:45">
      <c r="AM6248" s="54">
        <v>2019</v>
      </c>
      <c r="AN6248" s="54" t="s">
        <v>190</v>
      </c>
      <c r="AO6248" s="54">
        <v>18</v>
      </c>
      <c r="AP6248" s="54">
        <v>6</v>
      </c>
      <c r="AQ6248" s="54">
        <v>689</v>
      </c>
      <c r="AR6248" s="55">
        <v>28500</v>
      </c>
      <c r="AS6248" s="78">
        <f t="shared" si="101"/>
        <v>2.4175438596491228E-2</v>
      </c>
    </row>
    <row r="6249" spans="39:45">
      <c r="AM6249" s="55">
        <v>2019</v>
      </c>
      <c r="AN6249" s="55" t="s">
        <v>190</v>
      </c>
      <c r="AO6249" s="55">
        <v>18</v>
      </c>
      <c r="AP6249" s="55">
        <v>7</v>
      </c>
      <c r="AQ6249" s="55">
        <v>9390.5</v>
      </c>
      <c r="AR6249" s="55">
        <v>28500</v>
      </c>
      <c r="AS6249" s="78">
        <f t="shared" si="101"/>
        <v>0.32949122807017545</v>
      </c>
    </row>
    <row r="6250" spans="39:45">
      <c r="AM6250" s="54">
        <v>2019</v>
      </c>
      <c r="AN6250" s="54" t="s">
        <v>190</v>
      </c>
      <c r="AO6250" s="54">
        <v>18</v>
      </c>
      <c r="AP6250" s="54">
        <v>8</v>
      </c>
      <c r="AQ6250" s="54">
        <v>20135</v>
      </c>
      <c r="AR6250" s="55">
        <v>28500</v>
      </c>
      <c r="AS6250" s="78">
        <f t="shared" si="101"/>
        <v>0.70649122807017539</v>
      </c>
    </row>
    <row r="6251" spans="39:45">
      <c r="AM6251" s="55">
        <v>2019</v>
      </c>
      <c r="AN6251" s="55" t="s">
        <v>190</v>
      </c>
      <c r="AO6251" s="55">
        <v>18</v>
      </c>
      <c r="AP6251" s="55">
        <v>9</v>
      </c>
      <c r="AQ6251" s="55">
        <v>28312.5</v>
      </c>
      <c r="AR6251" s="55">
        <v>28500</v>
      </c>
      <c r="AS6251" s="78">
        <f t="shared" si="101"/>
        <v>0.99342105263157898</v>
      </c>
    </row>
    <row r="6252" spans="39:45">
      <c r="AM6252" s="54">
        <v>2019</v>
      </c>
      <c r="AN6252" s="54" t="s">
        <v>190</v>
      </c>
      <c r="AO6252" s="54">
        <v>18</v>
      </c>
      <c r="AP6252" s="54">
        <v>10</v>
      </c>
      <c r="AQ6252" s="54">
        <v>33982.5</v>
      </c>
      <c r="AR6252" s="55">
        <v>28500</v>
      </c>
      <c r="AS6252" s="78">
        <f t="shared" si="101"/>
        <v>1.1923684210526315</v>
      </c>
    </row>
    <row r="6253" spans="39:45">
      <c r="AM6253" s="55">
        <v>2019</v>
      </c>
      <c r="AN6253" s="55" t="s">
        <v>190</v>
      </c>
      <c r="AO6253" s="55">
        <v>18</v>
      </c>
      <c r="AP6253" s="55">
        <v>11</v>
      </c>
      <c r="AQ6253" s="55">
        <v>36324.5</v>
      </c>
      <c r="AR6253" s="55">
        <v>28500</v>
      </c>
      <c r="AS6253" s="78">
        <f t="shared" si="101"/>
        <v>1.2745438596491228</v>
      </c>
    </row>
    <row r="6254" spans="39:45">
      <c r="AM6254" s="54">
        <v>2019</v>
      </c>
      <c r="AN6254" s="54" t="s">
        <v>190</v>
      </c>
      <c r="AO6254" s="54">
        <v>18</v>
      </c>
      <c r="AP6254" s="54">
        <v>12</v>
      </c>
      <c r="AQ6254" s="54">
        <v>37073</v>
      </c>
      <c r="AR6254" s="55">
        <v>28500</v>
      </c>
      <c r="AS6254" s="78">
        <f t="shared" si="101"/>
        <v>1.3008070175438597</v>
      </c>
    </row>
    <row r="6255" spans="39:45">
      <c r="AM6255" s="55">
        <v>2019</v>
      </c>
      <c r="AN6255" s="55" t="s">
        <v>190</v>
      </c>
      <c r="AO6255" s="55">
        <v>18</v>
      </c>
      <c r="AP6255" s="55">
        <v>13</v>
      </c>
      <c r="AQ6255" s="55">
        <v>35671</v>
      </c>
      <c r="AR6255" s="55">
        <v>28500</v>
      </c>
      <c r="AS6255" s="78">
        <f t="shared" si="101"/>
        <v>1.2516140350877194</v>
      </c>
    </row>
    <row r="6256" spans="39:45">
      <c r="AM6256" s="54">
        <v>2019</v>
      </c>
      <c r="AN6256" s="54" t="s">
        <v>190</v>
      </c>
      <c r="AO6256" s="54">
        <v>18</v>
      </c>
      <c r="AP6256" s="54">
        <v>14</v>
      </c>
      <c r="AQ6256" s="54">
        <v>31038.5</v>
      </c>
      <c r="AR6256" s="55">
        <v>28500</v>
      </c>
      <c r="AS6256" s="78">
        <f t="shared" si="101"/>
        <v>1.0890701754385965</v>
      </c>
    </row>
    <row r="6257" spans="39:45">
      <c r="AM6257" s="55">
        <v>2019</v>
      </c>
      <c r="AN6257" s="55" t="s">
        <v>190</v>
      </c>
      <c r="AO6257" s="55">
        <v>18</v>
      </c>
      <c r="AP6257" s="55">
        <v>15</v>
      </c>
      <c r="AQ6257" s="55">
        <v>23698</v>
      </c>
      <c r="AR6257" s="55">
        <v>28500</v>
      </c>
      <c r="AS6257" s="78">
        <f t="shared" si="101"/>
        <v>0.83150877192982453</v>
      </c>
    </row>
    <row r="6258" spans="39:45">
      <c r="AM6258" s="54">
        <v>2019</v>
      </c>
      <c r="AN6258" s="54" t="s">
        <v>190</v>
      </c>
      <c r="AO6258" s="54">
        <v>18</v>
      </c>
      <c r="AP6258" s="54">
        <v>16</v>
      </c>
      <c r="AQ6258" s="54">
        <v>13881</v>
      </c>
      <c r="AR6258" s="55">
        <v>28500</v>
      </c>
      <c r="AS6258" s="78">
        <f t="shared" si="101"/>
        <v>0.48705263157894735</v>
      </c>
    </row>
    <row r="6259" spans="39:45">
      <c r="AM6259" s="55">
        <v>2019</v>
      </c>
      <c r="AN6259" s="55" t="s">
        <v>190</v>
      </c>
      <c r="AO6259" s="55">
        <v>18</v>
      </c>
      <c r="AP6259" s="55">
        <v>17</v>
      </c>
      <c r="AQ6259" s="55">
        <v>3391</v>
      </c>
      <c r="AR6259" s="55">
        <v>28500</v>
      </c>
      <c r="AS6259" s="78">
        <f t="shared" si="101"/>
        <v>0.11898245614035088</v>
      </c>
    </row>
    <row r="6260" spans="39:45">
      <c r="AM6260" s="54">
        <v>2019</v>
      </c>
      <c r="AN6260" s="54" t="s">
        <v>190</v>
      </c>
      <c r="AO6260" s="54">
        <v>18</v>
      </c>
      <c r="AP6260" s="54">
        <v>18</v>
      </c>
      <c r="AQ6260" s="54">
        <v>0</v>
      </c>
      <c r="AR6260" s="55">
        <v>28500</v>
      </c>
      <c r="AS6260" s="78">
        <f t="shared" si="101"/>
        <v>0</v>
      </c>
    </row>
    <row r="6261" spans="39:45">
      <c r="AM6261" s="55">
        <v>2019</v>
      </c>
      <c r="AN6261" s="55" t="s">
        <v>190</v>
      </c>
      <c r="AO6261" s="55">
        <v>18</v>
      </c>
      <c r="AP6261" s="55">
        <v>19</v>
      </c>
      <c r="AQ6261" s="55">
        <v>0</v>
      </c>
      <c r="AR6261" s="55">
        <v>28500</v>
      </c>
      <c r="AS6261" s="78">
        <f t="shared" si="101"/>
        <v>0</v>
      </c>
    </row>
    <row r="6262" spans="39:45">
      <c r="AM6262" s="54">
        <v>2019</v>
      </c>
      <c r="AN6262" s="54" t="s">
        <v>190</v>
      </c>
      <c r="AO6262" s="54">
        <v>18</v>
      </c>
      <c r="AP6262" s="54">
        <v>20</v>
      </c>
      <c r="AQ6262" s="54">
        <v>0</v>
      </c>
      <c r="AR6262" s="55">
        <v>28500</v>
      </c>
      <c r="AS6262" s="78">
        <f t="shared" si="101"/>
        <v>0</v>
      </c>
    </row>
    <row r="6263" spans="39:45">
      <c r="AM6263" s="55">
        <v>2019</v>
      </c>
      <c r="AN6263" s="55" t="s">
        <v>190</v>
      </c>
      <c r="AO6263" s="55">
        <v>18</v>
      </c>
      <c r="AP6263" s="55">
        <v>21</v>
      </c>
      <c r="AQ6263" s="55">
        <v>0</v>
      </c>
      <c r="AR6263" s="55">
        <v>28500</v>
      </c>
      <c r="AS6263" s="78">
        <f t="shared" si="101"/>
        <v>0</v>
      </c>
    </row>
    <row r="6264" spans="39:45">
      <c r="AM6264" s="54">
        <v>2019</v>
      </c>
      <c r="AN6264" s="54" t="s">
        <v>190</v>
      </c>
      <c r="AO6264" s="54">
        <v>18</v>
      </c>
      <c r="AP6264" s="54">
        <v>22</v>
      </c>
      <c r="AQ6264" s="54">
        <v>0</v>
      </c>
      <c r="AR6264" s="55">
        <v>28500</v>
      </c>
      <c r="AS6264" s="78">
        <f t="shared" si="101"/>
        <v>0</v>
      </c>
    </row>
    <row r="6265" spans="39:45">
      <c r="AM6265" s="55">
        <v>2019</v>
      </c>
      <c r="AN6265" s="55" t="s">
        <v>190</v>
      </c>
      <c r="AO6265" s="55">
        <v>18</v>
      </c>
      <c r="AP6265" s="55">
        <v>23</v>
      </c>
      <c r="AQ6265" s="55">
        <v>0</v>
      </c>
      <c r="AR6265" s="55">
        <v>28500</v>
      </c>
      <c r="AS6265" s="78">
        <f t="shared" si="101"/>
        <v>0</v>
      </c>
    </row>
    <row r="6266" spans="39:45">
      <c r="AM6266" s="54">
        <v>2019</v>
      </c>
      <c r="AN6266" s="54" t="s">
        <v>190</v>
      </c>
      <c r="AO6266" s="54">
        <v>19</v>
      </c>
      <c r="AP6266" s="54">
        <v>24</v>
      </c>
      <c r="AQ6266" s="54">
        <v>0</v>
      </c>
      <c r="AR6266" s="55">
        <v>28500</v>
      </c>
      <c r="AS6266" s="78">
        <f t="shared" si="101"/>
        <v>0</v>
      </c>
    </row>
    <row r="6267" spans="39:45">
      <c r="AM6267" s="55">
        <v>2019</v>
      </c>
      <c r="AN6267" s="55" t="s">
        <v>190</v>
      </c>
      <c r="AO6267" s="55">
        <v>19</v>
      </c>
      <c r="AP6267" s="55">
        <v>1</v>
      </c>
      <c r="AQ6267" s="55">
        <v>0</v>
      </c>
      <c r="AR6267" s="55">
        <v>28500</v>
      </c>
      <c r="AS6267" s="78">
        <f t="shared" si="101"/>
        <v>0</v>
      </c>
    </row>
    <row r="6268" spans="39:45">
      <c r="AM6268" s="54">
        <v>2019</v>
      </c>
      <c r="AN6268" s="54" t="s">
        <v>190</v>
      </c>
      <c r="AO6268" s="54">
        <v>19</v>
      </c>
      <c r="AP6268" s="54">
        <v>2</v>
      </c>
      <c r="AQ6268" s="54">
        <v>0</v>
      </c>
      <c r="AR6268" s="55">
        <v>28500</v>
      </c>
      <c r="AS6268" s="78">
        <f t="shared" si="101"/>
        <v>0</v>
      </c>
    </row>
    <row r="6269" spans="39:45">
      <c r="AM6269" s="55">
        <v>2019</v>
      </c>
      <c r="AN6269" s="55" t="s">
        <v>190</v>
      </c>
      <c r="AO6269" s="55">
        <v>19</v>
      </c>
      <c r="AP6269" s="55">
        <v>3</v>
      </c>
      <c r="AQ6269" s="55">
        <v>0</v>
      </c>
      <c r="AR6269" s="55">
        <v>28500</v>
      </c>
      <c r="AS6269" s="78">
        <f t="shared" si="101"/>
        <v>0</v>
      </c>
    </row>
    <row r="6270" spans="39:45">
      <c r="AM6270" s="54">
        <v>2019</v>
      </c>
      <c r="AN6270" s="54" t="s">
        <v>190</v>
      </c>
      <c r="AO6270" s="54">
        <v>19</v>
      </c>
      <c r="AP6270" s="54">
        <v>4</v>
      </c>
      <c r="AQ6270" s="54">
        <v>0</v>
      </c>
      <c r="AR6270" s="55">
        <v>28500</v>
      </c>
      <c r="AS6270" s="78">
        <f t="shared" si="101"/>
        <v>0</v>
      </c>
    </row>
    <row r="6271" spans="39:45">
      <c r="AM6271" s="55">
        <v>2019</v>
      </c>
      <c r="AN6271" s="55" t="s">
        <v>190</v>
      </c>
      <c r="AO6271" s="55">
        <v>19</v>
      </c>
      <c r="AP6271" s="55">
        <v>5</v>
      </c>
      <c r="AQ6271" s="55">
        <v>0</v>
      </c>
      <c r="AR6271" s="55">
        <v>28500</v>
      </c>
      <c r="AS6271" s="78">
        <f t="shared" si="101"/>
        <v>0</v>
      </c>
    </row>
    <row r="6272" spans="39:45">
      <c r="AM6272" s="54">
        <v>2019</v>
      </c>
      <c r="AN6272" s="54" t="s">
        <v>190</v>
      </c>
      <c r="AO6272" s="54">
        <v>19</v>
      </c>
      <c r="AP6272" s="54">
        <v>6</v>
      </c>
      <c r="AQ6272" s="54">
        <v>601.5</v>
      </c>
      <c r="AR6272" s="55">
        <v>28500</v>
      </c>
      <c r="AS6272" s="78">
        <f t="shared" si="101"/>
        <v>2.1105263157894738E-2</v>
      </c>
    </row>
    <row r="6273" spans="39:45">
      <c r="AM6273" s="55">
        <v>2019</v>
      </c>
      <c r="AN6273" s="55" t="s">
        <v>190</v>
      </c>
      <c r="AO6273" s="55">
        <v>19</v>
      </c>
      <c r="AP6273" s="55">
        <v>7</v>
      </c>
      <c r="AQ6273" s="55">
        <v>8795</v>
      </c>
      <c r="AR6273" s="55">
        <v>28500</v>
      </c>
      <c r="AS6273" s="78">
        <f t="shared" si="101"/>
        <v>0.3085964912280702</v>
      </c>
    </row>
    <row r="6274" spans="39:45">
      <c r="AM6274" s="54">
        <v>2019</v>
      </c>
      <c r="AN6274" s="54" t="s">
        <v>190</v>
      </c>
      <c r="AO6274" s="54">
        <v>19</v>
      </c>
      <c r="AP6274" s="54">
        <v>8</v>
      </c>
      <c r="AQ6274" s="54">
        <v>18963</v>
      </c>
      <c r="AR6274" s="55">
        <v>28500</v>
      </c>
      <c r="AS6274" s="78">
        <f t="shared" ref="AS6274:AS6337" si="102">AQ6274/AR6274</f>
        <v>0.66536842105263161</v>
      </c>
    </row>
    <row r="6275" spans="39:45">
      <c r="AM6275" s="55">
        <v>2019</v>
      </c>
      <c r="AN6275" s="55" t="s">
        <v>190</v>
      </c>
      <c r="AO6275" s="55">
        <v>19</v>
      </c>
      <c r="AP6275" s="55">
        <v>9</v>
      </c>
      <c r="AQ6275" s="55">
        <v>26970</v>
      </c>
      <c r="AR6275" s="55">
        <v>28500</v>
      </c>
      <c r="AS6275" s="78">
        <f t="shared" si="102"/>
        <v>0.94631578947368422</v>
      </c>
    </row>
    <row r="6276" spans="39:45">
      <c r="AM6276" s="54">
        <v>2019</v>
      </c>
      <c r="AN6276" s="54" t="s">
        <v>190</v>
      </c>
      <c r="AO6276" s="54">
        <v>19</v>
      </c>
      <c r="AP6276" s="54">
        <v>10</v>
      </c>
      <c r="AQ6276" s="54">
        <v>32731</v>
      </c>
      <c r="AR6276" s="55">
        <v>28500</v>
      </c>
      <c r="AS6276" s="78">
        <f t="shared" si="102"/>
        <v>1.1484561403508773</v>
      </c>
    </row>
    <row r="6277" spans="39:45">
      <c r="AM6277" s="55">
        <v>2019</v>
      </c>
      <c r="AN6277" s="55" t="s">
        <v>190</v>
      </c>
      <c r="AO6277" s="55">
        <v>19</v>
      </c>
      <c r="AP6277" s="55">
        <v>11</v>
      </c>
      <c r="AQ6277" s="55">
        <v>35250</v>
      </c>
      <c r="AR6277" s="55">
        <v>28500</v>
      </c>
      <c r="AS6277" s="78">
        <f t="shared" si="102"/>
        <v>1.236842105263158</v>
      </c>
    </row>
    <row r="6278" spans="39:45">
      <c r="AM6278" s="54">
        <v>2019</v>
      </c>
      <c r="AN6278" s="54" t="s">
        <v>190</v>
      </c>
      <c r="AO6278" s="54">
        <v>19</v>
      </c>
      <c r="AP6278" s="54">
        <v>12</v>
      </c>
      <c r="AQ6278" s="54">
        <v>35579.5</v>
      </c>
      <c r="AR6278" s="55">
        <v>28500</v>
      </c>
      <c r="AS6278" s="78">
        <f t="shared" si="102"/>
        <v>1.2484035087719298</v>
      </c>
    </row>
    <row r="6279" spans="39:45">
      <c r="AM6279" s="55">
        <v>2019</v>
      </c>
      <c r="AN6279" s="55" t="s">
        <v>190</v>
      </c>
      <c r="AO6279" s="55">
        <v>19</v>
      </c>
      <c r="AP6279" s="55">
        <v>13</v>
      </c>
      <c r="AQ6279" s="55">
        <v>34352</v>
      </c>
      <c r="AR6279" s="55">
        <v>28500</v>
      </c>
      <c r="AS6279" s="78">
        <f t="shared" si="102"/>
        <v>1.2053333333333334</v>
      </c>
    </row>
    <row r="6280" spans="39:45">
      <c r="AM6280" s="54">
        <v>2019</v>
      </c>
      <c r="AN6280" s="54" t="s">
        <v>190</v>
      </c>
      <c r="AO6280" s="54">
        <v>19</v>
      </c>
      <c r="AP6280" s="54">
        <v>14</v>
      </c>
      <c r="AQ6280" s="54">
        <v>29999</v>
      </c>
      <c r="AR6280" s="55">
        <v>28500</v>
      </c>
      <c r="AS6280" s="78">
        <f t="shared" si="102"/>
        <v>1.0525964912280701</v>
      </c>
    </row>
    <row r="6281" spans="39:45">
      <c r="AM6281" s="55">
        <v>2019</v>
      </c>
      <c r="AN6281" s="55" t="s">
        <v>190</v>
      </c>
      <c r="AO6281" s="55">
        <v>19</v>
      </c>
      <c r="AP6281" s="55">
        <v>15</v>
      </c>
      <c r="AQ6281" s="55">
        <v>22959</v>
      </c>
      <c r="AR6281" s="55">
        <v>28500</v>
      </c>
      <c r="AS6281" s="78">
        <f t="shared" si="102"/>
        <v>0.80557894736842106</v>
      </c>
    </row>
    <row r="6282" spans="39:45">
      <c r="AM6282" s="54">
        <v>2019</v>
      </c>
      <c r="AN6282" s="54" t="s">
        <v>190</v>
      </c>
      <c r="AO6282" s="54">
        <v>19</v>
      </c>
      <c r="AP6282" s="54">
        <v>16</v>
      </c>
      <c r="AQ6282" s="54">
        <v>13180</v>
      </c>
      <c r="AR6282" s="55">
        <v>28500</v>
      </c>
      <c r="AS6282" s="78">
        <f t="shared" si="102"/>
        <v>0.46245614035087718</v>
      </c>
    </row>
    <row r="6283" spans="39:45">
      <c r="AM6283" s="55">
        <v>2019</v>
      </c>
      <c r="AN6283" s="55" t="s">
        <v>190</v>
      </c>
      <c r="AO6283" s="55">
        <v>19</v>
      </c>
      <c r="AP6283" s="55">
        <v>17</v>
      </c>
      <c r="AQ6283" s="55">
        <v>3119.5</v>
      </c>
      <c r="AR6283" s="55">
        <v>28500</v>
      </c>
      <c r="AS6283" s="78">
        <f t="shared" si="102"/>
        <v>0.1094561403508772</v>
      </c>
    </row>
    <row r="6284" spans="39:45">
      <c r="AM6284" s="54">
        <v>2019</v>
      </c>
      <c r="AN6284" s="54" t="s">
        <v>190</v>
      </c>
      <c r="AO6284" s="54">
        <v>19</v>
      </c>
      <c r="AP6284" s="54">
        <v>18</v>
      </c>
      <c r="AQ6284" s="54">
        <v>0</v>
      </c>
      <c r="AR6284" s="55">
        <v>28500</v>
      </c>
      <c r="AS6284" s="78">
        <f t="shared" si="102"/>
        <v>0</v>
      </c>
    </row>
    <row r="6285" spans="39:45">
      <c r="AM6285" s="55">
        <v>2019</v>
      </c>
      <c r="AN6285" s="55" t="s">
        <v>190</v>
      </c>
      <c r="AO6285" s="55">
        <v>19</v>
      </c>
      <c r="AP6285" s="55">
        <v>19</v>
      </c>
      <c r="AQ6285" s="55">
        <v>0</v>
      </c>
      <c r="AR6285" s="55">
        <v>28500</v>
      </c>
      <c r="AS6285" s="78">
        <f t="shared" si="102"/>
        <v>0</v>
      </c>
    </row>
    <row r="6286" spans="39:45">
      <c r="AM6286" s="54">
        <v>2019</v>
      </c>
      <c r="AN6286" s="54" t="s">
        <v>190</v>
      </c>
      <c r="AO6286" s="54">
        <v>19</v>
      </c>
      <c r="AP6286" s="54">
        <v>20</v>
      </c>
      <c r="AQ6286" s="54">
        <v>0</v>
      </c>
      <c r="AR6286" s="55">
        <v>28500</v>
      </c>
      <c r="AS6286" s="78">
        <f t="shared" si="102"/>
        <v>0</v>
      </c>
    </row>
    <row r="6287" spans="39:45">
      <c r="AM6287" s="55">
        <v>2019</v>
      </c>
      <c r="AN6287" s="55" t="s">
        <v>190</v>
      </c>
      <c r="AO6287" s="55">
        <v>19</v>
      </c>
      <c r="AP6287" s="55">
        <v>21</v>
      </c>
      <c r="AQ6287" s="55">
        <v>0</v>
      </c>
      <c r="AR6287" s="55">
        <v>28500</v>
      </c>
      <c r="AS6287" s="78">
        <f t="shared" si="102"/>
        <v>0</v>
      </c>
    </row>
    <row r="6288" spans="39:45">
      <c r="AM6288" s="54">
        <v>2019</v>
      </c>
      <c r="AN6288" s="54" t="s">
        <v>190</v>
      </c>
      <c r="AO6288" s="54">
        <v>19</v>
      </c>
      <c r="AP6288" s="54">
        <v>22</v>
      </c>
      <c r="AQ6288" s="54">
        <v>0</v>
      </c>
      <c r="AR6288" s="55">
        <v>28500</v>
      </c>
      <c r="AS6288" s="78">
        <f t="shared" si="102"/>
        <v>0</v>
      </c>
    </row>
    <row r="6289" spans="39:45">
      <c r="AM6289" s="55">
        <v>2019</v>
      </c>
      <c r="AN6289" s="55" t="s">
        <v>190</v>
      </c>
      <c r="AO6289" s="55">
        <v>19</v>
      </c>
      <c r="AP6289" s="55">
        <v>23</v>
      </c>
      <c r="AQ6289" s="55">
        <v>0</v>
      </c>
      <c r="AR6289" s="55">
        <v>28500</v>
      </c>
      <c r="AS6289" s="78">
        <f t="shared" si="102"/>
        <v>0</v>
      </c>
    </row>
    <row r="6290" spans="39:45">
      <c r="AM6290" s="54">
        <v>2019</v>
      </c>
      <c r="AN6290" s="54" t="s">
        <v>190</v>
      </c>
      <c r="AO6290" s="54">
        <v>20</v>
      </c>
      <c r="AP6290" s="54">
        <v>24</v>
      </c>
      <c r="AQ6290" s="54">
        <v>0</v>
      </c>
      <c r="AR6290" s="55">
        <v>28500</v>
      </c>
      <c r="AS6290" s="78">
        <f t="shared" si="102"/>
        <v>0</v>
      </c>
    </row>
    <row r="6291" spans="39:45">
      <c r="AM6291" s="55">
        <v>2019</v>
      </c>
      <c r="AN6291" s="55" t="s">
        <v>190</v>
      </c>
      <c r="AO6291" s="55">
        <v>20</v>
      </c>
      <c r="AP6291" s="55">
        <v>1</v>
      </c>
      <c r="AQ6291" s="55">
        <v>0</v>
      </c>
      <c r="AR6291" s="55">
        <v>28500</v>
      </c>
      <c r="AS6291" s="78">
        <f t="shared" si="102"/>
        <v>0</v>
      </c>
    </row>
    <row r="6292" spans="39:45">
      <c r="AM6292" s="54">
        <v>2019</v>
      </c>
      <c r="AN6292" s="54" t="s">
        <v>190</v>
      </c>
      <c r="AO6292" s="54">
        <v>20</v>
      </c>
      <c r="AP6292" s="54">
        <v>2</v>
      </c>
      <c r="AQ6292" s="54">
        <v>0</v>
      </c>
      <c r="AR6292" s="55">
        <v>28500</v>
      </c>
      <c r="AS6292" s="78">
        <f t="shared" si="102"/>
        <v>0</v>
      </c>
    </row>
    <row r="6293" spans="39:45">
      <c r="AM6293" s="55">
        <v>2019</v>
      </c>
      <c r="AN6293" s="55" t="s">
        <v>190</v>
      </c>
      <c r="AO6293" s="55">
        <v>20</v>
      </c>
      <c r="AP6293" s="55">
        <v>3</v>
      </c>
      <c r="AQ6293" s="55">
        <v>0</v>
      </c>
      <c r="AR6293" s="55">
        <v>28500</v>
      </c>
      <c r="AS6293" s="78">
        <f t="shared" si="102"/>
        <v>0</v>
      </c>
    </row>
    <row r="6294" spans="39:45">
      <c r="AM6294" s="54">
        <v>2019</v>
      </c>
      <c r="AN6294" s="54" t="s">
        <v>190</v>
      </c>
      <c r="AO6294" s="54">
        <v>20</v>
      </c>
      <c r="AP6294" s="54">
        <v>4</v>
      </c>
      <c r="AQ6294" s="54">
        <v>0</v>
      </c>
      <c r="AR6294" s="55">
        <v>28500</v>
      </c>
      <c r="AS6294" s="78">
        <f t="shared" si="102"/>
        <v>0</v>
      </c>
    </row>
    <row r="6295" spans="39:45">
      <c r="AM6295" s="55">
        <v>2019</v>
      </c>
      <c r="AN6295" s="55" t="s">
        <v>190</v>
      </c>
      <c r="AO6295" s="55">
        <v>20</v>
      </c>
      <c r="AP6295" s="55">
        <v>5</v>
      </c>
      <c r="AQ6295" s="55">
        <v>0</v>
      </c>
      <c r="AR6295" s="55">
        <v>28500</v>
      </c>
      <c r="AS6295" s="78">
        <f t="shared" si="102"/>
        <v>0</v>
      </c>
    </row>
    <row r="6296" spans="39:45">
      <c r="AM6296" s="54">
        <v>2019</v>
      </c>
      <c r="AN6296" s="54" t="s">
        <v>190</v>
      </c>
      <c r="AO6296" s="54">
        <v>20</v>
      </c>
      <c r="AP6296" s="54">
        <v>6</v>
      </c>
      <c r="AQ6296" s="54">
        <v>529.5</v>
      </c>
      <c r="AR6296" s="55">
        <v>28500</v>
      </c>
      <c r="AS6296" s="78">
        <f t="shared" si="102"/>
        <v>1.8578947368421053E-2</v>
      </c>
    </row>
    <row r="6297" spans="39:45">
      <c r="AM6297" s="55">
        <v>2019</v>
      </c>
      <c r="AN6297" s="55" t="s">
        <v>190</v>
      </c>
      <c r="AO6297" s="55">
        <v>20</v>
      </c>
      <c r="AP6297" s="55">
        <v>7</v>
      </c>
      <c r="AQ6297" s="55">
        <v>9283</v>
      </c>
      <c r="AR6297" s="55">
        <v>28500</v>
      </c>
      <c r="AS6297" s="78">
        <f t="shared" si="102"/>
        <v>0.32571929824561402</v>
      </c>
    </row>
    <row r="6298" spans="39:45">
      <c r="AM6298" s="54">
        <v>2019</v>
      </c>
      <c r="AN6298" s="54" t="s">
        <v>190</v>
      </c>
      <c r="AO6298" s="54">
        <v>20</v>
      </c>
      <c r="AP6298" s="54">
        <v>8</v>
      </c>
      <c r="AQ6298" s="54">
        <v>20015.5</v>
      </c>
      <c r="AR6298" s="55">
        <v>28500</v>
      </c>
      <c r="AS6298" s="78">
        <f t="shared" si="102"/>
        <v>0.70229824561403509</v>
      </c>
    </row>
    <row r="6299" spans="39:45">
      <c r="AM6299" s="55">
        <v>2019</v>
      </c>
      <c r="AN6299" s="55" t="s">
        <v>190</v>
      </c>
      <c r="AO6299" s="55">
        <v>20</v>
      </c>
      <c r="AP6299" s="55">
        <v>9</v>
      </c>
      <c r="AQ6299" s="55">
        <v>28370</v>
      </c>
      <c r="AR6299" s="55">
        <v>28500</v>
      </c>
      <c r="AS6299" s="78">
        <f t="shared" si="102"/>
        <v>0.99543859649122812</v>
      </c>
    </row>
    <row r="6300" spans="39:45">
      <c r="AM6300" s="54">
        <v>2019</v>
      </c>
      <c r="AN6300" s="54" t="s">
        <v>190</v>
      </c>
      <c r="AO6300" s="54">
        <v>20</v>
      </c>
      <c r="AP6300" s="54">
        <v>10</v>
      </c>
      <c r="AQ6300" s="54">
        <v>35033</v>
      </c>
      <c r="AR6300" s="55">
        <v>28500</v>
      </c>
      <c r="AS6300" s="78">
        <f t="shared" si="102"/>
        <v>1.2292280701754386</v>
      </c>
    </row>
    <row r="6301" spans="39:45">
      <c r="AM6301" s="55">
        <v>2019</v>
      </c>
      <c r="AN6301" s="55" t="s">
        <v>190</v>
      </c>
      <c r="AO6301" s="55">
        <v>20</v>
      </c>
      <c r="AP6301" s="55">
        <v>11</v>
      </c>
      <c r="AQ6301" s="55">
        <v>36864.5</v>
      </c>
      <c r="AR6301" s="55">
        <v>28500</v>
      </c>
      <c r="AS6301" s="78">
        <f t="shared" si="102"/>
        <v>1.2934912280701754</v>
      </c>
    </row>
    <row r="6302" spans="39:45">
      <c r="AM6302" s="54">
        <v>2019</v>
      </c>
      <c r="AN6302" s="54" t="s">
        <v>190</v>
      </c>
      <c r="AO6302" s="54">
        <v>20</v>
      </c>
      <c r="AP6302" s="54">
        <v>12</v>
      </c>
      <c r="AQ6302" s="54">
        <v>37616</v>
      </c>
      <c r="AR6302" s="55">
        <v>28500</v>
      </c>
      <c r="AS6302" s="78">
        <f t="shared" si="102"/>
        <v>1.319859649122807</v>
      </c>
    </row>
    <row r="6303" spans="39:45">
      <c r="AM6303" s="55">
        <v>2019</v>
      </c>
      <c r="AN6303" s="55" t="s">
        <v>190</v>
      </c>
      <c r="AO6303" s="55">
        <v>20</v>
      </c>
      <c r="AP6303" s="55">
        <v>13</v>
      </c>
      <c r="AQ6303" s="55">
        <v>36116</v>
      </c>
      <c r="AR6303" s="55">
        <v>28500</v>
      </c>
      <c r="AS6303" s="78">
        <f t="shared" si="102"/>
        <v>1.2672280701754386</v>
      </c>
    </row>
    <row r="6304" spans="39:45">
      <c r="AM6304" s="54">
        <v>2019</v>
      </c>
      <c r="AN6304" s="54" t="s">
        <v>190</v>
      </c>
      <c r="AO6304" s="54">
        <v>20</v>
      </c>
      <c r="AP6304" s="54">
        <v>14</v>
      </c>
      <c r="AQ6304" s="54">
        <v>31286.5</v>
      </c>
      <c r="AR6304" s="55">
        <v>28500</v>
      </c>
      <c r="AS6304" s="78">
        <f t="shared" si="102"/>
        <v>1.0977719298245614</v>
      </c>
    </row>
    <row r="6305" spans="39:45">
      <c r="AM6305" s="55">
        <v>2019</v>
      </c>
      <c r="AN6305" s="55" t="s">
        <v>190</v>
      </c>
      <c r="AO6305" s="55">
        <v>20</v>
      </c>
      <c r="AP6305" s="55">
        <v>15</v>
      </c>
      <c r="AQ6305" s="55">
        <v>23601</v>
      </c>
      <c r="AR6305" s="55">
        <v>28500</v>
      </c>
      <c r="AS6305" s="78">
        <f t="shared" si="102"/>
        <v>0.82810526315789479</v>
      </c>
    </row>
    <row r="6306" spans="39:45">
      <c r="AM6306" s="54">
        <v>2019</v>
      </c>
      <c r="AN6306" s="54" t="s">
        <v>190</v>
      </c>
      <c r="AO6306" s="54">
        <v>20</v>
      </c>
      <c r="AP6306" s="54">
        <v>16</v>
      </c>
      <c r="AQ6306" s="54">
        <v>13494.5</v>
      </c>
      <c r="AR6306" s="55">
        <v>28500</v>
      </c>
      <c r="AS6306" s="78">
        <f t="shared" si="102"/>
        <v>0.47349122807017546</v>
      </c>
    </row>
    <row r="6307" spans="39:45">
      <c r="AM6307" s="55">
        <v>2019</v>
      </c>
      <c r="AN6307" s="55" t="s">
        <v>190</v>
      </c>
      <c r="AO6307" s="55">
        <v>20</v>
      </c>
      <c r="AP6307" s="55">
        <v>17</v>
      </c>
      <c r="AQ6307" s="55">
        <v>2956.5</v>
      </c>
      <c r="AR6307" s="55">
        <v>28500</v>
      </c>
      <c r="AS6307" s="78">
        <f t="shared" si="102"/>
        <v>0.10373684210526316</v>
      </c>
    </row>
    <row r="6308" spans="39:45">
      <c r="AM6308" s="54">
        <v>2019</v>
      </c>
      <c r="AN6308" s="54" t="s">
        <v>190</v>
      </c>
      <c r="AO6308" s="54">
        <v>20</v>
      </c>
      <c r="AP6308" s="54">
        <v>18</v>
      </c>
      <c r="AQ6308" s="54">
        <v>0</v>
      </c>
      <c r="AR6308" s="55">
        <v>28500</v>
      </c>
      <c r="AS6308" s="78">
        <f t="shared" si="102"/>
        <v>0</v>
      </c>
    </row>
    <row r="6309" spans="39:45">
      <c r="AM6309" s="55">
        <v>2019</v>
      </c>
      <c r="AN6309" s="55" t="s">
        <v>190</v>
      </c>
      <c r="AO6309" s="55">
        <v>20</v>
      </c>
      <c r="AP6309" s="55">
        <v>19</v>
      </c>
      <c r="AQ6309" s="55">
        <v>0</v>
      </c>
      <c r="AR6309" s="55">
        <v>28500</v>
      </c>
      <c r="AS6309" s="78">
        <f t="shared" si="102"/>
        <v>0</v>
      </c>
    </row>
    <row r="6310" spans="39:45">
      <c r="AM6310" s="54">
        <v>2019</v>
      </c>
      <c r="AN6310" s="54" t="s">
        <v>190</v>
      </c>
      <c r="AO6310" s="54">
        <v>20</v>
      </c>
      <c r="AP6310" s="54">
        <v>20</v>
      </c>
      <c r="AQ6310" s="54">
        <v>0</v>
      </c>
      <c r="AR6310" s="55">
        <v>28500</v>
      </c>
      <c r="AS6310" s="78">
        <f t="shared" si="102"/>
        <v>0</v>
      </c>
    </row>
    <row r="6311" spans="39:45">
      <c r="AM6311" s="55">
        <v>2019</v>
      </c>
      <c r="AN6311" s="55" t="s">
        <v>190</v>
      </c>
      <c r="AO6311" s="55">
        <v>20</v>
      </c>
      <c r="AP6311" s="55">
        <v>21</v>
      </c>
      <c r="AQ6311" s="55">
        <v>0</v>
      </c>
      <c r="AR6311" s="55">
        <v>28500</v>
      </c>
      <c r="AS6311" s="78">
        <f t="shared" si="102"/>
        <v>0</v>
      </c>
    </row>
    <row r="6312" spans="39:45">
      <c r="AM6312" s="54">
        <v>2019</v>
      </c>
      <c r="AN6312" s="54" t="s">
        <v>190</v>
      </c>
      <c r="AO6312" s="54">
        <v>20</v>
      </c>
      <c r="AP6312" s="54">
        <v>22</v>
      </c>
      <c r="AQ6312" s="54">
        <v>0</v>
      </c>
      <c r="AR6312" s="55">
        <v>28500</v>
      </c>
      <c r="AS6312" s="78">
        <f t="shared" si="102"/>
        <v>0</v>
      </c>
    </row>
    <row r="6313" spans="39:45">
      <c r="AM6313" s="55">
        <v>2019</v>
      </c>
      <c r="AN6313" s="55" t="s">
        <v>190</v>
      </c>
      <c r="AO6313" s="55">
        <v>20</v>
      </c>
      <c r="AP6313" s="55">
        <v>23</v>
      </c>
      <c r="AQ6313" s="55">
        <v>0</v>
      </c>
      <c r="AR6313" s="55">
        <v>28500</v>
      </c>
      <c r="AS6313" s="78">
        <f t="shared" si="102"/>
        <v>0</v>
      </c>
    </row>
    <row r="6314" spans="39:45">
      <c r="AM6314" s="54">
        <v>2019</v>
      </c>
      <c r="AN6314" s="54" t="s">
        <v>190</v>
      </c>
      <c r="AO6314" s="54">
        <v>21</v>
      </c>
      <c r="AP6314" s="54">
        <v>24</v>
      </c>
      <c r="AQ6314" s="54">
        <v>0</v>
      </c>
      <c r="AR6314" s="55">
        <v>28500</v>
      </c>
      <c r="AS6314" s="78">
        <f t="shared" si="102"/>
        <v>0</v>
      </c>
    </row>
    <row r="6315" spans="39:45">
      <c r="AM6315" s="55">
        <v>2019</v>
      </c>
      <c r="AN6315" s="55" t="s">
        <v>190</v>
      </c>
      <c r="AO6315" s="55">
        <v>21</v>
      </c>
      <c r="AP6315" s="55">
        <v>1</v>
      </c>
      <c r="AQ6315" s="55">
        <v>0</v>
      </c>
      <c r="AR6315" s="55">
        <v>28500</v>
      </c>
      <c r="AS6315" s="78">
        <f t="shared" si="102"/>
        <v>0</v>
      </c>
    </row>
    <row r="6316" spans="39:45">
      <c r="AM6316" s="54">
        <v>2019</v>
      </c>
      <c r="AN6316" s="54" t="s">
        <v>190</v>
      </c>
      <c r="AO6316" s="54">
        <v>21</v>
      </c>
      <c r="AP6316" s="54">
        <v>2</v>
      </c>
      <c r="AQ6316" s="54">
        <v>0</v>
      </c>
      <c r="AR6316" s="55">
        <v>28500</v>
      </c>
      <c r="AS6316" s="78">
        <f t="shared" si="102"/>
        <v>0</v>
      </c>
    </row>
    <row r="6317" spans="39:45">
      <c r="AM6317" s="55">
        <v>2019</v>
      </c>
      <c r="AN6317" s="55" t="s">
        <v>190</v>
      </c>
      <c r="AO6317" s="55">
        <v>21</v>
      </c>
      <c r="AP6317" s="55">
        <v>3</v>
      </c>
      <c r="AQ6317" s="55">
        <v>0</v>
      </c>
      <c r="AR6317" s="55">
        <v>28500</v>
      </c>
      <c r="AS6317" s="78">
        <f t="shared" si="102"/>
        <v>0</v>
      </c>
    </row>
    <row r="6318" spans="39:45">
      <c r="AM6318" s="54">
        <v>2019</v>
      </c>
      <c r="AN6318" s="54" t="s">
        <v>190</v>
      </c>
      <c r="AO6318" s="54">
        <v>21</v>
      </c>
      <c r="AP6318" s="54">
        <v>4</v>
      </c>
      <c r="AQ6318" s="54">
        <v>0</v>
      </c>
      <c r="AR6318" s="55">
        <v>28500</v>
      </c>
      <c r="AS6318" s="78">
        <f t="shared" si="102"/>
        <v>0</v>
      </c>
    </row>
    <row r="6319" spans="39:45">
      <c r="AM6319" s="55">
        <v>2019</v>
      </c>
      <c r="AN6319" s="55" t="s">
        <v>190</v>
      </c>
      <c r="AO6319" s="55">
        <v>21</v>
      </c>
      <c r="AP6319" s="55">
        <v>5</v>
      </c>
      <c r="AQ6319" s="55">
        <v>0</v>
      </c>
      <c r="AR6319" s="55">
        <v>28500</v>
      </c>
      <c r="AS6319" s="78">
        <f t="shared" si="102"/>
        <v>0</v>
      </c>
    </row>
    <row r="6320" spans="39:45">
      <c r="AM6320" s="54">
        <v>2019</v>
      </c>
      <c r="AN6320" s="54" t="s">
        <v>190</v>
      </c>
      <c r="AO6320" s="54">
        <v>21</v>
      </c>
      <c r="AP6320" s="54">
        <v>6</v>
      </c>
      <c r="AQ6320" s="54">
        <v>444</v>
      </c>
      <c r="AR6320" s="55">
        <v>28500</v>
      </c>
      <c r="AS6320" s="78">
        <f t="shared" si="102"/>
        <v>1.5578947368421053E-2</v>
      </c>
    </row>
    <row r="6321" spans="39:45">
      <c r="AM6321" s="55">
        <v>2019</v>
      </c>
      <c r="AN6321" s="55" t="s">
        <v>190</v>
      </c>
      <c r="AO6321" s="55">
        <v>21</v>
      </c>
      <c r="AP6321" s="55">
        <v>7</v>
      </c>
      <c r="AQ6321" s="55">
        <v>8882.5</v>
      </c>
      <c r="AR6321" s="55">
        <v>28500</v>
      </c>
      <c r="AS6321" s="78">
        <f t="shared" si="102"/>
        <v>0.31166666666666665</v>
      </c>
    </row>
    <row r="6322" spans="39:45">
      <c r="AM6322" s="54">
        <v>2019</v>
      </c>
      <c r="AN6322" s="54" t="s">
        <v>190</v>
      </c>
      <c r="AO6322" s="54">
        <v>21</v>
      </c>
      <c r="AP6322" s="54">
        <v>8</v>
      </c>
      <c r="AQ6322" s="54">
        <v>19590.5</v>
      </c>
      <c r="AR6322" s="55">
        <v>28500</v>
      </c>
      <c r="AS6322" s="78">
        <f t="shared" si="102"/>
        <v>0.68738596491228066</v>
      </c>
    </row>
    <row r="6323" spans="39:45">
      <c r="AM6323" s="55">
        <v>2019</v>
      </c>
      <c r="AN6323" s="55" t="s">
        <v>190</v>
      </c>
      <c r="AO6323" s="55">
        <v>21</v>
      </c>
      <c r="AP6323" s="55">
        <v>9</v>
      </c>
      <c r="AQ6323" s="55">
        <v>27741.5</v>
      </c>
      <c r="AR6323" s="55">
        <v>28500</v>
      </c>
      <c r="AS6323" s="78">
        <f t="shared" si="102"/>
        <v>0.97338596491228069</v>
      </c>
    </row>
    <row r="6324" spans="39:45">
      <c r="AM6324" s="54">
        <v>2019</v>
      </c>
      <c r="AN6324" s="54" t="s">
        <v>190</v>
      </c>
      <c r="AO6324" s="54">
        <v>21</v>
      </c>
      <c r="AP6324" s="54">
        <v>10</v>
      </c>
      <c r="AQ6324" s="54">
        <v>33278</v>
      </c>
      <c r="AR6324" s="55">
        <v>28500</v>
      </c>
      <c r="AS6324" s="78">
        <f t="shared" si="102"/>
        <v>1.1676491228070176</v>
      </c>
    </row>
    <row r="6325" spans="39:45">
      <c r="AM6325" s="55">
        <v>2019</v>
      </c>
      <c r="AN6325" s="55" t="s">
        <v>190</v>
      </c>
      <c r="AO6325" s="55">
        <v>21</v>
      </c>
      <c r="AP6325" s="55">
        <v>11</v>
      </c>
      <c r="AQ6325" s="55">
        <v>35752.5</v>
      </c>
      <c r="AR6325" s="55">
        <v>28500</v>
      </c>
      <c r="AS6325" s="78">
        <f t="shared" si="102"/>
        <v>1.2544736842105264</v>
      </c>
    </row>
    <row r="6326" spans="39:45">
      <c r="AM6326" s="54">
        <v>2019</v>
      </c>
      <c r="AN6326" s="54" t="s">
        <v>190</v>
      </c>
      <c r="AO6326" s="54">
        <v>21</v>
      </c>
      <c r="AP6326" s="54">
        <v>12</v>
      </c>
      <c r="AQ6326" s="54">
        <v>36325.5</v>
      </c>
      <c r="AR6326" s="55">
        <v>28500</v>
      </c>
      <c r="AS6326" s="78">
        <f t="shared" si="102"/>
        <v>1.274578947368421</v>
      </c>
    </row>
    <row r="6327" spans="39:45">
      <c r="AM6327" s="55">
        <v>2019</v>
      </c>
      <c r="AN6327" s="55" t="s">
        <v>190</v>
      </c>
      <c r="AO6327" s="55">
        <v>21</v>
      </c>
      <c r="AP6327" s="55">
        <v>13</v>
      </c>
      <c r="AQ6327" s="55">
        <v>34771</v>
      </c>
      <c r="AR6327" s="55">
        <v>28500</v>
      </c>
      <c r="AS6327" s="78">
        <f t="shared" si="102"/>
        <v>1.2200350877192983</v>
      </c>
    </row>
    <row r="6328" spans="39:45">
      <c r="AM6328" s="54">
        <v>2019</v>
      </c>
      <c r="AN6328" s="54" t="s">
        <v>190</v>
      </c>
      <c r="AO6328" s="54">
        <v>21</v>
      </c>
      <c r="AP6328" s="54">
        <v>14</v>
      </c>
      <c r="AQ6328" s="54">
        <v>30011.5</v>
      </c>
      <c r="AR6328" s="55">
        <v>28500</v>
      </c>
      <c r="AS6328" s="78">
        <f t="shared" si="102"/>
        <v>1.0530350877192982</v>
      </c>
    </row>
    <row r="6329" spans="39:45">
      <c r="AM6329" s="55">
        <v>2019</v>
      </c>
      <c r="AN6329" s="55" t="s">
        <v>190</v>
      </c>
      <c r="AO6329" s="55">
        <v>21</v>
      </c>
      <c r="AP6329" s="55">
        <v>15</v>
      </c>
      <c r="AQ6329" s="55">
        <v>22258</v>
      </c>
      <c r="AR6329" s="55">
        <v>28500</v>
      </c>
      <c r="AS6329" s="78">
        <f t="shared" si="102"/>
        <v>0.78098245614035089</v>
      </c>
    </row>
    <row r="6330" spans="39:45">
      <c r="AM6330" s="54">
        <v>2019</v>
      </c>
      <c r="AN6330" s="54" t="s">
        <v>190</v>
      </c>
      <c r="AO6330" s="54">
        <v>21</v>
      </c>
      <c r="AP6330" s="54">
        <v>16</v>
      </c>
      <c r="AQ6330" s="54">
        <v>12547</v>
      </c>
      <c r="AR6330" s="55">
        <v>28500</v>
      </c>
      <c r="AS6330" s="78">
        <f t="shared" si="102"/>
        <v>0.44024561403508772</v>
      </c>
    </row>
    <row r="6331" spans="39:45">
      <c r="AM6331" s="55">
        <v>2019</v>
      </c>
      <c r="AN6331" s="55" t="s">
        <v>190</v>
      </c>
      <c r="AO6331" s="55">
        <v>21</v>
      </c>
      <c r="AP6331" s="55">
        <v>17</v>
      </c>
      <c r="AQ6331" s="55">
        <v>2769.5</v>
      </c>
      <c r="AR6331" s="55">
        <v>28500</v>
      </c>
      <c r="AS6331" s="78">
        <f t="shared" si="102"/>
        <v>9.7175438596491234E-2</v>
      </c>
    </row>
    <row r="6332" spans="39:45">
      <c r="AM6332" s="54">
        <v>2019</v>
      </c>
      <c r="AN6332" s="54" t="s">
        <v>190</v>
      </c>
      <c r="AO6332" s="54">
        <v>21</v>
      </c>
      <c r="AP6332" s="54">
        <v>18</v>
      </c>
      <c r="AQ6332" s="54">
        <v>0</v>
      </c>
      <c r="AR6332" s="55">
        <v>28500</v>
      </c>
      <c r="AS6332" s="78">
        <f t="shared" si="102"/>
        <v>0</v>
      </c>
    </row>
    <row r="6333" spans="39:45">
      <c r="AM6333" s="55">
        <v>2019</v>
      </c>
      <c r="AN6333" s="55" t="s">
        <v>190</v>
      </c>
      <c r="AO6333" s="55">
        <v>21</v>
      </c>
      <c r="AP6333" s="55">
        <v>19</v>
      </c>
      <c r="AQ6333" s="55">
        <v>0</v>
      </c>
      <c r="AR6333" s="55">
        <v>28500</v>
      </c>
      <c r="AS6333" s="78">
        <f t="shared" si="102"/>
        <v>0</v>
      </c>
    </row>
    <row r="6334" spans="39:45">
      <c r="AM6334" s="54">
        <v>2019</v>
      </c>
      <c r="AN6334" s="54" t="s">
        <v>190</v>
      </c>
      <c r="AO6334" s="54">
        <v>21</v>
      </c>
      <c r="AP6334" s="54">
        <v>20</v>
      </c>
      <c r="AQ6334" s="54">
        <v>0</v>
      </c>
      <c r="AR6334" s="55">
        <v>28500</v>
      </c>
      <c r="AS6334" s="78">
        <f t="shared" si="102"/>
        <v>0</v>
      </c>
    </row>
    <row r="6335" spans="39:45">
      <c r="AM6335" s="55">
        <v>2019</v>
      </c>
      <c r="AN6335" s="55" t="s">
        <v>190</v>
      </c>
      <c r="AO6335" s="55">
        <v>21</v>
      </c>
      <c r="AP6335" s="55">
        <v>21</v>
      </c>
      <c r="AQ6335" s="55">
        <v>0</v>
      </c>
      <c r="AR6335" s="55">
        <v>28500</v>
      </c>
      <c r="AS6335" s="78">
        <f t="shared" si="102"/>
        <v>0</v>
      </c>
    </row>
    <row r="6336" spans="39:45">
      <c r="AM6336" s="54">
        <v>2019</v>
      </c>
      <c r="AN6336" s="54" t="s">
        <v>190</v>
      </c>
      <c r="AO6336" s="54">
        <v>21</v>
      </c>
      <c r="AP6336" s="54">
        <v>22</v>
      </c>
      <c r="AQ6336" s="54">
        <v>0</v>
      </c>
      <c r="AR6336" s="55">
        <v>28500</v>
      </c>
      <c r="AS6336" s="78">
        <f t="shared" si="102"/>
        <v>0</v>
      </c>
    </row>
    <row r="6337" spans="39:45">
      <c r="AM6337" s="55">
        <v>2019</v>
      </c>
      <c r="AN6337" s="55" t="s">
        <v>190</v>
      </c>
      <c r="AO6337" s="55">
        <v>21</v>
      </c>
      <c r="AP6337" s="55">
        <v>23</v>
      </c>
      <c r="AQ6337" s="55">
        <v>0</v>
      </c>
      <c r="AR6337" s="55">
        <v>28500</v>
      </c>
      <c r="AS6337" s="78">
        <f t="shared" si="102"/>
        <v>0</v>
      </c>
    </row>
    <row r="6338" spans="39:45">
      <c r="AM6338" s="54">
        <v>2019</v>
      </c>
      <c r="AN6338" s="54" t="s">
        <v>190</v>
      </c>
      <c r="AO6338" s="54">
        <v>22</v>
      </c>
      <c r="AP6338" s="54">
        <v>24</v>
      </c>
      <c r="AQ6338" s="54">
        <v>0</v>
      </c>
      <c r="AR6338" s="55">
        <v>28500</v>
      </c>
      <c r="AS6338" s="78">
        <f t="shared" ref="AS6338:AS6401" si="103">AQ6338/AR6338</f>
        <v>0</v>
      </c>
    </row>
    <row r="6339" spans="39:45">
      <c r="AM6339" s="55">
        <v>2019</v>
      </c>
      <c r="AN6339" s="55" t="s">
        <v>190</v>
      </c>
      <c r="AO6339" s="55">
        <v>22</v>
      </c>
      <c r="AP6339" s="55">
        <v>1</v>
      </c>
      <c r="AQ6339" s="55">
        <v>0</v>
      </c>
      <c r="AR6339" s="55">
        <v>28500</v>
      </c>
      <c r="AS6339" s="78">
        <f t="shared" si="103"/>
        <v>0</v>
      </c>
    </row>
    <row r="6340" spans="39:45">
      <c r="AM6340" s="54">
        <v>2019</v>
      </c>
      <c r="AN6340" s="54" t="s">
        <v>190</v>
      </c>
      <c r="AO6340" s="54">
        <v>22</v>
      </c>
      <c r="AP6340" s="54">
        <v>2</v>
      </c>
      <c r="AQ6340" s="54">
        <v>0</v>
      </c>
      <c r="AR6340" s="55">
        <v>28500</v>
      </c>
      <c r="AS6340" s="78">
        <f t="shared" si="103"/>
        <v>0</v>
      </c>
    </row>
    <row r="6341" spans="39:45">
      <c r="AM6341" s="55">
        <v>2019</v>
      </c>
      <c r="AN6341" s="55" t="s">
        <v>190</v>
      </c>
      <c r="AO6341" s="55">
        <v>22</v>
      </c>
      <c r="AP6341" s="55">
        <v>3</v>
      </c>
      <c r="AQ6341" s="55">
        <v>0</v>
      </c>
      <c r="AR6341" s="55">
        <v>28500</v>
      </c>
      <c r="AS6341" s="78">
        <f t="shared" si="103"/>
        <v>0</v>
      </c>
    </row>
    <row r="6342" spans="39:45">
      <c r="AM6342" s="54">
        <v>2019</v>
      </c>
      <c r="AN6342" s="54" t="s">
        <v>190</v>
      </c>
      <c r="AO6342" s="54">
        <v>22</v>
      </c>
      <c r="AP6342" s="54">
        <v>4</v>
      </c>
      <c r="AQ6342" s="54">
        <v>0</v>
      </c>
      <c r="AR6342" s="55">
        <v>28500</v>
      </c>
      <c r="AS6342" s="78">
        <f t="shared" si="103"/>
        <v>0</v>
      </c>
    </row>
    <row r="6343" spans="39:45">
      <c r="AM6343" s="55">
        <v>2019</v>
      </c>
      <c r="AN6343" s="55" t="s">
        <v>190</v>
      </c>
      <c r="AO6343" s="55">
        <v>22</v>
      </c>
      <c r="AP6343" s="55">
        <v>5</v>
      </c>
      <c r="AQ6343" s="55">
        <v>0</v>
      </c>
      <c r="AR6343" s="55">
        <v>28500</v>
      </c>
      <c r="AS6343" s="78">
        <f t="shared" si="103"/>
        <v>0</v>
      </c>
    </row>
    <row r="6344" spans="39:45">
      <c r="AM6344" s="54">
        <v>2019</v>
      </c>
      <c r="AN6344" s="54" t="s">
        <v>190</v>
      </c>
      <c r="AO6344" s="54">
        <v>22</v>
      </c>
      <c r="AP6344" s="54">
        <v>6</v>
      </c>
      <c r="AQ6344" s="54">
        <v>112</v>
      </c>
      <c r="AR6344" s="55">
        <v>28500</v>
      </c>
      <c r="AS6344" s="78">
        <f t="shared" si="103"/>
        <v>3.9298245614035089E-3</v>
      </c>
    </row>
    <row r="6345" spans="39:45">
      <c r="AM6345" s="55">
        <v>2019</v>
      </c>
      <c r="AN6345" s="55" t="s">
        <v>190</v>
      </c>
      <c r="AO6345" s="55">
        <v>22</v>
      </c>
      <c r="AP6345" s="55">
        <v>7</v>
      </c>
      <c r="AQ6345" s="55">
        <v>3664</v>
      </c>
      <c r="AR6345" s="55">
        <v>28500</v>
      </c>
      <c r="AS6345" s="78">
        <f t="shared" si="103"/>
        <v>0.12856140350877193</v>
      </c>
    </row>
    <row r="6346" spans="39:45">
      <c r="AM6346" s="54">
        <v>2019</v>
      </c>
      <c r="AN6346" s="54" t="s">
        <v>190</v>
      </c>
      <c r="AO6346" s="54">
        <v>22</v>
      </c>
      <c r="AP6346" s="54">
        <v>8</v>
      </c>
      <c r="AQ6346" s="54">
        <v>5524</v>
      </c>
      <c r="AR6346" s="55">
        <v>28500</v>
      </c>
      <c r="AS6346" s="78">
        <f t="shared" si="103"/>
        <v>0.19382456140350876</v>
      </c>
    </row>
    <row r="6347" spans="39:45">
      <c r="AM6347" s="55">
        <v>2019</v>
      </c>
      <c r="AN6347" s="55" t="s">
        <v>190</v>
      </c>
      <c r="AO6347" s="55">
        <v>22</v>
      </c>
      <c r="AP6347" s="55">
        <v>9</v>
      </c>
      <c r="AQ6347" s="55">
        <v>21052</v>
      </c>
      <c r="AR6347" s="55">
        <v>28500</v>
      </c>
      <c r="AS6347" s="78">
        <f t="shared" si="103"/>
        <v>0.73866666666666669</v>
      </c>
    </row>
    <row r="6348" spans="39:45">
      <c r="AM6348" s="54">
        <v>2019</v>
      </c>
      <c r="AN6348" s="54" t="s">
        <v>190</v>
      </c>
      <c r="AO6348" s="54">
        <v>22</v>
      </c>
      <c r="AP6348" s="54">
        <v>10</v>
      </c>
      <c r="AQ6348" s="54">
        <v>23341.5</v>
      </c>
      <c r="AR6348" s="55">
        <v>28500</v>
      </c>
      <c r="AS6348" s="78">
        <f t="shared" si="103"/>
        <v>0.81899999999999995</v>
      </c>
    </row>
    <row r="6349" spans="39:45">
      <c r="AM6349" s="55">
        <v>2019</v>
      </c>
      <c r="AN6349" s="55" t="s">
        <v>190</v>
      </c>
      <c r="AO6349" s="55">
        <v>22</v>
      </c>
      <c r="AP6349" s="55">
        <v>11</v>
      </c>
      <c r="AQ6349" s="55">
        <v>6603.5</v>
      </c>
      <c r="AR6349" s="55">
        <v>28500</v>
      </c>
      <c r="AS6349" s="78">
        <f t="shared" si="103"/>
        <v>0.23170175438596491</v>
      </c>
    </row>
    <row r="6350" spans="39:45">
      <c r="AM6350" s="54">
        <v>2019</v>
      </c>
      <c r="AN6350" s="54" t="s">
        <v>190</v>
      </c>
      <c r="AO6350" s="54">
        <v>22</v>
      </c>
      <c r="AP6350" s="54">
        <v>12</v>
      </c>
      <c r="AQ6350" s="54">
        <v>1808</v>
      </c>
      <c r="AR6350" s="55">
        <v>28500</v>
      </c>
      <c r="AS6350" s="78">
        <f t="shared" si="103"/>
        <v>6.3438596491228072E-2</v>
      </c>
    </row>
    <row r="6351" spans="39:45">
      <c r="AM6351" s="55">
        <v>2019</v>
      </c>
      <c r="AN6351" s="55" t="s">
        <v>190</v>
      </c>
      <c r="AO6351" s="55">
        <v>22</v>
      </c>
      <c r="AP6351" s="55">
        <v>13</v>
      </c>
      <c r="AQ6351" s="55">
        <v>7156</v>
      </c>
      <c r="AR6351" s="55">
        <v>28500</v>
      </c>
      <c r="AS6351" s="78">
        <f t="shared" si="103"/>
        <v>0.25108771929824564</v>
      </c>
    </row>
    <row r="6352" spans="39:45">
      <c r="AM6352" s="54">
        <v>2019</v>
      </c>
      <c r="AN6352" s="54" t="s">
        <v>190</v>
      </c>
      <c r="AO6352" s="54">
        <v>22</v>
      </c>
      <c r="AP6352" s="54">
        <v>14</v>
      </c>
      <c r="AQ6352" s="54">
        <v>3810.5</v>
      </c>
      <c r="AR6352" s="55">
        <v>28500</v>
      </c>
      <c r="AS6352" s="78">
        <f t="shared" si="103"/>
        <v>0.1337017543859649</v>
      </c>
    </row>
    <row r="6353" spans="39:45">
      <c r="AM6353" s="55">
        <v>2019</v>
      </c>
      <c r="AN6353" s="55" t="s">
        <v>190</v>
      </c>
      <c r="AO6353" s="55">
        <v>22</v>
      </c>
      <c r="AP6353" s="55">
        <v>15</v>
      </c>
      <c r="AQ6353" s="55">
        <v>2623.5</v>
      </c>
      <c r="AR6353" s="55">
        <v>28500</v>
      </c>
      <c r="AS6353" s="78">
        <f t="shared" si="103"/>
        <v>9.2052631578947372E-2</v>
      </c>
    </row>
    <row r="6354" spans="39:45">
      <c r="AM6354" s="54">
        <v>2019</v>
      </c>
      <c r="AN6354" s="54" t="s">
        <v>190</v>
      </c>
      <c r="AO6354" s="54">
        <v>22</v>
      </c>
      <c r="AP6354" s="54">
        <v>16</v>
      </c>
      <c r="AQ6354" s="54">
        <v>996.5</v>
      </c>
      <c r="AR6354" s="55">
        <v>28500</v>
      </c>
      <c r="AS6354" s="78">
        <f t="shared" si="103"/>
        <v>3.4964912280701754E-2</v>
      </c>
    </row>
    <row r="6355" spans="39:45">
      <c r="AM6355" s="55">
        <v>2019</v>
      </c>
      <c r="AN6355" s="55" t="s">
        <v>190</v>
      </c>
      <c r="AO6355" s="55">
        <v>22</v>
      </c>
      <c r="AP6355" s="55">
        <v>17</v>
      </c>
      <c r="AQ6355" s="55">
        <v>184</v>
      </c>
      <c r="AR6355" s="55">
        <v>28500</v>
      </c>
      <c r="AS6355" s="78">
        <f t="shared" si="103"/>
        <v>6.4561403508771927E-3</v>
      </c>
    </row>
    <row r="6356" spans="39:45">
      <c r="AM6356" s="54">
        <v>2019</v>
      </c>
      <c r="AN6356" s="54" t="s">
        <v>190</v>
      </c>
      <c r="AO6356" s="54">
        <v>22</v>
      </c>
      <c r="AP6356" s="54">
        <v>18</v>
      </c>
      <c r="AQ6356" s="54">
        <v>0</v>
      </c>
      <c r="AR6356" s="55">
        <v>28500</v>
      </c>
      <c r="AS6356" s="78">
        <f t="shared" si="103"/>
        <v>0</v>
      </c>
    </row>
    <row r="6357" spans="39:45">
      <c r="AM6357" s="55">
        <v>2019</v>
      </c>
      <c r="AN6357" s="55" t="s">
        <v>190</v>
      </c>
      <c r="AO6357" s="55">
        <v>22</v>
      </c>
      <c r="AP6357" s="55">
        <v>19</v>
      </c>
      <c r="AQ6357" s="55">
        <v>0</v>
      </c>
      <c r="AR6357" s="55">
        <v>28500</v>
      </c>
      <c r="AS6357" s="78">
        <f t="shared" si="103"/>
        <v>0</v>
      </c>
    </row>
    <row r="6358" spans="39:45">
      <c r="AM6358" s="54">
        <v>2019</v>
      </c>
      <c r="AN6358" s="54" t="s">
        <v>190</v>
      </c>
      <c r="AO6358" s="54">
        <v>22</v>
      </c>
      <c r="AP6358" s="54">
        <v>20</v>
      </c>
      <c r="AQ6358" s="54">
        <v>0</v>
      </c>
      <c r="AR6358" s="55">
        <v>28500</v>
      </c>
      <c r="AS6358" s="78">
        <f t="shared" si="103"/>
        <v>0</v>
      </c>
    </row>
    <row r="6359" spans="39:45">
      <c r="AM6359" s="55">
        <v>2019</v>
      </c>
      <c r="AN6359" s="55" t="s">
        <v>190</v>
      </c>
      <c r="AO6359" s="55">
        <v>22</v>
      </c>
      <c r="AP6359" s="55">
        <v>21</v>
      </c>
      <c r="AQ6359" s="55">
        <v>0</v>
      </c>
      <c r="AR6359" s="55">
        <v>28500</v>
      </c>
      <c r="AS6359" s="78">
        <f t="shared" si="103"/>
        <v>0</v>
      </c>
    </row>
    <row r="6360" spans="39:45">
      <c r="AM6360" s="54">
        <v>2019</v>
      </c>
      <c r="AN6360" s="54" t="s">
        <v>190</v>
      </c>
      <c r="AO6360" s="54">
        <v>22</v>
      </c>
      <c r="AP6360" s="54">
        <v>22</v>
      </c>
      <c r="AQ6360" s="54">
        <v>0</v>
      </c>
      <c r="AR6360" s="55">
        <v>28500</v>
      </c>
      <c r="AS6360" s="78">
        <f t="shared" si="103"/>
        <v>0</v>
      </c>
    </row>
    <row r="6361" spans="39:45">
      <c r="AM6361" s="55">
        <v>2019</v>
      </c>
      <c r="AN6361" s="55" t="s">
        <v>190</v>
      </c>
      <c r="AO6361" s="55">
        <v>22</v>
      </c>
      <c r="AP6361" s="55">
        <v>23</v>
      </c>
      <c r="AQ6361" s="55">
        <v>0</v>
      </c>
      <c r="AR6361" s="55">
        <v>28500</v>
      </c>
      <c r="AS6361" s="78">
        <f t="shared" si="103"/>
        <v>0</v>
      </c>
    </row>
    <row r="6362" spans="39:45">
      <c r="AM6362" s="54">
        <v>2019</v>
      </c>
      <c r="AN6362" s="54" t="s">
        <v>190</v>
      </c>
      <c r="AO6362" s="54">
        <v>23</v>
      </c>
      <c r="AP6362" s="54">
        <v>24</v>
      </c>
      <c r="AQ6362" s="54">
        <v>0</v>
      </c>
      <c r="AR6362" s="55">
        <v>28500</v>
      </c>
      <c r="AS6362" s="78">
        <f t="shared" si="103"/>
        <v>0</v>
      </c>
    </row>
    <row r="6363" spans="39:45">
      <c r="AM6363" s="55">
        <v>2019</v>
      </c>
      <c r="AN6363" s="55" t="s">
        <v>190</v>
      </c>
      <c r="AO6363" s="55">
        <v>23</v>
      </c>
      <c r="AP6363" s="55">
        <v>1</v>
      </c>
      <c r="AQ6363" s="55">
        <v>0</v>
      </c>
      <c r="AR6363" s="55">
        <v>28500</v>
      </c>
      <c r="AS6363" s="78">
        <f t="shared" si="103"/>
        <v>0</v>
      </c>
    </row>
    <row r="6364" spans="39:45">
      <c r="AM6364" s="54">
        <v>2019</v>
      </c>
      <c r="AN6364" s="54" t="s">
        <v>190</v>
      </c>
      <c r="AO6364" s="54">
        <v>23</v>
      </c>
      <c r="AP6364" s="54">
        <v>2</v>
      </c>
      <c r="AQ6364" s="54">
        <v>0</v>
      </c>
      <c r="AR6364" s="55">
        <v>28500</v>
      </c>
      <c r="AS6364" s="78">
        <f t="shared" si="103"/>
        <v>0</v>
      </c>
    </row>
    <row r="6365" spans="39:45">
      <c r="AM6365" s="55">
        <v>2019</v>
      </c>
      <c r="AN6365" s="55" t="s">
        <v>190</v>
      </c>
      <c r="AO6365" s="55">
        <v>23</v>
      </c>
      <c r="AP6365" s="55">
        <v>3</v>
      </c>
      <c r="AQ6365" s="55">
        <v>0</v>
      </c>
      <c r="AR6365" s="55">
        <v>28500</v>
      </c>
      <c r="AS6365" s="78">
        <f t="shared" si="103"/>
        <v>0</v>
      </c>
    </row>
    <row r="6366" spans="39:45">
      <c r="AM6366" s="54">
        <v>2019</v>
      </c>
      <c r="AN6366" s="54" t="s">
        <v>190</v>
      </c>
      <c r="AO6366" s="54">
        <v>23</v>
      </c>
      <c r="AP6366" s="54">
        <v>4</v>
      </c>
      <c r="AQ6366" s="54">
        <v>0</v>
      </c>
      <c r="AR6366" s="55">
        <v>28500</v>
      </c>
      <c r="AS6366" s="78">
        <f t="shared" si="103"/>
        <v>0</v>
      </c>
    </row>
    <row r="6367" spans="39:45">
      <c r="AM6367" s="55">
        <v>2019</v>
      </c>
      <c r="AN6367" s="55" t="s">
        <v>190</v>
      </c>
      <c r="AO6367" s="55">
        <v>23</v>
      </c>
      <c r="AP6367" s="55">
        <v>5</v>
      </c>
      <c r="AQ6367" s="55">
        <v>0</v>
      </c>
      <c r="AR6367" s="55">
        <v>28500</v>
      </c>
      <c r="AS6367" s="78">
        <f t="shared" si="103"/>
        <v>0</v>
      </c>
    </row>
    <row r="6368" spans="39:45">
      <c r="AM6368" s="54">
        <v>2019</v>
      </c>
      <c r="AN6368" s="54" t="s">
        <v>190</v>
      </c>
      <c r="AO6368" s="54">
        <v>23</v>
      </c>
      <c r="AP6368" s="54">
        <v>6</v>
      </c>
      <c r="AQ6368" s="54">
        <v>320.5</v>
      </c>
      <c r="AR6368" s="55">
        <v>28500</v>
      </c>
      <c r="AS6368" s="78">
        <f t="shared" si="103"/>
        <v>1.1245614035087718E-2</v>
      </c>
    </row>
    <row r="6369" spans="39:45">
      <c r="AM6369" s="55">
        <v>2019</v>
      </c>
      <c r="AN6369" s="55" t="s">
        <v>190</v>
      </c>
      <c r="AO6369" s="55">
        <v>23</v>
      </c>
      <c r="AP6369" s="55">
        <v>7</v>
      </c>
      <c r="AQ6369" s="55">
        <v>8740</v>
      </c>
      <c r="AR6369" s="55">
        <v>28500</v>
      </c>
      <c r="AS6369" s="78">
        <f t="shared" si="103"/>
        <v>0.30666666666666664</v>
      </c>
    </row>
    <row r="6370" spans="39:45">
      <c r="AM6370" s="54">
        <v>2019</v>
      </c>
      <c r="AN6370" s="54" t="s">
        <v>190</v>
      </c>
      <c r="AO6370" s="54">
        <v>23</v>
      </c>
      <c r="AP6370" s="54">
        <v>8</v>
      </c>
      <c r="AQ6370" s="54">
        <v>19436.5</v>
      </c>
      <c r="AR6370" s="55">
        <v>28500</v>
      </c>
      <c r="AS6370" s="78">
        <f t="shared" si="103"/>
        <v>0.68198245614035091</v>
      </c>
    </row>
    <row r="6371" spans="39:45">
      <c r="AM6371" s="55">
        <v>2019</v>
      </c>
      <c r="AN6371" s="55" t="s">
        <v>190</v>
      </c>
      <c r="AO6371" s="55">
        <v>23</v>
      </c>
      <c r="AP6371" s="55">
        <v>9</v>
      </c>
      <c r="AQ6371" s="55">
        <v>27376</v>
      </c>
      <c r="AR6371" s="55">
        <v>28500</v>
      </c>
      <c r="AS6371" s="78">
        <f t="shared" si="103"/>
        <v>0.96056140350877195</v>
      </c>
    </row>
    <row r="6372" spans="39:45">
      <c r="AM6372" s="54">
        <v>2019</v>
      </c>
      <c r="AN6372" s="54" t="s">
        <v>190</v>
      </c>
      <c r="AO6372" s="54">
        <v>23</v>
      </c>
      <c r="AP6372" s="54">
        <v>10</v>
      </c>
      <c r="AQ6372" s="54">
        <v>15464.5</v>
      </c>
      <c r="AR6372" s="55">
        <v>28500</v>
      </c>
      <c r="AS6372" s="78">
        <f t="shared" si="103"/>
        <v>0.54261403508771933</v>
      </c>
    </row>
    <row r="6373" spans="39:45">
      <c r="AM6373" s="55">
        <v>2019</v>
      </c>
      <c r="AN6373" s="55" t="s">
        <v>190</v>
      </c>
      <c r="AO6373" s="55">
        <v>23</v>
      </c>
      <c r="AP6373" s="55">
        <v>11</v>
      </c>
      <c r="AQ6373" s="55">
        <v>6512</v>
      </c>
      <c r="AR6373" s="55">
        <v>28500</v>
      </c>
      <c r="AS6373" s="78">
        <f t="shared" si="103"/>
        <v>0.22849122807017544</v>
      </c>
    </row>
    <row r="6374" spans="39:45">
      <c r="AM6374" s="54">
        <v>2019</v>
      </c>
      <c r="AN6374" s="54" t="s">
        <v>190</v>
      </c>
      <c r="AO6374" s="54">
        <v>23</v>
      </c>
      <c r="AP6374" s="54">
        <v>12</v>
      </c>
      <c r="AQ6374" s="54">
        <v>8382</v>
      </c>
      <c r="AR6374" s="55">
        <v>28500</v>
      </c>
      <c r="AS6374" s="78">
        <f t="shared" si="103"/>
        <v>0.29410526315789476</v>
      </c>
    </row>
    <row r="6375" spans="39:45">
      <c r="AM6375" s="55">
        <v>2019</v>
      </c>
      <c r="AN6375" s="55" t="s">
        <v>190</v>
      </c>
      <c r="AO6375" s="55">
        <v>23</v>
      </c>
      <c r="AP6375" s="55">
        <v>13</v>
      </c>
      <c r="AQ6375" s="55">
        <v>27941</v>
      </c>
      <c r="AR6375" s="55">
        <v>28500</v>
      </c>
      <c r="AS6375" s="78">
        <f t="shared" si="103"/>
        <v>0.98038596491228069</v>
      </c>
    </row>
    <row r="6376" spans="39:45">
      <c r="AM6376" s="54">
        <v>2019</v>
      </c>
      <c r="AN6376" s="54" t="s">
        <v>190</v>
      </c>
      <c r="AO6376" s="54">
        <v>23</v>
      </c>
      <c r="AP6376" s="54">
        <v>14</v>
      </c>
      <c r="AQ6376" s="54">
        <v>3889.5</v>
      </c>
      <c r="AR6376" s="55">
        <v>28500</v>
      </c>
      <c r="AS6376" s="78">
        <f t="shared" si="103"/>
        <v>0.1364736842105263</v>
      </c>
    </row>
    <row r="6377" spans="39:45">
      <c r="AM6377" s="55">
        <v>2019</v>
      </c>
      <c r="AN6377" s="55" t="s">
        <v>190</v>
      </c>
      <c r="AO6377" s="55">
        <v>23</v>
      </c>
      <c r="AP6377" s="55">
        <v>15</v>
      </c>
      <c r="AQ6377" s="55">
        <v>2764.5</v>
      </c>
      <c r="AR6377" s="55">
        <v>28500</v>
      </c>
      <c r="AS6377" s="78">
        <f t="shared" si="103"/>
        <v>9.7000000000000003E-2</v>
      </c>
    </row>
    <row r="6378" spans="39:45">
      <c r="AM6378" s="54">
        <v>2019</v>
      </c>
      <c r="AN6378" s="54" t="s">
        <v>190</v>
      </c>
      <c r="AO6378" s="54">
        <v>23</v>
      </c>
      <c r="AP6378" s="54">
        <v>16</v>
      </c>
      <c r="AQ6378" s="54">
        <v>401</v>
      </c>
      <c r="AR6378" s="55">
        <v>28500</v>
      </c>
      <c r="AS6378" s="78">
        <f t="shared" si="103"/>
        <v>1.4070175438596491E-2</v>
      </c>
    </row>
    <row r="6379" spans="39:45">
      <c r="AM6379" s="55">
        <v>2019</v>
      </c>
      <c r="AN6379" s="55" t="s">
        <v>190</v>
      </c>
      <c r="AO6379" s="55">
        <v>23</v>
      </c>
      <c r="AP6379" s="55">
        <v>17</v>
      </c>
      <c r="AQ6379" s="55">
        <v>403.5</v>
      </c>
      <c r="AR6379" s="55">
        <v>28500</v>
      </c>
      <c r="AS6379" s="78">
        <f t="shared" si="103"/>
        <v>1.4157894736842105E-2</v>
      </c>
    </row>
    <row r="6380" spans="39:45">
      <c r="AM6380" s="54">
        <v>2019</v>
      </c>
      <c r="AN6380" s="54" t="s">
        <v>190</v>
      </c>
      <c r="AO6380" s="54">
        <v>23</v>
      </c>
      <c r="AP6380" s="54">
        <v>18</v>
      </c>
      <c r="AQ6380" s="54">
        <v>0</v>
      </c>
      <c r="AR6380" s="55">
        <v>28500</v>
      </c>
      <c r="AS6380" s="78">
        <f t="shared" si="103"/>
        <v>0</v>
      </c>
    </row>
    <row r="6381" spans="39:45">
      <c r="AM6381" s="55">
        <v>2019</v>
      </c>
      <c r="AN6381" s="55" t="s">
        <v>190</v>
      </c>
      <c r="AO6381" s="55">
        <v>23</v>
      </c>
      <c r="AP6381" s="55">
        <v>19</v>
      </c>
      <c r="AQ6381" s="55">
        <v>0</v>
      </c>
      <c r="AR6381" s="55">
        <v>28500</v>
      </c>
      <c r="AS6381" s="78">
        <f t="shared" si="103"/>
        <v>0</v>
      </c>
    </row>
    <row r="6382" spans="39:45">
      <c r="AM6382" s="54">
        <v>2019</v>
      </c>
      <c r="AN6382" s="54" t="s">
        <v>190</v>
      </c>
      <c r="AO6382" s="54">
        <v>23</v>
      </c>
      <c r="AP6382" s="54">
        <v>20</v>
      </c>
      <c r="AQ6382" s="54">
        <v>0</v>
      </c>
      <c r="AR6382" s="55">
        <v>28500</v>
      </c>
      <c r="AS6382" s="78">
        <f t="shared" si="103"/>
        <v>0</v>
      </c>
    </row>
    <row r="6383" spans="39:45">
      <c r="AM6383" s="55">
        <v>2019</v>
      </c>
      <c r="AN6383" s="55" t="s">
        <v>190</v>
      </c>
      <c r="AO6383" s="55">
        <v>23</v>
      </c>
      <c r="AP6383" s="55">
        <v>21</v>
      </c>
      <c r="AQ6383" s="55">
        <v>0</v>
      </c>
      <c r="AR6383" s="55">
        <v>28500</v>
      </c>
      <c r="AS6383" s="78">
        <f t="shared" si="103"/>
        <v>0</v>
      </c>
    </row>
    <row r="6384" spans="39:45">
      <c r="AM6384" s="54">
        <v>2019</v>
      </c>
      <c r="AN6384" s="54" t="s">
        <v>190</v>
      </c>
      <c r="AO6384" s="54">
        <v>23</v>
      </c>
      <c r="AP6384" s="54">
        <v>22</v>
      </c>
      <c r="AQ6384" s="54">
        <v>0</v>
      </c>
      <c r="AR6384" s="55">
        <v>28500</v>
      </c>
      <c r="AS6384" s="78">
        <f t="shared" si="103"/>
        <v>0</v>
      </c>
    </row>
    <row r="6385" spans="39:45">
      <c r="AM6385" s="55">
        <v>2019</v>
      </c>
      <c r="AN6385" s="55" t="s">
        <v>190</v>
      </c>
      <c r="AO6385" s="55">
        <v>23</v>
      </c>
      <c r="AP6385" s="55">
        <v>23</v>
      </c>
      <c r="AQ6385" s="55">
        <v>0</v>
      </c>
      <c r="AR6385" s="55">
        <v>28500</v>
      </c>
      <c r="AS6385" s="78">
        <f t="shared" si="103"/>
        <v>0</v>
      </c>
    </row>
    <row r="6386" spans="39:45">
      <c r="AM6386" s="54">
        <v>2019</v>
      </c>
      <c r="AN6386" s="54" t="s">
        <v>190</v>
      </c>
      <c r="AO6386" s="54">
        <v>24</v>
      </c>
      <c r="AP6386" s="54">
        <v>24</v>
      </c>
      <c r="AQ6386" s="54">
        <v>0</v>
      </c>
      <c r="AR6386" s="55">
        <v>28500</v>
      </c>
      <c r="AS6386" s="78">
        <f t="shared" si="103"/>
        <v>0</v>
      </c>
    </row>
    <row r="6387" spans="39:45">
      <c r="AM6387" s="55">
        <v>2019</v>
      </c>
      <c r="AN6387" s="55" t="s">
        <v>190</v>
      </c>
      <c r="AO6387" s="55">
        <v>24</v>
      </c>
      <c r="AP6387" s="55">
        <v>1</v>
      </c>
      <c r="AQ6387" s="55">
        <v>0</v>
      </c>
      <c r="AR6387" s="55">
        <v>28500</v>
      </c>
      <c r="AS6387" s="78">
        <f t="shared" si="103"/>
        <v>0</v>
      </c>
    </row>
    <row r="6388" spans="39:45">
      <c r="AM6388" s="54">
        <v>2019</v>
      </c>
      <c r="AN6388" s="54" t="s">
        <v>190</v>
      </c>
      <c r="AO6388" s="54">
        <v>24</v>
      </c>
      <c r="AP6388" s="54">
        <v>2</v>
      </c>
      <c r="AQ6388" s="54">
        <v>0</v>
      </c>
      <c r="AR6388" s="55">
        <v>28500</v>
      </c>
      <c r="AS6388" s="78">
        <f t="shared" si="103"/>
        <v>0</v>
      </c>
    </row>
    <row r="6389" spans="39:45">
      <c r="AM6389" s="55">
        <v>2019</v>
      </c>
      <c r="AN6389" s="55" t="s">
        <v>190</v>
      </c>
      <c r="AO6389" s="55">
        <v>24</v>
      </c>
      <c r="AP6389" s="55">
        <v>3</v>
      </c>
      <c r="AQ6389" s="55">
        <v>0</v>
      </c>
      <c r="AR6389" s="55">
        <v>28500</v>
      </c>
      <c r="AS6389" s="78">
        <f t="shared" si="103"/>
        <v>0</v>
      </c>
    </row>
    <row r="6390" spans="39:45">
      <c r="AM6390" s="54">
        <v>2019</v>
      </c>
      <c r="AN6390" s="54" t="s">
        <v>190</v>
      </c>
      <c r="AO6390" s="54">
        <v>24</v>
      </c>
      <c r="AP6390" s="54">
        <v>4</v>
      </c>
      <c r="AQ6390" s="54">
        <v>0</v>
      </c>
      <c r="AR6390" s="55">
        <v>28500</v>
      </c>
      <c r="AS6390" s="78">
        <f t="shared" si="103"/>
        <v>0</v>
      </c>
    </row>
    <row r="6391" spans="39:45">
      <c r="AM6391" s="55">
        <v>2019</v>
      </c>
      <c r="AN6391" s="55" t="s">
        <v>190</v>
      </c>
      <c r="AO6391" s="55">
        <v>24</v>
      </c>
      <c r="AP6391" s="55">
        <v>5</v>
      </c>
      <c r="AQ6391" s="55">
        <v>0</v>
      </c>
      <c r="AR6391" s="55">
        <v>28500</v>
      </c>
      <c r="AS6391" s="78">
        <f t="shared" si="103"/>
        <v>0</v>
      </c>
    </row>
    <row r="6392" spans="39:45">
      <c r="AM6392" s="54">
        <v>2019</v>
      </c>
      <c r="AN6392" s="54" t="s">
        <v>190</v>
      </c>
      <c r="AO6392" s="54">
        <v>24</v>
      </c>
      <c r="AP6392" s="54">
        <v>6</v>
      </c>
      <c r="AQ6392" s="54">
        <v>0</v>
      </c>
      <c r="AR6392" s="55">
        <v>28500</v>
      </c>
      <c r="AS6392" s="78">
        <f t="shared" si="103"/>
        <v>0</v>
      </c>
    </row>
    <row r="6393" spans="39:45">
      <c r="AM6393" s="55">
        <v>2019</v>
      </c>
      <c r="AN6393" s="55" t="s">
        <v>190</v>
      </c>
      <c r="AO6393" s="55">
        <v>24</v>
      </c>
      <c r="AP6393" s="55">
        <v>7</v>
      </c>
      <c r="AQ6393" s="55">
        <v>348</v>
      </c>
      <c r="AR6393" s="55">
        <v>28500</v>
      </c>
      <c r="AS6393" s="78">
        <f t="shared" si="103"/>
        <v>1.2210526315789474E-2</v>
      </c>
    </row>
    <row r="6394" spans="39:45">
      <c r="AM6394" s="54">
        <v>2019</v>
      </c>
      <c r="AN6394" s="54" t="s">
        <v>190</v>
      </c>
      <c r="AO6394" s="54">
        <v>24</v>
      </c>
      <c r="AP6394" s="54">
        <v>8</v>
      </c>
      <c r="AQ6394" s="54">
        <v>907.5</v>
      </c>
      <c r="AR6394" s="55">
        <v>28500</v>
      </c>
      <c r="AS6394" s="78">
        <f t="shared" si="103"/>
        <v>3.1842105263157894E-2</v>
      </c>
    </row>
    <row r="6395" spans="39:45">
      <c r="AM6395" s="55">
        <v>2019</v>
      </c>
      <c r="AN6395" s="55" t="s">
        <v>190</v>
      </c>
      <c r="AO6395" s="55">
        <v>24</v>
      </c>
      <c r="AP6395" s="55">
        <v>9</v>
      </c>
      <c r="AQ6395" s="55">
        <v>2836</v>
      </c>
      <c r="AR6395" s="55">
        <v>28500</v>
      </c>
      <c r="AS6395" s="78">
        <f t="shared" si="103"/>
        <v>9.950877192982456E-2</v>
      </c>
    </row>
    <row r="6396" spans="39:45">
      <c r="AM6396" s="54">
        <v>2019</v>
      </c>
      <c r="AN6396" s="54" t="s">
        <v>190</v>
      </c>
      <c r="AO6396" s="54">
        <v>24</v>
      </c>
      <c r="AP6396" s="54">
        <v>10</v>
      </c>
      <c r="AQ6396" s="54">
        <v>13607</v>
      </c>
      <c r="AR6396" s="55">
        <v>28500</v>
      </c>
      <c r="AS6396" s="78">
        <f t="shared" si="103"/>
        <v>0.47743859649122805</v>
      </c>
    </row>
    <row r="6397" spans="39:45">
      <c r="AM6397" s="55">
        <v>2019</v>
      </c>
      <c r="AN6397" s="55" t="s">
        <v>190</v>
      </c>
      <c r="AO6397" s="55">
        <v>24</v>
      </c>
      <c r="AP6397" s="55">
        <v>11</v>
      </c>
      <c r="AQ6397" s="55">
        <v>12854</v>
      </c>
      <c r="AR6397" s="55">
        <v>28500</v>
      </c>
      <c r="AS6397" s="78">
        <f t="shared" si="103"/>
        <v>0.45101754385964915</v>
      </c>
    </row>
    <row r="6398" spans="39:45">
      <c r="AM6398" s="54">
        <v>2019</v>
      </c>
      <c r="AN6398" s="54" t="s">
        <v>190</v>
      </c>
      <c r="AO6398" s="54">
        <v>24</v>
      </c>
      <c r="AP6398" s="54">
        <v>12</v>
      </c>
      <c r="AQ6398" s="54">
        <v>6690.5</v>
      </c>
      <c r="AR6398" s="55">
        <v>28500</v>
      </c>
      <c r="AS6398" s="78">
        <f t="shared" si="103"/>
        <v>0.23475438596491227</v>
      </c>
    </row>
    <row r="6399" spans="39:45">
      <c r="AM6399" s="55">
        <v>2019</v>
      </c>
      <c r="AN6399" s="55" t="s">
        <v>190</v>
      </c>
      <c r="AO6399" s="55">
        <v>24</v>
      </c>
      <c r="AP6399" s="55">
        <v>13</v>
      </c>
      <c r="AQ6399" s="55">
        <v>24940.5</v>
      </c>
      <c r="AR6399" s="55">
        <v>28500</v>
      </c>
      <c r="AS6399" s="78">
        <f t="shared" si="103"/>
        <v>0.87510526315789472</v>
      </c>
    </row>
    <row r="6400" spans="39:45">
      <c r="AM6400" s="54">
        <v>2019</v>
      </c>
      <c r="AN6400" s="54" t="s">
        <v>190</v>
      </c>
      <c r="AO6400" s="54">
        <v>24</v>
      </c>
      <c r="AP6400" s="54">
        <v>14</v>
      </c>
      <c r="AQ6400" s="54">
        <v>17417.5</v>
      </c>
      <c r="AR6400" s="55">
        <v>28500</v>
      </c>
      <c r="AS6400" s="78">
        <f t="shared" si="103"/>
        <v>0.61114035087719298</v>
      </c>
    </row>
    <row r="6401" spans="39:45">
      <c r="AM6401" s="55">
        <v>2019</v>
      </c>
      <c r="AN6401" s="55" t="s">
        <v>190</v>
      </c>
      <c r="AO6401" s="55">
        <v>24</v>
      </c>
      <c r="AP6401" s="55">
        <v>15</v>
      </c>
      <c r="AQ6401" s="55">
        <v>20176</v>
      </c>
      <c r="AR6401" s="55">
        <v>28500</v>
      </c>
      <c r="AS6401" s="78">
        <f t="shared" si="103"/>
        <v>0.70792982456140352</v>
      </c>
    </row>
    <row r="6402" spans="39:45">
      <c r="AM6402" s="54">
        <v>2019</v>
      </c>
      <c r="AN6402" s="54" t="s">
        <v>190</v>
      </c>
      <c r="AO6402" s="54">
        <v>24</v>
      </c>
      <c r="AP6402" s="54">
        <v>16</v>
      </c>
      <c r="AQ6402" s="54">
        <v>769</v>
      </c>
      <c r="AR6402" s="55">
        <v>28500</v>
      </c>
      <c r="AS6402" s="78">
        <f t="shared" ref="AS6402:AS6465" si="104">AQ6402/AR6402</f>
        <v>2.6982456140350879E-2</v>
      </c>
    </row>
    <row r="6403" spans="39:45">
      <c r="AM6403" s="55">
        <v>2019</v>
      </c>
      <c r="AN6403" s="55" t="s">
        <v>190</v>
      </c>
      <c r="AO6403" s="55">
        <v>24</v>
      </c>
      <c r="AP6403" s="55">
        <v>17</v>
      </c>
      <c r="AQ6403" s="55">
        <v>1093</v>
      </c>
      <c r="AR6403" s="55">
        <v>28500</v>
      </c>
      <c r="AS6403" s="78">
        <f t="shared" si="104"/>
        <v>3.8350877192982455E-2</v>
      </c>
    </row>
    <row r="6404" spans="39:45">
      <c r="AM6404" s="54">
        <v>2019</v>
      </c>
      <c r="AN6404" s="54" t="s">
        <v>190</v>
      </c>
      <c r="AO6404" s="54">
        <v>24</v>
      </c>
      <c r="AP6404" s="54">
        <v>18</v>
      </c>
      <c r="AQ6404" s="54">
        <v>0</v>
      </c>
      <c r="AR6404" s="55">
        <v>28500</v>
      </c>
      <c r="AS6404" s="78">
        <f t="shared" si="104"/>
        <v>0</v>
      </c>
    </row>
    <row r="6405" spans="39:45">
      <c r="AM6405" s="55">
        <v>2019</v>
      </c>
      <c r="AN6405" s="55" t="s">
        <v>190</v>
      </c>
      <c r="AO6405" s="55">
        <v>24</v>
      </c>
      <c r="AP6405" s="55">
        <v>19</v>
      </c>
      <c r="AQ6405" s="55">
        <v>0</v>
      </c>
      <c r="AR6405" s="55">
        <v>28500</v>
      </c>
      <c r="AS6405" s="78">
        <f t="shared" si="104"/>
        <v>0</v>
      </c>
    </row>
    <row r="6406" spans="39:45">
      <c r="AM6406" s="54">
        <v>2019</v>
      </c>
      <c r="AN6406" s="54" t="s">
        <v>190</v>
      </c>
      <c r="AO6406" s="54">
        <v>24</v>
      </c>
      <c r="AP6406" s="54">
        <v>20</v>
      </c>
      <c r="AQ6406" s="54">
        <v>0</v>
      </c>
      <c r="AR6406" s="55">
        <v>28500</v>
      </c>
      <c r="AS6406" s="78">
        <f t="shared" si="104"/>
        <v>0</v>
      </c>
    </row>
    <row r="6407" spans="39:45">
      <c r="AM6407" s="55">
        <v>2019</v>
      </c>
      <c r="AN6407" s="55" t="s">
        <v>190</v>
      </c>
      <c r="AO6407" s="55">
        <v>24</v>
      </c>
      <c r="AP6407" s="55">
        <v>21</v>
      </c>
      <c r="AQ6407" s="55">
        <v>0</v>
      </c>
      <c r="AR6407" s="55">
        <v>28500</v>
      </c>
      <c r="AS6407" s="78">
        <f t="shared" si="104"/>
        <v>0</v>
      </c>
    </row>
    <row r="6408" spans="39:45">
      <c r="AM6408" s="54">
        <v>2019</v>
      </c>
      <c r="AN6408" s="54" t="s">
        <v>190</v>
      </c>
      <c r="AO6408" s="54">
        <v>24</v>
      </c>
      <c r="AP6408" s="54">
        <v>22</v>
      </c>
      <c r="AQ6408" s="54">
        <v>0</v>
      </c>
      <c r="AR6408" s="55">
        <v>28500</v>
      </c>
      <c r="AS6408" s="78">
        <f t="shared" si="104"/>
        <v>0</v>
      </c>
    </row>
    <row r="6409" spans="39:45">
      <c r="AM6409" s="55">
        <v>2019</v>
      </c>
      <c r="AN6409" s="55" t="s">
        <v>190</v>
      </c>
      <c r="AO6409" s="55">
        <v>24</v>
      </c>
      <c r="AP6409" s="55">
        <v>23</v>
      </c>
      <c r="AQ6409" s="55">
        <v>0</v>
      </c>
      <c r="AR6409" s="55">
        <v>28500</v>
      </c>
      <c r="AS6409" s="78">
        <f t="shared" si="104"/>
        <v>0</v>
      </c>
    </row>
    <row r="6410" spans="39:45">
      <c r="AM6410" s="54">
        <v>2019</v>
      </c>
      <c r="AN6410" s="54" t="s">
        <v>190</v>
      </c>
      <c r="AO6410" s="54">
        <v>25</v>
      </c>
      <c r="AP6410" s="54">
        <v>24</v>
      </c>
      <c r="AQ6410" s="54">
        <v>0</v>
      </c>
      <c r="AR6410" s="55">
        <v>28500</v>
      </c>
      <c r="AS6410" s="78">
        <f t="shared" si="104"/>
        <v>0</v>
      </c>
    </row>
    <row r="6411" spans="39:45">
      <c r="AM6411" s="55">
        <v>2019</v>
      </c>
      <c r="AN6411" s="55" t="s">
        <v>190</v>
      </c>
      <c r="AO6411" s="55">
        <v>25</v>
      </c>
      <c r="AP6411" s="55">
        <v>1</v>
      </c>
      <c r="AQ6411" s="55">
        <v>0</v>
      </c>
      <c r="AR6411" s="55">
        <v>28500</v>
      </c>
      <c r="AS6411" s="78">
        <f t="shared" si="104"/>
        <v>0</v>
      </c>
    </row>
    <row r="6412" spans="39:45">
      <c r="AM6412" s="54">
        <v>2019</v>
      </c>
      <c r="AN6412" s="54" t="s">
        <v>190</v>
      </c>
      <c r="AO6412" s="54">
        <v>25</v>
      </c>
      <c r="AP6412" s="54">
        <v>2</v>
      </c>
      <c r="AQ6412" s="54">
        <v>0</v>
      </c>
      <c r="AR6412" s="55">
        <v>28500</v>
      </c>
      <c r="AS6412" s="78">
        <f t="shared" si="104"/>
        <v>0</v>
      </c>
    </row>
    <row r="6413" spans="39:45">
      <c r="AM6413" s="55">
        <v>2019</v>
      </c>
      <c r="AN6413" s="55" t="s">
        <v>190</v>
      </c>
      <c r="AO6413" s="55">
        <v>25</v>
      </c>
      <c r="AP6413" s="55">
        <v>3</v>
      </c>
      <c r="AQ6413" s="55">
        <v>0</v>
      </c>
      <c r="AR6413" s="55">
        <v>28500</v>
      </c>
      <c r="AS6413" s="78">
        <f t="shared" si="104"/>
        <v>0</v>
      </c>
    </row>
    <row r="6414" spans="39:45">
      <c r="AM6414" s="54">
        <v>2019</v>
      </c>
      <c r="AN6414" s="54" t="s">
        <v>190</v>
      </c>
      <c r="AO6414" s="54">
        <v>25</v>
      </c>
      <c r="AP6414" s="54">
        <v>4</v>
      </c>
      <c r="AQ6414" s="54">
        <v>0</v>
      </c>
      <c r="AR6414" s="55">
        <v>28500</v>
      </c>
      <c r="AS6414" s="78">
        <f t="shared" si="104"/>
        <v>0</v>
      </c>
    </row>
    <row r="6415" spans="39:45">
      <c r="AM6415" s="55">
        <v>2019</v>
      </c>
      <c r="AN6415" s="55" t="s">
        <v>190</v>
      </c>
      <c r="AO6415" s="55">
        <v>25</v>
      </c>
      <c r="AP6415" s="55">
        <v>5</v>
      </c>
      <c r="AQ6415" s="55">
        <v>0</v>
      </c>
      <c r="AR6415" s="55">
        <v>28500</v>
      </c>
      <c r="AS6415" s="78">
        <f t="shared" si="104"/>
        <v>0</v>
      </c>
    </row>
    <row r="6416" spans="39:45">
      <c r="AM6416" s="54">
        <v>2019</v>
      </c>
      <c r="AN6416" s="54" t="s">
        <v>190</v>
      </c>
      <c r="AO6416" s="54">
        <v>25</v>
      </c>
      <c r="AP6416" s="54">
        <v>6</v>
      </c>
      <c r="AQ6416" s="54">
        <v>0</v>
      </c>
      <c r="AR6416" s="55">
        <v>28500</v>
      </c>
      <c r="AS6416" s="78">
        <f t="shared" si="104"/>
        <v>0</v>
      </c>
    </row>
    <row r="6417" spans="39:45">
      <c r="AM6417" s="55">
        <v>2019</v>
      </c>
      <c r="AN6417" s="55" t="s">
        <v>190</v>
      </c>
      <c r="AO6417" s="55">
        <v>25</v>
      </c>
      <c r="AP6417" s="55">
        <v>7</v>
      </c>
      <c r="AQ6417" s="55">
        <v>4777</v>
      </c>
      <c r="AR6417" s="55">
        <v>28500</v>
      </c>
      <c r="AS6417" s="78">
        <f t="shared" si="104"/>
        <v>0.1676140350877193</v>
      </c>
    </row>
    <row r="6418" spans="39:45">
      <c r="AM6418" s="54">
        <v>2019</v>
      </c>
      <c r="AN6418" s="54" t="s">
        <v>190</v>
      </c>
      <c r="AO6418" s="54">
        <v>25</v>
      </c>
      <c r="AP6418" s="54">
        <v>8</v>
      </c>
      <c r="AQ6418" s="54">
        <v>5063.5</v>
      </c>
      <c r="AR6418" s="55">
        <v>28500</v>
      </c>
      <c r="AS6418" s="78">
        <f t="shared" si="104"/>
        <v>0.17766666666666667</v>
      </c>
    </row>
    <row r="6419" spans="39:45">
      <c r="AM6419" s="55">
        <v>2019</v>
      </c>
      <c r="AN6419" s="55" t="s">
        <v>190</v>
      </c>
      <c r="AO6419" s="55">
        <v>25</v>
      </c>
      <c r="AP6419" s="55">
        <v>9</v>
      </c>
      <c r="AQ6419" s="55">
        <v>2316.5</v>
      </c>
      <c r="AR6419" s="55">
        <v>28500</v>
      </c>
      <c r="AS6419" s="78">
        <f t="shared" si="104"/>
        <v>8.1280701754385967E-2</v>
      </c>
    </row>
    <row r="6420" spans="39:45">
      <c r="AM6420" s="54">
        <v>2019</v>
      </c>
      <c r="AN6420" s="54" t="s">
        <v>190</v>
      </c>
      <c r="AO6420" s="54">
        <v>25</v>
      </c>
      <c r="AP6420" s="54">
        <v>10</v>
      </c>
      <c r="AQ6420" s="54">
        <v>9500</v>
      </c>
      <c r="AR6420" s="55">
        <v>28500</v>
      </c>
      <c r="AS6420" s="78">
        <f t="shared" si="104"/>
        <v>0.33333333333333331</v>
      </c>
    </row>
    <row r="6421" spans="39:45">
      <c r="AM6421" s="55">
        <v>2019</v>
      </c>
      <c r="AN6421" s="55" t="s">
        <v>190</v>
      </c>
      <c r="AO6421" s="55">
        <v>25</v>
      </c>
      <c r="AP6421" s="55">
        <v>11</v>
      </c>
      <c r="AQ6421" s="55">
        <v>14622</v>
      </c>
      <c r="AR6421" s="55">
        <v>28500</v>
      </c>
      <c r="AS6421" s="78">
        <f t="shared" si="104"/>
        <v>0.51305263157894732</v>
      </c>
    </row>
    <row r="6422" spans="39:45">
      <c r="AM6422" s="54">
        <v>2019</v>
      </c>
      <c r="AN6422" s="54" t="s">
        <v>190</v>
      </c>
      <c r="AO6422" s="54">
        <v>25</v>
      </c>
      <c r="AP6422" s="54">
        <v>12</v>
      </c>
      <c r="AQ6422" s="54">
        <v>12148.5</v>
      </c>
      <c r="AR6422" s="55">
        <v>28500</v>
      </c>
      <c r="AS6422" s="78">
        <f t="shared" si="104"/>
        <v>0.42626315789473684</v>
      </c>
    </row>
    <row r="6423" spans="39:45">
      <c r="AM6423" s="55">
        <v>2019</v>
      </c>
      <c r="AN6423" s="55" t="s">
        <v>190</v>
      </c>
      <c r="AO6423" s="55">
        <v>25</v>
      </c>
      <c r="AP6423" s="55">
        <v>13</v>
      </c>
      <c r="AQ6423" s="55">
        <v>6295.5</v>
      </c>
      <c r="AR6423" s="55">
        <v>28500</v>
      </c>
      <c r="AS6423" s="78">
        <f t="shared" si="104"/>
        <v>0.22089473684210525</v>
      </c>
    </row>
    <row r="6424" spans="39:45">
      <c r="AM6424" s="54">
        <v>2019</v>
      </c>
      <c r="AN6424" s="54" t="s">
        <v>190</v>
      </c>
      <c r="AO6424" s="54">
        <v>25</v>
      </c>
      <c r="AP6424" s="54">
        <v>14</v>
      </c>
      <c r="AQ6424" s="54">
        <v>21840</v>
      </c>
      <c r="AR6424" s="55">
        <v>28500</v>
      </c>
      <c r="AS6424" s="78">
        <f t="shared" si="104"/>
        <v>0.76631578947368417</v>
      </c>
    </row>
    <row r="6425" spans="39:45">
      <c r="AM6425" s="55">
        <v>2019</v>
      </c>
      <c r="AN6425" s="55" t="s">
        <v>190</v>
      </c>
      <c r="AO6425" s="55">
        <v>25</v>
      </c>
      <c r="AP6425" s="55">
        <v>15</v>
      </c>
      <c r="AQ6425" s="55">
        <v>16713.5</v>
      </c>
      <c r="AR6425" s="55">
        <v>28500</v>
      </c>
      <c r="AS6425" s="78">
        <f t="shared" si="104"/>
        <v>0.58643859649122809</v>
      </c>
    </row>
    <row r="6426" spans="39:45">
      <c r="AM6426" s="54">
        <v>2019</v>
      </c>
      <c r="AN6426" s="54" t="s">
        <v>190</v>
      </c>
      <c r="AO6426" s="54">
        <v>25</v>
      </c>
      <c r="AP6426" s="54">
        <v>16</v>
      </c>
      <c r="AQ6426" s="54">
        <v>11511</v>
      </c>
      <c r="AR6426" s="55">
        <v>28500</v>
      </c>
      <c r="AS6426" s="78">
        <f t="shared" si="104"/>
        <v>0.40389473684210525</v>
      </c>
    </row>
    <row r="6427" spans="39:45">
      <c r="AM6427" s="55">
        <v>2019</v>
      </c>
      <c r="AN6427" s="55" t="s">
        <v>190</v>
      </c>
      <c r="AO6427" s="55">
        <v>25</v>
      </c>
      <c r="AP6427" s="55">
        <v>17</v>
      </c>
      <c r="AQ6427" s="55">
        <v>1503</v>
      </c>
      <c r="AR6427" s="55">
        <v>28500</v>
      </c>
      <c r="AS6427" s="78">
        <f t="shared" si="104"/>
        <v>5.2736842105263158E-2</v>
      </c>
    </row>
    <row r="6428" spans="39:45">
      <c r="AM6428" s="54">
        <v>2019</v>
      </c>
      <c r="AN6428" s="54" t="s">
        <v>190</v>
      </c>
      <c r="AO6428" s="54">
        <v>25</v>
      </c>
      <c r="AP6428" s="54">
        <v>18</v>
      </c>
      <c r="AQ6428" s="54">
        <v>0</v>
      </c>
      <c r="AR6428" s="55">
        <v>28500</v>
      </c>
      <c r="AS6428" s="78">
        <f t="shared" si="104"/>
        <v>0</v>
      </c>
    </row>
    <row r="6429" spans="39:45">
      <c r="AM6429" s="55">
        <v>2019</v>
      </c>
      <c r="AN6429" s="55" t="s">
        <v>190</v>
      </c>
      <c r="AO6429" s="55">
        <v>25</v>
      </c>
      <c r="AP6429" s="55">
        <v>19</v>
      </c>
      <c r="AQ6429" s="55">
        <v>0</v>
      </c>
      <c r="AR6429" s="55">
        <v>28500</v>
      </c>
      <c r="AS6429" s="78">
        <f t="shared" si="104"/>
        <v>0</v>
      </c>
    </row>
    <row r="6430" spans="39:45">
      <c r="AM6430" s="54">
        <v>2019</v>
      </c>
      <c r="AN6430" s="54" t="s">
        <v>190</v>
      </c>
      <c r="AO6430" s="54">
        <v>25</v>
      </c>
      <c r="AP6430" s="54">
        <v>20</v>
      </c>
      <c r="AQ6430" s="54">
        <v>0</v>
      </c>
      <c r="AR6430" s="55">
        <v>28500</v>
      </c>
      <c r="AS6430" s="78">
        <f t="shared" si="104"/>
        <v>0</v>
      </c>
    </row>
    <row r="6431" spans="39:45">
      <c r="AM6431" s="55">
        <v>2019</v>
      </c>
      <c r="AN6431" s="55" t="s">
        <v>190</v>
      </c>
      <c r="AO6431" s="55">
        <v>25</v>
      </c>
      <c r="AP6431" s="55">
        <v>21</v>
      </c>
      <c r="AQ6431" s="55">
        <v>0</v>
      </c>
      <c r="AR6431" s="55">
        <v>28500</v>
      </c>
      <c r="AS6431" s="78">
        <f t="shared" si="104"/>
        <v>0</v>
      </c>
    </row>
    <row r="6432" spans="39:45">
      <c r="AM6432" s="54">
        <v>2019</v>
      </c>
      <c r="AN6432" s="54" t="s">
        <v>190</v>
      </c>
      <c r="AO6432" s="54">
        <v>25</v>
      </c>
      <c r="AP6432" s="54">
        <v>22</v>
      </c>
      <c r="AQ6432" s="54">
        <v>0</v>
      </c>
      <c r="AR6432" s="55">
        <v>28500</v>
      </c>
      <c r="AS6432" s="78">
        <f t="shared" si="104"/>
        <v>0</v>
      </c>
    </row>
    <row r="6433" spans="39:45">
      <c r="AM6433" s="55">
        <v>2019</v>
      </c>
      <c r="AN6433" s="55" t="s">
        <v>190</v>
      </c>
      <c r="AO6433" s="55">
        <v>25</v>
      </c>
      <c r="AP6433" s="55">
        <v>23</v>
      </c>
      <c r="AQ6433" s="55">
        <v>0</v>
      </c>
      <c r="AR6433" s="55">
        <v>28500</v>
      </c>
      <c r="AS6433" s="78">
        <f t="shared" si="104"/>
        <v>0</v>
      </c>
    </row>
    <row r="6434" spans="39:45">
      <c r="AM6434" s="54">
        <v>2019</v>
      </c>
      <c r="AN6434" s="54" t="s">
        <v>190</v>
      </c>
      <c r="AO6434" s="54">
        <v>26</v>
      </c>
      <c r="AP6434" s="54">
        <v>24</v>
      </c>
      <c r="AQ6434" s="54">
        <v>0</v>
      </c>
      <c r="AR6434" s="55">
        <v>28500</v>
      </c>
      <c r="AS6434" s="78">
        <f t="shared" si="104"/>
        <v>0</v>
      </c>
    </row>
    <row r="6435" spans="39:45">
      <c r="AM6435" s="55">
        <v>2019</v>
      </c>
      <c r="AN6435" s="55" t="s">
        <v>190</v>
      </c>
      <c r="AO6435" s="55">
        <v>26</v>
      </c>
      <c r="AP6435" s="55">
        <v>1</v>
      </c>
      <c r="AQ6435" s="55">
        <v>0</v>
      </c>
      <c r="AR6435" s="55">
        <v>28500</v>
      </c>
      <c r="AS6435" s="78">
        <f t="shared" si="104"/>
        <v>0</v>
      </c>
    </row>
    <row r="6436" spans="39:45">
      <c r="AM6436" s="54">
        <v>2019</v>
      </c>
      <c r="AN6436" s="54" t="s">
        <v>190</v>
      </c>
      <c r="AO6436" s="54">
        <v>26</v>
      </c>
      <c r="AP6436" s="54">
        <v>2</v>
      </c>
      <c r="AQ6436" s="54">
        <v>0</v>
      </c>
      <c r="AR6436" s="55">
        <v>28500</v>
      </c>
      <c r="AS6436" s="78">
        <f t="shared" si="104"/>
        <v>0</v>
      </c>
    </row>
    <row r="6437" spans="39:45">
      <c r="AM6437" s="55">
        <v>2019</v>
      </c>
      <c r="AN6437" s="55" t="s">
        <v>190</v>
      </c>
      <c r="AO6437" s="55">
        <v>26</v>
      </c>
      <c r="AP6437" s="55">
        <v>3</v>
      </c>
      <c r="AQ6437" s="55">
        <v>0</v>
      </c>
      <c r="AR6437" s="55">
        <v>28500</v>
      </c>
      <c r="AS6437" s="78">
        <f t="shared" si="104"/>
        <v>0</v>
      </c>
    </row>
    <row r="6438" spans="39:45">
      <c r="AM6438" s="54">
        <v>2019</v>
      </c>
      <c r="AN6438" s="54" t="s">
        <v>190</v>
      </c>
      <c r="AO6438" s="54">
        <v>26</v>
      </c>
      <c r="AP6438" s="54">
        <v>4</v>
      </c>
      <c r="AQ6438" s="54">
        <v>0</v>
      </c>
      <c r="AR6438" s="55">
        <v>28500</v>
      </c>
      <c r="AS6438" s="78">
        <f t="shared" si="104"/>
        <v>0</v>
      </c>
    </row>
    <row r="6439" spans="39:45">
      <c r="AM6439" s="55">
        <v>2019</v>
      </c>
      <c r="AN6439" s="55" t="s">
        <v>190</v>
      </c>
      <c r="AO6439" s="55">
        <v>26</v>
      </c>
      <c r="AP6439" s="55">
        <v>5</v>
      </c>
      <c r="AQ6439" s="55">
        <v>0</v>
      </c>
      <c r="AR6439" s="55">
        <v>28500</v>
      </c>
      <c r="AS6439" s="78">
        <f t="shared" si="104"/>
        <v>0</v>
      </c>
    </row>
    <row r="6440" spans="39:45">
      <c r="AM6440" s="54">
        <v>2019</v>
      </c>
      <c r="AN6440" s="54" t="s">
        <v>190</v>
      </c>
      <c r="AO6440" s="54">
        <v>26</v>
      </c>
      <c r="AP6440" s="54">
        <v>6</v>
      </c>
      <c r="AQ6440" s="54">
        <v>0</v>
      </c>
      <c r="AR6440" s="55">
        <v>28500</v>
      </c>
      <c r="AS6440" s="78">
        <f t="shared" si="104"/>
        <v>0</v>
      </c>
    </row>
    <row r="6441" spans="39:45">
      <c r="AM6441" s="55">
        <v>2019</v>
      </c>
      <c r="AN6441" s="55" t="s">
        <v>190</v>
      </c>
      <c r="AO6441" s="55">
        <v>26</v>
      </c>
      <c r="AP6441" s="55">
        <v>7</v>
      </c>
      <c r="AQ6441" s="55">
        <v>2314</v>
      </c>
      <c r="AR6441" s="55">
        <v>28500</v>
      </c>
      <c r="AS6441" s="78">
        <f t="shared" si="104"/>
        <v>8.1192982456140345E-2</v>
      </c>
    </row>
    <row r="6442" spans="39:45">
      <c r="AM6442" s="54">
        <v>2019</v>
      </c>
      <c r="AN6442" s="54" t="s">
        <v>190</v>
      </c>
      <c r="AO6442" s="54">
        <v>26</v>
      </c>
      <c r="AP6442" s="54">
        <v>8</v>
      </c>
      <c r="AQ6442" s="54">
        <v>4250</v>
      </c>
      <c r="AR6442" s="55">
        <v>28500</v>
      </c>
      <c r="AS6442" s="78">
        <f t="shared" si="104"/>
        <v>0.14912280701754385</v>
      </c>
    </row>
    <row r="6443" spans="39:45">
      <c r="AM6443" s="55">
        <v>2019</v>
      </c>
      <c r="AN6443" s="55" t="s">
        <v>190</v>
      </c>
      <c r="AO6443" s="55">
        <v>26</v>
      </c>
      <c r="AP6443" s="55">
        <v>9</v>
      </c>
      <c r="AQ6443" s="55">
        <v>5579.5</v>
      </c>
      <c r="AR6443" s="55">
        <v>28500</v>
      </c>
      <c r="AS6443" s="78">
        <f t="shared" si="104"/>
        <v>0.1957719298245614</v>
      </c>
    </row>
    <row r="6444" spans="39:45">
      <c r="AM6444" s="54">
        <v>2019</v>
      </c>
      <c r="AN6444" s="54" t="s">
        <v>190</v>
      </c>
      <c r="AO6444" s="54">
        <v>26</v>
      </c>
      <c r="AP6444" s="54">
        <v>10</v>
      </c>
      <c r="AQ6444" s="54">
        <v>11694.5</v>
      </c>
      <c r="AR6444" s="55">
        <v>28500</v>
      </c>
      <c r="AS6444" s="78">
        <f t="shared" si="104"/>
        <v>0.41033333333333333</v>
      </c>
    </row>
    <row r="6445" spans="39:45">
      <c r="AM6445" s="55">
        <v>2019</v>
      </c>
      <c r="AN6445" s="55" t="s">
        <v>190</v>
      </c>
      <c r="AO6445" s="55">
        <v>26</v>
      </c>
      <c r="AP6445" s="55">
        <v>11</v>
      </c>
      <c r="AQ6445" s="55">
        <v>12043.5</v>
      </c>
      <c r="AR6445" s="55">
        <v>28500</v>
      </c>
      <c r="AS6445" s="78">
        <f t="shared" si="104"/>
        <v>0.42257894736842105</v>
      </c>
    </row>
    <row r="6446" spans="39:45">
      <c r="AM6446" s="54">
        <v>2019</v>
      </c>
      <c r="AN6446" s="54" t="s">
        <v>190</v>
      </c>
      <c r="AO6446" s="54">
        <v>26</v>
      </c>
      <c r="AP6446" s="54">
        <v>12</v>
      </c>
      <c r="AQ6446" s="54">
        <v>31877.5</v>
      </c>
      <c r="AR6446" s="55">
        <v>28500</v>
      </c>
      <c r="AS6446" s="78">
        <f t="shared" si="104"/>
        <v>1.1185087719298246</v>
      </c>
    </row>
    <row r="6447" spans="39:45">
      <c r="AM6447" s="55">
        <v>2019</v>
      </c>
      <c r="AN6447" s="55" t="s">
        <v>190</v>
      </c>
      <c r="AO6447" s="55">
        <v>26</v>
      </c>
      <c r="AP6447" s="55">
        <v>13</v>
      </c>
      <c r="AQ6447" s="55">
        <v>11199.5</v>
      </c>
      <c r="AR6447" s="55">
        <v>28500</v>
      </c>
      <c r="AS6447" s="78">
        <f t="shared" si="104"/>
        <v>0.39296491228070174</v>
      </c>
    </row>
    <row r="6448" spans="39:45">
      <c r="AM6448" s="54">
        <v>2019</v>
      </c>
      <c r="AN6448" s="54" t="s">
        <v>190</v>
      </c>
      <c r="AO6448" s="54">
        <v>26</v>
      </c>
      <c r="AP6448" s="54">
        <v>14</v>
      </c>
      <c r="AQ6448" s="54">
        <v>14907</v>
      </c>
      <c r="AR6448" s="55">
        <v>28500</v>
      </c>
      <c r="AS6448" s="78">
        <f t="shared" si="104"/>
        <v>0.52305263157894732</v>
      </c>
    </row>
    <row r="6449" spans="39:45">
      <c r="AM6449" s="55">
        <v>2019</v>
      </c>
      <c r="AN6449" s="55" t="s">
        <v>190</v>
      </c>
      <c r="AO6449" s="55">
        <v>26</v>
      </c>
      <c r="AP6449" s="55">
        <v>15</v>
      </c>
      <c r="AQ6449" s="55">
        <v>19990</v>
      </c>
      <c r="AR6449" s="55">
        <v>28500</v>
      </c>
      <c r="AS6449" s="78">
        <f t="shared" si="104"/>
        <v>0.70140350877192981</v>
      </c>
    </row>
    <row r="6450" spans="39:45">
      <c r="AM6450" s="54">
        <v>2019</v>
      </c>
      <c r="AN6450" s="54" t="s">
        <v>190</v>
      </c>
      <c r="AO6450" s="54">
        <v>26</v>
      </c>
      <c r="AP6450" s="54">
        <v>16</v>
      </c>
      <c r="AQ6450" s="54">
        <v>10439</v>
      </c>
      <c r="AR6450" s="55">
        <v>28500</v>
      </c>
      <c r="AS6450" s="78">
        <f t="shared" si="104"/>
        <v>0.36628070175438598</v>
      </c>
    </row>
    <row r="6451" spans="39:45">
      <c r="AM6451" s="55">
        <v>2019</v>
      </c>
      <c r="AN6451" s="55" t="s">
        <v>190</v>
      </c>
      <c r="AO6451" s="55">
        <v>26</v>
      </c>
      <c r="AP6451" s="55">
        <v>17</v>
      </c>
      <c r="AQ6451" s="55">
        <v>1508.5</v>
      </c>
      <c r="AR6451" s="55">
        <v>28500</v>
      </c>
      <c r="AS6451" s="78">
        <f t="shared" si="104"/>
        <v>5.2929824561403507E-2</v>
      </c>
    </row>
    <row r="6452" spans="39:45">
      <c r="AM6452" s="54">
        <v>2019</v>
      </c>
      <c r="AN6452" s="54" t="s">
        <v>190</v>
      </c>
      <c r="AO6452" s="54">
        <v>26</v>
      </c>
      <c r="AP6452" s="54">
        <v>18</v>
      </c>
      <c r="AQ6452" s="54">
        <v>0</v>
      </c>
      <c r="AR6452" s="55">
        <v>28500</v>
      </c>
      <c r="AS6452" s="78">
        <f t="shared" si="104"/>
        <v>0</v>
      </c>
    </row>
    <row r="6453" spans="39:45">
      <c r="AM6453" s="55">
        <v>2019</v>
      </c>
      <c r="AN6453" s="55" t="s">
        <v>190</v>
      </c>
      <c r="AO6453" s="55">
        <v>26</v>
      </c>
      <c r="AP6453" s="55">
        <v>19</v>
      </c>
      <c r="AQ6453" s="55">
        <v>0</v>
      </c>
      <c r="AR6453" s="55">
        <v>28500</v>
      </c>
      <c r="AS6453" s="78">
        <f t="shared" si="104"/>
        <v>0</v>
      </c>
    </row>
    <row r="6454" spans="39:45">
      <c r="AM6454" s="54">
        <v>2019</v>
      </c>
      <c r="AN6454" s="54" t="s">
        <v>190</v>
      </c>
      <c r="AO6454" s="54">
        <v>26</v>
      </c>
      <c r="AP6454" s="54">
        <v>20</v>
      </c>
      <c r="AQ6454" s="54">
        <v>0</v>
      </c>
      <c r="AR6454" s="55">
        <v>28500</v>
      </c>
      <c r="AS6454" s="78">
        <f t="shared" si="104"/>
        <v>0</v>
      </c>
    </row>
    <row r="6455" spans="39:45">
      <c r="AM6455" s="55">
        <v>2019</v>
      </c>
      <c r="AN6455" s="55" t="s">
        <v>190</v>
      </c>
      <c r="AO6455" s="55">
        <v>26</v>
      </c>
      <c r="AP6455" s="55">
        <v>21</v>
      </c>
      <c r="AQ6455" s="55">
        <v>0</v>
      </c>
      <c r="AR6455" s="55">
        <v>28500</v>
      </c>
      <c r="AS6455" s="78">
        <f t="shared" si="104"/>
        <v>0</v>
      </c>
    </row>
    <row r="6456" spans="39:45">
      <c r="AM6456" s="54">
        <v>2019</v>
      </c>
      <c r="AN6456" s="54" t="s">
        <v>190</v>
      </c>
      <c r="AO6456" s="54">
        <v>26</v>
      </c>
      <c r="AP6456" s="54">
        <v>22</v>
      </c>
      <c r="AQ6456" s="54">
        <v>0</v>
      </c>
      <c r="AR6456" s="55">
        <v>28500</v>
      </c>
      <c r="AS6456" s="78">
        <f t="shared" si="104"/>
        <v>0</v>
      </c>
    </row>
    <row r="6457" spans="39:45">
      <c r="AM6457" s="55">
        <v>2019</v>
      </c>
      <c r="AN6457" s="55" t="s">
        <v>190</v>
      </c>
      <c r="AO6457" s="55">
        <v>26</v>
      </c>
      <c r="AP6457" s="55">
        <v>23</v>
      </c>
      <c r="AQ6457" s="55">
        <v>0</v>
      </c>
      <c r="AR6457" s="55">
        <v>28500</v>
      </c>
      <c r="AS6457" s="78">
        <f t="shared" si="104"/>
        <v>0</v>
      </c>
    </row>
    <row r="6458" spans="39:45">
      <c r="AM6458" s="54">
        <v>2019</v>
      </c>
      <c r="AN6458" s="54" t="s">
        <v>190</v>
      </c>
      <c r="AO6458" s="54">
        <v>27</v>
      </c>
      <c r="AP6458" s="54">
        <v>24</v>
      </c>
      <c r="AQ6458" s="54">
        <v>0</v>
      </c>
      <c r="AR6458" s="55">
        <v>28500</v>
      </c>
      <c r="AS6458" s="78">
        <f t="shared" si="104"/>
        <v>0</v>
      </c>
    </row>
    <row r="6459" spans="39:45">
      <c r="AM6459" s="55">
        <v>2019</v>
      </c>
      <c r="AN6459" s="55" t="s">
        <v>190</v>
      </c>
      <c r="AO6459" s="55">
        <v>27</v>
      </c>
      <c r="AP6459" s="55">
        <v>1</v>
      </c>
      <c r="AQ6459" s="55">
        <v>0</v>
      </c>
      <c r="AR6459" s="55">
        <v>28500</v>
      </c>
      <c r="AS6459" s="78">
        <f t="shared" si="104"/>
        <v>0</v>
      </c>
    </row>
    <row r="6460" spans="39:45">
      <c r="AM6460" s="54">
        <v>2019</v>
      </c>
      <c r="AN6460" s="54" t="s">
        <v>190</v>
      </c>
      <c r="AO6460" s="54">
        <v>27</v>
      </c>
      <c r="AP6460" s="54">
        <v>2</v>
      </c>
      <c r="AQ6460" s="54">
        <v>0</v>
      </c>
      <c r="AR6460" s="55">
        <v>28500</v>
      </c>
      <c r="AS6460" s="78">
        <f t="shared" si="104"/>
        <v>0</v>
      </c>
    </row>
    <row r="6461" spans="39:45">
      <c r="AM6461" s="55">
        <v>2019</v>
      </c>
      <c r="AN6461" s="55" t="s">
        <v>190</v>
      </c>
      <c r="AO6461" s="55">
        <v>27</v>
      </c>
      <c r="AP6461" s="55">
        <v>3</v>
      </c>
      <c r="AQ6461" s="55">
        <v>0</v>
      </c>
      <c r="AR6461" s="55">
        <v>28500</v>
      </c>
      <c r="AS6461" s="78">
        <f t="shared" si="104"/>
        <v>0</v>
      </c>
    </row>
    <row r="6462" spans="39:45">
      <c r="AM6462" s="54">
        <v>2019</v>
      </c>
      <c r="AN6462" s="54" t="s">
        <v>190</v>
      </c>
      <c r="AO6462" s="54">
        <v>27</v>
      </c>
      <c r="AP6462" s="54">
        <v>4</v>
      </c>
      <c r="AQ6462" s="54">
        <v>0</v>
      </c>
      <c r="AR6462" s="55">
        <v>28500</v>
      </c>
      <c r="AS6462" s="78">
        <f t="shared" si="104"/>
        <v>0</v>
      </c>
    </row>
    <row r="6463" spans="39:45">
      <c r="AM6463" s="55">
        <v>2019</v>
      </c>
      <c r="AN6463" s="55" t="s">
        <v>190</v>
      </c>
      <c r="AO6463" s="55">
        <v>27</v>
      </c>
      <c r="AP6463" s="55">
        <v>5</v>
      </c>
      <c r="AQ6463" s="55">
        <v>0</v>
      </c>
      <c r="AR6463" s="55">
        <v>28500</v>
      </c>
      <c r="AS6463" s="78">
        <f t="shared" si="104"/>
        <v>0</v>
      </c>
    </row>
    <row r="6464" spans="39:45">
      <c r="AM6464" s="54">
        <v>2019</v>
      </c>
      <c r="AN6464" s="54" t="s">
        <v>190</v>
      </c>
      <c r="AO6464" s="54">
        <v>27</v>
      </c>
      <c r="AP6464" s="54">
        <v>6</v>
      </c>
      <c r="AQ6464" s="54">
        <v>0</v>
      </c>
      <c r="AR6464" s="55">
        <v>28500</v>
      </c>
      <c r="AS6464" s="78">
        <f t="shared" si="104"/>
        <v>0</v>
      </c>
    </row>
    <row r="6465" spans="39:45">
      <c r="AM6465" s="55">
        <v>2019</v>
      </c>
      <c r="AN6465" s="55" t="s">
        <v>190</v>
      </c>
      <c r="AO6465" s="55">
        <v>27</v>
      </c>
      <c r="AP6465" s="55">
        <v>7</v>
      </c>
      <c r="AQ6465" s="55">
        <v>7409</v>
      </c>
      <c r="AR6465" s="55">
        <v>28500</v>
      </c>
      <c r="AS6465" s="78">
        <f t="shared" si="104"/>
        <v>0.25996491228070173</v>
      </c>
    </row>
    <row r="6466" spans="39:45">
      <c r="AM6466" s="54">
        <v>2019</v>
      </c>
      <c r="AN6466" s="54" t="s">
        <v>190</v>
      </c>
      <c r="AO6466" s="54">
        <v>27</v>
      </c>
      <c r="AP6466" s="54">
        <v>8</v>
      </c>
      <c r="AQ6466" s="54">
        <v>20297</v>
      </c>
      <c r="AR6466" s="55">
        <v>28500</v>
      </c>
      <c r="AS6466" s="78">
        <f t="shared" ref="AS6466:AS6529" si="105">AQ6466/AR6466</f>
        <v>0.71217543859649124</v>
      </c>
    </row>
    <row r="6467" spans="39:45">
      <c r="AM6467" s="55">
        <v>2019</v>
      </c>
      <c r="AN6467" s="55" t="s">
        <v>190</v>
      </c>
      <c r="AO6467" s="55">
        <v>27</v>
      </c>
      <c r="AP6467" s="55">
        <v>9</v>
      </c>
      <c r="AQ6467" s="55">
        <v>17926</v>
      </c>
      <c r="AR6467" s="55">
        <v>28500</v>
      </c>
      <c r="AS6467" s="78">
        <f t="shared" si="105"/>
        <v>0.62898245614035087</v>
      </c>
    </row>
    <row r="6468" spans="39:45">
      <c r="AM6468" s="54">
        <v>2019</v>
      </c>
      <c r="AN6468" s="54" t="s">
        <v>190</v>
      </c>
      <c r="AO6468" s="54">
        <v>27</v>
      </c>
      <c r="AP6468" s="54">
        <v>10</v>
      </c>
      <c r="AQ6468" s="54">
        <v>12810</v>
      </c>
      <c r="AR6468" s="55">
        <v>28500</v>
      </c>
      <c r="AS6468" s="78">
        <f t="shared" si="105"/>
        <v>0.4494736842105263</v>
      </c>
    </row>
    <row r="6469" spans="39:45">
      <c r="AM6469" s="55">
        <v>2019</v>
      </c>
      <c r="AN6469" s="55" t="s">
        <v>190</v>
      </c>
      <c r="AO6469" s="55">
        <v>27</v>
      </c>
      <c r="AP6469" s="55">
        <v>11</v>
      </c>
      <c r="AQ6469" s="55">
        <v>2427.5</v>
      </c>
      <c r="AR6469" s="55">
        <v>28500</v>
      </c>
      <c r="AS6469" s="78">
        <f t="shared" si="105"/>
        <v>8.5175438596491224E-2</v>
      </c>
    </row>
    <row r="6470" spans="39:45">
      <c r="AM6470" s="54">
        <v>2019</v>
      </c>
      <c r="AN6470" s="54" t="s">
        <v>190</v>
      </c>
      <c r="AO6470" s="54">
        <v>27</v>
      </c>
      <c r="AP6470" s="54">
        <v>12</v>
      </c>
      <c r="AQ6470" s="54">
        <v>13112</v>
      </c>
      <c r="AR6470" s="55">
        <v>28500</v>
      </c>
      <c r="AS6470" s="78">
        <f t="shared" si="105"/>
        <v>0.46007017543859652</v>
      </c>
    </row>
    <row r="6471" spans="39:45">
      <c r="AM6471" s="55">
        <v>2019</v>
      </c>
      <c r="AN6471" s="55" t="s">
        <v>190</v>
      </c>
      <c r="AO6471" s="55">
        <v>27</v>
      </c>
      <c r="AP6471" s="55">
        <v>13</v>
      </c>
      <c r="AQ6471" s="55">
        <v>11839</v>
      </c>
      <c r="AR6471" s="55">
        <v>28500</v>
      </c>
      <c r="AS6471" s="78">
        <f t="shared" si="105"/>
        <v>0.41540350877192983</v>
      </c>
    </row>
    <row r="6472" spans="39:45">
      <c r="AM6472" s="54">
        <v>2019</v>
      </c>
      <c r="AN6472" s="54" t="s">
        <v>190</v>
      </c>
      <c r="AO6472" s="54">
        <v>27</v>
      </c>
      <c r="AP6472" s="54">
        <v>14</v>
      </c>
      <c r="AQ6472" s="54">
        <v>2732.5</v>
      </c>
      <c r="AR6472" s="55">
        <v>28500</v>
      </c>
      <c r="AS6472" s="78">
        <f t="shared" si="105"/>
        <v>9.5877192982456144E-2</v>
      </c>
    </row>
    <row r="6473" spans="39:45">
      <c r="AM6473" s="55">
        <v>2019</v>
      </c>
      <c r="AN6473" s="55" t="s">
        <v>190</v>
      </c>
      <c r="AO6473" s="55">
        <v>27</v>
      </c>
      <c r="AP6473" s="55">
        <v>15</v>
      </c>
      <c r="AQ6473" s="55">
        <v>15322</v>
      </c>
      <c r="AR6473" s="55">
        <v>28500</v>
      </c>
      <c r="AS6473" s="78">
        <f t="shared" si="105"/>
        <v>0.53761403508771932</v>
      </c>
    </row>
    <row r="6474" spans="39:45">
      <c r="AM6474" s="54">
        <v>2019</v>
      </c>
      <c r="AN6474" s="54" t="s">
        <v>190</v>
      </c>
      <c r="AO6474" s="54">
        <v>27</v>
      </c>
      <c r="AP6474" s="54">
        <v>16</v>
      </c>
      <c r="AQ6474" s="54">
        <v>8950</v>
      </c>
      <c r="AR6474" s="55">
        <v>28500</v>
      </c>
      <c r="AS6474" s="78">
        <f t="shared" si="105"/>
        <v>0.31403508771929822</v>
      </c>
    </row>
    <row r="6475" spans="39:45">
      <c r="AM6475" s="55">
        <v>2019</v>
      </c>
      <c r="AN6475" s="55" t="s">
        <v>190</v>
      </c>
      <c r="AO6475" s="55">
        <v>27</v>
      </c>
      <c r="AP6475" s="55">
        <v>17</v>
      </c>
      <c r="AQ6475" s="55">
        <v>393.5</v>
      </c>
      <c r="AR6475" s="55">
        <v>28500</v>
      </c>
      <c r="AS6475" s="78">
        <f t="shared" si="105"/>
        <v>1.380701754385965E-2</v>
      </c>
    </row>
    <row r="6476" spans="39:45">
      <c r="AM6476" s="54">
        <v>2019</v>
      </c>
      <c r="AN6476" s="54" t="s">
        <v>190</v>
      </c>
      <c r="AO6476" s="54">
        <v>27</v>
      </c>
      <c r="AP6476" s="54">
        <v>18</v>
      </c>
      <c r="AQ6476" s="54">
        <v>0</v>
      </c>
      <c r="AR6476" s="55">
        <v>28500</v>
      </c>
      <c r="AS6476" s="78">
        <f t="shared" si="105"/>
        <v>0</v>
      </c>
    </row>
    <row r="6477" spans="39:45">
      <c r="AM6477" s="55">
        <v>2019</v>
      </c>
      <c r="AN6477" s="55" t="s">
        <v>190</v>
      </c>
      <c r="AO6477" s="55">
        <v>27</v>
      </c>
      <c r="AP6477" s="55">
        <v>19</v>
      </c>
      <c r="AQ6477" s="55">
        <v>0</v>
      </c>
      <c r="AR6477" s="55">
        <v>28500</v>
      </c>
      <c r="AS6477" s="78">
        <f t="shared" si="105"/>
        <v>0</v>
      </c>
    </row>
    <row r="6478" spans="39:45">
      <c r="AM6478" s="54">
        <v>2019</v>
      </c>
      <c r="AN6478" s="54" t="s">
        <v>190</v>
      </c>
      <c r="AO6478" s="54">
        <v>27</v>
      </c>
      <c r="AP6478" s="54">
        <v>20</v>
      </c>
      <c r="AQ6478" s="54">
        <v>0</v>
      </c>
      <c r="AR6478" s="55">
        <v>28500</v>
      </c>
      <c r="AS6478" s="78">
        <f t="shared" si="105"/>
        <v>0</v>
      </c>
    </row>
    <row r="6479" spans="39:45">
      <c r="AM6479" s="55">
        <v>2019</v>
      </c>
      <c r="AN6479" s="55" t="s">
        <v>190</v>
      </c>
      <c r="AO6479" s="55">
        <v>27</v>
      </c>
      <c r="AP6479" s="55">
        <v>21</v>
      </c>
      <c r="AQ6479" s="55">
        <v>0</v>
      </c>
      <c r="AR6479" s="55">
        <v>28500</v>
      </c>
      <c r="AS6479" s="78">
        <f t="shared" si="105"/>
        <v>0</v>
      </c>
    </row>
    <row r="6480" spans="39:45">
      <c r="AM6480" s="54">
        <v>2019</v>
      </c>
      <c r="AN6480" s="54" t="s">
        <v>190</v>
      </c>
      <c r="AO6480" s="54">
        <v>27</v>
      </c>
      <c r="AP6480" s="54">
        <v>22</v>
      </c>
      <c r="AQ6480" s="54">
        <v>0</v>
      </c>
      <c r="AR6480" s="55">
        <v>28500</v>
      </c>
      <c r="AS6480" s="78">
        <f t="shared" si="105"/>
        <v>0</v>
      </c>
    </row>
    <row r="6481" spans="39:45">
      <c r="AM6481" s="55">
        <v>2019</v>
      </c>
      <c r="AN6481" s="55" t="s">
        <v>190</v>
      </c>
      <c r="AO6481" s="55">
        <v>27</v>
      </c>
      <c r="AP6481" s="55">
        <v>23</v>
      </c>
      <c r="AQ6481" s="55">
        <v>0</v>
      </c>
      <c r="AR6481" s="55">
        <v>28500</v>
      </c>
      <c r="AS6481" s="78">
        <f t="shared" si="105"/>
        <v>0</v>
      </c>
    </row>
    <row r="6482" spans="39:45">
      <c r="AM6482" s="54">
        <v>2019</v>
      </c>
      <c r="AN6482" s="54" t="s">
        <v>190</v>
      </c>
      <c r="AO6482" s="54">
        <v>28</v>
      </c>
      <c r="AP6482" s="54">
        <v>24</v>
      </c>
      <c r="AQ6482" s="54">
        <v>0</v>
      </c>
      <c r="AR6482" s="55">
        <v>28500</v>
      </c>
      <c r="AS6482" s="78">
        <f t="shared" si="105"/>
        <v>0</v>
      </c>
    </row>
    <row r="6483" spans="39:45">
      <c r="AM6483" s="55">
        <v>2019</v>
      </c>
      <c r="AN6483" s="55" t="s">
        <v>190</v>
      </c>
      <c r="AO6483" s="55">
        <v>28</v>
      </c>
      <c r="AP6483" s="55">
        <v>1</v>
      </c>
      <c r="AQ6483" s="55">
        <v>0</v>
      </c>
      <c r="AR6483" s="55">
        <v>28500</v>
      </c>
      <c r="AS6483" s="78">
        <f t="shared" si="105"/>
        <v>0</v>
      </c>
    </row>
    <row r="6484" spans="39:45">
      <c r="AM6484" s="54">
        <v>2019</v>
      </c>
      <c r="AN6484" s="54" t="s">
        <v>190</v>
      </c>
      <c r="AO6484" s="54">
        <v>28</v>
      </c>
      <c r="AP6484" s="54">
        <v>2</v>
      </c>
      <c r="AQ6484" s="54">
        <v>0</v>
      </c>
      <c r="AR6484" s="55">
        <v>28500</v>
      </c>
      <c r="AS6484" s="78">
        <f t="shared" si="105"/>
        <v>0</v>
      </c>
    </row>
    <row r="6485" spans="39:45">
      <c r="AM6485" s="55">
        <v>2019</v>
      </c>
      <c r="AN6485" s="55" t="s">
        <v>190</v>
      </c>
      <c r="AO6485" s="55">
        <v>28</v>
      </c>
      <c r="AP6485" s="55">
        <v>3</v>
      </c>
      <c r="AQ6485" s="55">
        <v>0</v>
      </c>
      <c r="AR6485" s="55">
        <v>28500</v>
      </c>
      <c r="AS6485" s="78">
        <f t="shared" si="105"/>
        <v>0</v>
      </c>
    </row>
    <row r="6486" spans="39:45">
      <c r="AM6486" s="54">
        <v>2019</v>
      </c>
      <c r="AN6486" s="54" t="s">
        <v>190</v>
      </c>
      <c r="AO6486" s="54">
        <v>28</v>
      </c>
      <c r="AP6486" s="54">
        <v>4</v>
      </c>
      <c r="AQ6486" s="54">
        <v>0</v>
      </c>
      <c r="AR6486" s="55">
        <v>28500</v>
      </c>
      <c r="AS6486" s="78">
        <f t="shared" si="105"/>
        <v>0</v>
      </c>
    </row>
    <row r="6487" spans="39:45">
      <c r="AM6487" s="55">
        <v>2019</v>
      </c>
      <c r="AN6487" s="55" t="s">
        <v>190</v>
      </c>
      <c r="AO6487" s="55">
        <v>28</v>
      </c>
      <c r="AP6487" s="55">
        <v>5</v>
      </c>
      <c r="AQ6487" s="55">
        <v>0</v>
      </c>
      <c r="AR6487" s="55">
        <v>28500</v>
      </c>
      <c r="AS6487" s="78">
        <f t="shared" si="105"/>
        <v>0</v>
      </c>
    </row>
    <row r="6488" spans="39:45">
      <c r="AM6488" s="54">
        <v>2019</v>
      </c>
      <c r="AN6488" s="54" t="s">
        <v>190</v>
      </c>
      <c r="AO6488" s="54">
        <v>28</v>
      </c>
      <c r="AP6488" s="54">
        <v>6</v>
      </c>
      <c r="AQ6488" s="54">
        <v>0</v>
      </c>
      <c r="AR6488" s="55">
        <v>28500</v>
      </c>
      <c r="AS6488" s="78">
        <f t="shared" si="105"/>
        <v>0</v>
      </c>
    </row>
    <row r="6489" spans="39:45">
      <c r="AM6489" s="55">
        <v>2019</v>
      </c>
      <c r="AN6489" s="55" t="s">
        <v>190</v>
      </c>
      <c r="AO6489" s="55">
        <v>28</v>
      </c>
      <c r="AP6489" s="55">
        <v>7</v>
      </c>
      <c r="AQ6489" s="55">
        <v>5466</v>
      </c>
      <c r="AR6489" s="55">
        <v>28500</v>
      </c>
      <c r="AS6489" s="78">
        <f t="shared" si="105"/>
        <v>0.19178947368421054</v>
      </c>
    </row>
    <row r="6490" spans="39:45">
      <c r="AM6490" s="54">
        <v>2019</v>
      </c>
      <c r="AN6490" s="54" t="s">
        <v>190</v>
      </c>
      <c r="AO6490" s="54">
        <v>28</v>
      </c>
      <c r="AP6490" s="54">
        <v>8</v>
      </c>
      <c r="AQ6490" s="54">
        <v>11032.5</v>
      </c>
      <c r="AR6490" s="55">
        <v>28500</v>
      </c>
      <c r="AS6490" s="78">
        <f t="shared" si="105"/>
        <v>0.38710526315789473</v>
      </c>
    </row>
    <row r="6491" spans="39:45">
      <c r="AM6491" s="55">
        <v>2019</v>
      </c>
      <c r="AN6491" s="55" t="s">
        <v>190</v>
      </c>
      <c r="AO6491" s="55">
        <v>28</v>
      </c>
      <c r="AP6491" s="55">
        <v>9</v>
      </c>
      <c r="AQ6491" s="55">
        <v>6850.5</v>
      </c>
      <c r="AR6491" s="55">
        <v>28500</v>
      </c>
      <c r="AS6491" s="78">
        <f t="shared" si="105"/>
        <v>0.24036842105263159</v>
      </c>
    </row>
    <row r="6492" spans="39:45">
      <c r="AM6492" s="54">
        <v>2019</v>
      </c>
      <c r="AN6492" s="54" t="s">
        <v>190</v>
      </c>
      <c r="AO6492" s="54">
        <v>28</v>
      </c>
      <c r="AP6492" s="54">
        <v>10</v>
      </c>
      <c r="AQ6492" s="54">
        <v>23856.5</v>
      </c>
      <c r="AR6492" s="55">
        <v>28500</v>
      </c>
      <c r="AS6492" s="78">
        <f t="shared" si="105"/>
        <v>0.83707017543859652</v>
      </c>
    </row>
    <row r="6493" spans="39:45">
      <c r="AM6493" s="55">
        <v>2019</v>
      </c>
      <c r="AN6493" s="55" t="s">
        <v>190</v>
      </c>
      <c r="AO6493" s="55">
        <v>28</v>
      </c>
      <c r="AP6493" s="55">
        <v>11</v>
      </c>
      <c r="AQ6493" s="55">
        <v>15971.5</v>
      </c>
      <c r="AR6493" s="55">
        <v>28500</v>
      </c>
      <c r="AS6493" s="78">
        <f t="shared" si="105"/>
        <v>0.56040350877192979</v>
      </c>
    </row>
    <row r="6494" spans="39:45">
      <c r="AM6494" s="54">
        <v>2019</v>
      </c>
      <c r="AN6494" s="54" t="s">
        <v>190</v>
      </c>
      <c r="AO6494" s="54">
        <v>28</v>
      </c>
      <c r="AP6494" s="54">
        <v>12</v>
      </c>
      <c r="AQ6494" s="54">
        <v>11679.5</v>
      </c>
      <c r="AR6494" s="55">
        <v>28500</v>
      </c>
      <c r="AS6494" s="78">
        <f t="shared" si="105"/>
        <v>0.40980701754385968</v>
      </c>
    </row>
    <row r="6495" spans="39:45">
      <c r="AM6495" s="55">
        <v>2019</v>
      </c>
      <c r="AN6495" s="55" t="s">
        <v>190</v>
      </c>
      <c r="AO6495" s="55">
        <v>28</v>
      </c>
      <c r="AP6495" s="55">
        <v>13</v>
      </c>
      <c r="AQ6495" s="55">
        <v>5364</v>
      </c>
      <c r="AR6495" s="55">
        <v>28500</v>
      </c>
      <c r="AS6495" s="78">
        <f t="shared" si="105"/>
        <v>0.18821052631578947</v>
      </c>
    </row>
    <row r="6496" spans="39:45">
      <c r="AM6496" s="54">
        <v>2019</v>
      </c>
      <c r="AN6496" s="54" t="s">
        <v>190</v>
      </c>
      <c r="AO6496" s="54">
        <v>28</v>
      </c>
      <c r="AP6496" s="54">
        <v>14</v>
      </c>
      <c r="AQ6496" s="54">
        <v>3605</v>
      </c>
      <c r="AR6496" s="55">
        <v>28500</v>
      </c>
      <c r="AS6496" s="78">
        <f t="shared" si="105"/>
        <v>0.12649122807017543</v>
      </c>
    </row>
    <row r="6497" spans="39:45">
      <c r="AM6497" s="55">
        <v>2019</v>
      </c>
      <c r="AN6497" s="55" t="s">
        <v>190</v>
      </c>
      <c r="AO6497" s="55">
        <v>28</v>
      </c>
      <c r="AP6497" s="55">
        <v>15</v>
      </c>
      <c r="AQ6497" s="55">
        <v>8918</v>
      </c>
      <c r="AR6497" s="55">
        <v>28500</v>
      </c>
      <c r="AS6497" s="78">
        <f t="shared" si="105"/>
        <v>0.31291228070175436</v>
      </c>
    </row>
    <row r="6498" spans="39:45">
      <c r="AM6498" s="54">
        <v>2019</v>
      </c>
      <c r="AN6498" s="54" t="s">
        <v>190</v>
      </c>
      <c r="AO6498" s="54">
        <v>28</v>
      </c>
      <c r="AP6498" s="54">
        <v>16</v>
      </c>
      <c r="AQ6498" s="54">
        <v>1982</v>
      </c>
      <c r="AR6498" s="55">
        <v>28500</v>
      </c>
      <c r="AS6498" s="78">
        <f t="shared" si="105"/>
        <v>6.9543859649122811E-2</v>
      </c>
    </row>
    <row r="6499" spans="39:45">
      <c r="AM6499" s="55">
        <v>2019</v>
      </c>
      <c r="AN6499" s="55" t="s">
        <v>190</v>
      </c>
      <c r="AO6499" s="55">
        <v>28</v>
      </c>
      <c r="AP6499" s="55">
        <v>17</v>
      </c>
      <c r="AQ6499" s="55">
        <v>721</v>
      </c>
      <c r="AR6499" s="55">
        <v>28500</v>
      </c>
      <c r="AS6499" s="78">
        <f t="shared" si="105"/>
        <v>2.5298245614035087E-2</v>
      </c>
    </row>
    <row r="6500" spans="39:45">
      <c r="AM6500" s="54">
        <v>2019</v>
      </c>
      <c r="AN6500" s="54" t="s">
        <v>190</v>
      </c>
      <c r="AO6500" s="54">
        <v>28</v>
      </c>
      <c r="AP6500" s="54">
        <v>18</v>
      </c>
      <c r="AQ6500" s="54">
        <v>0</v>
      </c>
      <c r="AR6500" s="55">
        <v>28500</v>
      </c>
      <c r="AS6500" s="78">
        <f t="shared" si="105"/>
        <v>0</v>
      </c>
    </row>
    <row r="6501" spans="39:45">
      <c r="AM6501" s="55">
        <v>2019</v>
      </c>
      <c r="AN6501" s="55" t="s">
        <v>190</v>
      </c>
      <c r="AO6501" s="55">
        <v>28</v>
      </c>
      <c r="AP6501" s="55">
        <v>19</v>
      </c>
      <c r="AQ6501" s="55">
        <v>0</v>
      </c>
      <c r="AR6501" s="55">
        <v>28500</v>
      </c>
      <c r="AS6501" s="78">
        <f t="shared" si="105"/>
        <v>0</v>
      </c>
    </row>
    <row r="6502" spans="39:45">
      <c r="AM6502" s="54">
        <v>2019</v>
      </c>
      <c r="AN6502" s="54" t="s">
        <v>190</v>
      </c>
      <c r="AO6502" s="54">
        <v>28</v>
      </c>
      <c r="AP6502" s="54">
        <v>20</v>
      </c>
      <c r="AQ6502" s="54">
        <v>0</v>
      </c>
      <c r="AR6502" s="55">
        <v>28500</v>
      </c>
      <c r="AS6502" s="78">
        <f t="shared" si="105"/>
        <v>0</v>
      </c>
    </row>
    <row r="6503" spans="39:45">
      <c r="AM6503" s="55">
        <v>2019</v>
      </c>
      <c r="AN6503" s="55" t="s">
        <v>190</v>
      </c>
      <c r="AO6503" s="55">
        <v>28</v>
      </c>
      <c r="AP6503" s="55">
        <v>21</v>
      </c>
      <c r="AQ6503" s="55">
        <v>0</v>
      </c>
      <c r="AR6503" s="55">
        <v>28500</v>
      </c>
      <c r="AS6503" s="78">
        <f t="shared" si="105"/>
        <v>0</v>
      </c>
    </row>
    <row r="6504" spans="39:45">
      <c r="AM6504" s="54">
        <v>2019</v>
      </c>
      <c r="AN6504" s="54" t="s">
        <v>190</v>
      </c>
      <c r="AO6504" s="54">
        <v>28</v>
      </c>
      <c r="AP6504" s="54">
        <v>22</v>
      </c>
      <c r="AQ6504" s="54">
        <v>0</v>
      </c>
      <c r="AR6504" s="55">
        <v>28500</v>
      </c>
      <c r="AS6504" s="78">
        <f t="shared" si="105"/>
        <v>0</v>
      </c>
    </row>
    <row r="6505" spans="39:45">
      <c r="AM6505" s="55">
        <v>2019</v>
      </c>
      <c r="AN6505" s="55" t="s">
        <v>190</v>
      </c>
      <c r="AO6505" s="55">
        <v>28</v>
      </c>
      <c r="AP6505" s="55">
        <v>23</v>
      </c>
      <c r="AQ6505" s="55">
        <v>0</v>
      </c>
      <c r="AR6505" s="55">
        <v>28500</v>
      </c>
      <c r="AS6505" s="78">
        <f t="shared" si="105"/>
        <v>0</v>
      </c>
    </row>
    <row r="6506" spans="39:45">
      <c r="AM6506" s="54">
        <v>2019</v>
      </c>
      <c r="AN6506" s="54" t="s">
        <v>190</v>
      </c>
      <c r="AO6506" s="54">
        <v>29</v>
      </c>
      <c r="AP6506" s="54">
        <v>24</v>
      </c>
      <c r="AQ6506" s="54">
        <v>0</v>
      </c>
      <c r="AR6506" s="55">
        <v>28500</v>
      </c>
      <c r="AS6506" s="78">
        <f t="shared" si="105"/>
        <v>0</v>
      </c>
    </row>
    <row r="6507" spans="39:45">
      <c r="AM6507" s="55">
        <v>2019</v>
      </c>
      <c r="AN6507" s="55" t="s">
        <v>190</v>
      </c>
      <c r="AO6507" s="55">
        <v>29</v>
      </c>
      <c r="AP6507" s="55">
        <v>1</v>
      </c>
      <c r="AQ6507" s="55">
        <v>0</v>
      </c>
      <c r="AR6507" s="55">
        <v>28500</v>
      </c>
      <c r="AS6507" s="78">
        <f t="shared" si="105"/>
        <v>0</v>
      </c>
    </row>
    <row r="6508" spans="39:45">
      <c r="AM6508" s="54">
        <v>2019</v>
      </c>
      <c r="AN6508" s="54" t="s">
        <v>190</v>
      </c>
      <c r="AO6508" s="54">
        <v>29</v>
      </c>
      <c r="AP6508" s="54">
        <v>2</v>
      </c>
      <c r="AQ6508" s="54">
        <v>0</v>
      </c>
      <c r="AR6508" s="55">
        <v>28500</v>
      </c>
      <c r="AS6508" s="78">
        <f t="shared" si="105"/>
        <v>0</v>
      </c>
    </row>
    <row r="6509" spans="39:45">
      <c r="AM6509" s="55">
        <v>2019</v>
      </c>
      <c r="AN6509" s="55" t="s">
        <v>190</v>
      </c>
      <c r="AO6509" s="55">
        <v>29</v>
      </c>
      <c r="AP6509" s="55">
        <v>3</v>
      </c>
      <c r="AQ6509" s="55">
        <v>0</v>
      </c>
      <c r="AR6509" s="55">
        <v>28500</v>
      </c>
      <c r="AS6509" s="78">
        <f t="shared" si="105"/>
        <v>0</v>
      </c>
    </row>
    <row r="6510" spans="39:45">
      <c r="AM6510" s="54">
        <v>2019</v>
      </c>
      <c r="AN6510" s="54" t="s">
        <v>190</v>
      </c>
      <c r="AO6510" s="54">
        <v>29</v>
      </c>
      <c r="AP6510" s="54">
        <v>4</v>
      </c>
      <c r="AQ6510" s="54">
        <v>0</v>
      </c>
      <c r="AR6510" s="55">
        <v>28500</v>
      </c>
      <c r="AS6510" s="78">
        <f t="shared" si="105"/>
        <v>0</v>
      </c>
    </row>
    <row r="6511" spans="39:45">
      <c r="AM6511" s="55">
        <v>2019</v>
      </c>
      <c r="AN6511" s="55" t="s">
        <v>190</v>
      </c>
      <c r="AO6511" s="55">
        <v>29</v>
      </c>
      <c r="AP6511" s="55">
        <v>5</v>
      </c>
      <c r="AQ6511" s="55">
        <v>0</v>
      </c>
      <c r="AR6511" s="55">
        <v>28500</v>
      </c>
      <c r="AS6511" s="78">
        <f t="shared" si="105"/>
        <v>0</v>
      </c>
    </row>
    <row r="6512" spans="39:45">
      <c r="AM6512" s="54">
        <v>2019</v>
      </c>
      <c r="AN6512" s="54" t="s">
        <v>190</v>
      </c>
      <c r="AO6512" s="54">
        <v>29</v>
      </c>
      <c r="AP6512" s="54">
        <v>6</v>
      </c>
      <c r="AQ6512" s="54">
        <v>0</v>
      </c>
      <c r="AR6512" s="55">
        <v>28500</v>
      </c>
      <c r="AS6512" s="78">
        <f t="shared" si="105"/>
        <v>0</v>
      </c>
    </row>
    <row r="6513" spans="39:45">
      <c r="AM6513" s="55">
        <v>2019</v>
      </c>
      <c r="AN6513" s="55" t="s">
        <v>190</v>
      </c>
      <c r="AO6513" s="55">
        <v>29</v>
      </c>
      <c r="AP6513" s="55">
        <v>7</v>
      </c>
      <c r="AQ6513" s="55">
        <v>524.5</v>
      </c>
      <c r="AR6513" s="55">
        <v>28500</v>
      </c>
      <c r="AS6513" s="78">
        <f t="shared" si="105"/>
        <v>1.8403508771929825E-2</v>
      </c>
    </row>
    <row r="6514" spans="39:45">
      <c r="AM6514" s="54">
        <v>2019</v>
      </c>
      <c r="AN6514" s="54" t="s">
        <v>190</v>
      </c>
      <c r="AO6514" s="54">
        <v>29</v>
      </c>
      <c r="AP6514" s="54">
        <v>8</v>
      </c>
      <c r="AQ6514" s="54">
        <v>2996.5</v>
      </c>
      <c r="AR6514" s="55">
        <v>28500</v>
      </c>
      <c r="AS6514" s="78">
        <f t="shared" si="105"/>
        <v>0.10514035087719298</v>
      </c>
    </row>
    <row r="6515" spans="39:45">
      <c r="AM6515" s="55">
        <v>2019</v>
      </c>
      <c r="AN6515" s="55" t="s">
        <v>190</v>
      </c>
      <c r="AO6515" s="55">
        <v>29</v>
      </c>
      <c r="AP6515" s="55">
        <v>9</v>
      </c>
      <c r="AQ6515" s="55">
        <v>1949.5</v>
      </c>
      <c r="AR6515" s="55">
        <v>28500</v>
      </c>
      <c r="AS6515" s="78">
        <f t="shared" si="105"/>
        <v>6.8403508771929827E-2</v>
      </c>
    </row>
    <row r="6516" spans="39:45">
      <c r="AM6516" s="54">
        <v>2019</v>
      </c>
      <c r="AN6516" s="54" t="s">
        <v>190</v>
      </c>
      <c r="AO6516" s="54">
        <v>29</v>
      </c>
      <c r="AP6516" s="54">
        <v>10</v>
      </c>
      <c r="AQ6516" s="54">
        <v>2279</v>
      </c>
      <c r="AR6516" s="55">
        <v>28500</v>
      </c>
      <c r="AS6516" s="78">
        <f t="shared" si="105"/>
        <v>7.9964912280701753E-2</v>
      </c>
    </row>
    <row r="6517" spans="39:45">
      <c r="AM6517" s="55">
        <v>2019</v>
      </c>
      <c r="AN6517" s="55" t="s">
        <v>190</v>
      </c>
      <c r="AO6517" s="55">
        <v>29</v>
      </c>
      <c r="AP6517" s="55">
        <v>11</v>
      </c>
      <c r="AQ6517" s="55">
        <v>3474</v>
      </c>
      <c r="AR6517" s="55">
        <v>28500</v>
      </c>
      <c r="AS6517" s="78">
        <f t="shared" si="105"/>
        <v>0.12189473684210526</v>
      </c>
    </row>
    <row r="6518" spans="39:45">
      <c r="AM6518" s="54">
        <v>2019</v>
      </c>
      <c r="AN6518" s="54" t="s">
        <v>190</v>
      </c>
      <c r="AO6518" s="54">
        <v>29</v>
      </c>
      <c r="AP6518" s="54">
        <v>12</v>
      </c>
      <c r="AQ6518" s="54">
        <v>6031.5</v>
      </c>
      <c r="AR6518" s="55">
        <v>28500</v>
      </c>
      <c r="AS6518" s="78">
        <f t="shared" si="105"/>
        <v>0.21163157894736842</v>
      </c>
    </row>
    <row r="6519" spans="39:45">
      <c r="AM6519" s="55">
        <v>2019</v>
      </c>
      <c r="AN6519" s="55" t="s">
        <v>190</v>
      </c>
      <c r="AO6519" s="55">
        <v>29</v>
      </c>
      <c r="AP6519" s="55">
        <v>13</v>
      </c>
      <c r="AQ6519" s="55">
        <v>4047.5</v>
      </c>
      <c r="AR6519" s="55">
        <v>28500</v>
      </c>
      <c r="AS6519" s="78">
        <f t="shared" si="105"/>
        <v>0.14201754385964913</v>
      </c>
    </row>
    <row r="6520" spans="39:45">
      <c r="AM6520" s="54">
        <v>2019</v>
      </c>
      <c r="AN6520" s="54" t="s">
        <v>190</v>
      </c>
      <c r="AO6520" s="54">
        <v>29</v>
      </c>
      <c r="AP6520" s="54">
        <v>14</v>
      </c>
      <c r="AQ6520" s="54">
        <v>12855.5</v>
      </c>
      <c r="AR6520" s="55">
        <v>28500</v>
      </c>
      <c r="AS6520" s="78">
        <f t="shared" si="105"/>
        <v>0.45107017543859651</v>
      </c>
    </row>
    <row r="6521" spans="39:45">
      <c r="AM6521" s="55">
        <v>2019</v>
      </c>
      <c r="AN6521" s="55" t="s">
        <v>190</v>
      </c>
      <c r="AO6521" s="55">
        <v>29</v>
      </c>
      <c r="AP6521" s="55">
        <v>15</v>
      </c>
      <c r="AQ6521" s="55">
        <v>5977</v>
      </c>
      <c r="AR6521" s="55">
        <v>28500</v>
      </c>
      <c r="AS6521" s="78">
        <f t="shared" si="105"/>
        <v>0.20971929824561403</v>
      </c>
    </row>
    <row r="6522" spans="39:45">
      <c r="AM6522" s="54">
        <v>2019</v>
      </c>
      <c r="AN6522" s="54" t="s">
        <v>190</v>
      </c>
      <c r="AO6522" s="54">
        <v>29</v>
      </c>
      <c r="AP6522" s="54">
        <v>16</v>
      </c>
      <c r="AQ6522" s="54">
        <v>1949</v>
      </c>
      <c r="AR6522" s="55">
        <v>28500</v>
      </c>
      <c r="AS6522" s="78">
        <f t="shared" si="105"/>
        <v>6.8385964912280703E-2</v>
      </c>
    </row>
    <row r="6523" spans="39:45">
      <c r="AM6523" s="55">
        <v>2019</v>
      </c>
      <c r="AN6523" s="55" t="s">
        <v>190</v>
      </c>
      <c r="AO6523" s="55">
        <v>29</v>
      </c>
      <c r="AP6523" s="55">
        <v>17</v>
      </c>
      <c r="AQ6523" s="55">
        <v>237.5</v>
      </c>
      <c r="AR6523" s="55">
        <v>28500</v>
      </c>
      <c r="AS6523" s="78">
        <f t="shared" si="105"/>
        <v>8.3333333333333332E-3</v>
      </c>
    </row>
    <row r="6524" spans="39:45">
      <c r="AM6524" s="54">
        <v>2019</v>
      </c>
      <c r="AN6524" s="54" t="s">
        <v>190</v>
      </c>
      <c r="AO6524" s="54">
        <v>29</v>
      </c>
      <c r="AP6524" s="54">
        <v>18</v>
      </c>
      <c r="AQ6524" s="54">
        <v>0</v>
      </c>
      <c r="AR6524" s="55">
        <v>28500</v>
      </c>
      <c r="AS6524" s="78">
        <f t="shared" si="105"/>
        <v>0</v>
      </c>
    </row>
    <row r="6525" spans="39:45">
      <c r="AM6525" s="55">
        <v>2019</v>
      </c>
      <c r="AN6525" s="55" t="s">
        <v>190</v>
      </c>
      <c r="AO6525" s="55">
        <v>29</v>
      </c>
      <c r="AP6525" s="55">
        <v>19</v>
      </c>
      <c r="AQ6525" s="55">
        <v>0</v>
      </c>
      <c r="AR6525" s="55">
        <v>28500</v>
      </c>
      <c r="AS6525" s="78">
        <f t="shared" si="105"/>
        <v>0</v>
      </c>
    </row>
    <row r="6526" spans="39:45">
      <c r="AM6526" s="54">
        <v>2019</v>
      </c>
      <c r="AN6526" s="54" t="s">
        <v>190</v>
      </c>
      <c r="AO6526" s="54">
        <v>29</v>
      </c>
      <c r="AP6526" s="54">
        <v>20</v>
      </c>
      <c r="AQ6526" s="54">
        <v>0</v>
      </c>
      <c r="AR6526" s="55">
        <v>28500</v>
      </c>
      <c r="AS6526" s="78">
        <f t="shared" si="105"/>
        <v>0</v>
      </c>
    </row>
    <row r="6527" spans="39:45">
      <c r="AM6527" s="55">
        <v>2019</v>
      </c>
      <c r="AN6527" s="55" t="s">
        <v>190</v>
      </c>
      <c r="AO6527" s="55">
        <v>29</v>
      </c>
      <c r="AP6527" s="55">
        <v>21</v>
      </c>
      <c r="AQ6527" s="55">
        <v>0</v>
      </c>
      <c r="AR6527" s="55">
        <v>28500</v>
      </c>
      <c r="AS6527" s="78">
        <f t="shared" si="105"/>
        <v>0</v>
      </c>
    </row>
    <row r="6528" spans="39:45">
      <c r="AM6528" s="54">
        <v>2019</v>
      </c>
      <c r="AN6528" s="54" t="s">
        <v>190</v>
      </c>
      <c r="AO6528" s="54">
        <v>29</v>
      </c>
      <c r="AP6528" s="54">
        <v>22</v>
      </c>
      <c r="AQ6528" s="54">
        <v>0</v>
      </c>
      <c r="AR6528" s="55">
        <v>28500</v>
      </c>
      <c r="AS6528" s="78">
        <f t="shared" si="105"/>
        <v>0</v>
      </c>
    </row>
    <row r="6529" spans="39:45">
      <c r="AM6529" s="55">
        <v>2019</v>
      </c>
      <c r="AN6529" s="55" t="s">
        <v>190</v>
      </c>
      <c r="AO6529" s="55">
        <v>29</v>
      </c>
      <c r="AP6529" s="55">
        <v>23</v>
      </c>
      <c r="AQ6529" s="55">
        <v>0</v>
      </c>
      <c r="AR6529" s="55">
        <v>28500</v>
      </c>
      <c r="AS6529" s="78">
        <f t="shared" si="105"/>
        <v>0</v>
      </c>
    </row>
    <row r="6530" spans="39:45">
      <c r="AM6530" s="54">
        <v>2019</v>
      </c>
      <c r="AN6530" s="54" t="s">
        <v>190</v>
      </c>
      <c r="AO6530" s="54">
        <v>30</v>
      </c>
      <c r="AP6530" s="54">
        <v>24</v>
      </c>
      <c r="AQ6530" s="54">
        <v>0</v>
      </c>
      <c r="AR6530" s="55">
        <v>28500</v>
      </c>
      <c r="AS6530" s="78">
        <f t="shared" ref="AS6530:AS6593" si="106">AQ6530/AR6530</f>
        <v>0</v>
      </c>
    </row>
    <row r="6531" spans="39:45">
      <c r="AM6531" s="55">
        <v>2019</v>
      </c>
      <c r="AN6531" s="55" t="s">
        <v>190</v>
      </c>
      <c r="AO6531" s="55">
        <v>30</v>
      </c>
      <c r="AP6531" s="55">
        <v>1</v>
      </c>
      <c r="AQ6531" s="55">
        <v>0</v>
      </c>
      <c r="AR6531" s="55">
        <v>28500</v>
      </c>
      <c r="AS6531" s="78">
        <f t="shared" si="106"/>
        <v>0</v>
      </c>
    </row>
    <row r="6532" spans="39:45">
      <c r="AM6532" s="54">
        <v>2019</v>
      </c>
      <c r="AN6532" s="54" t="s">
        <v>190</v>
      </c>
      <c r="AO6532" s="54">
        <v>30</v>
      </c>
      <c r="AP6532" s="54">
        <v>2</v>
      </c>
      <c r="AQ6532" s="54">
        <v>0</v>
      </c>
      <c r="AR6532" s="55">
        <v>28500</v>
      </c>
      <c r="AS6532" s="78">
        <f t="shared" si="106"/>
        <v>0</v>
      </c>
    </row>
    <row r="6533" spans="39:45">
      <c r="AM6533" s="55">
        <v>2019</v>
      </c>
      <c r="AN6533" s="55" t="s">
        <v>190</v>
      </c>
      <c r="AO6533" s="55">
        <v>30</v>
      </c>
      <c r="AP6533" s="55">
        <v>3</v>
      </c>
      <c r="AQ6533" s="55">
        <v>0</v>
      </c>
      <c r="AR6533" s="55">
        <v>28500</v>
      </c>
      <c r="AS6533" s="78">
        <f t="shared" si="106"/>
        <v>0</v>
      </c>
    </row>
    <row r="6534" spans="39:45">
      <c r="AM6534" s="54">
        <v>2019</v>
      </c>
      <c r="AN6534" s="54" t="s">
        <v>190</v>
      </c>
      <c r="AO6534" s="54">
        <v>30</v>
      </c>
      <c r="AP6534" s="54">
        <v>4</v>
      </c>
      <c r="AQ6534" s="54">
        <v>0</v>
      </c>
      <c r="AR6534" s="55">
        <v>28500</v>
      </c>
      <c r="AS6534" s="78">
        <f t="shared" si="106"/>
        <v>0</v>
      </c>
    </row>
    <row r="6535" spans="39:45">
      <c r="AM6535" s="55">
        <v>2019</v>
      </c>
      <c r="AN6535" s="55" t="s">
        <v>190</v>
      </c>
      <c r="AO6535" s="55">
        <v>30</v>
      </c>
      <c r="AP6535" s="55">
        <v>5</v>
      </c>
      <c r="AQ6535" s="55">
        <v>0</v>
      </c>
      <c r="AR6535" s="55">
        <v>28500</v>
      </c>
      <c r="AS6535" s="78">
        <f t="shared" si="106"/>
        <v>0</v>
      </c>
    </row>
    <row r="6536" spans="39:45">
      <c r="AM6536" s="54">
        <v>2019</v>
      </c>
      <c r="AN6536" s="54" t="s">
        <v>190</v>
      </c>
      <c r="AO6536" s="54">
        <v>30</v>
      </c>
      <c r="AP6536" s="54">
        <v>6</v>
      </c>
      <c r="AQ6536" s="54">
        <v>0</v>
      </c>
      <c r="AR6536" s="55">
        <v>28500</v>
      </c>
      <c r="AS6536" s="78">
        <f t="shared" si="106"/>
        <v>0</v>
      </c>
    </row>
    <row r="6537" spans="39:45">
      <c r="AM6537" s="55">
        <v>2019</v>
      </c>
      <c r="AN6537" s="55" t="s">
        <v>190</v>
      </c>
      <c r="AO6537" s="55">
        <v>30</v>
      </c>
      <c r="AP6537" s="55">
        <v>7</v>
      </c>
      <c r="AQ6537" s="55">
        <v>387.5</v>
      </c>
      <c r="AR6537" s="55">
        <v>28500</v>
      </c>
      <c r="AS6537" s="78">
        <f t="shared" si="106"/>
        <v>1.3596491228070176E-2</v>
      </c>
    </row>
    <row r="6538" spans="39:45">
      <c r="AM6538" s="54">
        <v>2019</v>
      </c>
      <c r="AN6538" s="54" t="s">
        <v>190</v>
      </c>
      <c r="AO6538" s="54">
        <v>30</v>
      </c>
      <c r="AP6538" s="54">
        <v>8</v>
      </c>
      <c r="AQ6538" s="54">
        <v>10418</v>
      </c>
      <c r="AR6538" s="55">
        <v>28500</v>
      </c>
      <c r="AS6538" s="78">
        <f t="shared" si="106"/>
        <v>0.36554385964912278</v>
      </c>
    </row>
    <row r="6539" spans="39:45">
      <c r="AM6539" s="55">
        <v>2019</v>
      </c>
      <c r="AN6539" s="55" t="s">
        <v>190</v>
      </c>
      <c r="AO6539" s="55">
        <v>30</v>
      </c>
      <c r="AP6539" s="55">
        <v>9</v>
      </c>
      <c r="AQ6539" s="55">
        <v>14370.5</v>
      </c>
      <c r="AR6539" s="55">
        <v>28500</v>
      </c>
      <c r="AS6539" s="78">
        <f t="shared" si="106"/>
        <v>0.50422807017543858</v>
      </c>
    </row>
    <row r="6540" spans="39:45">
      <c r="AM6540" s="54">
        <v>2019</v>
      </c>
      <c r="AN6540" s="54" t="s">
        <v>190</v>
      </c>
      <c r="AO6540" s="54">
        <v>30</v>
      </c>
      <c r="AP6540" s="54">
        <v>10</v>
      </c>
      <c r="AQ6540" s="54">
        <v>12722</v>
      </c>
      <c r="AR6540" s="55">
        <v>28500</v>
      </c>
      <c r="AS6540" s="78">
        <f t="shared" si="106"/>
        <v>0.44638596491228072</v>
      </c>
    </row>
    <row r="6541" spans="39:45">
      <c r="AM6541" s="55">
        <v>2019</v>
      </c>
      <c r="AN6541" s="55" t="s">
        <v>190</v>
      </c>
      <c r="AO6541" s="55">
        <v>30</v>
      </c>
      <c r="AP6541" s="55">
        <v>11</v>
      </c>
      <c r="AQ6541" s="55">
        <v>10679</v>
      </c>
      <c r="AR6541" s="55">
        <v>28500</v>
      </c>
      <c r="AS6541" s="78">
        <f t="shared" si="106"/>
        <v>0.37470175438596492</v>
      </c>
    </row>
    <row r="6542" spans="39:45">
      <c r="AM6542" s="54">
        <v>2019</v>
      </c>
      <c r="AN6542" s="54" t="s">
        <v>190</v>
      </c>
      <c r="AO6542" s="54">
        <v>30</v>
      </c>
      <c r="AP6542" s="54">
        <v>12</v>
      </c>
      <c r="AQ6542" s="54">
        <v>11013</v>
      </c>
      <c r="AR6542" s="55">
        <v>28500</v>
      </c>
      <c r="AS6542" s="78">
        <f t="shared" si="106"/>
        <v>0.38642105263157894</v>
      </c>
    </row>
    <row r="6543" spans="39:45">
      <c r="AM6543" s="55">
        <v>2019</v>
      </c>
      <c r="AN6543" s="55" t="s">
        <v>190</v>
      </c>
      <c r="AO6543" s="55">
        <v>30</v>
      </c>
      <c r="AP6543" s="55">
        <v>13</v>
      </c>
      <c r="AQ6543" s="55">
        <v>3132.5</v>
      </c>
      <c r="AR6543" s="55">
        <v>28500</v>
      </c>
      <c r="AS6543" s="78">
        <f t="shared" si="106"/>
        <v>0.10991228070175439</v>
      </c>
    </row>
    <row r="6544" spans="39:45">
      <c r="AM6544" s="54">
        <v>2019</v>
      </c>
      <c r="AN6544" s="54" t="s">
        <v>190</v>
      </c>
      <c r="AO6544" s="54">
        <v>30</v>
      </c>
      <c r="AP6544" s="54">
        <v>14</v>
      </c>
      <c r="AQ6544" s="54">
        <v>2651</v>
      </c>
      <c r="AR6544" s="55">
        <v>28500</v>
      </c>
      <c r="AS6544" s="78">
        <f t="shared" si="106"/>
        <v>9.3017543859649124E-2</v>
      </c>
    </row>
    <row r="6545" spans="39:45">
      <c r="AM6545" s="55">
        <v>2019</v>
      </c>
      <c r="AN6545" s="55" t="s">
        <v>190</v>
      </c>
      <c r="AO6545" s="55">
        <v>30</v>
      </c>
      <c r="AP6545" s="55">
        <v>15</v>
      </c>
      <c r="AQ6545" s="55">
        <v>556.5</v>
      </c>
      <c r="AR6545" s="55">
        <v>28500</v>
      </c>
      <c r="AS6545" s="78">
        <f t="shared" si="106"/>
        <v>1.9526315789473683E-2</v>
      </c>
    </row>
    <row r="6546" spans="39:45">
      <c r="AM6546" s="54">
        <v>2019</v>
      </c>
      <c r="AN6546" s="54" t="s">
        <v>190</v>
      </c>
      <c r="AO6546" s="54">
        <v>30</v>
      </c>
      <c r="AP6546" s="54">
        <v>16</v>
      </c>
      <c r="AQ6546" s="54">
        <v>1392</v>
      </c>
      <c r="AR6546" s="55">
        <v>28500</v>
      </c>
      <c r="AS6546" s="78">
        <f t="shared" si="106"/>
        <v>4.8842105263157895E-2</v>
      </c>
    </row>
    <row r="6547" spans="39:45">
      <c r="AM6547" s="55">
        <v>2019</v>
      </c>
      <c r="AN6547" s="55" t="s">
        <v>190</v>
      </c>
      <c r="AO6547" s="55">
        <v>30</v>
      </c>
      <c r="AP6547" s="55">
        <v>17</v>
      </c>
      <c r="AQ6547" s="55">
        <v>92</v>
      </c>
      <c r="AR6547" s="55">
        <v>28500</v>
      </c>
      <c r="AS6547" s="78">
        <f t="shared" si="106"/>
        <v>3.2280701754385964E-3</v>
      </c>
    </row>
    <row r="6548" spans="39:45">
      <c r="AM6548" s="54">
        <v>2019</v>
      </c>
      <c r="AN6548" s="54" t="s">
        <v>190</v>
      </c>
      <c r="AO6548" s="54">
        <v>30</v>
      </c>
      <c r="AP6548" s="54">
        <v>18</v>
      </c>
      <c r="AQ6548" s="54">
        <v>0</v>
      </c>
      <c r="AR6548" s="55">
        <v>28500</v>
      </c>
      <c r="AS6548" s="78">
        <f t="shared" si="106"/>
        <v>0</v>
      </c>
    </row>
    <row r="6549" spans="39:45">
      <c r="AM6549" s="55">
        <v>2019</v>
      </c>
      <c r="AN6549" s="55" t="s">
        <v>190</v>
      </c>
      <c r="AO6549" s="55">
        <v>30</v>
      </c>
      <c r="AP6549" s="55">
        <v>19</v>
      </c>
      <c r="AQ6549" s="55">
        <v>0</v>
      </c>
      <c r="AR6549" s="55">
        <v>28500</v>
      </c>
      <c r="AS6549" s="78">
        <f t="shared" si="106"/>
        <v>0</v>
      </c>
    </row>
    <row r="6550" spans="39:45">
      <c r="AM6550" s="54">
        <v>2019</v>
      </c>
      <c r="AN6550" s="54" t="s">
        <v>190</v>
      </c>
      <c r="AO6550" s="54">
        <v>30</v>
      </c>
      <c r="AP6550" s="54">
        <v>20</v>
      </c>
      <c r="AQ6550" s="54">
        <v>0</v>
      </c>
      <c r="AR6550" s="55">
        <v>28500</v>
      </c>
      <c r="AS6550" s="78">
        <f t="shared" si="106"/>
        <v>0</v>
      </c>
    </row>
    <row r="6551" spans="39:45">
      <c r="AM6551" s="55">
        <v>2019</v>
      </c>
      <c r="AN6551" s="55" t="s">
        <v>190</v>
      </c>
      <c r="AO6551" s="55">
        <v>30</v>
      </c>
      <c r="AP6551" s="55">
        <v>21</v>
      </c>
      <c r="AQ6551" s="55">
        <v>0</v>
      </c>
      <c r="AR6551" s="55">
        <v>28500</v>
      </c>
      <c r="AS6551" s="78">
        <f t="shared" si="106"/>
        <v>0</v>
      </c>
    </row>
    <row r="6552" spans="39:45">
      <c r="AM6552" s="54">
        <v>2019</v>
      </c>
      <c r="AN6552" s="54" t="s">
        <v>190</v>
      </c>
      <c r="AO6552" s="54">
        <v>30</v>
      </c>
      <c r="AP6552" s="54">
        <v>22</v>
      </c>
      <c r="AQ6552" s="54">
        <v>0</v>
      </c>
      <c r="AR6552" s="55">
        <v>28500</v>
      </c>
      <c r="AS6552" s="78">
        <f t="shared" si="106"/>
        <v>0</v>
      </c>
    </row>
    <row r="6553" spans="39:45">
      <c r="AM6553" s="55">
        <v>2019</v>
      </c>
      <c r="AN6553" s="55" t="s">
        <v>190</v>
      </c>
      <c r="AO6553" s="55">
        <v>30</v>
      </c>
      <c r="AP6553" s="55">
        <v>23</v>
      </c>
      <c r="AQ6553" s="55">
        <v>0</v>
      </c>
      <c r="AR6553" s="55">
        <v>28500</v>
      </c>
      <c r="AS6553" s="78">
        <f t="shared" si="106"/>
        <v>0</v>
      </c>
    </row>
    <row r="6554" spans="39:45">
      <c r="AM6554" s="54">
        <v>2019</v>
      </c>
      <c r="AN6554" s="54" t="s">
        <v>191</v>
      </c>
      <c r="AO6554" s="54">
        <v>1</v>
      </c>
      <c r="AP6554" s="54">
        <v>24</v>
      </c>
      <c r="AQ6554" s="54">
        <v>0</v>
      </c>
      <c r="AR6554" s="55">
        <v>28500</v>
      </c>
      <c r="AS6554" s="78">
        <f t="shared" si="106"/>
        <v>0</v>
      </c>
    </row>
    <row r="6555" spans="39:45">
      <c r="AM6555" s="55">
        <v>2019</v>
      </c>
      <c r="AN6555" s="55" t="s">
        <v>191</v>
      </c>
      <c r="AO6555" s="55">
        <v>1</v>
      </c>
      <c r="AP6555" s="55">
        <v>1</v>
      </c>
      <c r="AQ6555" s="55">
        <v>0</v>
      </c>
      <c r="AR6555" s="55">
        <v>28500</v>
      </c>
      <c r="AS6555" s="78">
        <f t="shared" si="106"/>
        <v>0</v>
      </c>
    </row>
    <row r="6556" spans="39:45">
      <c r="AM6556" s="54">
        <v>2019</v>
      </c>
      <c r="AN6556" s="54" t="s">
        <v>191</v>
      </c>
      <c r="AO6556" s="54">
        <v>1</v>
      </c>
      <c r="AP6556" s="54">
        <v>2</v>
      </c>
      <c r="AQ6556" s="54">
        <v>0</v>
      </c>
      <c r="AR6556" s="55">
        <v>28500</v>
      </c>
      <c r="AS6556" s="78">
        <f t="shared" si="106"/>
        <v>0</v>
      </c>
    </row>
    <row r="6557" spans="39:45">
      <c r="AM6557" s="55">
        <v>2019</v>
      </c>
      <c r="AN6557" s="55" t="s">
        <v>191</v>
      </c>
      <c r="AO6557" s="55">
        <v>1</v>
      </c>
      <c r="AP6557" s="55">
        <v>3</v>
      </c>
      <c r="AQ6557" s="55">
        <v>0</v>
      </c>
      <c r="AR6557" s="55">
        <v>28500</v>
      </c>
      <c r="AS6557" s="78">
        <f t="shared" si="106"/>
        <v>0</v>
      </c>
    </row>
    <row r="6558" spans="39:45">
      <c r="AM6558" s="54">
        <v>2019</v>
      </c>
      <c r="AN6558" s="54" t="s">
        <v>191</v>
      </c>
      <c r="AO6558" s="54">
        <v>1</v>
      </c>
      <c r="AP6558" s="54">
        <v>4</v>
      </c>
      <c r="AQ6558" s="54">
        <v>0</v>
      </c>
      <c r="AR6558" s="55">
        <v>28500</v>
      </c>
      <c r="AS6558" s="78">
        <f t="shared" si="106"/>
        <v>0</v>
      </c>
    </row>
    <row r="6559" spans="39:45">
      <c r="AM6559" s="55">
        <v>2019</v>
      </c>
      <c r="AN6559" s="55" t="s">
        <v>191</v>
      </c>
      <c r="AO6559" s="55">
        <v>1</v>
      </c>
      <c r="AP6559" s="55">
        <v>5</v>
      </c>
      <c r="AQ6559" s="55">
        <v>0</v>
      </c>
      <c r="AR6559" s="55">
        <v>28500</v>
      </c>
      <c r="AS6559" s="78">
        <f t="shared" si="106"/>
        <v>0</v>
      </c>
    </row>
    <row r="6560" spans="39:45">
      <c r="AM6560" s="54">
        <v>2019</v>
      </c>
      <c r="AN6560" s="54" t="s">
        <v>191</v>
      </c>
      <c r="AO6560" s="54">
        <v>1</v>
      </c>
      <c r="AP6560" s="54">
        <v>6</v>
      </c>
      <c r="AQ6560" s="54">
        <v>0</v>
      </c>
      <c r="AR6560" s="55">
        <v>28500</v>
      </c>
      <c r="AS6560" s="78">
        <f t="shared" si="106"/>
        <v>0</v>
      </c>
    </row>
    <row r="6561" spans="39:45">
      <c r="AM6561" s="55">
        <v>2019</v>
      </c>
      <c r="AN6561" s="55" t="s">
        <v>191</v>
      </c>
      <c r="AO6561" s="55">
        <v>1</v>
      </c>
      <c r="AP6561" s="55">
        <v>7</v>
      </c>
      <c r="AQ6561" s="55">
        <v>5978</v>
      </c>
      <c r="AR6561" s="55">
        <v>28500</v>
      </c>
      <c r="AS6561" s="78">
        <f t="shared" si="106"/>
        <v>0.20975438596491228</v>
      </c>
    </row>
    <row r="6562" spans="39:45">
      <c r="AM6562" s="54">
        <v>2019</v>
      </c>
      <c r="AN6562" s="54" t="s">
        <v>191</v>
      </c>
      <c r="AO6562" s="54">
        <v>1</v>
      </c>
      <c r="AP6562" s="54">
        <v>8</v>
      </c>
      <c r="AQ6562" s="54">
        <v>16506.5</v>
      </c>
      <c r="AR6562" s="55">
        <v>28500</v>
      </c>
      <c r="AS6562" s="78">
        <f t="shared" si="106"/>
        <v>0.57917543859649123</v>
      </c>
    </row>
    <row r="6563" spans="39:45">
      <c r="AM6563" s="55">
        <v>2019</v>
      </c>
      <c r="AN6563" s="55" t="s">
        <v>191</v>
      </c>
      <c r="AO6563" s="55">
        <v>1</v>
      </c>
      <c r="AP6563" s="55">
        <v>9</v>
      </c>
      <c r="AQ6563" s="55">
        <v>7088</v>
      </c>
      <c r="AR6563" s="55">
        <v>28500</v>
      </c>
      <c r="AS6563" s="78">
        <f t="shared" si="106"/>
        <v>0.24870175438596492</v>
      </c>
    </row>
    <row r="6564" spans="39:45">
      <c r="AM6564" s="54">
        <v>2019</v>
      </c>
      <c r="AN6564" s="54" t="s">
        <v>191</v>
      </c>
      <c r="AO6564" s="54">
        <v>1</v>
      </c>
      <c r="AP6564" s="54">
        <v>10</v>
      </c>
      <c r="AQ6564" s="54">
        <v>1099.5</v>
      </c>
      <c r="AR6564" s="55">
        <v>28500</v>
      </c>
      <c r="AS6564" s="78">
        <f t="shared" si="106"/>
        <v>3.8578947368421053E-2</v>
      </c>
    </row>
    <row r="6565" spans="39:45">
      <c r="AM6565" s="55">
        <v>2019</v>
      </c>
      <c r="AN6565" s="55" t="s">
        <v>191</v>
      </c>
      <c r="AO6565" s="55">
        <v>1</v>
      </c>
      <c r="AP6565" s="55">
        <v>11</v>
      </c>
      <c r="AQ6565" s="55">
        <v>10747</v>
      </c>
      <c r="AR6565" s="55">
        <v>28500</v>
      </c>
      <c r="AS6565" s="78">
        <f t="shared" si="106"/>
        <v>0.37708771929824564</v>
      </c>
    </row>
    <row r="6566" spans="39:45">
      <c r="AM6566" s="54">
        <v>2019</v>
      </c>
      <c r="AN6566" s="54" t="s">
        <v>191</v>
      </c>
      <c r="AO6566" s="54">
        <v>1</v>
      </c>
      <c r="AP6566" s="54">
        <v>12</v>
      </c>
      <c r="AQ6566" s="54">
        <v>23327</v>
      </c>
      <c r="AR6566" s="55">
        <v>28500</v>
      </c>
      <c r="AS6566" s="78">
        <f t="shared" si="106"/>
        <v>0.81849122807017549</v>
      </c>
    </row>
    <row r="6567" spans="39:45">
      <c r="AM6567" s="55">
        <v>2019</v>
      </c>
      <c r="AN6567" s="55" t="s">
        <v>191</v>
      </c>
      <c r="AO6567" s="55">
        <v>1</v>
      </c>
      <c r="AP6567" s="55">
        <v>13</v>
      </c>
      <c r="AQ6567" s="55">
        <v>32594.5</v>
      </c>
      <c r="AR6567" s="55">
        <v>28500</v>
      </c>
      <c r="AS6567" s="78">
        <f t="shared" si="106"/>
        <v>1.1436666666666666</v>
      </c>
    </row>
    <row r="6568" spans="39:45">
      <c r="AM6568" s="54">
        <v>2019</v>
      </c>
      <c r="AN6568" s="54" t="s">
        <v>191</v>
      </c>
      <c r="AO6568" s="54">
        <v>1</v>
      </c>
      <c r="AP6568" s="54">
        <v>14</v>
      </c>
      <c r="AQ6568" s="54">
        <v>16598</v>
      </c>
      <c r="AR6568" s="55">
        <v>28500</v>
      </c>
      <c r="AS6568" s="78">
        <f t="shared" si="106"/>
        <v>0.58238596491228067</v>
      </c>
    </row>
    <row r="6569" spans="39:45">
      <c r="AM6569" s="55">
        <v>2019</v>
      </c>
      <c r="AN6569" s="55" t="s">
        <v>191</v>
      </c>
      <c r="AO6569" s="55">
        <v>1</v>
      </c>
      <c r="AP6569" s="55">
        <v>15</v>
      </c>
      <c r="AQ6569" s="55">
        <v>7768</v>
      </c>
      <c r="AR6569" s="55">
        <v>28500</v>
      </c>
      <c r="AS6569" s="78">
        <f t="shared" si="106"/>
        <v>0.27256140350877195</v>
      </c>
    </row>
    <row r="6570" spans="39:45">
      <c r="AM6570" s="54">
        <v>2019</v>
      </c>
      <c r="AN6570" s="54" t="s">
        <v>191</v>
      </c>
      <c r="AO6570" s="54">
        <v>1</v>
      </c>
      <c r="AP6570" s="54">
        <v>16</v>
      </c>
      <c r="AQ6570" s="54">
        <v>972.5</v>
      </c>
      <c r="AR6570" s="55">
        <v>28500</v>
      </c>
      <c r="AS6570" s="78">
        <f t="shared" si="106"/>
        <v>3.412280701754386E-2</v>
      </c>
    </row>
    <row r="6571" spans="39:45">
      <c r="AM6571" s="55">
        <v>2019</v>
      </c>
      <c r="AN6571" s="55" t="s">
        <v>191</v>
      </c>
      <c r="AO6571" s="55">
        <v>1</v>
      </c>
      <c r="AP6571" s="55">
        <v>17</v>
      </c>
      <c r="AQ6571" s="55">
        <v>544</v>
      </c>
      <c r="AR6571" s="55">
        <v>28500</v>
      </c>
      <c r="AS6571" s="78">
        <f t="shared" si="106"/>
        <v>1.9087719298245615E-2</v>
      </c>
    </row>
    <row r="6572" spans="39:45">
      <c r="AM6572" s="54">
        <v>2019</v>
      </c>
      <c r="AN6572" s="54" t="s">
        <v>191</v>
      </c>
      <c r="AO6572" s="54">
        <v>1</v>
      </c>
      <c r="AP6572" s="54">
        <v>18</v>
      </c>
      <c r="AQ6572" s="54">
        <v>0</v>
      </c>
      <c r="AR6572" s="55">
        <v>28500</v>
      </c>
      <c r="AS6572" s="78">
        <f t="shared" si="106"/>
        <v>0</v>
      </c>
    </row>
    <row r="6573" spans="39:45">
      <c r="AM6573" s="55">
        <v>2019</v>
      </c>
      <c r="AN6573" s="55" t="s">
        <v>191</v>
      </c>
      <c r="AO6573" s="55">
        <v>1</v>
      </c>
      <c r="AP6573" s="55">
        <v>19</v>
      </c>
      <c r="AQ6573" s="55">
        <v>0</v>
      </c>
      <c r="AR6573" s="55">
        <v>28500</v>
      </c>
      <c r="AS6573" s="78">
        <f t="shared" si="106"/>
        <v>0</v>
      </c>
    </row>
    <row r="6574" spans="39:45">
      <c r="AM6574" s="54">
        <v>2019</v>
      </c>
      <c r="AN6574" s="54" t="s">
        <v>191</v>
      </c>
      <c r="AO6574" s="54">
        <v>1</v>
      </c>
      <c r="AP6574" s="54">
        <v>20</v>
      </c>
      <c r="AQ6574" s="54">
        <v>0</v>
      </c>
      <c r="AR6574" s="55">
        <v>28500</v>
      </c>
      <c r="AS6574" s="78">
        <f t="shared" si="106"/>
        <v>0</v>
      </c>
    </row>
    <row r="6575" spans="39:45">
      <c r="AM6575" s="55">
        <v>2019</v>
      </c>
      <c r="AN6575" s="55" t="s">
        <v>191</v>
      </c>
      <c r="AO6575" s="55">
        <v>1</v>
      </c>
      <c r="AP6575" s="55">
        <v>21</v>
      </c>
      <c r="AQ6575" s="55">
        <v>0</v>
      </c>
      <c r="AR6575" s="55">
        <v>28500</v>
      </c>
      <c r="AS6575" s="78">
        <f t="shared" si="106"/>
        <v>0</v>
      </c>
    </row>
    <row r="6576" spans="39:45">
      <c r="AM6576" s="54">
        <v>2019</v>
      </c>
      <c r="AN6576" s="54" t="s">
        <v>191</v>
      </c>
      <c r="AO6576" s="54">
        <v>1</v>
      </c>
      <c r="AP6576" s="54">
        <v>22</v>
      </c>
      <c r="AQ6576" s="54">
        <v>0</v>
      </c>
      <c r="AR6576" s="55">
        <v>28500</v>
      </c>
      <c r="AS6576" s="78">
        <f t="shared" si="106"/>
        <v>0</v>
      </c>
    </row>
    <row r="6577" spans="39:45">
      <c r="AM6577" s="55">
        <v>2019</v>
      </c>
      <c r="AN6577" s="55" t="s">
        <v>191</v>
      </c>
      <c r="AO6577" s="55">
        <v>1</v>
      </c>
      <c r="AP6577" s="55">
        <v>23</v>
      </c>
      <c r="AQ6577" s="55">
        <v>0</v>
      </c>
      <c r="AR6577" s="55">
        <v>28500</v>
      </c>
      <c r="AS6577" s="78">
        <f t="shared" si="106"/>
        <v>0</v>
      </c>
    </row>
    <row r="6578" spans="39:45">
      <c r="AM6578" s="54">
        <v>2019</v>
      </c>
      <c r="AN6578" s="54" t="s">
        <v>191</v>
      </c>
      <c r="AO6578" s="54">
        <v>2</v>
      </c>
      <c r="AP6578" s="54">
        <v>24</v>
      </c>
      <c r="AQ6578" s="54">
        <v>0</v>
      </c>
      <c r="AR6578" s="55">
        <v>28500</v>
      </c>
      <c r="AS6578" s="78">
        <f t="shared" si="106"/>
        <v>0</v>
      </c>
    </row>
    <row r="6579" spans="39:45">
      <c r="AM6579" s="55">
        <v>2019</v>
      </c>
      <c r="AN6579" s="55" t="s">
        <v>191</v>
      </c>
      <c r="AO6579" s="55">
        <v>2</v>
      </c>
      <c r="AP6579" s="55">
        <v>1</v>
      </c>
      <c r="AQ6579" s="55">
        <v>0</v>
      </c>
      <c r="AR6579" s="55">
        <v>28500</v>
      </c>
      <c r="AS6579" s="78">
        <f t="shared" si="106"/>
        <v>0</v>
      </c>
    </row>
    <row r="6580" spans="39:45">
      <c r="AM6580" s="54">
        <v>2019</v>
      </c>
      <c r="AN6580" s="54" t="s">
        <v>191</v>
      </c>
      <c r="AO6580" s="54">
        <v>2</v>
      </c>
      <c r="AP6580" s="54">
        <v>2</v>
      </c>
      <c r="AQ6580" s="54">
        <v>0</v>
      </c>
      <c r="AR6580" s="55">
        <v>28500</v>
      </c>
      <c r="AS6580" s="78">
        <f t="shared" si="106"/>
        <v>0</v>
      </c>
    </row>
    <row r="6581" spans="39:45">
      <c r="AM6581" s="55">
        <v>2019</v>
      </c>
      <c r="AN6581" s="55" t="s">
        <v>191</v>
      </c>
      <c r="AO6581" s="55">
        <v>2</v>
      </c>
      <c r="AP6581" s="55">
        <v>3</v>
      </c>
      <c r="AQ6581" s="55">
        <v>0</v>
      </c>
      <c r="AR6581" s="55">
        <v>28500</v>
      </c>
      <c r="AS6581" s="78">
        <f t="shared" si="106"/>
        <v>0</v>
      </c>
    </row>
    <row r="6582" spans="39:45">
      <c r="AM6582" s="54">
        <v>2019</v>
      </c>
      <c r="AN6582" s="54" t="s">
        <v>191</v>
      </c>
      <c r="AO6582" s="54">
        <v>2</v>
      </c>
      <c r="AP6582" s="54">
        <v>4</v>
      </c>
      <c r="AQ6582" s="54">
        <v>0</v>
      </c>
      <c r="AR6582" s="55">
        <v>28500</v>
      </c>
      <c r="AS6582" s="78">
        <f t="shared" si="106"/>
        <v>0</v>
      </c>
    </row>
    <row r="6583" spans="39:45">
      <c r="AM6583" s="55">
        <v>2019</v>
      </c>
      <c r="AN6583" s="55" t="s">
        <v>191</v>
      </c>
      <c r="AO6583" s="55">
        <v>2</v>
      </c>
      <c r="AP6583" s="55">
        <v>5</v>
      </c>
      <c r="AQ6583" s="55">
        <v>0</v>
      </c>
      <c r="AR6583" s="55">
        <v>28500</v>
      </c>
      <c r="AS6583" s="78">
        <f t="shared" si="106"/>
        <v>0</v>
      </c>
    </row>
    <row r="6584" spans="39:45">
      <c r="AM6584" s="54">
        <v>2019</v>
      </c>
      <c r="AN6584" s="54" t="s">
        <v>191</v>
      </c>
      <c r="AO6584" s="54">
        <v>2</v>
      </c>
      <c r="AP6584" s="54">
        <v>6</v>
      </c>
      <c r="AQ6584" s="54">
        <v>0</v>
      </c>
      <c r="AR6584" s="55">
        <v>28500</v>
      </c>
      <c r="AS6584" s="78">
        <f t="shared" si="106"/>
        <v>0</v>
      </c>
    </row>
    <row r="6585" spans="39:45">
      <c r="AM6585" s="55">
        <v>2019</v>
      </c>
      <c r="AN6585" s="55" t="s">
        <v>191</v>
      </c>
      <c r="AO6585" s="55">
        <v>2</v>
      </c>
      <c r="AP6585" s="55">
        <v>7</v>
      </c>
      <c r="AQ6585" s="55">
        <v>8607.5</v>
      </c>
      <c r="AR6585" s="55">
        <v>28500</v>
      </c>
      <c r="AS6585" s="78">
        <f t="shared" si="106"/>
        <v>0.30201754385964913</v>
      </c>
    </row>
    <row r="6586" spans="39:45">
      <c r="AM6586" s="54">
        <v>2019</v>
      </c>
      <c r="AN6586" s="54" t="s">
        <v>191</v>
      </c>
      <c r="AO6586" s="54">
        <v>2</v>
      </c>
      <c r="AP6586" s="54">
        <v>8</v>
      </c>
      <c r="AQ6586" s="54">
        <v>20134.5</v>
      </c>
      <c r="AR6586" s="55">
        <v>28500</v>
      </c>
      <c r="AS6586" s="78">
        <f t="shared" si="106"/>
        <v>0.70647368421052636</v>
      </c>
    </row>
    <row r="6587" spans="39:45">
      <c r="AM6587" s="55">
        <v>2019</v>
      </c>
      <c r="AN6587" s="55" t="s">
        <v>191</v>
      </c>
      <c r="AO6587" s="55">
        <v>2</v>
      </c>
      <c r="AP6587" s="55">
        <v>9</v>
      </c>
      <c r="AQ6587" s="55">
        <v>28690</v>
      </c>
      <c r="AR6587" s="55">
        <v>28500</v>
      </c>
      <c r="AS6587" s="78">
        <f t="shared" si="106"/>
        <v>1.0066666666666666</v>
      </c>
    </row>
    <row r="6588" spans="39:45">
      <c r="AM6588" s="54">
        <v>2019</v>
      </c>
      <c r="AN6588" s="54" t="s">
        <v>191</v>
      </c>
      <c r="AO6588" s="54">
        <v>2</v>
      </c>
      <c r="AP6588" s="54">
        <v>10</v>
      </c>
      <c r="AQ6588" s="54">
        <v>34843.5</v>
      </c>
      <c r="AR6588" s="55">
        <v>28500</v>
      </c>
      <c r="AS6588" s="78">
        <f t="shared" si="106"/>
        <v>1.222578947368421</v>
      </c>
    </row>
    <row r="6589" spans="39:45">
      <c r="AM6589" s="55">
        <v>2019</v>
      </c>
      <c r="AN6589" s="55" t="s">
        <v>191</v>
      </c>
      <c r="AO6589" s="55">
        <v>2</v>
      </c>
      <c r="AP6589" s="55">
        <v>11</v>
      </c>
      <c r="AQ6589" s="55">
        <v>36757</v>
      </c>
      <c r="AR6589" s="55">
        <v>28500</v>
      </c>
      <c r="AS6589" s="78">
        <f t="shared" si="106"/>
        <v>1.289719298245614</v>
      </c>
    </row>
    <row r="6590" spans="39:45">
      <c r="AM6590" s="54">
        <v>2019</v>
      </c>
      <c r="AN6590" s="54" t="s">
        <v>191</v>
      </c>
      <c r="AO6590" s="54">
        <v>2</v>
      </c>
      <c r="AP6590" s="54">
        <v>12</v>
      </c>
      <c r="AQ6590" s="54">
        <v>15898.5</v>
      </c>
      <c r="AR6590" s="55">
        <v>28500</v>
      </c>
      <c r="AS6590" s="78">
        <f t="shared" si="106"/>
        <v>0.55784210526315792</v>
      </c>
    </row>
    <row r="6591" spans="39:45">
      <c r="AM6591" s="55">
        <v>2019</v>
      </c>
      <c r="AN6591" s="55" t="s">
        <v>191</v>
      </c>
      <c r="AO6591" s="55">
        <v>2</v>
      </c>
      <c r="AP6591" s="55">
        <v>13</v>
      </c>
      <c r="AQ6591" s="55">
        <v>12859</v>
      </c>
      <c r="AR6591" s="55">
        <v>28500</v>
      </c>
      <c r="AS6591" s="78">
        <f t="shared" si="106"/>
        <v>0.45119298245614037</v>
      </c>
    </row>
    <row r="6592" spans="39:45">
      <c r="AM6592" s="54">
        <v>2019</v>
      </c>
      <c r="AN6592" s="54" t="s">
        <v>191</v>
      </c>
      <c r="AO6592" s="54">
        <v>2</v>
      </c>
      <c r="AP6592" s="54">
        <v>14</v>
      </c>
      <c r="AQ6592" s="54">
        <v>26464</v>
      </c>
      <c r="AR6592" s="55">
        <v>28500</v>
      </c>
      <c r="AS6592" s="78">
        <f t="shared" si="106"/>
        <v>0.92856140350877192</v>
      </c>
    </row>
    <row r="6593" spans="39:45">
      <c r="AM6593" s="55">
        <v>2019</v>
      </c>
      <c r="AN6593" s="55" t="s">
        <v>191</v>
      </c>
      <c r="AO6593" s="55">
        <v>2</v>
      </c>
      <c r="AP6593" s="55">
        <v>15</v>
      </c>
      <c r="AQ6593" s="55">
        <v>19760</v>
      </c>
      <c r="AR6593" s="55">
        <v>28500</v>
      </c>
      <c r="AS6593" s="78">
        <f t="shared" si="106"/>
        <v>0.69333333333333336</v>
      </c>
    </row>
    <row r="6594" spans="39:45">
      <c r="AM6594" s="54">
        <v>2019</v>
      </c>
      <c r="AN6594" s="54" t="s">
        <v>191</v>
      </c>
      <c r="AO6594" s="54">
        <v>2</v>
      </c>
      <c r="AP6594" s="54">
        <v>16</v>
      </c>
      <c r="AQ6594" s="54">
        <v>11536.5</v>
      </c>
      <c r="AR6594" s="55">
        <v>28500</v>
      </c>
      <c r="AS6594" s="78">
        <f t="shared" ref="AS6594:AS6657" si="107">AQ6594/AR6594</f>
        <v>0.40478947368421053</v>
      </c>
    </row>
    <row r="6595" spans="39:45">
      <c r="AM6595" s="55">
        <v>2019</v>
      </c>
      <c r="AN6595" s="55" t="s">
        <v>191</v>
      </c>
      <c r="AO6595" s="55">
        <v>2</v>
      </c>
      <c r="AP6595" s="55">
        <v>17</v>
      </c>
      <c r="AQ6595" s="55">
        <v>512.5</v>
      </c>
      <c r="AR6595" s="55">
        <v>28500</v>
      </c>
      <c r="AS6595" s="78">
        <f t="shared" si="107"/>
        <v>1.7982456140350878E-2</v>
      </c>
    </row>
    <row r="6596" spans="39:45">
      <c r="AM6596" s="54">
        <v>2019</v>
      </c>
      <c r="AN6596" s="54" t="s">
        <v>191</v>
      </c>
      <c r="AO6596" s="54">
        <v>2</v>
      </c>
      <c r="AP6596" s="54">
        <v>18</v>
      </c>
      <c r="AQ6596" s="54">
        <v>0</v>
      </c>
      <c r="AR6596" s="55">
        <v>28500</v>
      </c>
      <c r="AS6596" s="78">
        <f t="shared" si="107"/>
        <v>0</v>
      </c>
    </row>
    <row r="6597" spans="39:45">
      <c r="AM6597" s="55">
        <v>2019</v>
      </c>
      <c r="AN6597" s="55" t="s">
        <v>191</v>
      </c>
      <c r="AO6597" s="55">
        <v>2</v>
      </c>
      <c r="AP6597" s="55">
        <v>19</v>
      </c>
      <c r="AQ6597" s="55">
        <v>0</v>
      </c>
      <c r="AR6597" s="55">
        <v>28500</v>
      </c>
      <c r="AS6597" s="78">
        <f t="shared" si="107"/>
        <v>0</v>
      </c>
    </row>
    <row r="6598" spans="39:45">
      <c r="AM6598" s="54">
        <v>2019</v>
      </c>
      <c r="AN6598" s="54" t="s">
        <v>191</v>
      </c>
      <c r="AO6598" s="54">
        <v>2</v>
      </c>
      <c r="AP6598" s="54">
        <v>20</v>
      </c>
      <c r="AQ6598" s="54">
        <v>0</v>
      </c>
      <c r="AR6598" s="55">
        <v>28500</v>
      </c>
      <c r="AS6598" s="78">
        <f t="shared" si="107"/>
        <v>0</v>
      </c>
    </row>
    <row r="6599" spans="39:45">
      <c r="AM6599" s="55">
        <v>2019</v>
      </c>
      <c r="AN6599" s="55" t="s">
        <v>191</v>
      </c>
      <c r="AO6599" s="55">
        <v>2</v>
      </c>
      <c r="AP6599" s="55">
        <v>21</v>
      </c>
      <c r="AQ6599" s="55">
        <v>0</v>
      </c>
      <c r="AR6599" s="55">
        <v>28500</v>
      </c>
      <c r="AS6599" s="78">
        <f t="shared" si="107"/>
        <v>0</v>
      </c>
    </row>
    <row r="6600" spans="39:45">
      <c r="AM6600" s="54">
        <v>2019</v>
      </c>
      <c r="AN6600" s="54" t="s">
        <v>191</v>
      </c>
      <c r="AO6600" s="54">
        <v>2</v>
      </c>
      <c r="AP6600" s="54">
        <v>22</v>
      </c>
      <c r="AQ6600" s="54">
        <v>0</v>
      </c>
      <c r="AR6600" s="55">
        <v>28500</v>
      </c>
      <c r="AS6600" s="78">
        <f t="shared" si="107"/>
        <v>0</v>
      </c>
    </row>
    <row r="6601" spans="39:45">
      <c r="AM6601" s="55">
        <v>2019</v>
      </c>
      <c r="AN6601" s="55" t="s">
        <v>191</v>
      </c>
      <c r="AO6601" s="55">
        <v>2</v>
      </c>
      <c r="AP6601" s="55">
        <v>23</v>
      </c>
      <c r="AQ6601" s="55">
        <v>0</v>
      </c>
      <c r="AR6601" s="55">
        <v>28500</v>
      </c>
      <c r="AS6601" s="78">
        <f t="shared" si="107"/>
        <v>0</v>
      </c>
    </row>
    <row r="6602" spans="39:45">
      <c r="AM6602" s="54">
        <v>2019</v>
      </c>
      <c r="AN6602" s="54" t="s">
        <v>191</v>
      </c>
      <c r="AO6602" s="54">
        <v>3</v>
      </c>
      <c r="AP6602" s="54">
        <v>24</v>
      </c>
      <c r="AQ6602" s="54">
        <v>0</v>
      </c>
      <c r="AR6602" s="55">
        <v>28500</v>
      </c>
      <c r="AS6602" s="78">
        <f t="shared" si="107"/>
        <v>0</v>
      </c>
    </row>
    <row r="6603" spans="39:45">
      <c r="AM6603" s="55">
        <v>2019</v>
      </c>
      <c r="AN6603" s="55" t="s">
        <v>191</v>
      </c>
      <c r="AO6603" s="55">
        <v>3</v>
      </c>
      <c r="AP6603" s="55">
        <v>1</v>
      </c>
      <c r="AQ6603" s="55">
        <v>0</v>
      </c>
      <c r="AR6603" s="55">
        <v>28500</v>
      </c>
      <c r="AS6603" s="78">
        <f t="shared" si="107"/>
        <v>0</v>
      </c>
    </row>
    <row r="6604" spans="39:45">
      <c r="AM6604" s="54">
        <v>2019</v>
      </c>
      <c r="AN6604" s="54" t="s">
        <v>191</v>
      </c>
      <c r="AO6604" s="54">
        <v>3</v>
      </c>
      <c r="AP6604" s="54">
        <v>2</v>
      </c>
      <c r="AQ6604" s="54">
        <v>0</v>
      </c>
      <c r="AR6604" s="55">
        <v>28500</v>
      </c>
      <c r="AS6604" s="78">
        <f t="shared" si="107"/>
        <v>0</v>
      </c>
    </row>
    <row r="6605" spans="39:45">
      <c r="AM6605" s="55">
        <v>2019</v>
      </c>
      <c r="AN6605" s="55" t="s">
        <v>191</v>
      </c>
      <c r="AO6605" s="55">
        <v>3</v>
      </c>
      <c r="AP6605" s="55">
        <v>3</v>
      </c>
      <c r="AQ6605" s="55">
        <v>0</v>
      </c>
      <c r="AR6605" s="55">
        <v>28500</v>
      </c>
      <c r="AS6605" s="78">
        <f t="shared" si="107"/>
        <v>0</v>
      </c>
    </row>
    <row r="6606" spans="39:45">
      <c r="AM6606" s="54">
        <v>2019</v>
      </c>
      <c r="AN6606" s="54" t="s">
        <v>191</v>
      </c>
      <c r="AO6606" s="54">
        <v>3</v>
      </c>
      <c r="AP6606" s="54">
        <v>4</v>
      </c>
      <c r="AQ6606" s="54">
        <v>0</v>
      </c>
      <c r="AR6606" s="55">
        <v>28500</v>
      </c>
      <c r="AS6606" s="78">
        <f t="shared" si="107"/>
        <v>0</v>
      </c>
    </row>
    <row r="6607" spans="39:45">
      <c r="AM6607" s="55">
        <v>2019</v>
      </c>
      <c r="AN6607" s="55" t="s">
        <v>191</v>
      </c>
      <c r="AO6607" s="55">
        <v>3</v>
      </c>
      <c r="AP6607" s="55">
        <v>5</v>
      </c>
      <c r="AQ6607" s="55">
        <v>0</v>
      </c>
      <c r="AR6607" s="55">
        <v>28500</v>
      </c>
      <c r="AS6607" s="78">
        <f t="shared" si="107"/>
        <v>0</v>
      </c>
    </row>
    <row r="6608" spans="39:45">
      <c r="AM6608" s="54">
        <v>2019</v>
      </c>
      <c r="AN6608" s="54" t="s">
        <v>191</v>
      </c>
      <c r="AO6608" s="54">
        <v>3</v>
      </c>
      <c r="AP6608" s="54">
        <v>6</v>
      </c>
      <c r="AQ6608" s="54">
        <v>0</v>
      </c>
      <c r="AR6608" s="55">
        <v>28500</v>
      </c>
      <c r="AS6608" s="78">
        <f t="shared" si="107"/>
        <v>0</v>
      </c>
    </row>
    <row r="6609" spans="39:45">
      <c r="AM6609" s="55">
        <v>2019</v>
      </c>
      <c r="AN6609" s="55" t="s">
        <v>191</v>
      </c>
      <c r="AO6609" s="55">
        <v>3</v>
      </c>
      <c r="AP6609" s="55">
        <v>7</v>
      </c>
      <c r="AQ6609" s="55">
        <v>3364</v>
      </c>
      <c r="AR6609" s="55">
        <v>28500</v>
      </c>
      <c r="AS6609" s="78">
        <f t="shared" si="107"/>
        <v>0.11803508771929824</v>
      </c>
    </row>
    <row r="6610" spans="39:45">
      <c r="AM6610" s="54">
        <v>2019</v>
      </c>
      <c r="AN6610" s="54" t="s">
        <v>191</v>
      </c>
      <c r="AO6610" s="54">
        <v>3</v>
      </c>
      <c r="AP6610" s="54">
        <v>8</v>
      </c>
      <c r="AQ6610" s="54">
        <v>6944</v>
      </c>
      <c r="AR6610" s="55">
        <v>28500</v>
      </c>
      <c r="AS6610" s="78">
        <f t="shared" si="107"/>
        <v>0.24364912280701753</v>
      </c>
    </row>
    <row r="6611" spans="39:45">
      <c r="AM6611" s="55">
        <v>2019</v>
      </c>
      <c r="AN6611" s="55" t="s">
        <v>191</v>
      </c>
      <c r="AO6611" s="55">
        <v>3</v>
      </c>
      <c r="AP6611" s="55">
        <v>9</v>
      </c>
      <c r="AQ6611" s="55">
        <v>10307</v>
      </c>
      <c r="AR6611" s="55">
        <v>28500</v>
      </c>
      <c r="AS6611" s="78">
        <f t="shared" si="107"/>
        <v>0.36164912280701755</v>
      </c>
    </row>
    <row r="6612" spans="39:45">
      <c r="AM6612" s="54">
        <v>2019</v>
      </c>
      <c r="AN6612" s="54" t="s">
        <v>191</v>
      </c>
      <c r="AO6612" s="54">
        <v>3</v>
      </c>
      <c r="AP6612" s="54">
        <v>10</v>
      </c>
      <c r="AQ6612" s="54">
        <v>6310.5</v>
      </c>
      <c r="AR6612" s="55">
        <v>28500</v>
      </c>
      <c r="AS6612" s="78">
        <f t="shared" si="107"/>
        <v>0.22142105263157894</v>
      </c>
    </row>
    <row r="6613" spans="39:45">
      <c r="AM6613" s="55">
        <v>2019</v>
      </c>
      <c r="AN6613" s="55" t="s">
        <v>191</v>
      </c>
      <c r="AO6613" s="55">
        <v>3</v>
      </c>
      <c r="AP6613" s="55">
        <v>11</v>
      </c>
      <c r="AQ6613" s="55">
        <v>6440</v>
      </c>
      <c r="AR6613" s="55">
        <v>28500</v>
      </c>
      <c r="AS6613" s="78">
        <f t="shared" si="107"/>
        <v>0.22596491228070176</v>
      </c>
    </row>
    <row r="6614" spans="39:45">
      <c r="AM6614" s="54">
        <v>2019</v>
      </c>
      <c r="AN6614" s="54" t="s">
        <v>191</v>
      </c>
      <c r="AO6614" s="54">
        <v>3</v>
      </c>
      <c r="AP6614" s="54">
        <v>12</v>
      </c>
      <c r="AQ6614" s="54">
        <v>2923.5</v>
      </c>
      <c r="AR6614" s="55">
        <v>28500</v>
      </c>
      <c r="AS6614" s="78">
        <f t="shared" si="107"/>
        <v>0.10257894736842105</v>
      </c>
    </row>
    <row r="6615" spans="39:45">
      <c r="AM6615" s="55">
        <v>2019</v>
      </c>
      <c r="AN6615" s="55" t="s">
        <v>191</v>
      </c>
      <c r="AO6615" s="55">
        <v>3</v>
      </c>
      <c r="AP6615" s="55">
        <v>13</v>
      </c>
      <c r="AQ6615" s="55">
        <v>2169</v>
      </c>
      <c r="AR6615" s="55">
        <v>28500</v>
      </c>
      <c r="AS6615" s="78">
        <f t="shared" si="107"/>
        <v>7.6105263157894731E-2</v>
      </c>
    </row>
    <row r="6616" spans="39:45">
      <c r="AM6616" s="54">
        <v>2019</v>
      </c>
      <c r="AN6616" s="54" t="s">
        <v>191</v>
      </c>
      <c r="AO6616" s="54">
        <v>3</v>
      </c>
      <c r="AP6616" s="54">
        <v>14</v>
      </c>
      <c r="AQ6616" s="54">
        <v>4815</v>
      </c>
      <c r="AR6616" s="55">
        <v>28500</v>
      </c>
      <c r="AS6616" s="78">
        <f t="shared" si="107"/>
        <v>0.16894736842105262</v>
      </c>
    </row>
    <row r="6617" spans="39:45">
      <c r="AM6617" s="55">
        <v>2019</v>
      </c>
      <c r="AN6617" s="55" t="s">
        <v>191</v>
      </c>
      <c r="AO6617" s="55">
        <v>3</v>
      </c>
      <c r="AP6617" s="55">
        <v>15</v>
      </c>
      <c r="AQ6617" s="55">
        <v>3686</v>
      </c>
      <c r="AR6617" s="55">
        <v>28500</v>
      </c>
      <c r="AS6617" s="78">
        <f t="shared" si="107"/>
        <v>0.12933333333333333</v>
      </c>
    </row>
    <row r="6618" spans="39:45">
      <c r="AM6618" s="54">
        <v>2019</v>
      </c>
      <c r="AN6618" s="54" t="s">
        <v>191</v>
      </c>
      <c r="AO6618" s="54">
        <v>3</v>
      </c>
      <c r="AP6618" s="54">
        <v>16</v>
      </c>
      <c r="AQ6618" s="54">
        <v>1471.5</v>
      </c>
      <c r="AR6618" s="55">
        <v>28500</v>
      </c>
      <c r="AS6618" s="78">
        <f t="shared" si="107"/>
        <v>5.1631578947368424E-2</v>
      </c>
    </row>
    <row r="6619" spans="39:45">
      <c r="AM6619" s="55">
        <v>2019</v>
      </c>
      <c r="AN6619" s="55" t="s">
        <v>191</v>
      </c>
      <c r="AO6619" s="55">
        <v>3</v>
      </c>
      <c r="AP6619" s="55">
        <v>17</v>
      </c>
      <c r="AQ6619" s="55">
        <v>170</v>
      </c>
      <c r="AR6619" s="55">
        <v>28500</v>
      </c>
      <c r="AS6619" s="78">
        <f t="shared" si="107"/>
        <v>5.9649122807017545E-3</v>
      </c>
    </row>
    <row r="6620" spans="39:45">
      <c r="AM6620" s="54">
        <v>2019</v>
      </c>
      <c r="AN6620" s="54" t="s">
        <v>191</v>
      </c>
      <c r="AO6620" s="54">
        <v>3</v>
      </c>
      <c r="AP6620" s="54">
        <v>18</v>
      </c>
      <c r="AQ6620" s="54">
        <v>0</v>
      </c>
      <c r="AR6620" s="55">
        <v>28500</v>
      </c>
      <c r="AS6620" s="78">
        <f t="shared" si="107"/>
        <v>0</v>
      </c>
    </row>
    <row r="6621" spans="39:45">
      <c r="AM6621" s="55">
        <v>2019</v>
      </c>
      <c r="AN6621" s="55" t="s">
        <v>191</v>
      </c>
      <c r="AO6621" s="55">
        <v>3</v>
      </c>
      <c r="AP6621" s="55">
        <v>19</v>
      </c>
      <c r="AQ6621" s="55">
        <v>0</v>
      </c>
      <c r="AR6621" s="55">
        <v>28500</v>
      </c>
      <c r="AS6621" s="78">
        <f t="shared" si="107"/>
        <v>0</v>
      </c>
    </row>
    <row r="6622" spans="39:45">
      <c r="AM6622" s="54">
        <v>2019</v>
      </c>
      <c r="AN6622" s="54" t="s">
        <v>191</v>
      </c>
      <c r="AO6622" s="54">
        <v>3</v>
      </c>
      <c r="AP6622" s="54">
        <v>20</v>
      </c>
      <c r="AQ6622" s="54">
        <v>0</v>
      </c>
      <c r="AR6622" s="55">
        <v>28500</v>
      </c>
      <c r="AS6622" s="78">
        <f t="shared" si="107"/>
        <v>0</v>
      </c>
    </row>
    <row r="6623" spans="39:45">
      <c r="AM6623" s="55">
        <v>2019</v>
      </c>
      <c r="AN6623" s="55" t="s">
        <v>191</v>
      </c>
      <c r="AO6623" s="55">
        <v>3</v>
      </c>
      <c r="AP6623" s="55">
        <v>21</v>
      </c>
      <c r="AQ6623" s="55">
        <v>0</v>
      </c>
      <c r="AR6623" s="55">
        <v>28500</v>
      </c>
      <c r="AS6623" s="78">
        <f t="shared" si="107"/>
        <v>0</v>
      </c>
    </row>
    <row r="6624" spans="39:45">
      <c r="AM6624" s="54">
        <v>2019</v>
      </c>
      <c r="AN6624" s="54" t="s">
        <v>191</v>
      </c>
      <c r="AO6624" s="54">
        <v>3</v>
      </c>
      <c r="AP6624" s="54">
        <v>22</v>
      </c>
      <c r="AQ6624" s="54">
        <v>0</v>
      </c>
      <c r="AR6624" s="55">
        <v>28500</v>
      </c>
      <c r="AS6624" s="78">
        <f t="shared" si="107"/>
        <v>0</v>
      </c>
    </row>
    <row r="6625" spans="39:45">
      <c r="AM6625" s="55">
        <v>2019</v>
      </c>
      <c r="AN6625" s="55" t="s">
        <v>191</v>
      </c>
      <c r="AO6625" s="55">
        <v>3</v>
      </c>
      <c r="AP6625" s="55">
        <v>23</v>
      </c>
      <c r="AQ6625" s="55">
        <v>0</v>
      </c>
      <c r="AR6625" s="55">
        <v>28500</v>
      </c>
      <c r="AS6625" s="78">
        <f t="shared" si="107"/>
        <v>0</v>
      </c>
    </row>
    <row r="6626" spans="39:45">
      <c r="AM6626" s="54">
        <v>2019</v>
      </c>
      <c r="AN6626" s="54" t="s">
        <v>191</v>
      </c>
      <c r="AO6626" s="54">
        <v>4</v>
      </c>
      <c r="AP6626" s="54">
        <v>24</v>
      </c>
      <c r="AQ6626" s="54">
        <v>0</v>
      </c>
      <c r="AR6626" s="55">
        <v>28500</v>
      </c>
      <c r="AS6626" s="78">
        <f t="shared" si="107"/>
        <v>0</v>
      </c>
    </row>
    <row r="6627" spans="39:45">
      <c r="AM6627" s="55">
        <v>2019</v>
      </c>
      <c r="AN6627" s="55" t="s">
        <v>191</v>
      </c>
      <c r="AO6627" s="55">
        <v>4</v>
      </c>
      <c r="AP6627" s="55">
        <v>1</v>
      </c>
      <c r="AQ6627" s="55">
        <v>0</v>
      </c>
      <c r="AR6627" s="55">
        <v>28500</v>
      </c>
      <c r="AS6627" s="78">
        <f t="shared" si="107"/>
        <v>0</v>
      </c>
    </row>
    <row r="6628" spans="39:45">
      <c r="AM6628" s="54">
        <v>2019</v>
      </c>
      <c r="AN6628" s="54" t="s">
        <v>191</v>
      </c>
      <c r="AO6628" s="54">
        <v>4</v>
      </c>
      <c r="AP6628" s="54">
        <v>2</v>
      </c>
      <c r="AQ6628" s="54">
        <v>0</v>
      </c>
      <c r="AR6628" s="55">
        <v>28500</v>
      </c>
      <c r="AS6628" s="78">
        <f t="shared" si="107"/>
        <v>0</v>
      </c>
    </row>
    <row r="6629" spans="39:45">
      <c r="AM6629" s="55">
        <v>2019</v>
      </c>
      <c r="AN6629" s="55" t="s">
        <v>191</v>
      </c>
      <c r="AO6629" s="55">
        <v>4</v>
      </c>
      <c r="AP6629" s="55">
        <v>3</v>
      </c>
      <c r="AQ6629" s="55">
        <v>0</v>
      </c>
      <c r="AR6629" s="55">
        <v>28500</v>
      </c>
      <c r="AS6629" s="78">
        <f t="shared" si="107"/>
        <v>0</v>
      </c>
    </row>
    <row r="6630" spans="39:45">
      <c r="AM6630" s="54">
        <v>2019</v>
      </c>
      <c r="AN6630" s="54" t="s">
        <v>191</v>
      </c>
      <c r="AO6630" s="54">
        <v>4</v>
      </c>
      <c r="AP6630" s="54">
        <v>4</v>
      </c>
      <c r="AQ6630" s="54">
        <v>0</v>
      </c>
      <c r="AR6630" s="55">
        <v>28500</v>
      </c>
      <c r="AS6630" s="78">
        <f t="shared" si="107"/>
        <v>0</v>
      </c>
    </row>
    <row r="6631" spans="39:45">
      <c r="AM6631" s="55">
        <v>2019</v>
      </c>
      <c r="AN6631" s="55" t="s">
        <v>191</v>
      </c>
      <c r="AO6631" s="55">
        <v>4</v>
      </c>
      <c r="AP6631" s="55">
        <v>5</v>
      </c>
      <c r="AQ6631" s="55">
        <v>0</v>
      </c>
      <c r="AR6631" s="55">
        <v>28500</v>
      </c>
      <c r="AS6631" s="78">
        <f t="shared" si="107"/>
        <v>0</v>
      </c>
    </row>
    <row r="6632" spans="39:45">
      <c r="AM6632" s="54">
        <v>2019</v>
      </c>
      <c r="AN6632" s="54" t="s">
        <v>191</v>
      </c>
      <c r="AO6632" s="54">
        <v>4</v>
      </c>
      <c r="AP6632" s="54">
        <v>6</v>
      </c>
      <c r="AQ6632" s="54">
        <v>0</v>
      </c>
      <c r="AR6632" s="55">
        <v>28500</v>
      </c>
      <c r="AS6632" s="78">
        <f t="shared" si="107"/>
        <v>0</v>
      </c>
    </row>
    <row r="6633" spans="39:45">
      <c r="AM6633" s="55">
        <v>2019</v>
      </c>
      <c r="AN6633" s="55" t="s">
        <v>191</v>
      </c>
      <c r="AO6633" s="55">
        <v>4</v>
      </c>
      <c r="AP6633" s="55">
        <v>7</v>
      </c>
      <c r="AQ6633" s="55">
        <v>6727</v>
      </c>
      <c r="AR6633" s="55">
        <v>28500</v>
      </c>
      <c r="AS6633" s="78">
        <f t="shared" si="107"/>
        <v>0.23603508771929824</v>
      </c>
    </row>
    <row r="6634" spans="39:45">
      <c r="AM6634" s="54">
        <v>2019</v>
      </c>
      <c r="AN6634" s="54" t="s">
        <v>191</v>
      </c>
      <c r="AO6634" s="54">
        <v>4</v>
      </c>
      <c r="AP6634" s="54">
        <v>8</v>
      </c>
      <c r="AQ6634" s="54">
        <v>4634.5</v>
      </c>
      <c r="AR6634" s="55">
        <v>28500</v>
      </c>
      <c r="AS6634" s="78">
        <f t="shared" si="107"/>
        <v>0.16261403508771929</v>
      </c>
    </row>
    <row r="6635" spans="39:45">
      <c r="AM6635" s="55">
        <v>2019</v>
      </c>
      <c r="AN6635" s="55" t="s">
        <v>191</v>
      </c>
      <c r="AO6635" s="55">
        <v>4</v>
      </c>
      <c r="AP6635" s="55">
        <v>9</v>
      </c>
      <c r="AQ6635" s="55">
        <v>1579</v>
      </c>
      <c r="AR6635" s="55">
        <v>28500</v>
      </c>
      <c r="AS6635" s="78">
        <f t="shared" si="107"/>
        <v>5.5403508771929823E-2</v>
      </c>
    </row>
    <row r="6636" spans="39:45">
      <c r="AM6636" s="54">
        <v>2019</v>
      </c>
      <c r="AN6636" s="54" t="s">
        <v>191</v>
      </c>
      <c r="AO6636" s="54">
        <v>4</v>
      </c>
      <c r="AP6636" s="54">
        <v>10</v>
      </c>
      <c r="AQ6636" s="54">
        <v>5467</v>
      </c>
      <c r="AR6636" s="55">
        <v>28500</v>
      </c>
      <c r="AS6636" s="78">
        <f t="shared" si="107"/>
        <v>0.19182456140350876</v>
      </c>
    </row>
    <row r="6637" spans="39:45">
      <c r="AM6637" s="55">
        <v>2019</v>
      </c>
      <c r="AN6637" s="55" t="s">
        <v>191</v>
      </c>
      <c r="AO6637" s="55">
        <v>4</v>
      </c>
      <c r="AP6637" s="55">
        <v>11</v>
      </c>
      <c r="AQ6637" s="55">
        <v>9297</v>
      </c>
      <c r="AR6637" s="55">
        <v>28500</v>
      </c>
      <c r="AS6637" s="78">
        <f t="shared" si="107"/>
        <v>0.32621052631578945</v>
      </c>
    </row>
    <row r="6638" spans="39:45">
      <c r="AM6638" s="54">
        <v>2019</v>
      </c>
      <c r="AN6638" s="54" t="s">
        <v>191</v>
      </c>
      <c r="AO6638" s="54">
        <v>4</v>
      </c>
      <c r="AP6638" s="54">
        <v>12</v>
      </c>
      <c r="AQ6638" s="54">
        <v>2751.5</v>
      </c>
      <c r="AR6638" s="55">
        <v>28500</v>
      </c>
      <c r="AS6638" s="78">
        <f t="shared" si="107"/>
        <v>9.6543859649122807E-2</v>
      </c>
    </row>
    <row r="6639" spans="39:45">
      <c r="AM6639" s="55">
        <v>2019</v>
      </c>
      <c r="AN6639" s="55" t="s">
        <v>191</v>
      </c>
      <c r="AO6639" s="55">
        <v>4</v>
      </c>
      <c r="AP6639" s="55">
        <v>13</v>
      </c>
      <c r="AQ6639" s="55">
        <v>16996</v>
      </c>
      <c r="AR6639" s="55">
        <v>28500</v>
      </c>
      <c r="AS6639" s="78">
        <f t="shared" si="107"/>
        <v>0.59635087719298241</v>
      </c>
    </row>
    <row r="6640" spans="39:45">
      <c r="AM6640" s="54">
        <v>2019</v>
      </c>
      <c r="AN6640" s="54" t="s">
        <v>191</v>
      </c>
      <c r="AO6640" s="54">
        <v>4</v>
      </c>
      <c r="AP6640" s="54">
        <v>14</v>
      </c>
      <c r="AQ6640" s="54">
        <v>4643.5</v>
      </c>
      <c r="AR6640" s="55">
        <v>28500</v>
      </c>
      <c r="AS6640" s="78">
        <f t="shared" si="107"/>
        <v>0.16292982456140351</v>
      </c>
    </row>
    <row r="6641" spans="39:45">
      <c r="AM6641" s="55">
        <v>2019</v>
      </c>
      <c r="AN6641" s="55" t="s">
        <v>191</v>
      </c>
      <c r="AO6641" s="55">
        <v>4</v>
      </c>
      <c r="AP6641" s="55">
        <v>15</v>
      </c>
      <c r="AQ6641" s="55">
        <v>11411.5</v>
      </c>
      <c r="AR6641" s="55">
        <v>28500</v>
      </c>
      <c r="AS6641" s="78">
        <f t="shared" si="107"/>
        <v>0.40040350877192982</v>
      </c>
    </row>
    <row r="6642" spans="39:45">
      <c r="AM6642" s="54">
        <v>2019</v>
      </c>
      <c r="AN6642" s="54" t="s">
        <v>191</v>
      </c>
      <c r="AO6642" s="54">
        <v>4</v>
      </c>
      <c r="AP6642" s="54">
        <v>16</v>
      </c>
      <c r="AQ6642" s="54">
        <v>6182</v>
      </c>
      <c r="AR6642" s="55">
        <v>28500</v>
      </c>
      <c r="AS6642" s="78">
        <f t="shared" si="107"/>
        <v>0.21691228070175439</v>
      </c>
    </row>
    <row r="6643" spans="39:45">
      <c r="AM6643" s="55">
        <v>2019</v>
      </c>
      <c r="AN6643" s="55" t="s">
        <v>191</v>
      </c>
      <c r="AO6643" s="55">
        <v>4</v>
      </c>
      <c r="AP6643" s="55">
        <v>17</v>
      </c>
      <c r="AQ6643" s="55">
        <v>151</v>
      </c>
      <c r="AR6643" s="55">
        <v>28500</v>
      </c>
      <c r="AS6643" s="78">
        <f t="shared" si="107"/>
        <v>5.2982456140350876E-3</v>
      </c>
    </row>
    <row r="6644" spans="39:45">
      <c r="AM6644" s="54">
        <v>2019</v>
      </c>
      <c r="AN6644" s="54" t="s">
        <v>191</v>
      </c>
      <c r="AO6644" s="54">
        <v>4</v>
      </c>
      <c r="AP6644" s="54">
        <v>18</v>
      </c>
      <c r="AQ6644" s="54">
        <v>0</v>
      </c>
      <c r="AR6644" s="55">
        <v>28500</v>
      </c>
      <c r="AS6644" s="78">
        <f t="shared" si="107"/>
        <v>0</v>
      </c>
    </row>
    <row r="6645" spans="39:45">
      <c r="AM6645" s="55">
        <v>2019</v>
      </c>
      <c r="AN6645" s="55" t="s">
        <v>191</v>
      </c>
      <c r="AO6645" s="55">
        <v>4</v>
      </c>
      <c r="AP6645" s="55">
        <v>19</v>
      </c>
      <c r="AQ6645" s="55">
        <v>0</v>
      </c>
      <c r="AR6645" s="55">
        <v>28500</v>
      </c>
      <c r="AS6645" s="78">
        <f t="shared" si="107"/>
        <v>0</v>
      </c>
    </row>
    <row r="6646" spans="39:45">
      <c r="AM6646" s="54">
        <v>2019</v>
      </c>
      <c r="AN6646" s="54" t="s">
        <v>191</v>
      </c>
      <c r="AO6646" s="54">
        <v>4</v>
      </c>
      <c r="AP6646" s="54">
        <v>20</v>
      </c>
      <c r="AQ6646" s="54">
        <v>0</v>
      </c>
      <c r="AR6646" s="55">
        <v>28500</v>
      </c>
      <c r="AS6646" s="78">
        <f t="shared" si="107"/>
        <v>0</v>
      </c>
    </row>
    <row r="6647" spans="39:45">
      <c r="AM6647" s="55">
        <v>2019</v>
      </c>
      <c r="AN6647" s="55" t="s">
        <v>191</v>
      </c>
      <c r="AO6647" s="55">
        <v>4</v>
      </c>
      <c r="AP6647" s="55">
        <v>21</v>
      </c>
      <c r="AQ6647" s="55">
        <v>0</v>
      </c>
      <c r="AR6647" s="55">
        <v>28500</v>
      </c>
      <c r="AS6647" s="78">
        <f t="shared" si="107"/>
        <v>0</v>
      </c>
    </row>
    <row r="6648" spans="39:45">
      <c r="AM6648" s="54">
        <v>2019</v>
      </c>
      <c r="AN6648" s="54" t="s">
        <v>191</v>
      </c>
      <c r="AO6648" s="54">
        <v>4</v>
      </c>
      <c r="AP6648" s="54">
        <v>22</v>
      </c>
      <c r="AQ6648" s="54">
        <v>0</v>
      </c>
      <c r="AR6648" s="55">
        <v>28500</v>
      </c>
      <c r="AS6648" s="78">
        <f t="shared" si="107"/>
        <v>0</v>
      </c>
    </row>
    <row r="6649" spans="39:45">
      <c r="AM6649" s="55">
        <v>2019</v>
      </c>
      <c r="AN6649" s="55" t="s">
        <v>191</v>
      </c>
      <c r="AO6649" s="55">
        <v>4</v>
      </c>
      <c r="AP6649" s="55">
        <v>23</v>
      </c>
      <c r="AQ6649" s="55">
        <v>0</v>
      </c>
      <c r="AR6649" s="55">
        <v>28500</v>
      </c>
      <c r="AS6649" s="78">
        <f t="shared" si="107"/>
        <v>0</v>
      </c>
    </row>
    <row r="6650" spans="39:45">
      <c r="AM6650" s="54">
        <v>2019</v>
      </c>
      <c r="AN6650" s="54" t="s">
        <v>191</v>
      </c>
      <c r="AO6650" s="54">
        <v>5</v>
      </c>
      <c r="AP6650" s="54">
        <v>24</v>
      </c>
      <c r="AQ6650" s="54">
        <v>0</v>
      </c>
      <c r="AR6650" s="55">
        <v>28500</v>
      </c>
      <c r="AS6650" s="78">
        <f t="shared" si="107"/>
        <v>0</v>
      </c>
    </row>
    <row r="6651" spans="39:45">
      <c r="AM6651" s="55">
        <v>2019</v>
      </c>
      <c r="AN6651" s="55" t="s">
        <v>191</v>
      </c>
      <c r="AO6651" s="55">
        <v>5</v>
      </c>
      <c r="AP6651" s="55">
        <v>1</v>
      </c>
      <c r="AQ6651" s="55">
        <v>0</v>
      </c>
      <c r="AR6651" s="55">
        <v>28500</v>
      </c>
      <c r="AS6651" s="78">
        <f t="shared" si="107"/>
        <v>0</v>
      </c>
    </row>
    <row r="6652" spans="39:45">
      <c r="AM6652" s="54">
        <v>2019</v>
      </c>
      <c r="AN6652" s="54" t="s">
        <v>191</v>
      </c>
      <c r="AO6652" s="54">
        <v>5</v>
      </c>
      <c r="AP6652" s="54">
        <v>2</v>
      </c>
      <c r="AQ6652" s="54">
        <v>0</v>
      </c>
      <c r="AR6652" s="55">
        <v>28500</v>
      </c>
      <c r="AS6652" s="78">
        <f t="shared" si="107"/>
        <v>0</v>
      </c>
    </row>
    <row r="6653" spans="39:45">
      <c r="AM6653" s="55">
        <v>2019</v>
      </c>
      <c r="AN6653" s="55" t="s">
        <v>191</v>
      </c>
      <c r="AO6653" s="55">
        <v>5</v>
      </c>
      <c r="AP6653" s="55">
        <v>3</v>
      </c>
      <c r="AQ6653" s="55">
        <v>0</v>
      </c>
      <c r="AR6653" s="55">
        <v>28500</v>
      </c>
      <c r="AS6653" s="78">
        <f t="shared" si="107"/>
        <v>0</v>
      </c>
    </row>
    <row r="6654" spans="39:45">
      <c r="AM6654" s="54">
        <v>2019</v>
      </c>
      <c r="AN6654" s="54" t="s">
        <v>191</v>
      </c>
      <c r="AO6654" s="54">
        <v>5</v>
      </c>
      <c r="AP6654" s="54">
        <v>4</v>
      </c>
      <c r="AQ6654" s="54">
        <v>0</v>
      </c>
      <c r="AR6654" s="55">
        <v>28500</v>
      </c>
      <c r="AS6654" s="78">
        <f t="shared" si="107"/>
        <v>0</v>
      </c>
    </row>
    <row r="6655" spans="39:45">
      <c r="AM6655" s="55">
        <v>2019</v>
      </c>
      <c r="AN6655" s="55" t="s">
        <v>191</v>
      </c>
      <c r="AO6655" s="55">
        <v>5</v>
      </c>
      <c r="AP6655" s="55">
        <v>5</v>
      </c>
      <c r="AQ6655" s="55">
        <v>0</v>
      </c>
      <c r="AR6655" s="55">
        <v>28500</v>
      </c>
      <c r="AS6655" s="78">
        <f t="shared" si="107"/>
        <v>0</v>
      </c>
    </row>
    <row r="6656" spans="39:45">
      <c r="AM6656" s="54">
        <v>2019</v>
      </c>
      <c r="AN6656" s="54" t="s">
        <v>191</v>
      </c>
      <c r="AO6656" s="54">
        <v>5</v>
      </c>
      <c r="AP6656" s="54">
        <v>6</v>
      </c>
      <c r="AQ6656" s="54">
        <v>0</v>
      </c>
      <c r="AR6656" s="55">
        <v>28500</v>
      </c>
      <c r="AS6656" s="78">
        <f t="shared" si="107"/>
        <v>0</v>
      </c>
    </row>
    <row r="6657" spans="39:45">
      <c r="AM6657" s="55">
        <v>2019</v>
      </c>
      <c r="AN6657" s="55" t="s">
        <v>191</v>
      </c>
      <c r="AO6657" s="55">
        <v>5</v>
      </c>
      <c r="AP6657" s="55">
        <v>7</v>
      </c>
      <c r="AQ6657" s="55">
        <v>3248.5</v>
      </c>
      <c r="AR6657" s="55">
        <v>28500</v>
      </c>
      <c r="AS6657" s="78">
        <f t="shared" si="107"/>
        <v>0.11398245614035088</v>
      </c>
    </row>
    <row r="6658" spans="39:45">
      <c r="AM6658" s="54">
        <v>2019</v>
      </c>
      <c r="AN6658" s="54" t="s">
        <v>191</v>
      </c>
      <c r="AO6658" s="54">
        <v>5</v>
      </c>
      <c r="AP6658" s="54">
        <v>8</v>
      </c>
      <c r="AQ6658" s="54">
        <v>5356</v>
      </c>
      <c r="AR6658" s="55">
        <v>28500</v>
      </c>
      <c r="AS6658" s="78">
        <f t="shared" ref="AS6658:AS6721" si="108">AQ6658/AR6658</f>
        <v>0.1879298245614035</v>
      </c>
    </row>
    <row r="6659" spans="39:45">
      <c r="AM6659" s="55">
        <v>2019</v>
      </c>
      <c r="AN6659" s="55" t="s">
        <v>191</v>
      </c>
      <c r="AO6659" s="55">
        <v>5</v>
      </c>
      <c r="AP6659" s="55">
        <v>9</v>
      </c>
      <c r="AQ6659" s="55">
        <v>2158.5</v>
      </c>
      <c r="AR6659" s="55">
        <v>28500</v>
      </c>
      <c r="AS6659" s="78">
        <f t="shared" si="108"/>
        <v>7.5736842105263158E-2</v>
      </c>
    </row>
    <row r="6660" spans="39:45">
      <c r="AM6660" s="54">
        <v>2019</v>
      </c>
      <c r="AN6660" s="54" t="s">
        <v>191</v>
      </c>
      <c r="AO6660" s="54">
        <v>5</v>
      </c>
      <c r="AP6660" s="54">
        <v>10</v>
      </c>
      <c r="AQ6660" s="54">
        <v>7853.5</v>
      </c>
      <c r="AR6660" s="55">
        <v>28500</v>
      </c>
      <c r="AS6660" s="78">
        <f t="shared" si="108"/>
        <v>0.27556140350877195</v>
      </c>
    </row>
    <row r="6661" spans="39:45">
      <c r="AM6661" s="55">
        <v>2019</v>
      </c>
      <c r="AN6661" s="55" t="s">
        <v>191</v>
      </c>
      <c r="AO6661" s="55">
        <v>5</v>
      </c>
      <c r="AP6661" s="55">
        <v>11</v>
      </c>
      <c r="AQ6661" s="55">
        <v>5855</v>
      </c>
      <c r="AR6661" s="55">
        <v>28500</v>
      </c>
      <c r="AS6661" s="78">
        <f t="shared" si="108"/>
        <v>0.20543859649122806</v>
      </c>
    </row>
    <row r="6662" spans="39:45">
      <c r="AM6662" s="54">
        <v>2019</v>
      </c>
      <c r="AN6662" s="54" t="s">
        <v>191</v>
      </c>
      <c r="AO6662" s="54">
        <v>5</v>
      </c>
      <c r="AP6662" s="54">
        <v>12</v>
      </c>
      <c r="AQ6662" s="54">
        <v>5696</v>
      </c>
      <c r="AR6662" s="55">
        <v>28500</v>
      </c>
      <c r="AS6662" s="78">
        <f t="shared" si="108"/>
        <v>0.19985964912280701</v>
      </c>
    </row>
    <row r="6663" spans="39:45">
      <c r="AM6663" s="55">
        <v>2019</v>
      </c>
      <c r="AN6663" s="55" t="s">
        <v>191</v>
      </c>
      <c r="AO6663" s="55">
        <v>5</v>
      </c>
      <c r="AP6663" s="55">
        <v>13</v>
      </c>
      <c r="AQ6663" s="55">
        <v>9612.5</v>
      </c>
      <c r="AR6663" s="55">
        <v>28500</v>
      </c>
      <c r="AS6663" s="78">
        <f t="shared" si="108"/>
        <v>0.33728070175438596</v>
      </c>
    </row>
    <row r="6664" spans="39:45">
      <c r="AM6664" s="54">
        <v>2019</v>
      </c>
      <c r="AN6664" s="54" t="s">
        <v>191</v>
      </c>
      <c r="AO6664" s="54">
        <v>5</v>
      </c>
      <c r="AP6664" s="54">
        <v>14</v>
      </c>
      <c r="AQ6664" s="54">
        <v>2036.5</v>
      </c>
      <c r="AR6664" s="55">
        <v>28500</v>
      </c>
      <c r="AS6664" s="78">
        <f t="shared" si="108"/>
        <v>7.145614035087719E-2</v>
      </c>
    </row>
    <row r="6665" spans="39:45">
      <c r="AM6665" s="55">
        <v>2019</v>
      </c>
      <c r="AN6665" s="55" t="s">
        <v>191</v>
      </c>
      <c r="AO6665" s="55">
        <v>5</v>
      </c>
      <c r="AP6665" s="55">
        <v>15</v>
      </c>
      <c r="AQ6665" s="55">
        <v>3429</v>
      </c>
      <c r="AR6665" s="55">
        <v>28500</v>
      </c>
      <c r="AS6665" s="78">
        <f t="shared" si="108"/>
        <v>0.12031578947368421</v>
      </c>
    </row>
    <row r="6666" spans="39:45">
      <c r="AM6666" s="54">
        <v>2019</v>
      </c>
      <c r="AN6666" s="54" t="s">
        <v>191</v>
      </c>
      <c r="AO6666" s="54">
        <v>5</v>
      </c>
      <c r="AP6666" s="54">
        <v>16</v>
      </c>
      <c r="AQ6666" s="54">
        <v>2220</v>
      </c>
      <c r="AR6666" s="55">
        <v>28500</v>
      </c>
      <c r="AS6666" s="78">
        <f t="shared" si="108"/>
        <v>7.7894736842105267E-2</v>
      </c>
    </row>
    <row r="6667" spans="39:45">
      <c r="AM6667" s="55">
        <v>2019</v>
      </c>
      <c r="AN6667" s="55" t="s">
        <v>191</v>
      </c>
      <c r="AO6667" s="55">
        <v>5</v>
      </c>
      <c r="AP6667" s="55">
        <v>17</v>
      </c>
      <c r="AQ6667" s="55">
        <v>0</v>
      </c>
      <c r="AR6667" s="55">
        <v>28500</v>
      </c>
      <c r="AS6667" s="78">
        <f t="shared" si="108"/>
        <v>0</v>
      </c>
    </row>
    <row r="6668" spans="39:45">
      <c r="AM6668" s="54">
        <v>2019</v>
      </c>
      <c r="AN6668" s="54" t="s">
        <v>191</v>
      </c>
      <c r="AO6668" s="54">
        <v>5</v>
      </c>
      <c r="AP6668" s="54">
        <v>18</v>
      </c>
      <c r="AQ6668" s="54">
        <v>0</v>
      </c>
      <c r="AR6668" s="55">
        <v>28500</v>
      </c>
      <c r="AS6668" s="78">
        <f t="shared" si="108"/>
        <v>0</v>
      </c>
    </row>
    <row r="6669" spans="39:45">
      <c r="AM6669" s="55">
        <v>2019</v>
      </c>
      <c r="AN6669" s="55" t="s">
        <v>191</v>
      </c>
      <c r="AO6669" s="55">
        <v>5</v>
      </c>
      <c r="AP6669" s="55">
        <v>19</v>
      </c>
      <c r="AQ6669" s="55">
        <v>0</v>
      </c>
      <c r="AR6669" s="55">
        <v>28500</v>
      </c>
      <c r="AS6669" s="78">
        <f t="shared" si="108"/>
        <v>0</v>
      </c>
    </row>
    <row r="6670" spans="39:45">
      <c r="AM6670" s="54">
        <v>2019</v>
      </c>
      <c r="AN6670" s="54" t="s">
        <v>191</v>
      </c>
      <c r="AO6670" s="54">
        <v>5</v>
      </c>
      <c r="AP6670" s="54">
        <v>20</v>
      </c>
      <c r="AQ6670" s="54">
        <v>0</v>
      </c>
      <c r="AR6670" s="55">
        <v>28500</v>
      </c>
      <c r="AS6670" s="78">
        <f t="shared" si="108"/>
        <v>0</v>
      </c>
    </row>
    <row r="6671" spans="39:45">
      <c r="AM6671" s="55">
        <v>2019</v>
      </c>
      <c r="AN6671" s="55" t="s">
        <v>191</v>
      </c>
      <c r="AO6671" s="55">
        <v>5</v>
      </c>
      <c r="AP6671" s="55">
        <v>21</v>
      </c>
      <c r="AQ6671" s="55">
        <v>0</v>
      </c>
      <c r="AR6671" s="55">
        <v>28500</v>
      </c>
      <c r="AS6671" s="78">
        <f t="shared" si="108"/>
        <v>0</v>
      </c>
    </row>
    <row r="6672" spans="39:45">
      <c r="AM6672" s="54">
        <v>2019</v>
      </c>
      <c r="AN6672" s="54" t="s">
        <v>191</v>
      </c>
      <c r="AO6672" s="54">
        <v>5</v>
      </c>
      <c r="AP6672" s="54">
        <v>22</v>
      </c>
      <c r="AQ6672" s="54">
        <v>0</v>
      </c>
      <c r="AR6672" s="55">
        <v>28500</v>
      </c>
      <c r="AS6672" s="78">
        <f t="shared" si="108"/>
        <v>0</v>
      </c>
    </row>
    <row r="6673" spans="39:45">
      <c r="AM6673" s="55">
        <v>2019</v>
      </c>
      <c r="AN6673" s="55" t="s">
        <v>191</v>
      </c>
      <c r="AO6673" s="55">
        <v>5</v>
      </c>
      <c r="AP6673" s="55">
        <v>23</v>
      </c>
      <c r="AQ6673" s="55">
        <v>0</v>
      </c>
      <c r="AR6673" s="55">
        <v>28500</v>
      </c>
      <c r="AS6673" s="78">
        <f t="shared" si="108"/>
        <v>0</v>
      </c>
    </row>
    <row r="6674" spans="39:45">
      <c r="AM6674" s="54">
        <v>2019</v>
      </c>
      <c r="AN6674" s="54" t="s">
        <v>191</v>
      </c>
      <c r="AO6674" s="54">
        <v>6</v>
      </c>
      <c r="AP6674" s="54">
        <v>24</v>
      </c>
      <c r="AQ6674" s="54">
        <v>0</v>
      </c>
      <c r="AR6674" s="55">
        <v>28500</v>
      </c>
      <c r="AS6674" s="78">
        <f t="shared" si="108"/>
        <v>0</v>
      </c>
    </row>
    <row r="6675" spans="39:45">
      <c r="AM6675" s="55">
        <v>2019</v>
      </c>
      <c r="AN6675" s="55" t="s">
        <v>191</v>
      </c>
      <c r="AO6675" s="55">
        <v>6</v>
      </c>
      <c r="AP6675" s="55">
        <v>1</v>
      </c>
      <c r="AQ6675" s="55">
        <v>0</v>
      </c>
      <c r="AR6675" s="55">
        <v>28500</v>
      </c>
      <c r="AS6675" s="78">
        <f t="shared" si="108"/>
        <v>0</v>
      </c>
    </row>
    <row r="6676" spans="39:45">
      <c r="AM6676" s="54">
        <v>2019</v>
      </c>
      <c r="AN6676" s="54" t="s">
        <v>191</v>
      </c>
      <c r="AO6676" s="54">
        <v>6</v>
      </c>
      <c r="AP6676" s="54">
        <v>2</v>
      </c>
      <c r="AQ6676" s="54">
        <v>0</v>
      </c>
      <c r="AR6676" s="55">
        <v>28500</v>
      </c>
      <c r="AS6676" s="78">
        <f t="shared" si="108"/>
        <v>0</v>
      </c>
    </row>
    <row r="6677" spans="39:45">
      <c r="AM6677" s="55">
        <v>2019</v>
      </c>
      <c r="AN6677" s="55" t="s">
        <v>191</v>
      </c>
      <c r="AO6677" s="55">
        <v>6</v>
      </c>
      <c r="AP6677" s="55">
        <v>3</v>
      </c>
      <c r="AQ6677" s="55">
        <v>0</v>
      </c>
      <c r="AR6677" s="55">
        <v>28500</v>
      </c>
      <c r="AS6677" s="78">
        <f t="shared" si="108"/>
        <v>0</v>
      </c>
    </row>
    <row r="6678" spans="39:45">
      <c r="AM6678" s="54">
        <v>2019</v>
      </c>
      <c r="AN6678" s="54" t="s">
        <v>191</v>
      </c>
      <c r="AO6678" s="54">
        <v>6</v>
      </c>
      <c r="AP6678" s="54">
        <v>4</v>
      </c>
      <c r="AQ6678" s="54">
        <v>0</v>
      </c>
      <c r="AR6678" s="55">
        <v>28500</v>
      </c>
      <c r="AS6678" s="78">
        <f t="shared" si="108"/>
        <v>0</v>
      </c>
    </row>
    <row r="6679" spans="39:45">
      <c r="AM6679" s="55">
        <v>2019</v>
      </c>
      <c r="AN6679" s="55" t="s">
        <v>191</v>
      </c>
      <c r="AO6679" s="55">
        <v>6</v>
      </c>
      <c r="AP6679" s="55">
        <v>5</v>
      </c>
      <c r="AQ6679" s="55">
        <v>0</v>
      </c>
      <c r="AR6679" s="55">
        <v>28500</v>
      </c>
      <c r="AS6679" s="78">
        <f t="shared" si="108"/>
        <v>0</v>
      </c>
    </row>
    <row r="6680" spans="39:45">
      <c r="AM6680" s="54">
        <v>2019</v>
      </c>
      <c r="AN6680" s="54" t="s">
        <v>191</v>
      </c>
      <c r="AO6680" s="54">
        <v>6</v>
      </c>
      <c r="AP6680" s="54">
        <v>6</v>
      </c>
      <c r="AQ6680" s="54">
        <v>0</v>
      </c>
      <c r="AR6680" s="55">
        <v>28500</v>
      </c>
      <c r="AS6680" s="78">
        <f t="shared" si="108"/>
        <v>0</v>
      </c>
    </row>
    <row r="6681" spans="39:45">
      <c r="AM6681" s="55">
        <v>2019</v>
      </c>
      <c r="AN6681" s="55" t="s">
        <v>191</v>
      </c>
      <c r="AO6681" s="55">
        <v>6</v>
      </c>
      <c r="AP6681" s="55">
        <v>7</v>
      </c>
      <c r="AQ6681" s="55">
        <v>4577.5</v>
      </c>
      <c r="AR6681" s="55">
        <v>28500</v>
      </c>
      <c r="AS6681" s="78">
        <f t="shared" si="108"/>
        <v>0.16061403508771929</v>
      </c>
    </row>
    <row r="6682" spans="39:45">
      <c r="AM6682" s="54">
        <v>2019</v>
      </c>
      <c r="AN6682" s="54" t="s">
        <v>191</v>
      </c>
      <c r="AO6682" s="54">
        <v>6</v>
      </c>
      <c r="AP6682" s="54">
        <v>8</v>
      </c>
      <c r="AQ6682" s="54">
        <v>9378.5</v>
      </c>
      <c r="AR6682" s="55">
        <v>28500</v>
      </c>
      <c r="AS6682" s="78">
        <f t="shared" si="108"/>
        <v>0.32907017543859651</v>
      </c>
    </row>
    <row r="6683" spans="39:45">
      <c r="AM6683" s="55">
        <v>2019</v>
      </c>
      <c r="AN6683" s="55" t="s">
        <v>191</v>
      </c>
      <c r="AO6683" s="55">
        <v>6</v>
      </c>
      <c r="AP6683" s="55">
        <v>9</v>
      </c>
      <c r="AQ6683" s="55">
        <v>17470</v>
      </c>
      <c r="AR6683" s="55">
        <v>28500</v>
      </c>
      <c r="AS6683" s="78">
        <f t="shared" si="108"/>
        <v>0.61298245614035085</v>
      </c>
    </row>
    <row r="6684" spans="39:45">
      <c r="AM6684" s="54">
        <v>2019</v>
      </c>
      <c r="AN6684" s="54" t="s">
        <v>191</v>
      </c>
      <c r="AO6684" s="54">
        <v>6</v>
      </c>
      <c r="AP6684" s="54">
        <v>10</v>
      </c>
      <c r="AQ6684" s="54">
        <v>3706</v>
      </c>
      <c r="AR6684" s="55">
        <v>28500</v>
      </c>
      <c r="AS6684" s="78">
        <f t="shared" si="108"/>
        <v>0.13003508771929825</v>
      </c>
    </row>
    <row r="6685" spans="39:45">
      <c r="AM6685" s="55">
        <v>2019</v>
      </c>
      <c r="AN6685" s="55" t="s">
        <v>191</v>
      </c>
      <c r="AO6685" s="55">
        <v>6</v>
      </c>
      <c r="AP6685" s="55">
        <v>11</v>
      </c>
      <c r="AQ6685" s="55">
        <v>11296.5</v>
      </c>
      <c r="AR6685" s="55">
        <v>28500</v>
      </c>
      <c r="AS6685" s="78">
        <f t="shared" si="108"/>
        <v>0.39636842105263159</v>
      </c>
    </row>
    <row r="6686" spans="39:45">
      <c r="AM6686" s="54">
        <v>2019</v>
      </c>
      <c r="AN6686" s="54" t="s">
        <v>191</v>
      </c>
      <c r="AO6686" s="54">
        <v>6</v>
      </c>
      <c r="AP6686" s="54">
        <v>12</v>
      </c>
      <c r="AQ6686" s="54">
        <v>14339.5</v>
      </c>
      <c r="AR6686" s="55">
        <v>28500</v>
      </c>
      <c r="AS6686" s="78">
        <f t="shared" si="108"/>
        <v>0.503140350877193</v>
      </c>
    </row>
    <row r="6687" spans="39:45">
      <c r="AM6687" s="55">
        <v>2019</v>
      </c>
      <c r="AN6687" s="55" t="s">
        <v>191</v>
      </c>
      <c r="AO6687" s="55">
        <v>6</v>
      </c>
      <c r="AP6687" s="55">
        <v>13</v>
      </c>
      <c r="AQ6687" s="55">
        <v>29246.5</v>
      </c>
      <c r="AR6687" s="55">
        <v>28500</v>
      </c>
      <c r="AS6687" s="78">
        <f t="shared" si="108"/>
        <v>1.0261929824561404</v>
      </c>
    </row>
    <row r="6688" spans="39:45">
      <c r="AM6688" s="54">
        <v>2019</v>
      </c>
      <c r="AN6688" s="54" t="s">
        <v>191</v>
      </c>
      <c r="AO6688" s="54">
        <v>6</v>
      </c>
      <c r="AP6688" s="54">
        <v>14</v>
      </c>
      <c r="AQ6688" s="54">
        <v>27683</v>
      </c>
      <c r="AR6688" s="55">
        <v>28500</v>
      </c>
      <c r="AS6688" s="78">
        <f t="shared" si="108"/>
        <v>0.97133333333333338</v>
      </c>
    </row>
    <row r="6689" spans="39:45">
      <c r="AM6689" s="55">
        <v>2019</v>
      </c>
      <c r="AN6689" s="55" t="s">
        <v>191</v>
      </c>
      <c r="AO6689" s="55">
        <v>6</v>
      </c>
      <c r="AP6689" s="55">
        <v>15</v>
      </c>
      <c r="AQ6689" s="55">
        <v>6361.5</v>
      </c>
      <c r="AR6689" s="55">
        <v>28500</v>
      </c>
      <c r="AS6689" s="78">
        <f t="shared" si="108"/>
        <v>0.22321052631578947</v>
      </c>
    </row>
    <row r="6690" spans="39:45">
      <c r="AM6690" s="54">
        <v>2019</v>
      </c>
      <c r="AN6690" s="54" t="s">
        <v>191</v>
      </c>
      <c r="AO6690" s="54">
        <v>6</v>
      </c>
      <c r="AP6690" s="54">
        <v>16</v>
      </c>
      <c r="AQ6690" s="54">
        <v>1788</v>
      </c>
      <c r="AR6690" s="55">
        <v>28500</v>
      </c>
      <c r="AS6690" s="78">
        <f t="shared" si="108"/>
        <v>6.273684210526316E-2</v>
      </c>
    </row>
    <row r="6691" spans="39:45">
      <c r="AM6691" s="55">
        <v>2019</v>
      </c>
      <c r="AN6691" s="55" t="s">
        <v>191</v>
      </c>
      <c r="AO6691" s="55">
        <v>6</v>
      </c>
      <c r="AP6691" s="55">
        <v>17</v>
      </c>
      <c r="AQ6691" s="55">
        <v>0</v>
      </c>
      <c r="AR6691" s="55">
        <v>28500</v>
      </c>
      <c r="AS6691" s="78">
        <f t="shared" si="108"/>
        <v>0</v>
      </c>
    </row>
    <row r="6692" spans="39:45">
      <c r="AM6692" s="54">
        <v>2019</v>
      </c>
      <c r="AN6692" s="54" t="s">
        <v>191</v>
      </c>
      <c r="AO6692" s="54">
        <v>6</v>
      </c>
      <c r="AP6692" s="54">
        <v>18</v>
      </c>
      <c r="AQ6692" s="54">
        <v>0</v>
      </c>
      <c r="AR6692" s="55">
        <v>28500</v>
      </c>
      <c r="AS6692" s="78">
        <f t="shared" si="108"/>
        <v>0</v>
      </c>
    </row>
    <row r="6693" spans="39:45">
      <c r="AM6693" s="55">
        <v>2019</v>
      </c>
      <c r="AN6693" s="55" t="s">
        <v>191</v>
      </c>
      <c r="AO6693" s="55">
        <v>6</v>
      </c>
      <c r="AP6693" s="55">
        <v>19</v>
      </c>
      <c r="AQ6693" s="55">
        <v>0</v>
      </c>
      <c r="AR6693" s="55">
        <v>28500</v>
      </c>
      <c r="AS6693" s="78">
        <f t="shared" si="108"/>
        <v>0</v>
      </c>
    </row>
    <row r="6694" spans="39:45">
      <c r="AM6694" s="54">
        <v>2019</v>
      </c>
      <c r="AN6694" s="54" t="s">
        <v>191</v>
      </c>
      <c r="AO6694" s="54">
        <v>6</v>
      </c>
      <c r="AP6694" s="54">
        <v>20</v>
      </c>
      <c r="AQ6694" s="54">
        <v>0</v>
      </c>
      <c r="AR6694" s="55">
        <v>28500</v>
      </c>
      <c r="AS6694" s="78">
        <f t="shared" si="108"/>
        <v>0</v>
      </c>
    </row>
    <row r="6695" spans="39:45">
      <c r="AM6695" s="55">
        <v>2019</v>
      </c>
      <c r="AN6695" s="55" t="s">
        <v>191</v>
      </c>
      <c r="AO6695" s="55">
        <v>6</v>
      </c>
      <c r="AP6695" s="55">
        <v>21</v>
      </c>
      <c r="AQ6695" s="55">
        <v>0</v>
      </c>
      <c r="AR6695" s="55">
        <v>28500</v>
      </c>
      <c r="AS6695" s="78">
        <f t="shared" si="108"/>
        <v>0</v>
      </c>
    </row>
    <row r="6696" spans="39:45">
      <c r="AM6696" s="54">
        <v>2019</v>
      </c>
      <c r="AN6696" s="54" t="s">
        <v>191</v>
      </c>
      <c r="AO6696" s="54">
        <v>6</v>
      </c>
      <c r="AP6696" s="54">
        <v>22</v>
      </c>
      <c r="AQ6696" s="54">
        <v>0</v>
      </c>
      <c r="AR6696" s="55">
        <v>28500</v>
      </c>
      <c r="AS6696" s="78">
        <f t="shared" si="108"/>
        <v>0</v>
      </c>
    </row>
    <row r="6697" spans="39:45">
      <c r="AM6697" s="55">
        <v>2019</v>
      </c>
      <c r="AN6697" s="55" t="s">
        <v>191</v>
      </c>
      <c r="AO6697" s="55">
        <v>6</v>
      </c>
      <c r="AP6697" s="55">
        <v>23</v>
      </c>
      <c r="AQ6697" s="55">
        <v>0</v>
      </c>
      <c r="AR6697" s="55">
        <v>28500</v>
      </c>
      <c r="AS6697" s="78">
        <f t="shared" si="108"/>
        <v>0</v>
      </c>
    </row>
    <row r="6698" spans="39:45">
      <c r="AM6698" s="54">
        <v>2019</v>
      </c>
      <c r="AN6698" s="54" t="s">
        <v>191</v>
      </c>
      <c r="AO6698" s="54">
        <v>7</v>
      </c>
      <c r="AP6698" s="54">
        <v>24</v>
      </c>
      <c r="AQ6698" s="54">
        <v>0</v>
      </c>
      <c r="AR6698" s="55">
        <v>28500</v>
      </c>
      <c r="AS6698" s="78">
        <f t="shared" si="108"/>
        <v>0</v>
      </c>
    </row>
    <row r="6699" spans="39:45">
      <c r="AM6699" s="55">
        <v>2019</v>
      </c>
      <c r="AN6699" s="55" t="s">
        <v>191</v>
      </c>
      <c r="AO6699" s="55">
        <v>7</v>
      </c>
      <c r="AP6699" s="55">
        <v>1</v>
      </c>
      <c r="AQ6699" s="55">
        <v>0</v>
      </c>
      <c r="AR6699" s="55">
        <v>28500</v>
      </c>
      <c r="AS6699" s="78">
        <f t="shared" si="108"/>
        <v>0</v>
      </c>
    </row>
    <row r="6700" spans="39:45">
      <c r="AM6700" s="54">
        <v>2019</v>
      </c>
      <c r="AN6700" s="54" t="s">
        <v>191</v>
      </c>
      <c r="AO6700" s="54">
        <v>7</v>
      </c>
      <c r="AP6700" s="54">
        <v>2</v>
      </c>
      <c r="AQ6700" s="54">
        <v>0</v>
      </c>
      <c r="AR6700" s="55">
        <v>28500</v>
      </c>
      <c r="AS6700" s="78">
        <f t="shared" si="108"/>
        <v>0</v>
      </c>
    </row>
    <row r="6701" spans="39:45">
      <c r="AM6701" s="55">
        <v>2019</v>
      </c>
      <c r="AN6701" s="55" t="s">
        <v>191</v>
      </c>
      <c r="AO6701" s="55">
        <v>7</v>
      </c>
      <c r="AP6701" s="55">
        <v>3</v>
      </c>
      <c r="AQ6701" s="55">
        <v>0</v>
      </c>
      <c r="AR6701" s="55">
        <v>28500</v>
      </c>
      <c r="AS6701" s="78">
        <f t="shared" si="108"/>
        <v>0</v>
      </c>
    </row>
    <row r="6702" spans="39:45">
      <c r="AM6702" s="54">
        <v>2019</v>
      </c>
      <c r="AN6702" s="54" t="s">
        <v>191</v>
      </c>
      <c r="AO6702" s="54">
        <v>7</v>
      </c>
      <c r="AP6702" s="54">
        <v>4</v>
      </c>
      <c r="AQ6702" s="54">
        <v>0</v>
      </c>
      <c r="AR6702" s="55">
        <v>28500</v>
      </c>
      <c r="AS6702" s="78">
        <f t="shared" si="108"/>
        <v>0</v>
      </c>
    </row>
    <row r="6703" spans="39:45">
      <c r="AM6703" s="55">
        <v>2019</v>
      </c>
      <c r="AN6703" s="55" t="s">
        <v>191</v>
      </c>
      <c r="AO6703" s="55">
        <v>7</v>
      </c>
      <c r="AP6703" s="55">
        <v>5</v>
      </c>
      <c r="AQ6703" s="55">
        <v>0</v>
      </c>
      <c r="AR6703" s="55">
        <v>28500</v>
      </c>
      <c r="AS6703" s="78">
        <f t="shared" si="108"/>
        <v>0</v>
      </c>
    </row>
    <row r="6704" spans="39:45">
      <c r="AM6704" s="54">
        <v>2019</v>
      </c>
      <c r="AN6704" s="54" t="s">
        <v>191</v>
      </c>
      <c r="AO6704" s="54">
        <v>7</v>
      </c>
      <c r="AP6704" s="54">
        <v>6</v>
      </c>
      <c r="AQ6704" s="54">
        <v>0</v>
      </c>
      <c r="AR6704" s="55">
        <v>28500</v>
      </c>
      <c r="AS6704" s="78">
        <f t="shared" si="108"/>
        <v>0</v>
      </c>
    </row>
    <row r="6705" spans="39:45">
      <c r="AM6705" s="55">
        <v>2019</v>
      </c>
      <c r="AN6705" s="55" t="s">
        <v>191</v>
      </c>
      <c r="AO6705" s="55">
        <v>7</v>
      </c>
      <c r="AP6705" s="55">
        <v>7</v>
      </c>
      <c r="AQ6705" s="55">
        <v>1534</v>
      </c>
      <c r="AR6705" s="55">
        <v>28500</v>
      </c>
      <c r="AS6705" s="78">
        <f t="shared" si="108"/>
        <v>5.3824561403508775E-2</v>
      </c>
    </row>
    <row r="6706" spans="39:45">
      <c r="AM6706" s="54">
        <v>2019</v>
      </c>
      <c r="AN6706" s="54" t="s">
        <v>191</v>
      </c>
      <c r="AO6706" s="54">
        <v>7</v>
      </c>
      <c r="AP6706" s="54">
        <v>8</v>
      </c>
      <c r="AQ6706" s="54">
        <v>10808</v>
      </c>
      <c r="AR6706" s="55">
        <v>28500</v>
      </c>
      <c r="AS6706" s="78">
        <f t="shared" si="108"/>
        <v>0.37922807017543858</v>
      </c>
    </row>
    <row r="6707" spans="39:45">
      <c r="AM6707" s="55">
        <v>2019</v>
      </c>
      <c r="AN6707" s="55" t="s">
        <v>191</v>
      </c>
      <c r="AO6707" s="55">
        <v>7</v>
      </c>
      <c r="AP6707" s="55">
        <v>9</v>
      </c>
      <c r="AQ6707" s="55">
        <v>6689.5</v>
      </c>
      <c r="AR6707" s="55">
        <v>28500</v>
      </c>
      <c r="AS6707" s="78">
        <f t="shared" si="108"/>
        <v>0.23471929824561402</v>
      </c>
    </row>
    <row r="6708" spans="39:45">
      <c r="AM6708" s="54">
        <v>2019</v>
      </c>
      <c r="AN6708" s="54" t="s">
        <v>191</v>
      </c>
      <c r="AO6708" s="54">
        <v>7</v>
      </c>
      <c r="AP6708" s="54">
        <v>10</v>
      </c>
      <c r="AQ6708" s="54">
        <v>8056.5</v>
      </c>
      <c r="AR6708" s="55">
        <v>28500</v>
      </c>
      <c r="AS6708" s="78">
        <f t="shared" si="108"/>
        <v>0.28268421052631582</v>
      </c>
    </row>
    <row r="6709" spans="39:45">
      <c r="AM6709" s="55">
        <v>2019</v>
      </c>
      <c r="AN6709" s="55" t="s">
        <v>191</v>
      </c>
      <c r="AO6709" s="55">
        <v>7</v>
      </c>
      <c r="AP6709" s="55">
        <v>11</v>
      </c>
      <c r="AQ6709" s="55">
        <v>6604</v>
      </c>
      <c r="AR6709" s="55">
        <v>28500</v>
      </c>
      <c r="AS6709" s="78">
        <f t="shared" si="108"/>
        <v>0.23171929824561405</v>
      </c>
    </row>
    <row r="6710" spans="39:45">
      <c r="AM6710" s="54">
        <v>2019</v>
      </c>
      <c r="AN6710" s="54" t="s">
        <v>191</v>
      </c>
      <c r="AO6710" s="54">
        <v>7</v>
      </c>
      <c r="AP6710" s="54">
        <v>12</v>
      </c>
      <c r="AQ6710" s="54">
        <v>13975</v>
      </c>
      <c r="AR6710" s="55">
        <v>28500</v>
      </c>
      <c r="AS6710" s="78">
        <f t="shared" si="108"/>
        <v>0.49035087719298248</v>
      </c>
    </row>
    <row r="6711" spans="39:45">
      <c r="AM6711" s="55">
        <v>2019</v>
      </c>
      <c r="AN6711" s="55" t="s">
        <v>191</v>
      </c>
      <c r="AO6711" s="55">
        <v>7</v>
      </c>
      <c r="AP6711" s="55">
        <v>13</v>
      </c>
      <c r="AQ6711" s="55">
        <v>2824.5</v>
      </c>
      <c r="AR6711" s="55">
        <v>28500</v>
      </c>
      <c r="AS6711" s="78">
        <f t="shared" si="108"/>
        <v>9.9105263157894738E-2</v>
      </c>
    </row>
    <row r="6712" spans="39:45">
      <c r="AM6712" s="54">
        <v>2019</v>
      </c>
      <c r="AN6712" s="54" t="s">
        <v>191</v>
      </c>
      <c r="AO6712" s="54">
        <v>7</v>
      </c>
      <c r="AP6712" s="54">
        <v>14</v>
      </c>
      <c r="AQ6712" s="54">
        <v>1291</v>
      </c>
      <c r="AR6712" s="55">
        <v>28500</v>
      </c>
      <c r="AS6712" s="78">
        <f t="shared" si="108"/>
        <v>4.5298245614035088E-2</v>
      </c>
    </row>
    <row r="6713" spans="39:45">
      <c r="AM6713" s="55">
        <v>2019</v>
      </c>
      <c r="AN6713" s="55" t="s">
        <v>191</v>
      </c>
      <c r="AO6713" s="55">
        <v>7</v>
      </c>
      <c r="AP6713" s="55">
        <v>15</v>
      </c>
      <c r="AQ6713" s="55">
        <v>2194</v>
      </c>
      <c r="AR6713" s="55">
        <v>28500</v>
      </c>
      <c r="AS6713" s="78">
        <f t="shared" si="108"/>
        <v>7.6982456140350874E-2</v>
      </c>
    </row>
    <row r="6714" spans="39:45">
      <c r="AM6714" s="54">
        <v>2019</v>
      </c>
      <c r="AN6714" s="54" t="s">
        <v>191</v>
      </c>
      <c r="AO6714" s="54">
        <v>7</v>
      </c>
      <c r="AP6714" s="54">
        <v>16</v>
      </c>
      <c r="AQ6714" s="54">
        <v>1188</v>
      </c>
      <c r="AR6714" s="55">
        <v>28500</v>
      </c>
      <c r="AS6714" s="78">
        <f t="shared" si="108"/>
        <v>4.1684210526315789E-2</v>
      </c>
    </row>
    <row r="6715" spans="39:45">
      <c r="AM6715" s="55">
        <v>2019</v>
      </c>
      <c r="AN6715" s="55" t="s">
        <v>191</v>
      </c>
      <c r="AO6715" s="55">
        <v>7</v>
      </c>
      <c r="AP6715" s="55">
        <v>17</v>
      </c>
      <c r="AQ6715" s="55">
        <v>0</v>
      </c>
      <c r="AR6715" s="55">
        <v>28500</v>
      </c>
      <c r="AS6715" s="78">
        <f t="shared" si="108"/>
        <v>0</v>
      </c>
    </row>
    <row r="6716" spans="39:45">
      <c r="AM6716" s="54">
        <v>2019</v>
      </c>
      <c r="AN6716" s="54" t="s">
        <v>191</v>
      </c>
      <c r="AO6716" s="54">
        <v>7</v>
      </c>
      <c r="AP6716" s="54">
        <v>18</v>
      </c>
      <c r="AQ6716" s="54">
        <v>0</v>
      </c>
      <c r="AR6716" s="55">
        <v>28500</v>
      </c>
      <c r="AS6716" s="78">
        <f t="shared" si="108"/>
        <v>0</v>
      </c>
    </row>
    <row r="6717" spans="39:45">
      <c r="AM6717" s="55">
        <v>2019</v>
      </c>
      <c r="AN6717" s="55" t="s">
        <v>191</v>
      </c>
      <c r="AO6717" s="55">
        <v>7</v>
      </c>
      <c r="AP6717" s="55">
        <v>19</v>
      </c>
      <c r="AQ6717" s="55">
        <v>0</v>
      </c>
      <c r="AR6717" s="55">
        <v>28500</v>
      </c>
      <c r="AS6717" s="78">
        <f t="shared" si="108"/>
        <v>0</v>
      </c>
    </row>
    <row r="6718" spans="39:45">
      <c r="AM6718" s="54">
        <v>2019</v>
      </c>
      <c r="AN6718" s="54" t="s">
        <v>191</v>
      </c>
      <c r="AO6718" s="54">
        <v>7</v>
      </c>
      <c r="AP6718" s="54">
        <v>20</v>
      </c>
      <c r="AQ6718" s="54">
        <v>0</v>
      </c>
      <c r="AR6718" s="55">
        <v>28500</v>
      </c>
      <c r="AS6718" s="78">
        <f t="shared" si="108"/>
        <v>0</v>
      </c>
    </row>
    <row r="6719" spans="39:45">
      <c r="AM6719" s="55">
        <v>2019</v>
      </c>
      <c r="AN6719" s="55" t="s">
        <v>191</v>
      </c>
      <c r="AO6719" s="55">
        <v>7</v>
      </c>
      <c r="AP6719" s="55">
        <v>21</v>
      </c>
      <c r="AQ6719" s="55">
        <v>0</v>
      </c>
      <c r="AR6719" s="55">
        <v>28500</v>
      </c>
      <c r="AS6719" s="78">
        <f t="shared" si="108"/>
        <v>0</v>
      </c>
    </row>
    <row r="6720" spans="39:45">
      <c r="AM6720" s="54">
        <v>2019</v>
      </c>
      <c r="AN6720" s="54" t="s">
        <v>191</v>
      </c>
      <c r="AO6720" s="54">
        <v>7</v>
      </c>
      <c r="AP6720" s="54">
        <v>22</v>
      </c>
      <c r="AQ6720" s="54">
        <v>0</v>
      </c>
      <c r="AR6720" s="55">
        <v>28500</v>
      </c>
      <c r="AS6720" s="78">
        <f t="shared" si="108"/>
        <v>0</v>
      </c>
    </row>
    <row r="6721" spans="39:45">
      <c r="AM6721" s="55">
        <v>2019</v>
      </c>
      <c r="AN6721" s="55" t="s">
        <v>191</v>
      </c>
      <c r="AO6721" s="55">
        <v>7</v>
      </c>
      <c r="AP6721" s="55">
        <v>23</v>
      </c>
      <c r="AQ6721" s="55">
        <v>0</v>
      </c>
      <c r="AR6721" s="55">
        <v>28500</v>
      </c>
      <c r="AS6721" s="78">
        <f t="shared" si="108"/>
        <v>0</v>
      </c>
    </row>
    <row r="6722" spans="39:45">
      <c r="AM6722" s="54">
        <v>2019</v>
      </c>
      <c r="AN6722" s="54" t="s">
        <v>191</v>
      </c>
      <c r="AO6722" s="54">
        <v>8</v>
      </c>
      <c r="AP6722" s="54">
        <v>24</v>
      </c>
      <c r="AQ6722" s="54">
        <v>0</v>
      </c>
      <c r="AR6722" s="55">
        <v>28500</v>
      </c>
      <c r="AS6722" s="78">
        <f t="shared" ref="AS6722:AS6785" si="109">AQ6722/AR6722</f>
        <v>0</v>
      </c>
    </row>
    <row r="6723" spans="39:45">
      <c r="AM6723" s="55">
        <v>2019</v>
      </c>
      <c r="AN6723" s="55" t="s">
        <v>191</v>
      </c>
      <c r="AO6723" s="55">
        <v>8</v>
      </c>
      <c r="AP6723" s="55">
        <v>1</v>
      </c>
      <c r="AQ6723" s="55">
        <v>0</v>
      </c>
      <c r="AR6723" s="55">
        <v>28500</v>
      </c>
      <c r="AS6723" s="78">
        <f t="shared" si="109"/>
        <v>0</v>
      </c>
    </row>
    <row r="6724" spans="39:45">
      <c r="AM6724" s="54">
        <v>2019</v>
      </c>
      <c r="AN6724" s="54" t="s">
        <v>191</v>
      </c>
      <c r="AO6724" s="54">
        <v>8</v>
      </c>
      <c r="AP6724" s="54">
        <v>2</v>
      </c>
      <c r="AQ6724" s="54">
        <v>0</v>
      </c>
      <c r="AR6724" s="55">
        <v>28500</v>
      </c>
      <c r="AS6724" s="78">
        <f t="shared" si="109"/>
        <v>0</v>
      </c>
    </row>
    <row r="6725" spans="39:45">
      <c r="AM6725" s="55">
        <v>2019</v>
      </c>
      <c r="AN6725" s="55" t="s">
        <v>191</v>
      </c>
      <c r="AO6725" s="55">
        <v>8</v>
      </c>
      <c r="AP6725" s="55">
        <v>3</v>
      </c>
      <c r="AQ6725" s="55">
        <v>0</v>
      </c>
      <c r="AR6725" s="55">
        <v>28500</v>
      </c>
      <c r="AS6725" s="78">
        <f t="shared" si="109"/>
        <v>0</v>
      </c>
    </row>
    <row r="6726" spans="39:45">
      <c r="AM6726" s="54">
        <v>2019</v>
      </c>
      <c r="AN6726" s="54" t="s">
        <v>191</v>
      </c>
      <c r="AO6726" s="54">
        <v>8</v>
      </c>
      <c r="AP6726" s="54">
        <v>4</v>
      </c>
      <c r="AQ6726" s="54">
        <v>0</v>
      </c>
      <c r="AR6726" s="55">
        <v>28500</v>
      </c>
      <c r="AS6726" s="78">
        <f t="shared" si="109"/>
        <v>0</v>
      </c>
    </row>
    <row r="6727" spans="39:45">
      <c r="AM6727" s="55">
        <v>2019</v>
      </c>
      <c r="AN6727" s="55" t="s">
        <v>191</v>
      </c>
      <c r="AO6727" s="55">
        <v>8</v>
      </c>
      <c r="AP6727" s="55">
        <v>5</v>
      </c>
      <c r="AQ6727" s="55">
        <v>0</v>
      </c>
      <c r="AR6727" s="55">
        <v>28500</v>
      </c>
      <c r="AS6727" s="78">
        <f t="shared" si="109"/>
        <v>0</v>
      </c>
    </row>
    <row r="6728" spans="39:45">
      <c r="AM6728" s="54">
        <v>2019</v>
      </c>
      <c r="AN6728" s="54" t="s">
        <v>191</v>
      </c>
      <c r="AO6728" s="54">
        <v>8</v>
      </c>
      <c r="AP6728" s="54">
        <v>6</v>
      </c>
      <c r="AQ6728" s="54">
        <v>0</v>
      </c>
      <c r="AR6728" s="55">
        <v>28500</v>
      </c>
      <c r="AS6728" s="78">
        <f t="shared" si="109"/>
        <v>0</v>
      </c>
    </row>
    <row r="6729" spans="39:45">
      <c r="AM6729" s="55">
        <v>2019</v>
      </c>
      <c r="AN6729" s="55" t="s">
        <v>191</v>
      </c>
      <c r="AO6729" s="55">
        <v>8</v>
      </c>
      <c r="AP6729" s="55">
        <v>7</v>
      </c>
      <c r="AQ6729" s="55">
        <v>4705.5</v>
      </c>
      <c r="AR6729" s="55">
        <v>28500</v>
      </c>
      <c r="AS6729" s="78">
        <f t="shared" si="109"/>
        <v>0.16510526315789473</v>
      </c>
    </row>
    <row r="6730" spans="39:45">
      <c r="AM6730" s="54">
        <v>2019</v>
      </c>
      <c r="AN6730" s="54" t="s">
        <v>191</v>
      </c>
      <c r="AO6730" s="54">
        <v>8</v>
      </c>
      <c r="AP6730" s="54">
        <v>8</v>
      </c>
      <c r="AQ6730" s="54">
        <v>5089.5</v>
      </c>
      <c r="AR6730" s="55">
        <v>28500</v>
      </c>
      <c r="AS6730" s="78">
        <f t="shared" si="109"/>
        <v>0.17857894736842106</v>
      </c>
    </row>
    <row r="6731" spans="39:45">
      <c r="AM6731" s="55">
        <v>2019</v>
      </c>
      <c r="AN6731" s="55" t="s">
        <v>191</v>
      </c>
      <c r="AO6731" s="55">
        <v>8</v>
      </c>
      <c r="AP6731" s="55">
        <v>9</v>
      </c>
      <c r="AQ6731" s="55">
        <v>22877</v>
      </c>
      <c r="AR6731" s="55">
        <v>28500</v>
      </c>
      <c r="AS6731" s="78">
        <f t="shared" si="109"/>
        <v>0.80270175438596492</v>
      </c>
    </row>
    <row r="6732" spans="39:45">
      <c r="AM6732" s="54">
        <v>2019</v>
      </c>
      <c r="AN6732" s="54" t="s">
        <v>191</v>
      </c>
      <c r="AO6732" s="54">
        <v>8</v>
      </c>
      <c r="AP6732" s="54">
        <v>10</v>
      </c>
      <c r="AQ6732" s="54">
        <v>17135.5</v>
      </c>
      <c r="AR6732" s="55">
        <v>28500</v>
      </c>
      <c r="AS6732" s="78">
        <f t="shared" si="109"/>
        <v>0.60124561403508769</v>
      </c>
    </row>
    <row r="6733" spans="39:45">
      <c r="AM6733" s="55">
        <v>2019</v>
      </c>
      <c r="AN6733" s="55" t="s">
        <v>191</v>
      </c>
      <c r="AO6733" s="55">
        <v>8</v>
      </c>
      <c r="AP6733" s="55">
        <v>11</v>
      </c>
      <c r="AQ6733" s="55">
        <v>3637.5</v>
      </c>
      <c r="AR6733" s="55">
        <v>28500</v>
      </c>
      <c r="AS6733" s="78">
        <f t="shared" si="109"/>
        <v>0.12763157894736843</v>
      </c>
    </row>
    <row r="6734" spans="39:45">
      <c r="AM6734" s="54">
        <v>2019</v>
      </c>
      <c r="AN6734" s="54" t="s">
        <v>191</v>
      </c>
      <c r="AO6734" s="54">
        <v>8</v>
      </c>
      <c r="AP6734" s="54">
        <v>12</v>
      </c>
      <c r="AQ6734" s="54">
        <v>4975</v>
      </c>
      <c r="AR6734" s="55">
        <v>28500</v>
      </c>
      <c r="AS6734" s="78">
        <f t="shared" si="109"/>
        <v>0.17456140350877192</v>
      </c>
    </row>
    <row r="6735" spans="39:45">
      <c r="AM6735" s="55">
        <v>2019</v>
      </c>
      <c r="AN6735" s="55" t="s">
        <v>191</v>
      </c>
      <c r="AO6735" s="55">
        <v>8</v>
      </c>
      <c r="AP6735" s="55">
        <v>13</v>
      </c>
      <c r="AQ6735" s="55">
        <v>25235.5</v>
      </c>
      <c r="AR6735" s="55">
        <v>28500</v>
      </c>
      <c r="AS6735" s="78">
        <f t="shared" si="109"/>
        <v>0.88545614035087716</v>
      </c>
    </row>
    <row r="6736" spans="39:45">
      <c r="AM6736" s="54">
        <v>2019</v>
      </c>
      <c r="AN6736" s="54" t="s">
        <v>191</v>
      </c>
      <c r="AO6736" s="54">
        <v>8</v>
      </c>
      <c r="AP6736" s="54">
        <v>14</v>
      </c>
      <c r="AQ6736" s="54">
        <v>16838.5</v>
      </c>
      <c r="AR6736" s="55">
        <v>28500</v>
      </c>
      <c r="AS6736" s="78">
        <f t="shared" si="109"/>
        <v>0.59082456140350881</v>
      </c>
    </row>
    <row r="6737" spans="39:45">
      <c r="AM6737" s="55">
        <v>2019</v>
      </c>
      <c r="AN6737" s="55" t="s">
        <v>191</v>
      </c>
      <c r="AO6737" s="55">
        <v>8</v>
      </c>
      <c r="AP6737" s="55">
        <v>15</v>
      </c>
      <c r="AQ6737" s="55">
        <v>17097</v>
      </c>
      <c r="AR6737" s="55">
        <v>28500</v>
      </c>
      <c r="AS6737" s="78">
        <f t="shared" si="109"/>
        <v>0.59989473684210526</v>
      </c>
    </row>
    <row r="6738" spans="39:45">
      <c r="AM6738" s="54">
        <v>2019</v>
      </c>
      <c r="AN6738" s="54" t="s">
        <v>191</v>
      </c>
      <c r="AO6738" s="54">
        <v>8</v>
      </c>
      <c r="AP6738" s="54">
        <v>16</v>
      </c>
      <c r="AQ6738" s="54">
        <v>1182</v>
      </c>
      <c r="AR6738" s="55">
        <v>28500</v>
      </c>
      <c r="AS6738" s="78">
        <f t="shared" si="109"/>
        <v>4.1473684210526315E-2</v>
      </c>
    </row>
    <row r="6739" spans="39:45">
      <c r="AM6739" s="55">
        <v>2019</v>
      </c>
      <c r="AN6739" s="55" t="s">
        <v>191</v>
      </c>
      <c r="AO6739" s="55">
        <v>8</v>
      </c>
      <c r="AP6739" s="55">
        <v>17</v>
      </c>
      <c r="AQ6739" s="55">
        <v>0</v>
      </c>
      <c r="AR6739" s="55">
        <v>28500</v>
      </c>
      <c r="AS6739" s="78">
        <f t="shared" si="109"/>
        <v>0</v>
      </c>
    </row>
    <row r="6740" spans="39:45">
      <c r="AM6740" s="54">
        <v>2019</v>
      </c>
      <c r="AN6740" s="54" t="s">
        <v>191</v>
      </c>
      <c r="AO6740" s="54">
        <v>8</v>
      </c>
      <c r="AP6740" s="54">
        <v>18</v>
      </c>
      <c r="AQ6740" s="54">
        <v>0</v>
      </c>
      <c r="AR6740" s="55">
        <v>28500</v>
      </c>
      <c r="AS6740" s="78">
        <f t="shared" si="109"/>
        <v>0</v>
      </c>
    </row>
    <row r="6741" spans="39:45">
      <c r="AM6741" s="55">
        <v>2019</v>
      </c>
      <c r="AN6741" s="55" t="s">
        <v>191</v>
      </c>
      <c r="AO6741" s="55">
        <v>8</v>
      </c>
      <c r="AP6741" s="55">
        <v>19</v>
      </c>
      <c r="AQ6741" s="55">
        <v>0</v>
      </c>
      <c r="AR6741" s="55">
        <v>28500</v>
      </c>
      <c r="AS6741" s="78">
        <f t="shared" si="109"/>
        <v>0</v>
      </c>
    </row>
    <row r="6742" spans="39:45">
      <c r="AM6742" s="54">
        <v>2019</v>
      </c>
      <c r="AN6742" s="54" t="s">
        <v>191</v>
      </c>
      <c r="AO6742" s="54">
        <v>8</v>
      </c>
      <c r="AP6742" s="54">
        <v>20</v>
      </c>
      <c r="AQ6742" s="54">
        <v>0</v>
      </c>
      <c r="AR6742" s="55">
        <v>28500</v>
      </c>
      <c r="AS6742" s="78">
        <f t="shared" si="109"/>
        <v>0</v>
      </c>
    </row>
    <row r="6743" spans="39:45">
      <c r="AM6743" s="55">
        <v>2019</v>
      </c>
      <c r="AN6743" s="55" t="s">
        <v>191</v>
      </c>
      <c r="AO6743" s="55">
        <v>8</v>
      </c>
      <c r="AP6743" s="55">
        <v>21</v>
      </c>
      <c r="AQ6743" s="55">
        <v>0</v>
      </c>
      <c r="AR6743" s="55">
        <v>28500</v>
      </c>
      <c r="AS6743" s="78">
        <f t="shared" si="109"/>
        <v>0</v>
      </c>
    </row>
    <row r="6744" spans="39:45">
      <c r="AM6744" s="54">
        <v>2019</v>
      </c>
      <c r="AN6744" s="54" t="s">
        <v>191</v>
      </c>
      <c r="AO6744" s="54">
        <v>8</v>
      </c>
      <c r="AP6744" s="54">
        <v>22</v>
      </c>
      <c r="AQ6744" s="54">
        <v>0</v>
      </c>
      <c r="AR6744" s="55">
        <v>28500</v>
      </c>
      <c r="AS6744" s="78">
        <f t="shared" si="109"/>
        <v>0</v>
      </c>
    </row>
    <row r="6745" spans="39:45">
      <c r="AM6745" s="55">
        <v>2019</v>
      </c>
      <c r="AN6745" s="55" t="s">
        <v>191</v>
      </c>
      <c r="AO6745" s="55">
        <v>8</v>
      </c>
      <c r="AP6745" s="55">
        <v>23</v>
      </c>
      <c r="AQ6745" s="55">
        <v>0</v>
      </c>
      <c r="AR6745" s="55">
        <v>28500</v>
      </c>
      <c r="AS6745" s="78">
        <f t="shared" si="109"/>
        <v>0</v>
      </c>
    </row>
    <row r="6746" spans="39:45">
      <c r="AM6746" s="54">
        <v>2019</v>
      </c>
      <c r="AN6746" s="54" t="s">
        <v>191</v>
      </c>
      <c r="AO6746" s="54">
        <v>9</v>
      </c>
      <c r="AP6746" s="54">
        <v>24</v>
      </c>
      <c r="AQ6746" s="54">
        <v>0</v>
      </c>
      <c r="AR6746" s="55">
        <v>28500</v>
      </c>
      <c r="AS6746" s="78">
        <f t="shared" si="109"/>
        <v>0</v>
      </c>
    </row>
    <row r="6747" spans="39:45">
      <c r="AM6747" s="55">
        <v>2019</v>
      </c>
      <c r="AN6747" s="55" t="s">
        <v>191</v>
      </c>
      <c r="AO6747" s="55">
        <v>9</v>
      </c>
      <c r="AP6747" s="55">
        <v>1</v>
      </c>
      <c r="AQ6747" s="55">
        <v>0</v>
      </c>
      <c r="AR6747" s="55">
        <v>28500</v>
      </c>
      <c r="AS6747" s="78">
        <f t="shared" si="109"/>
        <v>0</v>
      </c>
    </row>
    <row r="6748" spans="39:45">
      <c r="AM6748" s="54">
        <v>2019</v>
      </c>
      <c r="AN6748" s="54" t="s">
        <v>191</v>
      </c>
      <c r="AO6748" s="54">
        <v>9</v>
      </c>
      <c r="AP6748" s="54">
        <v>2</v>
      </c>
      <c r="AQ6748" s="54">
        <v>0</v>
      </c>
      <c r="AR6748" s="55">
        <v>28500</v>
      </c>
      <c r="AS6748" s="78">
        <f t="shared" si="109"/>
        <v>0</v>
      </c>
    </row>
    <row r="6749" spans="39:45">
      <c r="AM6749" s="55">
        <v>2019</v>
      </c>
      <c r="AN6749" s="55" t="s">
        <v>191</v>
      </c>
      <c r="AO6749" s="55">
        <v>9</v>
      </c>
      <c r="AP6749" s="55">
        <v>3</v>
      </c>
      <c r="AQ6749" s="55">
        <v>0</v>
      </c>
      <c r="AR6749" s="55">
        <v>28500</v>
      </c>
      <c r="AS6749" s="78">
        <f t="shared" si="109"/>
        <v>0</v>
      </c>
    </row>
    <row r="6750" spans="39:45">
      <c r="AM6750" s="54">
        <v>2019</v>
      </c>
      <c r="AN6750" s="54" t="s">
        <v>191</v>
      </c>
      <c r="AO6750" s="54">
        <v>9</v>
      </c>
      <c r="AP6750" s="54">
        <v>4</v>
      </c>
      <c r="AQ6750" s="54">
        <v>0</v>
      </c>
      <c r="AR6750" s="55">
        <v>28500</v>
      </c>
      <c r="AS6750" s="78">
        <f t="shared" si="109"/>
        <v>0</v>
      </c>
    </row>
    <row r="6751" spans="39:45">
      <c r="AM6751" s="55">
        <v>2019</v>
      </c>
      <c r="AN6751" s="55" t="s">
        <v>191</v>
      </c>
      <c r="AO6751" s="55">
        <v>9</v>
      </c>
      <c r="AP6751" s="55">
        <v>5</v>
      </c>
      <c r="AQ6751" s="55">
        <v>0</v>
      </c>
      <c r="AR6751" s="55">
        <v>28500</v>
      </c>
      <c r="AS6751" s="78">
        <f t="shared" si="109"/>
        <v>0</v>
      </c>
    </row>
    <row r="6752" spans="39:45">
      <c r="AM6752" s="54">
        <v>2019</v>
      </c>
      <c r="AN6752" s="54" t="s">
        <v>191</v>
      </c>
      <c r="AO6752" s="54">
        <v>9</v>
      </c>
      <c r="AP6752" s="54">
        <v>6</v>
      </c>
      <c r="AQ6752" s="54">
        <v>0</v>
      </c>
      <c r="AR6752" s="55">
        <v>28500</v>
      </c>
      <c r="AS6752" s="78">
        <f t="shared" si="109"/>
        <v>0</v>
      </c>
    </row>
    <row r="6753" spans="39:45">
      <c r="AM6753" s="55">
        <v>2019</v>
      </c>
      <c r="AN6753" s="55" t="s">
        <v>191</v>
      </c>
      <c r="AO6753" s="55">
        <v>9</v>
      </c>
      <c r="AP6753" s="55">
        <v>7</v>
      </c>
      <c r="AQ6753" s="55">
        <v>1302.5</v>
      </c>
      <c r="AR6753" s="55">
        <v>28500</v>
      </c>
      <c r="AS6753" s="78">
        <f t="shared" si="109"/>
        <v>4.570175438596491E-2</v>
      </c>
    </row>
    <row r="6754" spans="39:45">
      <c r="AM6754" s="54">
        <v>2019</v>
      </c>
      <c r="AN6754" s="54" t="s">
        <v>191</v>
      </c>
      <c r="AO6754" s="54">
        <v>9</v>
      </c>
      <c r="AP6754" s="54">
        <v>8</v>
      </c>
      <c r="AQ6754" s="54">
        <v>6877</v>
      </c>
      <c r="AR6754" s="55">
        <v>28500</v>
      </c>
      <c r="AS6754" s="78">
        <f t="shared" si="109"/>
        <v>0.2412982456140351</v>
      </c>
    </row>
    <row r="6755" spans="39:45">
      <c r="AM6755" s="55">
        <v>2019</v>
      </c>
      <c r="AN6755" s="55" t="s">
        <v>191</v>
      </c>
      <c r="AO6755" s="55">
        <v>9</v>
      </c>
      <c r="AP6755" s="55">
        <v>9</v>
      </c>
      <c r="AQ6755" s="55">
        <v>24148.5</v>
      </c>
      <c r="AR6755" s="55">
        <v>28500</v>
      </c>
      <c r="AS6755" s="78">
        <f t="shared" si="109"/>
        <v>0.84731578947368424</v>
      </c>
    </row>
    <row r="6756" spans="39:45">
      <c r="AM6756" s="54">
        <v>2019</v>
      </c>
      <c r="AN6756" s="54" t="s">
        <v>191</v>
      </c>
      <c r="AO6756" s="54">
        <v>9</v>
      </c>
      <c r="AP6756" s="54">
        <v>10</v>
      </c>
      <c r="AQ6756" s="54">
        <v>17193</v>
      </c>
      <c r="AR6756" s="55">
        <v>28500</v>
      </c>
      <c r="AS6756" s="78">
        <f t="shared" si="109"/>
        <v>0.60326315789473683</v>
      </c>
    </row>
    <row r="6757" spans="39:45">
      <c r="AM6757" s="55">
        <v>2019</v>
      </c>
      <c r="AN6757" s="55" t="s">
        <v>191</v>
      </c>
      <c r="AO6757" s="55">
        <v>9</v>
      </c>
      <c r="AP6757" s="55">
        <v>11</v>
      </c>
      <c r="AQ6757" s="55">
        <v>19468</v>
      </c>
      <c r="AR6757" s="55">
        <v>28500</v>
      </c>
      <c r="AS6757" s="78">
        <f t="shared" si="109"/>
        <v>0.68308771929824563</v>
      </c>
    </row>
    <row r="6758" spans="39:45">
      <c r="AM6758" s="54">
        <v>2019</v>
      </c>
      <c r="AN6758" s="54" t="s">
        <v>191</v>
      </c>
      <c r="AO6758" s="54">
        <v>9</v>
      </c>
      <c r="AP6758" s="54">
        <v>12</v>
      </c>
      <c r="AQ6758" s="54">
        <v>27925.5</v>
      </c>
      <c r="AR6758" s="55">
        <v>28500</v>
      </c>
      <c r="AS6758" s="78">
        <f t="shared" si="109"/>
        <v>0.97984210526315785</v>
      </c>
    </row>
    <row r="6759" spans="39:45">
      <c r="AM6759" s="55">
        <v>2019</v>
      </c>
      <c r="AN6759" s="55" t="s">
        <v>191</v>
      </c>
      <c r="AO6759" s="55">
        <v>9</v>
      </c>
      <c r="AP6759" s="55">
        <v>13</v>
      </c>
      <c r="AQ6759" s="55">
        <v>26859.5</v>
      </c>
      <c r="AR6759" s="55">
        <v>28500</v>
      </c>
      <c r="AS6759" s="78">
        <f t="shared" si="109"/>
        <v>0.94243859649122808</v>
      </c>
    </row>
    <row r="6760" spans="39:45">
      <c r="AM6760" s="54">
        <v>2019</v>
      </c>
      <c r="AN6760" s="54" t="s">
        <v>191</v>
      </c>
      <c r="AO6760" s="54">
        <v>9</v>
      </c>
      <c r="AP6760" s="54">
        <v>14</v>
      </c>
      <c r="AQ6760" s="54">
        <v>16811</v>
      </c>
      <c r="AR6760" s="55">
        <v>28500</v>
      </c>
      <c r="AS6760" s="78">
        <f t="shared" si="109"/>
        <v>0.58985964912280697</v>
      </c>
    </row>
    <row r="6761" spans="39:45">
      <c r="AM6761" s="55">
        <v>2019</v>
      </c>
      <c r="AN6761" s="55" t="s">
        <v>191</v>
      </c>
      <c r="AO6761" s="55">
        <v>9</v>
      </c>
      <c r="AP6761" s="55">
        <v>15</v>
      </c>
      <c r="AQ6761" s="55">
        <v>17350</v>
      </c>
      <c r="AR6761" s="55">
        <v>28500</v>
      </c>
      <c r="AS6761" s="78">
        <f t="shared" si="109"/>
        <v>0.60877192982456141</v>
      </c>
    </row>
    <row r="6762" spans="39:45">
      <c r="AM6762" s="54">
        <v>2019</v>
      </c>
      <c r="AN6762" s="54" t="s">
        <v>191</v>
      </c>
      <c r="AO6762" s="54">
        <v>9</v>
      </c>
      <c r="AP6762" s="54">
        <v>16</v>
      </c>
      <c r="AQ6762" s="54">
        <v>2342.5</v>
      </c>
      <c r="AR6762" s="55">
        <v>28500</v>
      </c>
      <c r="AS6762" s="78">
        <f t="shared" si="109"/>
        <v>8.2192982456140345E-2</v>
      </c>
    </row>
    <row r="6763" spans="39:45">
      <c r="AM6763" s="55">
        <v>2019</v>
      </c>
      <c r="AN6763" s="55" t="s">
        <v>191</v>
      </c>
      <c r="AO6763" s="55">
        <v>9</v>
      </c>
      <c r="AP6763" s="55">
        <v>17</v>
      </c>
      <c r="AQ6763" s="55">
        <v>0</v>
      </c>
      <c r="AR6763" s="55">
        <v>28500</v>
      </c>
      <c r="AS6763" s="78">
        <f t="shared" si="109"/>
        <v>0</v>
      </c>
    </row>
    <row r="6764" spans="39:45">
      <c r="AM6764" s="54">
        <v>2019</v>
      </c>
      <c r="AN6764" s="54" t="s">
        <v>191</v>
      </c>
      <c r="AO6764" s="54">
        <v>9</v>
      </c>
      <c r="AP6764" s="54">
        <v>18</v>
      </c>
      <c r="AQ6764" s="54">
        <v>0</v>
      </c>
      <c r="AR6764" s="55">
        <v>28500</v>
      </c>
      <c r="AS6764" s="78">
        <f t="shared" si="109"/>
        <v>0</v>
      </c>
    </row>
    <row r="6765" spans="39:45">
      <c r="AM6765" s="55">
        <v>2019</v>
      </c>
      <c r="AN6765" s="55" t="s">
        <v>191</v>
      </c>
      <c r="AO6765" s="55">
        <v>9</v>
      </c>
      <c r="AP6765" s="55">
        <v>19</v>
      </c>
      <c r="AQ6765" s="55">
        <v>0</v>
      </c>
      <c r="AR6765" s="55">
        <v>28500</v>
      </c>
      <c r="AS6765" s="78">
        <f t="shared" si="109"/>
        <v>0</v>
      </c>
    </row>
    <row r="6766" spans="39:45">
      <c r="AM6766" s="54">
        <v>2019</v>
      </c>
      <c r="AN6766" s="54" t="s">
        <v>191</v>
      </c>
      <c r="AO6766" s="54">
        <v>9</v>
      </c>
      <c r="AP6766" s="54">
        <v>20</v>
      </c>
      <c r="AQ6766" s="54">
        <v>0</v>
      </c>
      <c r="AR6766" s="55">
        <v>28500</v>
      </c>
      <c r="AS6766" s="78">
        <f t="shared" si="109"/>
        <v>0</v>
      </c>
    </row>
    <row r="6767" spans="39:45">
      <c r="AM6767" s="55">
        <v>2019</v>
      </c>
      <c r="AN6767" s="55" t="s">
        <v>191</v>
      </c>
      <c r="AO6767" s="55">
        <v>9</v>
      </c>
      <c r="AP6767" s="55">
        <v>21</v>
      </c>
      <c r="AQ6767" s="55">
        <v>0</v>
      </c>
      <c r="AR6767" s="55">
        <v>28500</v>
      </c>
      <c r="AS6767" s="78">
        <f t="shared" si="109"/>
        <v>0</v>
      </c>
    </row>
    <row r="6768" spans="39:45">
      <c r="AM6768" s="54">
        <v>2019</v>
      </c>
      <c r="AN6768" s="54" t="s">
        <v>191</v>
      </c>
      <c r="AO6768" s="54">
        <v>9</v>
      </c>
      <c r="AP6768" s="54">
        <v>22</v>
      </c>
      <c r="AQ6768" s="54">
        <v>0</v>
      </c>
      <c r="AR6768" s="55">
        <v>28500</v>
      </c>
      <c r="AS6768" s="78">
        <f t="shared" si="109"/>
        <v>0</v>
      </c>
    </row>
    <row r="6769" spans="39:45">
      <c r="AM6769" s="55">
        <v>2019</v>
      </c>
      <c r="AN6769" s="55" t="s">
        <v>191</v>
      </c>
      <c r="AO6769" s="55">
        <v>9</v>
      </c>
      <c r="AP6769" s="55">
        <v>23</v>
      </c>
      <c r="AQ6769" s="55">
        <v>0</v>
      </c>
      <c r="AR6769" s="55">
        <v>28500</v>
      </c>
      <c r="AS6769" s="78">
        <f t="shared" si="109"/>
        <v>0</v>
      </c>
    </row>
    <row r="6770" spans="39:45">
      <c r="AM6770" s="54">
        <v>2019</v>
      </c>
      <c r="AN6770" s="54" t="s">
        <v>191</v>
      </c>
      <c r="AO6770" s="54">
        <v>10</v>
      </c>
      <c r="AP6770" s="54">
        <v>24</v>
      </c>
      <c r="AQ6770" s="54">
        <v>0</v>
      </c>
      <c r="AR6770" s="55">
        <v>28500</v>
      </c>
      <c r="AS6770" s="78">
        <f t="shared" si="109"/>
        <v>0</v>
      </c>
    </row>
    <row r="6771" spans="39:45">
      <c r="AM6771" s="55">
        <v>2019</v>
      </c>
      <c r="AN6771" s="55" t="s">
        <v>191</v>
      </c>
      <c r="AO6771" s="55">
        <v>10</v>
      </c>
      <c r="AP6771" s="55">
        <v>1</v>
      </c>
      <c r="AQ6771" s="55">
        <v>0</v>
      </c>
      <c r="AR6771" s="55">
        <v>28500</v>
      </c>
      <c r="AS6771" s="78">
        <f t="shared" si="109"/>
        <v>0</v>
      </c>
    </row>
    <row r="6772" spans="39:45">
      <c r="AM6772" s="54">
        <v>2019</v>
      </c>
      <c r="AN6772" s="54" t="s">
        <v>191</v>
      </c>
      <c r="AO6772" s="54">
        <v>10</v>
      </c>
      <c r="AP6772" s="54">
        <v>2</v>
      </c>
      <c r="AQ6772" s="54">
        <v>0</v>
      </c>
      <c r="AR6772" s="55">
        <v>28500</v>
      </c>
      <c r="AS6772" s="78">
        <f t="shared" si="109"/>
        <v>0</v>
      </c>
    </row>
    <row r="6773" spans="39:45">
      <c r="AM6773" s="55">
        <v>2019</v>
      </c>
      <c r="AN6773" s="55" t="s">
        <v>191</v>
      </c>
      <c r="AO6773" s="55">
        <v>10</v>
      </c>
      <c r="AP6773" s="55">
        <v>3</v>
      </c>
      <c r="AQ6773" s="55">
        <v>0</v>
      </c>
      <c r="AR6773" s="55">
        <v>28500</v>
      </c>
      <c r="AS6773" s="78">
        <f t="shared" si="109"/>
        <v>0</v>
      </c>
    </row>
    <row r="6774" spans="39:45">
      <c r="AM6774" s="54">
        <v>2019</v>
      </c>
      <c r="AN6774" s="54" t="s">
        <v>191</v>
      </c>
      <c r="AO6774" s="54">
        <v>10</v>
      </c>
      <c r="AP6774" s="54">
        <v>4</v>
      </c>
      <c r="AQ6774" s="54">
        <v>0</v>
      </c>
      <c r="AR6774" s="55">
        <v>28500</v>
      </c>
      <c r="AS6774" s="78">
        <f t="shared" si="109"/>
        <v>0</v>
      </c>
    </row>
    <row r="6775" spans="39:45">
      <c r="AM6775" s="55">
        <v>2019</v>
      </c>
      <c r="AN6775" s="55" t="s">
        <v>191</v>
      </c>
      <c r="AO6775" s="55">
        <v>10</v>
      </c>
      <c r="AP6775" s="55">
        <v>5</v>
      </c>
      <c r="AQ6775" s="55">
        <v>0</v>
      </c>
      <c r="AR6775" s="55">
        <v>28500</v>
      </c>
      <c r="AS6775" s="78">
        <f t="shared" si="109"/>
        <v>0</v>
      </c>
    </row>
    <row r="6776" spans="39:45">
      <c r="AM6776" s="54">
        <v>2019</v>
      </c>
      <c r="AN6776" s="54" t="s">
        <v>191</v>
      </c>
      <c r="AO6776" s="54">
        <v>10</v>
      </c>
      <c r="AP6776" s="54">
        <v>6</v>
      </c>
      <c r="AQ6776" s="54">
        <v>0</v>
      </c>
      <c r="AR6776" s="55">
        <v>28500</v>
      </c>
      <c r="AS6776" s="78">
        <f t="shared" si="109"/>
        <v>0</v>
      </c>
    </row>
    <row r="6777" spans="39:45">
      <c r="AM6777" s="55">
        <v>2019</v>
      </c>
      <c r="AN6777" s="55" t="s">
        <v>191</v>
      </c>
      <c r="AO6777" s="55">
        <v>10</v>
      </c>
      <c r="AP6777" s="55">
        <v>7</v>
      </c>
      <c r="AQ6777" s="55">
        <v>3991</v>
      </c>
      <c r="AR6777" s="55">
        <v>28500</v>
      </c>
      <c r="AS6777" s="78">
        <f t="shared" si="109"/>
        <v>0.14003508771929823</v>
      </c>
    </row>
    <row r="6778" spans="39:45">
      <c r="AM6778" s="54">
        <v>2019</v>
      </c>
      <c r="AN6778" s="54" t="s">
        <v>191</v>
      </c>
      <c r="AO6778" s="54">
        <v>10</v>
      </c>
      <c r="AP6778" s="54">
        <v>8</v>
      </c>
      <c r="AQ6778" s="54">
        <v>16763</v>
      </c>
      <c r="AR6778" s="55">
        <v>28500</v>
      </c>
      <c r="AS6778" s="78">
        <f t="shared" si="109"/>
        <v>0.58817543859649124</v>
      </c>
    </row>
    <row r="6779" spans="39:45">
      <c r="AM6779" s="55">
        <v>2019</v>
      </c>
      <c r="AN6779" s="55" t="s">
        <v>191</v>
      </c>
      <c r="AO6779" s="55">
        <v>10</v>
      </c>
      <c r="AP6779" s="55">
        <v>9</v>
      </c>
      <c r="AQ6779" s="55">
        <v>23154.5</v>
      </c>
      <c r="AR6779" s="55">
        <v>28500</v>
      </c>
      <c r="AS6779" s="78">
        <f t="shared" si="109"/>
        <v>0.81243859649122807</v>
      </c>
    </row>
    <row r="6780" spans="39:45">
      <c r="AM6780" s="54">
        <v>2019</v>
      </c>
      <c r="AN6780" s="54" t="s">
        <v>191</v>
      </c>
      <c r="AO6780" s="54">
        <v>10</v>
      </c>
      <c r="AP6780" s="54">
        <v>10</v>
      </c>
      <c r="AQ6780" s="54">
        <v>30331.5</v>
      </c>
      <c r="AR6780" s="55">
        <v>28500</v>
      </c>
      <c r="AS6780" s="78">
        <f t="shared" si="109"/>
        <v>1.0642631578947368</v>
      </c>
    </row>
    <row r="6781" spans="39:45">
      <c r="AM6781" s="55">
        <v>2019</v>
      </c>
      <c r="AN6781" s="55" t="s">
        <v>191</v>
      </c>
      <c r="AO6781" s="55">
        <v>10</v>
      </c>
      <c r="AP6781" s="55">
        <v>11</v>
      </c>
      <c r="AQ6781" s="55">
        <v>26776</v>
      </c>
      <c r="AR6781" s="55">
        <v>28500</v>
      </c>
      <c r="AS6781" s="78">
        <f t="shared" si="109"/>
        <v>0.93950877192982452</v>
      </c>
    </row>
    <row r="6782" spans="39:45">
      <c r="AM6782" s="54">
        <v>2019</v>
      </c>
      <c r="AN6782" s="54" t="s">
        <v>191</v>
      </c>
      <c r="AO6782" s="54">
        <v>10</v>
      </c>
      <c r="AP6782" s="54">
        <v>12</v>
      </c>
      <c r="AQ6782" s="54">
        <v>21997.5</v>
      </c>
      <c r="AR6782" s="55">
        <v>28500</v>
      </c>
      <c r="AS6782" s="78">
        <f t="shared" si="109"/>
        <v>0.77184210526315788</v>
      </c>
    </row>
    <row r="6783" spans="39:45">
      <c r="AM6783" s="55">
        <v>2019</v>
      </c>
      <c r="AN6783" s="55" t="s">
        <v>191</v>
      </c>
      <c r="AO6783" s="55">
        <v>10</v>
      </c>
      <c r="AP6783" s="55">
        <v>13</v>
      </c>
      <c r="AQ6783" s="55">
        <v>24036.5</v>
      </c>
      <c r="AR6783" s="55">
        <v>28500</v>
      </c>
      <c r="AS6783" s="78">
        <f t="shared" si="109"/>
        <v>0.84338596491228068</v>
      </c>
    </row>
    <row r="6784" spans="39:45">
      <c r="AM6784" s="54">
        <v>2019</v>
      </c>
      <c r="AN6784" s="54" t="s">
        <v>191</v>
      </c>
      <c r="AO6784" s="54">
        <v>10</v>
      </c>
      <c r="AP6784" s="54">
        <v>14</v>
      </c>
      <c r="AQ6784" s="54">
        <v>18358</v>
      </c>
      <c r="AR6784" s="55">
        <v>28500</v>
      </c>
      <c r="AS6784" s="78">
        <f t="shared" si="109"/>
        <v>0.64414035087719301</v>
      </c>
    </row>
    <row r="6785" spans="39:45">
      <c r="AM6785" s="55">
        <v>2019</v>
      </c>
      <c r="AN6785" s="55" t="s">
        <v>191</v>
      </c>
      <c r="AO6785" s="55">
        <v>10</v>
      </c>
      <c r="AP6785" s="55">
        <v>15</v>
      </c>
      <c r="AQ6785" s="55">
        <v>8445</v>
      </c>
      <c r="AR6785" s="55">
        <v>28500</v>
      </c>
      <c r="AS6785" s="78">
        <f t="shared" si="109"/>
        <v>0.2963157894736842</v>
      </c>
    </row>
    <row r="6786" spans="39:45">
      <c r="AM6786" s="54">
        <v>2019</v>
      </c>
      <c r="AN6786" s="54" t="s">
        <v>191</v>
      </c>
      <c r="AO6786" s="54">
        <v>10</v>
      </c>
      <c r="AP6786" s="54">
        <v>16</v>
      </c>
      <c r="AQ6786" s="54">
        <v>1078.5</v>
      </c>
      <c r="AR6786" s="55">
        <v>28500</v>
      </c>
      <c r="AS6786" s="78">
        <f t="shared" ref="AS6786:AS6849" si="110">AQ6786/AR6786</f>
        <v>3.7842105263157892E-2</v>
      </c>
    </row>
    <row r="6787" spans="39:45">
      <c r="AM6787" s="55">
        <v>2019</v>
      </c>
      <c r="AN6787" s="55" t="s">
        <v>191</v>
      </c>
      <c r="AO6787" s="55">
        <v>10</v>
      </c>
      <c r="AP6787" s="55">
        <v>17</v>
      </c>
      <c r="AQ6787" s="55">
        <v>0</v>
      </c>
      <c r="AR6787" s="55">
        <v>28500</v>
      </c>
      <c r="AS6787" s="78">
        <f t="shared" si="110"/>
        <v>0</v>
      </c>
    </row>
    <row r="6788" spans="39:45">
      <c r="AM6788" s="54">
        <v>2019</v>
      </c>
      <c r="AN6788" s="54" t="s">
        <v>191</v>
      </c>
      <c r="AO6788" s="54">
        <v>10</v>
      </c>
      <c r="AP6788" s="54">
        <v>18</v>
      </c>
      <c r="AQ6788" s="54">
        <v>0</v>
      </c>
      <c r="AR6788" s="55">
        <v>28500</v>
      </c>
      <c r="AS6788" s="78">
        <f t="shared" si="110"/>
        <v>0</v>
      </c>
    </row>
    <row r="6789" spans="39:45">
      <c r="AM6789" s="55">
        <v>2019</v>
      </c>
      <c r="AN6789" s="55" t="s">
        <v>191</v>
      </c>
      <c r="AO6789" s="55">
        <v>10</v>
      </c>
      <c r="AP6789" s="55">
        <v>19</v>
      </c>
      <c r="AQ6789" s="55">
        <v>0</v>
      </c>
      <c r="AR6789" s="55">
        <v>28500</v>
      </c>
      <c r="AS6789" s="78">
        <f t="shared" si="110"/>
        <v>0</v>
      </c>
    </row>
    <row r="6790" spans="39:45">
      <c r="AM6790" s="54">
        <v>2019</v>
      </c>
      <c r="AN6790" s="54" t="s">
        <v>191</v>
      </c>
      <c r="AO6790" s="54">
        <v>10</v>
      </c>
      <c r="AP6790" s="54">
        <v>20</v>
      </c>
      <c r="AQ6790" s="54">
        <v>0</v>
      </c>
      <c r="AR6790" s="55">
        <v>28500</v>
      </c>
      <c r="AS6790" s="78">
        <f t="shared" si="110"/>
        <v>0</v>
      </c>
    </row>
    <row r="6791" spans="39:45">
      <c r="AM6791" s="55">
        <v>2019</v>
      </c>
      <c r="AN6791" s="55" t="s">
        <v>191</v>
      </c>
      <c r="AO6791" s="55">
        <v>10</v>
      </c>
      <c r="AP6791" s="55">
        <v>21</v>
      </c>
      <c r="AQ6791" s="55">
        <v>0</v>
      </c>
      <c r="AR6791" s="55">
        <v>28500</v>
      </c>
      <c r="AS6791" s="78">
        <f t="shared" si="110"/>
        <v>0</v>
      </c>
    </row>
    <row r="6792" spans="39:45">
      <c r="AM6792" s="54">
        <v>2019</v>
      </c>
      <c r="AN6792" s="54" t="s">
        <v>191</v>
      </c>
      <c r="AO6792" s="54">
        <v>10</v>
      </c>
      <c r="AP6792" s="54">
        <v>22</v>
      </c>
      <c r="AQ6792" s="54">
        <v>0</v>
      </c>
      <c r="AR6792" s="55">
        <v>28500</v>
      </c>
      <c r="AS6792" s="78">
        <f t="shared" si="110"/>
        <v>0</v>
      </c>
    </row>
    <row r="6793" spans="39:45">
      <c r="AM6793" s="55">
        <v>2019</v>
      </c>
      <c r="AN6793" s="55" t="s">
        <v>191</v>
      </c>
      <c r="AO6793" s="55">
        <v>10</v>
      </c>
      <c r="AP6793" s="55">
        <v>23</v>
      </c>
      <c r="AQ6793" s="55">
        <v>0</v>
      </c>
      <c r="AR6793" s="55">
        <v>28500</v>
      </c>
      <c r="AS6793" s="78">
        <f t="shared" si="110"/>
        <v>0</v>
      </c>
    </row>
    <row r="6794" spans="39:45">
      <c r="AM6794" s="54">
        <v>2019</v>
      </c>
      <c r="AN6794" s="54" t="s">
        <v>191</v>
      </c>
      <c r="AO6794" s="54">
        <v>11</v>
      </c>
      <c r="AP6794" s="54">
        <v>24</v>
      </c>
      <c r="AQ6794" s="54">
        <v>0</v>
      </c>
      <c r="AR6794" s="55">
        <v>28500</v>
      </c>
      <c r="AS6794" s="78">
        <f t="shared" si="110"/>
        <v>0</v>
      </c>
    </row>
    <row r="6795" spans="39:45">
      <c r="AM6795" s="55">
        <v>2019</v>
      </c>
      <c r="AN6795" s="55" t="s">
        <v>191</v>
      </c>
      <c r="AO6795" s="55">
        <v>11</v>
      </c>
      <c r="AP6795" s="55">
        <v>1</v>
      </c>
      <c r="AQ6795" s="55">
        <v>0</v>
      </c>
      <c r="AR6795" s="55">
        <v>28500</v>
      </c>
      <c r="AS6795" s="78">
        <f t="shared" si="110"/>
        <v>0</v>
      </c>
    </row>
    <row r="6796" spans="39:45">
      <c r="AM6796" s="54">
        <v>2019</v>
      </c>
      <c r="AN6796" s="54" t="s">
        <v>191</v>
      </c>
      <c r="AO6796" s="54">
        <v>11</v>
      </c>
      <c r="AP6796" s="54">
        <v>2</v>
      </c>
      <c r="AQ6796" s="54">
        <v>0</v>
      </c>
      <c r="AR6796" s="55">
        <v>28500</v>
      </c>
      <c r="AS6796" s="78">
        <f t="shared" si="110"/>
        <v>0</v>
      </c>
    </row>
    <row r="6797" spans="39:45">
      <c r="AM6797" s="55">
        <v>2019</v>
      </c>
      <c r="AN6797" s="55" t="s">
        <v>191</v>
      </c>
      <c r="AO6797" s="55">
        <v>11</v>
      </c>
      <c r="AP6797" s="55">
        <v>3</v>
      </c>
      <c r="AQ6797" s="55">
        <v>0</v>
      </c>
      <c r="AR6797" s="55">
        <v>28500</v>
      </c>
      <c r="AS6797" s="78">
        <f t="shared" si="110"/>
        <v>0</v>
      </c>
    </row>
    <row r="6798" spans="39:45">
      <c r="AM6798" s="54">
        <v>2019</v>
      </c>
      <c r="AN6798" s="54" t="s">
        <v>191</v>
      </c>
      <c r="AO6798" s="54">
        <v>11</v>
      </c>
      <c r="AP6798" s="54">
        <v>4</v>
      </c>
      <c r="AQ6798" s="54">
        <v>0</v>
      </c>
      <c r="AR6798" s="55">
        <v>28500</v>
      </c>
      <c r="AS6798" s="78">
        <f t="shared" si="110"/>
        <v>0</v>
      </c>
    </row>
    <row r="6799" spans="39:45">
      <c r="AM6799" s="55">
        <v>2019</v>
      </c>
      <c r="AN6799" s="55" t="s">
        <v>191</v>
      </c>
      <c r="AO6799" s="55">
        <v>11</v>
      </c>
      <c r="AP6799" s="55">
        <v>5</v>
      </c>
      <c r="AQ6799" s="55">
        <v>0</v>
      </c>
      <c r="AR6799" s="55">
        <v>28500</v>
      </c>
      <c r="AS6799" s="78">
        <f t="shared" si="110"/>
        <v>0</v>
      </c>
    </row>
    <row r="6800" spans="39:45">
      <c r="AM6800" s="54">
        <v>2019</v>
      </c>
      <c r="AN6800" s="54" t="s">
        <v>191</v>
      </c>
      <c r="AO6800" s="54">
        <v>11</v>
      </c>
      <c r="AP6800" s="54">
        <v>6</v>
      </c>
      <c r="AQ6800" s="54">
        <v>0</v>
      </c>
      <c r="AR6800" s="55">
        <v>28500</v>
      </c>
      <c r="AS6800" s="78">
        <f t="shared" si="110"/>
        <v>0</v>
      </c>
    </row>
    <row r="6801" spans="39:45">
      <c r="AM6801" s="55">
        <v>2019</v>
      </c>
      <c r="AN6801" s="55" t="s">
        <v>191</v>
      </c>
      <c r="AO6801" s="55">
        <v>11</v>
      </c>
      <c r="AP6801" s="55">
        <v>7</v>
      </c>
      <c r="AQ6801" s="55">
        <v>589.5</v>
      </c>
      <c r="AR6801" s="55">
        <v>28500</v>
      </c>
      <c r="AS6801" s="78">
        <f t="shared" si="110"/>
        <v>2.0684210526315791E-2</v>
      </c>
    </row>
    <row r="6802" spans="39:45">
      <c r="AM6802" s="54">
        <v>2019</v>
      </c>
      <c r="AN6802" s="54" t="s">
        <v>191</v>
      </c>
      <c r="AO6802" s="54">
        <v>11</v>
      </c>
      <c r="AP6802" s="54">
        <v>8</v>
      </c>
      <c r="AQ6802" s="54">
        <v>1929</v>
      </c>
      <c r="AR6802" s="55">
        <v>28500</v>
      </c>
      <c r="AS6802" s="78">
        <f t="shared" si="110"/>
        <v>6.7684210526315791E-2</v>
      </c>
    </row>
    <row r="6803" spans="39:45">
      <c r="AM6803" s="55">
        <v>2019</v>
      </c>
      <c r="AN6803" s="55" t="s">
        <v>191</v>
      </c>
      <c r="AO6803" s="55">
        <v>11</v>
      </c>
      <c r="AP6803" s="55">
        <v>9</v>
      </c>
      <c r="AQ6803" s="55">
        <v>5270</v>
      </c>
      <c r="AR6803" s="55">
        <v>28500</v>
      </c>
      <c r="AS6803" s="78">
        <f t="shared" si="110"/>
        <v>0.18491228070175439</v>
      </c>
    </row>
    <row r="6804" spans="39:45">
      <c r="AM6804" s="54">
        <v>2019</v>
      </c>
      <c r="AN6804" s="54" t="s">
        <v>191</v>
      </c>
      <c r="AO6804" s="54">
        <v>11</v>
      </c>
      <c r="AP6804" s="54">
        <v>10</v>
      </c>
      <c r="AQ6804" s="54">
        <v>3767.5</v>
      </c>
      <c r="AR6804" s="55">
        <v>28500</v>
      </c>
      <c r="AS6804" s="78">
        <f t="shared" si="110"/>
        <v>0.13219298245614036</v>
      </c>
    </row>
    <row r="6805" spans="39:45">
      <c r="AM6805" s="55">
        <v>2019</v>
      </c>
      <c r="AN6805" s="55" t="s">
        <v>191</v>
      </c>
      <c r="AO6805" s="55">
        <v>11</v>
      </c>
      <c r="AP6805" s="55">
        <v>11</v>
      </c>
      <c r="AQ6805" s="55">
        <v>3801</v>
      </c>
      <c r="AR6805" s="55">
        <v>28500</v>
      </c>
      <c r="AS6805" s="78">
        <f t="shared" si="110"/>
        <v>0.13336842105263158</v>
      </c>
    </row>
    <row r="6806" spans="39:45">
      <c r="AM6806" s="54">
        <v>2019</v>
      </c>
      <c r="AN6806" s="54" t="s">
        <v>191</v>
      </c>
      <c r="AO6806" s="54">
        <v>11</v>
      </c>
      <c r="AP6806" s="54">
        <v>12</v>
      </c>
      <c r="AQ6806" s="54">
        <v>3030</v>
      </c>
      <c r="AR6806" s="55">
        <v>28500</v>
      </c>
      <c r="AS6806" s="78">
        <f t="shared" si="110"/>
        <v>0.10631578947368421</v>
      </c>
    </row>
    <row r="6807" spans="39:45">
      <c r="AM6807" s="55">
        <v>2019</v>
      </c>
      <c r="AN6807" s="55" t="s">
        <v>191</v>
      </c>
      <c r="AO6807" s="55">
        <v>11</v>
      </c>
      <c r="AP6807" s="55">
        <v>13</v>
      </c>
      <c r="AQ6807" s="55">
        <v>3596</v>
      </c>
      <c r="AR6807" s="55">
        <v>28500</v>
      </c>
      <c r="AS6807" s="78">
        <f t="shared" si="110"/>
        <v>0.12617543859649122</v>
      </c>
    </row>
    <row r="6808" spans="39:45">
      <c r="AM6808" s="54">
        <v>2019</v>
      </c>
      <c r="AN6808" s="54" t="s">
        <v>191</v>
      </c>
      <c r="AO6808" s="54">
        <v>11</v>
      </c>
      <c r="AP6808" s="54">
        <v>14</v>
      </c>
      <c r="AQ6808" s="54">
        <v>3094</v>
      </c>
      <c r="AR6808" s="55">
        <v>28500</v>
      </c>
      <c r="AS6808" s="78">
        <f t="shared" si="110"/>
        <v>0.10856140350877193</v>
      </c>
    </row>
    <row r="6809" spans="39:45">
      <c r="AM6809" s="55">
        <v>2019</v>
      </c>
      <c r="AN6809" s="55" t="s">
        <v>191</v>
      </c>
      <c r="AO6809" s="55">
        <v>11</v>
      </c>
      <c r="AP6809" s="55">
        <v>15</v>
      </c>
      <c r="AQ6809" s="55">
        <v>2857.5</v>
      </c>
      <c r="AR6809" s="55">
        <v>28500</v>
      </c>
      <c r="AS6809" s="78">
        <f t="shared" si="110"/>
        <v>0.10026315789473685</v>
      </c>
    </row>
    <row r="6810" spans="39:45">
      <c r="AM6810" s="54">
        <v>2019</v>
      </c>
      <c r="AN6810" s="54" t="s">
        <v>191</v>
      </c>
      <c r="AO6810" s="54">
        <v>11</v>
      </c>
      <c r="AP6810" s="54">
        <v>16</v>
      </c>
      <c r="AQ6810" s="54">
        <v>1625</v>
      </c>
      <c r="AR6810" s="55">
        <v>28500</v>
      </c>
      <c r="AS6810" s="78">
        <f t="shared" si="110"/>
        <v>5.701754385964912E-2</v>
      </c>
    </row>
    <row r="6811" spans="39:45">
      <c r="AM6811" s="55">
        <v>2019</v>
      </c>
      <c r="AN6811" s="55" t="s">
        <v>191</v>
      </c>
      <c r="AO6811" s="55">
        <v>11</v>
      </c>
      <c r="AP6811" s="55">
        <v>17</v>
      </c>
      <c r="AQ6811" s="55">
        <v>0</v>
      </c>
      <c r="AR6811" s="55">
        <v>28500</v>
      </c>
      <c r="AS6811" s="78">
        <f t="shared" si="110"/>
        <v>0</v>
      </c>
    </row>
    <row r="6812" spans="39:45">
      <c r="AM6812" s="54">
        <v>2019</v>
      </c>
      <c r="AN6812" s="54" t="s">
        <v>191</v>
      </c>
      <c r="AO6812" s="54">
        <v>11</v>
      </c>
      <c r="AP6812" s="54">
        <v>18</v>
      </c>
      <c r="AQ6812" s="54">
        <v>0</v>
      </c>
      <c r="AR6812" s="55">
        <v>28500</v>
      </c>
      <c r="AS6812" s="78">
        <f t="shared" si="110"/>
        <v>0</v>
      </c>
    </row>
    <row r="6813" spans="39:45">
      <c r="AM6813" s="55">
        <v>2019</v>
      </c>
      <c r="AN6813" s="55" t="s">
        <v>191</v>
      </c>
      <c r="AO6813" s="55">
        <v>11</v>
      </c>
      <c r="AP6813" s="55">
        <v>19</v>
      </c>
      <c r="AQ6813" s="55">
        <v>0</v>
      </c>
      <c r="AR6813" s="55">
        <v>28500</v>
      </c>
      <c r="AS6813" s="78">
        <f t="shared" si="110"/>
        <v>0</v>
      </c>
    </row>
    <row r="6814" spans="39:45">
      <c r="AM6814" s="54">
        <v>2019</v>
      </c>
      <c r="AN6814" s="54" t="s">
        <v>191</v>
      </c>
      <c r="AO6814" s="54">
        <v>11</v>
      </c>
      <c r="AP6814" s="54">
        <v>20</v>
      </c>
      <c r="AQ6814" s="54">
        <v>0</v>
      </c>
      <c r="AR6814" s="55">
        <v>28500</v>
      </c>
      <c r="AS6814" s="78">
        <f t="shared" si="110"/>
        <v>0</v>
      </c>
    </row>
    <row r="6815" spans="39:45">
      <c r="AM6815" s="55">
        <v>2019</v>
      </c>
      <c r="AN6815" s="55" t="s">
        <v>191</v>
      </c>
      <c r="AO6815" s="55">
        <v>11</v>
      </c>
      <c r="AP6815" s="55">
        <v>21</v>
      </c>
      <c r="AQ6815" s="55">
        <v>0</v>
      </c>
      <c r="AR6815" s="55">
        <v>28500</v>
      </c>
      <c r="AS6815" s="78">
        <f t="shared" si="110"/>
        <v>0</v>
      </c>
    </row>
    <row r="6816" spans="39:45">
      <c r="AM6816" s="54">
        <v>2019</v>
      </c>
      <c r="AN6816" s="54" t="s">
        <v>191</v>
      </c>
      <c r="AO6816" s="54">
        <v>11</v>
      </c>
      <c r="AP6816" s="54">
        <v>22</v>
      </c>
      <c r="AQ6816" s="54">
        <v>0</v>
      </c>
      <c r="AR6816" s="55">
        <v>28500</v>
      </c>
      <c r="AS6816" s="78">
        <f t="shared" si="110"/>
        <v>0</v>
      </c>
    </row>
    <row r="6817" spans="39:45">
      <c r="AM6817" s="55">
        <v>2019</v>
      </c>
      <c r="AN6817" s="55" t="s">
        <v>191</v>
      </c>
      <c r="AO6817" s="55">
        <v>11</v>
      </c>
      <c r="AP6817" s="55">
        <v>23</v>
      </c>
      <c r="AQ6817" s="55">
        <v>0</v>
      </c>
      <c r="AR6817" s="55">
        <v>28500</v>
      </c>
      <c r="AS6817" s="78">
        <f t="shared" si="110"/>
        <v>0</v>
      </c>
    </row>
    <row r="6818" spans="39:45">
      <c r="AM6818" s="54">
        <v>2019</v>
      </c>
      <c r="AN6818" s="54" t="s">
        <v>191</v>
      </c>
      <c r="AO6818" s="54">
        <v>12</v>
      </c>
      <c r="AP6818" s="54">
        <v>24</v>
      </c>
      <c r="AQ6818" s="54">
        <v>0</v>
      </c>
      <c r="AR6818" s="55">
        <v>28500</v>
      </c>
      <c r="AS6818" s="78">
        <f t="shared" si="110"/>
        <v>0</v>
      </c>
    </row>
    <row r="6819" spans="39:45">
      <c r="AM6819" s="55">
        <v>2019</v>
      </c>
      <c r="AN6819" s="55" t="s">
        <v>191</v>
      </c>
      <c r="AO6819" s="55">
        <v>12</v>
      </c>
      <c r="AP6819" s="55">
        <v>1</v>
      </c>
      <c r="AQ6819" s="55">
        <v>0</v>
      </c>
      <c r="AR6819" s="55">
        <v>28500</v>
      </c>
      <c r="AS6819" s="78">
        <f t="shared" si="110"/>
        <v>0</v>
      </c>
    </row>
    <row r="6820" spans="39:45">
      <c r="AM6820" s="54">
        <v>2019</v>
      </c>
      <c r="AN6820" s="54" t="s">
        <v>191</v>
      </c>
      <c r="AO6820" s="54">
        <v>12</v>
      </c>
      <c r="AP6820" s="54">
        <v>2</v>
      </c>
      <c r="AQ6820" s="54">
        <v>0</v>
      </c>
      <c r="AR6820" s="55">
        <v>28500</v>
      </c>
      <c r="AS6820" s="78">
        <f t="shared" si="110"/>
        <v>0</v>
      </c>
    </row>
    <row r="6821" spans="39:45">
      <c r="AM6821" s="55">
        <v>2019</v>
      </c>
      <c r="AN6821" s="55" t="s">
        <v>191</v>
      </c>
      <c r="AO6821" s="55">
        <v>12</v>
      </c>
      <c r="AP6821" s="55">
        <v>3</v>
      </c>
      <c r="AQ6821" s="55">
        <v>0</v>
      </c>
      <c r="AR6821" s="55">
        <v>28500</v>
      </c>
      <c r="AS6821" s="78">
        <f t="shared" si="110"/>
        <v>0</v>
      </c>
    </row>
    <row r="6822" spans="39:45">
      <c r="AM6822" s="54">
        <v>2019</v>
      </c>
      <c r="AN6822" s="54" t="s">
        <v>191</v>
      </c>
      <c r="AO6822" s="54">
        <v>12</v>
      </c>
      <c r="AP6822" s="54">
        <v>4</v>
      </c>
      <c r="AQ6822" s="54">
        <v>0</v>
      </c>
      <c r="AR6822" s="55">
        <v>28500</v>
      </c>
      <c r="AS6822" s="78">
        <f t="shared" si="110"/>
        <v>0</v>
      </c>
    </row>
    <row r="6823" spans="39:45">
      <c r="AM6823" s="55">
        <v>2019</v>
      </c>
      <c r="AN6823" s="55" t="s">
        <v>191</v>
      </c>
      <c r="AO6823" s="55">
        <v>12</v>
      </c>
      <c r="AP6823" s="55">
        <v>5</v>
      </c>
      <c r="AQ6823" s="55">
        <v>0</v>
      </c>
      <c r="AR6823" s="55">
        <v>28500</v>
      </c>
      <c r="AS6823" s="78">
        <f t="shared" si="110"/>
        <v>0</v>
      </c>
    </row>
    <row r="6824" spans="39:45">
      <c r="AM6824" s="54">
        <v>2019</v>
      </c>
      <c r="AN6824" s="54" t="s">
        <v>191</v>
      </c>
      <c r="AO6824" s="54">
        <v>12</v>
      </c>
      <c r="AP6824" s="54">
        <v>6</v>
      </c>
      <c r="AQ6824" s="54">
        <v>0</v>
      </c>
      <c r="AR6824" s="55">
        <v>28500</v>
      </c>
      <c r="AS6824" s="78">
        <f t="shared" si="110"/>
        <v>0</v>
      </c>
    </row>
    <row r="6825" spans="39:45">
      <c r="AM6825" s="55">
        <v>2019</v>
      </c>
      <c r="AN6825" s="55" t="s">
        <v>191</v>
      </c>
      <c r="AO6825" s="55">
        <v>12</v>
      </c>
      <c r="AP6825" s="55">
        <v>7</v>
      </c>
      <c r="AQ6825" s="55">
        <v>901.5</v>
      </c>
      <c r="AR6825" s="55">
        <v>28500</v>
      </c>
      <c r="AS6825" s="78">
        <f t="shared" si="110"/>
        <v>3.163157894736842E-2</v>
      </c>
    </row>
    <row r="6826" spans="39:45">
      <c r="AM6826" s="54">
        <v>2019</v>
      </c>
      <c r="AN6826" s="54" t="s">
        <v>191</v>
      </c>
      <c r="AO6826" s="54">
        <v>12</v>
      </c>
      <c r="AP6826" s="54">
        <v>8</v>
      </c>
      <c r="AQ6826" s="54">
        <v>2223.5</v>
      </c>
      <c r="AR6826" s="55">
        <v>28500</v>
      </c>
      <c r="AS6826" s="78">
        <f t="shared" si="110"/>
        <v>7.8017543859649124E-2</v>
      </c>
    </row>
    <row r="6827" spans="39:45">
      <c r="AM6827" s="55">
        <v>2019</v>
      </c>
      <c r="AN6827" s="55" t="s">
        <v>191</v>
      </c>
      <c r="AO6827" s="55">
        <v>12</v>
      </c>
      <c r="AP6827" s="55">
        <v>9</v>
      </c>
      <c r="AQ6827" s="55">
        <v>1996</v>
      </c>
      <c r="AR6827" s="55">
        <v>28500</v>
      </c>
      <c r="AS6827" s="78">
        <f t="shared" si="110"/>
        <v>7.0035087719298242E-2</v>
      </c>
    </row>
    <row r="6828" spans="39:45">
      <c r="AM6828" s="54">
        <v>2019</v>
      </c>
      <c r="AN6828" s="54" t="s">
        <v>191</v>
      </c>
      <c r="AO6828" s="54">
        <v>12</v>
      </c>
      <c r="AP6828" s="54">
        <v>10</v>
      </c>
      <c r="AQ6828" s="54">
        <v>2817</v>
      </c>
      <c r="AR6828" s="55">
        <v>28500</v>
      </c>
      <c r="AS6828" s="78">
        <f t="shared" si="110"/>
        <v>9.8842105263157898E-2</v>
      </c>
    </row>
    <row r="6829" spans="39:45">
      <c r="AM6829" s="55">
        <v>2019</v>
      </c>
      <c r="AN6829" s="55" t="s">
        <v>191</v>
      </c>
      <c r="AO6829" s="55">
        <v>12</v>
      </c>
      <c r="AP6829" s="55">
        <v>11</v>
      </c>
      <c r="AQ6829" s="55">
        <v>3081</v>
      </c>
      <c r="AR6829" s="55">
        <v>28500</v>
      </c>
      <c r="AS6829" s="78">
        <f t="shared" si="110"/>
        <v>0.10810526315789473</v>
      </c>
    </row>
    <row r="6830" spans="39:45">
      <c r="AM6830" s="54">
        <v>2019</v>
      </c>
      <c r="AN6830" s="54" t="s">
        <v>191</v>
      </c>
      <c r="AO6830" s="54">
        <v>12</v>
      </c>
      <c r="AP6830" s="54">
        <v>12</v>
      </c>
      <c r="AQ6830" s="54">
        <v>3231.5</v>
      </c>
      <c r="AR6830" s="55">
        <v>28500</v>
      </c>
      <c r="AS6830" s="78">
        <f t="shared" si="110"/>
        <v>0.1133859649122807</v>
      </c>
    </row>
    <row r="6831" spans="39:45">
      <c r="AM6831" s="55">
        <v>2019</v>
      </c>
      <c r="AN6831" s="55" t="s">
        <v>191</v>
      </c>
      <c r="AO6831" s="55">
        <v>12</v>
      </c>
      <c r="AP6831" s="55">
        <v>13</v>
      </c>
      <c r="AQ6831" s="55">
        <v>2810</v>
      </c>
      <c r="AR6831" s="55">
        <v>28500</v>
      </c>
      <c r="AS6831" s="78">
        <f t="shared" si="110"/>
        <v>9.8596491228070182E-2</v>
      </c>
    </row>
    <row r="6832" spans="39:45">
      <c r="AM6832" s="54">
        <v>2019</v>
      </c>
      <c r="AN6832" s="54" t="s">
        <v>191</v>
      </c>
      <c r="AO6832" s="54">
        <v>12</v>
      </c>
      <c r="AP6832" s="54">
        <v>14</v>
      </c>
      <c r="AQ6832" s="54">
        <v>1986.5</v>
      </c>
      <c r="AR6832" s="55">
        <v>28500</v>
      </c>
      <c r="AS6832" s="78">
        <f t="shared" si="110"/>
        <v>6.9701754385964917E-2</v>
      </c>
    </row>
    <row r="6833" spans="39:45">
      <c r="AM6833" s="55">
        <v>2019</v>
      </c>
      <c r="AN6833" s="55" t="s">
        <v>191</v>
      </c>
      <c r="AO6833" s="55">
        <v>12</v>
      </c>
      <c r="AP6833" s="55">
        <v>15</v>
      </c>
      <c r="AQ6833" s="55">
        <v>2022.5</v>
      </c>
      <c r="AR6833" s="55">
        <v>28500</v>
      </c>
      <c r="AS6833" s="78">
        <f t="shared" si="110"/>
        <v>7.0964912280701758E-2</v>
      </c>
    </row>
    <row r="6834" spans="39:45">
      <c r="AM6834" s="54">
        <v>2019</v>
      </c>
      <c r="AN6834" s="54" t="s">
        <v>191</v>
      </c>
      <c r="AO6834" s="54">
        <v>12</v>
      </c>
      <c r="AP6834" s="54">
        <v>16</v>
      </c>
      <c r="AQ6834" s="54">
        <v>791.5</v>
      </c>
      <c r="AR6834" s="55">
        <v>28500</v>
      </c>
      <c r="AS6834" s="78">
        <f t="shared" si="110"/>
        <v>2.7771929824561403E-2</v>
      </c>
    </row>
    <row r="6835" spans="39:45">
      <c r="AM6835" s="55">
        <v>2019</v>
      </c>
      <c r="AN6835" s="55" t="s">
        <v>191</v>
      </c>
      <c r="AO6835" s="55">
        <v>12</v>
      </c>
      <c r="AP6835" s="55">
        <v>17</v>
      </c>
      <c r="AQ6835" s="55">
        <v>0</v>
      </c>
      <c r="AR6835" s="55">
        <v>28500</v>
      </c>
      <c r="AS6835" s="78">
        <f t="shared" si="110"/>
        <v>0</v>
      </c>
    </row>
    <row r="6836" spans="39:45">
      <c r="AM6836" s="54">
        <v>2019</v>
      </c>
      <c r="AN6836" s="54" t="s">
        <v>191</v>
      </c>
      <c r="AO6836" s="54">
        <v>12</v>
      </c>
      <c r="AP6836" s="54">
        <v>18</v>
      </c>
      <c r="AQ6836" s="54">
        <v>0</v>
      </c>
      <c r="AR6836" s="55">
        <v>28500</v>
      </c>
      <c r="AS6836" s="78">
        <f t="shared" si="110"/>
        <v>0</v>
      </c>
    </row>
    <row r="6837" spans="39:45">
      <c r="AM6837" s="55">
        <v>2019</v>
      </c>
      <c r="AN6837" s="55" t="s">
        <v>191</v>
      </c>
      <c r="AO6837" s="55">
        <v>12</v>
      </c>
      <c r="AP6837" s="55">
        <v>19</v>
      </c>
      <c r="AQ6837" s="55">
        <v>0</v>
      </c>
      <c r="AR6837" s="55">
        <v>28500</v>
      </c>
      <c r="AS6837" s="78">
        <f t="shared" si="110"/>
        <v>0</v>
      </c>
    </row>
    <row r="6838" spans="39:45">
      <c r="AM6838" s="54">
        <v>2019</v>
      </c>
      <c r="AN6838" s="54" t="s">
        <v>191</v>
      </c>
      <c r="AO6838" s="54">
        <v>12</v>
      </c>
      <c r="AP6838" s="54">
        <v>20</v>
      </c>
      <c r="AQ6838" s="54">
        <v>0</v>
      </c>
      <c r="AR6838" s="55">
        <v>28500</v>
      </c>
      <c r="AS6838" s="78">
        <f t="shared" si="110"/>
        <v>0</v>
      </c>
    </row>
    <row r="6839" spans="39:45">
      <c r="AM6839" s="55">
        <v>2019</v>
      </c>
      <c r="AN6839" s="55" t="s">
        <v>191</v>
      </c>
      <c r="AO6839" s="55">
        <v>12</v>
      </c>
      <c r="AP6839" s="55">
        <v>21</v>
      </c>
      <c r="AQ6839" s="55">
        <v>0</v>
      </c>
      <c r="AR6839" s="55">
        <v>28500</v>
      </c>
      <c r="AS6839" s="78">
        <f t="shared" si="110"/>
        <v>0</v>
      </c>
    </row>
    <row r="6840" spans="39:45">
      <c r="AM6840" s="54">
        <v>2019</v>
      </c>
      <c r="AN6840" s="54" t="s">
        <v>191</v>
      </c>
      <c r="AO6840" s="54">
        <v>12</v>
      </c>
      <c r="AP6840" s="54">
        <v>22</v>
      </c>
      <c r="AQ6840" s="54">
        <v>0</v>
      </c>
      <c r="AR6840" s="55">
        <v>28500</v>
      </c>
      <c r="AS6840" s="78">
        <f t="shared" si="110"/>
        <v>0</v>
      </c>
    </row>
    <row r="6841" spans="39:45">
      <c r="AM6841" s="55">
        <v>2019</v>
      </c>
      <c r="AN6841" s="55" t="s">
        <v>191</v>
      </c>
      <c r="AO6841" s="55">
        <v>12</v>
      </c>
      <c r="AP6841" s="55">
        <v>23</v>
      </c>
      <c r="AQ6841" s="55">
        <v>0</v>
      </c>
      <c r="AR6841" s="55">
        <v>28500</v>
      </c>
      <c r="AS6841" s="78">
        <f t="shared" si="110"/>
        <v>0</v>
      </c>
    </row>
    <row r="6842" spans="39:45">
      <c r="AM6842" s="54">
        <v>2019</v>
      </c>
      <c r="AN6842" s="54" t="s">
        <v>191</v>
      </c>
      <c r="AO6842" s="54">
        <v>13</v>
      </c>
      <c r="AP6842" s="54">
        <v>24</v>
      </c>
      <c r="AQ6842" s="54">
        <v>0</v>
      </c>
      <c r="AR6842" s="55">
        <v>28500</v>
      </c>
      <c r="AS6842" s="78">
        <f t="shared" si="110"/>
        <v>0</v>
      </c>
    </row>
    <row r="6843" spans="39:45">
      <c r="AM6843" s="55">
        <v>2019</v>
      </c>
      <c r="AN6843" s="55" t="s">
        <v>191</v>
      </c>
      <c r="AO6843" s="55">
        <v>13</v>
      </c>
      <c r="AP6843" s="55">
        <v>1</v>
      </c>
      <c r="AQ6843" s="55">
        <v>0</v>
      </c>
      <c r="AR6843" s="55">
        <v>28500</v>
      </c>
      <c r="AS6843" s="78">
        <f t="shared" si="110"/>
        <v>0</v>
      </c>
    </row>
    <row r="6844" spans="39:45">
      <c r="AM6844" s="54">
        <v>2019</v>
      </c>
      <c r="AN6844" s="54" t="s">
        <v>191</v>
      </c>
      <c r="AO6844" s="54">
        <v>13</v>
      </c>
      <c r="AP6844" s="54">
        <v>2</v>
      </c>
      <c r="AQ6844" s="54">
        <v>0</v>
      </c>
      <c r="AR6844" s="55">
        <v>28500</v>
      </c>
      <c r="AS6844" s="78">
        <f t="shared" si="110"/>
        <v>0</v>
      </c>
    </row>
    <row r="6845" spans="39:45">
      <c r="AM6845" s="55">
        <v>2019</v>
      </c>
      <c r="AN6845" s="55" t="s">
        <v>191</v>
      </c>
      <c r="AO6845" s="55">
        <v>13</v>
      </c>
      <c r="AP6845" s="55">
        <v>3</v>
      </c>
      <c r="AQ6845" s="55">
        <v>0</v>
      </c>
      <c r="AR6845" s="55">
        <v>28500</v>
      </c>
      <c r="AS6845" s="78">
        <f t="shared" si="110"/>
        <v>0</v>
      </c>
    </row>
    <row r="6846" spans="39:45">
      <c r="AM6846" s="54">
        <v>2019</v>
      </c>
      <c r="AN6846" s="54" t="s">
        <v>191</v>
      </c>
      <c r="AO6846" s="54">
        <v>13</v>
      </c>
      <c r="AP6846" s="54">
        <v>4</v>
      </c>
      <c r="AQ6846" s="54">
        <v>0</v>
      </c>
      <c r="AR6846" s="55">
        <v>28500</v>
      </c>
      <c r="AS6846" s="78">
        <f t="shared" si="110"/>
        <v>0</v>
      </c>
    </row>
    <row r="6847" spans="39:45">
      <c r="AM6847" s="55">
        <v>2019</v>
      </c>
      <c r="AN6847" s="55" t="s">
        <v>191</v>
      </c>
      <c r="AO6847" s="55">
        <v>13</v>
      </c>
      <c r="AP6847" s="55">
        <v>5</v>
      </c>
      <c r="AQ6847" s="55">
        <v>0</v>
      </c>
      <c r="AR6847" s="55">
        <v>28500</v>
      </c>
      <c r="AS6847" s="78">
        <f t="shared" si="110"/>
        <v>0</v>
      </c>
    </row>
    <row r="6848" spans="39:45">
      <c r="AM6848" s="54">
        <v>2019</v>
      </c>
      <c r="AN6848" s="54" t="s">
        <v>191</v>
      </c>
      <c r="AO6848" s="54">
        <v>13</v>
      </c>
      <c r="AP6848" s="54">
        <v>6</v>
      </c>
      <c r="AQ6848" s="54">
        <v>0</v>
      </c>
      <c r="AR6848" s="55">
        <v>28500</v>
      </c>
      <c r="AS6848" s="78">
        <f t="shared" si="110"/>
        <v>0</v>
      </c>
    </row>
    <row r="6849" spans="39:45">
      <c r="AM6849" s="55">
        <v>2019</v>
      </c>
      <c r="AN6849" s="55" t="s">
        <v>191</v>
      </c>
      <c r="AO6849" s="55">
        <v>13</v>
      </c>
      <c r="AP6849" s="55">
        <v>7</v>
      </c>
      <c r="AQ6849" s="55">
        <v>12</v>
      </c>
      <c r="AR6849" s="55">
        <v>28500</v>
      </c>
      <c r="AS6849" s="78">
        <f t="shared" si="110"/>
        <v>4.2105263157894739E-4</v>
      </c>
    </row>
    <row r="6850" spans="39:45">
      <c r="AM6850" s="54">
        <v>2019</v>
      </c>
      <c r="AN6850" s="54" t="s">
        <v>191</v>
      </c>
      <c r="AO6850" s="54">
        <v>13</v>
      </c>
      <c r="AP6850" s="54">
        <v>8</v>
      </c>
      <c r="AQ6850" s="54">
        <v>3817</v>
      </c>
      <c r="AR6850" s="55">
        <v>28500</v>
      </c>
      <c r="AS6850" s="78">
        <f t="shared" ref="AS6850:AS6913" si="111">AQ6850/AR6850</f>
        <v>0.13392982456140351</v>
      </c>
    </row>
    <row r="6851" spans="39:45">
      <c r="AM6851" s="55">
        <v>2019</v>
      </c>
      <c r="AN6851" s="55" t="s">
        <v>191</v>
      </c>
      <c r="AO6851" s="55">
        <v>13</v>
      </c>
      <c r="AP6851" s="55">
        <v>9</v>
      </c>
      <c r="AQ6851" s="55">
        <v>2468</v>
      </c>
      <c r="AR6851" s="55">
        <v>28500</v>
      </c>
      <c r="AS6851" s="78">
        <f t="shared" si="111"/>
        <v>8.6596491228070172E-2</v>
      </c>
    </row>
    <row r="6852" spans="39:45">
      <c r="AM6852" s="54">
        <v>2019</v>
      </c>
      <c r="AN6852" s="54" t="s">
        <v>191</v>
      </c>
      <c r="AO6852" s="54">
        <v>13</v>
      </c>
      <c r="AP6852" s="54">
        <v>10</v>
      </c>
      <c r="AQ6852" s="54">
        <v>9578</v>
      </c>
      <c r="AR6852" s="55">
        <v>28500</v>
      </c>
      <c r="AS6852" s="78">
        <f t="shared" si="111"/>
        <v>0.33607017543859652</v>
      </c>
    </row>
    <row r="6853" spans="39:45">
      <c r="AM6853" s="55">
        <v>2019</v>
      </c>
      <c r="AN6853" s="55" t="s">
        <v>191</v>
      </c>
      <c r="AO6853" s="55">
        <v>13</v>
      </c>
      <c r="AP6853" s="55">
        <v>11</v>
      </c>
      <c r="AQ6853" s="55">
        <v>2393.5</v>
      </c>
      <c r="AR6853" s="55">
        <v>28500</v>
      </c>
      <c r="AS6853" s="78">
        <f t="shared" si="111"/>
        <v>8.3982456140350881E-2</v>
      </c>
    </row>
    <row r="6854" spans="39:45">
      <c r="AM6854" s="54">
        <v>2019</v>
      </c>
      <c r="AN6854" s="54" t="s">
        <v>191</v>
      </c>
      <c r="AO6854" s="54">
        <v>13</v>
      </c>
      <c r="AP6854" s="54">
        <v>12</v>
      </c>
      <c r="AQ6854" s="54">
        <v>4836.5</v>
      </c>
      <c r="AR6854" s="55">
        <v>28500</v>
      </c>
      <c r="AS6854" s="78">
        <f t="shared" si="111"/>
        <v>0.16970175438596491</v>
      </c>
    </row>
    <row r="6855" spans="39:45">
      <c r="AM6855" s="55">
        <v>2019</v>
      </c>
      <c r="AN6855" s="55" t="s">
        <v>191</v>
      </c>
      <c r="AO6855" s="55">
        <v>13</v>
      </c>
      <c r="AP6855" s="55">
        <v>13</v>
      </c>
      <c r="AQ6855" s="55">
        <v>11701.5</v>
      </c>
      <c r="AR6855" s="55">
        <v>28500</v>
      </c>
      <c r="AS6855" s="78">
        <f t="shared" si="111"/>
        <v>0.41057894736842104</v>
      </c>
    </row>
    <row r="6856" spans="39:45">
      <c r="AM6856" s="54">
        <v>2019</v>
      </c>
      <c r="AN6856" s="54" t="s">
        <v>191</v>
      </c>
      <c r="AO6856" s="54">
        <v>13</v>
      </c>
      <c r="AP6856" s="54">
        <v>14</v>
      </c>
      <c r="AQ6856" s="54">
        <v>2029.5</v>
      </c>
      <c r="AR6856" s="55">
        <v>28500</v>
      </c>
      <c r="AS6856" s="78">
        <f t="shared" si="111"/>
        <v>7.1210526315789474E-2</v>
      </c>
    </row>
    <row r="6857" spans="39:45">
      <c r="AM6857" s="55">
        <v>2019</v>
      </c>
      <c r="AN6857" s="55" t="s">
        <v>191</v>
      </c>
      <c r="AO6857" s="55">
        <v>13</v>
      </c>
      <c r="AP6857" s="55">
        <v>15</v>
      </c>
      <c r="AQ6857" s="55">
        <v>15148</v>
      </c>
      <c r="AR6857" s="55">
        <v>28500</v>
      </c>
      <c r="AS6857" s="78">
        <f t="shared" si="111"/>
        <v>0.5315087719298246</v>
      </c>
    </row>
    <row r="6858" spans="39:45">
      <c r="AM6858" s="54">
        <v>2019</v>
      </c>
      <c r="AN6858" s="54" t="s">
        <v>191</v>
      </c>
      <c r="AO6858" s="54">
        <v>13</v>
      </c>
      <c r="AP6858" s="54">
        <v>16</v>
      </c>
      <c r="AQ6858" s="54">
        <v>5862.5</v>
      </c>
      <c r="AR6858" s="55">
        <v>28500</v>
      </c>
      <c r="AS6858" s="78">
        <f t="shared" si="111"/>
        <v>0.20570175438596491</v>
      </c>
    </row>
    <row r="6859" spans="39:45">
      <c r="AM6859" s="55">
        <v>2019</v>
      </c>
      <c r="AN6859" s="55" t="s">
        <v>191</v>
      </c>
      <c r="AO6859" s="55">
        <v>13</v>
      </c>
      <c r="AP6859" s="55">
        <v>17</v>
      </c>
      <c r="AQ6859" s="55">
        <v>0</v>
      </c>
      <c r="AR6859" s="55">
        <v>28500</v>
      </c>
      <c r="AS6859" s="78">
        <f t="shared" si="111"/>
        <v>0</v>
      </c>
    </row>
    <row r="6860" spans="39:45">
      <c r="AM6860" s="54">
        <v>2019</v>
      </c>
      <c r="AN6860" s="54" t="s">
        <v>191</v>
      </c>
      <c r="AO6860" s="54">
        <v>13</v>
      </c>
      <c r="AP6860" s="54">
        <v>18</v>
      </c>
      <c r="AQ6860" s="54">
        <v>0</v>
      </c>
      <c r="AR6860" s="55">
        <v>28500</v>
      </c>
      <c r="AS6860" s="78">
        <f t="shared" si="111"/>
        <v>0</v>
      </c>
    </row>
    <row r="6861" spans="39:45">
      <c r="AM6861" s="55">
        <v>2019</v>
      </c>
      <c r="AN6861" s="55" t="s">
        <v>191</v>
      </c>
      <c r="AO6861" s="55">
        <v>13</v>
      </c>
      <c r="AP6861" s="55">
        <v>19</v>
      </c>
      <c r="AQ6861" s="55">
        <v>0</v>
      </c>
      <c r="AR6861" s="55">
        <v>28500</v>
      </c>
      <c r="AS6861" s="78">
        <f t="shared" si="111"/>
        <v>0</v>
      </c>
    </row>
    <row r="6862" spans="39:45">
      <c r="AM6862" s="54">
        <v>2019</v>
      </c>
      <c r="AN6862" s="54" t="s">
        <v>191</v>
      </c>
      <c r="AO6862" s="54">
        <v>13</v>
      </c>
      <c r="AP6862" s="54">
        <v>20</v>
      </c>
      <c r="AQ6862" s="54">
        <v>0</v>
      </c>
      <c r="AR6862" s="55">
        <v>28500</v>
      </c>
      <c r="AS6862" s="78">
        <f t="shared" si="111"/>
        <v>0</v>
      </c>
    </row>
    <row r="6863" spans="39:45">
      <c r="AM6863" s="55">
        <v>2019</v>
      </c>
      <c r="AN6863" s="55" t="s">
        <v>191</v>
      </c>
      <c r="AO6863" s="55">
        <v>13</v>
      </c>
      <c r="AP6863" s="55">
        <v>21</v>
      </c>
      <c r="AQ6863" s="55">
        <v>0</v>
      </c>
      <c r="AR6863" s="55">
        <v>28500</v>
      </c>
      <c r="AS6863" s="78">
        <f t="shared" si="111"/>
        <v>0</v>
      </c>
    </row>
    <row r="6864" spans="39:45">
      <c r="AM6864" s="54">
        <v>2019</v>
      </c>
      <c r="AN6864" s="54" t="s">
        <v>191</v>
      </c>
      <c r="AO6864" s="54">
        <v>13</v>
      </c>
      <c r="AP6864" s="54">
        <v>22</v>
      </c>
      <c r="AQ6864" s="54">
        <v>0</v>
      </c>
      <c r="AR6864" s="55">
        <v>28500</v>
      </c>
      <c r="AS6864" s="78">
        <f t="shared" si="111"/>
        <v>0</v>
      </c>
    </row>
    <row r="6865" spans="39:45">
      <c r="AM6865" s="55">
        <v>2019</v>
      </c>
      <c r="AN6865" s="55" t="s">
        <v>191</v>
      </c>
      <c r="AO6865" s="55">
        <v>13</v>
      </c>
      <c r="AP6865" s="55">
        <v>23</v>
      </c>
      <c r="AQ6865" s="55">
        <v>0</v>
      </c>
      <c r="AR6865" s="55">
        <v>28500</v>
      </c>
      <c r="AS6865" s="78">
        <f t="shared" si="111"/>
        <v>0</v>
      </c>
    </row>
    <row r="6866" spans="39:45">
      <c r="AM6866" s="54">
        <v>2019</v>
      </c>
      <c r="AN6866" s="54" t="s">
        <v>191</v>
      </c>
      <c r="AO6866" s="54">
        <v>14</v>
      </c>
      <c r="AP6866" s="54">
        <v>24</v>
      </c>
      <c r="AQ6866" s="54">
        <v>0</v>
      </c>
      <c r="AR6866" s="55">
        <v>28500</v>
      </c>
      <c r="AS6866" s="78">
        <f t="shared" si="111"/>
        <v>0</v>
      </c>
    </row>
    <row r="6867" spans="39:45">
      <c r="AM6867" s="55">
        <v>2019</v>
      </c>
      <c r="AN6867" s="55" t="s">
        <v>191</v>
      </c>
      <c r="AO6867" s="55">
        <v>14</v>
      </c>
      <c r="AP6867" s="55">
        <v>1</v>
      </c>
      <c r="AQ6867" s="55">
        <v>0</v>
      </c>
      <c r="AR6867" s="55">
        <v>28500</v>
      </c>
      <c r="AS6867" s="78">
        <f t="shared" si="111"/>
        <v>0</v>
      </c>
    </row>
    <row r="6868" spans="39:45">
      <c r="AM6868" s="54">
        <v>2019</v>
      </c>
      <c r="AN6868" s="54" t="s">
        <v>191</v>
      </c>
      <c r="AO6868" s="54">
        <v>14</v>
      </c>
      <c r="AP6868" s="54">
        <v>2</v>
      </c>
      <c r="AQ6868" s="54">
        <v>0</v>
      </c>
      <c r="AR6868" s="55">
        <v>28500</v>
      </c>
      <c r="AS6868" s="78">
        <f t="shared" si="111"/>
        <v>0</v>
      </c>
    </row>
    <row r="6869" spans="39:45">
      <c r="AM6869" s="55">
        <v>2019</v>
      </c>
      <c r="AN6869" s="55" t="s">
        <v>191</v>
      </c>
      <c r="AO6869" s="55">
        <v>14</v>
      </c>
      <c r="AP6869" s="55">
        <v>3</v>
      </c>
      <c r="AQ6869" s="55">
        <v>0</v>
      </c>
      <c r="AR6869" s="55">
        <v>28500</v>
      </c>
      <c r="AS6869" s="78">
        <f t="shared" si="111"/>
        <v>0</v>
      </c>
    </row>
    <row r="6870" spans="39:45">
      <c r="AM6870" s="54">
        <v>2019</v>
      </c>
      <c r="AN6870" s="54" t="s">
        <v>191</v>
      </c>
      <c r="AO6870" s="54">
        <v>14</v>
      </c>
      <c r="AP6870" s="54">
        <v>4</v>
      </c>
      <c r="AQ6870" s="54">
        <v>0</v>
      </c>
      <c r="AR6870" s="55">
        <v>28500</v>
      </c>
      <c r="AS6870" s="78">
        <f t="shared" si="111"/>
        <v>0</v>
      </c>
    </row>
    <row r="6871" spans="39:45">
      <c r="AM6871" s="55">
        <v>2019</v>
      </c>
      <c r="AN6871" s="55" t="s">
        <v>191</v>
      </c>
      <c r="AO6871" s="55">
        <v>14</v>
      </c>
      <c r="AP6871" s="55">
        <v>5</v>
      </c>
      <c r="AQ6871" s="55">
        <v>0</v>
      </c>
      <c r="AR6871" s="55">
        <v>28500</v>
      </c>
      <c r="AS6871" s="78">
        <f t="shared" si="111"/>
        <v>0</v>
      </c>
    </row>
    <row r="6872" spans="39:45">
      <c r="AM6872" s="54">
        <v>2019</v>
      </c>
      <c r="AN6872" s="54" t="s">
        <v>191</v>
      </c>
      <c r="AO6872" s="54">
        <v>14</v>
      </c>
      <c r="AP6872" s="54">
        <v>6</v>
      </c>
      <c r="AQ6872" s="54">
        <v>0</v>
      </c>
      <c r="AR6872" s="55">
        <v>28500</v>
      </c>
      <c r="AS6872" s="78">
        <f t="shared" si="111"/>
        <v>0</v>
      </c>
    </row>
    <row r="6873" spans="39:45">
      <c r="AM6873" s="55">
        <v>2019</v>
      </c>
      <c r="AN6873" s="55" t="s">
        <v>191</v>
      </c>
      <c r="AO6873" s="55">
        <v>14</v>
      </c>
      <c r="AP6873" s="55">
        <v>7</v>
      </c>
      <c r="AQ6873" s="55">
        <v>773</v>
      </c>
      <c r="AR6873" s="55">
        <v>28500</v>
      </c>
      <c r="AS6873" s="78">
        <f t="shared" si="111"/>
        <v>2.7122807017543861E-2</v>
      </c>
    </row>
    <row r="6874" spans="39:45">
      <c r="AM6874" s="54">
        <v>2019</v>
      </c>
      <c r="AN6874" s="54" t="s">
        <v>191</v>
      </c>
      <c r="AO6874" s="54">
        <v>14</v>
      </c>
      <c r="AP6874" s="54">
        <v>8</v>
      </c>
      <c r="AQ6874" s="54">
        <v>1411.5</v>
      </c>
      <c r="AR6874" s="55">
        <v>28500</v>
      </c>
      <c r="AS6874" s="78">
        <f t="shared" si="111"/>
        <v>4.9526315789473682E-2</v>
      </c>
    </row>
    <row r="6875" spans="39:45">
      <c r="AM6875" s="55">
        <v>2019</v>
      </c>
      <c r="AN6875" s="55" t="s">
        <v>191</v>
      </c>
      <c r="AO6875" s="55">
        <v>14</v>
      </c>
      <c r="AP6875" s="55">
        <v>9</v>
      </c>
      <c r="AQ6875" s="55">
        <v>1695</v>
      </c>
      <c r="AR6875" s="55">
        <v>28500</v>
      </c>
      <c r="AS6875" s="78">
        <f t="shared" si="111"/>
        <v>5.9473684210526317E-2</v>
      </c>
    </row>
    <row r="6876" spans="39:45">
      <c r="AM6876" s="54">
        <v>2019</v>
      </c>
      <c r="AN6876" s="54" t="s">
        <v>191</v>
      </c>
      <c r="AO6876" s="54">
        <v>14</v>
      </c>
      <c r="AP6876" s="54">
        <v>10</v>
      </c>
      <c r="AQ6876" s="54">
        <v>3214.5</v>
      </c>
      <c r="AR6876" s="55">
        <v>28500</v>
      </c>
      <c r="AS6876" s="78">
        <f t="shared" si="111"/>
        <v>0.11278947368421052</v>
      </c>
    </row>
    <row r="6877" spans="39:45">
      <c r="AM6877" s="55">
        <v>2019</v>
      </c>
      <c r="AN6877" s="55" t="s">
        <v>191</v>
      </c>
      <c r="AO6877" s="55">
        <v>14</v>
      </c>
      <c r="AP6877" s="55">
        <v>11</v>
      </c>
      <c r="AQ6877" s="55">
        <v>3285.5</v>
      </c>
      <c r="AR6877" s="55">
        <v>28500</v>
      </c>
      <c r="AS6877" s="78">
        <f t="shared" si="111"/>
        <v>0.11528070175438597</v>
      </c>
    </row>
    <row r="6878" spans="39:45">
      <c r="AM6878" s="54">
        <v>2019</v>
      </c>
      <c r="AN6878" s="54" t="s">
        <v>191</v>
      </c>
      <c r="AO6878" s="54">
        <v>14</v>
      </c>
      <c r="AP6878" s="54">
        <v>12</v>
      </c>
      <c r="AQ6878" s="54">
        <v>1830.5</v>
      </c>
      <c r="AR6878" s="55">
        <v>28500</v>
      </c>
      <c r="AS6878" s="78">
        <f t="shared" si="111"/>
        <v>6.4228070175438592E-2</v>
      </c>
    </row>
    <row r="6879" spans="39:45">
      <c r="AM6879" s="55">
        <v>2019</v>
      </c>
      <c r="AN6879" s="55" t="s">
        <v>191</v>
      </c>
      <c r="AO6879" s="55">
        <v>14</v>
      </c>
      <c r="AP6879" s="55">
        <v>13</v>
      </c>
      <c r="AQ6879" s="55">
        <v>2307.5</v>
      </c>
      <c r="AR6879" s="55">
        <v>28500</v>
      </c>
      <c r="AS6879" s="78">
        <f t="shared" si="111"/>
        <v>8.0964912280701753E-2</v>
      </c>
    </row>
    <row r="6880" spans="39:45">
      <c r="AM6880" s="54">
        <v>2019</v>
      </c>
      <c r="AN6880" s="54" t="s">
        <v>191</v>
      </c>
      <c r="AO6880" s="54">
        <v>14</v>
      </c>
      <c r="AP6880" s="54">
        <v>14</v>
      </c>
      <c r="AQ6880" s="54">
        <v>1359.5</v>
      </c>
      <c r="AR6880" s="55">
        <v>28500</v>
      </c>
      <c r="AS6880" s="78">
        <f t="shared" si="111"/>
        <v>4.7701754385964912E-2</v>
      </c>
    </row>
    <row r="6881" spans="39:45">
      <c r="AM6881" s="55">
        <v>2019</v>
      </c>
      <c r="AN6881" s="55" t="s">
        <v>191</v>
      </c>
      <c r="AO6881" s="55">
        <v>14</v>
      </c>
      <c r="AP6881" s="55">
        <v>15</v>
      </c>
      <c r="AQ6881" s="55">
        <v>6420</v>
      </c>
      <c r="AR6881" s="55">
        <v>28500</v>
      </c>
      <c r="AS6881" s="78">
        <f t="shared" si="111"/>
        <v>0.22526315789473683</v>
      </c>
    </row>
    <row r="6882" spans="39:45">
      <c r="AM6882" s="54">
        <v>2019</v>
      </c>
      <c r="AN6882" s="54" t="s">
        <v>191</v>
      </c>
      <c r="AO6882" s="54">
        <v>14</v>
      </c>
      <c r="AP6882" s="54">
        <v>16</v>
      </c>
      <c r="AQ6882" s="54">
        <v>1260</v>
      </c>
      <c r="AR6882" s="55">
        <v>28500</v>
      </c>
      <c r="AS6882" s="78">
        <f t="shared" si="111"/>
        <v>4.4210526315789471E-2</v>
      </c>
    </row>
    <row r="6883" spans="39:45">
      <c r="AM6883" s="55">
        <v>2019</v>
      </c>
      <c r="AN6883" s="55" t="s">
        <v>191</v>
      </c>
      <c r="AO6883" s="55">
        <v>14</v>
      </c>
      <c r="AP6883" s="55">
        <v>17</v>
      </c>
      <c r="AQ6883" s="55">
        <v>0</v>
      </c>
      <c r="AR6883" s="55">
        <v>28500</v>
      </c>
      <c r="AS6883" s="78">
        <f t="shared" si="111"/>
        <v>0</v>
      </c>
    </row>
    <row r="6884" spans="39:45">
      <c r="AM6884" s="54">
        <v>2019</v>
      </c>
      <c r="AN6884" s="54" t="s">
        <v>191</v>
      </c>
      <c r="AO6884" s="54">
        <v>14</v>
      </c>
      <c r="AP6884" s="54">
        <v>18</v>
      </c>
      <c r="AQ6884" s="54">
        <v>0</v>
      </c>
      <c r="AR6884" s="55">
        <v>28500</v>
      </c>
      <c r="AS6884" s="78">
        <f t="shared" si="111"/>
        <v>0</v>
      </c>
    </row>
    <row r="6885" spans="39:45">
      <c r="AM6885" s="55">
        <v>2019</v>
      </c>
      <c r="AN6885" s="55" t="s">
        <v>191</v>
      </c>
      <c r="AO6885" s="55">
        <v>14</v>
      </c>
      <c r="AP6885" s="55">
        <v>19</v>
      </c>
      <c r="AQ6885" s="55">
        <v>0</v>
      </c>
      <c r="AR6885" s="55">
        <v>28500</v>
      </c>
      <c r="AS6885" s="78">
        <f t="shared" si="111"/>
        <v>0</v>
      </c>
    </row>
    <row r="6886" spans="39:45">
      <c r="AM6886" s="54">
        <v>2019</v>
      </c>
      <c r="AN6886" s="54" t="s">
        <v>191</v>
      </c>
      <c r="AO6886" s="54">
        <v>14</v>
      </c>
      <c r="AP6886" s="54">
        <v>20</v>
      </c>
      <c r="AQ6886" s="54">
        <v>0</v>
      </c>
      <c r="AR6886" s="55">
        <v>28500</v>
      </c>
      <c r="AS6886" s="78">
        <f t="shared" si="111"/>
        <v>0</v>
      </c>
    </row>
    <row r="6887" spans="39:45">
      <c r="AM6887" s="55">
        <v>2019</v>
      </c>
      <c r="AN6887" s="55" t="s">
        <v>191</v>
      </c>
      <c r="AO6887" s="55">
        <v>14</v>
      </c>
      <c r="AP6887" s="55">
        <v>21</v>
      </c>
      <c r="AQ6887" s="55">
        <v>0</v>
      </c>
      <c r="AR6887" s="55">
        <v>28500</v>
      </c>
      <c r="AS6887" s="78">
        <f t="shared" si="111"/>
        <v>0</v>
      </c>
    </row>
    <row r="6888" spans="39:45">
      <c r="AM6888" s="54">
        <v>2019</v>
      </c>
      <c r="AN6888" s="54" t="s">
        <v>191</v>
      </c>
      <c r="AO6888" s="54">
        <v>14</v>
      </c>
      <c r="AP6888" s="54">
        <v>22</v>
      </c>
      <c r="AQ6888" s="54">
        <v>0</v>
      </c>
      <c r="AR6888" s="55">
        <v>28500</v>
      </c>
      <c r="AS6888" s="78">
        <f t="shared" si="111"/>
        <v>0</v>
      </c>
    </row>
    <row r="6889" spans="39:45">
      <c r="AM6889" s="55">
        <v>2019</v>
      </c>
      <c r="AN6889" s="55" t="s">
        <v>191</v>
      </c>
      <c r="AO6889" s="55">
        <v>14</v>
      </c>
      <c r="AP6889" s="55">
        <v>23</v>
      </c>
      <c r="AQ6889" s="55">
        <v>0</v>
      </c>
      <c r="AR6889" s="55">
        <v>28500</v>
      </c>
      <c r="AS6889" s="78">
        <f t="shared" si="111"/>
        <v>0</v>
      </c>
    </row>
    <row r="6890" spans="39:45">
      <c r="AM6890" s="54">
        <v>2019</v>
      </c>
      <c r="AN6890" s="54" t="s">
        <v>191</v>
      </c>
      <c r="AO6890" s="54">
        <v>15</v>
      </c>
      <c r="AP6890" s="54">
        <v>24</v>
      </c>
      <c r="AQ6890" s="54">
        <v>0</v>
      </c>
      <c r="AR6890" s="55">
        <v>28500</v>
      </c>
      <c r="AS6890" s="78">
        <f t="shared" si="111"/>
        <v>0</v>
      </c>
    </row>
    <row r="6891" spans="39:45">
      <c r="AM6891" s="55">
        <v>2019</v>
      </c>
      <c r="AN6891" s="55" t="s">
        <v>191</v>
      </c>
      <c r="AO6891" s="55">
        <v>15</v>
      </c>
      <c r="AP6891" s="55">
        <v>1</v>
      </c>
      <c r="AQ6891" s="55">
        <v>0</v>
      </c>
      <c r="AR6891" s="55">
        <v>28500</v>
      </c>
      <c r="AS6891" s="78">
        <f t="shared" si="111"/>
        <v>0</v>
      </c>
    </row>
    <row r="6892" spans="39:45">
      <c r="AM6892" s="54">
        <v>2019</v>
      </c>
      <c r="AN6892" s="54" t="s">
        <v>191</v>
      </c>
      <c r="AO6892" s="54">
        <v>15</v>
      </c>
      <c r="AP6892" s="54">
        <v>2</v>
      </c>
      <c r="AQ6892" s="54">
        <v>0</v>
      </c>
      <c r="AR6892" s="55">
        <v>28500</v>
      </c>
      <c r="AS6892" s="78">
        <f t="shared" si="111"/>
        <v>0</v>
      </c>
    </row>
    <row r="6893" spans="39:45">
      <c r="AM6893" s="55">
        <v>2019</v>
      </c>
      <c r="AN6893" s="55" t="s">
        <v>191</v>
      </c>
      <c r="AO6893" s="55">
        <v>15</v>
      </c>
      <c r="AP6893" s="55">
        <v>3</v>
      </c>
      <c r="AQ6893" s="55">
        <v>0</v>
      </c>
      <c r="AR6893" s="55">
        <v>28500</v>
      </c>
      <c r="AS6893" s="78">
        <f t="shared" si="111"/>
        <v>0</v>
      </c>
    </row>
    <row r="6894" spans="39:45">
      <c r="AM6894" s="54">
        <v>2019</v>
      </c>
      <c r="AN6894" s="54" t="s">
        <v>191</v>
      </c>
      <c r="AO6894" s="54">
        <v>15</v>
      </c>
      <c r="AP6894" s="54">
        <v>4</v>
      </c>
      <c r="AQ6894" s="54">
        <v>0</v>
      </c>
      <c r="AR6894" s="55">
        <v>28500</v>
      </c>
      <c r="AS6894" s="78">
        <f t="shared" si="111"/>
        <v>0</v>
      </c>
    </row>
    <row r="6895" spans="39:45">
      <c r="AM6895" s="55">
        <v>2019</v>
      </c>
      <c r="AN6895" s="55" t="s">
        <v>191</v>
      </c>
      <c r="AO6895" s="55">
        <v>15</v>
      </c>
      <c r="AP6895" s="55">
        <v>5</v>
      </c>
      <c r="AQ6895" s="55">
        <v>0</v>
      </c>
      <c r="AR6895" s="55">
        <v>28500</v>
      </c>
      <c r="AS6895" s="78">
        <f t="shared" si="111"/>
        <v>0</v>
      </c>
    </row>
    <row r="6896" spans="39:45">
      <c r="AM6896" s="54">
        <v>2019</v>
      </c>
      <c r="AN6896" s="54" t="s">
        <v>191</v>
      </c>
      <c r="AO6896" s="54">
        <v>15</v>
      </c>
      <c r="AP6896" s="54">
        <v>6</v>
      </c>
      <c r="AQ6896" s="54">
        <v>0</v>
      </c>
      <c r="AR6896" s="55">
        <v>28500</v>
      </c>
      <c r="AS6896" s="78">
        <f t="shared" si="111"/>
        <v>0</v>
      </c>
    </row>
    <row r="6897" spans="39:45">
      <c r="AM6897" s="55">
        <v>2019</v>
      </c>
      <c r="AN6897" s="55" t="s">
        <v>191</v>
      </c>
      <c r="AO6897" s="55">
        <v>15</v>
      </c>
      <c r="AP6897" s="55">
        <v>7</v>
      </c>
      <c r="AQ6897" s="55">
        <v>877</v>
      </c>
      <c r="AR6897" s="55">
        <v>28500</v>
      </c>
      <c r="AS6897" s="78">
        <f t="shared" si="111"/>
        <v>3.0771929824561405E-2</v>
      </c>
    </row>
    <row r="6898" spans="39:45">
      <c r="AM6898" s="54">
        <v>2019</v>
      </c>
      <c r="AN6898" s="54" t="s">
        <v>191</v>
      </c>
      <c r="AO6898" s="54">
        <v>15</v>
      </c>
      <c r="AP6898" s="54">
        <v>8</v>
      </c>
      <c r="AQ6898" s="54">
        <v>4822.5</v>
      </c>
      <c r="AR6898" s="55">
        <v>28500</v>
      </c>
      <c r="AS6898" s="78">
        <f t="shared" si="111"/>
        <v>0.16921052631578948</v>
      </c>
    </row>
    <row r="6899" spans="39:45">
      <c r="AM6899" s="55">
        <v>2019</v>
      </c>
      <c r="AN6899" s="55" t="s">
        <v>191</v>
      </c>
      <c r="AO6899" s="55">
        <v>15</v>
      </c>
      <c r="AP6899" s="55">
        <v>9</v>
      </c>
      <c r="AQ6899" s="55">
        <v>8844</v>
      </c>
      <c r="AR6899" s="55">
        <v>28500</v>
      </c>
      <c r="AS6899" s="78">
        <f t="shared" si="111"/>
        <v>0.31031578947368421</v>
      </c>
    </row>
    <row r="6900" spans="39:45">
      <c r="AM6900" s="54">
        <v>2019</v>
      </c>
      <c r="AN6900" s="54" t="s">
        <v>191</v>
      </c>
      <c r="AO6900" s="54">
        <v>15</v>
      </c>
      <c r="AP6900" s="54">
        <v>10</v>
      </c>
      <c r="AQ6900" s="54">
        <v>15035.5</v>
      </c>
      <c r="AR6900" s="55">
        <v>28500</v>
      </c>
      <c r="AS6900" s="78">
        <f t="shared" si="111"/>
        <v>0.5275614035087719</v>
      </c>
    </row>
    <row r="6901" spans="39:45">
      <c r="AM6901" s="55">
        <v>2019</v>
      </c>
      <c r="AN6901" s="55" t="s">
        <v>191</v>
      </c>
      <c r="AO6901" s="55">
        <v>15</v>
      </c>
      <c r="AP6901" s="55">
        <v>11</v>
      </c>
      <c r="AQ6901" s="55">
        <v>11968.5</v>
      </c>
      <c r="AR6901" s="55">
        <v>28500</v>
      </c>
      <c r="AS6901" s="78">
        <f t="shared" si="111"/>
        <v>0.41994736842105262</v>
      </c>
    </row>
    <row r="6902" spans="39:45">
      <c r="AM6902" s="54">
        <v>2019</v>
      </c>
      <c r="AN6902" s="54" t="s">
        <v>191</v>
      </c>
      <c r="AO6902" s="54">
        <v>15</v>
      </c>
      <c r="AP6902" s="54">
        <v>12</v>
      </c>
      <c r="AQ6902" s="54">
        <v>24860</v>
      </c>
      <c r="AR6902" s="55">
        <v>28500</v>
      </c>
      <c r="AS6902" s="78">
        <f t="shared" si="111"/>
        <v>0.87228070175438599</v>
      </c>
    </row>
    <row r="6903" spans="39:45">
      <c r="AM6903" s="55">
        <v>2019</v>
      </c>
      <c r="AN6903" s="55" t="s">
        <v>191</v>
      </c>
      <c r="AO6903" s="55">
        <v>15</v>
      </c>
      <c r="AP6903" s="55">
        <v>13</v>
      </c>
      <c r="AQ6903" s="55">
        <v>16528</v>
      </c>
      <c r="AR6903" s="55">
        <v>28500</v>
      </c>
      <c r="AS6903" s="78">
        <f t="shared" si="111"/>
        <v>0.57992982456140352</v>
      </c>
    </row>
    <row r="6904" spans="39:45">
      <c r="AM6904" s="54">
        <v>2019</v>
      </c>
      <c r="AN6904" s="54" t="s">
        <v>191</v>
      </c>
      <c r="AO6904" s="54">
        <v>15</v>
      </c>
      <c r="AP6904" s="54">
        <v>14</v>
      </c>
      <c r="AQ6904" s="54">
        <v>5776</v>
      </c>
      <c r="AR6904" s="55">
        <v>28500</v>
      </c>
      <c r="AS6904" s="78">
        <f t="shared" si="111"/>
        <v>0.20266666666666666</v>
      </c>
    </row>
    <row r="6905" spans="39:45">
      <c r="AM6905" s="55">
        <v>2019</v>
      </c>
      <c r="AN6905" s="55" t="s">
        <v>191</v>
      </c>
      <c r="AO6905" s="55">
        <v>15</v>
      </c>
      <c r="AP6905" s="55">
        <v>15</v>
      </c>
      <c r="AQ6905" s="55">
        <v>9474</v>
      </c>
      <c r="AR6905" s="55">
        <v>28500</v>
      </c>
      <c r="AS6905" s="78">
        <f t="shared" si="111"/>
        <v>0.33242105263157895</v>
      </c>
    </row>
    <row r="6906" spans="39:45">
      <c r="AM6906" s="54">
        <v>2019</v>
      </c>
      <c r="AN6906" s="54" t="s">
        <v>191</v>
      </c>
      <c r="AO6906" s="54">
        <v>15</v>
      </c>
      <c r="AP6906" s="54">
        <v>16</v>
      </c>
      <c r="AQ6906" s="54">
        <v>5995</v>
      </c>
      <c r="AR6906" s="55">
        <v>28500</v>
      </c>
      <c r="AS6906" s="78">
        <f t="shared" si="111"/>
        <v>0.21035087719298246</v>
      </c>
    </row>
    <row r="6907" spans="39:45">
      <c r="AM6907" s="55">
        <v>2019</v>
      </c>
      <c r="AN6907" s="55" t="s">
        <v>191</v>
      </c>
      <c r="AO6907" s="55">
        <v>15</v>
      </c>
      <c r="AP6907" s="55">
        <v>17</v>
      </c>
      <c r="AQ6907" s="55">
        <v>0</v>
      </c>
      <c r="AR6907" s="55">
        <v>28500</v>
      </c>
      <c r="AS6907" s="78">
        <f t="shared" si="111"/>
        <v>0</v>
      </c>
    </row>
    <row r="6908" spans="39:45">
      <c r="AM6908" s="54">
        <v>2019</v>
      </c>
      <c r="AN6908" s="54" t="s">
        <v>191</v>
      </c>
      <c r="AO6908" s="54">
        <v>15</v>
      </c>
      <c r="AP6908" s="54">
        <v>18</v>
      </c>
      <c r="AQ6908" s="54">
        <v>0</v>
      </c>
      <c r="AR6908" s="55">
        <v>28500</v>
      </c>
      <c r="AS6908" s="78">
        <f t="shared" si="111"/>
        <v>0</v>
      </c>
    </row>
    <row r="6909" spans="39:45">
      <c r="AM6909" s="55">
        <v>2019</v>
      </c>
      <c r="AN6909" s="55" t="s">
        <v>191</v>
      </c>
      <c r="AO6909" s="55">
        <v>15</v>
      </c>
      <c r="AP6909" s="55">
        <v>19</v>
      </c>
      <c r="AQ6909" s="55">
        <v>0</v>
      </c>
      <c r="AR6909" s="55">
        <v>28500</v>
      </c>
      <c r="AS6909" s="78">
        <f t="shared" si="111"/>
        <v>0</v>
      </c>
    </row>
    <row r="6910" spans="39:45">
      <c r="AM6910" s="54">
        <v>2019</v>
      </c>
      <c r="AN6910" s="54" t="s">
        <v>191</v>
      </c>
      <c r="AO6910" s="54">
        <v>15</v>
      </c>
      <c r="AP6910" s="54">
        <v>20</v>
      </c>
      <c r="AQ6910" s="54">
        <v>0</v>
      </c>
      <c r="AR6910" s="55">
        <v>28500</v>
      </c>
      <c r="AS6910" s="78">
        <f t="shared" si="111"/>
        <v>0</v>
      </c>
    </row>
    <row r="6911" spans="39:45">
      <c r="AM6911" s="55">
        <v>2019</v>
      </c>
      <c r="AN6911" s="55" t="s">
        <v>191</v>
      </c>
      <c r="AO6911" s="55">
        <v>15</v>
      </c>
      <c r="AP6911" s="55">
        <v>21</v>
      </c>
      <c r="AQ6911" s="55">
        <v>0</v>
      </c>
      <c r="AR6911" s="55">
        <v>28500</v>
      </c>
      <c r="AS6911" s="78">
        <f t="shared" si="111"/>
        <v>0</v>
      </c>
    </row>
    <row r="6912" spans="39:45">
      <c r="AM6912" s="54">
        <v>2019</v>
      </c>
      <c r="AN6912" s="54" t="s">
        <v>191</v>
      </c>
      <c r="AO6912" s="54">
        <v>15</v>
      </c>
      <c r="AP6912" s="54">
        <v>22</v>
      </c>
      <c r="AQ6912" s="54">
        <v>0</v>
      </c>
      <c r="AR6912" s="55">
        <v>28500</v>
      </c>
      <c r="AS6912" s="78">
        <f t="shared" si="111"/>
        <v>0</v>
      </c>
    </row>
    <row r="6913" spans="39:45">
      <c r="AM6913" s="55">
        <v>2019</v>
      </c>
      <c r="AN6913" s="55" t="s">
        <v>191</v>
      </c>
      <c r="AO6913" s="55">
        <v>15</v>
      </c>
      <c r="AP6913" s="55">
        <v>23</v>
      </c>
      <c r="AQ6913" s="55">
        <v>0</v>
      </c>
      <c r="AR6913" s="55">
        <v>28500</v>
      </c>
      <c r="AS6913" s="78">
        <f t="shared" si="111"/>
        <v>0</v>
      </c>
    </row>
    <row r="6914" spans="39:45">
      <c r="AM6914" s="54">
        <v>2019</v>
      </c>
      <c r="AN6914" s="54" t="s">
        <v>191</v>
      </c>
      <c r="AO6914" s="54">
        <v>16</v>
      </c>
      <c r="AP6914" s="54">
        <v>24</v>
      </c>
      <c r="AQ6914" s="54">
        <v>0</v>
      </c>
      <c r="AR6914" s="55">
        <v>28500</v>
      </c>
      <c r="AS6914" s="78">
        <f t="shared" ref="AS6914:AS6977" si="112">AQ6914/AR6914</f>
        <v>0</v>
      </c>
    </row>
    <row r="6915" spans="39:45">
      <c r="AM6915" s="55">
        <v>2019</v>
      </c>
      <c r="AN6915" s="55" t="s">
        <v>191</v>
      </c>
      <c r="AO6915" s="55">
        <v>16</v>
      </c>
      <c r="AP6915" s="55">
        <v>1</v>
      </c>
      <c r="AQ6915" s="55">
        <v>0</v>
      </c>
      <c r="AR6915" s="55">
        <v>28500</v>
      </c>
      <c r="AS6915" s="78">
        <f t="shared" si="112"/>
        <v>0</v>
      </c>
    </row>
    <row r="6916" spans="39:45">
      <c r="AM6916" s="54">
        <v>2019</v>
      </c>
      <c r="AN6916" s="54" t="s">
        <v>191</v>
      </c>
      <c r="AO6916" s="54">
        <v>16</v>
      </c>
      <c r="AP6916" s="54">
        <v>2</v>
      </c>
      <c r="AQ6916" s="54">
        <v>0</v>
      </c>
      <c r="AR6916" s="55">
        <v>28500</v>
      </c>
      <c r="AS6916" s="78">
        <f t="shared" si="112"/>
        <v>0</v>
      </c>
    </row>
    <row r="6917" spans="39:45">
      <c r="AM6917" s="55">
        <v>2019</v>
      </c>
      <c r="AN6917" s="55" t="s">
        <v>191</v>
      </c>
      <c r="AO6917" s="55">
        <v>16</v>
      </c>
      <c r="AP6917" s="55">
        <v>3</v>
      </c>
      <c r="AQ6917" s="55">
        <v>0</v>
      </c>
      <c r="AR6917" s="55">
        <v>28500</v>
      </c>
      <c r="AS6917" s="78">
        <f t="shared" si="112"/>
        <v>0</v>
      </c>
    </row>
    <row r="6918" spans="39:45">
      <c r="AM6918" s="54">
        <v>2019</v>
      </c>
      <c r="AN6918" s="54" t="s">
        <v>191</v>
      </c>
      <c r="AO6918" s="54">
        <v>16</v>
      </c>
      <c r="AP6918" s="54">
        <v>4</v>
      </c>
      <c r="AQ6918" s="54">
        <v>0</v>
      </c>
      <c r="AR6918" s="55">
        <v>28500</v>
      </c>
      <c r="AS6918" s="78">
        <f t="shared" si="112"/>
        <v>0</v>
      </c>
    </row>
    <row r="6919" spans="39:45">
      <c r="AM6919" s="55">
        <v>2019</v>
      </c>
      <c r="AN6919" s="55" t="s">
        <v>191</v>
      </c>
      <c r="AO6919" s="55">
        <v>16</v>
      </c>
      <c r="AP6919" s="55">
        <v>5</v>
      </c>
      <c r="AQ6919" s="55">
        <v>0</v>
      </c>
      <c r="AR6919" s="55">
        <v>28500</v>
      </c>
      <c r="AS6919" s="78">
        <f t="shared" si="112"/>
        <v>0</v>
      </c>
    </row>
    <row r="6920" spans="39:45">
      <c r="AM6920" s="54">
        <v>2019</v>
      </c>
      <c r="AN6920" s="54" t="s">
        <v>191</v>
      </c>
      <c r="AO6920" s="54">
        <v>16</v>
      </c>
      <c r="AP6920" s="54">
        <v>6</v>
      </c>
      <c r="AQ6920" s="54">
        <v>0</v>
      </c>
      <c r="AR6920" s="55">
        <v>28500</v>
      </c>
      <c r="AS6920" s="78">
        <f t="shared" si="112"/>
        <v>0</v>
      </c>
    </row>
    <row r="6921" spans="39:45">
      <c r="AM6921" s="55">
        <v>2019</v>
      </c>
      <c r="AN6921" s="55" t="s">
        <v>191</v>
      </c>
      <c r="AO6921" s="55">
        <v>16</v>
      </c>
      <c r="AP6921" s="55">
        <v>7</v>
      </c>
      <c r="AQ6921" s="55">
        <v>163.5</v>
      </c>
      <c r="AR6921" s="55">
        <v>28500</v>
      </c>
      <c r="AS6921" s="78">
        <f t="shared" si="112"/>
        <v>5.7368421052631582E-3</v>
      </c>
    </row>
    <row r="6922" spans="39:45">
      <c r="AM6922" s="54">
        <v>2019</v>
      </c>
      <c r="AN6922" s="54" t="s">
        <v>191</v>
      </c>
      <c r="AO6922" s="54">
        <v>16</v>
      </c>
      <c r="AP6922" s="54">
        <v>8</v>
      </c>
      <c r="AQ6922" s="54">
        <v>1748.5</v>
      </c>
      <c r="AR6922" s="55">
        <v>28500</v>
      </c>
      <c r="AS6922" s="78">
        <f t="shared" si="112"/>
        <v>6.1350877192982455E-2</v>
      </c>
    </row>
    <row r="6923" spans="39:45">
      <c r="AM6923" s="55">
        <v>2019</v>
      </c>
      <c r="AN6923" s="55" t="s">
        <v>191</v>
      </c>
      <c r="AO6923" s="55">
        <v>16</v>
      </c>
      <c r="AP6923" s="55">
        <v>9</v>
      </c>
      <c r="AQ6923" s="55">
        <v>5683</v>
      </c>
      <c r="AR6923" s="55">
        <v>28500</v>
      </c>
      <c r="AS6923" s="78">
        <f t="shared" si="112"/>
        <v>0.19940350877192983</v>
      </c>
    </row>
    <row r="6924" spans="39:45">
      <c r="AM6924" s="54">
        <v>2019</v>
      </c>
      <c r="AN6924" s="54" t="s">
        <v>191</v>
      </c>
      <c r="AO6924" s="54">
        <v>16</v>
      </c>
      <c r="AP6924" s="54">
        <v>10</v>
      </c>
      <c r="AQ6924" s="54">
        <v>7281</v>
      </c>
      <c r="AR6924" s="55">
        <v>28500</v>
      </c>
      <c r="AS6924" s="78">
        <f t="shared" si="112"/>
        <v>0.2554736842105263</v>
      </c>
    </row>
    <row r="6925" spans="39:45">
      <c r="AM6925" s="55">
        <v>2019</v>
      </c>
      <c r="AN6925" s="55" t="s">
        <v>191</v>
      </c>
      <c r="AO6925" s="55">
        <v>16</v>
      </c>
      <c r="AP6925" s="55">
        <v>11</v>
      </c>
      <c r="AQ6925" s="55">
        <v>13076</v>
      </c>
      <c r="AR6925" s="55">
        <v>28500</v>
      </c>
      <c r="AS6925" s="78">
        <f t="shared" si="112"/>
        <v>0.45880701754385966</v>
      </c>
    </row>
    <row r="6926" spans="39:45">
      <c r="AM6926" s="54">
        <v>2019</v>
      </c>
      <c r="AN6926" s="54" t="s">
        <v>191</v>
      </c>
      <c r="AO6926" s="54">
        <v>16</v>
      </c>
      <c r="AP6926" s="54">
        <v>12</v>
      </c>
      <c r="AQ6926" s="54">
        <v>20593.5</v>
      </c>
      <c r="AR6926" s="55">
        <v>28500</v>
      </c>
      <c r="AS6926" s="78">
        <f t="shared" si="112"/>
        <v>0.7225789473684211</v>
      </c>
    </row>
    <row r="6927" spans="39:45">
      <c r="AM6927" s="55">
        <v>2019</v>
      </c>
      <c r="AN6927" s="55" t="s">
        <v>191</v>
      </c>
      <c r="AO6927" s="55">
        <v>16</v>
      </c>
      <c r="AP6927" s="55">
        <v>13</v>
      </c>
      <c r="AQ6927" s="55">
        <v>21134</v>
      </c>
      <c r="AR6927" s="55">
        <v>28500</v>
      </c>
      <c r="AS6927" s="78">
        <f t="shared" si="112"/>
        <v>0.74154385964912284</v>
      </c>
    </row>
    <row r="6928" spans="39:45">
      <c r="AM6928" s="54">
        <v>2019</v>
      </c>
      <c r="AN6928" s="54" t="s">
        <v>191</v>
      </c>
      <c r="AO6928" s="54">
        <v>16</v>
      </c>
      <c r="AP6928" s="54">
        <v>14</v>
      </c>
      <c r="AQ6928" s="54">
        <v>6021.5</v>
      </c>
      <c r="AR6928" s="55">
        <v>28500</v>
      </c>
      <c r="AS6928" s="78">
        <f t="shared" si="112"/>
        <v>0.21128070175438596</v>
      </c>
    </row>
    <row r="6929" spans="39:45">
      <c r="AM6929" s="55">
        <v>2019</v>
      </c>
      <c r="AN6929" s="55" t="s">
        <v>191</v>
      </c>
      <c r="AO6929" s="55">
        <v>16</v>
      </c>
      <c r="AP6929" s="55">
        <v>15</v>
      </c>
      <c r="AQ6929" s="55">
        <v>12263</v>
      </c>
      <c r="AR6929" s="55">
        <v>28500</v>
      </c>
      <c r="AS6929" s="78">
        <f t="shared" si="112"/>
        <v>0.43028070175438599</v>
      </c>
    </row>
    <row r="6930" spans="39:45">
      <c r="AM6930" s="54">
        <v>2019</v>
      </c>
      <c r="AN6930" s="54" t="s">
        <v>191</v>
      </c>
      <c r="AO6930" s="54">
        <v>16</v>
      </c>
      <c r="AP6930" s="54">
        <v>16</v>
      </c>
      <c r="AQ6930" s="54">
        <v>1710.5</v>
      </c>
      <c r="AR6930" s="55">
        <v>28500</v>
      </c>
      <c r="AS6930" s="78">
        <f t="shared" si="112"/>
        <v>6.0017543859649122E-2</v>
      </c>
    </row>
    <row r="6931" spans="39:45">
      <c r="AM6931" s="55">
        <v>2019</v>
      </c>
      <c r="AN6931" s="55" t="s">
        <v>191</v>
      </c>
      <c r="AO6931" s="55">
        <v>16</v>
      </c>
      <c r="AP6931" s="55">
        <v>17</v>
      </c>
      <c r="AQ6931" s="55">
        <v>0</v>
      </c>
      <c r="AR6931" s="55">
        <v>28500</v>
      </c>
      <c r="AS6931" s="78">
        <f t="shared" si="112"/>
        <v>0</v>
      </c>
    </row>
    <row r="6932" spans="39:45">
      <c r="AM6932" s="54">
        <v>2019</v>
      </c>
      <c r="AN6932" s="54" t="s">
        <v>191</v>
      </c>
      <c r="AO6932" s="54">
        <v>16</v>
      </c>
      <c r="AP6932" s="54">
        <v>18</v>
      </c>
      <c r="AQ6932" s="54">
        <v>0</v>
      </c>
      <c r="AR6932" s="55">
        <v>28500</v>
      </c>
      <c r="AS6932" s="78">
        <f t="shared" si="112"/>
        <v>0</v>
      </c>
    </row>
    <row r="6933" spans="39:45">
      <c r="AM6933" s="55">
        <v>2019</v>
      </c>
      <c r="AN6933" s="55" t="s">
        <v>191</v>
      </c>
      <c r="AO6933" s="55">
        <v>16</v>
      </c>
      <c r="AP6933" s="55">
        <v>19</v>
      </c>
      <c r="AQ6933" s="55">
        <v>0</v>
      </c>
      <c r="AR6933" s="55">
        <v>28500</v>
      </c>
      <c r="AS6933" s="78">
        <f t="shared" si="112"/>
        <v>0</v>
      </c>
    </row>
    <row r="6934" spans="39:45">
      <c r="AM6934" s="54">
        <v>2019</v>
      </c>
      <c r="AN6934" s="54" t="s">
        <v>191</v>
      </c>
      <c r="AO6934" s="54">
        <v>16</v>
      </c>
      <c r="AP6934" s="54">
        <v>20</v>
      </c>
      <c r="AQ6934" s="54">
        <v>0</v>
      </c>
      <c r="AR6934" s="55">
        <v>28500</v>
      </c>
      <c r="AS6934" s="78">
        <f t="shared" si="112"/>
        <v>0</v>
      </c>
    </row>
    <row r="6935" spans="39:45">
      <c r="AM6935" s="55">
        <v>2019</v>
      </c>
      <c r="AN6935" s="55" t="s">
        <v>191</v>
      </c>
      <c r="AO6935" s="55">
        <v>16</v>
      </c>
      <c r="AP6935" s="55">
        <v>21</v>
      </c>
      <c r="AQ6935" s="55">
        <v>0</v>
      </c>
      <c r="AR6935" s="55">
        <v>28500</v>
      </c>
      <c r="AS6935" s="78">
        <f t="shared" si="112"/>
        <v>0</v>
      </c>
    </row>
    <row r="6936" spans="39:45">
      <c r="AM6936" s="54">
        <v>2019</v>
      </c>
      <c r="AN6936" s="54" t="s">
        <v>191</v>
      </c>
      <c r="AO6936" s="54">
        <v>16</v>
      </c>
      <c r="AP6936" s="54">
        <v>22</v>
      </c>
      <c r="AQ6936" s="54">
        <v>0</v>
      </c>
      <c r="AR6936" s="55">
        <v>28500</v>
      </c>
      <c r="AS6936" s="78">
        <f t="shared" si="112"/>
        <v>0</v>
      </c>
    </row>
    <row r="6937" spans="39:45">
      <c r="AM6937" s="55">
        <v>2019</v>
      </c>
      <c r="AN6937" s="55" t="s">
        <v>191</v>
      </c>
      <c r="AO6937" s="55">
        <v>16</v>
      </c>
      <c r="AP6937" s="55">
        <v>23</v>
      </c>
      <c r="AQ6937" s="55">
        <v>0</v>
      </c>
      <c r="AR6937" s="55">
        <v>28500</v>
      </c>
      <c r="AS6937" s="78">
        <f t="shared" si="112"/>
        <v>0</v>
      </c>
    </row>
    <row r="6938" spans="39:45">
      <c r="AM6938" s="54">
        <v>2019</v>
      </c>
      <c r="AN6938" s="54" t="s">
        <v>191</v>
      </c>
      <c r="AO6938" s="54">
        <v>17</v>
      </c>
      <c r="AP6938" s="54">
        <v>24</v>
      </c>
      <c r="AQ6938" s="54">
        <v>0</v>
      </c>
      <c r="AR6938" s="55">
        <v>28500</v>
      </c>
      <c r="AS6938" s="78">
        <f t="shared" si="112"/>
        <v>0</v>
      </c>
    </row>
    <row r="6939" spans="39:45">
      <c r="AM6939" s="55">
        <v>2019</v>
      </c>
      <c r="AN6939" s="55" t="s">
        <v>191</v>
      </c>
      <c r="AO6939" s="55">
        <v>17</v>
      </c>
      <c r="AP6939" s="55">
        <v>1</v>
      </c>
      <c r="AQ6939" s="55">
        <v>0</v>
      </c>
      <c r="AR6939" s="55">
        <v>28500</v>
      </c>
      <c r="AS6939" s="78">
        <f t="shared" si="112"/>
        <v>0</v>
      </c>
    </row>
    <row r="6940" spans="39:45">
      <c r="AM6940" s="54">
        <v>2019</v>
      </c>
      <c r="AN6940" s="54" t="s">
        <v>191</v>
      </c>
      <c r="AO6940" s="54">
        <v>17</v>
      </c>
      <c r="AP6940" s="54">
        <v>2</v>
      </c>
      <c r="AQ6940" s="54">
        <v>0</v>
      </c>
      <c r="AR6940" s="55">
        <v>28500</v>
      </c>
      <c r="AS6940" s="78">
        <f t="shared" si="112"/>
        <v>0</v>
      </c>
    </row>
    <row r="6941" spans="39:45">
      <c r="AM6941" s="55">
        <v>2019</v>
      </c>
      <c r="AN6941" s="55" t="s">
        <v>191</v>
      </c>
      <c r="AO6941" s="55">
        <v>17</v>
      </c>
      <c r="AP6941" s="55">
        <v>3</v>
      </c>
      <c r="AQ6941" s="55">
        <v>0</v>
      </c>
      <c r="AR6941" s="55">
        <v>28500</v>
      </c>
      <c r="AS6941" s="78">
        <f t="shared" si="112"/>
        <v>0</v>
      </c>
    </row>
    <row r="6942" spans="39:45">
      <c r="AM6942" s="54">
        <v>2019</v>
      </c>
      <c r="AN6942" s="54" t="s">
        <v>191</v>
      </c>
      <c r="AO6942" s="54">
        <v>17</v>
      </c>
      <c r="AP6942" s="54">
        <v>4</v>
      </c>
      <c r="AQ6942" s="54">
        <v>0</v>
      </c>
      <c r="AR6942" s="55">
        <v>28500</v>
      </c>
      <c r="AS6942" s="78">
        <f t="shared" si="112"/>
        <v>0</v>
      </c>
    </row>
    <row r="6943" spans="39:45">
      <c r="AM6943" s="55">
        <v>2019</v>
      </c>
      <c r="AN6943" s="55" t="s">
        <v>191</v>
      </c>
      <c r="AO6943" s="55">
        <v>17</v>
      </c>
      <c r="AP6943" s="55">
        <v>5</v>
      </c>
      <c r="AQ6943" s="55">
        <v>0</v>
      </c>
      <c r="AR6943" s="55">
        <v>28500</v>
      </c>
      <c r="AS6943" s="78">
        <f t="shared" si="112"/>
        <v>0</v>
      </c>
    </row>
    <row r="6944" spans="39:45">
      <c r="AM6944" s="54">
        <v>2019</v>
      </c>
      <c r="AN6944" s="54" t="s">
        <v>191</v>
      </c>
      <c r="AO6944" s="54">
        <v>17</v>
      </c>
      <c r="AP6944" s="54">
        <v>6</v>
      </c>
      <c r="AQ6944" s="54">
        <v>0</v>
      </c>
      <c r="AR6944" s="55">
        <v>28500</v>
      </c>
      <c r="AS6944" s="78">
        <f t="shared" si="112"/>
        <v>0</v>
      </c>
    </row>
    <row r="6945" spans="39:45">
      <c r="AM6945" s="55">
        <v>2019</v>
      </c>
      <c r="AN6945" s="55" t="s">
        <v>191</v>
      </c>
      <c r="AO6945" s="55">
        <v>17</v>
      </c>
      <c r="AP6945" s="55">
        <v>7</v>
      </c>
      <c r="AQ6945" s="55">
        <v>4205.5</v>
      </c>
      <c r="AR6945" s="55">
        <v>28500</v>
      </c>
      <c r="AS6945" s="78">
        <f t="shared" si="112"/>
        <v>0.14756140350877192</v>
      </c>
    </row>
    <row r="6946" spans="39:45">
      <c r="AM6946" s="54">
        <v>2019</v>
      </c>
      <c r="AN6946" s="54" t="s">
        <v>191</v>
      </c>
      <c r="AO6946" s="54">
        <v>17</v>
      </c>
      <c r="AP6946" s="54">
        <v>8</v>
      </c>
      <c r="AQ6946" s="54">
        <v>15352.5</v>
      </c>
      <c r="AR6946" s="55">
        <v>28500</v>
      </c>
      <c r="AS6946" s="78">
        <f t="shared" si="112"/>
        <v>0.53868421052631577</v>
      </c>
    </row>
    <row r="6947" spans="39:45">
      <c r="AM6947" s="55">
        <v>2019</v>
      </c>
      <c r="AN6947" s="55" t="s">
        <v>191</v>
      </c>
      <c r="AO6947" s="55">
        <v>17</v>
      </c>
      <c r="AP6947" s="55">
        <v>9</v>
      </c>
      <c r="AQ6947" s="55">
        <v>23996.5</v>
      </c>
      <c r="AR6947" s="55">
        <v>28500</v>
      </c>
      <c r="AS6947" s="78">
        <f t="shared" si="112"/>
        <v>0.84198245614035083</v>
      </c>
    </row>
    <row r="6948" spans="39:45">
      <c r="AM6948" s="54">
        <v>2019</v>
      </c>
      <c r="AN6948" s="54" t="s">
        <v>191</v>
      </c>
      <c r="AO6948" s="54">
        <v>17</v>
      </c>
      <c r="AP6948" s="54">
        <v>10</v>
      </c>
      <c r="AQ6948" s="54">
        <v>6482</v>
      </c>
      <c r="AR6948" s="55">
        <v>28500</v>
      </c>
      <c r="AS6948" s="78">
        <f t="shared" si="112"/>
        <v>0.22743859649122808</v>
      </c>
    </row>
    <row r="6949" spans="39:45">
      <c r="AM6949" s="55">
        <v>2019</v>
      </c>
      <c r="AN6949" s="55" t="s">
        <v>191</v>
      </c>
      <c r="AO6949" s="55">
        <v>17</v>
      </c>
      <c r="AP6949" s="55">
        <v>11</v>
      </c>
      <c r="AQ6949" s="55">
        <v>15012</v>
      </c>
      <c r="AR6949" s="55">
        <v>28500</v>
      </c>
      <c r="AS6949" s="78">
        <f t="shared" si="112"/>
        <v>0.52673684210526317</v>
      </c>
    </row>
    <row r="6950" spans="39:45">
      <c r="AM6950" s="54">
        <v>2019</v>
      </c>
      <c r="AN6950" s="54" t="s">
        <v>191</v>
      </c>
      <c r="AO6950" s="54">
        <v>17</v>
      </c>
      <c r="AP6950" s="54">
        <v>12</v>
      </c>
      <c r="AQ6950" s="54">
        <v>8581.5</v>
      </c>
      <c r="AR6950" s="55">
        <v>28500</v>
      </c>
      <c r="AS6950" s="78">
        <f t="shared" si="112"/>
        <v>0.30110526315789471</v>
      </c>
    </row>
    <row r="6951" spans="39:45">
      <c r="AM6951" s="55">
        <v>2019</v>
      </c>
      <c r="AN6951" s="55" t="s">
        <v>191</v>
      </c>
      <c r="AO6951" s="55">
        <v>17</v>
      </c>
      <c r="AP6951" s="55">
        <v>13</v>
      </c>
      <c r="AQ6951" s="55">
        <v>1833</v>
      </c>
      <c r="AR6951" s="55">
        <v>28500</v>
      </c>
      <c r="AS6951" s="78">
        <f t="shared" si="112"/>
        <v>6.4315789473684215E-2</v>
      </c>
    </row>
    <row r="6952" spans="39:45">
      <c r="AM6952" s="54">
        <v>2019</v>
      </c>
      <c r="AN6952" s="54" t="s">
        <v>191</v>
      </c>
      <c r="AO6952" s="54">
        <v>17</v>
      </c>
      <c r="AP6952" s="54">
        <v>14</v>
      </c>
      <c r="AQ6952" s="54">
        <v>3077</v>
      </c>
      <c r="AR6952" s="55">
        <v>28500</v>
      </c>
      <c r="AS6952" s="78">
        <f t="shared" si="112"/>
        <v>0.10796491228070175</v>
      </c>
    </row>
    <row r="6953" spans="39:45">
      <c r="AM6953" s="55">
        <v>2019</v>
      </c>
      <c r="AN6953" s="55" t="s">
        <v>191</v>
      </c>
      <c r="AO6953" s="55">
        <v>17</v>
      </c>
      <c r="AP6953" s="55">
        <v>15</v>
      </c>
      <c r="AQ6953" s="55">
        <v>17200.5</v>
      </c>
      <c r="AR6953" s="55">
        <v>28500</v>
      </c>
      <c r="AS6953" s="78">
        <f t="shared" si="112"/>
        <v>0.60352631578947369</v>
      </c>
    </row>
    <row r="6954" spans="39:45">
      <c r="AM6954" s="54">
        <v>2019</v>
      </c>
      <c r="AN6954" s="54" t="s">
        <v>191</v>
      </c>
      <c r="AO6954" s="54">
        <v>17</v>
      </c>
      <c r="AP6954" s="54">
        <v>16</v>
      </c>
      <c r="AQ6954" s="54">
        <v>694</v>
      </c>
      <c r="AR6954" s="55">
        <v>28500</v>
      </c>
      <c r="AS6954" s="78">
        <f t="shared" si="112"/>
        <v>2.4350877192982456E-2</v>
      </c>
    </row>
    <row r="6955" spans="39:45">
      <c r="AM6955" s="55">
        <v>2019</v>
      </c>
      <c r="AN6955" s="55" t="s">
        <v>191</v>
      </c>
      <c r="AO6955" s="55">
        <v>17</v>
      </c>
      <c r="AP6955" s="55">
        <v>17</v>
      </c>
      <c r="AQ6955" s="55">
        <v>0</v>
      </c>
      <c r="AR6955" s="55">
        <v>28500</v>
      </c>
      <c r="AS6955" s="78">
        <f t="shared" si="112"/>
        <v>0</v>
      </c>
    </row>
    <row r="6956" spans="39:45">
      <c r="AM6956" s="54">
        <v>2019</v>
      </c>
      <c r="AN6956" s="54" t="s">
        <v>191</v>
      </c>
      <c r="AO6956" s="54">
        <v>17</v>
      </c>
      <c r="AP6956" s="54">
        <v>18</v>
      </c>
      <c r="AQ6956" s="54">
        <v>0</v>
      </c>
      <c r="AR6956" s="55">
        <v>28500</v>
      </c>
      <c r="AS6956" s="78">
        <f t="shared" si="112"/>
        <v>0</v>
      </c>
    </row>
    <row r="6957" spans="39:45">
      <c r="AM6957" s="55">
        <v>2019</v>
      </c>
      <c r="AN6957" s="55" t="s">
        <v>191</v>
      </c>
      <c r="AO6957" s="55">
        <v>17</v>
      </c>
      <c r="AP6957" s="55">
        <v>19</v>
      </c>
      <c r="AQ6957" s="55">
        <v>0</v>
      </c>
      <c r="AR6957" s="55">
        <v>28500</v>
      </c>
      <c r="AS6957" s="78">
        <f t="shared" si="112"/>
        <v>0</v>
      </c>
    </row>
    <row r="6958" spans="39:45">
      <c r="AM6958" s="54">
        <v>2019</v>
      </c>
      <c r="AN6958" s="54" t="s">
        <v>191</v>
      </c>
      <c r="AO6958" s="54">
        <v>17</v>
      </c>
      <c r="AP6958" s="54">
        <v>20</v>
      </c>
      <c r="AQ6958" s="54">
        <v>0</v>
      </c>
      <c r="AR6958" s="55">
        <v>28500</v>
      </c>
      <c r="AS6958" s="78">
        <f t="shared" si="112"/>
        <v>0</v>
      </c>
    </row>
    <row r="6959" spans="39:45">
      <c r="AM6959" s="55">
        <v>2019</v>
      </c>
      <c r="AN6959" s="55" t="s">
        <v>191</v>
      </c>
      <c r="AO6959" s="55">
        <v>17</v>
      </c>
      <c r="AP6959" s="55">
        <v>21</v>
      </c>
      <c r="AQ6959" s="55">
        <v>0</v>
      </c>
      <c r="AR6959" s="55">
        <v>28500</v>
      </c>
      <c r="AS6959" s="78">
        <f t="shared" si="112"/>
        <v>0</v>
      </c>
    </row>
    <row r="6960" spans="39:45">
      <c r="AM6960" s="54">
        <v>2019</v>
      </c>
      <c r="AN6960" s="54" t="s">
        <v>191</v>
      </c>
      <c r="AO6960" s="54">
        <v>17</v>
      </c>
      <c r="AP6960" s="54">
        <v>22</v>
      </c>
      <c r="AQ6960" s="54">
        <v>0</v>
      </c>
      <c r="AR6960" s="55">
        <v>28500</v>
      </c>
      <c r="AS6960" s="78">
        <f t="shared" si="112"/>
        <v>0</v>
      </c>
    </row>
    <row r="6961" spans="39:45">
      <c r="AM6961" s="55">
        <v>2019</v>
      </c>
      <c r="AN6961" s="55" t="s">
        <v>191</v>
      </c>
      <c r="AO6961" s="55">
        <v>17</v>
      </c>
      <c r="AP6961" s="55">
        <v>23</v>
      </c>
      <c r="AQ6961" s="55">
        <v>0</v>
      </c>
      <c r="AR6961" s="55">
        <v>28500</v>
      </c>
      <c r="AS6961" s="78">
        <f t="shared" si="112"/>
        <v>0</v>
      </c>
    </row>
    <row r="6962" spans="39:45">
      <c r="AM6962" s="54">
        <v>2019</v>
      </c>
      <c r="AN6962" s="54" t="s">
        <v>191</v>
      </c>
      <c r="AO6962" s="54">
        <v>18</v>
      </c>
      <c r="AP6962" s="54">
        <v>24</v>
      </c>
      <c r="AQ6962" s="54">
        <v>0</v>
      </c>
      <c r="AR6962" s="55">
        <v>28500</v>
      </c>
      <c r="AS6962" s="78">
        <f t="shared" si="112"/>
        <v>0</v>
      </c>
    </row>
    <row r="6963" spans="39:45">
      <c r="AM6963" s="55">
        <v>2019</v>
      </c>
      <c r="AN6963" s="55" t="s">
        <v>191</v>
      </c>
      <c r="AO6963" s="55">
        <v>18</v>
      </c>
      <c r="AP6963" s="55">
        <v>1</v>
      </c>
      <c r="AQ6963" s="55">
        <v>0</v>
      </c>
      <c r="AR6963" s="55">
        <v>28500</v>
      </c>
      <c r="AS6963" s="78">
        <f t="shared" si="112"/>
        <v>0</v>
      </c>
    </row>
    <row r="6964" spans="39:45">
      <c r="AM6964" s="54">
        <v>2019</v>
      </c>
      <c r="AN6964" s="54" t="s">
        <v>191</v>
      </c>
      <c r="AO6964" s="54">
        <v>18</v>
      </c>
      <c r="AP6964" s="54">
        <v>2</v>
      </c>
      <c r="AQ6964" s="54">
        <v>0</v>
      </c>
      <c r="AR6964" s="55">
        <v>28500</v>
      </c>
      <c r="AS6964" s="78">
        <f t="shared" si="112"/>
        <v>0</v>
      </c>
    </row>
    <row r="6965" spans="39:45">
      <c r="AM6965" s="55">
        <v>2019</v>
      </c>
      <c r="AN6965" s="55" t="s">
        <v>191</v>
      </c>
      <c r="AO6965" s="55">
        <v>18</v>
      </c>
      <c r="AP6965" s="55">
        <v>3</v>
      </c>
      <c r="AQ6965" s="55">
        <v>0</v>
      </c>
      <c r="AR6965" s="55">
        <v>28500</v>
      </c>
      <c r="AS6965" s="78">
        <f t="shared" si="112"/>
        <v>0</v>
      </c>
    </row>
    <row r="6966" spans="39:45">
      <c r="AM6966" s="54">
        <v>2019</v>
      </c>
      <c r="AN6966" s="54" t="s">
        <v>191</v>
      </c>
      <c r="AO6966" s="54">
        <v>18</v>
      </c>
      <c r="AP6966" s="54">
        <v>4</v>
      </c>
      <c r="AQ6966" s="54">
        <v>0</v>
      </c>
      <c r="AR6966" s="55">
        <v>28500</v>
      </c>
      <c r="AS6966" s="78">
        <f t="shared" si="112"/>
        <v>0</v>
      </c>
    </row>
    <row r="6967" spans="39:45">
      <c r="AM6967" s="55">
        <v>2019</v>
      </c>
      <c r="AN6967" s="55" t="s">
        <v>191</v>
      </c>
      <c r="AO6967" s="55">
        <v>18</v>
      </c>
      <c r="AP6967" s="55">
        <v>5</v>
      </c>
      <c r="AQ6967" s="55">
        <v>0</v>
      </c>
      <c r="AR6967" s="55">
        <v>28500</v>
      </c>
      <c r="AS6967" s="78">
        <f t="shared" si="112"/>
        <v>0</v>
      </c>
    </row>
    <row r="6968" spans="39:45">
      <c r="AM6968" s="54">
        <v>2019</v>
      </c>
      <c r="AN6968" s="54" t="s">
        <v>191</v>
      </c>
      <c r="AO6968" s="54">
        <v>18</v>
      </c>
      <c r="AP6968" s="54">
        <v>6</v>
      </c>
      <c r="AQ6968" s="54">
        <v>0</v>
      </c>
      <c r="AR6968" s="55">
        <v>28500</v>
      </c>
      <c r="AS6968" s="78">
        <f t="shared" si="112"/>
        <v>0</v>
      </c>
    </row>
    <row r="6969" spans="39:45">
      <c r="AM6969" s="55">
        <v>2019</v>
      </c>
      <c r="AN6969" s="55" t="s">
        <v>191</v>
      </c>
      <c r="AO6969" s="55">
        <v>18</v>
      </c>
      <c r="AP6969" s="55">
        <v>7</v>
      </c>
      <c r="AQ6969" s="55">
        <v>696</v>
      </c>
      <c r="AR6969" s="55">
        <v>28500</v>
      </c>
      <c r="AS6969" s="78">
        <f t="shared" si="112"/>
        <v>2.4421052631578948E-2</v>
      </c>
    </row>
    <row r="6970" spans="39:45">
      <c r="AM6970" s="54">
        <v>2019</v>
      </c>
      <c r="AN6970" s="54" t="s">
        <v>191</v>
      </c>
      <c r="AO6970" s="54">
        <v>18</v>
      </c>
      <c r="AP6970" s="54">
        <v>8</v>
      </c>
      <c r="AQ6970" s="54">
        <v>14144.5</v>
      </c>
      <c r="AR6970" s="55">
        <v>28500</v>
      </c>
      <c r="AS6970" s="78">
        <f t="shared" si="112"/>
        <v>0.49629824561403507</v>
      </c>
    </row>
    <row r="6971" spans="39:45">
      <c r="AM6971" s="55">
        <v>2019</v>
      </c>
      <c r="AN6971" s="55" t="s">
        <v>191</v>
      </c>
      <c r="AO6971" s="55">
        <v>18</v>
      </c>
      <c r="AP6971" s="55">
        <v>9</v>
      </c>
      <c r="AQ6971" s="55">
        <v>25612.5</v>
      </c>
      <c r="AR6971" s="55">
        <v>28500</v>
      </c>
      <c r="AS6971" s="78">
        <f t="shared" si="112"/>
        <v>0.89868421052631575</v>
      </c>
    </row>
    <row r="6972" spans="39:45">
      <c r="AM6972" s="54">
        <v>2019</v>
      </c>
      <c r="AN6972" s="54" t="s">
        <v>191</v>
      </c>
      <c r="AO6972" s="54">
        <v>18</v>
      </c>
      <c r="AP6972" s="54">
        <v>10</v>
      </c>
      <c r="AQ6972" s="54">
        <v>30934</v>
      </c>
      <c r="AR6972" s="55">
        <v>28500</v>
      </c>
      <c r="AS6972" s="78">
        <f t="shared" si="112"/>
        <v>1.0854035087719298</v>
      </c>
    </row>
    <row r="6973" spans="39:45">
      <c r="AM6973" s="55">
        <v>2019</v>
      </c>
      <c r="AN6973" s="55" t="s">
        <v>191</v>
      </c>
      <c r="AO6973" s="55">
        <v>18</v>
      </c>
      <c r="AP6973" s="55">
        <v>11</v>
      </c>
      <c r="AQ6973" s="55">
        <v>31304</v>
      </c>
      <c r="AR6973" s="55">
        <v>28500</v>
      </c>
      <c r="AS6973" s="78">
        <f t="shared" si="112"/>
        <v>1.0983859649122807</v>
      </c>
    </row>
    <row r="6974" spans="39:45">
      <c r="AM6974" s="54">
        <v>2019</v>
      </c>
      <c r="AN6974" s="54" t="s">
        <v>191</v>
      </c>
      <c r="AO6974" s="54">
        <v>18</v>
      </c>
      <c r="AP6974" s="54">
        <v>12</v>
      </c>
      <c r="AQ6974" s="54">
        <v>29636</v>
      </c>
      <c r="AR6974" s="55">
        <v>28500</v>
      </c>
      <c r="AS6974" s="78">
        <f t="shared" si="112"/>
        <v>1.0398596491228069</v>
      </c>
    </row>
    <row r="6975" spans="39:45">
      <c r="AM6975" s="55">
        <v>2019</v>
      </c>
      <c r="AN6975" s="55" t="s">
        <v>191</v>
      </c>
      <c r="AO6975" s="55">
        <v>18</v>
      </c>
      <c r="AP6975" s="55">
        <v>13</v>
      </c>
      <c r="AQ6975" s="55">
        <v>19405</v>
      </c>
      <c r="AR6975" s="55">
        <v>28500</v>
      </c>
      <c r="AS6975" s="78">
        <f t="shared" si="112"/>
        <v>0.68087719298245619</v>
      </c>
    </row>
    <row r="6976" spans="39:45">
      <c r="AM6976" s="54">
        <v>2019</v>
      </c>
      <c r="AN6976" s="54" t="s">
        <v>191</v>
      </c>
      <c r="AO6976" s="54">
        <v>18</v>
      </c>
      <c r="AP6976" s="54">
        <v>14</v>
      </c>
      <c r="AQ6976" s="54">
        <v>19293</v>
      </c>
      <c r="AR6976" s="55">
        <v>28500</v>
      </c>
      <c r="AS6976" s="78">
        <f t="shared" si="112"/>
        <v>0.67694736842105263</v>
      </c>
    </row>
    <row r="6977" spans="39:45">
      <c r="AM6977" s="55">
        <v>2019</v>
      </c>
      <c r="AN6977" s="55" t="s">
        <v>191</v>
      </c>
      <c r="AO6977" s="55">
        <v>18</v>
      </c>
      <c r="AP6977" s="55">
        <v>15</v>
      </c>
      <c r="AQ6977" s="55">
        <v>4254</v>
      </c>
      <c r="AR6977" s="55">
        <v>28500</v>
      </c>
      <c r="AS6977" s="78">
        <f t="shared" si="112"/>
        <v>0.14926315789473685</v>
      </c>
    </row>
    <row r="6978" spans="39:45">
      <c r="AM6978" s="54">
        <v>2019</v>
      </c>
      <c r="AN6978" s="54" t="s">
        <v>191</v>
      </c>
      <c r="AO6978" s="54">
        <v>18</v>
      </c>
      <c r="AP6978" s="54">
        <v>16</v>
      </c>
      <c r="AQ6978" s="54">
        <v>116.5</v>
      </c>
      <c r="AR6978" s="55">
        <v>28500</v>
      </c>
      <c r="AS6978" s="78">
        <f t="shared" ref="AS6978:AS7041" si="113">AQ6978/AR6978</f>
        <v>4.087719298245614E-3</v>
      </c>
    </row>
    <row r="6979" spans="39:45">
      <c r="AM6979" s="55">
        <v>2019</v>
      </c>
      <c r="AN6979" s="55" t="s">
        <v>191</v>
      </c>
      <c r="AO6979" s="55">
        <v>18</v>
      </c>
      <c r="AP6979" s="55">
        <v>17</v>
      </c>
      <c r="AQ6979" s="55">
        <v>0</v>
      </c>
      <c r="AR6979" s="55">
        <v>28500</v>
      </c>
      <c r="AS6979" s="78">
        <f t="shared" si="113"/>
        <v>0</v>
      </c>
    </row>
    <row r="6980" spans="39:45">
      <c r="AM6980" s="54">
        <v>2019</v>
      </c>
      <c r="AN6980" s="54" t="s">
        <v>191</v>
      </c>
      <c r="AO6980" s="54">
        <v>18</v>
      </c>
      <c r="AP6980" s="54">
        <v>18</v>
      </c>
      <c r="AQ6980" s="54">
        <v>0</v>
      </c>
      <c r="AR6980" s="55">
        <v>28500</v>
      </c>
      <c r="AS6980" s="78">
        <f t="shared" si="113"/>
        <v>0</v>
      </c>
    </row>
    <row r="6981" spans="39:45">
      <c r="AM6981" s="55">
        <v>2019</v>
      </c>
      <c r="AN6981" s="55" t="s">
        <v>191</v>
      </c>
      <c r="AO6981" s="55">
        <v>18</v>
      </c>
      <c r="AP6981" s="55">
        <v>19</v>
      </c>
      <c r="AQ6981" s="55">
        <v>0</v>
      </c>
      <c r="AR6981" s="55">
        <v>28500</v>
      </c>
      <c r="AS6981" s="78">
        <f t="shared" si="113"/>
        <v>0</v>
      </c>
    </row>
    <row r="6982" spans="39:45">
      <c r="AM6982" s="54">
        <v>2019</v>
      </c>
      <c r="AN6982" s="54" t="s">
        <v>191</v>
      </c>
      <c r="AO6982" s="54">
        <v>18</v>
      </c>
      <c r="AP6982" s="54">
        <v>20</v>
      </c>
      <c r="AQ6982" s="54">
        <v>0</v>
      </c>
      <c r="AR6982" s="55">
        <v>28500</v>
      </c>
      <c r="AS6982" s="78">
        <f t="shared" si="113"/>
        <v>0</v>
      </c>
    </row>
    <row r="6983" spans="39:45">
      <c r="AM6983" s="55">
        <v>2019</v>
      </c>
      <c r="AN6983" s="55" t="s">
        <v>191</v>
      </c>
      <c r="AO6983" s="55">
        <v>18</v>
      </c>
      <c r="AP6983" s="55">
        <v>21</v>
      </c>
      <c r="AQ6983" s="55">
        <v>0</v>
      </c>
      <c r="AR6983" s="55">
        <v>28500</v>
      </c>
      <c r="AS6983" s="78">
        <f t="shared" si="113"/>
        <v>0</v>
      </c>
    </row>
    <row r="6984" spans="39:45">
      <c r="AM6984" s="54">
        <v>2019</v>
      </c>
      <c r="AN6984" s="54" t="s">
        <v>191</v>
      </c>
      <c r="AO6984" s="54">
        <v>18</v>
      </c>
      <c r="AP6984" s="54">
        <v>22</v>
      </c>
      <c r="AQ6984" s="54">
        <v>0</v>
      </c>
      <c r="AR6984" s="55">
        <v>28500</v>
      </c>
      <c r="AS6984" s="78">
        <f t="shared" si="113"/>
        <v>0</v>
      </c>
    </row>
    <row r="6985" spans="39:45">
      <c r="AM6985" s="55">
        <v>2019</v>
      </c>
      <c r="AN6985" s="55" t="s">
        <v>191</v>
      </c>
      <c r="AO6985" s="55">
        <v>18</v>
      </c>
      <c r="AP6985" s="55">
        <v>23</v>
      </c>
      <c r="AQ6985" s="55">
        <v>0</v>
      </c>
      <c r="AR6985" s="55">
        <v>28500</v>
      </c>
      <c r="AS6985" s="78">
        <f t="shared" si="113"/>
        <v>0</v>
      </c>
    </row>
    <row r="6986" spans="39:45">
      <c r="AM6986" s="54">
        <v>2019</v>
      </c>
      <c r="AN6986" s="54" t="s">
        <v>191</v>
      </c>
      <c r="AO6986" s="54">
        <v>19</v>
      </c>
      <c r="AP6986" s="54">
        <v>24</v>
      </c>
      <c r="AQ6986" s="54">
        <v>0</v>
      </c>
      <c r="AR6986" s="55">
        <v>28500</v>
      </c>
      <c r="AS6986" s="78">
        <f t="shared" si="113"/>
        <v>0</v>
      </c>
    </row>
    <row r="6987" spans="39:45">
      <c r="AM6987" s="55">
        <v>2019</v>
      </c>
      <c r="AN6987" s="55" t="s">
        <v>191</v>
      </c>
      <c r="AO6987" s="55">
        <v>19</v>
      </c>
      <c r="AP6987" s="55">
        <v>1</v>
      </c>
      <c r="AQ6987" s="55">
        <v>0</v>
      </c>
      <c r="AR6987" s="55">
        <v>28500</v>
      </c>
      <c r="AS6987" s="78">
        <f t="shared" si="113"/>
        <v>0</v>
      </c>
    </row>
    <row r="6988" spans="39:45">
      <c r="AM6988" s="54">
        <v>2019</v>
      </c>
      <c r="AN6988" s="54" t="s">
        <v>191</v>
      </c>
      <c r="AO6988" s="54">
        <v>19</v>
      </c>
      <c r="AP6988" s="54">
        <v>2</v>
      </c>
      <c r="AQ6988" s="54">
        <v>0</v>
      </c>
      <c r="AR6988" s="55">
        <v>28500</v>
      </c>
      <c r="AS6988" s="78">
        <f t="shared" si="113"/>
        <v>0</v>
      </c>
    </row>
    <row r="6989" spans="39:45">
      <c r="AM6989" s="55">
        <v>2019</v>
      </c>
      <c r="AN6989" s="55" t="s">
        <v>191</v>
      </c>
      <c r="AO6989" s="55">
        <v>19</v>
      </c>
      <c r="AP6989" s="55">
        <v>3</v>
      </c>
      <c r="AQ6989" s="55">
        <v>0</v>
      </c>
      <c r="AR6989" s="55">
        <v>28500</v>
      </c>
      <c r="AS6989" s="78">
        <f t="shared" si="113"/>
        <v>0</v>
      </c>
    </row>
    <row r="6990" spans="39:45">
      <c r="AM6990" s="54">
        <v>2019</v>
      </c>
      <c r="AN6990" s="54" t="s">
        <v>191</v>
      </c>
      <c r="AO6990" s="54">
        <v>19</v>
      </c>
      <c r="AP6990" s="54">
        <v>4</v>
      </c>
      <c r="AQ6990" s="54">
        <v>0</v>
      </c>
      <c r="AR6990" s="55">
        <v>28500</v>
      </c>
      <c r="AS6990" s="78">
        <f t="shared" si="113"/>
        <v>0</v>
      </c>
    </row>
    <row r="6991" spans="39:45">
      <c r="AM6991" s="55">
        <v>2019</v>
      </c>
      <c r="AN6991" s="55" t="s">
        <v>191</v>
      </c>
      <c r="AO6991" s="55">
        <v>19</v>
      </c>
      <c r="AP6991" s="55">
        <v>5</v>
      </c>
      <c r="AQ6991" s="55">
        <v>0</v>
      </c>
      <c r="AR6991" s="55">
        <v>28500</v>
      </c>
      <c r="AS6991" s="78">
        <f t="shared" si="113"/>
        <v>0</v>
      </c>
    </row>
    <row r="6992" spans="39:45">
      <c r="AM6992" s="54">
        <v>2019</v>
      </c>
      <c r="AN6992" s="54" t="s">
        <v>191</v>
      </c>
      <c r="AO6992" s="54">
        <v>19</v>
      </c>
      <c r="AP6992" s="54">
        <v>6</v>
      </c>
      <c r="AQ6992" s="54">
        <v>0</v>
      </c>
      <c r="AR6992" s="55">
        <v>28500</v>
      </c>
      <c r="AS6992" s="78">
        <f t="shared" si="113"/>
        <v>0</v>
      </c>
    </row>
    <row r="6993" spans="39:45">
      <c r="AM6993" s="55">
        <v>2019</v>
      </c>
      <c r="AN6993" s="55" t="s">
        <v>191</v>
      </c>
      <c r="AO6993" s="55">
        <v>19</v>
      </c>
      <c r="AP6993" s="55">
        <v>7</v>
      </c>
      <c r="AQ6993" s="55">
        <v>5324.5</v>
      </c>
      <c r="AR6993" s="55">
        <v>28500</v>
      </c>
      <c r="AS6993" s="78">
        <f t="shared" si="113"/>
        <v>0.18682456140350878</v>
      </c>
    </row>
    <row r="6994" spans="39:45">
      <c r="AM6994" s="54">
        <v>2019</v>
      </c>
      <c r="AN6994" s="54" t="s">
        <v>191</v>
      </c>
      <c r="AO6994" s="54">
        <v>19</v>
      </c>
      <c r="AP6994" s="54">
        <v>8</v>
      </c>
      <c r="AQ6994" s="54">
        <v>17090.5</v>
      </c>
      <c r="AR6994" s="55">
        <v>28500</v>
      </c>
      <c r="AS6994" s="78">
        <f t="shared" si="113"/>
        <v>0.59966666666666668</v>
      </c>
    </row>
    <row r="6995" spans="39:45">
      <c r="AM6995" s="55">
        <v>2019</v>
      </c>
      <c r="AN6995" s="55" t="s">
        <v>191</v>
      </c>
      <c r="AO6995" s="55">
        <v>19</v>
      </c>
      <c r="AP6995" s="55">
        <v>9</v>
      </c>
      <c r="AQ6995" s="55">
        <v>25837</v>
      </c>
      <c r="AR6995" s="55">
        <v>28500</v>
      </c>
      <c r="AS6995" s="78">
        <f t="shared" si="113"/>
        <v>0.9065614035087719</v>
      </c>
    </row>
    <row r="6996" spans="39:45">
      <c r="AM6996" s="54">
        <v>2019</v>
      </c>
      <c r="AN6996" s="54" t="s">
        <v>191</v>
      </c>
      <c r="AO6996" s="54">
        <v>19</v>
      </c>
      <c r="AP6996" s="54">
        <v>10</v>
      </c>
      <c r="AQ6996" s="54">
        <v>32440.5</v>
      </c>
      <c r="AR6996" s="55">
        <v>28500</v>
      </c>
      <c r="AS6996" s="78">
        <f t="shared" si="113"/>
        <v>1.1382631578947369</v>
      </c>
    </row>
    <row r="6997" spans="39:45">
      <c r="AM6997" s="55">
        <v>2019</v>
      </c>
      <c r="AN6997" s="55" t="s">
        <v>191</v>
      </c>
      <c r="AO6997" s="55">
        <v>19</v>
      </c>
      <c r="AP6997" s="55">
        <v>11</v>
      </c>
      <c r="AQ6997" s="55">
        <v>30980.5</v>
      </c>
      <c r="AR6997" s="55">
        <v>28500</v>
      </c>
      <c r="AS6997" s="78">
        <f t="shared" si="113"/>
        <v>1.0870350877192982</v>
      </c>
    </row>
    <row r="6998" spans="39:45">
      <c r="AM6998" s="54">
        <v>2019</v>
      </c>
      <c r="AN6998" s="54" t="s">
        <v>191</v>
      </c>
      <c r="AO6998" s="54">
        <v>19</v>
      </c>
      <c r="AP6998" s="54">
        <v>12</v>
      </c>
      <c r="AQ6998" s="54">
        <v>13074.5</v>
      </c>
      <c r="AR6998" s="55">
        <v>28500</v>
      </c>
      <c r="AS6998" s="78">
        <f t="shared" si="113"/>
        <v>0.4587543859649123</v>
      </c>
    </row>
    <row r="6999" spans="39:45">
      <c r="AM6999" s="55">
        <v>2019</v>
      </c>
      <c r="AN6999" s="55" t="s">
        <v>191</v>
      </c>
      <c r="AO6999" s="55">
        <v>19</v>
      </c>
      <c r="AP6999" s="55">
        <v>13</v>
      </c>
      <c r="AQ6999" s="55">
        <v>20081</v>
      </c>
      <c r="AR6999" s="55">
        <v>28500</v>
      </c>
      <c r="AS6999" s="78">
        <f t="shared" si="113"/>
        <v>0.70459649122807022</v>
      </c>
    </row>
    <row r="7000" spans="39:45">
      <c r="AM7000" s="54">
        <v>2019</v>
      </c>
      <c r="AN7000" s="54" t="s">
        <v>191</v>
      </c>
      <c r="AO7000" s="54">
        <v>19</v>
      </c>
      <c r="AP7000" s="54">
        <v>14</v>
      </c>
      <c r="AQ7000" s="54">
        <v>22967</v>
      </c>
      <c r="AR7000" s="55">
        <v>28500</v>
      </c>
      <c r="AS7000" s="78">
        <f t="shared" si="113"/>
        <v>0.80585964912280705</v>
      </c>
    </row>
    <row r="7001" spans="39:45">
      <c r="AM7001" s="55">
        <v>2019</v>
      </c>
      <c r="AN7001" s="55" t="s">
        <v>191</v>
      </c>
      <c r="AO7001" s="55">
        <v>19</v>
      </c>
      <c r="AP7001" s="55">
        <v>15</v>
      </c>
      <c r="AQ7001" s="55">
        <v>13907.5</v>
      </c>
      <c r="AR7001" s="55">
        <v>28500</v>
      </c>
      <c r="AS7001" s="78">
        <f t="shared" si="113"/>
        <v>0.48798245614035085</v>
      </c>
    </row>
    <row r="7002" spans="39:45">
      <c r="AM7002" s="54">
        <v>2019</v>
      </c>
      <c r="AN7002" s="54" t="s">
        <v>191</v>
      </c>
      <c r="AO7002" s="54">
        <v>19</v>
      </c>
      <c r="AP7002" s="54">
        <v>16</v>
      </c>
      <c r="AQ7002" s="54">
        <v>1481</v>
      </c>
      <c r="AR7002" s="55">
        <v>28500</v>
      </c>
      <c r="AS7002" s="78">
        <f t="shared" si="113"/>
        <v>5.1964912280701755E-2</v>
      </c>
    </row>
    <row r="7003" spans="39:45">
      <c r="AM7003" s="55">
        <v>2019</v>
      </c>
      <c r="AN7003" s="55" t="s">
        <v>191</v>
      </c>
      <c r="AO7003" s="55">
        <v>19</v>
      </c>
      <c r="AP7003" s="55">
        <v>17</v>
      </c>
      <c r="AQ7003" s="55">
        <v>0</v>
      </c>
      <c r="AR7003" s="55">
        <v>28500</v>
      </c>
      <c r="AS7003" s="78">
        <f t="shared" si="113"/>
        <v>0</v>
      </c>
    </row>
    <row r="7004" spans="39:45">
      <c r="AM7004" s="54">
        <v>2019</v>
      </c>
      <c r="AN7004" s="54" t="s">
        <v>191</v>
      </c>
      <c r="AO7004" s="54">
        <v>19</v>
      </c>
      <c r="AP7004" s="54">
        <v>18</v>
      </c>
      <c r="AQ7004" s="54">
        <v>0</v>
      </c>
      <c r="AR7004" s="55">
        <v>28500</v>
      </c>
      <c r="AS7004" s="78">
        <f t="shared" si="113"/>
        <v>0</v>
      </c>
    </row>
    <row r="7005" spans="39:45">
      <c r="AM7005" s="55">
        <v>2019</v>
      </c>
      <c r="AN7005" s="55" t="s">
        <v>191</v>
      </c>
      <c r="AO7005" s="55">
        <v>19</v>
      </c>
      <c r="AP7005" s="55">
        <v>19</v>
      </c>
      <c r="AQ7005" s="55">
        <v>0</v>
      </c>
      <c r="AR7005" s="55">
        <v>28500</v>
      </c>
      <c r="AS7005" s="78">
        <f t="shared" si="113"/>
        <v>0</v>
      </c>
    </row>
    <row r="7006" spans="39:45">
      <c r="AM7006" s="54">
        <v>2019</v>
      </c>
      <c r="AN7006" s="54" t="s">
        <v>191</v>
      </c>
      <c r="AO7006" s="54">
        <v>19</v>
      </c>
      <c r="AP7006" s="54">
        <v>20</v>
      </c>
      <c r="AQ7006" s="54">
        <v>0</v>
      </c>
      <c r="AR7006" s="55">
        <v>28500</v>
      </c>
      <c r="AS7006" s="78">
        <f t="shared" si="113"/>
        <v>0</v>
      </c>
    </row>
    <row r="7007" spans="39:45">
      <c r="AM7007" s="55">
        <v>2019</v>
      </c>
      <c r="AN7007" s="55" t="s">
        <v>191</v>
      </c>
      <c r="AO7007" s="55">
        <v>19</v>
      </c>
      <c r="AP7007" s="55">
        <v>21</v>
      </c>
      <c r="AQ7007" s="55">
        <v>0</v>
      </c>
      <c r="AR7007" s="55">
        <v>28500</v>
      </c>
      <c r="AS7007" s="78">
        <f t="shared" si="113"/>
        <v>0</v>
      </c>
    </row>
    <row r="7008" spans="39:45">
      <c r="AM7008" s="54">
        <v>2019</v>
      </c>
      <c r="AN7008" s="54" t="s">
        <v>191</v>
      </c>
      <c r="AO7008" s="54">
        <v>19</v>
      </c>
      <c r="AP7008" s="54">
        <v>22</v>
      </c>
      <c r="AQ7008" s="54">
        <v>0</v>
      </c>
      <c r="AR7008" s="55">
        <v>28500</v>
      </c>
      <c r="AS7008" s="78">
        <f t="shared" si="113"/>
        <v>0</v>
      </c>
    </row>
    <row r="7009" spans="39:45">
      <c r="AM7009" s="55">
        <v>2019</v>
      </c>
      <c r="AN7009" s="55" t="s">
        <v>191</v>
      </c>
      <c r="AO7009" s="55">
        <v>19</v>
      </c>
      <c r="AP7009" s="55">
        <v>23</v>
      </c>
      <c r="AQ7009" s="55">
        <v>0</v>
      </c>
      <c r="AR7009" s="55">
        <v>28500</v>
      </c>
      <c r="AS7009" s="78">
        <f t="shared" si="113"/>
        <v>0</v>
      </c>
    </row>
    <row r="7010" spans="39:45">
      <c r="AM7010" s="54">
        <v>2019</v>
      </c>
      <c r="AN7010" s="54" t="s">
        <v>191</v>
      </c>
      <c r="AO7010" s="54">
        <v>20</v>
      </c>
      <c r="AP7010" s="54">
        <v>24</v>
      </c>
      <c r="AQ7010" s="54">
        <v>0</v>
      </c>
      <c r="AR7010" s="55">
        <v>28500</v>
      </c>
      <c r="AS7010" s="78">
        <f t="shared" si="113"/>
        <v>0</v>
      </c>
    </row>
    <row r="7011" spans="39:45">
      <c r="AM7011" s="55">
        <v>2019</v>
      </c>
      <c r="AN7011" s="55" t="s">
        <v>191</v>
      </c>
      <c r="AO7011" s="55">
        <v>20</v>
      </c>
      <c r="AP7011" s="55">
        <v>1</v>
      </c>
      <c r="AQ7011" s="55">
        <v>0</v>
      </c>
      <c r="AR7011" s="55">
        <v>28500</v>
      </c>
      <c r="AS7011" s="78">
        <f t="shared" si="113"/>
        <v>0</v>
      </c>
    </row>
    <row r="7012" spans="39:45">
      <c r="AM7012" s="54">
        <v>2019</v>
      </c>
      <c r="AN7012" s="54" t="s">
        <v>191</v>
      </c>
      <c r="AO7012" s="54">
        <v>20</v>
      </c>
      <c r="AP7012" s="54">
        <v>2</v>
      </c>
      <c r="AQ7012" s="54">
        <v>0</v>
      </c>
      <c r="AR7012" s="55">
        <v>28500</v>
      </c>
      <c r="AS7012" s="78">
        <f t="shared" si="113"/>
        <v>0</v>
      </c>
    </row>
    <row r="7013" spans="39:45">
      <c r="AM7013" s="55">
        <v>2019</v>
      </c>
      <c r="AN7013" s="55" t="s">
        <v>191</v>
      </c>
      <c r="AO7013" s="55">
        <v>20</v>
      </c>
      <c r="AP7013" s="55">
        <v>3</v>
      </c>
      <c r="AQ7013" s="55">
        <v>0</v>
      </c>
      <c r="AR7013" s="55">
        <v>28500</v>
      </c>
      <c r="AS7013" s="78">
        <f t="shared" si="113"/>
        <v>0</v>
      </c>
    </row>
    <row r="7014" spans="39:45">
      <c r="AM7014" s="54">
        <v>2019</v>
      </c>
      <c r="AN7014" s="54" t="s">
        <v>191</v>
      </c>
      <c r="AO7014" s="54">
        <v>20</v>
      </c>
      <c r="AP7014" s="54">
        <v>4</v>
      </c>
      <c r="AQ7014" s="54">
        <v>0</v>
      </c>
      <c r="AR7014" s="55">
        <v>28500</v>
      </c>
      <c r="AS7014" s="78">
        <f t="shared" si="113"/>
        <v>0</v>
      </c>
    </row>
    <row r="7015" spans="39:45">
      <c r="AM7015" s="55">
        <v>2019</v>
      </c>
      <c r="AN7015" s="55" t="s">
        <v>191</v>
      </c>
      <c r="AO7015" s="55">
        <v>20</v>
      </c>
      <c r="AP7015" s="55">
        <v>5</v>
      </c>
      <c r="AQ7015" s="55">
        <v>0</v>
      </c>
      <c r="AR7015" s="55">
        <v>28500</v>
      </c>
      <c r="AS7015" s="78">
        <f t="shared" si="113"/>
        <v>0</v>
      </c>
    </row>
    <row r="7016" spans="39:45">
      <c r="AM7016" s="54">
        <v>2019</v>
      </c>
      <c r="AN7016" s="54" t="s">
        <v>191</v>
      </c>
      <c r="AO7016" s="54">
        <v>20</v>
      </c>
      <c r="AP7016" s="54">
        <v>6</v>
      </c>
      <c r="AQ7016" s="54">
        <v>0</v>
      </c>
      <c r="AR7016" s="55">
        <v>28500</v>
      </c>
      <c r="AS7016" s="78">
        <f t="shared" si="113"/>
        <v>0</v>
      </c>
    </row>
    <row r="7017" spans="39:45">
      <c r="AM7017" s="55">
        <v>2019</v>
      </c>
      <c r="AN7017" s="55" t="s">
        <v>191</v>
      </c>
      <c r="AO7017" s="55">
        <v>20</v>
      </c>
      <c r="AP7017" s="55">
        <v>7</v>
      </c>
      <c r="AQ7017" s="55">
        <v>3869.5</v>
      </c>
      <c r="AR7017" s="55">
        <v>28500</v>
      </c>
      <c r="AS7017" s="78">
        <f t="shared" si="113"/>
        <v>0.1357719298245614</v>
      </c>
    </row>
    <row r="7018" spans="39:45">
      <c r="AM7018" s="54">
        <v>2019</v>
      </c>
      <c r="AN7018" s="54" t="s">
        <v>191</v>
      </c>
      <c r="AO7018" s="54">
        <v>20</v>
      </c>
      <c r="AP7018" s="54">
        <v>8</v>
      </c>
      <c r="AQ7018" s="54">
        <v>18566.5</v>
      </c>
      <c r="AR7018" s="55">
        <v>28500</v>
      </c>
      <c r="AS7018" s="78">
        <f t="shared" si="113"/>
        <v>0.65145614035087718</v>
      </c>
    </row>
    <row r="7019" spans="39:45">
      <c r="AM7019" s="55">
        <v>2019</v>
      </c>
      <c r="AN7019" s="55" t="s">
        <v>191</v>
      </c>
      <c r="AO7019" s="55">
        <v>20</v>
      </c>
      <c r="AP7019" s="55">
        <v>9</v>
      </c>
      <c r="AQ7019" s="55">
        <v>26160.5</v>
      </c>
      <c r="AR7019" s="55">
        <v>28500</v>
      </c>
      <c r="AS7019" s="78">
        <f t="shared" si="113"/>
        <v>0.91791228070175435</v>
      </c>
    </row>
    <row r="7020" spans="39:45">
      <c r="AM7020" s="54">
        <v>2019</v>
      </c>
      <c r="AN7020" s="54" t="s">
        <v>191</v>
      </c>
      <c r="AO7020" s="54">
        <v>20</v>
      </c>
      <c r="AP7020" s="54">
        <v>10</v>
      </c>
      <c r="AQ7020" s="54">
        <v>24845.5</v>
      </c>
      <c r="AR7020" s="55">
        <v>28500</v>
      </c>
      <c r="AS7020" s="78">
        <f t="shared" si="113"/>
        <v>0.87177192982456142</v>
      </c>
    </row>
    <row r="7021" spans="39:45">
      <c r="AM7021" s="55">
        <v>2019</v>
      </c>
      <c r="AN7021" s="55" t="s">
        <v>191</v>
      </c>
      <c r="AO7021" s="55">
        <v>20</v>
      </c>
      <c r="AP7021" s="55">
        <v>11</v>
      </c>
      <c r="AQ7021" s="55">
        <v>16451.5</v>
      </c>
      <c r="AR7021" s="55">
        <v>28500</v>
      </c>
      <c r="AS7021" s="78">
        <f t="shared" si="113"/>
        <v>0.57724561403508767</v>
      </c>
    </row>
    <row r="7022" spans="39:45">
      <c r="AM7022" s="54">
        <v>2019</v>
      </c>
      <c r="AN7022" s="54" t="s">
        <v>191</v>
      </c>
      <c r="AO7022" s="54">
        <v>20</v>
      </c>
      <c r="AP7022" s="54">
        <v>12</v>
      </c>
      <c r="AQ7022" s="54">
        <v>11593</v>
      </c>
      <c r="AR7022" s="55">
        <v>28500</v>
      </c>
      <c r="AS7022" s="78">
        <f t="shared" si="113"/>
        <v>0.4067719298245614</v>
      </c>
    </row>
    <row r="7023" spans="39:45">
      <c r="AM7023" s="55">
        <v>2019</v>
      </c>
      <c r="AN7023" s="55" t="s">
        <v>191</v>
      </c>
      <c r="AO7023" s="55">
        <v>20</v>
      </c>
      <c r="AP7023" s="55">
        <v>13</v>
      </c>
      <c r="AQ7023" s="55">
        <v>8997</v>
      </c>
      <c r="AR7023" s="55">
        <v>28500</v>
      </c>
      <c r="AS7023" s="78">
        <f t="shared" si="113"/>
        <v>0.31568421052631579</v>
      </c>
    </row>
    <row r="7024" spans="39:45">
      <c r="AM7024" s="54">
        <v>2019</v>
      </c>
      <c r="AN7024" s="54" t="s">
        <v>191</v>
      </c>
      <c r="AO7024" s="54">
        <v>20</v>
      </c>
      <c r="AP7024" s="54">
        <v>14</v>
      </c>
      <c r="AQ7024" s="54">
        <v>2027</v>
      </c>
      <c r="AR7024" s="55">
        <v>28500</v>
      </c>
      <c r="AS7024" s="78">
        <f t="shared" si="113"/>
        <v>7.1122807017543865E-2</v>
      </c>
    </row>
    <row r="7025" spans="39:45">
      <c r="AM7025" s="55">
        <v>2019</v>
      </c>
      <c r="AN7025" s="55" t="s">
        <v>191</v>
      </c>
      <c r="AO7025" s="55">
        <v>20</v>
      </c>
      <c r="AP7025" s="55">
        <v>15</v>
      </c>
      <c r="AQ7025" s="55">
        <v>2065</v>
      </c>
      <c r="AR7025" s="55">
        <v>28500</v>
      </c>
      <c r="AS7025" s="78">
        <f t="shared" si="113"/>
        <v>7.2456140350877191E-2</v>
      </c>
    </row>
    <row r="7026" spans="39:45">
      <c r="AM7026" s="54">
        <v>2019</v>
      </c>
      <c r="AN7026" s="54" t="s">
        <v>191</v>
      </c>
      <c r="AO7026" s="54">
        <v>20</v>
      </c>
      <c r="AP7026" s="54">
        <v>16</v>
      </c>
      <c r="AQ7026" s="54">
        <v>1448</v>
      </c>
      <c r="AR7026" s="55">
        <v>28500</v>
      </c>
      <c r="AS7026" s="78">
        <f t="shared" si="113"/>
        <v>5.0807017543859648E-2</v>
      </c>
    </row>
    <row r="7027" spans="39:45">
      <c r="AM7027" s="55">
        <v>2019</v>
      </c>
      <c r="AN7027" s="55" t="s">
        <v>191</v>
      </c>
      <c r="AO7027" s="55">
        <v>20</v>
      </c>
      <c r="AP7027" s="55">
        <v>17</v>
      </c>
      <c r="AQ7027" s="55">
        <v>0</v>
      </c>
      <c r="AR7027" s="55">
        <v>28500</v>
      </c>
      <c r="AS7027" s="78">
        <f t="shared" si="113"/>
        <v>0</v>
      </c>
    </row>
    <row r="7028" spans="39:45">
      <c r="AM7028" s="54">
        <v>2019</v>
      </c>
      <c r="AN7028" s="54" t="s">
        <v>191</v>
      </c>
      <c r="AO7028" s="54">
        <v>20</v>
      </c>
      <c r="AP7028" s="54">
        <v>18</v>
      </c>
      <c r="AQ7028" s="54">
        <v>0</v>
      </c>
      <c r="AR7028" s="55">
        <v>28500</v>
      </c>
      <c r="AS7028" s="78">
        <f t="shared" si="113"/>
        <v>0</v>
      </c>
    </row>
    <row r="7029" spans="39:45">
      <c r="AM7029" s="55">
        <v>2019</v>
      </c>
      <c r="AN7029" s="55" t="s">
        <v>191</v>
      </c>
      <c r="AO7029" s="55">
        <v>20</v>
      </c>
      <c r="AP7029" s="55">
        <v>19</v>
      </c>
      <c r="AQ7029" s="55">
        <v>0</v>
      </c>
      <c r="AR7029" s="55">
        <v>28500</v>
      </c>
      <c r="AS7029" s="78">
        <f t="shared" si="113"/>
        <v>0</v>
      </c>
    </row>
    <row r="7030" spans="39:45">
      <c r="AM7030" s="54">
        <v>2019</v>
      </c>
      <c r="AN7030" s="54" t="s">
        <v>191</v>
      </c>
      <c r="AO7030" s="54">
        <v>20</v>
      </c>
      <c r="AP7030" s="54">
        <v>20</v>
      </c>
      <c r="AQ7030" s="54">
        <v>0</v>
      </c>
      <c r="AR7030" s="55">
        <v>28500</v>
      </c>
      <c r="AS7030" s="78">
        <f t="shared" si="113"/>
        <v>0</v>
      </c>
    </row>
    <row r="7031" spans="39:45">
      <c r="AM7031" s="55">
        <v>2019</v>
      </c>
      <c r="AN7031" s="55" t="s">
        <v>191</v>
      </c>
      <c r="AO7031" s="55">
        <v>20</v>
      </c>
      <c r="AP7031" s="55">
        <v>21</v>
      </c>
      <c r="AQ7031" s="55">
        <v>0</v>
      </c>
      <c r="AR7031" s="55">
        <v>28500</v>
      </c>
      <c r="AS7031" s="78">
        <f t="shared" si="113"/>
        <v>0</v>
      </c>
    </row>
    <row r="7032" spans="39:45">
      <c r="AM7032" s="54">
        <v>2019</v>
      </c>
      <c r="AN7032" s="54" t="s">
        <v>191</v>
      </c>
      <c r="AO7032" s="54">
        <v>20</v>
      </c>
      <c r="AP7032" s="54">
        <v>22</v>
      </c>
      <c r="AQ7032" s="54">
        <v>0</v>
      </c>
      <c r="AR7032" s="55">
        <v>28500</v>
      </c>
      <c r="AS7032" s="78">
        <f t="shared" si="113"/>
        <v>0</v>
      </c>
    </row>
    <row r="7033" spans="39:45">
      <c r="AM7033" s="55">
        <v>2019</v>
      </c>
      <c r="AN7033" s="55" t="s">
        <v>191</v>
      </c>
      <c r="AO7033" s="55">
        <v>20</v>
      </c>
      <c r="AP7033" s="55">
        <v>23</v>
      </c>
      <c r="AQ7033" s="55">
        <v>0</v>
      </c>
      <c r="AR7033" s="55">
        <v>28500</v>
      </c>
      <c r="AS7033" s="78">
        <f t="shared" si="113"/>
        <v>0</v>
      </c>
    </row>
    <row r="7034" spans="39:45">
      <c r="AM7034" s="54">
        <v>2019</v>
      </c>
      <c r="AN7034" s="54" t="s">
        <v>191</v>
      </c>
      <c r="AO7034" s="54">
        <v>21</v>
      </c>
      <c r="AP7034" s="54">
        <v>24</v>
      </c>
      <c r="AQ7034" s="54">
        <v>0</v>
      </c>
      <c r="AR7034" s="55">
        <v>28500</v>
      </c>
      <c r="AS7034" s="78">
        <f t="shared" si="113"/>
        <v>0</v>
      </c>
    </row>
    <row r="7035" spans="39:45">
      <c r="AM7035" s="55">
        <v>2019</v>
      </c>
      <c r="AN7035" s="55" t="s">
        <v>191</v>
      </c>
      <c r="AO7035" s="55">
        <v>21</v>
      </c>
      <c r="AP7035" s="55">
        <v>1</v>
      </c>
      <c r="AQ7035" s="55">
        <v>0</v>
      </c>
      <c r="AR7035" s="55">
        <v>28500</v>
      </c>
      <c r="AS7035" s="78">
        <f t="shared" si="113"/>
        <v>0</v>
      </c>
    </row>
    <row r="7036" spans="39:45">
      <c r="AM7036" s="54">
        <v>2019</v>
      </c>
      <c r="AN7036" s="54" t="s">
        <v>191</v>
      </c>
      <c r="AO7036" s="54">
        <v>21</v>
      </c>
      <c r="AP7036" s="54">
        <v>2</v>
      </c>
      <c r="AQ7036" s="54">
        <v>0</v>
      </c>
      <c r="AR7036" s="55">
        <v>28500</v>
      </c>
      <c r="AS7036" s="78">
        <f t="shared" si="113"/>
        <v>0</v>
      </c>
    </row>
    <row r="7037" spans="39:45">
      <c r="AM7037" s="55">
        <v>2019</v>
      </c>
      <c r="AN7037" s="55" t="s">
        <v>191</v>
      </c>
      <c r="AO7037" s="55">
        <v>21</v>
      </c>
      <c r="AP7037" s="55">
        <v>3</v>
      </c>
      <c r="AQ7037" s="55">
        <v>0</v>
      </c>
      <c r="AR7037" s="55">
        <v>28500</v>
      </c>
      <c r="AS7037" s="78">
        <f t="shared" si="113"/>
        <v>0</v>
      </c>
    </row>
    <row r="7038" spans="39:45">
      <c r="AM7038" s="54">
        <v>2019</v>
      </c>
      <c r="AN7038" s="54" t="s">
        <v>191</v>
      </c>
      <c r="AO7038" s="54">
        <v>21</v>
      </c>
      <c r="AP7038" s="54">
        <v>4</v>
      </c>
      <c r="AQ7038" s="54">
        <v>0</v>
      </c>
      <c r="AR7038" s="55">
        <v>28500</v>
      </c>
      <c r="AS7038" s="78">
        <f t="shared" si="113"/>
        <v>0</v>
      </c>
    </row>
    <row r="7039" spans="39:45">
      <c r="AM7039" s="55">
        <v>2019</v>
      </c>
      <c r="AN7039" s="55" t="s">
        <v>191</v>
      </c>
      <c r="AO7039" s="55">
        <v>21</v>
      </c>
      <c r="AP7039" s="55">
        <v>5</v>
      </c>
      <c r="AQ7039" s="55">
        <v>0</v>
      </c>
      <c r="AR7039" s="55">
        <v>28500</v>
      </c>
      <c r="AS7039" s="78">
        <f t="shared" si="113"/>
        <v>0</v>
      </c>
    </row>
    <row r="7040" spans="39:45">
      <c r="AM7040" s="54">
        <v>2019</v>
      </c>
      <c r="AN7040" s="54" t="s">
        <v>191</v>
      </c>
      <c r="AO7040" s="54">
        <v>21</v>
      </c>
      <c r="AP7040" s="54">
        <v>6</v>
      </c>
      <c r="AQ7040" s="54">
        <v>0</v>
      </c>
      <c r="AR7040" s="55">
        <v>28500</v>
      </c>
      <c r="AS7040" s="78">
        <f t="shared" si="113"/>
        <v>0</v>
      </c>
    </row>
    <row r="7041" spans="39:45">
      <c r="AM7041" s="55">
        <v>2019</v>
      </c>
      <c r="AN7041" s="55" t="s">
        <v>191</v>
      </c>
      <c r="AO7041" s="55">
        <v>21</v>
      </c>
      <c r="AP7041" s="55">
        <v>7</v>
      </c>
      <c r="AQ7041" s="55">
        <v>1164.5</v>
      </c>
      <c r="AR7041" s="55">
        <v>28500</v>
      </c>
      <c r="AS7041" s="78">
        <f t="shared" si="113"/>
        <v>4.0859649122807019E-2</v>
      </c>
    </row>
    <row r="7042" spans="39:45">
      <c r="AM7042" s="54">
        <v>2019</v>
      </c>
      <c r="AN7042" s="54" t="s">
        <v>191</v>
      </c>
      <c r="AO7042" s="54">
        <v>21</v>
      </c>
      <c r="AP7042" s="54">
        <v>8</v>
      </c>
      <c r="AQ7042" s="54">
        <v>1425</v>
      </c>
      <c r="AR7042" s="55">
        <v>28500</v>
      </c>
      <c r="AS7042" s="78">
        <f t="shared" ref="AS7042:AS7105" si="114">AQ7042/AR7042</f>
        <v>0.05</v>
      </c>
    </row>
    <row r="7043" spans="39:45">
      <c r="AM7043" s="55">
        <v>2019</v>
      </c>
      <c r="AN7043" s="55" t="s">
        <v>191</v>
      </c>
      <c r="AO7043" s="55">
        <v>21</v>
      </c>
      <c r="AP7043" s="55">
        <v>9</v>
      </c>
      <c r="AQ7043" s="55">
        <v>8828</v>
      </c>
      <c r="AR7043" s="55">
        <v>28500</v>
      </c>
      <c r="AS7043" s="78">
        <f t="shared" si="114"/>
        <v>0.30975438596491228</v>
      </c>
    </row>
    <row r="7044" spans="39:45">
      <c r="AM7044" s="54">
        <v>2019</v>
      </c>
      <c r="AN7044" s="54" t="s">
        <v>191</v>
      </c>
      <c r="AO7044" s="54">
        <v>21</v>
      </c>
      <c r="AP7044" s="54">
        <v>10</v>
      </c>
      <c r="AQ7044" s="54">
        <v>10480</v>
      </c>
      <c r="AR7044" s="55">
        <v>28500</v>
      </c>
      <c r="AS7044" s="78">
        <f t="shared" si="114"/>
        <v>0.36771929824561406</v>
      </c>
    </row>
    <row r="7045" spans="39:45">
      <c r="AM7045" s="55">
        <v>2019</v>
      </c>
      <c r="AN7045" s="55" t="s">
        <v>191</v>
      </c>
      <c r="AO7045" s="55">
        <v>21</v>
      </c>
      <c r="AP7045" s="55">
        <v>11</v>
      </c>
      <c r="AQ7045" s="55">
        <v>4487.5</v>
      </c>
      <c r="AR7045" s="55">
        <v>28500</v>
      </c>
      <c r="AS7045" s="78">
        <f t="shared" si="114"/>
        <v>0.15745614035087718</v>
      </c>
    </row>
    <row r="7046" spans="39:45">
      <c r="AM7046" s="54">
        <v>2019</v>
      </c>
      <c r="AN7046" s="54" t="s">
        <v>191</v>
      </c>
      <c r="AO7046" s="54">
        <v>21</v>
      </c>
      <c r="AP7046" s="54">
        <v>12</v>
      </c>
      <c r="AQ7046" s="54">
        <v>5330.5</v>
      </c>
      <c r="AR7046" s="55">
        <v>28500</v>
      </c>
      <c r="AS7046" s="78">
        <f t="shared" si="114"/>
        <v>0.18703508771929825</v>
      </c>
    </row>
    <row r="7047" spans="39:45">
      <c r="AM7047" s="55">
        <v>2019</v>
      </c>
      <c r="AN7047" s="55" t="s">
        <v>191</v>
      </c>
      <c r="AO7047" s="55">
        <v>21</v>
      </c>
      <c r="AP7047" s="55">
        <v>13</v>
      </c>
      <c r="AQ7047" s="55">
        <v>5323</v>
      </c>
      <c r="AR7047" s="55">
        <v>28500</v>
      </c>
      <c r="AS7047" s="78">
        <f t="shared" si="114"/>
        <v>0.18677192982456139</v>
      </c>
    </row>
    <row r="7048" spans="39:45">
      <c r="AM7048" s="54">
        <v>2019</v>
      </c>
      <c r="AN7048" s="54" t="s">
        <v>191</v>
      </c>
      <c r="AO7048" s="54">
        <v>21</v>
      </c>
      <c r="AP7048" s="54">
        <v>14</v>
      </c>
      <c r="AQ7048" s="54">
        <v>1809.5</v>
      </c>
      <c r="AR7048" s="55">
        <v>28500</v>
      </c>
      <c r="AS7048" s="78">
        <f t="shared" si="114"/>
        <v>6.3491228070175432E-2</v>
      </c>
    </row>
    <row r="7049" spans="39:45">
      <c r="AM7049" s="55">
        <v>2019</v>
      </c>
      <c r="AN7049" s="55" t="s">
        <v>191</v>
      </c>
      <c r="AO7049" s="55">
        <v>21</v>
      </c>
      <c r="AP7049" s="55">
        <v>15</v>
      </c>
      <c r="AQ7049" s="55">
        <v>386</v>
      </c>
      <c r="AR7049" s="55">
        <v>28500</v>
      </c>
      <c r="AS7049" s="78">
        <f t="shared" si="114"/>
        <v>1.3543859649122808E-2</v>
      </c>
    </row>
    <row r="7050" spans="39:45">
      <c r="AM7050" s="54">
        <v>2019</v>
      </c>
      <c r="AN7050" s="54" t="s">
        <v>191</v>
      </c>
      <c r="AO7050" s="54">
        <v>21</v>
      </c>
      <c r="AP7050" s="54">
        <v>16</v>
      </c>
      <c r="AQ7050" s="54">
        <v>733.5</v>
      </c>
      <c r="AR7050" s="55">
        <v>28500</v>
      </c>
      <c r="AS7050" s="78">
        <f t="shared" si="114"/>
        <v>2.5736842105263159E-2</v>
      </c>
    </row>
    <row r="7051" spans="39:45">
      <c r="AM7051" s="55">
        <v>2019</v>
      </c>
      <c r="AN7051" s="55" t="s">
        <v>191</v>
      </c>
      <c r="AO7051" s="55">
        <v>21</v>
      </c>
      <c r="AP7051" s="55">
        <v>17</v>
      </c>
      <c r="AQ7051" s="55">
        <v>0</v>
      </c>
      <c r="AR7051" s="55">
        <v>28500</v>
      </c>
      <c r="AS7051" s="78">
        <f t="shared" si="114"/>
        <v>0</v>
      </c>
    </row>
    <row r="7052" spans="39:45">
      <c r="AM7052" s="54">
        <v>2019</v>
      </c>
      <c r="AN7052" s="54" t="s">
        <v>191</v>
      </c>
      <c r="AO7052" s="54">
        <v>21</v>
      </c>
      <c r="AP7052" s="54">
        <v>18</v>
      </c>
      <c r="AQ7052" s="54">
        <v>0</v>
      </c>
      <c r="AR7052" s="55">
        <v>28500</v>
      </c>
      <c r="AS7052" s="78">
        <f t="shared" si="114"/>
        <v>0</v>
      </c>
    </row>
    <row r="7053" spans="39:45">
      <c r="AM7053" s="55">
        <v>2019</v>
      </c>
      <c r="AN7053" s="55" t="s">
        <v>191</v>
      </c>
      <c r="AO7053" s="55">
        <v>21</v>
      </c>
      <c r="AP7053" s="55">
        <v>19</v>
      </c>
      <c r="AQ7053" s="55">
        <v>0</v>
      </c>
      <c r="AR7053" s="55">
        <v>28500</v>
      </c>
      <c r="AS7053" s="78">
        <f t="shared" si="114"/>
        <v>0</v>
      </c>
    </row>
    <row r="7054" spans="39:45">
      <c r="AM7054" s="54">
        <v>2019</v>
      </c>
      <c r="AN7054" s="54" t="s">
        <v>191</v>
      </c>
      <c r="AO7054" s="54">
        <v>21</v>
      </c>
      <c r="AP7054" s="54">
        <v>20</v>
      </c>
      <c r="AQ7054" s="54">
        <v>0</v>
      </c>
      <c r="AR7054" s="55">
        <v>28500</v>
      </c>
      <c r="AS7054" s="78">
        <f t="shared" si="114"/>
        <v>0</v>
      </c>
    </row>
    <row r="7055" spans="39:45">
      <c r="AM7055" s="55">
        <v>2019</v>
      </c>
      <c r="AN7055" s="55" t="s">
        <v>191</v>
      </c>
      <c r="AO7055" s="55">
        <v>21</v>
      </c>
      <c r="AP7055" s="55">
        <v>21</v>
      </c>
      <c r="AQ7055" s="55">
        <v>0</v>
      </c>
      <c r="AR7055" s="55">
        <v>28500</v>
      </c>
      <c r="AS7055" s="78">
        <f t="shared" si="114"/>
        <v>0</v>
      </c>
    </row>
    <row r="7056" spans="39:45">
      <c r="AM7056" s="54">
        <v>2019</v>
      </c>
      <c r="AN7056" s="54" t="s">
        <v>191</v>
      </c>
      <c r="AO7056" s="54">
        <v>21</v>
      </c>
      <c r="AP7056" s="54">
        <v>22</v>
      </c>
      <c r="AQ7056" s="54">
        <v>0</v>
      </c>
      <c r="AR7056" s="55">
        <v>28500</v>
      </c>
      <c r="AS7056" s="78">
        <f t="shared" si="114"/>
        <v>0</v>
      </c>
    </row>
    <row r="7057" spans="39:45">
      <c r="AM7057" s="55">
        <v>2019</v>
      </c>
      <c r="AN7057" s="55" t="s">
        <v>191</v>
      </c>
      <c r="AO7057" s="55">
        <v>21</v>
      </c>
      <c r="AP7057" s="55">
        <v>23</v>
      </c>
      <c r="AQ7057" s="55">
        <v>0</v>
      </c>
      <c r="AR7057" s="55">
        <v>28500</v>
      </c>
      <c r="AS7057" s="78">
        <f t="shared" si="114"/>
        <v>0</v>
      </c>
    </row>
    <row r="7058" spans="39:45">
      <c r="AM7058" s="54">
        <v>2019</v>
      </c>
      <c r="AN7058" s="54" t="s">
        <v>191</v>
      </c>
      <c r="AO7058" s="54">
        <v>22</v>
      </c>
      <c r="AP7058" s="54">
        <v>24</v>
      </c>
      <c r="AQ7058" s="54">
        <v>0</v>
      </c>
      <c r="AR7058" s="55">
        <v>28500</v>
      </c>
      <c r="AS7058" s="78">
        <f t="shared" si="114"/>
        <v>0</v>
      </c>
    </row>
    <row r="7059" spans="39:45">
      <c r="AM7059" s="55">
        <v>2019</v>
      </c>
      <c r="AN7059" s="55" t="s">
        <v>191</v>
      </c>
      <c r="AO7059" s="55">
        <v>22</v>
      </c>
      <c r="AP7059" s="55">
        <v>1</v>
      </c>
      <c r="AQ7059" s="55">
        <v>0</v>
      </c>
      <c r="AR7059" s="55">
        <v>28500</v>
      </c>
      <c r="AS7059" s="78">
        <f t="shared" si="114"/>
        <v>0</v>
      </c>
    </row>
    <row r="7060" spans="39:45">
      <c r="AM7060" s="54">
        <v>2019</v>
      </c>
      <c r="AN7060" s="54" t="s">
        <v>191</v>
      </c>
      <c r="AO7060" s="54">
        <v>22</v>
      </c>
      <c r="AP7060" s="54">
        <v>2</v>
      </c>
      <c r="AQ7060" s="54">
        <v>0</v>
      </c>
      <c r="AR7060" s="55">
        <v>28500</v>
      </c>
      <c r="AS7060" s="78">
        <f t="shared" si="114"/>
        <v>0</v>
      </c>
    </row>
    <row r="7061" spans="39:45">
      <c r="AM7061" s="55">
        <v>2019</v>
      </c>
      <c r="AN7061" s="55" t="s">
        <v>191</v>
      </c>
      <c r="AO7061" s="55">
        <v>22</v>
      </c>
      <c r="AP7061" s="55">
        <v>3</v>
      </c>
      <c r="AQ7061" s="55">
        <v>0</v>
      </c>
      <c r="AR7061" s="55">
        <v>28500</v>
      </c>
      <c r="AS7061" s="78">
        <f t="shared" si="114"/>
        <v>0</v>
      </c>
    </row>
    <row r="7062" spans="39:45">
      <c r="AM7062" s="54">
        <v>2019</v>
      </c>
      <c r="AN7062" s="54" t="s">
        <v>191</v>
      </c>
      <c r="AO7062" s="54">
        <v>22</v>
      </c>
      <c r="AP7062" s="54">
        <v>4</v>
      </c>
      <c r="AQ7062" s="54">
        <v>0</v>
      </c>
      <c r="AR7062" s="55">
        <v>28500</v>
      </c>
      <c r="AS7062" s="78">
        <f t="shared" si="114"/>
        <v>0</v>
      </c>
    </row>
    <row r="7063" spans="39:45">
      <c r="AM7063" s="55">
        <v>2019</v>
      </c>
      <c r="AN7063" s="55" t="s">
        <v>191</v>
      </c>
      <c r="AO7063" s="55">
        <v>22</v>
      </c>
      <c r="AP7063" s="55">
        <v>5</v>
      </c>
      <c r="AQ7063" s="55">
        <v>0</v>
      </c>
      <c r="AR7063" s="55">
        <v>28500</v>
      </c>
      <c r="AS7063" s="78">
        <f t="shared" si="114"/>
        <v>0</v>
      </c>
    </row>
    <row r="7064" spans="39:45">
      <c r="AM7064" s="54">
        <v>2019</v>
      </c>
      <c r="AN7064" s="54" t="s">
        <v>191</v>
      </c>
      <c r="AO7064" s="54">
        <v>22</v>
      </c>
      <c r="AP7064" s="54">
        <v>6</v>
      </c>
      <c r="AQ7064" s="54">
        <v>0</v>
      </c>
      <c r="AR7064" s="55">
        <v>28500</v>
      </c>
      <c r="AS7064" s="78">
        <f t="shared" si="114"/>
        <v>0</v>
      </c>
    </row>
    <row r="7065" spans="39:45">
      <c r="AM7065" s="55">
        <v>2019</v>
      </c>
      <c r="AN7065" s="55" t="s">
        <v>191</v>
      </c>
      <c r="AO7065" s="55">
        <v>22</v>
      </c>
      <c r="AP7065" s="55">
        <v>7</v>
      </c>
      <c r="AQ7065" s="55">
        <v>2987.5</v>
      </c>
      <c r="AR7065" s="55">
        <v>28500</v>
      </c>
      <c r="AS7065" s="78">
        <f t="shared" si="114"/>
        <v>0.10482456140350878</v>
      </c>
    </row>
    <row r="7066" spans="39:45">
      <c r="AM7066" s="54">
        <v>2019</v>
      </c>
      <c r="AN7066" s="54" t="s">
        <v>191</v>
      </c>
      <c r="AO7066" s="54">
        <v>22</v>
      </c>
      <c r="AP7066" s="54">
        <v>8</v>
      </c>
      <c r="AQ7066" s="54">
        <v>12242.5</v>
      </c>
      <c r="AR7066" s="55">
        <v>28500</v>
      </c>
      <c r="AS7066" s="78">
        <f t="shared" si="114"/>
        <v>0.42956140350877192</v>
      </c>
    </row>
    <row r="7067" spans="39:45">
      <c r="AM7067" s="55">
        <v>2019</v>
      </c>
      <c r="AN7067" s="55" t="s">
        <v>191</v>
      </c>
      <c r="AO7067" s="55">
        <v>22</v>
      </c>
      <c r="AP7067" s="55">
        <v>9</v>
      </c>
      <c r="AQ7067" s="55">
        <v>24511</v>
      </c>
      <c r="AR7067" s="55">
        <v>28500</v>
      </c>
      <c r="AS7067" s="78">
        <f t="shared" si="114"/>
        <v>0.86003508771929826</v>
      </c>
    </row>
    <row r="7068" spans="39:45">
      <c r="AM7068" s="54">
        <v>2019</v>
      </c>
      <c r="AN7068" s="54" t="s">
        <v>191</v>
      </c>
      <c r="AO7068" s="54">
        <v>22</v>
      </c>
      <c r="AP7068" s="54">
        <v>10</v>
      </c>
      <c r="AQ7068" s="54">
        <v>30352</v>
      </c>
      <c r="AR7068" s="55">
        <v>28500</v>
      </c>
      <c r="AS7068" s="78">
        <f t="shared" si="114"/>
        <v>1.0649824561403509</v>
      </c>
    </row>
    <row r="7069" spans="39:45">
      <c r="AM7069" s="55">
        <v>2019</v>
      </c>
      <c r="AN7069" s="55" t="s">
        <v>191</v>
      </c>
      <c r="AO7069" s="55">
        <v>22</v>
      </c>
      <c r="AP7069" s="55">
        <v>11</v>
      </c>
      <c r="AQ7069" s="55">
        <v>33859.5</v>
      </c>
      <c r="AR7069" s="55">
        <v>28500</v>
      </c>
      <c r="AS7069" s="78">
        <f t="shared" si="114"/>
        <v>1.1880526315789475</v>
      </c>
    </row>
    <row r="7070" spans="39:45">
      <c r="AM7070" s="54">
        <v>2019</v>
      </c>
      <c r="AN7070" s="54" t="s">
        <v>191</v>
      </c>
      <c r="AO7070" s="54">
        <v>22</v>
      </c>
      <c r="AP7070" s="54">
        <v>12</v>
      </c>
      <c r="AQ7070" s="54">
        <v>35777.5</v>
      </c>
      <c r="AR7070" s="55">
        <v>28500</v>
      </c>
      <c r="AS7070" s="78">
        <f t="shared" si="114"/>
        <v>1.2553508771929824</v>
      </c>
    </row>
    <row r="7071" spans="39:45">
      <c r="AM7071" s="55">
        <v>2019</v>
      </c>
      <c r="AN7071" s="55" t="s">
        <v>191</v>
      </c>
      <c r="AO7071" s="55">
        <v>22</v>
      </c>
      <c r="AP7071" s="55">
        <v>13</v>
      </c>
      <c r="AQ7071" s="55">
        <v>34160.5</v>
      </c>
      <c r="AR7071" s="55">
        <v>28500</v>
      </c>
      <c r="AS7071" s="78">
        <f t="shared" si="114"/>
        <v>1.1986140350877192</v>
      </c>
    </row>
    <row r="7072" spans="39:45">
      <c r="AM7072" s="54">
        <v>2019</v>
      </c>
      <c r="AN7072" s="54" t="s">
        <v>191</v>
      </c>
      <c r="AO7072" s="54">
        <v>22</v>
      </c>
      <c r="AP7072" s="54">
        <v>14</v>
      </c>
      <c r="AQ7072" s="54">
        <v>27423</v>
      </c>
      <c r="AR7072" s="55">
        <v>28500</v>
      </c>
      <c r="AS7072" s="78">
        <f t="shared" si="114"/>
        <v>0.96221052631578952</v>
      </c>
    </row>
    <row r="7073" spans="39:45">
      <c r="AM7073" s="55">
        <v>2019</v>
      </c>
      <c r="AN7073" s="55" t="s">
        <v>191</v>
      </c>
      <c r="AO7073" s="55">
        <v>22</v>
      </c>
      <c r="AP7073" s="55">
        <v>15</v>
      </c>
      <c r="AQ7073" s="55">
        <v>17265.5</v>
      </c>
      <c r="AR7073" s="55">
        <v>28500</v>
      </c>
      <c r="AS7073" s="78">
        <f t="shared" si="114"/>
        <v>0.60580701754385968</v>
      </c>
    </row>
    <row r="7074" spans="39:45">
      <c r="AM7074" s="54">
        <v>2019</v>
      </c>
      <c r="AN7074" s="54" t="s">
        <v>191</v>
      </c>
      <c r="AO7074" s="54">
        <v>22</v>
      </c>
      <c r="AP7074" s="54">
        <v>16</v>
      </c>
      <c r="AQ7074" s="54">
        <v>4610</v>
      </c>
      <c r="AR7074" s="55">
        <v>28500</v>
      </c>
      <c r="AS7074" s="78">
        <f t="shared" si="114"/>
        <v>0.16175438596491229</v>
      </c>
    </row>
    <row r="7075" spans="39:45">
      <c r="AM7075" s="55">
        <v>2019</v>
      </c>
      <c r="AN7075" s="55" t="s">
        <v>191</v>
      </c>
      <c r="AO7075" s="55">
        <v>22</v>
      </c>
      <c r="AP7075" s="55">
        <v>17</v>
      </c>
      <c r="AQ7075" s="55">
        <v>0</v>
      </c>
      <c r="AR7075" s="55">
        <v>28500</v>
      </c>
      <c r="AS7075" s="78">
        <f t="shared" si="114"/>
        <v>0</v>
      </c>
    </row>
    <row r="7076" spans="39:45">
      <c r="AM7076" s="54">
        <v>2019</v>
      </c>
      <c r="AN7076" s="54" t="s">
        <v>191</v>
      </c>
      <c r="AO7076" s="54">
        <v>22</v>
      </c>
      <c r="AP7076" s="54">
        <v>18</v>
      </c>
      <c r="AQ7076" s="54">
        <v>0</v>
      </c>
      <c r="AR7076" s="55">
        <v>28500</v>
      </c>
      <c r="AS7076" s="78">
        <f t="shared" si="114"/>
        <v>0</v>
      </c>
    </row>
    <row r="7077" spans="39:45">
      <c r="AM7077" s="55">
        <v>2019</v>
      </c>
      <c r="AN7077" s="55" t="s">
        <v>191</v>
      </c>
      <c r="AO7077" s="55">
        <v>22</v>
      </c>
      <c r="AP7077" s="55">
        <v>19</v>
      </c>
      <c r="AQ7077" s="55">
        <v>0</v>
      </c>
      <c r="AR7077" s="55">
        <v>28500</v>
      </c>
      <c r="AS7077" s="78">
        <f t="shared" si="114"/>
        <v>0</v>
      </c>
    </row>
    <row r="7078" spans="39:45">
      <c r="AM7078" s="54">
        <v>2019</v>
      </c>
      <c r="AN7078" s="54" t="s">
        <v>191</v>
      </c>
      <c r="AO7078" s="54">
        <v>22</v>
      </c>
      <c r="AP7078" s="54">
        <v>20</v>
      </c>
      <c r="AQ7078" s="54">
        <v>0</v>
      </c>
      <c r="AR7078" s="55">
        <v>28500</v>
      </c>
      <c r="AS7078" s="78">
        <f t="shared" si="114"/>
        <v>0</v>
      </c>
    </row>
    <row r="7079" spans="39:45">
      <c r="AM7079" s="55">
        <v>2019</v>
      </c>
      <c r="AN7079" s="55" t="s">
        <v>191</v>
      </c>
      <c r="AO7079" s="55">
        <v>22</v>
      </c>
      <c r="AP7079" s="55">
        <v>21</v>
      </c>
      <c r="AQ7079" s="55">
        <v>0</v>
      </c>
      <c r="AR7079" s="55">
        <v>28500</v>
      </c>
      <c r="AS7079" s="78">
        <f t="shared" si="114"/>
        <v>0</v>
      </c>
    </row>
    <row r="7080" spans="39:45">
      <c r="AM7080" s="54">
        <v>2019</v>
      </c>
      <c r="AN7080" s="54" t="s">
        <v>191</v>
      </c>
      <c r="AO7080" s="54">
        <v>22</v>
      </c>
      <c r="AP7080" s="54">
        <v>22</v>
      </c>
      <c r="AQ7080" s="54">
        <v>0</v>
      </c>
      <c r="AR7080" s="55">
        <v>28500</v>
      </c>
      <c r="AS7080" s="78">
        <f t="shared" si="114"/>
        <v>0</v>
      </c>
    </row>
    <row r="7081" spans="39:45">
      <c r="AM7081" s="55">
        <v>2019</v>
      </c>
      <c r="AN7081" s="55" t="s">
        <v>191</v>
      </c>
      <c r="AO7081" s="55">
        <v>22</v>
      </c>
      <c r="AP7081" s="55">
        <v>23</v>
      </c>
      <c r="AQ7081" s="55">
        <v>0</v>
      </c>
      <c r="AR7081" s="55">
        <v>28500</v>
      </c>
      <c r="AS7081" s="78">
        <f t="shared" si="114"/>
        <v>0</v>
      </c>
    </row>
    <row r="7082" spans="39:45">
      <c r="AM7082" s="54">
        <v>2019</v>
      </c>
      <c r="AN7082" s="54" t="s">
        <v>191</v>
      </c>
      <c r="AO7082" s="54">
        <v>23</v>
      </c>
      <c r="AP7082" s="54">
        <v>24</v>
      </c>
      <c r="AQ7082" s="54">
        <v>0</v>
      </c>
      <c r="AR7082" s="55">
        <v>28500</v>
      </c>
      <c r="AS7082" s="78">
        <f t="shared" si="114"/>
        <v>0</v>
      </c>
    </row>
    <row r="7083" spans="39:45">
      <c r="AM7083" s="55">
        <v>2019</v>
      </c>
      <c r="AN7083" s="55" t="s">
        <v>191</v>
      </c>
      <c r="AO7083" s="55">
        <v>23</v>
      </c>
      <c r="AP7083" s="55">
        <v>1</v>
      </c>
      <c r="AQ7083" s="55">
        <v>0</v>
      </c>
      <c r="AR7083" s="55">
        <v>28500</v>
      </c>
      <c r="AS7083" s="78">
        <f t="shared" si="114"/>
        <v>0</v>
      </c>
    </row>
    <row r="7084" spans="39:45">
      <c r="AM7084" s="54">
        <v>2019</v>
      </c>
      <c r="AN7084" s="54" t="s">
        <v>191</v>
      </c>
      <c r="AO7084" s="54">
        <v>23</v>
      </c>
      <c r="AP7084" s="54">
        <v>2</v>
      </c>
      <c r="AQ7084" s="54">
        <v>0</v>
      </c>
      <c r="AR7084" s="55">
        <v>28500</v>
      </c>
      <c r="AS7084" s="78">
        <f t="shared" si="114"/>
        <v>0</v>
      </c>
    </row>
    <row r="7085" spans="39:45">
      <c r="AM7085" s="55">
        <v>2019</v>
      </c>
      <c r="AN7085" s="55" t="s">
        <v>191</v>
      </c>
      <c r="AO7085" s="55">
        <v>23</v>
      </c>
      <c r="AP7085" s="55">
        <v>3</v>
      </c>
      <c r="AQ7085" s="55">
        <v>0</v>
      </c>
      <c r="AR7085" s="55">
        <v>28500</v>
      </c>
      <c r="AS7085" s="78">
        <f t="shared" si="114"/>
        <v>0</v>
      </c>
    </row>
    <row r="7086" spans="39:45">
      <c r="AM7086" s="54">
        <v>2019</v>
      </c>
      <c r="AN7086" s="54" t="s">
        <v>191</v>
      </c>
      <c r="AO7086" s="54">
        <v>23</v>
      </c>
      <c r="AP7086" s="54">
        <v>4</v>
      </c>
      <c r="AQ7086" s="54">
        <v>0</v>
      </c>
      <c r="AR7086" s="55">
        <v>28500</v>
      </c>
      <c r="AS7086" s="78">
        <f t="shared" si="114"/>
        <v>0</v>
      </c>
    </row>
    <row r="7087" spans="39:45">
      <c r="AM7087" s="55">
        <v>2019</v>
      </c>
      <c r="AN7087" s="55" t="s">
        <v>191</v>
      </c>
      <c r="AO7087" s="55">
        <v>23</v>
      </c>
      <c r="AP7087" s="55">
        <v>5</v>
      </c>
      <c r="AQ7087" s="55">
        <v>0</v>
      </c>
      <c r="AR7087" s="55">
        <v>28500</v>
      </c>
      <c r="AS7087" s="78">
        <f t="shared" si="114"/>
        <v>0</v>
      </c>
    </row>
    <row r="7088" spans="39:45">
      <c r="AM7088" s="54">
        <v>2019</v>
      </c>
      <c r="AN7088" s="54" t="s">
        <v>191</v>
      </c>
      <c r="AO7088" s="54">
        <v>23</v>
      </c>
      <c r="AP7088" s="54">
        <v>6</v>
      </c>
      <c r="AQ7088" s="54">
        <v>0</v>
      </c>
      <c r="AR7088" s="55">
        <v>28500</v>
      </c>
      <c r="AS7088" s="78">
        <f t="shared" si="114"/>
        <v>0</v>
      </c>
    </row>
    <row r="7089" spans="39:45">
      <c r="AM7089" s="55">
        <v>2019</v>
      </c>
      <c r="AN7089" s="55" t="s">
        <v>191</v>
      </c>
      <c r="AO7089" s="55">
        <v>23</v>
      </c>
      <c r="AP7089" s="55">
        <v>7</v>
      </c>
      <c r="AQ7089" s="55">
        <v>661.5</v>
      </c>
      <c r="AR7089" s="55">
        <v>28500</v>
      </c>
      <c r="AS7089" s="78">
        <f t="shared" si="114"/>
        <v>2.3210526315789473E-2</v>
      </c>
    </row>
    <row r="7090" spans="39:45">
      <c r="AM7090" s="54">
        <v>2019</v>
      </c>
      <c r="AN7090" s="54" t="s">
        <v>191</v>
      </c>
      <c r="AO7090" s="54">
        <v>23</v>
      </c>
      <c r="AP7090" s="54">
        <v>8</v>
      </c>
      <c r="AQ7090" s="54">
        <v>5012.5</v>
      </c>
      <c r="AR7090" s="55">
        <v>28500</v>
      </c>
      <c r="AS7090" s="78">
        <f t="shared" si="114"/>
        <v>0.17587719298245613</v>
      </c>
    </row>
    <row r="7091" spans="39:45">
      <c r="AM7091" s="55">
        <v>2019</v>
      </c>
      <c r="AN7091" s="55" t="s">
        <v>191</v>
      </c>
      <c r="AO7091" s="55">
        <v>23</v>
      </c>
      <c r="AP7091" s="55">
        <v>9</v>
      </c>
      <c r="AQ7091" s="55">
        <v>2944.5</v>
      </c>
      <c r="AR7091" s="55">
        <v>28500</v>
      </c>
      <c r="AS7091" s="78">
        <f t="shared" si="114"/>
        <v>0.10331578947368421</v>
      </c>
    </row>
    <row r="7092" spans="39:45">
      <c r="AM7092" s="54">
        <v>2019</v>
      </c>
      <c r="AN7092" s="54" t="s">
        <v>191</v>
      </c>
      <c r="AO7092" s="54">
        <v>23</v>
      </c>
      <c r="AP7092" s="54">
        <v>10</v>
      </c>
      <c r="AQ7092" s="54">
        <v>4527.5</v>
      </c>
      <c r="AR7092" s="55">
        <v>28500</v>
      </c>
      <c r="AS7092" s="78">
        <f t="shared" si="114"/>
        <v>0.15885964912280701</v>
      </c>
    </row>
    <row r="7093" spans="39:45">
      <c r="AM7093" s="55">
        <v>2019</v>
      </c>
      <c r="AN7093" s="55" t="s">
        <v>191</v>
      </c>
      <c r="AO7093" s="55">
        <v>23</v>
      </c>
      <c r="AP7093" s="55">
        <v>11</v>
      </c>
      <c r="AQ7093" s="55">
        <v>12032.5</v>
      </c>
      <c r="AR7093" s="55">
        <v>28500</v>
      </c>
      <c r="AS7093" s="78">
        <f t="shared" si="114"/>
        <v>0.42219298245614034</v>
      </c>
    </row>
    <row r="7094" spans="39:45">
      <c r="AM7094" s="54">
        <v>2019</v>
      </c>
      <c r="AN7094" s="54" t="s">
        <v>191</v>
      </c>
      <c r="AO7094" s="54">
        <v>23</v>
      </c>
      <c r="AP7094" s="54">
        <v>12</v>
      </c>
      <c r="AQ7094" s="54">
        <v>18275</v>
      </c>
      <c r="AR7094" s="55">
        <v>28500</v>
      </c>
      <c r="AS7094" s="78">
        <f t="shared" si="114"/>
        <v>0.64122807017543859</v>
      </c>
    </row>
    <row r="7095" spans="39:45">
      <c r="AM7095" s="55">
        <v>2019</v>
      </c>
      <c r="AN7095" s="55" t="s">
        <v>191</v>
      </c>
      <c r="AO7095" s="55">
        <v>23</v>
      </c>
      <c r="AP7095" s="55">
        <v>13</v>
      </c>
      <c r="AQ7095" s="55">
        <v>10426.5</v>
      </c>
      <c r="AR7095" s="55">
        <v>28500</v>
      </c>
      <c r="AS7095" s="78">
        <f t="shared" si="114"/>
        <v>0.36584210526315791</v>
      </c>
    </row>
    <row r="7096" spans="39:45">
      <c r="AM7096" s="54">
        <v>2019</v>
      </c>
      <c r="AN7096" s="54" t="s">
        <v>191</v>
      </c>
      <c r="AO7096" s="54">
        <v>23</v>
      </c>
      <c r="AP7096" s="54">
        <v>14</v>
      </c>
      <c r="AQ7096" s="54">
        <v>1785</v>
      </c>
      <c r="AR7096" s="55">
        <v>28500</v>
      </c>
      <c r="AS7096" s="78">
        <f t="shared" si="114"/>
        <v>6.2631578947368427E-2</v>
      </c>
    </row>
    <row r="7097" spans="39:45">
      <c r="AM7097" s="55">
        <v>2019</v>
      </c>
      <c r="AN7097" s="55" t="s">
        <v>191</v>
      </c>
      <c r="AO7097" s="55">
        <v>23</v>
      </c>
      <c r="AP7097" s="55">
        <v>15</v>
      </c>
      <c r="AQ7097" s="55">
        <v>1643.5</v>
      </c>
      <c r="AR7097" s="55">
        <v>28500</v>
      </c>
      <c r="AS7097" s="78">
        <f t="shared" si="114"/>
        <v>5.7666666666666665E-2</v>
      </c>
    </row>
    <row r="7098" spans="39:45">
      <c r="AM7098" s="54">
        <v>2019</v>
      </c>
      <c r="AN7098" s="54" t="s">
        <v>191</v>
      </c>
      <c r="AO7098" s="54">
        <v>23</v>
      </c>
      <c r="AP7098" s="54">
        <v>16</v>
      </c>
      <c r="AQ7098" s="54">
        <v>139.5</v>
      </c>
      <c r="AR7098" s="55">
        <v>28500</v>
      </c>
      <c r="AS7098" s="78">
        <f t="shared" si="114"/>
        <v>4.8947368421052634E-3</v>
      </c>
    </row>
    <row r="7099" spans="39:45">
      <c r="AM7099" s="55">
        <v>2019</v>
      </c>
      <c r="AN7099" s="55" t="s">
        <v>191</v>
      </c>
      <c r="AO7099" s="55">
        <v>23</v>
      </c>
      <c r="AP7099" s="55">
        <v>17</v>
      </c>
      <c r="AQ7099" s="55">
        <v>0</v>
      </c>
      <c r="AR7099" s="55">
        <v>28500</v>
      </c>
      <c r="AS7099" s="78">
        <f t="shared" si="114"/>
        <v>0</v>
      </c>
    </row>
    <row r="7100" spans="39:45">
      <c r="AM7100" s="54">
        <v>2019</v>
      </c>
      <c r="AN7100" s="54" t="s">
        <v>191</v>
      </c>
      <c r="AO7100" s="54">
        <v>23</v>
      </c>
      <c r="AP7100" s="54">
        <v>18</v>
      </c>
      <c r="AQ7100" s="54">
        <v>0</v>
      </c>
      <c r="AR7100" s="55">
        <v>28500</v>
      </c>
      <c r="AS7100" s="78">
        <f t="shared" si="114"/>
        <v>0</v>
      </c>
    </row>
    <row r="7101" spans="39:45">
      <c r="AM7101" s="55">
        <v>2019</v>
      </c>
      <c r="AN7101" s="55" t="s">
        <v>191</v>
      </c>
      <c r="AO7101" s="55">
        <v>23</v>
      </c>
      <c r="AP7101" s="55">
        <v>19</v>
      </c>
      <c r="AQ7101" s="55">
        <v>0</v>
      </c>
      <c r="AR7101" s="55">
        <v>28500</v>
      </c>
      <c r="AS7101" s="78">
        <f t="shared" si="114"/>
        <v>0</v>
      </c>
    </row>
    <row r="7102" spans="39:45">
      <c r="AM7102" s="54">
        <v>2019</v>
      </c>
      <c r="AN7102" s="54" t="s">
        <v>191</v>
      </c>
      <c r="AO7102" s="54">
        <v>23</v>
      </c>
      <c r="AP7102" s="54">
        <v>20</v>
      </c>
      <c r="AQ7102" s="54">
        <v>0</v>
      </c>
      <c r="AR7102" s="55">
        <v>28500</v>
      </c>
      <c r="AS7102" s="78">
        <f t="shared" si="114"/>
        <v>0</v>
      </c>
    </row>
    <row r="7103" spans="39:45">
      <c r="AM7103" s="55">
        <v>2019</v>
      </c>
      <c r="AN7103" s="55" t="s">
        <v>191</v>
      </c>
      <c r="AO7103" s="55">
        <v>23</v>
      </c>
      <c r="AP7103" s="55">
        <v>21</v>
      </c>
      <c r="AQ7103" s="55">
        <v>0</v>
      </c>
      <c r="AR7103" s="55">
        <v>28500</v>
      </c>
      <c r="AS7103" s="78">
        <f t="shared" si="114"/>
        <v>0</v>
      </c>
    </row>
    <row r="7104" spans="39:45">
      <c r="AM7104" s="54">
        <v>2019</v>
      </c>
      <c r="AN7104" s="54" t="s">
        <v>191</v>
      </c>
      <c r="AO7104" s="54">
        <v>23</v>
      </c>
      <c r="AP7104" s="54">
        <v>22</v>
      </c>
      <c r="AQ7104" s="54">
        <v>0</v>
      </c>
      <c r="AR7104" s="55">
        <v>28500</v>
      </c>
      <c r="AS7104" s="78">
        <f t="shared" si="114"/>
        <v>0</v>
      </c>
    </row>
    <row r="7105" spans="39:45">
      <c r="AM7105" s="55">
        <v>2019</v>
      </c>
      <c r="AN7105" s="55" t="s">
        <v>191</v>
      </c>
      <c r="AO7105" s="55">
        <v>23</v>
      </c>
      <c r="AP7105" s="55">
        <v>23</v>
      </c>
      <c r="AQ7105" s="55">
        <v>0</v>
      </c>
      <c r="AR7105" s="55">
        <v>28500</v>
      </c>
      <c r="AS7105" s="78">
        <f t="shared" si="114"/>
        <v>0</v>
      </c>
    </row>
    <row r="7106" spans="39:45">
      <c r="AM7106" s="54">
        <v>2019</v>
      </c>
      <c r="AN7106" s="54" t="s">
        <v>191</v>
      </c>
      <c r="AO7106" s="54">
        <v>24</v>
      </c>
      <c r="AP7106" s="54">
        <v>24</v>
      </c>
      <c r="AQ7106" s="54">
        <v>0</v>
      </c>
      <c r="AR7106" s="55">
        <v>28500</v>
      </c>
      <c r="AS7106" s="78">
        <f t="shared" ref="AS7106:AS7169" si="115">AQ7106/AR7106</f>
        <v>0</v>
      </c>
    </row>
    <row r="7107" spans="39:45">
      <c r="AM7107" s="55">
        <v>2019</v>
      </c>
      <c r="AN7107" s="55" t="s">
        <v>191</v>
      </c>
      <c r="AO7107" s="55">
        <v>24</v>
      </c>
      <c r="AP7107" s="55">
        <v>1</v>
      </c>
      <c r="AQ7107" s="55">
        <v>0</v>
      </c>
      <c r="AR7107" s="55">
        <v>28500</v>
      </c>
      <c r="AS7107" s="78">
        <f t="shared" si="115"/>
        <v>0</v>
      </c>
    </row>
    <row r="7108" spans="39:45">
      <c r="AM7108" s="54">
        <v>2019</v>
      </c>
      <c r="AN7108" s="54" t="s">
        <v>191</v>
      </c>
      <c r="AO7108" s="54">
        <v>24</v>
      </c>
      <c r="AP7108" s="54">
        <v>2</v>
      </c>
      <c r="AQ7108" s="54">
        <v>0</v>
      </c>
      <c r="AR7108" s="55">
        <v>28500</v>
      </c>
      <c r="AS7108" s="78">
        <f t="shared" si="115"/>
        <v>0</v>
      </c>
    </row>
    <row r="7109" spans="39:45">
      <c r="AM7109" s="55">
        <v>2019</v>
      </c>
      <c r="AN7109" s="55" t="s">
        <v>191</v>
      </c>
      <c r="AO7109" s="55">
        <v>24</v>
      </c>
      <c r="AP7109" s="55">
        <v>3</v>
      </c>
      <c r="AQ7109" s="55">
        <v>0</v>
      </c>
      <c r="AR7109" s="55">
        <v>28500</v>
      </c>
      <c r="AS7109" s="78">
        <f t="shared" si="115"/>
        <v>0</v>
      </c>
    </row>
    <row r="7110" spans="39:45">
      <c r="AM7110" s="54">
        <v>2019</v>
      </c>
      <c r="AN7110" s="54" t="s">
        <v>191</v>
      </c>
      <c r="AO7110" s="54">
        <v>24</v>
      </c>
      <c r="AP7110" s="54">
        <v>4</v>
      </c>
      <c r="AQ7110" s="54">
        <v>0</v>
      </c>
      <c r="AR7110" s="55">
        <v>28500</v>
      </c>
      <c r="AS7110" s="78">
        <f t="shared" si="115"/>
        <v>0</v>
      </c>
    </row>
    <row r="7111" spans="39:45">
      <c r="AM7111" s="55">
        <v>2019</v>
      </c>
      <c r="AN7111" s="55" t="s">
        <v>191</v>
      </c>
      <c r="AO7111" s="55">
        <v>24</v>
      </c>
      <c r="AP7111" s="55">
        <v>5</v>
      </c>
      <c r="AQ7111" s="55">
        <v>0</v>
      </c>
      <c r="AR7111" s="55">
        <v>28500</v>
      </c>
      <c r="AS7111" s="78">
        <f t="shared" si="115"/>
        <v>0</v>
      </c>
    </row>
    <row r="7112" spans="39:45">
      <c r="AM7112" s="54">
        <v>2019</v>
      </c>
      <c r="AN7112" s="54" t="s">
        <v>191</v>
      </c>
      <c r="AO7112" s="54">
        <v>24</v>
      </c>
      <c r="AP7112" s="54">
        <v>6</v>
      </c>
      <c r="AQ7112" s="54">
        <v>0</v>
      </c>
      <c r="AR7112" s="55">
        <v>28500</v>
      </c>
      <c r="AS7112" s="78">
        <f t="shared" si="115"/>
        <v>0</v>
      </c>
    </row>
    <row r="7113" spans="39:45">
      <c r="AM7113" s="55">
        <v>2019</v>
      </c>
      <c r="AN7113" s="55" t="s">
        <v>191</v>
      </c>
      <c r="AO7113" s="55">
        <v>24</v>
      </c>
      <c r="AP7113" s="55">
        <v>7</v>
      </c>
      <c r="AQ7113" s="55">
        <v>141.5</v>
      </c>
      <c r="AR7113" s="55">
        <v>28500</v>
      </c>
      <c r="AS7113" s="78">
        <f t="shared" si="115"/>
        <v>4.9649122807017545E-3</v>
      </c>
    </row>
    <row r="7114" spans="39:45">
      <c r="AM7114" s="54">
        <v>2019</v>
      </c>
      <c r="AN7114" s="54" t="s">
        <v>191</v>
      </c>
      <c r="AO7114" s="54">
        <v>24</v>
      </c>
      <c r="AP7114" s="54">
        <v>8</v>
      </c>
      <c r="AQ7114" s="54">
        <v>662.5</v>
      </c>
      <c r="AR7114" s="55">
        <v>28500</v>
      </c>
      <c r="AS7114" s="78">
        <f t="shared" si="115"/>
        <v>2.3245614035087719E-2</v>
      </c>
    </row>
    <row r="7115" spans="39:45">
      <c r="AM7115" s="55">
        <v>2019</v>
      </c>
      <c r="AN7115" s="55" t="s">
        <v>191</v>
      </c>
      <c r="AO7115" s="55">
        <v>24</v>
      </c>
      <c r="AP7115" s="55">
        <v>9</v>
      </c>
      <c r="AQ7115" s="55">
        <v>1373</v>
      </c>
      <c r="AR7115" s="55">
        <v>28500</v>
      </c>
      <c r="AS7115" s="78">
        <f t="shared" si="115"/>
        <v>4.8175438596491225E-2</v>
      </c>
    </row>
    <row r="7116" spans="39:45">
      <c r="AM7116" s="54">
        <v>2019</v>
      </c>
      <c r="AN7116" s="54" t="s">
        <v>191</v>
      </c>
      <c r="AO7116" s="54">
        <v>24</v>
      </c>
      <c r="AP7116" s="54">
        <v>10</v>
      </c>
      <c r="AQ7116" s="54">
        <v>1127.5</v>
      </c>
      <c r="AR7116" s="55">
        <v>28500</v>
      </c>
      <c r="AS7116" s="78">
        <f t="shared" si="115"/>
        <v>3.9561403508771929E-2</v>
      </c>
    </row>
    <row r="7117" spans="39:45">
      <c r="AM7117" s="55">
        <v>2019</v>
      </c>
      <c r="AN7117" s="55" t="s">
        <v>191</v>
      </c>
      <c r="AO7117" s="55">
        <v>24</v>
      </c>
      <c r="AP7117" s="55">
        <v>11</v>
      </c>
      <c r="AQ7117" s="55">
        <v>1126.5</v>
      </c>
      <c r="AR7117" s="55">
        <v>28500</v>
      </c>
      <c r="AS7117" s="78">
        <f t="shared" si="115"/>
        <v>3.9526315789473687E-2</v>
      </c>
    </row>
    <row r="7118" spans="39:45">
      <c r="AM7118" s="54">
        <v>2019</v>
      </c>
      <c r="AN7118" s="54" t="s">
        <v>191</v>
      </c>
      <c r="AO7118" s="54">
        <v>24</v>
      </c>
      <c r="AP7118" s="54">
        <v>12</v>
      </c>
      <c r="AQ7118" s="54">
        <v>2172</v>
      </c>
      <c r="AR7118" s="55">
        <v>28500</v>
      </c>
      <c r="AS7118" s="78">
        <f t="shared" si="115"/>
        <v>7.6210526315789479E-2</v>
      </c>
    </row>
    <row r="7119" spans="39:45">
      <c r="AM7119" s="55">
        <v>2019</v>
      </c>
      <c r="AN7119" s="55" t="s">
        <v>191</v>
      </c>
      <c r="AO7119" s="55">
        <v>24</v>
      </c>
      <c r="AP7119" s="55">
        <v>13</v>
      </c>
      <c r="AQ7119" s="55">
        <v>1590</v>
      </c>
      <c r="AR7119" s="55">
        <v>28500</v>
      </c>
      <c r="AS7119" s="78">
        <f t="shared" si="115"/>
        <v>5.5789473684210528E-2</v>
      </c>
    </row>
    <row r="7120" spans="39:45">
      <c r="AM7120" s="54">
        <v>2019</v>
      </c>
      <c r="AN7120" s="54" t="s">
        <v>191</v>
      </c>
      <c r="AO7120" s="54">
        <v>24</v>
      </c>
      <c r="AP7120" s="54">
        <v>14</v>
      </c>
      <c r="AQ7120" s="54">
        <v>17768</v>
      </c>
      <c r="AR7120" s="55">
        <v>28500</v>
      </c>
      <c r="AS7120" s="78">
        <f t="shared" si="115"/>
        <v>0.62343859649122813</v>
      </c>
    </row>
    <row r="7121" spans="39:45">
      <c r="AM7121" s="55">
        <v>2019</v>
      </c>
      <c r="AN7121" s="55" t="s">
        <v>191</v>
      </c>
      <c r="AO7121" s="55">
        <v>24</v>
      </c>
      <c r="AP7121" s="55">
        <v>15</v>
      </c>
      <c r="AQ7121" s="55">
        <v>3215</v>
      </c>
      <c r="AR7121" s="55">
        <v>28500</v>
      </c>
      <c r="AS7121" s="78">
        <f t="shared" si="115"/>
        <v>0.11280701754385965</v>
      </c>
    </row>
    <row r="7122" spans="39:45">
      <c r="AM7122" s="54">
        <v>2019</v>
      </c>
      <c r="AN7122" s="54" t="s">
        <v>191</v>
      </c>
      <c r="AO7122" s="54">
        <v>24</v>
      </c>
      <c r="AP7122" s="54">
        <v>16</v>
      </c>
      <c r="AQ7122" s="54">
        <v>1171</v>
      </c>
      <c r="AR7122" s="55">
        <v>28500</v>
      </c>
      <c r="AS7122" s="78">
        <f t="shared" si="115"/>
        <v>4.1087719298245617E-2</v>
      </c>
    </row>
    <row r="7123" spans="39:45">
      <c r="AM7123" s="55">
        <v>2019</v>
      </c>
      <c r="AN7123" s="55" t="s">
        <v>191</v>
      </c>
      <c r="AO7123" s="55">
        <v>24</v>
      </c>
      <c r="AP7123" s="55">
        <v>17</v>
      </c>
      <c r="AQ7123" s="55">
        <v>0</v>
      </c>
      <c r="AR7123" s="55">
        <v>28500</v>
      </c>
      <c r="AS7123" s="78">
        <f t="shared" si="115"/>
        <v>0</v>
      </c>
    </row>
    <row r="7124" spans="39:45">
      <c r="AM7124" s="54">
        <v>2019</v>
      </c>
      <c r="AN7124" s="54" t="s">
        <v>191</v>
      </c>
      <c r="AO7124" s="54">
        <v>24</v>
      </c>
      <c r="AP7124" s="54">
        <v>18</v>
      </c>
      <c r="AQ7124" s="54">
        <v>0</v>
      </c>
      <c r="AR7124" s="55">
        <v>28500</v>
      </c>
      <c r="AS7124" s="78">
        <f t="shared" si="115"/>
        <v>0</v>
      </c>
    </row>
    <row r="7125" spans="39:45">
      <c r="AM7125" s="55">
        <v>2019</v>
      </c>
      <c r="AN7125" s="55" t="s">
        <v>191</v>
      </c>
      <c r="AO7125" s="55">
        <v>24</v>
      </c>
      <c r="AP7125" s="55">
        <v>19</v>
      </c>
      <c r="AQ7125" s="55">
        <v>0</v>
      </c>
      <c r="AR7125" s="55">
        <v>28500</v>
      </c>
      <c r="AS7125" s="78">
        <f t="shared" si="115"/>
        <v>0</v>
      </c>
    </row>
    <row r="7126" spans="39:45">
      <c r="AM7126" s="54">
        <v>2019</v>
      </c>
      <c r="AN7126" s="54" t="s">
        <v>191</v>
      </c>
      <c r="AO7126" s="54">
        <v>24</v>
      </c>
      <c r="AP7126" s="54">
        <v>20</v>
      </c>
      <c r="AQ7126" s="54">
        <v>0</v>
      </c>
      <c r="AR7126" s="55">
        <v>28500</v>
      </c>
      <c r="AS7126" s="78">
        <f t="shared" si="115"/>
        <v>0</v>
      </c>
    </row>
    <row r="7127" spans="39:45">
      <c r="AM7127" s="55">
        <v>2019</v>
      </c>
      <c r="AN7127" s="55" t="s">
        <v>191</v>
      </c>
      <c r="AO7127" s="55">
        <v>24</v>
      </c>
      <c r="AP7127" s="55">
        <v>21</v>
      </c>
      <c r="AQ7127" s="55">
        <v>0</v>
      </c>
      <c r="AR7127" s="55">
        <v>28500</v>
      </c>
      <c r="AS7127" s="78">
        <f t="shared" si="115"/>
        <v>0</v>
      </c>
    </row>
    <row r="7128" spans="39:45">
      <c r="AM7128" s="54">
        <v>2019</v>
      </c>
      <c r="AN7128" s="54" t="s">
        <v>191</v>
      </c>
      <c r="AO7128" s="54">
        <v>24</v>
      </c>
      <c r="AP7128" s="54">
        <v>22</v>
      </c>
      <c r="AQ7128" s="54">
        <v>0</v>
      </c>
      <c r="AR7128" s="55">
        <v>28500</v>
      </c>
      <c r="AS7128" s="78">
        <f t="shared" si="115"/>
        <v>0</v>
      </c>
    </row>
    <row r="7129" spans="39:45">
      <c r="AM7129" s="55">
        <v>2019</v>
      </c>
      <c r="AN7129" s="55" t="s">
        <v>191</v>
      </c>
      <c r="AO7129" s="55">
        <v>24</v>
      </c>
      <c r="AP7129" s="55">
        <v>23</v>
      </c>
      <c r="AQ7129" s="55">
        <v>0</v>
      </c>
      <c r="AR7129" s="55">
        <v>28500</v>
      </c>
      <c r="AS7129" s="78">
        <f t="shared" si="115"/>
        <v>0</v>
      </c>
    </row>
    <row r="7130" spans="39:45">
      <c r="AM7130" s="54">
        <v>2019</v>
      </c>
      <c r="AN7130" s="54" t="s">
        <v>191</v>
      </c>
      <c r="AO7130" s="54">
        <v>25</v>
      </c>
      <c r="AP7130" s="54">
        <v>24</v>
      </c>
      <c r="AQ7130" s="54">
        <v>0</v>
      </c>
      <c r="AR7130" s="55">
        <v>28500</v>
      </c>
      <c r="AS7130" s="78">
        <f t="shared" si="115"/>
        <v>0</v>
      </c>
    </row>
    <row r="7131" spans="39:45">
      <c r="AM7131" s="55">
        <v>2019</v>
      </c>
      <c r="AN7131" s="55" t="s">
        <v>191</v>
      </c>
      <c r="AO7131" s="55">
        <v>25</v>
      </c>
      <c r="AP7131" s="55">
        <v>1</v>
      </c>
      <c r="AQ7131" s="55">
        <v>0</v>
      </c>
      <c r="AR7131" s="55">
        <v>28500</v>
      </c>
      <c r="AS7131" s="78">
        <f t="shared" si="115"/>
        <v>0</v>
      </c>
    </row>
    <row r="7132" spans="39:45">
      <c r="AM7132" s="54">
        <v>2019</v>
      </c>
      <c r="AN7132" s="54" t="s">
        <v>191</v>
      </c>
      <c r="AO7132" s="54">
        <v>25</v>
      </c>
      <c r="AP7132" s="54">
        <v>2</v>
      </c>
      <c r="AQ7132" s="54">
        <v>0</v>
      </c>
      <c r="AR7132" s="55">
        <v>28500</v>
      </c>
      <c r="AS7132" s="78">
        <f t="shared" si="115"/>
        <v>0</v>
      </c>
    </row>
    <row r="7133" spans="39:45">
      <c r="AM7133" s="55">
        <v>2019</v>
      </c>
      <c r="AN7133" s="55" t="s">
        <v>191</v>
      </c>
      <c r="AO7133" s="55">
        <v>25</v>
      </c>
      <c r="AP7133" s="55">
        <v>3</v>
      </c>
      <c r="AQ7133" s="55">
        <v>0</v>
      </c>
      <c r="AR7133" s="55">
        <v>28500</v>
      </c>
      <c r="AS7133" s="78">
        <f t="shared" si="115"/>
        <v>0</v>
      </c>
    </row>
    <row r="7134" spans="39:45">
      <c r="AM7134" s="54">
        <v>2019</v>
      </c>
      <c r="AN7134" s="54" t="s">
        <v>191</v>
      </c>
      <c r="AO7134" s="54">
        <v>25</v>
      </c>
      <c r="AP7134" s="54">
        <v>4</v>
      </c>
      <c r="AQ7134" s="54">
        <v>0</v>
      </c>
      <c r="AR7134" s="55">
        <v>28500</v>
      </c>
      <c r="AS7134" s="78">
        <f t="shared" si="115"/>
        <v>0</v>
      </c>
    </row>
    <row r="7135" spans="39:45">
      <c r="AM7135" s="55">
        <v>2019</v>
      </c>
      <c r="AN7135" s="55" t="s">
        <v>191</v>
      </c>
      <c r="AO7135" s="55">
        <v>25</v>
      </c>
      <c r="AP7135" s="55">
        <v>5</v>
      </c>
      <c r="AQ7135" s="55">
        <v>0</v>
      </c>
      <c r="AR7135" s="55">
        <v>28500</v>
      </c>
      <c r="AS7135" s="78">
        <f t="shared" si="115"/>
        <v>0</v>
      </c>
    </row>
    <row r="7136" spans="39:45">
      <c r="AM7136" s="54">
        <v>2019</v>
      </c>
      <c r="AN7136" s="54" t="s">
        <v>191</v>
      </c>
      <c r="AO7136" s="54">
        <v>25</v>
      </c>
      <c r="AP7136" s="54">
        <v>6</v>
      </c>
      <c r="AQ7136" s="54">
        <v>0</v>
      </c>
      <c r="AR7136" s="55">
        <v>28500</v>
      </c>
      <c r="AS7136" s="78">
        <f t="shared" si="115"/>
        <v>0</v>
      </c>
    </row>
    <row r="7137" spans="39:45">
      <c r="AM7137" s="55">
        <v>2019</v>
      </c>
      <c r="AN7137" s="55" t="s">
        <v>191</v>
      </c>
      <c r="AO7137" s="55">
        <v>25</v>
      </c>
      <c r="AP7137" s="55">
        <v>7</v>
      </c>
      <c r="AQ7137" s="55">
        <v>119</v>
      </c>
      <c r="AR7137" s="55">
        <v>28500</v>
      </c>
      <c r="AS7137" s="78">
        <f t="shared" si="115"/>
        <v>4.175438596491228E-3</v>
      </c>
    </row>
    <row r="7138" spans="39:45">
      <c r="AM7138" s="54">
        <v>2019</v>
      </c>
      <c r="AN7138" s="54" t="s">
        <v>191</v>
      </c>
      <c r="AO7138" s="54">
        <v>25</v>
      </c>
      <c r="AP7138" s="54">
        <v>8</v>
      </c>
      <c r="AQ7138" s="54">
        <v>1387</v>
      </c>
      <c r="AR7138" s="55">
        <v>28500</v>
      </c>
      <c r="AS7138" s="78">
        <f t="shared" si="115"/>
        <v>4.8666666666666664E-2</v>
      </c>
    </row>
    <row r="7139" spans="39:45">
      <c r="AM7139" s="55">
        <v>2019</v>
      </c>
      <c r="AN7139" s="55" t="s">
        <v>191</v>
      </c>
      <c r="AO7139" s="55">
        <v>25</v>
      </c>
      <c r="AP7139" s="55">
        <v>9</v>
      </c>
      <c r="AQ7139" s="55">
        <v>2025</v>
      </c>
      <c r="AR7139" s="55">
        <v>28500</v>
      </c>
      <c r="AS7139" s="78">
        <f t="shared" si="115"/>
        <v>7.1052631578947367E-2</v>
      </c>
    </row>
    <row r="7140" spans="39:45">
      <c r="AM7140" s="54">
        <v>2019</v>
      </c>
      <c r="AN7140" s="54" t="s">
        <v>191</v>
      </c>
      <c r="AO7140" s="54">
        <v>25</v>
      </c>
      <c r="AP7140" s="54">
        <v>10</v>
      </c>
      <c r="AQ7140" s="54">
        <v>2193</v>
      </c>
      <c r="AR7140" s="55">
        <v>28500</v>
      </c>
      <c r="AS7140" s="78">
        <f t="shared" si="115"/>
        <v>7.6947368421052625E-2</v>
      </c>
    </row>
    <row r="7141" spans="39:45">
      <c r="AM7141" s="55">
        <v>2019</v>
      </c>
      <c r="AN7141" s="55" t="s">
        <v>191</v>
      </c>
      <c r="AO7141" s="55">
        <v>25</v>
      </c>
      <c r="AP7141" s="55">
        <v>11</v>
      </c>
      <c r="AQ7141" s="55">
        <v>3655</v>
      </c>
      <c r="AR7141" s="55">
        <v>28500</v>
      </c>
      <c r="AS7141" s="78">
        <f t="shared" si="115"/>
        <v>0.12824561403508772</v>
      </c>
    </row>
    <row r="7142" spans="39:45">
      <c r="AM7142" s="54">
        <v>2019</v>
      </c>
      <c r="AN7142" s="54" t="s">
        <v>191</v>
      </c>
      <c r="AO7142" s="54">
        <v>25</v>
      </c>
      <c r="AP7142" s="54">
        <v>12</v>
      </c>
      <c r="AQ7142" s="54">
        <v>3047</v>
      </c>
      <c r="AR7142" s="55">
        <v>28500</v>
      </c>
      <c r="AS7142" s="78">
        <f t="shared" si="115"/>
        <v>0.10691228070175439</v>
      </c>
    </row>
    <row r="7143" spans="39:45">
      <c r="AM7143" s="55">
        <v>2019</v>
      </c>
      <c r="AN7143" s="55" t="s">
        <v>191</v>
      </c>
      <c r="AO7143" s="55">
        <v>25</v>
      </c>
      <c r="AP7143" s="55">
        <v>13</v>
      </c>
      <c r="AQ7143" s="55">
        <v>4494.5</v>
      </c>
      <c r="AR7143" s="55">
        <v>28500</v>
      </c>
      <c r="AS7143" s="78">
        <f t="shared" si="115"/>
        <v>0.1577017543859649</v>
      </c>
    </row>
    <row r="7144" spans="39:45">
      <c r="AM7144" s="54">
        <v>2019</v>
      </c>
      <c r="AN7144" s="54" t="s">
        <v>191</v>
      </c>
      <c r="AO7144" s="54">
        <v>25</v>
      </c>
      <c r="AP7144" s="54">
        <v>14</v>
      </c>
      <c r="AQ7144" s="54">
        <v>3187.5</v>
      </c>
      <c r="AR7144" s="55">
        <v>28500</v>
      </c>
      <c r="AS7144" s="78">
        <f t="shared" si="115"/>
        <v>0.1118421052631579</v>
      </c>
    </row>
    <row r="7145" spans="39:45">
      <c r="AM7145" s="55">
        <v>2019</v>
      </c>
      <c r="AN7145" s="55" t="s">
        <v>191</v>
      </c>
      <c r="AO7145" s="55">
        <v>25</v>
      </c>
      <c r="AP7145" s="55">
        <v>15</v>
      </c>
      <c r="AQ7145" s="55">
        <v>4856</v>
      </c>
      <c r="AR7145" s="55">
        <v>28500</v>
      </c>
      <c r="AS7145" s="78">
        <f t="shared" si="115"/>
        <v>0.1703859649122807</v>
      </c>
    </row>
    <row r="7146" spans="39:45">
      <c r="AM7146" s="54">
        <v>2019</v>
      </c>
      <c r="AN7146" s="54" t="s">
        <v>191</v>
      </c>
      <c r="AO7146" s="54">
        <v>25</v>
      </c>
      <c r="AP7146" s="54">
        <v>16</v>
      </c>
      <c r="AQ7146" s="54">
        <v>238</v>
      </c>
      <c r="AR7146" s="55">
        <v>28500</v>
      </c>
      <c r="AS7146" s="78">
        <f t="shared" si="115"/>
        <v>8.350877192982456E-3</v>
      </c>
    </row>
    <row r="7147" spans="39:45">
      <c r="AM7147" s="55">
        <v>2019</v>
      </c>
      <c r="AN7147" s="55" t="s">
        <v>191</v>
      </c>
      <c r="AO7147" s="55">
        <v>25</v>
      </c>
      <c r="AP7147" s="55">
        <v>17</v>
      </c>
      <c r="AQ7147" s="55">
        <v>0</v>
      </c>
      <c r="AR7147" s="55">
        <v>28500</v>
      </c>
      <c r="AS7147" s="78">
        <f t="shared" si="115"/>
        <v>0</v>
      </c>
    </row>
    <row r="7148" spans="39:45">
      <c r="AM7148" s="54">
        <v>2019</v>
      </c>
      <c r="AN7148" s="54" t="s">
        <v>191</v>
      </c>
      <c r="AO7148" s="54">
        <v>25</v>
      </c>
      <c r="AP7148" s="54">
        <v>18</v>
      </c>
      <c r="AQ7148" s="54">
        <v>0</v>
      </c>
      <c r="AR7148" s="55">
        <v>28500</v>
      </c>
      <c r="AS7148" s="78">
        <f t="shared" si="115"/>
        <v>0</v>
      </c>
    </row>
    <row r="7149" spans="39:45">
      <c r="AM7149" s="55">
        <v>2019</v>
      </c>
      <c r="AN7149" s="55" t="s">
        <v>191</v>
      </c>
      <c r="AO7149" s="55">
        <v>25</v>
      </c>
      <c r="AP7149" s="55">
        <v>19</v>
      </c>
      <c r="AQ7149" s="55">
        <v>0</v>
      </c>
      <c r="AR7149" s="55">
        <v>28500</v>
      </c>
      <c r="AS7149" s="78">
        <f t="shared" si="115"/>
        <v>0</v>
      </c>
    </row>
    <row r="7150" spans="39:45">
      <c r="AM7150" s="54">
        <v>2019</v>
      </c>
      <c r="AN7150" s="54" t="s">
        <v>191</v>
      </c>
      <c r="AO7150" s="54">
        <v>25</v>
      </c>
      <c r="AP7150" s="54">
        <v>20</v>
      </c>
      <c r="AQ7150" s="54">
        <v>0</v>
      </c>
      <c r="AR7150" s="55">
        <v>28500</v>
      </c>
      <c r="AS7150" s="78">
        <f t="shared" si="115"/>
        <v>0</v>
      </c>
    </row>
    <row r="7151" spans="39:45">
      <c r="AM7151" s="55">
        <v>2019</v>
      </c>
      <c r="AN7151" s="55" t="s">
        <v>191</v>
      </c>
      <c r="AO7151" s="55">
        <v>25</v>
      </c>
      <c r="AP7151" s="55">
        <v>21</v>
      </c>
      <c r="AQ7151" s="55">
        <v>0</v>
      </c>
      <c r="AR7151" s="55">
        <v>28500</v>
      </c>
      <c r="AS7151" s="78">
        <f t="shared" si="115"/>
        <v>0</v>
      </c>
    </row>
    <row r="7152" spans="39:45">
      <c r="AM7152" s="54">
        <v>2019</v>
      </c>
      <c r="AN7152" s="54" t="s">
        <v>191</v>
      </c>
      <c r="AO7152" s="54">
        <v>25</v>
      </c>
      <c r="AP7152" s="54">
        <v>22</v>
      </c>
      <c r="AQ7152" s="54">
        <v>0</v>
      </c>
      <c r="AR7152" s="55">
        <v>28500</v>
      </c>
      <c r="AS7152" s="78">
        <f t="shared" si="115"/>
        <v>0</v>
      </c>
    </row>
    <row r="7153" spans="39:45">
      <c r="AM7153" s="55">
        <v>2019</v>
      </c>
      <c r="AN7153" s="55" t="s">
        <v>191</v>
      </c>
      <c r="AO7153" s="55">
        <v>25</v>
      </c>
      <c r="AP7153" s="55">
        <v>23</v>
      </c>
      <c r="AQ7153" s="55">
        <v>0</v>
      </c>
      <c r="AR7153" s="55">
        <v>28500</v>
      </c>
      <c r="AS7153" s="78">
        <f t="shared" si="115"/>
        <v>0</v>
      </c>
    </row>
    <row r="7154" spans="39:45">
      <c r="AM7154" s="54">
        <v>2019</v>
      </c>
      <c r="AN7154" s="54" t="s">
        <v>191</v>
      </c>
      <c r="AO7154" s="54">
        <v>26</v>
      </c>
      <c r="AP7154" s="54">
        <v>24</v>
      </c>
      <c r="AQ7154" s="54">
        <v>0</v>
      </c>
      <c r="AR7154" s="55">
        <v>28500</v>
      </c>
      <c r="AS7154" s="78">
        <f t="shared" si="115"/>
        <v>0</v>
      </c>
    </row>
    <row r="7155" spans="39:45">
      <c r="AM7155" s="55">
        <v>2019</v>
      </c>
      <c r="AN7155" s="55" t="s">
        <v>191</v>
      </c>
      <c r="AO7155" s="55">
        <v>26</v>
      </c>
      <c r="AP7155" s="55">
        <v>1</v>
      </c>
      <c r="AQ7155" s="55">
        <v>0</v>
      </c>
      <c r="AR7155" s="55">
        <v>28500</v>
      </c>
      <c r="AS7155" s="78">
        <f t="shared" si="115"/>
        <v>0</v>
      </c>
    </row>
    <row r="7156" spans="39:45">
      <c r="AM7156" s="54">
        <v>2019</v>
      </c>
      <c r="AN7156" s="54" t="s">
        <v>191</v>
      </c>
      <c r="AO7156" s="54">
        <v>26</v>
      </c>
      <c r="AP7156" s="54">
        <v>2</v>
      </c>
      <c r="AQ7156" s="54">
        <v>0</v>
      </c>
      <c r="AR7156" s="55">
        <v>28500</v>
      </c>
      <c r="AS7156" s="78">
        <f t="shared" si="115"/>
        <v>0</v>
      </c>
    </row>
    <row r="7157" spans="39:45">
      <c r="AM7157" s="55">
        <v>2019</v>
      </c>
      <c r="AN7157" s="55" t="s">
        <v>191</v>
      </c>
      <c r="AO7157" s="55">
        <v>26</v>
      </c>
      <c r="AP7157" s="55">
        <v>3</v>
      </c>
      <c r="AQ7157" s="55">
        <v>0</v>
      </c>
      <c r="AR7157" s="55">
        <v>28500</v>
      </c>
      <c r="AS7157" s="78">
        <f t="shared" si="115"/>
        <v>0</v>
      </c>
    </row>
    <row r="7158" spans="39:45">
      <c r="AM7158" s="54">
        <v>2019</v>
      </c>
      <c r="AN7158" s="54" t="s">
        <v>191</v>
      </c>
      <c r="AO7158" s="54">
        <v>26</v>
      </c>
      <c r="AP7158" s="54">
        <v>4</v>
      </c>
      <c r="AQ7158" s="54">
        <v>0</v>
      </c>
      <c r="AR7158" s="55">
        <v>28500</v>
      </c>
      <c r="AS7158" s="78">
        <f t="shared" si="115"/>
        <v>0</v>
      </c>
    </row>
    <row r="7159" spans="39:45">
      <c r="AM7159" s="55">
        <v>2019</v>
      </c>
      <c r="AN7159" s="55" t="s">
        <v>191</v>
      </c>
      <c r="AO7159" s="55">
        <v>26</v>
      </c>
      <c r="AP7159" s="55">
        <v>5</v>
      </c>
      <c r="AQ7159" s="55">
        <v>0</v>
      </c>
      <c r="AR7159" s="55">
        <v>28500</v>
      </c>
      <c r="AS7159" s="78">
        <f t="shared" si="115"/>
        <v>0</v>
      </c>
    </row>
    <row r="7160" spans="39:45">
      <c r="AM7160" s="54">
        <v>2019</v>
      </c>
      <c r="AN7160" s="54" t="s">
        <v>191</v>
      </c>
      <c r="AO7160" s="54">
        <v>26</v>
      </c>
      <c r="AP7160" s="54">
        <v>6</v>
      </c>
      <c r="AQ7160" s="54">
        <v>0</v>
      </c>
      <c r="AR7160" s="55">
        <v>28500</v>
      </c>
      <c r="AS7160" s="78">
        <f t="shared" si="115"/>
        <v>0</v>
      </c>
    </row>
    <row r="7161" spans="39:45">
      <c r="AM7161" s="55">
        <v>2019</v>
      </c>
      <c r="AN7161" s="55" t="s">
        <v>191</v>
      </c>
      <c r="AO7161" s="55">
        <v>26</v>
      </c>
      <c r="AP7161" s="55">
        <v>7</v>
      </c>
      <c r="AQ7161" s="55">
        <v>49</v>
      </c>
      <c r="AR7161" s="55">
        <v>28500</v>
      </c>
      <c r="AS7161" s="78">
        <f t="shared" si="115"/>
        <v>1.7192982456140352E-3</v>
      </c>
    </row>
    <row r="7162" spans="39:45">
      <c r="AM7162" s="54">
        <v>2019</v>
      </c>
      <c r="AN7162" s="54" t="s">
        <v>191</v>
      </c>
      <c r="AO7162" s="54">
        <v>26</v>
      </c>
      <c r="AP7162" s="54">
        <v>8</v>
      </c>
      <c r="AQ7162" s="54">
        <v>495.5</v>
      </c>
      <c r="AR7162" s="55">
        <v>28500</v>
      </c>
      <c r="AS7162" s="78">
        <f t="shared" si="115"/>
        <v>1.7385964912280703E-2</v>
      </c>
    </row>
    <row r="7163" spans="39:45">
      <c r="AM7163" s="55">
        <v>2019</v>
      </c>
      <c r="AN7163" s="55" t="s">
        <v>191</v>
      </c>
      <c r="AO7163" s="55">
        <v>26</v>
      </c>
      <c r="AP7163" s="55">
        <v>9</v>
      </c>
      <c r="AQ7163" s="55">
        <v>3921</v>
      </c>
      <c r="AR7163" s="55">
        <v>28500</v>
      </c>
      <c r="AS7163" s="78">
        <f t="shared" si="115"/>
        <v>0.13757894736842105</v>
      </c>
    </row>
    <row r="7164" spans="39:45">
      <c r="AM7164" s="54">
        <v>2019</v>
      </c>
      <c r="AN7164" s="54" t="s">
        <v>191</v>
      </c>
      <c r="AO7164" s="54">
        <v>26</v>
      </c>
      <c r="AP7164" s="54">
        <v>10</v>
      </c>
      <c r="AQ7164" s="54">
        <v>679.5</v>
      </c>
      <c r="AR7164" s="55">
        <v>28500</v>
      </c>
      <c r="AS7164" s="78">
        <f t="shared" si="115"/>
        <v>2.3842105263157894E-2</v>
      </c>
    </row>
    <row r="7165" spans="39:45">
      <c r="AM7165" s="55">
        <v>2019</v>
      </c>
      <c r="AN7165" s="55" t="s">
        <v>191</v>
      </c>
      <c r="AO7165" s="55">
        <v>26</v>
      </c>
      <c r="AP7165" s="55">
        <v>11</v>
      </c>
      <c r="AQ7165" s="55">
        <v>5002.5</v>
      </c>
      <c r="AR7165" s="55">
        <v>28500</v>
      </c>
      <c r="AS7165" s="78">
        <f t="shared" si="115"/>
        <v>0.1755263157894737</v>
      </c>
    </row>
    <row r="7166" spans="39:45">
      <c r="AM7166" s="54">
        <v>2019</v>
      </c>
      <c r="AN7166" s="54" t="s">
        <v>191</v>
      </c>
      <c r="AO7166" s="54">
        <v>26</v>
      </c>
      <c r="AP7166" s="54">
        <v>12</v>
      </c>
      <c r="AQ7166" s="54">
        <v>2394</v>
      </c>
      <c r="AR7166" s="55">
        <v>28500</v>
      </c>
      <c r="AS7166" s="78">
        <f t="shared" si="115"/>
        <v>8.4000000000000005E-2</v>
      </c>
    </row>
    <row r="7167" spans="39:45">
      <c r="AM7167" s="55">
        <v>2019</v>
      </c>
      <c r="AN7167" s="55" t="s">
        <v>191</v>
      </c>
      <c r="AO7167" s="55">
        <v>26</v>
      </c>
      <c r="AP7167" s="55">
        <v>13</v>
      </c>
      <c r="AQ7167" s="55">
        <v>2359.5</v>
      </c>
      <c r="AR7167" s="55">
        <v>28500</v>
      </c>
      <c r="AS7167" s="78">
        <f t="shared" si="115"/>
        <v>8.2789473684210524E-2</v>
      </c>
    </row>
    <row r="7168" spans="39:45">
      <c r="AM7168" s="54">
        <v>2019</v>
      </c>
      <c r="AN7168" s="54" t="s">
        <v>191</v>
      </c>
      <c r="AO7168" s="54">
        <v>26</v>
      </c>
      <c r="AP7168" s="54">
        <v>14</v>
      </c>
      <c r="AQ7168" s="54">
        <v>2108</v>
      </c>
      <c r="AR7168" s="55">
        <v>28500</v>
      </c>
      <c r="AS7168" s="78">
        <f t="shared" si="115"/>
        <v>7.3964912280701761E-2</v>
      </c>
    </row>
    <row r="7169" spans="39:45">
      <c r="AM7169" s="55">
        <v>2019</v>
      </c>
      <c r="AN7169" s="55" t="s">
        <v>191</v>
      </c>
      <c r="AO7169" s="55">
        <v>26</v>
      </c>
      <c r="AP7169" s="55">
        <v>15</v>
      </c>
      <c r="AQ7169" s="55">
        <v>2108</v>
      </c>
      <c r="AR7169" s="55">
        <v>28500</v>
      </c>
      <c r="AS7169" s="78">
        <f t="shared" si="115"/>
        <v>7.3964912280701761E-2</v>
      </c>
    </row>
    <row r="7170" spans="39:45">
      <c r="AM7170" s="54">
        <v>2019</v>
      </c>
      <c r="AN7170" s="54" t="s">
        <v>191</v>
      </c>
      <c r="AO7170" s="54">
        <v>26</v>
      </c>
      <c r="AP7170" s="54">
        <v>16</v>
      </c>
      <c r="AQ7170" s="54">
        <v>473.5</v>
      </c>
      <c r="AR7170" s="55">
        <v>28500</v>
      </c>
      <c r="AS7170" s="78">
        <f t="shared" ref="AS7170:AS7233" si="116">AQ7170/AR7170</f>
        <v>1.66140350877193E-2</v>
      </c>
    </row>
    <row r="7171" spans="39:45">
      <c r="AM7171" s="55">
        <v>2019</v>
      </c>
      <c r="AN7171" s="55" t="s">
        <v>191</v>
      </c>
      <c r="AO7171" s="55">
        <v>26</v>
      </c>
      <c r="AP7171" s="55">
        <v>17</v>
      </c>
      <c r="AQ7171" s="55">
        <v>0</v>
      </c>
      <c r="AR7171" s="55">
        <v>28500</v>
      </c>
      <c r="AS7171" s="78">
        <f t="shared" si="116"/>
        <v>0</v>
      </c>
    </row>
    <row r="7172" spans="39:45">
      <c r="AM7172" s="54">
        <v>2019</v>
      </c>
      <c r="AN7172" s="54" t="s">
        <v>191</v>
      </c>
      <c r="AO7172" s="54">
        <v>26</v>
      </c>
      <c r="AP7172" s="54">
        <v>18</v>
      </c>
      <c r="AQ7172" s="54">
        <v>0</v>
      </c>
      <c r="AR7172" s="55">
        <v>28500</v>
      </c>
      <c r="AS7172" s="78">
        <f t="shared" si="116"/>
        <v>0</v>
      </c>
    </row>
    <row r="7173" spans="39:45">
      <c r="AM7173" s="55">
        <v>2019</v>
      </c>
      <c r="AN7173" s="55" t="s">
        <v>191</v>
      </c>
      <c r="AO7173" s="55">
        <v>26</v>
      </c>
      <c r="AP7173" s="55">
        <v>19</v>
      </c>
      <c r="AQ7173" s="55">
        <v>0</v>
      </c>
      <c r="AR7173" s="55">
        <v>28500</v>
      </c>
      <c r="AS7173" s="78">
        <f t="shared" si="116"/>
        <v>0</v>
      </c>
    </row>
    <row r="7174" spans="39:45">
      <c r="AM7174" s="54">
        <v>2019</v>
      </c>
      <c r="AN7174" s="54" t="s">
        <v>191</v>
      </c>
      <c r="AO7174" s="54">
        <v>26</v>
      </c>
      <c r="AP7174" s="54">
        <v>20</v>
      </c>
      <c r="AQ7174" s="54">
        <v>0</v>
      </c>
      <c r="AR7174" s="55">
        <v>28500</v>
      </c>
      <c r="AS7174" s="78">
        <f t="shared" si="116"/>
        <v>0</v>
      </c>
    </row>
    <row r="7175" spans="39:45">
      <c r="AM7175" s="55">
        <v>2019</v>
      </c>
      <c r="AN7175" s="55" t="s">
        <v>191</v>
      </c>
      <c r="AO7175" s="55">
        <v>26</v>
      </c>
      <c r="AP7175" s="55">
        <v>21</v>
      </c>
      <c r="AQ7175" s="55">
        <v>0</v>
      </c>
      <c r="AR7175" s="55">
        <v>28500</v>
      </c>
      <c r="AS7175" s="78">
        <f t="shared" si="116"/>
        <v>0</v>
      </c>
    </row>
    <row r="7176" spans="39:45">
      <c r="AM7176" s="54">
        <v>2019</v>
      </c>
      <c r="AN7176" s="54" t="s">
        <v>191</v>
      </c>
      <c r="AO7176" s="54">
        <v>26</v>
      </c>
      <c r="AP7176" s="54">
        <v>22</v>
      </c>
      <c r="AQ7176" s="54">
        <v>0</v>
      </c>
      <c r="AR7176" s="55">
        <v>28500</v>
      </c>
      <c r="AS7176" s="78">
        <f t="shared" si="116"/>
        <v>0</v>
      </c>
    </row>
    <row r="7177" spans="39:45">
      <c r="AM7177" s="55">
        <v>2019</v>
      </c>
      <c r="AN7177" s="55" t="s">
        <v>191</v>
      </c>
      <c r="AO7177" s="55">
        <v>26</v>
      </c>
      <c r="AP7177" s="55">
        <v>23</v>
      </c>
      <c r="AQ7177" s="55">
        <v>0</v>
      </c>
      <c r="AR7177" s="55">
        <v>28500</v>
      </c>
      <c r="AS7177" s="78">
        <f t="shared" si="116"/>
        <v>0</v>
      </c>
    </row>
    <row r="7178" spans="39:45">
      <c r="AM7178" s="54">
        <v>2019</v>
      </c>
      <c r="AN7178" s="54" t="s">
        <v>191</v>
      </c>
      <c r="AO7178" s="54">
        <v>27</v>
      </c>
      <c r="AP7178" s="54">
        <v>24</v>
      </c>
      <c r="AQ7178" s="54">
        <v>0</v>
      </c>
      <c r="AR7178" s="55">
        <v>28500</v>
      </c>
      <c r="AS7178" s="78">
        <f t="shared" si="116"/>
        <v>0</v>
      </c>
    </row>
    <row r="7179" spans="39:45">
      <c r="AM7179" s="55">
        <v>2019</v>
      </c>
      <c r="AN7179" s="55" t="s">
        <v>191</v>
      </c>
      <c r="AO7179" s="55">
        <v>27</v>
      </c>
      <c r="AP7179" s="55">
        <v>1</v>
      </c>
      <c r="AQ7179" s="55">
        <v>0</v>
      </c>
      <c r="AR7179" s="55">
        <v>28500</v>
      </c>
      <c r="AS7179" s="78">
        <f t="shared" si="116"/>
        <v>0</v>
      </c>
    </row>
    <row r="7180" spans="39:45">
      <c r="AM7180" s="54">
        <v>2019</v>
      </c>
      <c r="AN7180" s="54" t="s">
        <v>191</v>
      </c>
      <c r="AO7180" s="54">
        <v>27</v>
      </c>
      <c r="AP7180" s="54">
        <v>2</v>
      </c>
      <c r="AQ7180" s="54">
        <v>0</v>
      </c>
      <c r="AR7180" s="55">
        <v>28500</v>
      </c>
      <c r="AS7180" s="78">
        <f t="shared" si="116"/>
        <v>0</v>
      </c>
    </row>
    <row r="7181" spans="39:45">
      <c r="AM7181" s="55">
        <v>2019</v>
      </c>
      <c r="AN7181" s="55" t="s">
        <v>191</v>
      </c>
      <c r="AO7181" s="55">
        <v>27</v>
      </c>
      <c r="AP7181" s="55">
        <v>3</v>
      </c>
      <c r="AQ7181" s="55">
        <v>0</v>
      </c>
      <c r="AR7181" s="55">
        <v>28500</v>
      </c>
      <c r="AS7181" s="78">
        <f t="shared" si="116"/>
        <v>0</v>
      </c>
    </row>
    <row r="7182" spans="39:45">
      <c r="AM7182" s="54">
        <v>2019</v>
      </c>
      <c r="AN7182" s="54" t="s">
        <v>191</v>
      </c>
      <c r="AO7182" s="54">
        <v>27</v>
      </c>
      <c r="AP7182" s="54">
        <v>4</v>
      </c>
      <c r="AQ7182" s="54">
        <v>0</v>
      </c>
      <c r="AR7182" s="55">
        <v>28500</v>
      </c>
      <c r="AS7182" s="78">
        <f t="shared" si="116"/>
        <v>0</v>
      </c>
    </row>
    <row r="7183" spans="39:45">
      <c r="AM7183" s="55">
        <v>2019</v>
      </c>
      <c r="AN7183" s="55" t="s">
        <v>191</v>
      </c>
      <c r="AO7183" s="55">
        <v>27</v>
      </c>
      <c r="AP7183" s="55">
        <v>5</v>
      </c>
      <c r="AQ7183" s="55">
        <v>0</v>
      </c>
      <c r="AR7183" s="55">
        <v>28500</v>
      </c>
      <c r="AS7183" s="78">
        <f t="shared" si="116"/>
        <v>0</v>
      </c>
    </row>
    <row r="7184" spans="39:45">
      <c r="AM7184" s="54">
        <v>2019</v>
      </c>
      <c r="AN7184" s="54" t="s">
        <v>191</v>
      </c>
      <c r="AO7184" s="54">
        <v>27</v>
      </c>
      <c r="AP7184" s="54">
        <v>6</v>
      </c>
      <c r="AQ7184" s="54">
        <v>0</v>
      </c>
      <c r="AR7184" s="55">
        <v>28500</v>
      </c>
      <c r="AS7184" s="78">
        <f t="shared" si="116"/>
        <v>0</v>
      </c>
    </row>
    <row r="7185" spans="39:45">
      <c r="AM7185" s="55">
        <v>2019</v>
      </c>
      <c r="AN7185" s="55" t="s">
        <v>191</v>
      </c>
      <c r="AO7185" s="55">
        <v>27</v>
      </c>
      <c r="AP7185" s="55">
        <v>7</v>
      </c>
      <c r="AQ7185" s="55">
        <v>406</v>
      </c>
      <c r="AR7185" s="55">
        <v>28500</v>
      </c>
      <c r="AS7185" s="78">
        <f t="shared" si="116"/>
        <v>1.4245614035087719E-2</v>
      </c>
    </row>
    <row r="7186" spans="39:45">
      <c r="AM7186" s="54">
        <v>2019</v>
      </c>
      <c r="AN7186" s="54" t="s">
        <v>191</v>
      </c>
      <c r="AO7186" s="54">
        <v>27</v>
      </c>
      <c r="AP7186" s="54">
        <v>8</v>
      </c>
      <c r="AQ7186" s="54">
        <v>7069</v>
      </c>
      <c r="AR7186" s="55">
        <v>28500</v>
      </c>
      <c r="AS7186" s="78">
        <f t="shared" si="116"/>
        <v>0.24803508771929825</v>
      </c>
    </row>
    <row r="7187" spans="39:45">
      <c r="AM7187" s="55">
        <v>2019</v>
      </c>
      <c r="AN7187" s="55" t="s">
        <v>191</v>
      </c>
      <c r="AO7187" s="55">
        <v>27</v>
      </c>
      <c r="AP7187" s="55">
        <v>9</v>
      </c>
      <c r="AQ7187" s="55">
        <v>18223</v>
      </c>
      <c r="AR7187" s="55">
        <v>28500</v>
      </c>
      <c r="AS7187" s="78">
        <f t="shared" si="116"/>
        <v>0.63940350877192986</v>
      </c>
    </row>
    <row r="7188" spans="39:45">
      <c r="AM7188" s="54">
        <v>2019</v>
      </c>
      <c r="AN7188" s="54" t="s">
        <v>191</v>
      </c>
      <c r="AO7188" s="54">
        <v>27</v>
      </c>
      <c r="AP7188" s="54">
        <v>10</v>
      </c>
      <c r="AQ7188" s="54">
        <v>25221</v>
      </c>
      <c r="AR7188" s="55">
        <v>28500</v>
      </c>
      <c r="AS7188" s="78">
        <f t="shared" si="116"/>
        <v>0.88494736842105259</v>
      </c>
    </row>
    <row r="7189" spans="39:45">
      <c r="AM7189" s="55">
        <v>2019</v>
      </c>
      <c r="AN7189" s="55" t="s">
        <v>191</v>
      </c>
      <c r="AO7189" s="55">
        <v>27</v>
      </c>
      <c r="AP7189" s="55">
        <v>11</v>
      </c>
      <c r="AQ7189" s="55">
        <v>34578.5</v>
      </c>
      <c r="AR7189" s="55">
        <v>28500</v>
      </c>
      <c r="AS7189" s="78">
        <f t="shared" si="116"/>
        <v>1.2132807017543861</v>
      </c>
    </row>
    <row r="7190" spans="39:45">
      <c r="AM7190" s="54">
        <v>2019</v>
      </c>
      <c r="AN7190" s="54" t="s">
        <v>191</v>
      </c>
      <c r="AO7190" s="54">
        <v>27</v>
      </c>
      <c r="AP7190" s="54">
        <v>12</v>
      </c>
      <c r="AQ7190" s="54">
        <v>37542</v>
      </c>
      <c r="AR7190" s="55">
        <v>28500</v>
      </c>
      <c r="AS7190" s="78">
        <f t="shared" si="116"/>
        <v>1.3172631578947369</v>
      </c>
    </row>
    <row r="7191" spans="39:45">
      <c r="AM7191" s="55">
        <v>2019</v>
      </c>
      <c r="AN7191" s="55" t="s">
        <v>191</v>
      </c>
      <c r="AO7191" s="55">
        <v>27</v>
      </c>
      <c r="AP7191" s="55">
        <v>13</v>
      </c>
      <c r="AQ7191" s="55">
        <v>32580</v>
      </c>
      <c r="AR7191" s="55">
        <v>28500</v>
      </c>
      <c r="AS7191" s="78">
        <f t="shared" si="116"/>
        <v>1.1431578947368422</v>
      </c>
    </row>
    <row r="7192" spans="39:45">
      <c r="AM7192" s="54">
        <v>2019</v>
      </c>
      <c r="AN7192" s="54" t="s">
        <v>191</v>
      </c>
      <c r="AO7192" s="54">
        <v>27</v>
      </c>
      <c r="AP7192" s="54">
        <v>14</v>
      </c>
      <c r="AQ7192" s="54">
        <v>18432.5</v>
      </c>
      <c r="AR7192" s="55">
        <v>28500</v>
      </c>
      <c r="AS7192" s="78">
        <f t="shared" si="116"/>
        <v>0.6467543859649123</v>
      </c>
    </row>
    <row r="7193" spans="39:45">
      <c r="AM7193" s="55">
        <v>2019</v>
      </c>
      <c r="AN7193" s="55" t="s">
        <v>191</v>
      </c>
      <c r="AO7193" s="55">
        <v>27</v>
      </c>
      <c r="AP7193" s="55">
        <v>15</v>
      </c>
      <c r="AQ7193" s="55">
        <v>17244.5</v>
      </c>
      <c r="AR7193" s="55">
        <v>28500</v>
      </c>
      <c r="AS7193" s="78">
        <f t="shared" si="116"/>
        <v>0.60507017543859654</v>
      </c>
    </row>
    <row r="7194" spans="39:45">
      <c r="AM7194" s="54">
        <v>2019</v>
      </c>
      <c r="AN7194" s="54" t="s">
        <v>191</v>
      </c>
      <c r="AO7194" s="54">
        <v>27</v>
      </c>
      <c r="AP7194" s="54">
        <v>16</v>
      </c>
      <c r="AQ7194" s="54">
        <v>1777.5</v>
      </c>
      <c r="AR7194" s="55">
        <v>28500</v>
      </c>
      <c r="AS7194" s="78">
        <f t="shared" si="116"/>
        <v>6.236842105263158E-2</v>
      </c>
    </row>
    <row r="7195" spans="39:45">
      <c r="AM7195" s="55">
        <v>2019</v>
      </c>
      <c r="AN7195" s="55" t="s">
        <v>191</v>
      </c>
      <c r="AO7195" s="55">
        <v>27</v>
      </c>
      <c r="AP7195" s="55">
        <v>17</v>
      </c>
      <c r="AQ7195" s="55">
        <v>0</v>
      </c>
      <c r="AR7195" s="55">
        <v>28500</v>
      </c>
      <c r="AS7195" s="78">
        <f t="shared" si="116"/>
        <v>0</v>
      </c>
    </row>
    <row r="7196" spans="39:45">
      <c r="AM7196" s="54">
        <v>2019</v>
      </c>
      <c r="AN7196" s="54" t="s">
        <v>191</v>
      </c>
      <c r="AO7196" s="54">
        <v>27</v>
      </c>
      <c r="AP7196" s="54">
        <v>18</v>
      </c>
      <c r="AQ7196" s="54">
        <v>0</v>
      </c>
      <c r="AR7196" s="55">
        <v>28500</v>
      </c>
      <c r="AS7196" s="78">
        <f t="shared" si="116"/>
        <v>0</v>
      </c>
    </row>
    <row r="7197" spans="39:45">
      <c r="AM7197" s="55">
        <v>2019</v>
      </c>
      <c r="AN7197" s="55" t="s">
        <v>191</v>
      </c>
      <c r="AO7197" s="55">
        <v>27</v>
      </c>
      <c r="AP7197" s="55">
        <v>19</v>
      </c>
      <c r="AQ7197" s="55">
        <v>0</v>
      </c>
      <c r="AR7197" s="55">
        <v>28500</v>
      </c>
      <c r="AS7197" s="78">
        <f t="shared" si="116"/>
        <v>0</v>
      </c>
    </row>
    <row r="7198" spans="39:45">
      <c r="AM7198" s="54">
        <v>2019</v>
      </c>
      <c r="AN7198" s="54" t="s">
        <v>191</v>
      </c>
      <c r="AO7198" s="54">
        <v>27</v>
      </c>
      <c r="AP7198" s="54">
        <v>20</v>
      </c>
      <c r="AQ7198" s="54">
        <v>0</v>
      </c>
      <c r="AR7198" s="55">
        <v>28500</v>
      </c>
      <c r="AS7198" s="78">
        <f t="shared" si="116"/>
        <v>0</v>
      </c>
    </row>
    <row r="7199" spans="39:45">
      <c r="AM7199" s="55">
        <v>2019</v>
      </c>
      <c r="AN7199" s="55" t="s">
        <v>191</v>
      </c>
      <c r="AO7199" s="55">
        <v>27</v>
      </c>
      <c r="AP7199" s="55">
        <v>21</v>
      </c>
      <c r="AQ7199" s="55">
        <v>0</v>
      </c>
      <c r="AR7199" s="55">
        <v>28500</v>
      </c>
      <c r="AS7199" s="78">
        <f t="shared" si="116"/>
        <v>0</v>
      </c>
    </row>
    <row r="7200" spans="39:45">
      <c r="AM7200" s="54">
        <v>2019</v>
      </c>
      <c r="AN7200" s="54" t="s">
        <v>191</v>
      </c>
      <c r="AO7200" s="54">
        <v>27</v>
      </c>
      <c r="AP7200" s="54">
        <v>22</v>
      </c>
      <c r="AQ7200" s="54">
        <v>0</v>
      </c>
      <c r="AR7200" s="55">
        <v>28500</v>
      </c>
      <c r="AS7200" s="78">
        <f t="shared" si="116"/>
        <v>0</v>
      </c>
    </row>
    <row r="7201" spans="39:45">
      <c r="AM7201" s="55">
        <v>2019</v>
      </c>
      <c r="AN7201" s="55" t="s">
        <v>191</v>
      </c>
      <c r="AO7201" s="55">
        <v>27</v>
      </c>
      <c r="AP7201" s="55">
        <v>23</v>
      </c>
      <c r="AQ7201" s="55">
        <v>0</v>
      </c>
      <c r="AR7201" s="55">
        <v>28500</v>
      </c>
      <c r="AS7201" s="78">
        <f t="shared" si="116"/>
        <v>0</v>
      </c>
    </row>
    <row r="7202" spans="39:45">
      <c r="AM7202" s="54">
        <v>2019</v>
      </c>
      <c r="AN7202" s="54" t="s">
        <v>191</v>
      </c>
      <c r="AO7202" s="54">
        <v>28</v>
      </c>
      <c r="AP7202" s="54">
        <v>24</v>
      </c>
      <c r="AQ7202" s="54">
        <v>0</v>
      </c>
      <c r="AR7202" s="55">
        <v>28500</v>
      </c>
      <c r="AS7202" s="78">
        <f t="shared" si="116"/>
        <v>0</v>
      </c>
    </row>
    <row r="7203" spans="39:45">
      <c r="AM7203" s="55">
        <v>2019</v>
      </c>
      <c r="AN7203" s="55" t="s">
        <v>191</v>
      </c>
      <c r="AO7203" s="55">
        <v>28</v>
      </c>
      <c r="AP7203" s="55">
        <v>1</v>
      </c>
      <c r="AQ7203" s="55">
        <v>0</v>
      </c>
      <c r="AR7203" s="55">
        <v>28500</v>
      </c>
      <c r="AS7203" s="78">
        <f t="shared" si="116"/>
        <v>0</v>
      </c>
    </row>
    <row r="7204" spans="39:45">
      <c r="AM7204" s="54">
        <v>2019</v>
      </c>
      <c r="AN7204" s="54" t="s">
        <v>191</v>
      </c>
      <c r="AO7204" s="54">
        <v>28</v>
      </c>
      <c r="AP7204" s="54">
        <v>2</v>
      </c>
      <c r="AQ7204" s="54">
        <v>0</v>
      </c>
      <c r="AR7204" s="55">
        <v>28500</v>
      </c>
      <c r="AS7204" s="78">
        <f t="shared" si="116"/>
        <v>0</v>
      </c>
    </row>
    <row r="7205" spans="39:45">
      <c r="AM7205" s="55">
        <v>2019</v>
      </c>
      <c r="AN7205" s="55" t="s">
        <v>191</v>
      </c>
      <c r="AO7205" s="55">
        <v>28</v>
      </c>
      <c r="AP7205" s="55">
        <v>3</v>
      </c>
      <c r="AQ7205" s="55">
        <v>0</v>
      </c>
      <c r="AR7205" s="55">
        <v>28500</v>
      </c>
      <c r="AS7205" s="78">
        <f t="shared" si="116"/>
        <v>0</v>
      </c>
    </row>
    <row r="7206" spans="39:45">
      <c r="AM7206" s="54">
        <v>2019</v>
      </c>
      <c r="AN7206" s="54" t="s">
        <v>191</v>
      </c>
      <c r="AO7206" s="54">
        <v>28</v>
      </c>
      <c r="AP7206" s="54">
        <v>4</v>
      </c>
      <c r="AQ7206" s="54">
        <v>0</v>
      </c>
      <c r="AR7206" s="55">
        <v>28500</v>
      </c>
      <c r="AS7206" s="78">
        <f t="shared" si="116"/>
        <v>0</v>
      </c>
    </row>
    <row r="7207" spans="39:45">
      <c r="AM7207" s="55">
        <v>2019</v>
      </c>
      <c r="AN7207" s="55" t="s">
        <v>191</v>
      </c>
      <c r="AO7207" s="55">
        <v>28</v>
      </c>
      <c r="AP7207" s="55">
        <v>5</v>
      </c>
      <c r="AQ7207" s="55">
        <v>0</v>
      </c>
      <c r="AR7207" s="55">
        <v>28500</v>
      </c>
      <c r="AS7207" s="78">
        <f t="shared" si="116"/>
        <v>0</v>
      </c>
    </row>
    <row r="7208" spans="39:45">
      <c r="AM7208" s="54">
        <v>2019</v>
      </c>
      <c r="AN7208" s="54" t="s">
        <v>191</v>
      </c>
      <c r="AO7208" s="54">
        <v>28</v>
      </c>
      <c r="AP7208" s="54">
        <v>6</v>
      </c>
      <c r="AQ7208" s="54">
        <v>0</v>
      </c>
      <c r="AR7208" s="55">
        <v>28500</v>
      </c>
      <c r="AS7208" s="78">
        <f t="shared" si="116"/>
        <v>0</v>
      </c>
    </row>
    <row r="7209" spans="39:45">
      <c r="AM7209" s="55">
        <v>2019</v>
      </c>
      <c r="AN7209" s="55" t="s">
        <v>191</v>
      </c>
      <c r="AO7209" s="55">
        <v>28</v>
      </c>
      <c r="AP7209" s="55">
        <v>7</v>
      </c>
      <c r="AQ7209" s="55">
        <v>647.5</v>
      </c>
      <c r="AR7209" s="55">
        <v>28500</v>
      </c>
      <c r="AS7209" s="78">
        <f t="shared" si="116"/>
        <v>2.2719298245614035E-2</v>
      </c>
    </row>
    <row r="7210" spans="39:45">
      <c r="AM7210" s="54">
        <v>2019</v>
      </c>
      <c r="AN7210" s="54" t="s">
        <v>191</v>
      </c>
      <c r="AO7210" s="54">
        <v>28</v>
      </c>
      <c r="AP7210" s="54">
        <v>8</v>
      </c>
      <c r="AQ7210" s="54">
        <v>11652.5</v>
      </c>
      <c r="AR7210" s="55">
        <v>28500</v>
      </c>
      <c r="AS7210" s="78">
        <f t="shared" si="116"/>
        <v>0.40885964912280703</v>
      </c>
    </row>
    <row r="7211" spans="39:45">
      <c r="AM7211" s="55">
        <v>2019</v>
      </c>
      <c r="AN7211" s="55" t="s">
        <v>191</v>
      </c>
      <c r="AO7211" s="55">
        <v>28</v>
      </c>
      <c r="AP7211" s="55">
        <v>9</v>
      </c>
      <c r="AQ7211" s="55">
        <v>24233</v>
      </c>
      <c r="AR7211" s="55">
        <v>28500</v>
      </c>
      <c r="AS7211" s="78">
        <f t="shared" si="116"/>
        <v>0.85028070175438597</v>
      </c>
    </row>
    <row r="7212" spans="39:45">
      <c r="AM7212" s="54">
        <v>2019</v>
      </c>
      <c r="AN7212" s="54" t="s">
        <v>191</v>
      </c>
      <c r="AO7212" s="54">
        <v>28</v>
      </c>
      <c r="AP7212" s="54">
        <v>10</v>
      </c>
      <c r="AQ7212" s="54">
        <v>29777.5</v>
      </c>
      <c r="AR7212" s="55">
        <v>28500</v>
      </c>
      <c r="AS7212" s="78">
        <f t="shared" si="116"/>
        <v>1.0448245614035088</v>
      </c>
    </row>
    <row r="7213" spans="39:45">
      <c r="AM7213" s="55">
        <v>2019</v>
      </c>
      <c r="AN7213" s="55" t="s">
        <v>191</v>
      </c>
      <c r="AO7213" s="55">
        <v>28</v>
      </c>
      <c r="AP7213" s="55">
        <v>11</v>
      </c>
      <c r="AQ7213" s="55">
        <v>33135</v>
      </c>
      <c r="AR7213" s="55">
        <v>28500</v>
      </c>
      <c r="AS7213" s="78">
        <f t="shared" si="116"/>
        <v>1.1626315789473685</v>
      </c>
    </row>
    <row r="7214" spans="39:45">
      <c r="AM7214" s="54">
        <v>2019</v>
      </c>
      <c r="AN7214" s="54" t="s">
        <v>191</v>
      </c>
      <c r="AO7214" s="54">
        <v>28</v>
      </c>
      <c r="AP7214" s="54">
        <v>12</v>
      </c>
      <c r="AQ7214" s="54">
        <v>27372</v>
      </c>
      <c r="AR7214" s="55">
        <v>28500</v>
      </c>
      <c r="AS7214" s="78">
        <f t="shared" si="116"/>
        <v>0.96042105263157895</v>
      </c>
    </row>
    <row r="7215" spans="39:45">
      <c r="AM7215" s="55">
        <v>2019</v>
      </c>
      <c r="AN7215" s="55" t="s">
        <v>191</v>
      </c>
      <c r="AO7215" s="55">
        <v>28</v>
      </c>
      <c r="AP7215" s="55">
        <v>13</v>
      </c>
      <c r="AQ7215" s="55">
        <v>13353.5</v>
      </c>
      <c r="AR7215" s="55">
        <v>28500</v>
      </c>
      <c r="AS7215" s="78">
        <f t="shared" si="116"/>
        <v>0.46854385964912282</v>
      </c>
    </row>
    <row r="7216" spans="39:45">
      <c r="AM7216" s="54">
        <v>2019</v>
      </c>
      <c r="AN7216" s="54" t="s">
        <v>191</v>
      </c>
      <c r="AO7216" s="54">
        <v>28</v>
      </c>
      <c r="AP7216" s="54">
        <v>14</v>
      </c>
      <c r="AQ7216" s="54">
        <v>6827</v>
      </c>
      <c r="AR7216" s="55">
        <v>28500</v>
      </c>
      <c r="AS7216" s="78">
        <f t="shared" si="116"/>
        <v>0.23954385964912281</v>
      </c>
    </row>
    <row r="7217" spans="39:45">
      <c r="AM7217" s="55">
        <v>2019</v>
      </c>
      <c r="AN7217" s="55" t="s">
        <v>191</v>
      </c>
      <c r="AO7217" s="55">
        <v>28</v>
      </c>
      <c r="AP7217" s="55">
        <v>15</v>
      </c>
      <c r="AQ7217" s="55">
        <v>7198</v>
      </c>
      <c r="AR7217" s="55">
        <v>28500</v>
      </c>
      <c r="AS7217" s="78">
        <f t="shared" si="116"/>
        <v>0.25256140350877193</v>
      </c>
    </row>
    <row r="7218" spans="39:45">
      <c r="AM7218" s="54">
        <v>2019</v>
      </c>
      <c r="AN7218" s="54" t="s">
        <v>191</v>
      </c>
      <c r="AO7218" s="54">
        <v>28</v>
      </c>
      <c r="AP7218" s="54">
        <v>16</v>
      </c>
      <c r="AQ7218" s="54">
        <v>672</v>
      </c>
      <c r="AR7218" s="55">
        <v>28500</v>
      </c>
      <c r="AS7218" s="78">
        <f t="shared" si="116"/>
        <v>2.3578947368421053E-2</v>
      </c>
    </row>
    <row r="7219" spans="39:45">
      <c r="AM7219" s="55">
        <v>2019</v>
      </c>
      <c r="AN7219" s="55" t="s">
        <v>191</v>
      </c>
      <c r="AO7219" s="55">
        <v>28</v>
      </c>
      <c r="AP7219" s="55">
        <v>17</v>
      </c>
      <c r="AQ7219" s="55">
        <v>0</v>
      </c>
      <c r="AR7219" s="55">
        <v>28500</v>
      </c>
      <c r="AS7219" s="78">
        <f t="shared" si="116"/>
        <v>0</v>
      </c>
    </row>
    <row r="7220" spans="39:45">
      <c r="AM7220" s="54">
        <v>2019</v>
      </c>
      <c r="AN7220" s="54" t="s">
        <v>191</v>
      </c>
      <c r="AO7220" s="54">
        <v>28</v>
      </c>
      <c r="AP7220" s="54">
        <v>18</v>
      </c>
      <c r="AQ7220" s="54">
        <v>0</v>
      </c>
      <c r="AR7220" s="55">
        <v>28500</v>
      </c>
      <c r="AS7220" s="78">
        <f t="shared" si="116"/>
        <v>0</v>
      </c>
    </row>
    <row r="7221" spans="39:45">
      <c r="AM7221" s="55">
        <v>2019</v>
      </c>
      <c r="AN7221" s="55" t="s">
        <v>191</v>
      </c>
      <c r="AO7221" s="55">
        <v>28</v>
      </c>
      <c r="AP7221" s="55">
        <v>19</v>
      </c>
      <c r="AQ7221" s="55">
        <v>0</v>
      </c>
      <c r="AR7221" s="55">
        <v>28500</v>
      </c>
      <c r="AS7221" s="78">
        <f t="shared" si="116"/>
        <v>0</v>
      </c>
    </row>
    <row r="7222" spans="39:45">
      <c r="AM7222" s="54">
        <v>2019</v>
      </c>
      <c r="AN7222" s="54" t="s">
        <v>191</v>
      </c>
      <c r="AO7222" s="54">
        <v>28</v>
      </c>
      <c r="AP7222" s="54">
        <v>20</v>
      </c>
      <c r="AQ7222" s="54">
        <v>0</v>
      </c>
      <c r="AR7222" s="55">
        <v>28500</v>
      </c>
      <c r="AS7222" s="78">
        <f t="shared" si="116"/>
        <v>0</v>
      </c>
    </row>
    <row r="7223" spans="39:45">
      <c r="AM7223" s="55">
        <v>2019</v>
      </c>
      <c r="AN7223" s="55" t="s">
        <v>191</v>
      </c>
      <c r="AO7223" s="55">
        <v>28</v>
      </c>
      <c r="AP7223" s="55">
        <v>21</v>
      </c>
      <c r="AQ7223" s="55">
        <v>0</v>
      </c>
      <c r="AR7223" s="55">
        <v>28500</v>
      </c>
      <c r="AS7223" s="78">
        <f t="shared" si="116"/>
        <v>0</v>
      </c>
    </row>
    <row r="7224" spans="39:45">
      <c r="AM7224" s="54">
        <v>2019</v>
      </c>
      <c r="AN7224" s="54" t="s">
        <v>191</v>
      </c>
      <c r="AO7224" s="54">
        <v>28</v>
      </c>
      <c r="AP7224" s="54">
        <v>22</v>
      </c>
      <c r="AQ7224" s="54">
        <v>0</v>
      </c>
      <c r="AR7224" s="55">
        <v>28500</v>
      </c>
      <c r="AS7224" s="78">
        <f t="shared" si="116"/>
        <v>0</v>
      </c>
    </row>
    <row r="7225" spans="39:45">
      <c r="AM7225" s="55">
        <v>2019</v>
      </c>
      <c r="AN7225" s="55" t="s">
        <v>191</v>
      </c>
      <c r="AO7225" s="55">
        <v>28</v>
      </c>
      <c r="AP7225" s="55">
        <v>23</v>
      </c>
      <c r="AQ7225" s="55">
        <v>0</v>
      </c>
      <c r="AR7225" s="55">
        <v>28500</v>
      </c>
      <c r="AS7225" s="78">
        <f t="shared" si="116"/>
        <v>0</v>
      </c>
    </row>
    <row r="7226" spans="39:45">
      <c r="AM7226" s="54">
        <v>2019</v>
      </c>
      <c r="AN7226" s="54" t="s">
        <v>191</v>
      </c>
      <c r="AO7226" s="54">
        <v>29</v>
      </c>
      <c r="AP7226" s="54">
        <v>24</v>
      </c>
      <c r="AQ7226" s="54">
        <v>0</v>
      </c>
      <c r="AR7226" s="55">
        <v>28500</v>
      </c>
      <c r="AS7226" s="78">
        <f t="shared" si="116"/>
        <v>0</v>
      </c>
    </row>
    <row r="7227" spans="39:45">
      <c r="AM7227" s="55">
        <v>2019</v>
      </c>
      <c r="AN7227" s="55" t="s">
        <v>191</v>
      </c>
      <c r="AO7227" s="55">
        <v>29</v>
      </c>
      <c r="AP7227" s="55">
        <v>1</v>
      </c>
      <c r="AQ7227" s="55">
        <v>0</v>
      </c>
      <c r="AR7227" s="55">
        <v>28500</v>
      </c>
      <c r="AS7227" s="78">
        <f t="shared" si="116"/>
        <v>0</v>
      </c>
    </row>
    <row r="7228" spans="39:45">
      <c r="AM7228" s="54">
        <v>2019</v>
      </c>
      <c r="AN7228" s="54" t="s">
        <v>191</v>
      </c>
      <c r="AO7228" s="54">
        <v>29</v>
      </c>
      <c r="AP7228" s="54">
        <v>2</v>
      </c>
      <c r="AQ7228" s="54">
        <v>0</v>
      </c>
      <c r="AR7228" s="55">
        <v>28500</v>
      </c>
      <c r="AS7228" s="78">
        <f t="shared" si="116"/>
        <v>0</v>
      </c>
    </row>
    <row r="7229" spans="39:45">
      <c r="AM7229" s="55">
        <v>2019</v>
      </c>
      <c r="AN7229" s="55" t="s">
        <v>191</v>
      </c>
      <c r="AO7229" s="55">
        <v>29</v>
      </c>
      <c r="AP7229" s="55">
        <v>3</v>
      </c>
      <c r="AQ7229" s="55">
        <v>0</v>
      </c>
      <c r="AR7229" s="55">
        <v>28500</v>
      </c>
      <c r="AS7229" s="78">
        <f t="shared" si="116"/>
        <v>0</v>
      </c>
    </row>
    <row r="7230" spans="39:45">
      <c r="AM7230" s="54">
        <v>2019</v>
      </c>
      <c r="AN7230" s="54" t="s">
        <v>191</v>
      </c>
      <c r="AO7230" s="54">
        <v>29</v>
      </c>
      <c r="AP7230" s="54">
        <v>4</v>
      </c>
      <c r="AQ7230" s="54">
        <v>0</v>
      </c>
      <c r="AR7230" s="55">
        <v>28500</v>
      </c>
      <c r="AS7230" s="78">
        <f t="shared" si="116"/>
        <v>0</v>
      </c>
    </row>
    <row r="7231" spans="39:45">
      <c r="AM7231" s="55">
        <v>2019</v>
      </c>
      <c r="AN7231" s="55" t="s">
        <v>191</v>
      </c>
      <c r="AO7231" s="55">
        <v>29</v>
      </c>
      <c r="AP7231" s="55">
        <v>5</v>
      </c>
      <c r="AQ7231" s="55">
        <v>0</v>
      </c>
      <c r="AR7231" s="55">
        <v>28500</v>
      </c>
      <c r="AS7231" s="78">
        <f t="shared" si="116"/>
        <v>0</v>
      </c>
    </row>
    <row r="7232" spans="39:45">
      <c r="AM7232" s="54">
        <v>2019</v>
      </c>
      <c r="AN7232" s="54" t="s">
        <v>191</v>
      </c>
      <c r="AO7232" s="54">
        <v>29</v>
      </c>
      <c r="AP7232" s="54">
        <v>6</v>
      </c>
      <c r="AQ7232" s="54">
        <v>0</v>
      </c>
      <c r="AR7232" s="55">
        <v>28500</v>
      </c>
      <c r="AS7232" s="78">
        <f t="shared" si="116"/>
        <v>0</v>
      </c>
    </row>
    <row r="7233" spans="39:45">
      <c r="AM7233" s="55">
        <v>2019</v>
      </c>
      <c r="AN7233" s="55" t="s">
        <v>191</v>
      </c>
      <c r="AO7233" s="55">
        <v>29</v>
      </c>
      <c r="AP7233" s="55">
        <v>7</v>
      </c>
      <c r="AQ7233" s="55">
        <v>14.5</v>
      </c>
      <c r="AR7233" s="55">
        <v>28500</v>
      </c>
      <c r="AS7233" s="78">
        <f t="shared" si="116"/>
        <v>5.0877192982456141E-4</v>
      </c>
    </row>
    <row r="7234" spans="39:45">
      <c r="AM7234" s="54">
        <v>2019</v>
      </c>
      <c r="AN7234" s="54" t="s">
        <v>191</v>
      </c>
      <c r="AO7234" s="54">
        <v>29</v>
      </c>
      <c r="AP7234" s="54">
        <v>8</v>
      </c>
      <c r="AQ7234" s="54">
        <v>4152</v>
      </c>
      <c r="AR7234" s="55">
        <v>28500</v>
      </c>
      <c r="AS7234" s="78">
        <f t="shared" ref="AS7234:AS7297" si="117">AQ7234/AR7234</f>
        <v>0.14568421052631578</v>
      </c>
    </row>
    <row r="7235" spans="39:45">
      <c r="AM7235" s="55">
        <v>2019</v>
      </c>
      <c r="AN7235" s="55" t="s">
        <v>191</v>
      </c>
      <c r="AO7235" s="55">
        <v>29</v>
      </c>
      <c r="AP7235" s="55">
        <v>9</v>
      </c>
      <c r="AQ7235" s="55">
        <v>1729.5</v>
      </c>
      <c r="AR7235" s="55">
        <v>28500</v>
      </c>
      <c r="AS7235" s="78">
        <f t="shared" si="117"/>
        <v>6.0684210526315792E-2</v>
      </c>
    </row>
    <row r="7236" spans="39:45">
      <c r="AM7236" s="54">
        <v>2019</v>
      </c>
      <c r="AN7236" s="54" t="s">
        <v>191</v>
      </c>
      <c r="AO7236" s="54">
        <v>29</v>
      </c>
      <c r="AP7236" s="54">
        <v>10</v>
      </c>
      <c r="AQ7236" s="54">
        <v>6246.5</v>
      </c>
      <c r="AR7236" s="55">
        <v>28500</v>
      </c>
      <c r="AS7236" s="78">
        <f t="shared" si="117"/>
        <v>0.21917543859649122</v>
      </c>
    </row>
    <row r="7237" spans="39:45">
      <c r="AM7237" s="55">
        <v>2019</v>
      </c>
      <c r="AN7237" s="55" t="s">
        <v>191</v>
      </c>
      <c r="AO7237" s="55">
        <v>29</v>
      </c>
      <c r="AP7237" s="55">
        <v>11</v>
      </c>
      <c r="AQ7237" s="55">
        <v>9245.5</v>
      </c>
      <c r="AR7237" s="55">
        <v>28500</v>
      </c>
      <c r="AS7237" s="78">
        <f t="shared" si="117"/>
        <v>0.3244035087719298</v>
      </c>
    </row>
    <row r="7238" spans="39:45">
      <c r="AM7238" s="54">
        <v>2019</v>
      </c>
      <c r="AN7238" s="54" t="s">
        <v>191</v>
      </c>
      <c r="AO7238" s="54">
        <v>29</v>
      </c>
      <c r="AP7238" s="54">
        <v>12</v>
      </c>
      <c r="AQ7238" s="54">
        <v>5240.5</v>
      </c>
      <c r="AR7238" s="55">
        <v>28500</v>
      </c>
      <c r="AS7238" s="78">
        <f t="shared" si="117"/>
        <v>0.18387719298245614</v>
      </c>
    </row>
    <row r="7239" spans="39:45">
      <c r="AM7239" s="55">
        <v>2019</v>
      </c>
      <c r="AN7239" s="55" t="s">
        <v>191</v>
      </c>
      <c r="AO7239" s="55">
        <v>29</v>
      </c>
      <c r="AP7239" s="55">
        <v>13</v>
      </c>
      <c r="AQ7239" s="55">
        <v>7421</v>
      </c>
      <c r="AR7239" s="55">
        <v>28500</v>
      </c>
      <c r="AS7239" s="78">
        <f t="shared" si="117"/>
        <v>0.26038596491228072</v>
      </c>
    </row>
    <row r="7240" spans="39:45">
      <c r="AM7240" s="54">
        <v>2019</v>
      </c>
      <c r="AN7240" s="54" t="s">
        <v>191</v>
      </c>
      <c r="AO7240" s="54">
        <v>29</v>
      </c>
      <c r="AP7240" s="54">
        <v>14</v>
      </c>
      <c r="AQ7240" s="54">
        <v>1453.5</v>
      </c>
      <c r="AR7240" s="55">
        <v>28500</v>
      </c>
      <c r="AS7240" s="78">
        <f t="shared" si="117"/>
        <v>5.0999999999999997E-2</v>
      </c>
    </row>
    <row r="7241" spans="39:45">
      <c r="AM7241" s="55">
        <v>2019</v>
      </c>
      <c r="AN7241" s="55" t="s">
        <v>191</v>
      </c>
      <c r="AO7241" s="55">
        <v>29</v>
      </c>
      <c r="AP7241" s="55">
        <v>15</v>
      </c>
      <c r="AQ7241" s="55">
        <v>2869.5</v>
      </c>
      <c r="AR7241" s="55">
        <v>28500</v>
      </c>
      <c r="AS7241" s="78">
        <f t="shared" si="117"/>
        <v>0.10068421052631579</v>
      </c>
    </row>
    <row r="7242" spans="39:45">
      <c r="AM7242" s="54">
        <v>2019</v>
      </c>
      <c r="AN7242" s="54" t="s">
        <v>191</v>
      </c>
      <c r="AO7242" s="54">
        <v>29</v>
      </c>
      <c r="AP7242" s="54">
        <v>16</v>
      </c>
      <c r="AQ7242" s="54">
        <v>914.5</v>
      </c>
      <c r="AR7242" s="55">
        <v>28500</v>
      </c>
      <c r="AS7242" s="78">
        <f t="shared" si="117"/>
        <v>3.2087719298245616E-2</v>
      </c>
    </row>
    <row r="7243" spans="39:45">
      <c r="AM7243" s="55">
        <v>2019</v>
      </c>
      <c r="AN7243" s="55" t="s">
        <v>191</v>
      </c>
      <c r="AO7243" s="55">
        <v>29</v>
      </c>
      <c r="AP7243" s="55">
        <v>17</v>
      </c>
      <c r="AQ7243" s="55">
        <v>0</v>
      </c>
      <c r="AR7243" s="55">
        <v>28500</v>
      </c>
      <c r="AS7243" s="78">
        <f t="shared" si="117"/>
        <v>0</v>
      </c>
    </row>
    <row r="7244" spans="39:45">
      <c r="AM7244" s="54">
        <v>2019</v>
      </c>
      <c r="AN7244" s="54" t="s">
        <v>191</v>
      </c>
      <c r="AO7244" s="54">
        <v>29</v>
      </c>
      <c r="AP7244" s="54">
        <v>18</v>
      </c>
      <c r="AQ7244" s="54">
        <v>0</v>
      </c>
      <c r="AR7244" s="55">
        <v>28500</v>
      </c>
      <c r="AS7244" s="78">
        <f t="shared" si="117"/>
        <v>0</v>
      </c>
    </row>
    <row r="7245" spans="39:45">
      <c r="AM7245" s="55">
        <v>2019</v>
      </c>
      <c r="AN7245" s="55" t="s">
        <v>191</v>
      </c>
      <c r="AO7245" s="55">
        <v>29</v>
      </c>
      <c r="AP7245" s="55">
        <v>19</v>
      </c>
      <c r="AQ7245" s="55">
        <v>0</v>
      </c>
      <c r="AR7245" s="55">
        <v>28500</v>
      </c>
      <c r="AS7245" s="78">
        <f t="shared" si="117"/>
        <v>0</v>
      </c>
    </row>
    <row r="7246" spans="39:45">
      <c r="AM7246" s="54">
        <v>2019</v>
      </c>
      <c r="AN7246" s="54" t="s">
        <v>191</v>
      </c>
      <c r="AO7246" s="54">
        <v>29</v>
      </c>
      <c r="AP7246" s="54">
        <v>20</v>
      </c>
      <c r="AQ7246" s="54">
        <v>0</v>
      </c>
      <c r="AR7246" s="55">
        <v>28500</v>
      </c>
      <c r="AS7246" s="78">
        <f t="shared" si="117"/>
        <v>0</v>
      </c>
    </row>
    <row r="7247" spans="39:45">
      <c r="AM7247" s="55">
        <v>2019</v>
      </c>
      <c r="AN7247" s="55" t="s">
        <v>191</v>
      </c>
      <c r="AO7247" s="55">
        <v>29</v>
      </c>
      <c r="AP7247" s="55">
        <v>21</v>
      </c>
      <c r="AQ7247" s="55">
        <v>0</v>
      </c>
      <c r="AR7247" s="55">
        <v>28500</v>
      </c>
      <c r="AS7247" s="78">
        <f t="shared" si="117"/>
        <v>0</v>
      </c>
    </row>
    <row r="7248" spans="39:45">
      <c r="AM7248" s="54">
        <v>2019</v>
      </c>
      <c r="AN7248" s="54" t="s">
        <v>191</v>
      </c>
      <c r="AO7248" s="54">
        <v>29</v>
      </c>
      <c r="AP7248" s="54">
        <v>22</v>
      </c>
      <c r="AQ7248" s="54">
        <v>0</v>
      </c>
      <c r="AR7248" s="55">
        <v>28500</v>
      </c>
      <c r="AS7248" s="78">
        <f t="shared" si="117"/>
        <v>0</v>
      </c>
    </row>
    <row r="7249" spans="39:45">
      <c r="AM7249" s="55">
        <v>2019</v>
      </c>
      <c r="AN7249" s="55" t="s">
        <v>191</v>
      </c>
      <c r="AO7249" s="55">
        <v>29</v>
      </c>
      <c r="AP7249" s="55">
        <v>23</v>
      </c>
      <c r="AQ7249" s="55">
        <v>0</v>
      </c>
      <c r="AR7249" s="55">
        <v>28500</v>
      </c>
      <c r="AS7249" s="78">
        <f t="shared" si="117"/>
        <v>0</v>
      </c>
    </row>
    <row r="7250" spans="39:45">
      <c r="AM7250" s="54">
        <v>2019</v>
      </c>
      <c r="AN7250" s="54" t="s">
        <v>191</v>
      </c>
      <c r="AO7250" s="54">
        <v>30</v>
      </c>
      <c r="AP7250" s="54">
        <v>24</v>
      </c>
      <c r="AQ7250" s="54">
        <v>0</v>
      </c>
      <c r="AR7250" s="55">
        <v>28500</v>
      </c>
      <c r="AS7250" s="78">
        <f t="shared" si="117"/>
        <v>0</v>
      </c>
    </row>
    <row r="7251" spans="39:45">
      <c r="AM7251" s="55">
        <v>2019</v>
      </c>
      <c r="AN7251" s="55" t="s">
        <v>191</v>
      </c>
      <c r="AO7251" s="55">
        <v>30</v>
      </c>
      <c r="AP7251" s="55">
        <v>1</v>
      </c>
      <c r="AQ7251" s="55">
        <v>0</v>
      </c>
      <c r="AR7251" s="55">
        <v>28500</v>
      </c>
      <c r="AS7251" s="78">
        <f t="shared" si="117"/>
        <v>0</v>
      </c>
    </row>
    <row r="7252" spans="39:45">
      <c r="AM7252" s="54">
        <v>2019</v>
      </c>
      <c r="AN7252" s="54" t="s">
        <v>191</v>
      </c>
      <c r="AO7252" s="54">
        <v>30</v>
      </c>
      <c r="AP7252" s="54">
        <v>2</v>
      </c>
      <c r="AQ7252" s="54">
        <v>0</v>
      </c>
      <c r="AR7252" s="55">
        <v>28500</v>
      </c>
      <c r="AS7252" s="78">
        <f t="shared" si="117"/>
        <v>0</v>
      </c>
    </row>
    <row r="7253" spans="39:45">
      <c r="AM7253" s="55">
        <v>2019</v>
      </c>
      <c r="AN7253" s="55" t="s">
        <v>191</v>
      </c>
      <c r="AO7253" s="55">
        <v>30</v>
      </c>
      <c r="AP7253" s="55">
        <v>3</v>
      </c>
      <c r="AQ7253" s="55">
        <v>0</v>
      </c>
      <c r="AR7253" s="55">
        <v>28500</v>
      </c>
      <c r="AS7253" s="78">
        <f t="shared" si="117"/>
        <v>0</v>
      </c>
    </row>
    <row r="7254" spans="39:45">
      <c r="AM7254" s="54">
        <v>2019</v>
      </c>
      <c r="AN7254" s="54" t="s">
        <v>191</v>
      </c>
      <c r="AO7254" s="54">
        <v>30</v>
      </c>
      <c r="AP7254" s="54">
        <v>4</v>
      </c>
      <c r="AQ7254" s="54">
        <v>0</v>
      </c>
      <c r="AR7254" s="55">
        <v>28500</v>
      </c>
      <c r="AS7254" s="78">
        <f t="shared" si="117"/>
        <v>0</v>
      </c>
    </row>
    <row r="7255" spans="39:45">
      <c r="AM7255" s="55">
        <v>2019</v>
      </c>
      <c r="AN7255" s="55" t="s">
        <v>191</v>
      </c>
      <c r="AO7255" s="55">
        <v>30</v>
      </c>
      <c r="AP7255" s="55">
        <v>5</v>
      </c>
      <c r="AQ7255" s="55">
        <v>0</v>
      </c>
      <c r="AR7255" s="55">
        <v>28500</v>
      </c>
      <c r="AS7255" s="78">
        <f t="shared" si="117"/>
        <v>0</v>
      </c>
    </row>
    <row r="7256" spans="39:45">
      <c r="AM7256" s="54">
        <v>2019</v>
      </c>
      <c r="AN7256" s="54" t="s">
        <v>191</v>
      </c>
      <c r="AO7256" s="54">
        <v>30</v>
      </c>
      <c r="AP7256" s="54">
        <v>6</v>
      </c>
      <c r="AQ7256" s="54">
        <v>0</v>
      </c>
      <c r="AR7256" s="55">
        <v>28500</v>
      </c>
      <c r="AS7256" s="78">
        <f t="shared" si="117"/>
        <v>0</v>
      </c>
    </row>
    <row r="7257" spans="39:45">
      <c r="AM7257" s="55">
        <v>2019</v>
      </c>
      <c r="AN7257" s="55" t="s">
        <v>191</v>
      </c>
      <c r="AO7257" s="55">
        <v>30</v>
      </c>
      <c r="AP7257" s="55">
        <v>7</v>
      </c>
      <c r="AQ7257" s="55">
        <v>837.5</v>
      </c>
      <c r="AR7257" s="55">
        <v>28500</v>
      </c>
      <c r="AS7257" s="78">
        <f t="shared" si="117"/>
        <v>2.9385964912280703E-2</v>
      </c>
    </row>
    <row r="7258" spans="39:45">
      <c r="AM7258" s="54">
        <v>2019</v>
      </c>
      <c r="AN7258" s="54" t="s">
        <v>191</v>
      </c>
      <c r="AO7258" s="54">
        <v>30</v>
      </c>
      <c r="AP7258" s="54">
        <v>8</v>
      </c>
      <c r="AQ7258" s="54">
        <v>12468.5</v>
      </c>
      <c r="AR7258" s="55">
        <v>28500</v>
      </c>
      <c r="AS7258" s="78">
        <f t="shared" si="117"/>
        <v>0.43749122807017543</v>
      </c>
    </row>
    <row r="7259" spans="39:45">
      <c r="AM7259" s="55">
        <v>2019</v>
      </c>
      <c r="AN7259" s="55" t="s">
        <v>191</v>
      </c>
      <c r="AO7259" s="55">
        <v>30</v>
      </c>
      <c r="AP7259" s="55">
        <v>9</v>
      </c>
      <c r="AQ7259" s="55">
        <v>21256.5</v>
      </c>
      <c r="AR7259" s="55">
        <v>28500</v>
      </c>
      <c r="AS7259" s="78">
        <f t="shared" si="117"/>
        <v>0.74584210526315786</v>
      </c>
    </row>
    <row r="7260" spans="39:45">
      <c r="AM7260" s="54">
        <v>2019</v>
      </c>
      <c r="AN7260" s="54" t="s">
        <v>191</v>
      </c>
      <c r="AO7260" s="54">
        <v>30</v>
      </c>
      <c r="AP7260" s="54">
        <v>10</v>
      </c>
      <c r="AQ7260" s="54">
        <v>28020</v>
      </c>
      <c r="AR7260" s="55">
        <v>28500</v>
      </c>
      <c r="AS7260" s="78">
        <f t="shared" si="117"/>
        <v>0.98315789473684212</v>
      </c>
    </row>
    <row r="7261" spans="39:45">
      <c r="AM7261" s="55">
        <v>2019</v>
      </c>
      <c r="AN7261" s="55" t="s">
        <v>191</v>
      </c>
      <c r="AO7261" s="55">
        <v>30</v>
      </c>
      <c r="AP7261" s="55">
        <v>11</v>
      </c>
      <c r="AQ7261" s="55">
        <v>13778</v>
      </c>
      <c r="AR7261" s="55">
        <v>28500</v>
      </c>
      <c r="AS7261" s="78">
        <f t="shared" si="117"/>
        <v>0.48343859649122806</v>
      </c>
    </row>
    <row r="7262" spans="39:45">
      <c r="AM7262" s="54">
        <v>2019</v>
      </c>
      <c r="AN7262" s="54" t="s">
        <v>191</v>
      </c>
      <c r="AO7262" s="54">
        <v>30</v>
      </c>
      <c r="AP7262" s="54">
        <v>12</v>
      </c>
      <c r="AQ7262" s="54">
        <v>37386</v>
      </c>
      <c r="AR7262" s="55">
        <v>28500</v>
      </c>
      <c r="AS7262" s="78">
        <f t="shared" si="117"/>
        <v>1.3117894736842106</v>
      </c>
    </row>
    <row r="7263" spans="39:45">
      <c r="AM7263" s="55">
        <v>2019</v>
      </c>
      <c r="AN7263" s="55" t="s">
        <v>191</v>
      </c>
      <c r="AO7263" s="55">
        <v>30</v>
      </c>
      <c r="AP7263" s="55">
        <v>13</v>
      </c>
      <c r="AQ7263" s="55">
        <v>21255</v>
      </c>
      <c r="AR7263" s="55">
        <v>28500</v>
      </c>
      <c r="AS7263" s="78">
        <f t="shared" si="117"/>
        <v>0.74578947368421056</v>
      </c>
    </row>
    <row r="7264" spans="39:45">
      <c r="AM7264" s="54">
        <v>2019</v>
      </c>
      <c r="AN7264" s="54" t="s">
        <v>191</v>
      </c>
      <c r="AO7264" s="54">
        <v>30</v>
      </c>
      <c r="AP7264" s="54">
        <v>14</v>
      </c>
      <c r="AQ7264" s="54">
        <v>6550.5</v>
      </c>
      <c r="AR7264" s="55">
        <v>28500</v>
      </c>
      <c r="AS7264" s="78">
        <f t="shared" si="117"/>
        <v>0.2298421052631579</v>
      </c>
    </row>
    <row r="7265" spans="39:45">
      <c r="AM7265" s="55">
        <v>2019</v>
      </c>
      <c r="AN7265" s="55" t="s">
        <v>191</v>
      </c>
      <c r="AO7265" s="55">
        <v>30</v>
      </c>
      <c r="AP7265" s="55">
        <v>15</v>
      </c>
      <c r="AQ7265" s="55">
        <v>5658.5</v>
      </c>
      <c r="AR7265" s="55">
        <v>28500</v>
      </c>
      <c r="AS7265" s="78">
        <f t="shared" si="117"/>
        <v>0.1985438596491228</v>
      </c>
    </row>
    <row r="7266" spans="39:45">
      <c r="AM7266" s="54">
        <v>2019</v>
      </c>
      <c r="AN7266" s="54" t="s">
        <v>191</v>
      </c>
      <c r="AO7266" s="54">
        <v>30</v>
      </c>
      <c r="AP7266" s="54">
        <v>16</v>
      </c>
      <c r="AQ7266" s="54">
        <v>2153.5</v>
      </c>
      <c r="AR7266" s="55">
        <v>28500</v>
      </c>
      <c r="AS7266" s="78">
        <f t="shared" si="117"/>
        <v>7.5561403508771927E-2</v>
      </c>
    </row>
    <row r="7267" spans="39:45">
      <c r="AM7267" s="55">
        <v>2019</v>
      </c>
      <c r="AN7267" s="55" t="s">
        <v>191</v>
      </c>
      <c r="AO7267" s="55">
        <v>30</v>
      </c>
      <c r="AP7267" s="55">
        <v>17</v>
      </c>
      <c r="AQ7267" s="55">
        <v>0</v>
      </c>
      <c r="AR7267" s="55">
        <v>28500</v>
      </c>
      <c r="AS7267" s="78">
        <f t="shared" si="117"/>
        <v>0</v>
      </c>
    </row>
    <row r="7268" spans="39:45">
      <c r="AM7268" s="54">
        <v>2019</v>
      </c>
      <c r="AN7268" s="54" t="s">
        <v>191</v>
      </c>
      <c r="AO7268" s="54">
        <v>30</v>
      </c>
      <c r="AP7268" s="54">
        <v>18</v>
      </c>
      <c r="AQ7268" s="54">
        <v>0</v>
      </c>
      <c r="AR7268" s="55">
        <v>28500</v>
      </c>
      <c r="AS7268" s="78">
        <f t="shared" si="117"/>
        <v>0</v>
      </c>
    </row>
    <row r="7269" spans="39:45">
      <c r="AM7269" s="55">
        <v>2019</v>
      </c>
      <c r="AN7269" s="55" t="s">
        <v>191</v>
      </c>
      <c r="AO7269" s="55">
        <v>30</v>
      </c>
      <c r="AP7269" s="55">
        <v>19</v>
      </c>
      <c r="AQ7269" s="55">
        <v>0</v>
      </c>
      <c r="AR7269" s="55">
        <v>28500</v>
      </c>
      <c r="AS7269" s="78">
        <f t="shared" si="117"/>
        <v>0</v>
      </c>
    </row>
    <row r="7270" spans="39:45">
      <c r="AM7270" s="54">
        <v>2019</v>
      </c>
      <c r="AN7270" s="54" t="s">
        <v>191</v>
      </c>
      <c r="AO7270" s="54">
        <v>30</v>
      </c>
      <c r="AP7270" s="54">
        <v>20</v>
      </c>
      <c r="AQ7270" s="54">
        <v>0</v>
      </c>
      <c r="AR7270" s="55">
        <v>28500</v>
      </c>
      <c r="AS7270" s="78">
        <f t="shared" si="117"/>
        <v>0</v>
      </c>
    </row>
    <row r="7271" spans="39:45">
      <c r="AM7271" s="55">
        <v>2019</v>
      </c>
      <c r="AN7271" s="55" t="s">
        <v>191</v>
      </c>
      <c r="AO7271" s="55">
        <v>30</v>
      </c>
      <c r="AP7271" s="55">
        <v>21</v>
      </c>
      <c r="AQ7271" s="55">
        <v>0</v>
      </c>
      <c r="AR7271" s="55">
        <v>28500</v>
      </c>
      <c r="AS7271" s="78">
        <f t="shared" si="117"/>
        <v>0</v>
      </c>
    </row>
    <row r="7272" spans="39:45">
      <c r="AM7272" s="54">
        <v>2019</v>
      </c>
      <c r="AN7272" s="54" t="s">
        <v>191</v>
      </c>
      <c r="AO7272" s="54">
        <v>30</v>
      </c>
      <c r="AP7272" s="54">
        <v>22</v>
      </c>
      <c r="AQ7272" s="54">
        <v>0</v>
      </c>
      <c r="AR7272" s="55">
        <v>28500</v>
      </c>
      <c r="AS7272" s="78">
        <f t="shared" si="117"/>
        <v>0</v>
      </c>
    </row>
    <row r="7273" spans="39:45">
      <c r="AM7273" s="55">
        <v>2019</v>
      </c>
      <c r="AN7273" s="55" t="s">
        <v>191</v>
      </c>
      <c r="AO7273" s="55">
        <v>30</v>
      </c>
      <c r="AP7273" s="55">
        <v>23</v>
      </c>
      <c r="AQ7273" s="55">
        <v>0</v>
      </c>
      <c r="AR7273" s="55">
        <v>28500</v>
      </c>
      <c r="AS7273" s="78">
        <f t="shared" si="117"/>
        <v>0</v>
      </c>
    </row>
    <row r="7274" spans="39:45">
      <c r="AM7274" s="54">
        <v>2019</v>
      </c>
      <c r="AN7274" s="54" t="s">
        <v>191</v>
      </c>
      <c r="AO7274" s="54">
        <v>31</v>
      </c>
      <c r="AP7274" s="54">
        <v>24</v>
      </c>
      <c r="AQ7274" s="54">
        <v>0</v>
      </c>
      <c r="AR7274" s="55">
        <v>28500</v>
      </c>
      <c r="AS7274" s="78">
        <f t="shared" si="117"/>
        <v>0</v>
      </c>
    </row>
    <row r="7275" spans="39:45">
      <c r="AM7275" s="55">
        <v>2019</v>
      </c>
      <c r="AN7275" s="55" t="s">
        <v>191</v>
      </c>
      <c r="AO7275" s="55">
        <v>31</v>
      </c>
      <c r="AP7275" s="55">
        <v>1</v>
      </c>
      <c r="AQ7275" s="55">
        <v>0</v>
      </c>
      <c r="AR7275" s="55">
        <v>28500</v>
      </c>
      <c r="AS7275" s="78">
        <f t="shared" si="117"/>
        <v>0</v>
      </c>
    </row>
    <row r="7276" spans="39:45">
      <c r="AM7276" s="54">
        <v>2019</v>
      </c>
      <c r="AN7276" s="54" t="s">
        <v>191</v>
      </c>
      <c r="AO7276" s="54">
        <v>31</v>
      </c>
      <c r="AP7276" s="54">
        <v>2</v>
      </c>
      <c r="AQ7276" s="54">
        <v>0</v>
      </c>
      <c r="AR7276" s="55">
        <v>28500</v>
      </c>
      <c r="AS7276" s="78">
        <f t="shared" si="117"/>
        <v>0</v>
      </c>
    </row>
    <row r="7277" spans="39:45">
      <c r="AM7277" s="55">
        <v>2019</v>
      </c>
      <c r="AN7277" s="55" t="s">
        <v>191</v>
      </c>
      <c r="AO7277" s="55">
        <v>31</v>
      </c>
      <c r="AP7277" s="55">
        <v>3</v>
      </c>
      <c r="AQ7277" s="55">
        <v>0</v>
      </c>
      <c r="AR7277" s="55">
        <v>28500</v>
      </c>
      <c r="AS7277" s="78">
        <f t="shared" si="117"/>
        <v>0</v>
      </c>
    </row>
    <row r="7278" spans="39:45">
      <c r="AM7278" s="54">
        <v>2019</v>
      </c>
      <c r="AN7278" s="54" t="s">
        <v>191</v>
      </c>
      <c r="AO7278" s="54">
        <v>31</v>
      </c>
      <c r="AP7278" s="54">
        <v>4</v>
      </c>
      <c r="AQ7278" s="54">
        <v>0</v>
      </c>
      <c r="AR7278" s="55">
        <v>28500</v>
      </c>
      <c r="AS7278" s="78">
        <f t="shared" si="117"/>
        <v>0</v>
      </c>
    </row>
    <row r="7279" spans="39:45">
      <c r="AM7279" s="55">
        <v>2019</v>
      </c>
      <c r="AN7279" s="55" t="s">
        <v>191</v>
      </c>
      <c r="AO7279" s="55">
        <v>31</v>
      </c>
      <c r="AP7279" s="55">
        <v>5</v>
      </c>
      <c r="AQ7279" s="55">
        <v>0</v>
      </c>
      <c r="AR7279" s="55">
        <v>28500</v>
      </c>
      <c r="AS7279" s="78">
        <f t="shared" si="117"/>
        <v>0</v>
      </c>
    </row>
    <row r="7280" spans="39:45">
      <c r="AM7280" s="54">
        <v>2019</v>
      </c>
      <c r="AN7280" s="54" t="s">
        <v>191</v>
      </c>
      <c r="AO7280" s="54">
        <v>31</v>
      </c>
      <c r="AP7280" s="54">
        <v>6</v>
      </c>
      <c r="AQ7280" s="54">
        <v>0</v>
      </c>
      <c r="AR7280" s="55">
        <v>28500</v>
      </c>
      <c r="AS7280" s="78">
        <f t="shared" si="117"/>
        <v>0</v>
      </c>
    </row>
    <row r="7281" spans="39:45">
      <c r="AM7281" s="55">
        <v>2019</v>
      </c>
      <c r="AN7281" s="55" t="s">
        <v>191</v>
      </c>
      <c r="AO7281" s="55">
        <v>31</v>
      </c>
      <c r="AP7281" s="55">
        <v>7</v>
      </c>
      <c r="AQ7281" s="55">
        <v>0</v>
      </c>
      <c r="AR7281" s="55">
        <v>28500</v>
      </c>
      <c r="AS7281" s="78">
        <f t="shared" si="117"/>
        <v>0</v>
      </c>
    </row>
    <row r="7282" spans="39:45">
      <c r="AM7282" s="54">
        <v>2019</v>
      </c>
      <c r="AN7282" s="54" t="s">
        <v>191</v>
      </c>
      <c r="AO7282" s="54">
        <v>31</v>
      </c>
      <c r="AP7282" s="54">
        <v>8</v>
      </c>
      <c r="AQ7282" s="54">
        <v>8335</v>
      </c>
      <c r="AR7282" s="55">
        <v>28500</v>
      </c>
      <c r="AS7282" s="78">
        <f t="shared" si="117"/>
        <v>0.29245614035087719</v>
      </c>
    </row>
    <row r="7283" spans="39:45">
      <c r="AM7283" s="55">
        <v>2019</v>
      </c>
      <c r="AN7283" s="55" t="s">
        <v>191</v>
      </c>
      <c r="AO7283" s="55">
        <v>31</v>
      </c>
      <c r="AP7283" s="55">
        <v>9</v>
      </c>
      <c r="AQ7283" s="55">
        <v>23879</v>
      </c>
      <c r="AR7283" s="55">
        <v>28500</v>
      </c>
      <c r="AS7283" s="78">
        <f t="shared" si="117"/>
        <v>0.83785964912280697</v>
      </c>
    </row>
    <row r="7284" spans="39:45">
      <c r="AM7284" s="54">
        <v>2019</v>
      </c>
      <c r="AN7284" s="54" t="s">
        <v>191</v>
      </c>
      <c r="AO7284" s="54">
        <v>31</v>
      </c>
      <c r="AP7284" s="54">
        <v>10</v>
      </c>
      <c r="AQ7284" s="54">
        <v>23888</v>
      </c>
      <c r="AR7284" s="55">
        <v>28500</v>
      </c>
      <c r="AS7284" s="78">
        <f t="shared" si="117"/>
        <v>0.83817543859649124</v>
      </c>
    </row>
    <row r="7285" spans="39:45">
      <c r="AM7285" s="55">
        <v>2019</v>
      </c>
      <c r="AN7285" s="55" t="s">
        <v>191</v>
      </c>
      <c r="AO7285" s="55">
        <v>31</v>
      </c>
      <c r="AP7285" s="55">
        <v>11</v>
      </c>
      <c r="AQ7285" s="55">
        <v>30450</v>
      </c>
      <c r="AR7285" s="55">
        <v>28500</v>
      </c>
      <c r="AS7285" s="78">
        <f t="shared" si="117"/>
        <v>1.0684210526315789</v>
      </c>
    </row>
    <row r="7286" spans="39:45">
      <c r="AM7286" s="54">
        <v>2019</v>
      </c>
      <c r="AN7286" s="54" t="s">
        <v>191</v>
      </c>
      <c r="AO7286" s="54">
        <v>31</v>
      </c>
      <c r="AP7286" s="54">
        <v>12</v>
      </c>
      <c r="AQ7286" s="54">
        <v>30199</v>
      </c>
      <c r="AR7286" s="55">
        <v>28500</v>
      </c>
      <c r="AS7286" s="78">
        <f t="shared" si="117"/>
        <v>1.0596140350877192</v>
      </c>
    </row>
    <row r="7287" spans="39:45">
      <c r="AM7287" s="55">
        <v>2019</v>
      </c>
      <c r="AN7287" s="55" t="s">
        <v>191</v>
      </c>
      <c r="AO7287" s="55">
        <v>31</v>
      </c>
      <c r="AP7287" s="55">
        <v>13</v>
      </c>
      <c r="AQ7287" s="55">
        <v>22874</v>
      </c>
      <c r="AR7287" s="55">
        <v>28500</v>
      </c>
      <c r="AS7287" s="78">
        <f t="shared" si="117"/>
        <v>0.8025964912280702</v>
      </c>
    </row>
    <row r="7288" spans="39:45">
      <c r="AM7288" s="54">
        <v>2019</v>
      </c>
      <c r="AN7288" s="54" t="s">
        <v>191</v>
      </c>
      <c r="AO7288" s="54">
        <v>31</v>
      </c>
      <c r="AP7288" s="54">
        <v>14</v>
      </c>
      <c r="AQ7288" s="54">
        <v>19095.5</v>
      </c>
      <c r="AR7288" s="55">
        <v>28500</v>
      </c>
      <c r="AS7288" s="78">
        <f t="shared" si="117"/>
        <v>0.67001754385964907</v>
      </c>
    </row>
    <row r="7289" spans="39:45">
      <c r="AM7289" s="55">
        <v>2019</v>
      </c>
      <c r="AN7289" s="55" t="s">
        <v>191</v>
      </c>
      <c r="AO7289" s="55">
        <v>31</v>
      </c>
      <c r="AP7289" s="55">
        <v>15</v>
      </c>
      <c r="AQ7289" s="55">
        <v>13266.5</v>
      </c>
      <c r="AR7289" s="55">
        <v>28500</v>
      </c>
      <c r="AS7289" s="78">
        <f t="shared" si="117"/>
        <v>0.46549122807017546</v>
      </c>
    </row>
    <row r="7290" spans="39:45">
      <c r="AM7290" s="54">
        <v>2019</v>
      </c>
      <c r="AN7290" s="54" t="s">
        <v>191</v>
      </c>
      <c r="AO7290" s="54">
        <v>31</v>
      </c>
      <c r="AP7290" s="54">
        <v>16</v>
      </c>
      <c r="AQ7290" s="54">
        <v>1147.5</v>
      </c>
      <c r="AR7290" s="55">
        <v>28500</v>
      </c>
      <c r="AS7290" s="78">
        <f t="shared" si="117"/>
        <v>4.0263157894736841E-2</v>
      </c>
    </row>
    <row r="7291" spans="39:45">
      <c r="AM7291" s="55">
        <v>2019</v>
      </c>
      <c r="AN7291" s="55" t="s">
        <v>191</v>
      </c>
      <c r="AO7291" s="55">
        <v>31</v>
      </c>
      <c r="AP7291" s="55">
        <v>17</v>
      </c>
      <c r="AQ7291" s="55">
        <v>0</v>
      </c>
      <c r="AR7291" s="55">
        <v>28500</v>
      </c>
      <c r="AS7291" s="78">
        <f t="shared" si="117"/>
        <v>0</v>
      </c>
    </row>
    <row r="7292" spans="39:45">
      <c r="AM7292" s="54">
        <v>2019</v>
      </c>
      <c r="AN7292" s="54" t="s">
        <v>191</v>
      </c>
      <c r="AO7292" s="54">
        <v>31</v>
      </c>
      <c r="AP7292" s="54">
        <v>18</v>
      </c>
      <c r="AQ7292" s="54">
        <v>0</v>
      </c>
      <c r="AR7292" s="55">
        <v>28500</v>
      </c>
      <c r="AS7292" s="78">
        <f t="shared" si="117"/>
        <v>0</v>
      </c>
    </row>
    <row r="7293" spans="39:45">
      <c r="AM7293" s="55">
        <v>2019</v>
      </c>
      <c r="AN7293" s="55" t="s">
        <v>191</v>
      </c>
      <c r="AO7293" s="55">
        <v>31</v>
      </c>
      <c r="AP7293" s="55">
        <v>19</v>
      </c>
      <c r="AQ7293" s="55">
        <v>0</v>
      </c>
      <c r="AR7293" s="55">
        <v>28500</v>
      </c>
      <c r="AS7293" s="78">
        <f t="shared" si="117"/>
        <v>0</v>
      </c>
    </row>
    <row r="7294" spans="39:45">
      <c r="AM7294" s="54">
        <v>2019</v>
      </c>
      <c r="AN7294" s="54" t="s">
        <v>191</v>
      </c>
      <c r="AO7294" s="54">
        <v>31</v>
      </c>
      <c r="AP7294" s="54">
        <v>20</v>
      </c>
      <c r="AQ7294" s="54">
        <v>0</v>
      </c>
      <c r="AR7294" s="55">
        <v>28500</v>
      </c>
      <c r="AS7294" s="78">
        <f t="shared" si="117"/>
        <v>0</v>
      </c>
    </row>
    <row r="7295" spans="39:45">
      <c r="AM7295" s="55">
        <v>2019</v>
      </c>
      <c r="AN7295" s="55" t="s">
        <v>191</v>
      </c>
      <c r="AO7295" s="55">
        <v>31</v>
      </c>
      <c r="AP7295" s="55">
        <v>21</v>
      </c>
      <c r="AQ7295" s="55">
        <v>0</v>
      </c>
      <c r="AR7295" s="55">
        <v>28500</v>
      </c>
      <c r="AS7295" s="78">
        <f t="shared" si="117"/>
        <v>0</v>
      </c>
    </row>
    <row r="7296" spans="39:45">
      <c r="AM7296" s="54">
        <v>2019</v>
      </c>
      <c r="AN7296" s="54" t="s">
        <v>191</v>
      </c>
      <c r="AO7296" s="54">
        <v>31</v>
      </c>
      <c r="AP7296" s="54">
        <v>22</v>
      </c>
      <c r="AQ7296" s="54">
        <v>0</v>
      </c>
      <c r="AR7296" s="55">
        <v>28500</v>
      </c>
      <c r="AS7296" s="78">
        <f t="shared" si="117"/>
        <v>0</v>
      </c>
    </row>
    <row r="7297" spans="39:45">
      <c r="AM7297" s="55">
        <v>2019</v>
      </c>
      <c r="AN7297" s="55" t="s">
        <v>191</v>
      </c>
      <c r="AO7297" s="55">
        <v>31</v>
      </c>
      <c r="AP7297" s="55">
        <v>23</v>
      </c>
      <c r="AQ7297" s="55">
        <v>0</v>
      </c>
      <c r="AR7297" s="55">
        <v>28500</v>
      </c>
      <c r="AS7297" s="78">
        <f t="shared" si="117"/>
        <v>0</v>
      </c>
    </row>
    <row r="7298" spans="39:45">
      <c r="AM7298" s="54">
        <v>2019</v>
      </c>
      <c r="AN7298" s="54" t="s">
        <v>192</v>
      </c>
      <c r="AO7298" s="54">
        <v>1</v>
      </c>
      <c r="AP7298" s="54">
        <v>24</v>
      </c>
      <c r="AQ7298" s="54">
        <v>0</v>
      </c>
      <c r="AR7298" s="55">
        <v>28500</v>
      </c>
      <c r="AS7298" s="78">
        <f t="shared" ref="AS7298:AS7361" si="118">AQ7298/AR7298</f>
        <v>0</v>
      </c>
    </row>
    <row r="7299" spans="39:45">
      <c r="AM7299" s="55">
        <v>2019</v>
      </c>
      <c r="AN7299" s="55" t="s">
        <v>192</v>
      </c>
      <c r="AO7299" s="55">
        <v>1</v>
      </c>
      <c r="AP7299" s="55">
        <v>1</v>
      </c>
      <c r="AQ7299" s="55">
        <v>0</v>
      </c>
      <c r="AR7299" s="55">
        <v>28500</v>
      </c>
      <c r="AS7299" s="78">
        <f t="shared" si="118"/>
        <v>0</v>
      </c>
    </row>
    <row r="7300" spans="39:45">
      <c r="AM7300" s="54">
        <v>2019</v>
      </c>
      <c r="AN7300" s="54" t="s">
        <v>192</v>
      </c>
      <c r="AO7300" s="54">
        <v>1</v>
      </c>
      <c r="AP7300" s="54">
        <v>2</v>
      </c>
      <c r="AQ7300" s="54">
        <v>0</v>
      </c>
      <c r="AR7300" s="55">
        <v>28500</v>
      </c>
      <c r="AS7300" s="78">
        <f t="shared" si="118"/>
        <v>0</v>
      </c>
    </row>
    <row r="7301" spans="39:45">
      <c r="AM7301" s="55">
        <v>2019</v>
      </c>
      <c r="AN7301" s="55" t="s">
        <v>192</v>
      </c>
      <c r="AO7301" s="55">
        <v>1</v>
      </c>
      <c r="AP7301" s="55">
        <v>3</v>
      </c>
      <c r="AQ7301" s="55">
        <v>0</v>
      </c>
      <c r="AR7301" s="55">
        <v>28500</v>
      </c>
      <c r="AS7301" s="78">
        <f t="shared" si="118"/>
        <v>0</v>
      </c>
    </row>
    <row r="7302" spans="39:45">
      <c r="AM7302" s="54">
        <v>2019</v>
      </c>
      <c r="AN7302" s="54" t="s">
        <v>192</v>
      </c>
      <c r="AO7302" s="54">
        <v>1</v>
      </c>
      <c r="AP7302" s="54">
        <v>4</v>
      </c>
      <c r="AQ7302" s="54">
        <v>0</v>
      </c>
      <c r="AR7302" s="55">
        <v>28500</v>
      </c>
      <c r="AS7302" s="78">
        <f t="shared" si="118"/>
        <v>0</v>
      </c>
    </row>
    <row r="7303" spans="39:45">
      <c r="AM7303" s="55">
        <v>2019</v>
      </c>
      <c r="AN7303" s="55" t="s">
        <v>192</v>
      </c>
      <c r="AO7303" s="55">
        <v>1</v>
      </c>
      <c r="AP7303" s="55">
        <v>5</v>
      </c>
      <c r="AQ7303" s="55">
        <v>0</v>
      </c>
      <c r="AR7303" s="55">
        <v>28500</v>
      </c>
      <c r="AS7303" s="78">
        <f t="shared" si="118"/>
        <v>0</v>
      </c>
    </row>
    <row r="7304" spans="39:45">
      <c r="AM7304" s="54">
        <v>2019</v>
      </c>
      <c r="AN7304" s="54" t="s">
        <v>192</v>
      </c>
      <c r="AO7304" s="54">
        <v>1</v>
      </c>
      <c r="AP7304" s="54">
        <v>6</v>
      </c>
      <c r="AQ7304" s="54">
        <v>0</v>
      </c>
      <c r="AR7304" s="55">
        <v>28500</v>
      </c>
      <c r="AS7304" s="78">
        <f t="shared" si="118"/>
        <v>0</v>
      </c>
    </row>
    <row r="7305" spans="39:45">
      <c r="AM7305" s="55">
        <v>2019</v>
      </c>
      <c r="AN7305" s="55" t="s">
        <v>192</v>
      </c>
      <c r="AO7305" s="55">
        <v>1</v>
      </c>
      <c r="AP7305" s="55">
        <v>7</v>
      </c>
      <c r="AQ7305" s="55">
        <v>0</v>
      </c>
      <c r="AR7305" s="55">
        <v>28500</v>
      </c>
      <c r="AS7305" s="78">
        <f t="shared" si="118"/>
        <v>0</v>
      </c>
    </row>
    <row r="7306" spans="39:45">
      <c r="AM7306" s="54">
        <v>2019</v>
      </c>
      <c r="AN7306" s="54" t="s">
        <v>192</v>
      </c>
      <c r="AO7306" s="54">
        <v>1</v>
      </c>
      <c r="AP7306" s="54">
        <v>8</v>
      </c>
      <c r="AQ7306" s="54">
        <v>661</v>
      </c>
      <c r="AR7306" s="55">
        <v>28500</v>
      </c>
      <c r="AS7306" s="78">
        <f t="shared" si="118"/>
        <v>2.3192982456140352E-2</v>
      </c>
    </row>
    <row r="7307" spans="39:45">
      <c r="AM7307" s="55">
        <v>2019</v>
      </c>
      <c r="AN7307" s="55" t="s">
        <v>192</v>
      </c>
      <c r="AO7307" s="55">
        <v>1</v>
      </c>
      <c r="AP7307" s="55">
        <v>9</v>
      </c>
      <c r="AQ7307" s="55">
        <v>6755</v>
      </c>
      <c r="AR7307" s="55">
        <v>28500</v>
      </c>
      <c r="AS7307" s="78">
        <f t="shared" si="118"/>
        <v>0.23701754385964913</v>
      </c>
    </row>
    <row r="7308" spans="39:45">
      <c r="AM7308" s="54">
        <v>2019</v>
      </c>
      <c r="AN7308" s="54" t="s">
        <v>192</v>
      </c>
      <c r="AO7308" s="54">
        <v>1</v>
      </c>
      <c r="AP7308" s="54">
        <v>10</v>
      </c>
      <c r="AQ7308" s="54">
        <v>5744</v>
      </c>
      <c r="AR7308" s="55">
        <v>28500</v>
      </c>
      <c r="AS7308" s="78">
        <f t="shared" si="118"/>
        <v>0.2015438596491228</v>
      </c>
    </row>
    <row r="7309" spans="39:45">
      <c r="AM7309" s="55">
        <v>2019</v>
      </c>
      <c r="AN7309" s="55" t="s">
        <v>192</v>
      </c>
      <c r="AO7309" s="55">
        <v>1</v>
      </c>
      <c r="AP7309" s="55">
        <v>11</v>
      </c>
      <c r="AQ7309" s="55">
        <v>4553.5</v>
      </c>
      <c r="AR7309" s="55">
        <v>28500</v>
      </c>
      <c r="AS7309" s="78">
        <f t="shared" si="118"/>
        <v>0.1597719298245614</v>
      </c>
    </row>
    <row r="7310" spans="39:45">
      <c r="AM7310" s="54">
        <v>2019</v>
      </c>
      <c r="AN7310" s="54" t="s">
        <v>192</v>
      </c>
      <c r="AO7310" s="54">
        <v>1</v>
      </c>
      <c r="AP7310" s="54">
        <v>12</v>
      </c>
      <c r="AQ7310" s="54">
        <v>4960.5</v>
      </c>
      <c r="AR7310" s="55">
        <v>28500</v>
      </c>
      <c r="AS7310" s="78">
        <f t="shared" si="118"/>
        <v>0.17405263157894738</v>
      </c>
    </row>
    <row r="7311" spans="39:45">
      <c r="AM7311" s="55">
        <v>2019</v>
      </c>
      <c r="AN7311" s="55" t="s">
        <v>192</v>
      </c>
      <c r="AO7311" s="55">
        <v>1</v>
      </c>
      <c r="AP7311" s="55">
        <v>13</v>
      </c>
      <c r="AQ7311" s="55">
        <v>1740.5</v>
      </c>
      <c r="AR7311" s="55">
        <v>28500</v>
      </c>
      <c r="AS7311" s="78">
        <f t="shared" si="118"/>
        <v>6.107017543859649E-2</v>
      </c>
    </row>
    <row r="7312" spans="39:45">
      <c r="AM7312" s="54">
        <v>2019</v>
      </c>
      <c r="AN7312" s="54" t="s">
        <v>192</v>
      </c>
      <c r="AO7312" s="54">
        <v>1</v>
      </c>
      <c r="AP7312" s="54">
        <v>14</v>
      </c>
      <c r="AQ7312" s="54">
        <v>2181</v>
      </c>
      <c r="AR7312" s="55">
        <v>28500</v>
      </c>
      <c r="AS7312" s="78">
        <f t="shared" si="118"/>
        <v>7.6526315789473678E-2</v>
      </c>
    </row>
    <row r="7313" spans="39:45">
      <c r="AM7313" s="55">
        <v>2019</v>
      </c>
      <c r="AN7313" s="55" t="s">
        <v>192</v>
      </c>
      <c r="AO7313" s="55">
        <v>1</v>
      </c>
      <c r="AP7313" s="55">
        <v>15</v>
      </c>
      <c r="AQ7313" s="55">
        <v>2799</v>
      </c>
      <c r="AR7313" s="55">
        <v>28500</v>
      </c>
      <c r="AS7313" s="78">
        <f t="shared" si="118"/>
        <v>9.821052631578947E-2</v>
      </c>
    </row>
    <row r="7314" spans="39:45">
      <c r="AM7314" s="54">
        <v>2019</v>
      </c>
      <c r="AN7314" s="54" t="s">
        <v>192</v>
      </c>
      <c r="AO7314" s="54">
        <v>1</v>
      </c>
      <c r="AP7314" s="54">
        <v>16</v>
      </c>
      <c r="AQ7314" s="54">
        <v>70.5</v>
      </c>
      <c r="AR7314" s="55">
        <v>28500</v>
      </c>
      <c r="AS7314" s="78">
        <f t="shared" si="118"/>
        <v>2.4736842105263159E-3</v>
      </c>
    </row>
    <row r="7315" spans="39:45">
      <c r="AM7315" s="55">
        <v>2019</v>
      </c>
      <c r="AN7315" s="55" t="s">
        <v>192</v>
      </c>
      <c r="AO7315" s="55">
        <v>1</v>
      </c>
      <c r="AP7315" s="55">
        <v>17</v>
      </c>
      <c r="AQ7315" s="55">
        <v>0</v>
      </c>
      <c r="AR7315" s="55">
        <v>28500</v>
      </c>
      <c r="AS7315" s="78">
        <f t="shared" si="118"/>
        <v>0</v>
      </c>
    </row>
    <row r="7316" spans="39:45">
      <c r="AM7316" s="54">
        <v>2019</v>
      </c>
      <c r="AN7316" s="54" t="s">
        <v>192</v>
      </c>
      <c r="AO7316" s="54">
        <v>1</v>
      </c>
      <c r="AP7316" s="54">
        <v>18</v>
      </c>
      <c r="AQ7316" s="54">
        <v>0</v>
      </c>
      <c r="AR7316" s="55">
        <v>28500</v>
      </c>
      <c r="AS7316" s="78">
        <f t="shared" si="118"/>
        <v>0</v>
      </c>
    </row>
    <row r="7317" spans="39:45">
      <c r="AM7317" s="55">
        <v>2019</v>
      </c>
      <c r="AN7317" s="55" t="s">
        <v>192</v>
      </c>
      <c r="AO7317" s="55">
        <v>1</v>
      </c>
      <c r="AP7317" s="55">
        <v>19</v>
      </c>
      <c r="AQ7317" s="55">
        <v>0</v>
      </c>
      <c r="AR7317" s="55">
        <v>28500</v>
      </c>
      <c r="AS7317" s="78">
        <f t="shared" si="118"/>
        <v>0</v>
      </c>
    </row>
    <row r="7318" spans="39:45">
      <c r="AM7318" s="54">
        <v>2019</v>
      </c>
      <c r="AN7318" s="54" t="s">
        <v>192</v>
      </c>
      <c r="AO7318" s="54">
        <v>1</v>
      </c>
      <c r="AP7318" s="54">
        <v>20</v>
      </c>
      <c r="AQ7318" s="54">
        <v>0</v>
      </c>
      <c r="AR7318" s="55">
        <v>28500</v>
      </c>
      <c r="AS7318" s="78">
        <f t="shared" si="118"/>
        <v>0</v>
      </c>
    </row>
    <row r="7319" spans="39:45">
      <c r="AM7319" s="55">
        <v>2019</v>
      </c>
      <c r="AN7319" s="55" t="s">
        <v>192</v>
      </c>
      <c r="AO7319" s="55">
        <v>1</v>
      </c>
      <c r="AP7319" s="55">
        <v>21</v>
      </c>
      <c r="AQ7319" s="55">
        <v>0</v>
      </c>
      <c r="AR7319" s="55">
        <v>28500</v>
      </c>
      <c r="AS7319" s="78">
        <f t="shared" si="118"/>
        <v>0</v>
      </c>
    </row>
    <row r="7320" spans="39:45">
      <c r="AM7320" s="54">
        <v>2019</v>
      </c>
      <c r="AN7320" s="54" t="s">
        <v>192</v>
      </c>
      <c r="AO7320" s="54">
        <v>1</v>
      </c>
      <c r="AP7320" s="54">
        <v>22</v>
      </c>
      <c r="AQ7320" s="54">
        <v>0</v>
      </c>
      <c r="AR7320" s="55">
        <v>28500</v>
      </c>
      <c r="AS7320" s="78">
        <f t="shared" si="118"/>
        <v>0</v>
      </c>
    </row>
    <row r="7321" spans="39:45">
      <c r="AM7321" s="55">
        <v>2019</v>
      </c>
      <c r="AN7321" s="55" t="s">
        <v>192</v>
      </c>
      <c r="AO7321" s="55">
        <v>1</v>
      </c>
      <c r="AP7321" s="55">
        <v>23</v>
      </c>
      <c r="AQ7321" s="55">
        <v>0</v>
      </c>
      <c r="AR7321" s="55">
        <v>28500</v>
      </c>
      <c r="AS7321" s="78">
        <f t="shared" si="118"/>
        <v>0</v>
      </c>
    </row>
    <row r="7322" spans="39:45">
      <c r="AM7322" s="54">
        <v>2019</v>
      </c>
      <c r="AN7322" s="54" t="s">
        <v>192</v>
      </c>
      <c r="AO7322" s="54">
        <v>2</v>
      </c>
      <c r="AP7322" s="54">
        <v>24</v>
      </c>
      <c r="AQ7322" s="54">
        <v>0</v>
      </c>
      <c r="AR7322" s="55">
        <v>28500</v>
      </c>
      <c r="AS7322" s="78">
        <f t="shared" si="118"/>
        <v>0</v>
      </c>
    </row>
    <row r="7323" spans="39:45">
      <c r="AM7323" s="55">
        <v>2019</v>
      </c>
      <c r="AN7323" s="55" t="s">
        <v>192</v>
      </c>
      <c r="AO7323" s="55">
        <v>2</v>
      </c>
      <c r="AP7323" s="55">
        <v>1</v>
      </c>
      <c r="AQ7323" s="55">
        <v>0</v>
      </c>
      <c r="AR7323" s="55">
        <v>28500</v>
      </c>
      <c r="AS7323" s="78">
        <f t="shared" si="118"/>
        <v>0</v>
      </c>
    </row>
    <row r="7324" spans="39:45">
      <c r="AM7324" s="54">
        <v>2019</v>
      </c>
      <c r="AN7324" s="54" t="s">
        <v>192</v>
      </c>
      <c r="AO7324" s="54">
        <v>2</v>
      </c>
      <c r="AP7324" s="54">
        <v>2</v>
      </c>
      <c r="AQ7324" s="54">
        <v>0</v>
      </c>
      <c r="AR7324" s="55">
        <v>28500</v>
      </c>
      <c r="AS7324" s="78">
        <f t="shared" si="118"/>
        <v>0</v>
      </c>
    </row>
    <row r="7325" spans="39:45">
      <c r="AM7325" s="55">
        <v>2019</v>
      </c>
      <c r="AN7325" s="55" t="s">
        <v>192</v>
      </c>
      <c r="AO7325" s="55">
        <v>2</v>
      </c>
      <c r="AP7325" s="55">
        <v>3</v>
      </c>
      <c r="AQ7325" s="55">
        <v>0</v>
      </c>
      <c r="AR7325" s="55">
        <v>28500</v>
      </c>
      <c r="AS7325" s="78">
        <f t="shared" si="118"/>
        <v>0</v>
      </c>
    </row>
    <row r="7326" spans="39:45">
      <c r="AM7326" s="54">
        <v>2019</v>
      </c>
      <c r="AN7326" s="54" t="s">
        <v>192</v>
      </c>
      <c r="AO7326" s="54">
        <v>2</v>
      </c>
      <c r="AP7326" s="54">
        <v>4</v>
      </c>
      <c r="AQ7326" s="54">
        <v>0</v>
      </c>
      <c r="AR7326" s="55">
        <v>28500</v>
      </c>
      <c r="AS7326" s="78">
        <f t="shared" si="118"/>
        <v>0</v>
      </c>
    </row>
    <row r="7327" spans="39:45">
      <c r="AM7327" s="55">
        <v>2019</v>
      </c>
      <c r="AN7327" s="55" t="s">
        <v>192</v>
      </c>
      <c r="AO7327" s="55">
        <v>2</v>
      </c>
      <c r="AP7327" s="55">
        <v>5</v>
      </c>
      <c r="AQ7327" s="55">
        <v>0</v>
      </c>
      <c r="AR7327" s="55">
        <v>28500</v>
      </c>
      <c r="AS7327" s="78">
        <f t="shared" si="118"/>
        <v>0</v>
      </c>
    </row>
    <row r="7328" spans="39:45">
      <c r="AM7328" s="54">
        <v>2019</v>
      </c>
      <c r="AN7328" s="54" t="s">
        <v>192</v>
      </c>
      <c r="AO7328" s="54">
        <v>2</v>
      </c>
      <c r="AP7328" s="54">
        <v>6</v>
      </c>
      <c r="AQ7328" s="54">
        <v>0</v>
      </c>
      <c r="AR7328" s="55">
        <v>28500</v>
      </c>
      <c r="AS7328" s="78">
        <f t="shared" si="118"/>
        <v>0</v>
      </c>
    </row>
    <row r="7329" spans="39:45">
      <c r="AM7329" s="55">
        <v>2019</v>
      </c>
      <c r="AN7329" s="55" t="s">
        <v>192</v>
      </c>
      <c r="AO7329" s="55">
        <v>2</v>
      </c>
      <c r="AP7329" s="55">
        <v>7</v>
      </c>
      <c r="AQ7329" s="55">
        <v>0</v>
      </c>
      <c r="AR7329" s="55">
        <v>28500</v>
      </c>
      <c r="AS7329" s="78">
        <f t="shared" si="118"/>
        <v>0</v>
      </c>
    </row>
    <row r="7330" spans="39:45">
      <c r="AM7330" s="54">
        <v>2019</v>
      </c>
      <c r="AN7330" s="54" t="s">
        <v>192</v>
      </c>
      <c r="AO7330" s="54">
        <v>2</v>
      </c>
      <c r="AP7330" s="54">
        <v>8</v>
      </c>
      <c r="AQ7330" s="54">
        <v>1004.5</v>
      </c>
      <c r="AR7330" s="55">
        <v>28500</v>
      </c>
      <c r="AS7330" s="78">
        <f t="shared" si="118"/>
        <v>3.5245614035087719E-2</v>
      </c>
    </row>
    <row r="7331" spans="39:45">
      <c r="AM7331" s="55">
        <v>2019</v>
      </c>
      <c r="AN7331" s="55" t="s">
        <v>192</v>
      </c>
      <c r="AO7331" s="55">
        <v>2</v>
      </c>
      <c r="AP7331" s="55">
        <v>9</v>
      </c>
      <c r="AQ7331" s="55">
        <v>832.5</v>
      </c>
      <c r="AR7331" s="55">
        <v>28500</v>
      </c>
      <c r="AS7331" s="78">
        <f t="shared" si="118"/>
        <v>2.9210526315789475E-2</v>
      </c>
    </row>
    <row r="7332" spans="39:45">
      <c r="AM7332" s="54">
        <v>2019</v>
      </c>
      <c r="AN7332" s="54" t="s">
        <v>192</v>
      </c>
      <c r="AO7332" s="54">
        <v>2</v>
      </c>
      <c r="AP7332" s="54">
        <v>10</v>
      </c>
      <c r="AQ7332" s="54">
        <v>637</v>
      </c>
      <c r="AR7332" s="55">
        <v>28500</v>
      </c>
      <c r="AS7332" s="78">
        <f t="shared" si="118"/>
        <v>2.2350877192982455E-2</v>
      </c>
    </row>
    <row r="7333" spans="39:45">
      <c r="AM7333" s="55">
        <v>2019</v>
      </c>
      <c r="AN7333" s="55" t="s">
        <v>192</v>
      </c>
      <c r="AO7333" s="55">
        <v>2</v>
      </c>
      <c r="AP7333" s="55">
        <v>11</v>
      </c>
      <c r="AQ7333" s="55">
        <v>6465</v>
      </c>
      <c r="AR7333" s="55">
        <v>28500</v>
      </c>
      <c r="AS7333" s="78">
        <f t="shared" si="118"/>
        <v>0.2268421052631579</v>
      </c>
    </row>
    <row r="7334" spans="39:45">
      <c r="AM7334" s="54">
        <v>2019</v>
      </c>
      <c r="AN7334" s="54" t="s">
        <v>192</v>
      </c>
      <c r="AO7334" s="54">
        <v>2</v>
      </c>
      <c r="AP7334" s="54">
        <v>12</v>
      </c>
      <c r="AQ7334" s="54">
        <v>2300</v>
      </c>
      <c r="AR7334" s="55">
        <v>28500</v>
      </c>
      <c r="AS7334" s="78">
        <f t="shared" si="118"/>
        <v>8.0701754385964913E-2</v>
      </c>
    </row>
    <row r="7335" spans="39:45">
      <c r="AM7335" s="55">
        <v>2019</v>
      </c>
      <c r="AN7335" s="55" t="s">
        <v>192</v>
      </c>
      <c r="AO7335" s="55">
        <v>2</v>
      </c>
      <c r="AP7335" s="55">
        <v>13</v>
      </c>
      <c r="AQ7335" s="55">
        <v>8295.5</v>
      </c>
      <c r="AR7335" s="55">
        <v>28500</v>
      </c>
      <c r="AS7335" s="78">
        <f t="shared" si="118"/>
        <v>0.29107017543859648</v>
      </c>
    </row>
    <row r="7336" spans="39:45">
      <c r="AM7336" s="54">
        <v>2019</v>
      </c>
      <c r="AN7336" s="54" t="s">
        <v>192</v>
      </c>
      <c r="AO7336" s="54">
        <v>2</v>
      </c>
      <c r="AP7336" s="54">
        <v>14</v>
      </c>
      <c r="AQ7336" s="54">
        <v>4182</v>
      </c>
      <c r="AR7336" s="55">
        <v>28500</v>
      </c>
      <c r="AS7336" s="78">
        <f t="shared" si="118"/>
        <v>0.14673684210526317</v>
      </c>
    </row>
    <row r="7337" spans="39:45">
      <c r="AM7337" s="55">
        <v>2019</v>
      </c>
      <c r="AN7337" s="55" t="s">
        <v>192</v>
      </c>
      <c r="AO7337" s="55">
        <v>2</v>
      </c>
      <c r="AP7337" s="55">
        <v>15</v>
      </c>
      <c r="AQ7337" s="55">
        <v>2864</v>
      </c>
      <c r="AR7337" s="55">
        <v>28500</v>
      </c>
      <c r="AS7337" s="78">
        <f t="shared" si="118"/>
        <v>0.10049122807017544</v>
      </c>
    </row>
    <row r="7338" spans="39:45">
      <c r="AM7338" s="54">
        <v>2019</v>
      </c>
      <c r="AN7338" s="54" t="s">
        <v>192</v>
      </c>
      <c r="AO7338" s="54">
        <v>2</v>
      </c>
      <c r="AP7338" s="54">
        <v>16</v>
      </c>
      <c r="AQ7338" s="54">
        <v>50.5</v>
      </c>
      <c r="AR7338" s="55">
        <v>28500</v>
      </c>
      <c r="AS7338" s="78">
        <f t="shared" si="118"/>
        <v>1.7719298245614035E-3</v>
      </c>
    </row>
    <row r="7339" spans="39:45">
      <c r="AM7339" s="55">
        <v>2019</v>
      </c>
      <c r="AN7339" s="55" t="s">
        <v>192</v>
      </c>
      <c r="AO7339" s="55">
        <v>2</v>
      </c>
      <c r="AP7339" s="55">
        <v>17</v>
      </c>
      <c r="AQ7339" s="55">
        <v>0</v>
      </c>
      <c r="AR7339" s="55">
        <v>28500</v>
      </c>
      <c r="AS7339" s="78">
        <f t="shared" si="118"/>
        <v>0</v>
      </c>
    </row>
    <row r="7340" spans="39:45">
      <c r="AM7340" s="54">
        <v>2019</v>
      </c>
      <c r="AN7340" s="54" t="s">
        <v>192</v>
      </c>
      <c r="AO7340" s="54">
        <v>2</v>
      </c>
      <c r="AP7340" s="54">
        <v>18</v>
      </c>
      <c r="AQ7340" s="54">
        <v>0</v>
      </c>
      <c r="AR7340" s="55">
        <v>28500</v>
      </c>
      <c r="AS7340" s="78">
        <f t="shared" si="118"/>
        <v>0</v>
      </c>
    </row>
    <row r="7341" spans="39:45">
      <c r="AM7341" s="55">
        <v>2019</v>
      </c>
      <c r="AN7341" s="55" t="s">
        <v>192</v>
      </c>
      <c r="AO7341" s="55">
        <v>2</v>
      </c>
      <c r="AP7341" s="55">
        <v>19</v>
      </c>
      <c r="AQ7341" s="55">
        <v>0</v>
      </c>
      <c r="AR7341" s="55">
        <v>28500</v>
      </c>
      <c r="AS7341" s="78">
        <f t="shared" si="118"/>
        <v>0</v>
      </c>
    </row>
    <row r="7342" spans="39:45">
      <c r="AM7342" s="54">
        <v>2019</v>
      </c>
      <c r="AN7342" s="54" t="s">
        <v>192</v>
      </c>
      <c r="AO7342" s="54">
        <v>2</v>
      </c>
      <c r="AP7342" s="54">
        <v>20</v>
      </c>
      <c r="AQ7342" s="54">
        <v>0</v>
      </c>
      <c r="AR7342" s="55">
        <v>28500</v>
      </c>
      <c r="AS7342" s="78">
        <f t="shared" si="118"/>
        <v>0</v>
      </c>
    </row>
    <row r="7343" spans="39:45">
      <c r="AM7343" s="55">
        <v>2019</v>
      </c>
      <c r="AN7343" s="55" t="s">
        <v>192</v>
      </c>
      <c r="AO7343" s="55">
        <v>2</v>
      </c>
      <c r="AP7343" s="55">
        <v>21</v>
      </c>
      <c r="AQ7343" s="55">
        <v>0</v>
      </c>
      <c r="AR7343" s="55">
        <v>28500</v>
      </c>
      <c r="AS7343" s="78">
        <f t="shared" si="118"/>
        <v>0</v>
      </c>
    </row>
    <row r="7344" spans="39:45">
      <c r="AM7344" s="54">
        <v>2019</v>
      </c>
      <c r="AN7344" s="54" t="s">
        <v>192</v>
      </c>
      <c r="AO7344" s="54">
        <v>2</v>
      </c>
      <c r="AP7344" s="54">
        <v>22</v>
      </c>
      <c r="AQ7344" s="54">
        <v>0</v>
      </c>
      <c r="AR7344" s="55">
        <v>28500</v>
      </c>
      <c r="AS7344" s="78">
        <f t="shared" si="118"/>
        <v>0</v>
      </c>
    </row>
    <row r="7345" spans="39:45">
      <c r="AM7345" s="55">
        <v>2019</v>
      </c>
      <c r="AN7345" s="55" t="s">
        <v>192</v>
      </c>
      <c r="AO7345" s="55">
        <v>2</v>
      </c>
      <c r="AP7345" s="55">
        <v>23</v>
      </c>
      <c r="AQ7345" s="55">
        <v>0</v>
      </c>
      <c r="AR7345" s="55">
        <v>28500</v>
      </c>
      <c r="AS7345" s="78">
        <f t="shared" si="118"/>
        <v>0</v>
      </c>
    </row>
    <row r="7346" spans="39:45">
      <c r="AM7346" s="54">
        <v>2019</v>
      </c>
      <c r="AN7346" s="54" t="s">
        <v>192</v>
      </c>
      <c r="AO7346" s="54">
        <v>3</v>
      </c>
      <c r="AP7346" s="54">
        <v>24</v>
      </c>
      <c r="AQ7346" s="54">
        <v>0</v>
      </c>
      <c r="AR7346" s="55">
        <v>28500</v>
      </c>
      <c r="AS7346" s="78">
        <f t="shared" si="118"/>
        <v>0</v>
      </c>
    </row>
    <row r="7347" spans="39:45">
      <c r="AM7347" s="55">
        <v>2019</v>
      </c>
      <c r="AN7347" s="55" t="s">
        <v>192</v>
      </c>
      <c r="AO7347" s="55">
        <v>3</v>
      </c>
      <c r="AP7347" s="55">
        <v>1</v>
      </c>
      <c r="AQ7347" s="55">
        <v>0</v>
      </c>
      <c r="AR7347" s="55">
        <v>28500</v>
      </c>
      <c r="AS7347" s="78">
        <f t="shared" si="118"/>
        <v>0</v>
      </c>
    </row>
    <row r="7348" spans="39:45">
      <c r="AM7348" s="54">
        <v>2019</v>
      </c>
      <c r="AN7348" s="54" t="s">
        <v>192</v>
      </c>
      <c r="AO7348" s="54">
        <v>3</v>
      </c>
      <c r="AP7348" s="54">
        <v>2</v>
      </c>
      <c r="AQ7348" s="54">
        <v>0</v>
      </c>
      <c r="AR7348" s="55">
        <v>28500</v>
      </c>
      <c r="AS7348" s="78">
        <f t="shared" si="118"/>
        <v>0</v>
      </c>
    </row>
    <row r="7349" spans="39:45">
      <c r="AM7349" s="55">
        <v>2019</v>
      </c>
      <c r="AN7349" s="55" t="s">
        <v>192</v>
      </c>
      <c r="AO7349" s="55">
        <v>3</v>
      </c>
      <c r="AP7349" s="55">
        <v>3</v>
      </c>
      <c r="AQ7349" s="55">
        <v>0</v>
      </c>
      <c r="AR7349" s="55">
        <v>28500</v>
      </c>
      <c r="AS7349" s="78">
        <f t="shared" si="118"/>
        <v>0</v>
      </c>
    </row>
    <row r="7350" spans="39:45">
      <c r="AM7350" s="54">
        <v>2019</v>
      </c>
      <c r="AN7350" s="54" t="s">
        <v>192</v>
      </c>
      <c r="AO7350" s="54">
        <v>3</v>
      </c>
      <c r="AP7350" s="54">
        <v>4</v>
      </c>
      <c r="AQ7350" s="54">
        <v>0</v>
      </c>
      <c r="AR7350" s="55">
        <v>28500</v>
      </c>
      <c r="AS7350" s="78">
        <f t="shared" si="118"/>
        <v>0</v>
      </c>
    </row>
    <row r="7351" spans="39:45">
      <c r="AM7351" s="55">
        <v>2019</v>
      </c>
      <c r="AN7351" s="55" t="s">
        <v>192</v>
      </c>
      <c r="AO7351" s="55">
        <v>3</v>
      </c>
      <c r="AP7351" s="55">
        <v>5</v>
      </c>
      <c r="AQ7351" s="55">
        <v>0</v>
      </c>
      <c r="AR7351" s="55">
        <v>28500</v>
      </c>
      <c r="AS7351" s="78">
        <f t="shared" si="118"/>
        <v>0</v>
      </c>
    </row>
    <row r="7352" spans="39:45">
      <c r="AM7352" s="54">
        <v>2019</v>
      </c>
      <c r="AN7352" s="54" t="s">
        <v>192</v>
      </c>
      <c r="AO7352" s="54">
        <v>3</v>
      </c>
      <c r="AP7352" s="54">
        <v>6</v>
      </c>
      <c r="AQ7352" s="54">
        <v>0</v>
      </c>
      <c r="AR7352" s="55">
        <v>28500</v>
      </c>
      <c r="AS7352" s="78">
        <f t="shared" si="118"/>
        <v>0</v>
      </c>
    </row>
    <row r="7353" spans="39:45">
      <c r="AM7353" s="55">
        <v>2019</v>
      </c>
      <c r="AN7353" s="55" t="s">
        <v>192</v>
      </c>
      <c r="AO7353" s="55">
        <v>3</v>
      </c>
      <c r="AP7353" s="55">
        <v>7</v>
      </c>
      <c r="AQ7353" s="55">
        <v>0</v>
      </c>
      <c r="AR7353" s="55">
        <v>28500</v>
      </c>
      <c r="AS7353" s="78">
        <f t="shared" si="118"/>
        <v>0</v>
      </c>
    </row>
    <row r="7354" spans="39:45">
      <c r="AM7354" s="54">
        <v>2019</v>
      </c>
      <c r="AN7354" s="54" t="s">
        <v>192</v>
      </c>
      <c r="AO7354" s="54">
        <v>3</v>
      </c>
      <c r="AP7354" s="54">
        <v>8</v>
      </c>
      <c r="AQ7354" s="54">
        <v>5993.5</v>
      </c>
      <c r="AR7354" s="55">
        <v>28500</v>
      </c>
      <c r="AS7354" s="78">
        <f t="shared" si="118"/>
        <v>0.2102982456140351</v>
      </c>
    </row>
    <row r="7355" spans="39:45">
      <c r="AM7355" s="55">
        <v>2019</v>
      </c>
      <c r="AN7355" s="55" t="s">
        <v>192</v>
      </c>
      <c r="AO7355" s="55">
        <v>3</v>
      </c>
      <c r="AP7355" s="55">
        <v>9</v>
      </c>
      <c r="AQ7355" s="55">
        <v>23016.5</v>
      </c>
      <c r="AR7355" s="55">
        <v>28500</v>
      </c>
      <c r="AS7355" s="78">
        <f t="shared" si="118"/>
        <v>0.8075964912280702</v>
      </c>
    </row>
    <row r="7356" spans="39:45">
      <c r="AM7356" s="54">
        <v>2019</v>
      </c>
      <c r="AN7356" s="54" t="s">
        <v>192</v>
      </c>
      <c r="AO7356" s="54">
        <v>3</v>
      </c>
      <c r="AP7356" s="54">
        <v>10</v>
      </c>
      <c r="AQ7356" s="54">
        <v>28587</v>
      </c>
      <c r="AR7356" s="55">
        <v>28500</v>
      </c>
      <c r="AS7356" s="78">
        <f t="shared" si="118"/>
        <v>1.0030526315789474</v>
      </c>
    </row>
    <row r="7357" spans="39:45">
      <c r="AM7357" s="55">
        <v>2019</v>
      </c>
      <c r="AN7357" s="55" t="s">
        <v>192</v>
      </c>
      <c r="AO7357" s="55">
        <v>3</v>
      </c>
      <c r="AP7357" s="55">
        <v>11</v>
      </c>
      <c r="AQ7357" s="55">
        <v>34497</v>
      </c>
      <c r="AR7357" s="55">
        <v>28500</v>
      </c>
      <c r="AS7357" s="78">
        <f t="shared" si="118"/>
        <v>1.2104210526315788</v>
      </c>
    </row>
    <row r="7358" spans="39:45">
      <c r="AM7358" s="54">
        <v>2019</v>
      </c>
      <c r="AN7358" s="54" t="s">
        <v>192</v>
      </c>
      <c r="AO7358" s="54">
        <v>3</v>
      </c>
      <c r="AP7358" s="54">
        <v>12</v>
      </c>
      <c r="AQ7358" s="54">
        <v>32991</v>
      </c>
      <c r="AR7358" s="55">
        <v>28500</v>
      </c>
      <c r="AS7358" s="78">
        <f t="shared" si="118"/>
        <v>1.157578947368421</v>
      </c>
    </row>
    <row r="7359" spans="39:45">
      <c r="AM7359" s="55">
        <v>2019</v>
      </c>
      <c r="AN7359" s="55" t="s">
        <v>192</v>
      </c>
      <c r="AO7359" s="55">
        <v>3</v>
      </c>
      <c r="AP7359" s="55">
        <v>13</v>
      </c>
      <c r="AQ7359" s="55">
        <v>5728</v>
      </c>
      <c r="AR7359" s="55">
        <v>28500</v>
      </c>
      <c r="AS7359" s="78">
        <f t="shared" si="118"/>
        <v>0.20098245614035087</v>
      </c>
    </row>
    <row r="7360" spans="39:45">
      <c r="AM7360" s="54">
        <v>2019</v>
      </c>
      <c r="AN7360" s="54" t="s">
        <v>192</v>
      </c>
      <c r="AO7360" s="54">
        <v>3</v>
      </c>
      <c r="AP7360" s="54">
        <v>14</v>
      </c>
      <c r="AQ7360" s="54">
        <v>5446.5</v>
      </c>
      <c r="AR7360" s="55">
        <v>28500</v>
      </c>
      <c r="AS7360" s="78">
        <f t="shared" si="118"/>
        <v>0.19110526315789475</v>
      </c>
    </row>
    <row r="7361" spans="39:45">
      <c r="AM7361" s="55">
        <v>2019</v>
      </c>
      <c r="AN7361" s="55" t="s">
        <v>192</v>
      </c>
      <c r="AO7361" s="55">
        <v>3</v>
      </c>
      <c r="AP7361" s="55">
        <v>15</v>
      </c>
      <c r="AQ7361" s="55">
        <v>3008.5</v>
      </c>
      <c r="AR7361" s="55">
        <v>28500</v>
      </c>
      <c r="AS7361" s="78">
        <f t="shared" si="118"/>
        <v>0.10556140350877193</v>
      </c>
    </row>
    <row r="7362" spans="39:45">
      <c r="AM7362" s="54">
        <v>2019</v>
      </c>
      <c r="AN7362" s="54" t="s">
        <v>192</v>
      </c>
      <c r="AO7362" s="54">
        <v>3</v>
      </c>
      <c r="AP7362" s="54">
        <v>16</v>
      </c>
      <c r="AQ7362" s="54">
        <v>0</v>
      </c>
      <c r="AR7362" s="55">
        <v>28500</v>
      </c>
      <c r="AS7362" s="78">
        <f t="shared" ref="AS7362:AS7425" si="119">AQ7362/AR7362</f>
        <v>0</v>
      </c>
    </row>
    <row r="7363" spans="39:45">
      <c r="AM7363" s="55">
        <v>2019</v>
      </c>
      <c r="AN7363" s="55" t="s">
        <v>192</v>
      </c>
      <c r="AO7363" s="55">
        <v>3</v>
      </c>
      <c r="AP7363" s="55">
        <v>17</v>
      </c>
      <c r="AQ7363" s="55">
        <v>0</v>
      </c>
      <c r="AR7363" s="55">
        <v>28500</v>
      </c>
      <c r="AS7363" s="78">
        <f t="shared" si="119"/>
        <v>0</v>
      </c>
    </row>
    <row r="7364" spans="39:45">
      <c r="AM7364" s="54">
        <v>2019</v>
      </c>
      <c r="AN7364" s="54" t="s">
        <v>192</v>
      </c>
      <c r="AO7364" s="54">
        <v>3</v>
      </c>
      <c r="AP7364" s="54">
        <v>18</v>
      </c>
      <c r="AQ7364" s="54">
        <v>0</v>
      </c>
      <c r="AR7364" s="55">
        <v>28500</v>
      </c>
      <c r="AS7364" s="78">
        <f t="shared" si="119"/>
        <v>0</v>
      </c>
    </row>
    <row r="7365" spans="39:45">
      <c r="AM7365" s="55">
        <v>2019</v>
      </c>
      <c r="AN7365" s="55" t="s">
        <v>192</v>
      </c>
      <c r="AO7365" s="55">
        <v>3</v>
      </c>
      <c r="AP7365" s="55">
        <v>19</v>
      </c>
      <c r="AQ7365" s="55">
        <v>0</v>
      </c>
      <c r="AR7365" s="55">
        <v>28500</v>
      </c>
      <c r="AS7365" s="78">
        <f t="shared" si="119"/>
        <v>0</v>
      </c>
    </row>
    <row r="7366" spans="39:45">
      <c r="AM7366" s="54">
        <v>2019</v>
      </c>
      <c r="AN7366" s="54" t="s">
        <v>192</v>
      </c>
      <c r="AO7366" s="54">
        <v>3</v>
      </c>
      <c r="AP7366" s="54">
        <v>20</v>
      </c>
      <c r="AQ7366" s="54">
        <v>0</v>
      </c>
      <c r="AR7366" s="55">
        <v>28500</v>
      </c>
      <c r="AS7366" s="78">
        <f t="shared" si="119"/>
        <v>0</v>
      </c>
    </row>
    <row r="7367" spans="39:45">
      <c r="AM7367" s="55">
        <v>2019</v>
      </c>
      <c r="AN7367" s="55" t="s">
        <v>192</v>
      </c>
      <c r="AO7367" s="55">
        <v>3</v>
      </c>
      <c r="AP7367" s="55">
        <v>21</v>
      </c>
      <c r="AQ7367" s="55">
        <v>0</v>
      </c>
      <c r="AR7367" s="55">
        <v>28500</v>
      </c>
      <c r="AS7367" s="78">
        <f t="shared" si="119"/>
        <v>0</v>
      </c>
    </row>
    <row r="7368" spans="39:45">
      <c r="AM7368" s="54">
        <v>2019</v>
      </c>
      <c r="AN7368" s="54" t="s">
        <v>192</v>
      </c>
      <c r="AO7368" s="54">
        <v>3</v>
      </c>
      <c r="AP7368" s="54">
        <v>22</v>
      </c>
      <c r="AQ7368" s="54">
        <v>0</v>
      </c>
      <c r="AR7368" s="55">
        <v>28500</v>
      </c>
      <c r="AS7368" s="78">
        <f t="shared" si="119"/>
        <v>0</v>
      </c>
    </row>
    <row r="7369" spans="39:45">
      <c r="AM7369" s="55">
        <v>2019</v>
      </c>
      <c r="AN7369" s="55" t="s">
        <v>192</v>
      </c>
      <c r="AO7369" s="55">
        <v>3</v>
      </c>
      <c r="AP7369" s="55">
        <v>23</v>
      </c>
      <c r="AQ7369" s="55">
        <v>0</v>
      </c>
      <c r="AR7369" s="55">
        <v>28500</v>
      </c>
      <c r="AS7369" s="78">
        <f t="shared" si="119"/>
        <v>0</v>
      </c>
    </row>
    <row r="7370" spans="39:45">
      <c r="AM7370" s="54">
        <v>2019</v>
      </c>
      <c r="AN7370" s="54" t="s">
        <v>192</v>
      </c>
      <c r="AO7370" s="54">
        <v>4</v>
      </c>
      <c r="AP7370" s="54">
        <v>24</v>
      </c>
      <c r="AQ7370" s="54">
        <v>0</v>
      </c>
      <c r="AR7370" s="55">
        <v>28500</v>
      </c>
      <c r="AS7370" s="78">
        <f t="shared" si="119"/>
        <v>0</v>
      </c>
    </row>
    <row r="7371" spans="39:45">
      <c r="AM7371" s="55">
        <v>2019</v>
      </c>
      <c r="AN7371" s="55" t="s">
        <v>192</v>
      </c>
      <c r="AO7371" s="55">
        <v>4</v>
      </c>
      <c r="AP7371" s="55">
        <v>1</v>
      </c>
      <c r="AQ7371" s="55">
        <v>0</v>
      </c>
      <c r="AR7371" s="55">
        <v>28500</v>
      </c>
      <c r="AS7371" s="78">
        <f t="shared" si="119"/>
        <v>0</v>
      </c>
    </row>
    <row r="7372" spans="39:45">
      <c r="AM7372" s="54">
        <v>2019</v>
      </c>
      <c r="AN7372" s="54" t="s">
        <v>192</v>
      </c>
      <c r="AO7372" s="54">
        <v>4</v>
      </c>
      <c r="AP7372" s="54">
        <v>2</v>
      </c>
      <c r="AQ7372" s="54">
        <v>0</v>
      </c>
      <c r="AR7372" s="55">
        <v>28500</v>
      </c>
      <c r="AS7372" s="78">
        <f t="shared" si="119"/>
        <v>0</v>
      </c>
    </row>
    <row r="7373" spans="39:45">
      <c r="AM7373" s="55">
        <v>2019</v>
      </c>
      <c r="AN7373" s="55" t="s">
        <v>192</v>
      </c>
      <c r="AO7373" s="55">
        <v>4</v>
      </c>
      <c r="AP7373" s="55">
        <v>3</v>
      </c>
      <c r="AQ7373" s="55">
        <v>0</v>
      </c>
      <c r="AR7373" s="55">
        <v>28500</v>
      </c>
      <c r="AS7373" s="78">
        <f t="shared" si="119"/>
        <v>0</v>
      </c>
    </row>
    <row r="7374" spans="39:45">
      <c r="AM7374" s="54">
        <v>2019</v>
      </c>
      <c r="AN7374" s="54" t="s">
        <v>192</v>
      </c>
      <c r="AO7374" s="54">
        <v>4</v>
      </c>
      <c r="AP7374" s="54">
        <v>4</v>
      </c>
      <c r="AQ7374" s="54">
        <v>0</v>
      </c>
      <c r="AR7374" s="55">
        <v>28500</v>
      </c>
      <c r="AS7374" s="78">
        <f t="shared" si="119"/>
        <v>0</v>
      </c>
    </row>
    <row r="7375" spans="39:45">
      <c r="AM7375" s="55">
        <v>2019</v>
      </c>
      <c r="AN7375" s="55" t="s">
        <v>192</v>
      </c>
      <c r="AO7375" s="55">
        <v>4</v>
      </c>
      <c r="AP7375" s="55">
        <v>5</v>
      </c>
      <c r="AQ7375" s="55">
        <v>0</v>
      </c>
      <c r="AR7375" s="55">
        <v>28500</v>
      </c>
      <c r="AS7375" s="78">
        <f t="shared" si="119"/>
        <v>0</v>
      </c>
    </row>
    <row r="7376" spans="39:45">
      <c r="AM7376" s="54">
        <v>2019</v>
      </c>
      <c r="AN7376" s="54" t="s">
        <v>192</v>
      </c>
      <c r="AO7376" s="54">
        <v>4</v>
      </c>
      <c r="AP7376" s="54">
        <v>6</v>
      </c>
      <c r="AQ7376" s="54">
        <v>0</v>
      </c>
      <c r="AR7376" s="55">
        <v>28500</v>
      </c>
      <c r="AS7376" s="78">
        <f t="shared" si="119"/>
        <v>0</v>
      </c>
    </row>
    <row r="7377" spans="39:45">
      <c r="AM7377" s="55">
        <v>2019</v>
      </c>
      <c r="AN7377" s="55" t="s">
        <v>192</v>
      </c>
      <c r="AO7377" s="55">
        <v>4</v>
      </c>
      <c r="AP7377" s="55">
        <v>7</v>
      </c>
      <c r="AQ7377" s="55">
        <v>0</v>
      </c>
      <c r="AR7377" s="55">
        <v>28500</v>
      </c>
      <c r="AS7377" s="78">
        <f t="shared" si="119"/>
        <v>0</v>
      </c>
    </row>
    <row r="7378" spans="39:45">
      <c r="AM7378" s="54">
        <v>2019</v>
      </c>
      <c r="AN7378" s="54" t="s">
        <v>192</v>
      </c>
      <c r="AO7378" s="54">
        <v>4</v>
      </c>
      <c r="AP7378" s="54">
        <v>8</v>
      </c>
      <c r="AQ7378" s="54">
        <v>7244.5</v>
      </c>
      <c r="AR7378" s="55">
        <v>28500</v>
      </c>
      <c r="AS7378" s="78">
        <f t="shared" si="119"/>
        <v>0.25419298245614036</v>
      </c>
    </row>
    <row r="7379" spans="39:45">
      <c r="AM7379" s="55">
        <v>2019</v>
      </c>
      <c r="AN7379" s="55" t="s">
        <v>192</v>
      </c>
      <c r="AO7379" s="55">
        <v>4</v>
      </c>
      <c r="AP7379" s="55">
        <v>9</v>
      </c>
      <c r="AQ7379" s="55">
        <v>19472</v>
      </c>
      <c r="AR7379" s="55">
        <v>28500</v>
      </c>
      <c r="AS7379" s="78">
        <f t="shared" si="119"/>
        <v>0.68322807017543863</v>
      </c>
    </row>
    <row r="7380" spans="39:45">
      <c r="AM7380" s="54">
        <v>2019</v>
      </c>
      <c r="AN7380" s="54" t="s">
        <v>192</v>
      </c>
      <c r="AO7380" s="54">
        <v>4</v>
      </c>
      <c r="AP7380" s="54">
        <v>10</v>
      </c>
      <c r="AQ7380" s="54">
        <v>23093.5</v>
      </c>
      <c r="AR7380" s="55">
        <v>28500</v>
      </c>
      <c r="AS7380" s="78">
        <f t="shared" si="119"/>
        <v>0.81029824561403507</v>
      </c>
    </row>
    <row r="7381" spans="39:45">
      <c r="AM7381" s="55">
        <v>2019</v>
      </c>
      <c r="AN7381" s="55" t="s">
        <v>192</v>
      </c>
      <c r="AO7381" s="55">
        <v>4</v>
      </c>
      <c r="AP7381" s="55">
        <v>11</v>
      </c>
      <c r="AQ7381" s="55">
        <v>4521.5</v>
      </c>
      <c r="AR7381" s="55">
        <v>28500</v>
      </c>
      <c r="AS7381" s="78">
        <f t="shared" si="119"/>
        <v>0.15864912280701754</v>
      </c>
    </row>
    <row r="7382" spans="39:45">
      <c r="AM7382" s="54">
        <v>2019</v>
      </c>
      <c r="AN7382" s="54" t="s">
        <v>192</v>
      </c>
      <c r="AO7382" s="54">
        <v>4</v>
      </c>
      <c r="AP7382" s="54">
        <v>12</v>
      </c>
      <c r="AQ7382" s="54">
        <v>3196</v>
      </c>
      <c r="AR7382" s="55">
        <v>28500</v>
      </c>
      <c r="AS7382" s="78">
        <f t="shared" si="119"/>
        <v>0.11214035087719298</v>
      </c>
    </row>
    <row r="7383" spans="39:45">
      <c r="AM7383" s="55">
        <v>2019</v>
      </c>
      <c r="AN7383" s="55" t="s">
        <v>192</v>
      </c>
      <c r="AO7383" s="55">
        <v>4</v>
      </c>
      <c r="AP7383" s="55">
        <v>13</v>
      </c>
      <c r="AQ7383" s="55">
        <v>19367</v>
      </c>
      <c r="AR7383" s="55">
        <v>28500</v>
      </c>
      <c r="AS7383" s="78">
        <f t="shared" si="119"/>
        <v>0.67954385964912278</v>
      </c>
    </row>
    <row r="7384" spans="39:45">
      <c r="AM7384" s="54">
        <v>2019</v>
      </c>
      <c r="AN7384" s="54" t="s">
        <v>192</v>
      </c>
      <c r="AO7384" s="54">
        <v>4</v>
      </c>
      <c r="AP7384" s="54">
        <v>14</v>
      </c>
      <c r="AQ7384" s="54">
        <v>20305</v>
      </c>
      <c r="AR7384" s="55">
        <v>28500</v>
      </c>
      <c r="AS7384" s="78">
        <f t="shared" si="119"/>
        <v>0.71245614035087723</v>
      </c>
    </row>
    <row r="7385" spans="39:45">
      <c r="AM7385" s="55">
        <v>2019</v>
      </c>
      <c r="AN7385" s="55" t="s">
        <v>192</v>
      </c>
      <c r="AO7385" s="55">
        <v>4</v>
      </c>
      <c r="AP7385" s="55">
        <v>15</v>
      </c>
      <c r="AQ7385" s="55">
        <v>4550.5</v>
      </c>
      <c r="AR7385" s="55">
        <v>28500</v>
      </c>
      <c r="AS7385" s="78">
        <f t="shared" si="119"/>
        <v>0.15966666666666668</v>
      </c>
    </row>
    <row r="7386" spans="39:45">
      <c r="AM7386" s="54">
        <v>2019</v>
      </c>
      <c r="AN7386" s="54" t="s">
        <v>192</v>
      </c>
      <c r="AO7386" s="54">
        <v>4</v>
      </c>
      <c r="AP7386" s="54">
        <v>16</v>
      </c>
      <c r="AQ7386" s="54">
        <v>0</v>
      </c>
      <c r="AR7386" s="55">
        <v>28500</v>
      </c>
      <c r="AS7386" s="78">
        <f t="shared" si="119"/>
        <v>0</v>
      </c>
    </row>
    <row r="7387" spans="39:45">
      <c r="AM7387" s="55">
        <v>2019</v>
      </c>
      <c r="AN7387" s="55" t="s">
        <v>192</v>
      </c>
      <c r="AO7387" s="55">
        <v>4</v>
      </c>
      <c r="AP7387" s="55">
        <v>17</v>
      </c>
      <c r="AQ7387" s="55">
        <v>0</v>
      </c>
      <c r="AR7387" s="55">
        <v>28500</v>
      </c>
      <c r="AS7387" s="78">
        <f t="shared" si="119"/>
        <v>0</v>
      </c>
    </row>
    <row r="7388" spans="39:45">
      <c r="AM7388" s="54">
        <v>2019</v>
      </c>
      <c r="AN7388" s="54" t="s">
        <v>192</v>
      </c>
      <c r="AO7388" s="54">
        <v>4</v>
      </c>
      <c r="AP7388" s="54">
        <v>18</v>
      </c>
      <c r="AQ7388" s="54">
        <v>0</v>
      </c>
      <c r="AR7388" s="55">
        <v>28500</v>
      </c>
      <c r="AS7388" s="78">
        <f t="shared" si="119"/>
        <v>0</v>
      </c>
    </row>
    <row r="7389" spans="39:45">
      <c r="AM7389" s="55">
        <v>2019</v>
      </c>
      <c r="AN7389" s="55" t="s">
        <v>192</v>
      </c>
      <c r="AO7389" s="55">
        <v>4</v>
      </c>
      <c r="AP7389" s="55">
        <v>19</v>
      </c>
      <c r="AQ7389" s="55">
        <v>0</v>
      </c>
      <c r="AR7389" s="55">
        <v>28500</v>
      </c>
      <c r="AS7389" s="78">
        <f t="shared" si="119"/>
        <v>0</v>
      </c>
    </row>
    <row r="7390" spans="39:45">
      <c r="AM7390" s="54">
        <v>2019</v>
      </c>
      <c r="AN7390" s="54" t="s">
        <v>192</v>
      </c>
      <c r="AO7390" s="54">
        <v>4</v>
      </c>
      <c r="AP7390" s="54">
        <v>20</v>
      </c>
      <c r="AQ7390" s="54">
        <v>0</v>
      </c>
      <c r="AR7390" s="55">
        <v>28500</v>
      </c>
      <c r="AS7390" s="78">
        <f t="shared" si="119"/>
        <v>0</v>
      </c>
    </row>
    <row r="7391" spans="39:45">
      <c r="AM7391" s="55">
        <v>2019</v>
      </c>
      <c r="AN7391" s="55" t="s">
        <v>192</v>
      </c>
      <c r="AO7391" s="55">
        <v>4</v>
      </c>
      <c r="AP7391" s="55">
        <v>21</v>
      </c>
      <c r="AQ7391" s="55">
        <v>0</v>
      </c>
      <c r="AR7391" s="55">
        <v>28500</v>
      </c>
      <c r="AS7391" s="78">
        <f t="shared" si="119"/>
        <v>0</v>
      </c>
    </row>
    <row r="7392" spans="39:45">
      <c r="AM7392" s="54">
        <v>2019</v>
      </c>
      <c r="AN7392" s="54" t="s">
        <v>192</v>
      </c>
      <c r="AO7392" s="54">
        <v>4</v>
      </c>
      <c r="AP7392" s="54">
        <v>22</v>
      </c>
      <c r="AQ7392" s="54">
        <v>0</v>
      </c>
      <c r="AR7392" s="55">
        <v>28500</v>
      </c>
      <c r="AS7392" s="78">
        <f t="shared" si="119"/>
        <v>0</v>
      </c>
    </row>
    <row r="7393" spans="39:45">
      <c r="AM7393" s="55">
        <v>2019</v>
      </c>
      <c r="AN7393" s="55" t="s">
        <v>192</v>
      </c>
      <c r="AO7393" s="55">
        <v>4</v>
      </c>
      <c r="AP7393" s="55">
        <v>23</v>
      </c>
      <c r="AQ7393" s="55">
        <v>0</v>
      </c>
      <c r="AR7393" s="55">
        <v>28500</v>
      </c>
      <c r="AS7393" s="78">
        <f t="shared" si="119"/>
        <v>0</v>
      </c>
    </row>
    <row r="7394" spans="39:45">
      <c r="AM7394" s="54">
        <v>2019</v>
      </c>
      <c r="AN7394" s="54" t="s">
        <v>192</v>
      </c>
      <c r="AO7394" s="54">
        <v>5</v>
      </c>
      <c r="AP7394" s="54">
        <v>24</v>
      </c>
      <c r="AQ7394" s="54">
        <v>0</v>
      </c>
      <c r="AR7394" s="55">
        <v>28500</v>
      </c>
      <c r="AS7394" s="78">
        <f t="shared" si="119"/>
        <v>0</v>
      </c>
    </row>
    <row r="7395" spans="39:45">
      <c r="AM7395" s="55">
        <v>2019</v>
      </c>
      <c r="AN7395" s="55" t="s">
        <v>192</v>
      </c>
      <c r="AO7395" s="55">
        <v>5</v>
      </c>
      <c r="AP7395" s="55">
        <v>1</v>
      </c>
      <c r="AQ7395" s="55">
        <v>0</v>
      </c>
      <c r="AR7395" s="55">
        <v>28500</v>
      </c>
      <c r="AS7395" s="78">
        <f t="shared" si="119"/>
        <v>0</v>
      </c>
    </row>
    <row r="7396" spans="39:45">
      <c r="AM7396" s="54">
        <v>2019</v>
      </c>
      <c r="AN7396" s="54" t="s">
        <v>192</v>
      </c>
      <c r="AO7396" s="54">
        <v>5</v>
      </c>
      <c r="AP7396" s="54">
        <v>2</v>
      </c>
      <c r="AQ7396" s="54">
        <v>0</v>
      </c>
      <c r="AR7396" s="55">
        <v>28500</v>
      </c>
      <c r="AS7396" s="78">
        <f t="shared" si="119"/>
        <v>0</v>
      </c>
    </row>
    <row r="7397" spans="39:45">
      <c r="AM7397" s="55">
        <v>2019</v>
      </c>
      <c r="AN7397" s="55" t="s">
        <v>192</v>
      </c>
      <c r="AO7397" s="55">
        <v>5</v>
      </c>
      <c r="AP7397" s="55">
        <v>3</v>
      </c>
      <c r="AQ7397" s="55">
        <v>0</v>
      </c>
      <c r="AR7397" s="55">
        <v>28500</v>
      </c>
      <c r="AS7397" s="78">
        <f t="shared" si="119"/>
        <v>0</v>
      </c>
    </row>
    <row r="7398" spans="39:45">
      <c r="AM7398" s="54">
        <v>2019</v>
      </c>
      <c r="AN7398" s="54" t="s">
        <v>192</v>
      </c>
      <c r="AO7398" s="54">
        <v>5</v>
      </c>
      <c r="AP7398" s="54">
        <v>4</v>
      </c>
      <c r="AQ7398" s="54">
        <v>0</v>
      </c>
      <c r="AR7398" s="55">
        <v>28500</v>
      </c>
      <c r="AS7398" s="78">
        <f t="shared" si="119"/>
        <v>0</v>
      </c>
    </row>
    <row r="7399" spans="39:45">
      <c r="AM7399" s="55">
        <v>2019</v>
      </c>
      <c r="AN7399" s="55" t="s">
        <v>192</v>
      </c>
      <c r="AO7399" s="55">
        <v>5</v>
      </c>
      <c r="AP7399" s="55">
        <v>5</v>
      </c>
      <c r="AQ7399" s="55">
        <v>0</v>
      </c>
      <c r="AR7399" s="55">
        <v>28500</v>
      </c>
      <c r="AS7399" s="78">
        <f t="shared" si="119"/>
        <v>0</v>
      </c>
    </row>
    <row r="7400" spans="39:45">
      <c r="AM7400" s="54">
        <v>2019</v>
      </c>
      <c r="AN7400" s="54" t="s">
        <v>192</v>
      </c>
      <c r="AO7400" s="54">
        <v>5</v>
      </c>
      <c r="AP7400" s="54">
        <v>6</v>
      </c>
      <c r="AQ7400" s="54">
        <v>0</v>
      </c>
      <c r="AR7400" s="55">
        <v>28500</v>
      </c>
      <c r="AS7400" s="78">
        <f t="shared" si="119"/>
        <v>0</v>
      </c>
    </row>
    <row r="7401" spans="39:45">
      <c r="AM7401" s="55">
        <v>2019</v>
      </c>
      <c r="AN7401" s="55" t="s">
        <v>192</v>
      </c>
      <c r="AO7401" s="55">
        <v>5</v>
      </c>
      <c r="AP7401" s="55">
        <v>7</v>
      </c>
      <c r="AQ7401" s="55">
        <v>0</v>
      </c>
      <c r="AR7401" s="55">
        <v>28500</v>
      </c>
      <c r="AS7401" s="78">
        <f t="shared" si="119"/>
        <v>0</v>
      </c>
    </row>
    <row r="7402" spans="39:45">
      <c r="AM7402" s="54">
        <v>2019</v>
      </c>
      <c r="AN7402" s="54" t="s">
        <v>192</v>
      </c>
      <c r="AO7402" s="54">
        <v>5</v>
      </c>
      <c r="AP7402" s="54">
        <v>8</v>
      </c>
      <c r="AQ7402" s="54">
        <v>2677.5</v>
      </c>
      <c r="AR7402" s="55">
        <v>28500</v>
      </c>
      <c r="AS7402" s="78">
        <f t="shared" si="119"/>
        <v>9.3947368421052627E-2</v>
      </c>
    </row>
    <row r="7403" spans="39:45">
      <c r="AM7403" s="55">
        <v>2019</v>
      </c>
      <c r="AN7403" s="55" t="s">
        <v>192</v>
      </c>
      <c r="AO7403" s="55">
        <v>5</v>
      </c>
      <c r="AP7403" s="55">
        <v>9</v>
      </c>
      <c r="AQ7403" s="55">
        <v>5014.5</v>
      </c>
      <c r="AR7403" s="55">
        <v>28500</v>
      </c>
      <c r="AS7403" s="78">
        <f t="shared" si="119"/>
        <v>0.17594736842105263</v>
      </c>
    </row>
    <row r="7404" spans="39:45">
      <c r="AM7404" s="54">
        <v>2019</v>
      </c>
      <c r="AN7404" s="54" t="s">
        <v>192</v>
      </c>
      <c r="AO7404" s="54">
        <v>5</v>
      </c>
      <c r="AP7404" s="54">
        <v>10</v>
      </c>
      <c r="AQ7404" s="54">
        <v>6918.5</v>
      </c>
      <c r="AR7404" s="55">
        <v>28500</v>
      </c>
      <c r="AS7404" s="78">
        <f t="shared" si="119"/>
        <v>0.24275438596491228</v>
      </c>
    </row>
    <row r="7405" spans="39:45">
      <c r="AM7405" s="55">
        <v>2019</v>
      </c>
      <c r="AN7405" s="55" t="s">
        <v>192</v>
      </c>
      <c r="AO7405" s="55">
        <v>5</v>
      </c>
      <c r="AP7405" s="55">
        <v>11</v>
      </c>
      <c r="AQ7405" s="55">
        <v>4530</v>
      </c>
      <c r="AR7405" s="55">
        <v>28500</v>
      </c>
      <c r="AS7405" s="78">
        <f t="shared" si="119"/>
        <v>0.15894736842105264</v>
      </c>
    </row>
    <row r="7406" spans="39:45">
      <c r="AM7406" s="54">
        <v>2019</v>
      </c>
      <c r="AN7406" s="54" t="s">
        <v>192</v>
      </c>
      <c r="AO7406" s="54">
        <v>5</v>
      </c>
      <c r="AP7406" s="54">
        <v>12</v>
      </c>
      <c r="AQ7406" s="54">
        <v>14867</v>
      </c>
      <c r="AR7406" s="55">
        <v>28500</v>
      </c>
      <c r="AS7406" s="78">
        <f t="shared" si="119"/>
        <v>0.52164912280701758</v>
      </c>
    </row>
    <row r="7407" spans="39:45">
      <c r="AM7407" s="55">
        <v>2019</v>
      </c>
      <c r="AN7407" s="55" t="s">
        <v>192</v>
      </c>
      <c r="AO7407" s="55">
        <v>5</v>
      </c>
      <c r="AP7407" s="55">
        <v>13</v>
      </c>
      <c r="AQ7407" s="55">
        <v>22464</v>
      </c>
      <c r="AR7407" s="55">
        <v>28500</v>
      </c>
      <c r="AS7407" s="78">
        <f t="shared" si="119"/>
        <v>0.78821052631578947</v>
      </c>
    </row>
    <row r="7408" spans="39:45">
      <c r="AM7408" s="54">
        <v>2019</v>
      </c>
      <c r="AN7408" s="54" t="s">
        <v>192</v>
      </c>
      <c r="AO7408" s="54">
        <v>5</v>
      </c>
      <c r="AP7408" s="54">
        <v>14</v>
      </c>
      <c r="AQ7408" s="54">
        <v>17807.5</v>
      </c>
      <c r="AR7408" s="55">
        <v>28500</v>
      </c>
      <c r="AS7408" s="78">
        <f t="shared" si="119"/>
        <v>0.62482456140350873</v>
      </c>
    </row>
    <row r="7409" spans="39:45">
      <c r="AM7409" s="55">
        <v>2019</v>
      </c>
      <c r="AN7409" s="55" t="s">
        <v>192</v>
      </c>
      <c r="AO7409" s="55">
        <v>5</v>
      </c>
      <c r="AP7409" s="55">
        <v>15</v>
      </c>
      <c r="AQ7409" s="55">
        <v>11461</v>
      </c>
      <c r="AR7409" s="55">
        <v>28500</v>
      </c>
      <c r="AS7409" s="78">
        <f t="shared" si="119"/>
        <v>0.40214035087719296</v>
      </c>
    </row>
    <row r="7410" spans="39:45">
      <c r="AM7410" s="54">
        <v>2019</v>
      </c>
      <c r="AN7410" s="54" t="s">
        <v>192</v>
      </c>
      <c r="AO7410" s="54">
        <v>5</v>
      </c>
      <c r="AP7410" s="54">
        <v>16</v>
      </c>
      <c r="AQ7410" s="54">
        <v>0</v>
      </c>
      <c r="AR7410" s="55">
        <v>28500</v>
      </c>
      <c r="AS7410" s="78">
        <f t="shared" si="119"/>
        <v>0</v>
      </c>
    </row>
    <row r="7411" spans="39:45">
      <c r="AM7411" s="55">
        <v>2019</v>
      </c>
      <c r="AN7411" s="55" t="s">
        <v>192</v>
      </c>
      <c r="AO7411" s="55">
        <v>5</v>
      </c>
      <c r="AP7411" s="55">
        <v>17</v>
      </c>
      <c r="AQ7411" s="55">
        <v>0</v>
      </c>
      <c r="AR7411" s="55">
        <v>28500</v>
      </c>
      <c r="AS7411" s="78">
        <f t="shared" si="119"/>
        <v>0</v>
      </c>
    </row>
    <row r="7412" spans="39:45">
      <c r="AM7412" s="54">
        <v>2019</v>
      </c>
      <c r="AN7412" s="54" t="s">
        <v>192</v>
      </c>
      <c r="AO7412" s="54">
        <v>5</v>
      </c>
      <c r="AP7412" s="54">
        <v>18</v>
      </c>
      <c r="AQ7412" s="54">
        <v>0</v>
      </c>
      <c r="AR7412" s="55">
        <v>28500</v>
      </c>
      <c r="AS7412" s="78">
        <f t="shared" si="119"/>
        <v>0</v>
      </c>
    </row>
    <row r="7413" spans="39:45">
      <c r="AM7413" s="55">
        <v>2019</v>
      </c>
      <c r="AN7413" s="55" t="s">
        <v>192</v>
      </c>
      <c r="AO7413" s="55">
        <v>5</v>
      </c>
      <c r="AP7413" s="55">
        <v>19</v>
      </c>
      <c r="AQ7413" s="55">
        <v>0</v>
      </c>
      <c r="AR7413" s="55">
        <v>28500</v>
      </c>
      <c r="AS7413" s="78">
        <f t="shared" si="119"/>
        <v>0</v>
      </c>
    </row>
    <row r="7414" spans="39:45">
      <c r="AM7414" s="54">
        <v>2019</v>
      </c>
      <c r="AN7414" s="54" t="s">
        <v>192</v>
      </c>
      <c r="AO7414" s="54">
        <v>5</v>
      </c>
      <c r="AP7414" s="54">
        <v>20</v>
      </c>
      <c r="AQ7414" s="54">
        <v>0</v>
      </c>
      <c r="AR7414" s="55">
        <v>28500</v>
      </c>
      <c r="AS7414" s="78">
        <f t="shared" si="119"/>
        <v>0</v>
      </c>
    </row>
    <row r="7415" spans="39:45">
      <c r="AM7415" s="55">
        <v>2019</v>
      </c>
      <c r="AN7415" s="55" t="s">
        <v>192</v>
      </c>
      <c r="AO7415" s="55">
        <v>5</v>
      </c>
      <c r="AP7415" s="55">
        <v>21</v>
      </c>
      <c r="AQ7415" s="55">
        <v>0</v>
      </c>
      <c r="AR7415" s="55">
        <v>28500</v>
      </c>
      <c r="AS7415" s="78">
        <f t="shared" si="119"/>
        <v>0</v>
      </c>
    </row>
    <row r="7416" spans="39:45">
      <c r="AM7416" s="54">
        <v>2019</v>
      </c>
      <c r="AN7416" s="54" t="s">
        <v>192</v>
      </c>
      <c r="AO7416" s="54">
        <v>5</v>
      </c>
      <c r="AP7416" s="54">
        <v>22</v>
      </c>
      <c r="AQ7416" s="54">
        <v>0</v>
      </c>
      <c r="AR7416" s="55">
        <v>28500</v>
      </c>
      <c r="AS7416" s="78">
        <f t="shared" si="119"/>
        <v>0</v>
      </c>
    </row>
    <row r="7417" spans="39:45">
      <c r="AM7417" s="55">
        <v>2019</v>
      </c>
      <c r="AN7417" s="55" t="s">
        <v>192</v>
      </c>
      <c r="AO7417" s="55">
        <v>5</v>
      </c>
      <c r="AP7417" s="55">
        <v>23</v>
      </c>
      <c r="AQ7417" s="55">
        <v>0</v>
      </c>
      <c r="AR7417" s="55">
        <v>28500</v>
      </c>
      <c r="AS7417" s="78">
        <f t="shared" si="119"/>
        <v>0</v>
      </c>
    </row>
    <row r="7418" spans="39:45">
      <c r="AM7418" s="54">
        <v>2019</v>
      </c>
      <c r="AN7418" s="54" t="s">
        <v>192</v>
      </c>
      <c r="AO7418" s="54">
        <v>6</v>
      </c>
      <c r="AP7418" s="54">
        <v>24</v>
      </c>
      <c r="AQ7418" s="54">
        <v>0</v>
      </c>
      <c r="AR7418" s="55">
        <v>28500</v>
      </c>
      <c r="AS7418" s="78">
        <f t="shared" si="119"/>
        <v>0</v>
      </c>
    </row>
    <row r="7419" spans="39:45">
      <c r="AM7419" s="55">
        <v>2019</v>
      </c>
      <c r="AN7419" s="55" t="s">
        <v>192</v>
      </c>
      <c r="AO7419" s="55">
        <v>6</v>
      </c>
      <c r="AP7419" s="55">
        <v>1</v>
      </c>
      <c r="AQ7419" s="55">
        <v>0</v>
      </c>
      <c r="AR7419" s="55">
        <v>28500</v>
      </c>
      <c r="AS7419" s="78">
        <f t="shared" si="119"/>
        <v>0</v>
      </c>
    </row>
    <row r="7420" spans="39:45">
      <c r="AM7420" s="54">
        <v>2019</v>
      </c>
      <c r="AN7420" s="54" t="s">
        <v>192</v>
      </c>
      <c r="AO7420" s="54">
        <v>6</v>
      </c>
      <c r="AP7420" s="54">
        <v>2</v>
      </c>
      <c r="AQ7420" s="54">
        <v>0</v>
      </c>
      <c r="AR7420" s="55">
        <v>28500</v>
      </c>
      <c r="AS7420" s="78">
        <f t="shared" si="119"/>
        <v>0</v>
      </c>
    </row>
    <row r="7421" spans="39:45">
      <c r="AM7421" s="55">
        <v>2019</v>
      </c>
      <c r="AN7421" s="55" t="s">
        <v>192</v>
      </c>
      <c r="AO7421" s="55">
        <v>6</v>
      </c>
      <c r="AP7421" s="55">
        <v>3</v>
      </c>
      <c r="AQ7421" s="55">
        <v>0</v>
      </c>
      <c r="AR7421" s="55">
        <v>28500</v>
      </c>
      <c r="AS7421" s="78">
        <f t="shared" si="119"/>
        <v>0</v>
      </c>
    </row>
    <row r="7422" spans="39:45">
      <c r="AM7422" s="54">
        <v>2019</v>
      </c>
      <c r="AN7422" s="54" t="s">
        <v>192</v>
      </c>
      <c r="AO7422" s="54">
        <v>6</v>
      </c>
      <c r="AP7422" s="54">
        <v>4</v>
      </c>
      <c r="AQ7422" s="54">
        <v>0</v>
      </c>
      <c r="AR7422" s="55">
        <v>28500</v>
      </c>
      <c r="AS7422" s="78">
        <f t="shared" si="119"/>
        <v>0</v>
      </c>
    </row>
    <row r="7423" spans="39:45">
      <c r="AM7423" s="55">
        <v>2019</v>
      </c>
      <c r="AN7423" s="55" t="s">
        <v>192</v>
      </c>
      <c r="AO7423" s="55">
        <v>6</v>
      </c>
      <c r="AP7423" s="55">
        <v>5</v>
      </c>
      <c r="AQ7423" s="55">
        <v>0</v>
      </c>
      <c r="AR7423" s="55">
        <v>28500</v>
      </c>
      <c r="AS7423" s="78">
        <f t="shared" si="119"/>
        <v>0</v>
      </c>
    </row>
    <row r="7424" spans="39:45">
      <c r="AM7424" s="54">
        <v>2019</v>
      </c>
      <c r="AN7424" s="54" t="s">
        <v>192</v>
      </c>
      <c r="AO7424" s="54">
        <v>6</v>
      </c>
      <c r="AP7424" s="54">
        <v>6</v>
      </c>
      <c r="AQ7424" s="54">
        <v>0</v>
      </c>
      <c r="AR7424" s="55">
        <v>28500</v>
      </c>
      <c r="AS7424" s="78">
        <f t="shared" si="119"/>
        <v>0</v>
      </c>
    </row>
    <row r="7425" spans="39:45">
      <c r="AM7425" s="55">
        <v>2019</v>
      </c>
      <c r="AN7425" s="55" t="s">
        <v>192</v>
      </c>
      <c r="AO7425" s="55">
        <v>6</v>
      </c>
      <c r="AP7425" s="55">
        <v>7</v>
      </c>
      <c r="AQ7425" s="55">
        <v>0</v>
      </c>
      <c r="AR7425" s="55">
        <v>28500</v>
      </c>
      <c r="AS7425" s="78">
        <f t="shared" si="119"/>
        <v>0</v>
      </c>
    </row>
    <row r="7426" spans="39:45">
      <c r="AM7426" s="54">
        <v>2019</v>
      </c>
      <c r="AN7426" s="54" t="s">
        <v>192</v>
      </c>
      <c r="AO7426" s="54">
        <v>6</v>
      </c>
      <c r="AP7426" s="54">
        <v>8</v>
      </c>
      <c r="AQ7426" s="54">
        <v>8044.5</v>
      </c>
      <c r="AR7426" s="55">
        <v>28500</v>
      </c>
      <c r="AS7426" s="78">
        <f t="shared" ref="AS7426:AS7489" si="120">AQ7426/AR7426</f>
        <v>0.28226315789473683</v>
      </c>
    </row>
    <row r="7427" spans="39:45">
      <c r="AM7427" s="55">
        <v>2019</v>
      </c>
      <c r="AN7427" s="55" t="s">
        <v>192</v>
      </c>
      <c r="AO7427" s="55">
        <v>6</v>
      </c>
      <c r="AP7427" s="55">
        <v>9</v>
      </c>
      <c r="AQ7427" s="55">
        <v>8476.5</v>
      </c>
      <c r="AR7427" s="55">
        <v>28500</v>
      </c>
      <c r="AS7427" s="78">
        <f t="shared" si="120"/>
        <v>0.29742105263157897</v>
      </c>
    </row>
    <row r="7428" spans="39:45">
      <c r="AM7428" s="54">
        <v>2019</v>
      </c>
      <c r="AN7428" s="54" t="s">
        <v>192</v>
      </c>
      <c r="AO7428" s="54">
        <v>6</v>
      </c>
      <c r="AP7428" s="54">
        <v>10</v>
      </c>
      <c r="AQ7428" s="54">
        <v>16066</v>
      </c>
      <c r="AR7428" s="55">
        <v>28500</v>
      </c>
      <c r="AS7428" s="78">
        <f t="shared" si="120"/>
        <v>0.56371929824561406</v>
      </c>
    </row>
    <row r="7429" spans="39:45">
      <c r="AM7429" s="55">
        <v>2019</v>
      </c>
      <c r="AN7429" s="55" t="s">
        <v>192</v>
      </c>
      <c r="AO7429" s="55">
        <v>6</v>
      </c>
      <c r="AP7429" s="55">
        <v>11</v>
      </c>
      <c r="AQ7429" s="55">
        <v>33264.5</v>
      </c>
      <c r="AR7429" s="55">
        <v>28500</v>
      </c>
      <c r="AS7429" s="78">
        <f t="shared" si="120"/>
        <v>1.1671754385964912</v>
      </c>
    </row>
    <row r="7430" spans="39:45">
      <c r="AM7430" s="54">
        <v>2019</v>
      </c>
      <c r="AN7430" s="54" t="s">
        <v>192</v>
      </c>
      <c r="AO7430" s="54">
        <v>6</v>
      </c>
      <c r="AP7430" s="54">
        <v>12</v>
      </c>
      <c r="AQ7430" s="54">
        <v>33053.5</v>
      </c>
      <c r="AR7430" s="55">
        <v>28500</v>
      </c>
      <c r="AS7430" s="78">
        <f t="shared" si="120"/>
        <v>1.1597719298245615</v>
      </c>
    </row>
    <row r="7431" spans="39:45">
      <c r="AM7431" s="55">
        <v>2019</v>
      </c>
      <c r="AN7431" s="55" t="s">
        <v>192</v>
      </c>
      <c r="AO7431" s="55">
        <v>6</v>
      </c>
      <c r="AP7431" s="55">
        <v>13</v>
      </c>
      <c r="AQ7431" s="55">
        <v>16690</v>
      </c>
      <c r="AR7431" s="55">
        <v>28500</v>
      </c>
      <c r="AS7431" s="78">
        <f t="shared" si="120"/>
        <v>0.58561403508771925</v>
      </c>
    </row>
    <row r="7432" spans="39:45">
      <c r="AM7432" s="54">
        <v>2019</v>
      </c>
      <c r="AN7432" s="54" t="s">
        <v>192</v>
      </c>
      <c r="AO7432" s="54">
        <v>6</v>
      </c>
      <c r="AP7432" s="54">
        <v>14</v>
      </c>
      <c r="AQ7432" s="54">
        <v>5817.5</v>
      </c>
      <c r="AR7432" s="55">
        <v>28500</v>
      </c>
      <c r="AS7432" s="78">
        <f t="shared" si="120"/>
        <v>0.20412280701754387</v>
      </c>
    </row>
    <row r="7433" spans="39:45">
      <c r="AM7433" s="55">
        <v>2019</v>
      </c>
      <c r="AN7433" s="55" t="s">
        <v>192</v>
      </c>
      <c r="AO7433" s="55">
        <v>6</v>
      </c>
      <c r="AP7433" s="55">
        <v>15</v>
      </c>
      <c r="AQ7433" s="55">
        <v>2297.5</v>
      </c>
      <c r="AR7433" s="55">
        <v>28500</v>
      </c>
      <c r="AS7433" s="78">
        <f t="shared" si="120"/>
        <v>8.0614035087719305E-2</v>
      </c>
    </row>
    <row r="7434" spans="39:45">
      <c r="AM7434" s="54">
        <v>2019</v>
      </c>
      <c r="AN7434" s="54" t="s">
        <v>192</v>
      </c>
      <c r="AO7434" s="54">
        <v>6</v>
      </c>
      <c r="AP7434" s="54">
        <v>16</v>
      </c>
      <c r="AQ7434" s="54">
        <v>0</v>
      </c>
      <c r="AR7434" s="55">
        <v>28500</v>
      </c>
      <c r="AS7434" s="78">
        <f t="shared" si="120"/>
        <v>0</v>
      </c>
    </row>
    <row r="7435" spans="39:45">
      <c r="AM7435" s="55">
        <v>2019</v>
      </c>
      <c r="AN7435" s="55" t="s">
        <v>192</v>
      </c>
      <c r="AO7435" s="55">
        <v>6</v>
      </c>
      <c r="AP7435" s="55">
        <v>17</v>
      </c>
      <c r="AQ7435" s="55">
        <v>0</v>
      </c>
      <c r="AR7435" s="55">
        <v>28500</v>
      </c>
      <c r="AS7435" s="78">
        <f t="shared" si="120"/>
        <v>0</v>
      </c>
    </row>
    <row r="7436" spans="39:45">
      <c r="AM7436" s="54">
        <v>2019</v>
      </c>
      <c r="AN7436" s="54" t="s">
        <v>192</v>
      </c>
      <c r="AO7436" s="54">
        <v>6</v>
      </c>
      <c r="AP7436" s="54">
        <v>18</v>
      </c>
      <c r="AQ7436" s="54">
        <v>0</v>
      </c>
      <c r="AR7436" s="55">
        <v>28500</v>
      </c>
      <c r="AS7436" s="78">
        <f t="shared" si="120"/>
        <v>0</v>
      </c>
    </row>
    <row r="7437" spans="39:45">
      <c r="AM7437" s="55">
        <v>2019</v>
      </c>
      <c r="AN7437" s="55" t="s">
        <v>192</v>
      </c>
      <c r="AO7437" s="55">
        <v>6</v>
      </c>
      <c r="AP7437" s="55">
        <v>19</v>
      </c>
      <c r="AQ7437" s="55">
        <v>0</v>
      </c>
      <c r="AR7437" s="55">
        <v>28500</v>
      </c>
      <c r="AS7437" s="78">
        <f t="shared" si="120"/>
        <v>0</v>
      </c>
    </row>
    <row r="7438" spans="39:45">
      <c r="AM7438" s="54">
        <v>2019</v>
      </c>
      <c r="AN7438" s="54" t="s">
        <v>192</v>
      </c>
      <c r="AO7438" s="54">
        <v>6</v>
      </c>
      <c r="AP7438" s="54">
        <v>20</v>
      </c>
      <c r="AQ7438" s="54">
        <v>0</v>
      </c>
      <c r="AR7438" s="55">
        <v>28500</v>
      </c>
      <c r="AS7438" s="78">
        <f t="shared" si="120"/>
        <v>0</v>
      </c>
    </row>
    <row r="7439" spans="39:45">
      <c r="AM7439" s="55">
        <v>2019</v>
      </c>
      <c r="AN7439" s="55" t="s">
        <v>192</v>
      </c>
      <c r="AO7439" s="55">
        <v>6</v>
      </c>
      <c r="AP7439" s="55">
        <v>21</v>
      </c>
      <c r="AQ7439" s="55">
        <v>0</v>
      </c>
      <c r="AR7439" s="55">
        <v>28500</v>
      </c>
      <c r="AS7439" s="78">
        <f t="shared" si="120"/>
        <v>0</v>
      </c>
    </row>
    <row r="7440" spans="39:45">
      <c r="AM7440" s="54">
        <v>2019</v>
      </c>
      <c r="AN7440" s="54" t="s">
        <v>192</v>
      </c>
      <c r="AO7440" s="54">
        <v>6</v>
      </c>
      <c r="AP7440" s="54">
        <v>22</v>
      </c>
      <c r="AQ7440" s="54">
        <v>0</v>
      </c>
      <c r="AR7440" s="55">
        <v>28500</v>
      </c>
      <c r="AS7440" s="78">
        <f t="shared" si="120"/>
        <v>0</v>
      </c>
    </row>
    <row r="7441" spans="39:45">
      <c r="AM7441" s="55">
        <v>2019</v>
      </c>
      <c r="AN7441" s="55" t="s">
        <v>192</v>
      </c>
      <c r="AO7441" s="55">
        <v>6</v>
      </c>
      <c r="AP7441" s="55">
        <v>23</v>
      </c>
      <c r="AQ7441" s="55">
        <v>0</v>
      </c>
      <c r="AR7441" s="55">
        <v>28500</v>
      </c>
      <c r="AS7441" s="78">
        <f t="shared" si="120"/>
        <v>0</v>
      </c>
    </row>
    <row r="7442" spans="39:45">
      <c r="AM7442" s="54">
        <v>2019</v>
      </c>
      <c r="AN7442" s="54" t="s">
        <v>192</v>
      </c>
      <c r="AO7442" s="54">
        <v>7</v>
      </c>
      <c r="AP7442" s="54">
        <v>24</v>
      </c>
      <c r="AQ7442" s="54">
        <v>0</v>
      </c>
      <c r="AR7442" s="55">
        <v>28500</v>
      </c>
      <c r="AS7442" s="78">
        <f t="shared" si="120"/>
        <v>0</v>
      </c>
    </row>
    <row r="7443" spans="39:45">
      <c r="AM7443" s="55">
        <v>2019</v>
      </c>
      <c r="AN7443" s="55" t="s">
        <v>192</v>
      </c>
      <c r="AO7443" s="55">
        <v>7</v>
      </c>
      <c r="AP7443" s="55">
        <v>1</v>
      </c>
      <c r="AQ7443" s="55">
        <v>0</v>
      </c>
      <c r="AR7443" s="55">
        <v>28500</v>
      </c>
      <c r="AS7443" s="78">
        <f t="shared" si="120"/>
        <v>0</v>
      </c>
    </row>
    <row r="7444" spans="39:45">
      <c r="AM7444" s="54">
        <v>2019</v>
      </c>
      <c r="AN7444" s="54" t="s">
        <v>192</v>
      </c>
      <c r="AO7444" s="54">
        <v>7</v>
      </c>
      <c r="AP7444" s="54">
        <v>2</v>
      </c>
      <c r="AQ7444" s="54">
        <v>0</v>
      </c>
      <c r="AR7444" s="55">
        <v>28500</v>
      </c>
      <c r="AS7444" s="78">
        <f t="shared" si="120"/>
        <v>0</v>
      </c>
    </row>
    <row r="7445" spans="39:45">
      <c r="AM7445" s="55">
        <v>2019</v>
      </c>
      <c r="AN7445" s="55" t="s">
        <v>192</v>
      </c>
      <c r="AO7445" s="55">
        <v>7</v>
      </c>
      <c r="AP7445" s="55">
        <v>3</v>
      </c>
      <c r="AQ7445" s="55">
        <v>0</v>
      </c>
      <c r="AR7445" s="55">
        <v>28500</v>
      </c>
      <c r="AS7445" s="78">
        <f t="shared" si="120"/>
        <v>0</v>
      </c>
    </row>
    <row r="7446" spans="39:45">
      <c r="AM7446" s="54">
        <v>2019</v>
      </c>
      <c r="AN7446" s="54" t="s">
        <v>192</v>
      </c>
      <c r="AO7446" s="54">
        <v>7</v>
      </c>
      <c r="AP7446" s="54">
        <v>4</v>
      </c>
      <c r="AQ7446" s="54">
        <v>0</v>
      </c>
      <c r="AR7446" s="55">
        <v>28500</v>
      </c>
      <c r="AS7446" s="78">
        <f t="shared" si="120"/>
        <v>0</v>
      </c>
    </row>
    <row r="7447" spans="39:45">
      <c r="AM7447" s="55">
        <v>2019</v>
      </c>
      <c r="AN7447" s="55" t="s">
        <v>192</v>
      </c>
      <c r="AO7447" s="55">
        <v>7</v>
      </c>
      <c r="AP7447" s="55">
        <v>5</v>
      </c>
      <c r="AQ7447" s="55">
        <v>0</v>
      </c>
      <c r="AR7447" s="55">
        <v>28500</v>
      </c>
      <c r="AS7447" s="78">
        <f t="shared" si="120"/>
        <v>0</v>
      </c>
    </row>
    <row r="7448" spans="39:45">
      <c r="AM7448" s="54">
        <v>2019</v>
      </c>
      <c r="AN7448" s="54" t="s">
        <v>192</v>
      </c>
      <c r="AO7448" s="54">
        <v>7</v>
      </c>
      <c r="AP7448" s="54">
        <v>6</v>
      </c>
      <c r="AQ7448" s="54">
        <v>0</v>
      </c>
      <c r="AR7448" s="55">
        <v>28500</v>
      </c>
      <c r="AS7448" s="78">
        <f t="shared" si="120"/>
        <v>0</v>
      </c>
    </row>
    <row r="7449" spans="39:45">
      <c r="AM7449" s="55">
        <v>2019</v>
      </c>
      <c r="AN7449" s="55" t="s">
        <v>192</v>
      </c>
      <c r="AO7449" s="55">
        <v>7</v>
      </c>
      <c r="AP7449" s="55">
        <v>7</v>
      </c>
      <c r="AQ7449" s="55">
        <v>0</v>
      </c>
      <c r="AR7449" s="55">
        <v>28500</v>
      </c>
      <c r="AS7449" s="78">
        <f t="shared" si="120"/>
        <v>0</v>
      </c>
    </row>
    <row r="7450" spans="39:45">
      <c r="AM7450" s="54">
        <v>2019</v>
      </c>
      <c r="AN7450" s="54" t="s">
        <v>192</v>
      </c>
      <c r="AO7450" s="54">
        <v>7</v>
      </c>
      <c r="AP7450" s="54">
        <v>8</v>
      </c>
      <c r="AQ7450" s="54">
        <v>4940.5</v>
      </c>
      <c r="AR7450" s="55">
        <v>28500</v>
      </c>
      <c r="AS7450" s="78">
        <f t="shared" si="120"/>
        <v>0.17335087719298245</v>
      </c>
    </row>
    <row r="7451" spans="39:45">
      <c r="AM7451" s="55">
        <v>2019</v>
      </c>
      <c r="AN7451" s="55" t="s">
        <v>192</v>
      </c>
      <c r="AO7451" s="55">
        <v>7</v>
      </c>
      <c r="AP7451" s="55">
        <v>9</v>
      </c>
      <c r="AQ7451" s="55">
        <v>7332</v>
      </c>
      <c r="AR7451" s="55">
        <v>28500</v>
      </c>
      <c r="AS7451" s="78">
        <f t="shared" si="120"/>
        <v>0.25726315789473686</v>
      </c>
    </row>
    <row r="7452" spans="39:45">
      <c r="AM7452" s="54">
        <v>2019</v>
      </c>
      <c r="AN7452" s="54" t="s">
        <v>192</v>
      </c>
      <c r="AO7452" s="54">
        <v>7</v>
      </c>
      <c r="AP7452" s="54">
        <v>10</v>
      </c>
      <c r="AQ7452" s="54">
        <v>29020.5</v>
      </c>
      <c r="AR7452" s="55">
        <v>28500</v>
      </c>
      <c r="AS7452" s="78">
        <f t="shared" si="120"/>
        <v>1.0182631578947368</v>
      </c>
    </row>
    <row r="7453" spans="39:45">
      <c r="AM7453" s="55">
        <v>2019</v>
      </c>
      <c r="AN7453" s="55" t="s">
        <v>192</v>
      </c>
      <c r="AO7453" s="55">
        <v>7</v>
      </c>
      <c r="AP7453" s="55">
        <v>11</v>
      </c>
      <c r="AQ7453" s="55">
        <v>32521.5</v>
      </c>
      <c r="AR7453" s="55">
        <v>28500</v>
      </c>
      <c r="AS7453" s="78">
        <f t="shared" si="120"/>
        <v>1.1411052631578948</v>
      </c>
    </row>
    <row r="7454" spans="39:45">
      <c r="AM7454" s="54">
        <v>2019</v>
      </c>
      <c r="AN7454" s="54" t="s">
        <v>192</v>
      </c>
      <c r="AO7454" s="54">
        <v>7</v>
      </c>
      <c r="AP7454" s="54">
        <v>12</v>
      </c>
      <c r="AQ7454" s="54">
        <v>34081</v>
      </c>
      <c r="AR7454" s="55">
        <v>28500</v>
      </c>
      <c r="AS7454" s="78">
        <f t="shared" si="120"/>
        <v>1.1958245614035088</v>
      </c>
    </row>
    <row r="7455" spans="39:45">
      <c r="AM7455" s="55">
        <v>2019</v>
      </c>
      <c r="AN7455" s="55" t="s">
        <v>192</v>
      </c>
      <c r="AO7455" s="55">
        <v>7</v>
      </c>
      <c r="AP7455" s="55">
        <v>13</v>
      </c>
      <c r="AQ7455" s="55">
        <v>30520.5</v>
      </c>
      <c r="AR7455" s="55">
        <v>28500</v>
      </c>
      <c r="AS7455" s="78">
        <f t="shared" si="120"/>
        <v>1.0708947368421053</v>
      </c>
    </row>
    <row r="7456" spans="39:45">
      <c r="AM7456" s="54">
        <v>2019</v>
      </c>
      <c r="AN7456" s="54" t="s">
        <v>192</v>
      </c>
      <c r="AO7456" s="54">
        <v>7</v>
      </c>
      <c r="AP7456" s="54">
        <v>14</v>
      </c>
      <c r="AQ7456" s="54">
        <v>20370</v>
      </c>
      <c r="AR7456" s="55">
        <v>28500</v>
      </c>
      <c r="AS7456" s="78">
        <f t="shared" si="120"/>
        <v>0.71473684210526311</v>
      </c>
    </row>
    <row r="7457" spans="39:45">
      <c r="AM7457" s="55">
        <v>2019</v>
      </c>
      <c r="AN7457" s="55" t="s">
        <v>192</v>
      </c>
      <c r="AO7457" s="55">
        <v>7</v>
      </c>
      <c r="AP7457" s="55">
        <v>15</v>
      </c>
      <c r="AQ7457" s="55">
        <v>10588</v>
      </c>
      <c r="AR7457" s="55">
        <v>28500</v>
      </c>
      <c r="AS7457" s="78">
        <f t="shared" si="120"/>
        <v>0.37150877192982457</v>
      </c>
    </row>
    <row r="7458" spans="39:45">
      <c r="AM7458" s="54">
        <v>2019</v>
      </c>
      <c r="AN7458" s="54" t="s">
        <v>192</v>
      </c>
      <c r="AO7458" s="54">
        <v>7</v>
      </c>
      <c r="AP7458" s="54">
        <v>16</v>
      </c>
      <c r="AQ7458" s="54">
        <v>0</v>
      </c>
      <c r="AR7458" s="55">
        <v>28500</v>
      </c>
      <c r="AS7458" s="78">
        <f t="shared" si="120"/>
        <v>0</v>
      </c>
    </row>
    <row r="7459" spans="39:45">
      <c r="AM7459" s="55">
        <v>2019</v>
      </c>
      <c r="AN7459" s="55" t="s">
        <v>192</v>
      </c>
      <c r="AO7459" s="55">
        <v>7</v>
      </c>
      <c r="AP7459" s="55">
        <v>17</v>
      </c>
      <c r="AQ7459" s="55">
        <v>0</v>
      </c>
      <c r="AR7459" s="55">
        <v>28500</v>
      </c>
      <c r="AS7459" s="78">
        <f t="shared" si="120"/>
        <v>0</v>
      </c>
    </row>
    <row r="7460" spans="39:45">
      <c r="AM7460" s="54">
        <v>2019</v>
      </c>
      <c r="AN7460" s="54" t="s">
        <v>192</v>
      </c>
      <c r="AO7460" s="54">
        <v>7</v>
      </c>
      <c r="AP7460" s="54">
        <v>18</v>
      </c>
      <c r="AQ7460" s="54">
        <v>0</v>
      </c>
      <c r="AR7460" s="55">
        <v>28500</v>
      </c>
      <c r="AS7460" s="78">
        <f t="shared" si="120"/>
        <v>0</v>
      </c>
    </row>
    <row r="7461" spans="39:45">
      <c r="AM7461" s="55">
        <v>2019</v>
      </c>
      <c r="AN7461" s="55" t="s">
        <v>192</v>
      </c>
      <c r="AO7461" s="55">
        <v>7</v>
      </c>
      <c r="AP7461" s="55">
        <v>19</v>
      </c>
      <c r="AQ7461" s="55">
        <v>0</v>
      </c>
      <c r="AR7461" s="55">
        <v>28500</v>
      </c>
      <c r="AS7461" s="78">
        <f t="shared" si="120"/>
        <v>0</v>
      </c>
    </row>
    <row r="7462" spans="39:45">
      <c r="AM7462" s="54">
        <v>2019</v>
      </c>
      <c r="AN7462" s="54" t="s">
        <v>192</v>
      </c>
      <c r="AO7462" s="54">
        <v>7</v>
      </c>
      <c r="AP7462" s="54">
        <v>20</v>
      </c>
      <c r="AQ7462" s="54">
        <v>0</v>
      </c>
      <c r="AR7462" s="55">
        <v>28500</v>
      </c>
      <c r="AS7462" s="78">
        <f t="shared" si="120"/>
        <v>0</v>
      </c>
    </row>
    <row r="7463" spans="39:45">
      <c r="AM7463" s="55">
        <v>2019</v>
      </c>
      <c r="AN7463" s="55" t="s">
        <v>192</v>
      </c>
      <c r="AO7463" s="55">
        <v>7</v>
      </c>
      <c r="AP7463" s="55">
        <v>21</v>
      </c>
      <c r="AQ7463" s="55">
        <v>0</v>
      </c>
      <c r="AR7463" s="55">
        <v>28500</v>
      </c>
      <c r="AS7463" s="78">
        <f t="shared" si="120"/>
        <v>0</v>
      </c>
    </row>
    <row r="7464" spans="39:45">
      <c r="AM7464" s="54">
        <v>2019</v>
      </c>
      <c r="AN7464" s="54" t="s">
        <v>192</v>
      </c>
      <c r="AO7464" s="54">
        <v>7</v>
      </c>
      <c r="AP7464" s="54">
        <v>22</v>
      </c>
      <c r="AQ7464" s="54">
        <v>0</v>
      </c>
      <c r="AR7464" s="55">
        <v>28500</v>
      </c>
      <c r="AS7464" s="78">
        <f t="shared" si="120"/>
        <v>0</v>
      </c>
    </row>
    <row r="7465" spans="39:45">
      <c r="AM7465" s="55">
        <v>2019</v>
      </c>
      <c r="AN7465" s="55" t="s">
        <v>192</v>
      </c>
      <c r="AO7465" s="55">
        <v>7</v>
      </c>
      <c r="AP7465" s="55">
        <v>23</v>
      </c>
      <c r="AQ7465" s="55">
        <v>0</v>
      </c>
      <c r="AR7465" s="55">
        <v>28500</v>
      </c>
      <c r="AS7465" s="78">
        <f t="shared" si="120"/>
        <v>0</v>
      </c>
    </row>
    <row r="7466" spans="39:45">
      <c r="AM7466" s="54">
        <v>2019</v>
      </c>
      <c r="AN7466" s="54" t="s">
        <v>192</v>
      </c>
      <c r="AO7466" s="54">
        <v>8</v>
      </c>
      <c r="AP7466" s="54">
        <v>24</v>
      </c>
      <c r="AQ7466" s="54">
        <v>0</v>
      </c>
      <c r="AR7466" s="55">
        <v>28500</v>
      </c>
      <c r="AS7466" s="78">
        <f t="shared" si="120"/>
        <v>0</v>
      </c>
    </row>
    <row r="7467" spans="39:45">
      <c r="AM7467" s="55">
        <v>2019</v>
      </c>
      <c r="AN7467" s="55" t="s">
        <v>192</v>
      </c>
      <c r="AO7467" s="55">
        <v>8</v>
      </c>
      <c r="AP7467" s="55">
        <v>1</v>
      </c>
      <c r="AQ7467" s="55">
        <v>0</v>
      </c>
      <c r="AR7467" s="55">
        <v>28500</v>
      </c>
      <c r="AS7467" s="78">
        <f t="shared" si="120"/>
        <v>0</v>
      </c>
    </row>
    <row r="7468" spans="39:45">
      <c r="AM7468" s="54">
        <v>2019</v>
      </c>
      <c r="AN7468" s="54" t="s">
        <v>192</v>
      </c>
      <c r="AO7468" s="54">
        <v>8</v>
      </c>
      <c r="AP7468" s="54">
        <v>2</v>
      </c>
      <c r="AQ7468" s="54">
        <v>0</v>
      </c>
      <c r="AR7468" s="55">
        <v>28500</v>
      </c>
      <c r="AS7468" s="78">
        <f t="shared" si="120"/>
        <v>0</v>
      </c>
    </row>
    <row r="7469" spans="39:45">
      <c r="AM7469" s="55">
        <v>2019</v>
      </c>
      <c r="AN7469" s="55" t="s">
        <v>192</v>
      </c>
      <c r="AO7469" s="55">
        <v>8</v>
      </c>
      <c r="AP7469" s="55">
        <v>3</v>
      </c>
      <c r="AQ7469" s="55">
        <v>0</v>
      </c>
      <c r="AR7469" s="55">
        <v>28500</v>
      </c>
      <c r="AS7469" s="78">
        <f t="shared" si="120"/>
        <v>0</v>
      </c>
    </row>
    <row r="7470" spans="39:45">
      <c r="AM7470" s="54">
        <v>2019</v>
      </c>
      <c r="AN7470" s="54" t="s">
        <v>192</v>
      </c>
      <c r="AO7470" s="54">
        <v>8</v>
      </c>
      <c r="AP7470" s="54">
        <v>4</v>
      </c>
      <c r="AQ7470" s="54">
        <v>0</v>
      </c>
      <c r="AR7470" s="55">
        <v>28500</v>
      </c>
      <c r="AS7470" s="78">
        <f t="shared" si="120"/>
        <v>0</v>
      </c>
    </row>
    <row r="7471" spans="39:45">
      <c r="AM7471" s="55">
        <v>2019</v>
      </c>
      <c r="AN7471" s="55" t="s">
        <v>192</v>
      </c>
      <c r="AO7471" s="55">
        <v>8</v>
      </c>
      <c r="AP7471" s="55">
        <v>5</v>
      </c>
      <c r="AQ7471" s="55">
        <v>0</v>
      </c>
      <c r="AR7471" s="55">
        <v>28500</v>
      </c>
      <c r="AS7471" s="78">
        <f t="shared" si="120"/>
        <v>0</v>
      </c>
    </row>
    <row r="7472" spans="39:45">
      <c r="AM7472" s="54">
        <v>2019</v>
      </c>
      <c r="AN7472" s="54" t="s">
        <v>192</v>
      </c>
      <c r="AO7472" s="54">
        <v>8</v>
      </c>
      <c r="AP7472" s="54">
        <v>6</v>
      </c>
      <c r="AQ7472" s="54">
        <v>0</v>
      </c>
      <c r="AR7472" s="55">
        <v>28500</v>
      </c>
      <c r="AS7472" s="78">
        <f t="shared" si="120"/>
        <v>0</v>
      </c>
    </row>
    <row r="7473" spans="39:45">
      <c r="AM7473" s="55">
        <v>2019</v>
      </c>
      <c r="AN7473" s="55" t="s">
        <v>192</v>
      </c>
      <c r="AO7473" s="55">
        <v>8</v>
      </c>
      <c r="AP7473" s="55">
        <v>7</v>
      </c>
      <c r="AQ7473" s="55">
        <v>0</v>
      </c>
      <c r="AR7473" s="55">
        <v>28500</v>
      </c>
      <c r="AS7473" s="78">
        <f t="shared" si="120"/>
        <v>0</v>
      </c>
    </row>
    <row r="7474" spans="39:45">
      <c r="AM7474" s="54">
        <v>2019</v>
      </c>
      <c r="AN7474" s="54" t="s">
        <v>192</v>
      </c>
      <c r="AO7474" s="54">
        <v>8</v>
      </c>
      <c r="AP7474" s="54">
        <v>8</v>
      </c>
      <c r="AQ7474" s="54">
        <v>7276.5</v>
      </c>
      <c r="AR7474" s="55">
        <v>28500</v>
      </c>
      <c r="AS7474" s="78">
        <f t="shared" si="120"/>
        <v>0.25531578947368422</v>
      </c>
    </row>
    <row r="7475" spans="39:45">
      <c r="AM7475" s="55">
        <v>2019</v>
      </c>
      <c r="AN7475" s="55" t="s">
        <v>192</v>
      </c>
      <c r="AO7475" s="55">
        <v>8</v>
      </c>
      <c r="AP7475" s="55">
        <v>9</v>
      </c>
      <c r="AQ7475" s="55">
        <v>26093.5</v>
      </c>
      <c r="AR7475" s="55">
        <v>28500</v>
      </c>
      <c r="AS7475" s="78">
        <f t="shared" si="120"/>
        <v>0.91556140350877191</v>
      </c>
    </row>
    <row r="7476" spans="39:45">
      <c r="AM7476" s="54">
        <v>2019</v>
      </c>
      <c r="AN7476" s="54" t="s">
        <v>192</v>
      </c>
      <c r="AO7476" s="54">
        <v>8</v>
      </c>
      <c r="AP7476" s="54">
        <v>10</v>
      </c>
      <c r="AQ7476" s="54">
        <v>32533</v>
      </c>
      <c r="AR7476" s="55">
        <v>28500</v>
      </c>
      <c r="AS7476" s="78">
        <f t="shared" si="120"/>
        <v>1.1415087719298245</v>
      </c>
    </row>
    <row r="7477" spans="39:45">
      <c r="AM7477" s="55">
        <v>2019</v>
      </c>
      <c r="AN7477" s="55" t="s">
        <v>192</v>
      </c>
      <c r="AO7477" s="55">
        <v>8</v>
      </c>
      <c r="AP7477" s="55">
        <v>11</v>
      </c>
      <c r="AQ7477" s="55">
        <v>21479</v>
      </c>
      <c r="AR7477" s="55">
        <v>28500</v>
      </c>
      <c r="AS7477" s="78">
        <f t="shared" si="120"/>
        <v>0.75364912280701757</v>
      </c>
    </row>
    <row r="7478" spans="39:45">
      <c r="AM7478" s="54">
        <v>2019</v>
      </c>
      <c r="AN7478" s="54" t="s">
        <v>192</v>
      </c>
      <c r="AO7478" s="54">
        <v>8</v>
      </c>
      <c r="AP7478" s="54">
        <v>12</v>
      </c>
      <c r="AQ7478" s="54">
        <v>13803.5</v>
      </c>
      <c r="AR7478" s="55">
        <v>28500</v>
      </c>
      <c r="AS7478" s="78">
        <f t="shared" si="120"/>
        <v>0.48433333333333334</v>
      </c>
    </row>
    <row r="7479" spans="39:45">
      <c r="AM7479" s="55">
        <v>2019</v>
      </c>
      <c r="AN7479" s="55" t="s">
        <v>192</v>
      </c>
      <c r="AO7479" s="55">
        <v>8</v>
      </c>
      <c r="AP7479" s="55">
        <v>13</v>
      </c>
      <c r="AQ7479" s="55">
        <v>1360.5</v>
      </c>
      <c r="AR7479" s="55">
        <v>28500</v>
      </c>
      <c r="AS7479" s="78">
        <f t="shared" si="120"/>
        <v>4.7736842105263161E-2</v>
      </c>
    </row>
    <row r="7480" spans="39:45">
      <c r="AM7480" s="54">
        <v>2019</v>
      </c>
      <c r="AN7480" s="54" t="s">
        <v>192</v>
      </c>
      <c r="AO7480" s="54">
        <v>8</v>
      </c>
      <c r="AP7480" s="54">
        <v>14</v>
      </c>
      <c r="AQ7480" s="54">
        <v>1615</v>
      </c>
      <c r="AR7480" s="55">
        <v>28500</v>
      </c>
      <c r="AS7480" s="78">
        <f t="shared" si="120"/>
        <v>5.6666666666666664E-2</v>
      </c>
    </row>
    <row r="7481" spans="39:45">
      <c r="AM7481" s="55">
        <v>2019</v>
      </c>
      <c r="AN7481" s="55" t="s">
        <v>192</v>
      </c>
      <c r="AO7481" s="55">
        <v>8</v>
      </c>
      <c r="AP7481" s="55">
        <v>15</v>
      </c>
      <c r="AQ7481" s="55">
        <v>4841</v>
      </c>
      <c r="AR7481" s="55">
        <v>28500</v>
      </c>
      <c r="AS7481" s="78">
        <f t="shared" si="120"/>
        <v>0.16985964912280702</v>
      </c>
    </row>
    <row r="7482" spans="39:45">
      <c r="AM7482" s="54">
        <v>2019</v>
      </c>
      <c r="AN7482" s="54" t="s">
        <v>192</v>
      </c>
      <c r="AO7482" s="54">
        <v>8</v>
      </c>
      <c r="AP7482" s="54">
        <v>16</v>
      </c>
      <c r="AQ7482" s="54">
        <v>0</v>
      </c>
      <c r="AR7482" s="55">
        <v>28500</v>
      </c>
      <c r="AS7482" s="78">
        <f t="shared" si="120"/>
        <v>0</v>
      </c>
    </row>
    <row r="7483" spans="39:45">
      <c r="AM7483" s="55">
        <v>2019</v>
      </c>
      <c r="AN7483" s="55" t="s">
        <v>192</v>
      </c>
      <c r="AO7483" s="55">
        <v>8</v>
      </c>
      <c r="AP7483" s="55">
        <v>17</v>
      </c>
      <c r="AQ7483" s="55">
        <v>0</v>
      </c>
      <c r="AR7483" s="55">
        <v>28500</v>
      </c>
      <c r="AS7483" s="78">
        <f t="shared" si="120"/>
        <v>0</v>
      </c>
    </row>
    <row r="7484" spans="39:45">
      <c r="AM7484" s="54">
        <v>2019</v>
      </c>
      <c r="AN7484" s="54" t="s">
        <v>192</v>
      </c>
      <c r="AO7484" s="54">
        <v>8</v>
      </c>
      <c r="AP7484" s="54">
        <v>18</v>
      </c>
      <c r="AQ7484" s="54">
        <v>0</v>
      </c>
      <c r="AR7484" s="55">
        <v>28500</v>
      </c>
      <c r="AS7484" s="78">
        <f t="shared" si="120"/>
        <v>0</v>
      </c>
    </row>
    <row r="7485" spans="39:45">
      <c r="AM7485" s="55">
        <v>2019</v>
      </c>
      <c r="AN7485" s="55" t="s">
        <v>192</v>
      </c>
      <c r="AO7485" s="55">
        <v>8</v>
      </c>
      <c r="AP7485" s="55">
        <v>19</v>
      </c>
      <c r="AQ7485" s="55">
        <v>0</v>
      </c>
      <c r="AR7485" s="55">
        <v>28500</v>
      </c>
      <c r="AS7485" s="78">
        <f t="shared" si="120"/>
        <v>0</v>
      </c>
    </row>
    <row r="7486" spans="39:45">
      <c r="AM7486" s="54">
        <v>2019</v>
      </c>
      <c r="AN7486" s="54" t="s">
        <v>192</v>
      </c>
      <c r="AO7486" s="54">
        <v>8</v>
      </c>
      <c r="AP7486" s="54">
        <v>20</v>
      </c>
      <c r="AQ7486" s="54">
        <v>0</v>
      </c>
      <c r="AR7486" s="55">
        <v>28500</v>
      </c>
      <c r="AS7486" s="78">
        <f t="shared" si="120"/>
        <v>0</v>
      </c>
    </row>
    <row r="7487" spans="39:45">
      <c r="AM7487" s="55">
        <v>2019</v>
      </c>
      <c r="AN7487" s="55" t="s">
        <v>192</v>
      </c>
      <c r="AO7487" s="55">
        <v>8</v>
      </c>
      <c r="AP7487" s="55">
        <v>21</v>
      </c>
      <c r="AQ7487" s="55">
        <v>0</v>
      </c>
      <c r="AR7487" s="55">
        <v>28500</v>
      </c>
      <c r="AS7487" s="78">
        <f t="shared" si="120"/>
        <v>0</v>
      </c>
    </row>
    <row r="7488" spans="39:45">
      <c r="AM7488" s="54">
        <v>2019</v>
      </c>
      <c r="AN7488" s="54" t="s">
        <v>192</v>
      </c>
      <c r="AO7488" s="54">
        <v>8</v>
      </c>
      <c r="AP7488" s="54">
        <v>22</v>
      </c>
      <c r="AQ7488" s="54">
        <v>0</v>
      </c>
      <c r="AR7488" s="55">
        <v>28500</v>
      </c>
      <c r="AS7488" s="78">
        <f t="shared" si="120"/>
        <v>0</v>
      </c>
    </row>
    <row r="7489" spans="39:45">
      <c r="AM7489" s="55">
        <v>2019</v>
      </c>
      <c r="AN7489" s="55" t="s">
        <v>192</v>
      </c>
      <c r="AO7489" s="55">
        <v>8</v>
      </c>
      <c r="AP7489" s="55">
        <v>23</v>
      </c>
      <c r="AQ7489" s="55">
        <v>0</v>
      </c>
      <c r="AR7489" s="55">
        <v>28500</v>
      </c>
      <c r="AS7489" s="78">
        <f t="shared" si="120"/>
        <v>0</v>
      </c>
    </row>
    <row r="7490" spans="39:45">
      <c r="AM7490" s="54">
        <v>2019</v>
      </c>
      <c r="AN7490" s="54" t="s">
        <v>192</v>
      </c>
      <c r="AO7490" s="54">
        <v>9</v>
      </c>
      <c r="AP7490" s="54">
        <v>24</v>
      </c>
      <c r="AQ7490" s="54">
        <v>0</v>
      </c>
      <c r="AR7490" s="55">
        <v>28500</v>
      </c>
      <c r="AS7490" s="78">
        <f t="shared" ref="AS7490:AS7553" si="121">AQ7490/AR7490</f>
        <v>0</v>
      </c>
    </row>
    <row r="7491" spans="39:45">
      <c r="AM7491" s="55">
        <v>2019</v>
      </c>
      <c r="AN7491" s="55" t="s">
        <v>192</v>
      </c>
      <c r="AO7491" s="55">
        <v>9</v>
      </c>
      <c r="AP7491" s="55">
        <v>1</v>
      </c>
      <c r="AQ7491" s="55">
        <v>0</v>
      </c>
      <c r="AR7491" s="55">
        <v>28500</v>
      </c>
      <c r="AS7491" s="78">
        <f t="shared" si="121"/>
        <v>0</v>
      </c>
    </row>
    <row r="7492" spans="39:45">
      <c r="AM7492" s="54">
        <v>2019</v>
      </c>
      <c r="AN7492" s="54" t="s">
        <v>192</v>
      </c>
      <c r="AO7492" s="54">
        <v>9</v>
      </c>
      <c r="AP7492" s="54">
        <v>2</v>
      </c>
      <c r="AQ7492" s="54">
        <v>0</v>
      </c>
      <c r="AR7492" s="55">
        <v>28500</v>
      </c>
      <c r="AS7492" s="78">
        <f t="shared" si="121"/>
        <v>0</v>
      </c>
    </row>
    <row r="7493" spans="39:45">
      <c r="AM7493" s="55">
        <v>2019</v>
      </c>
      <c r="AN7493" s="55" t="s">
        <v>192</v>
      </c>
      <c r="AO7493" s="55">
        <v>9</v>
      </c>
      <c r="AP7493" s="55">
        <v>3</v>
      </c>
      <c r="AQ7493" s="55">
        <v>0</v>
      </c>
      <c r="AR7493" s="55">
        <v>28500</v>
      </c>
      <c r="AS7493" s="78">
        <f t="shared" si="121"/>
        <v>0</v>
      </c>
    </row>
    <row r="7494" spans="39:45">
      <c r="AM7494" s="54">
        <v>2019</v>
      </c>
      <c r="AN7494" s="54" t="s">
        <v>192</v>
      </c>
      <c r="AO7494" s="54">
        <v>9</v>
      </c>
      <c r="AP7494" s="54">
        <v>4</v>
      </c>
      <c r="AQ7494" s="54">
        <v>0</v>
      </c>
      <c r="AR7494" s="55">
        <v>28500</v>
      </c>
      <c r="AS7494" s="78">
        <f t="shared" si="121"/>
        <v>0</v>
      </c>
    </row>
    <row r="7495" spans="39:45">
      <c r="AM7495" s="55">
        <v>2019</v>
      </c>
      <c r="AN7495" s="55" t="s">
        <v>192</v>
      </c>
      <c r="AO7495" s="55">
        <v>9</v>
      </c>
      <c r="AP7495" s="55">
        <v>5</v>
      </c>
      <c r="AQ7495" s="55">
        <v>0</v>
      </c>
      <c r="AR7495" s="55">
        <v>28500</v>
      </c>
      <c r="AS7495" s="78">
        <f t="shared" si="121"/>
        <v>0</v>
      </c>
    </row>
    <row r="7496" spans="39:45">
      <c r="AM7496" s="54">
        <v>2019</v>
      </c>
      <c r="AN7496" s="54" t="s">
        <v>192</v>
      </c>
      <c r="AO7496" s="54">
        <v>9</v>
      </c>
      <c r="AP7496" s="54">
        <v>6</v>
      </c>
      <c r="AQ7496" s="54">
        <v>0</v>
      </c>
      <c r="AR7496" s="55">
        <v>28500</v>
      </c>
      <c r="AS7496" s="78">
        <f t="shared" si="121"/>
        <v>0</v>
      </c>
    </row>
    <row r="7497" spans="39:45">
      <c r="AM7497" s="55">
        <v>2019</v>
      </c>
      <c r="AN7497" s="55" t="s">
        <v>192</v>
      </c>
      <c r="AO7497" s="55">
        <v>9</v>
      </c>
      <c r="AP7497" s="55">
        <v>7</v>
      </c>
      <c r="AQ7497" s="55">
        <v>0</v>
      </c>
      <c r="AR7497" s="55">
        <v>28500</v>
      </c>
      <c r="AS7497" s="78">
        <f t="shared" si="121"/>
        <v>0</v>
      </c>
    </row>
    <row r="7498" spans="39:45">
      <c r="AM7498" s="54">
        <v>2019</v>
      </c>
      <c r="AN7498" s="54" t="s">
        <v>192</v>
      </c>
      <c r="AO7498" s="54">
        <v>9</v>
      </c>
      <c r="AP7498" s="54">
        <v>8</v>
      </c>
      <c r="AQ7498" s="54">
        <v>5823</v>
      </c>
      <c r="AR7498" s="55">
        <v>28500</v>
      </c>
      <c r="AS7498" s="78">
        <f t="shared" si="121"/>
        <v>0.2043157894736842</v>
      </c>
    </row>
    <row r="7499" spans="39:45">
      <c r="AM7499" s="55">
        <v>2019</v>
      </c>
      <c r="AN7499" s="55" t="s">
        <v>192</v>
      </c>
      <c r="AO7499" s="55">
        <v>9</v>
      </c>
      <c r="AP7499" s="55">
        <v>9</v>
      </c>
      <c r="AQ7499" s="55">
        <v>20191</v>
      </c>
      <c r="AR7499" s="55">
        <v>28500</v>
      </c>
      <c r="AS7499" s="78">
        <f t="shared" si="121"/>
        <v>0.70845614035087723</v>
      </c>
    </row>
    <row r="7500" spans="39:45">
      <c r="AM7500" s="54">
        <v>2019</v>
      </c>
      <c r="AN7500" s="54" t="s">
        <v>192</v>
      </c>
      <c r="AO7500" s="54">
        <v>9</v>
      </c>
      <c r="AP7500" s="54">
        <v>10</v>
      </c>
      <c r="AQ7500" s="54">
        <v>20898.5</v>
      </c>
      <c r="AR7500" s="55">
        <v>28500</v>
      </c>
      <c r="AS7500" s="78">
        <f t="shared" si="121"/>
        <v>0.73328070175438598</v>
      </c>
    </row>
    <row r="7501" spans="39:45">
      <c r="AM7501" s="55">
        <v>2019</v>
      </c>
      <c r="AN7501" s="55" t="s">
        <v>192</v>
      </c>
      <c r="AO7501" s="55">
        <v>9</v>
      </c>
      <c r="AP7501" s="55">
        <v>11</v>
      </c>
      <c r="AQ7501" s="55">
        <v>29584</v>
      </c>
      <c r="AR7501" s="55">
        <v>28500</v>
      </c>
      <c r="AS7501" s="78">
        <f t="shared" si="121"/>
        <v>1.0380350877192983</v>
      </c>
    </row>
    <row r="7502" spans="39:45">
      <c r="AM7502" s="54">
        <v>2019</v>
      </c>
      <c r="AN7502" s="54" t="s">
        <v>192</v>
      </c>
      <c r="AO7502" s="54">
        <v>9</v>
      </c>
      <c r="AP7502" s="54">
        <v>12</v>
      </c>
      <c r="AQ7502" s="54">
        <v>13010</v>
      </c>
      <c r="AR7502" s="55">
        <v>28500</v>
      </c>
      <c r="AS7502" s="78">
        <f t="shared" si="121"/>
        <v>0.45649122807017545</v>
      </c>
    </row>
    <row r="7503" spans="39:45">
      <c r="AM7503" s="55">
        <v>2019</v>
      </c>
      <c r="AN7503" s="55" t="s">
        <v>192</v>
      </c>
      <c r="AO7503" s="55">
        <v>9</v>
      </c>
      <c r="AP7503" s="55">
        <v>13</v>
      </c>
      <c r="AQ7503" s="55">
        <v>14430</v>
      </c>
      <c r="AR7503" s="55">
        <v>28500</v>
      </c>
      <c r="AS7503" s="78">
        <f t="shared" si="121"/>
        <v>0.50631578947368416</v>
      </c>
    </row>
    <row r="7504" spans="39:45">
      <c r="AM7504" s="54">
        <v>2019</v>
      </c>
      <c r="AN7504" s="54" t="s">
        <v>192</v>
      </c>
      <c r="AO7504" s="54">
        <v>9</v>
      </c>
      <c r="AP7504" s="54">
        <v>14</v>
      </c>
      <c r="AQ7504" s="54">
        <v>2628.5</v>
      </c>
      <c r="AR7504" s="55">
        <v>28500</v>
      </c>
      <c r="AS7504" s="78">
        <f t="shared" si="121"/>
        <v>9.2228070175438603E-2</v>
      </c>
    </row>
    <row r="7505" spans="39:45">
      <c r="AM7505" s="55">
        <v>2019</v>
      </c>
      <c r="AN7505" s="55" t="s">
        <v>192</v>
      </c>
      <c r="AO7505" s="55">
        <v>9</v>
      </c>
      <c r="AP7505" s="55">
        <v>15</v>
      </c>
      <c r="AQ7505" s="55">
        <v>1331.5</v>
      </c>
      <c r="AR7505" s="55">
        <v>28500</v>
      </c>
      <c r="AS7505" s="78">
        <f t="shared" si="121"/>
        <v>4.6719298245614035E-2</v>
      </c>
    </row>
    <row r="7506" spans="39:45">
      <c r="AM7506" s="54">
        <v>2019</v>
      </c>
      <c r="AN7506" s="54" t="s">
        <v>192</v>
      </c>
      <c r="AO7506" s="54">
        <v>9</v>
      </c>
      <c r="AP7506" s="54">
        <v>16</v>
      </c>
      <c r="AQ7506" s="54">
        <v>0</v>
      </c>
      <c r="AR7506" s="55">
        <v>28500</v>
      </c>
      <c r="AS7506" s="78">
        <f t="shared" si="121"/>
        <v>0</v>
      </c>
    </row>
    <row r="7507" spans="39:45">
      <c r="AM7507" s="55">
        <v>2019</v>
      </c>
      <c r="AN7507" s="55" t="s">
        <v>192</v>
      </c>
      <c r="AO7507" s="55">
        <v>9</v>
      </c>
      <c r="AP7507" s="55">
        <v>17</v>
      </c>
      <c r="AQ7507" s="55">
        <v>0</v>
      </c>
      <c r="AR7507" s="55">
        <v>28500</v>
      </c>
      <c r="AS7507" s="78">
        <f t="shared" si="121"/>
        <v>0</v>
      </c>
    </row>
    <row r="7508" spans="39:45">
      <c r="AM7508" s="54">
        <v>2019</v>
      </c>
      <c r="AN7508" s="54" t="s">
        <v>192</v>
      </c>
      <c r="AO7508" s="54">
        <v>9</v>
      </c>
      <c r="AP7508" s="54">
        <v>18</v>
      </c>
      <c r="AQ7508" s="54">
        <v>0</v>
      </c>
      <c r="AR7508" s="55">
        <v>28500</v>
      </c>
      <c r="AS7508" s="78">
        <f t="shared" si="121"/>
        <v>0</v>
      </c>
    </row>
    <row r="7509" spans="39:45">
      <c r="AM7509" s="55">
        <v>2019</v>
      </c>
      <c r="AN7509" s="55" t="s">
        <v>192</v>
      </c>
      <c r="AO7509" s="55">
        <v>9</v>
      </c>
      <c r="AP7509" s="55">
        <v>19</v>
      </c>
      <c r="AQ7509" s="55">
        <v>0</v>
      </c>
      <c r="AR7509" s="55">
        <v>28500</v>
      </c>
      <c r="AS7509" s="78">
        <f t="shared" si="121"/>
        <v>0</v>
      </c>
    </row>
    <row r="7510" spans="39:45">
      <c r="AM7510" s="54">
        <v>2019</v>
      </c>
      <c r="AN7510" s="54" t="s">
        <v>192</v>
      </c>
      <c r="AO7510" s="54">
        <v>9</v>
      </c>
      <c r="AP7510" s="54">
        <v>20</v>
      </c>
      <c r="AQ7510" s="54">
        <v>0</v>
      </c>
      <c r="AR7510" s="55">
        <v>28500</v>
      </c>
      <c r="AS7510" s="78">
        <f t="shared" si="121"/>
        <v>0</v>
      </c>
    </row>
    <row r="7511" spans="39:45">
      <c r="AM7511" s="55">
        <v>2019</v>
      </c>
      <c r="AN7511" s="55" t="s">
        <v>192</v>
      </c>
      <c r="AO7511" s="55">
        <v>9</v>
      </c>
      <c r="AP7511" s="55">
        <v>21</v>
      </c>
      <c r="AQ7511" s="55">
        <v>0</v>
      </c>
      <c r="AR7511" s="55">
        <v>28500</v>
      </c>
      <c r="AS7511" s="78">
        <f t="shared" si="121"/>
        <v>0</v>
      </c>
    </row>
    <row r="7512" spans="39:45">
      <c r="AM7512" s="54">
        <v>2019</v>
      </c>
      <c r="AN7512" s="54" t="s">
        <v>192</v>
      </c>
      <c r="AO7512" s="54">
        <v>9</v>
      </c>
      <c r="AP7512" s="54">
        <v>22</v>
      </c>
      <c r="AQ7512" s="54">
        <v>0</v>
      </c>
      <c r="AR7512" s="55">
        <v>28500</v>
      </c>
      <c r="AS7512" s="78">
        <f t="shared" si="121"/>
        <v>0</v>
      </c>
    </row>
    <row r="7513" spans="39:45">
      <c r="AM7513" s="55">
        <v>2019</v>
      </c>
      <c r="AN7513" s="55" t="s">
        <v>192</v>
      </c>
      <c r="AO7513" s="55">
        <v>9</v>
      </c>
      <c r="AP7513" s="55">
        <v>23</v>
      </c>
      <c r="AQ7513" s="55">
        <v>0</v>
      </c>
      <c r="AR7513" s="55">
        <v>28500</v>
      </c>
      <c r="AS7513" s="78">
        <f t="shared" si="121"/>
        <v>0</v>
      </c>
    </row>
    <row r="7514" spans="39:45">
      <c r="AM7514" s="54">
        <v>2019</v>
      </c>
      <c r="AN7514" s="54" t="s">
        <v>192</v>
      </c>
      <c r="AO7514" s="54">
        <v>10</v>
      </c>
      <c r="AP7514" s="54">
        <v>24</v>
      </c>
      <c r="AQ7514" s="54">
        <v>0</v>
      </c>
      <c r="AR7514" s="55">
        <v>28500</v>
      </c>
      <c r="AS7514" s="78">
        <f t="shared" si="121"/>
        <v>0</v>
      </c>
    </row>
    <row r="7515" spans="39:45">
      <c r="AM7515" s="55">
        <v>2019</v>
      </c>
      <c r="AN7515" s="55" t="s">
        <v>192</v>
      </c>
      <c r="AO7515" s="55">
        <v>10</v>
      </c>
      <c r="AP7515" s="55">
        <v>1</v>
      </c>
      <c r="AQ7515" s="55">
        <v>0</v>
      </c>
      <c r="AR7515" s="55">
        <v>28500</v>
      </c>
      <c r="AS7515" s="78">
        <f t="shared" si="121"/>
        <v>0</v>
      </c>
    </row>
    <row r="7516" spans="39:45">
      <c r="AM7516" s="54">
        <v>2019</v>
      </c>
      <c r="AN7516" s="54" t="s">
        <v>192</v>
      </c>
      <c r="AO7516" s="54">
        <v>10</v>
      </c>
      <c r="AP7516" s="54">
        <v>2</v>
      </c>
      <c r="AQ7516" s="54">
        <v>0</v>
      </c>
      <c r="AR7516" s="55">
        <v>28500</v>
      </c>
      <c r="AS7516" s="78">
        <f t="shared" si="121"/>
        <v>0</v>
      </c>
    </row>
    <row r="7517" spans="39:45">
      <c r="AM7517" s="55">
        <v>2019</v>
      </c>
      <c r="AN7517" s="55" t="s">
        <v>192</v>
      </c>
      <c r="AO7517" s="55">
        <v>10</v>
      </c>
      <c r="AP7517" s="55">
        <v>3</v>
      </c>
      <c r="AQ7517" s="55">
        <v>0</v>
      </c>
      <c r="AR7517" s="55">
        <v>28500</v>
      </c>
      <c r="AS7517" s="78">
        <f t="shared" si="121"/>
        <v>0</v>
      </c>
    </row>
    <row r="7518" spans="39:45">
      <c r="AM7518" s="54">
        <v>2019</v>
      </c>
      <c r="AN7518" s="54" t="s">
        <v>192</v>
      </c>
      <c r="AO7518" s="54">
        <v>10</v>
      </c>
      <c r="AP7518" s="54">
        <v>4</v>
      </c>
      <c r="AQ7518" s="54">
        <v>0</v>
      </c>
      <c r="AR7518" s="55">
        <v>28500</v>
      </c>
      <c r="AS7518" s="78">
        <f t="shared" si="121"/>
        <v>0</v>
      </c>
    </row>
    <row r="7519" spans="39:45">
      <c r="AM7519" s="55">
        <v>2019</v>
      </c>
      <c r="AN7519" s="55" t="s">
        <v>192</v>
      </c>
      <c r="AO7519" s="55">
        <v>10</v>
      </c>
      <c r="AP7519" s="55">
        <v>5</v>
      </c>
      <c r="AQ7519" s="55">
        <v>0</v>
      </c>
      <c r="AR7519" s="55">
        <v>28500</v>
      </c>
      <c r="AS7519" s="78">
        <f t="shared" si="121"/>
        <v>0</v>
      </c>
    </row>
    <row r="7520" spans="39:45">
      <c r="AM7520" s="54">
        <v>2019</v>
      </c>
      <c r="AN7520" s="54" t="s">
        <v>192</v>
      </c>
      <c r="AO7520" s="54">
        <v>10</v>
      </c>
      <c r="AP7520" s="54">
        <v>6</v>
      </c>
      <c r="AQ7520" s="54">
        <v>0</v>
      </c>
      <c r="AR7520" s="55">
        <v>28500</v>
      </c>
      <c r="AS7520" s="78">
        <f t="shared" si="121"/>
        <v>0</v>
      </c>
    </row>
    <row r="7521" spans="39:45">
      <c r="AM7521" s="55">
        <v>2019</v>
      </c>
      <c r="AN7521" s="55" t="s">
        <v>192</v>
      </c>
      <c r="AO7521" s="55">
        <v>10</v>
      </c>
      <c r="AP7521" s="55">
        <v>7</v>
      </c>
      <c r="AQ7521" s="55">
        <v>0</v>
      </c>
      <c r="AR7521" s="55">
        <v>28500</v>
      </c>
      <c r="AS7521" s="78">
        <f t="shared" si="121"/>
        <v>0</v>
      </c>
    </row>
    <row r="7522" spans="39:45">
      <c r="AM7522" s="54">
        <v>2019</v>
      </c>
      <c r="AN7522" s="54" t="s">
        <v>192</v>
      </c>
      <c r="AO7522" s="54">
        <v>10</v>
      </c>
      <c r="AP7522" s="54">
        <v>8</v>
      </c>
      <c r="AQ7522" s="54">
        <v>5662</v>
      </c>
      <c r="AR7522" s="55">
        <v>28500</v>
      </c>
      <c r="AS7522" s="78">
        <f t="shared" si="121"/>
        <v>0.19866666666666666</v>
      </c>
    </row>
    <row r="7523" spans="39:45">
      <c r="AM7523" s="55">
        <v>2019</v>
      </c>
      <c r="AN7523" s="55" t="s">
        <v>192</v>
      </c>
      <c r="AO7523" s="55">
        <v>10</v>
      </c>
      <c r="AP7523" s="55">
        <v>9</v>
      </c>
      <c r="AQ7523" s="55">
        <v>19658</v>
      </c>
      <c r="AR7523" s="55">
        <v>28500</v>
      </c>
      <c r="AS7523" s="78">
        <f t="shared" si="121"/>
        <v>0.68975438596491223</v>
      </c>
    </row>
    <row r="7524" spans="39:45">
      <c r="AM7524" s="54">
        <v>2019</v>
      </c>
      <c r="AN7524" s="54" t="s">
        <v>192</v>
      </c>
      <c r="AO7524" s="54">
        <v>10</v>
      </c>
      <c r="AP7524" s="54">
        <v>10</v>
      </c>
      <c r="AQ7524" s="54">
        <v>29804</v>
      </c>
      <c r="AR7524" s="55">
        <v>28500</v>
      </c>
      <c r="AS7524" s="78">
        <f t="shared" si="121"/>
        <v>1.0457543859649123</v>
      </c>
    </row>
    <row r="7525" spans="39:45">
      <c r="AM7525" s="55">
        <v>2019</v>
      </c>
      <c r="AN7525" s="55" t="s">
        <v>192</v>
      </c>
      <c r="AO7525" s="55">
        <v>10</v>
      </c>
      <c r="AP7525" s="55">
        <v>11</v>
      </c>
      <c r="AQ7525" s="55">
        <v>34495.5</v>
      </c>
      <c r="AR7525" s="55">
        <v>28500</v>
      </c>
      <c r="AS7525" s="78">
        <f t="shared" si="121"/>
        <v>1.2103684210526315</v>
      </c>
    </row>
    <row r="7526" spans="39:45">
      <c r="AM7526" s="54">
        <v>2019</v>
      </c>
      <c r="AN7526" s="54" t="s">
        <v>192</v>
      </c>
      <c r="AO7526" s="54">
        <v>10</v>
      </c>
      <c r="AP7526" s="54">
        <v>12</v>
      </c>
      <c r="AQ7526" s="54">
        <v>14921.5</v>
      </c>
      <c r="AR7526" s="55">
        <v>28500</v>
      </c>
      <c r="AS7526" s="78">
        <f t="shared" si="121"/>
        <v>0.52356140350877189</v>
      </c>
    </row>
    <row r="7527" spans="39:45">
      <c r="AM7527" s="55">
        <v>2019</v>
      </c>
      <c r="AN7527" s="55" t="s">
        <v>192</v>
      </c>
      <c r="AO7527" s="55">
        <v>10</v>
      </c>
      <c r="AP7527" s="55">
        <v>13</v>
      </c>
      <c r="AQ7527" s="55">
        <v>15619</v>
      </c>
      <c r="AR7527" s="55">
        <v>28500</v>
      </c>
      <c r="AS7527" s="78">
        <f t="shared" si="121"/>
        <v>0.54803508771929821</v>
      </c>
    </row>
    <row r="7528" spans="39:45">
      <c r="AM7528" s="54">
        <v>2019</v>
      </c>
      <c r="AN7528" s="54" t="s">
        <v>192</v>
      </c>
      <c r="AO7528" s="54">
        <v>10</v>
      </c>
      <c r="AP7528" s="54">
        <v>14</v>
      </c>
      <c r="AQ7528" s="54">
        <v>14468.5</v>
      </c>
      <c r="AR7528" s="55">
        <v>28500</v>
      </c>
      <c r="AS7528" s="78">
        <f t="shared" si="121"/>
        <v>0.50766666666666671</v>
      </c>
    </row>
    <row r="7529" spans="39:45">
      <c r="AM7529" s="55">
        <v>2019</v>
      </c>
      <c r="AN7529" s="55" t="s">
        <v>192</v>
      </c>
      <c r="AO7529" s="55">
        <v>10</v>
      </c>
      <c r="AP7529" s="55">
        <v>15</v>
      </c>
      <c r="AQ7529" s="55">
        <v>9927.5</v>
      </c>
      <c r="AR7529" s="55">
        <v>28500</v>
      </c>
      <c r="AS7529" s="78">
        <f t="shared" si="121"/>
        <v>0.34833333333333333</v>
      </c>
    </row>
    <row r="7530" spans="39:45">
      <c r="AM7530" s="54">
        <v>2019</v>
      </c>
      <c r="AN7530" s="54" t="s">
        <v>192</v>
      </c>
      <c r="AO7530" s="54">
        <v>10</v>
      </c>
      <c r="AP7530" s="54">
        <v>16</v>
      </c>
      <c r="AQ7530" s="54">
        <v>0</v>
      </c>
      <c r="AR7530" s="55">
        <v>28500</v>
      </c>
      <c r="AS7530" s="78">
        <f t="shared" si="121"/>
        <v>0</v>
      </c>
    </row>
    <row r="7531" spans="39:45">
      <c r="AM7531" s="55">
        <v>2019</v>
      </c>
      <c r="AN7531" s="55" t="s">
        <v>192</v>
      </c>
      <c r="AO7531" s="55">
        <v>10</v>
      </c>
      <c r="AP7531" s="55">
        <v>17</v>
      </c>
      <c r="AQ7531" s="55">
        <v>0</v>
      </c>
      <c r="AR7531" s="55">
        <v>28500</v>
      </c>
      <c r="AS7531" s="78">
        <f t="shared" si="121"/>
        <v>0</v>
      </c>
    </row>
    <row r="7532" spans="39:45">
      <c r="AM7532" s="54">
        <v>2019</v>
      </c>
      <c r="AN7532" s="54" t="s">
        <v>192</v>
      </c>
      <c r="AO7532" s="54">
        <v>10</v>
      </c>
      <c r="AP7532" s="54">
        <v>18</v>
      </c>
      <c r="AQ7532" s="54">
        <v>0</v>
      </c>
      <c r="AR7532" s="55">
        <v>28500</v>
      </c>
      <c r="AS7532" s="78">
        <f t="shared" si="121"/>
        <v>0</v>
      </c>
    </row>
    <row r="7533" spans="39:45">
      <c r="AM7533" s="55">
        <v>2019</v>
      </c>
      <c r="AN7533" s="55" t="s">
        <v>192</v>
      </c>
      <c r="AO7533" s="55">
        <v>10</v>
      </c>
      <c r="AP7533" s="55">
        <v>19</v>
      </c>
      <c r="AQ7533" s="55">
        <v>0</v>
      </c>
      <c r="AR7533" s="55">
        <v>28500</v>
      </c>
      <c r="AS7533" s="78">
        <f t="shared" si="121"/>
        <v>0</v>
      </c>
    </row>
    <row r="7534" spans="39:45">
      <c r="AM7534" s="54">
        <v>2019</v>
      </c>
      <c r="AN7534" s="54" t="s">
        <v>192</v>
      </c>
      <c r="AO7534" s="54">
        <v>10</v>
      </c>
      <c r="AP7534" s="54">
        <v>20</v>
      </c>
      <c r="AQ7534" s="54">
        <v>0</v>
      </c>
      <c r="AR7534" s="55">
        <v>28500</v>
      </c>
      <c r="AS7534" s="78">
        <f t="shared" si="121"/>
        <v>0</v>
      </c>
    </row>
    <row r="7535" spans="39:45">
      <c r="AM7535" s="55">
        <v>2019</v>
      </c>
      <c r="AN7535" s="55" t="s">
        <v>192</v>
      </c>
      <c r="AO7535" s="55">
        <v>10</v>
      </c>
      <c r="AP7535" s="55">
        <v>21</v>
      </c>
      <c r="AQ7535" s="55">
        <v>0</v>
      </c>
      <c r="AR7535" s="55">
        <v>28500</v>
      </c>
      <c r="AS7535" s="78">
        <f t="shared" si="121"/>
        <v>0</v>
      </c>
    </row>
    <row r="7536" spans="39:45">
      <c r="AM7536" s="54">
        <v>2019</v>
      </c>
      <c r="AN7536" s="54" t="s">
        <v>192</v>
      </c>
      <c r="AO7536" s="54">
        <v>10</v>
      </c>
      <c r="AP7536" s="54">
        <v>22</v>
      </c>
      <c r="AQ7536" s="54">
        <v>0</v>
      </c>
      <c r="AR7536" s="55">
        <v>28500</v>
      </c>
      <c r="AS7536" s="78">
        <f t="shared" si="121"/>
        <v>0</v>
      </c>
    </row>
    <row r="7537" spans="39:45">
      <c r="AM7537" s="55">
        <v>2019</v>
      </c>
      <c r="AN7537" s="55" t="s">
        <v>192</v>
      </c>
      <c r="AO7537" s="55">
        <v>10</v>
      </c>
      <c r="AP7537" s="55">
        <v>23</v>
      </c>
      <c r="AQ7537" s="55">
        <v>0</v>
      </c>
      <c r="AR7537" s="55">
        <v>28500</v>
      </c>
      <c r="AS7537" s="78">
        <f t="shared" si="121"/>
        <v>0</v>
      </c>
    </row>
    <row r="7538" spans="39:45">
      <c r="AM7538" s="54">
        <v>2019</v>
      </c>
      <c r="AN7538" s="54" t="s">
        <v>192</v>
      </c>
      <c r="AO7538" s="54">
        <v>11</v>
      </c>
      <c r="AP7538" s="54">
        <v>24</v>
      </c>
      <c r="AQ7538" s="54">
        <v>0</v>
      </c>
      <c r="AR7538" s="55">
        <v>28500</v>
      </c>
      <c r="AS7538" s="78">
        <f t="shared" si="121"/>
        <v>0</v>
      </c>
    </row>
    <row r="7539" spans="39:45">
      <c r="AM7539" s="55">
        <v>2019</v>
      </c>
      <c r="AN7539" s="55" t="s">
        <v>192</v>
      </c>
      <c r="AO7539" s="55">
        <v>11</v>
      </c>
      <c r="AP7539" s="55">
        <v>1</v>
      </c>
      <c r="AQ7539" s="55">
        <v>0</v>
      </c>
      <c r="AR7539" s="55">
        <v>28500</v>
      </c>
      <c r="AS7539" s="78">
        <f t="shared" si="121"/>
        <v>0</v>
      </c>
    </row>
    <row r="7540" spans="39:45">
      <c r="AM7540" s="54">
        <v>2019</v>
      </c>
      <c r="AN7540" s="54" t="s">
        <v>192</v>
      </c>
      <c r="AO7540" s="54">
        <v>11</v>
      </c>
      <c r="AP7540" s="54">
        <v>2</v>
      </c>
      <c r="AQ7540" s="54">
        <v>0</v>
      </c>
      <c r="AR7540" s="55">
        <v>28500</v>
      </c>
      <c r="AS7540" s="78">
        <f t="shared" si="121"/>
        <v>0</v>
      </c>
    </row>
    <row r="7541" spans="39:45">
      <c r="AM7541" s="55">
        <v>2019</v>
      </c>
      <c r="AN7541" s="55" t="s">
        <v>192</v>
      </c>
      <c r="AO7541" s="55">
        <v>11</v>
      </c>
      <c r="AP7541" s="55">
        <v>3</v>
      </c>
      <c r="AQ7541" s="55">
        <v>0</v>
      </c>
      <c r="AR7541" s="55">
        <v>28500</v>
      </c>
      <c r="AS7541" s="78">
        <f t="shared" si="121"/>
        <v>0</v>
      </c>
    </row>
    <row r="7542" spans="39:45">
      <c r="AM7542" s="54">
        <v>2019</v>
      </c>
      <c r="AN7542" s="54" t="s">
        <v>192</v>
      </c>
      <c r="AO7542" s="54">
        <v>11</v>
      </c>
      <c r="AP7542" s="54">
        <v>4</v>
      </c>
      <c r="AQ7542" s="54">
        <v>0</v>
      </c>
      <c r="AR7542" s="55">
        <v>28500</v>
      </c>
      <c r="AS7542" s="78">
        <f t="shared" si="121"/>
        <v>0</v>
      </c>
    </row>
    <row r="7543" spans="39:45">
      <c r="AM7543" s="55">
        <v>2019</v>
      </c>
      <c r="AN7543" s="55" t="s">
        <v>192</v>
      </c>
      <c r="AO7543" s="55">
        <v>11</v>
      </c>
      <c r="AP7543" s="55">
        <v>5</v>
      </c>
      <c r="AQ7543" s="55">
        <v>0</v>
      </c>
      <c r="AR7543" s="55">
        <v>28500</v>
      </c>
      <c r="AS7543" s="78">
        <f t="shared" si="121"/>
        <v>0</v>
      </c>
    </row>
    <row r="7544" spans="39:45">
      <c r="AM7544" s="54">
        <v>2019</v>
      </c>
      <c r="AN7544" s="54" t="s">
        <v>192</v>
      </c>
      <c r="AO7544" s="54">
        <v>11</v>
      </c>
      <c r="AP7544" s="54">
        <v>6</v>
      </c>
      <c r="AQ7544" s="54">
        <v>0</v>
      </c>
      <c r="AR7544" s="55">
        <v>28500</v>
      </c>
      <c r="AS7544" s="78">
        <f t="shared" si="121"/>
        <v>0</v>
      </c>
    </row>
    <row r="7545" spans="39:45">
      <c r="AM7545" s="55">
        <v>2019</v>
      </c>
      <c r="AN7545" s="55" t="s">
        <v>192</v>
      </c>
      <c r="AO7545" s="55">
        <v>11</v>
      </c>
      <c r="AP7545" s="55">
        <v>7</v>
      </c>
      <c r="AQ7545" s="55">
        <v>0</v>
      </c>
      <c r="AR7545" s="55">
        <v>28500</v>
      </c>
      <c r="AS7545" s="78">
        <f t="shared" si="121"/>
        <v>0</v>
      </c>
    </row>
    <row r="7546" spans="39:45">
      <c r="AM7546" s="54">
        <v>2019</v>
      </c>
      <c r="AN7546" s="54" t="s">
        <v>192</v>
      </c>
      <c r="AO7546" s="54">
        <v>11</v>
      </c>
      <c r="AP7546" s="54">
        <v>8</v>
      </c>
      <c r="AQ7546" s="54">
        <v>2997.5</v>
      </c>
      <c r="AR7546" s="55">
        <v>28500</v>
      </c>
      <c r="AS7546" s="78">
        <f t="shared" si="121"/>
        <v>0.10517543859649123</v>
      </c>
    </row>
    <row r="7547" spans="39:45">
      <c r="AM7547" s="55">
        <v>2019</v>
      </c>
      <c r="AN7547" s="55" t="s">
        <v>192</v>
      </c>
      <c r="AO7547" s="55">
        <v>11</v>
      </c>
      <c r="AP7547" s="55">
        <v>9</v>
      </c>
      <c r="AQ7547" s="55">
        <v>20467.5</v>
      </c>
      <c r="AR7547" s="55">
        <v>28500</v>
      </c>
      <c r="AS7547" s="78">
        <f t="shared" si="121"/>
        <v>0.71815789473684211</v>
      </c>
    </row>
    <row r="7548" spans="39:45">
      <c r="AM7548" s="54">
        <v>2019</v>
      </c>
      <c r="AN7548" s="54" t="s">
        <v>192</v>
      </c>
      <c r="AO7548" s="54">
        <v>11</v>
      </c>
      <c r="AP7548" s="54">
        <v>10</v>
      </c>
      <c r="AQ7548" s="54">
        <v>25136</v>
      </c>
      <c r="AR7548" s="55">
        <v>28500</v>
      </c>
      <c r="AS7548" s="78">
        <f t="shared" si="121"/>
        <v>0.88196491228070173</v>
      </c>
    </row>
    <row r="7549" spans="39:45">
      <c r="AM7549" s="55">
        <v>2019</v>
      </c>
      <c r="AN7549" s="55" t="s">
        <v>192</v>
      </c>
      <c r="AO7549" s="55">
        <v>11</v>
      </c>
      <c r="AP7549" s="55">
        <v>11</v>
      </c>
      <c r="AQ7549" s="55">
        <v>13767.5</v>
      </c>
      <c r="AR7549" s="55">
        <v>28500</v>
      </c>
      <c r="AS7549" s="78">
        <f t="shared" si="121"/>
        <v>0.48307017543859648</v>
      </c>
    </row>
    <row r="7550" spans="39:45">
      <c r="AM7550" s="54">
        <v>2019</v>
      </c>
      <c r="AN7550" s="54" t="s">
        <v>192</v>
      </c>
      <c r="AO7550" s="54">
        <v>11</v>
      </c>
      <c r="AP7550" s="54">
        <v>12</v>
      </c>
      <c r="AQ7550" s="54">
        <v>2725.5</v>
      </c>
      <c r="AR7550" s="55">
        <v>28500</v>
      </c>
      <c r="AS7550" s="78">
        <f t="shared" si="121"/>
        <v>9.5631578947368415E-2</v>
      </c>
    </row>
    <row r="7551" spans="39:45">
      <c r="AM7551" s="55">
        <v>2019</v>
      </c>
      <c r="AN7551" s="55" t="s">
        <v>192</v>
      </c>
      <c r="AO7551" s="55">
        <v>11</v>
      </c>
      <c r="AP7551" s="55">
        <v>13</v>
      </c>
      <c r="AQ7551" s="55">
        <v>26446.5</v>
      </c>
      <c r="AR7551" s="55">
        <v>28500</v>
      </c>
      <c r="AS7551" s="78">
        <f t="shared" si="121"/>
        <v>0.92794736842105263</v>
      </c>
    </row>
    <row r="7552" spans="39:45">
      <c r="AM7552" s="54">
        <v>2019</v>
      </c>
      <c r="AN7552" s="54" t="s">
        <v>192</v>
      </c>
      <c r="AO7552" s="54">
        <v>11</v>
      </c>
      <c r="AP7552" s="54">
        <v>14</v>
      </c>
      <c r="AQ7552" s="54">
        <v>0</v>
      </c>
      <c r="AR7552" s="55">
        <v>28500</v>
      </c>
      <c r="AS7552" s="78">
        <f t="shared" si="121"/>
        <v>0</v>
      </c>
    </row>
    <row r="7553" spans="39:45">
      <c r="AM7553" s="55">
        <v>2019</v>
      </c>
      <c r="AN7553" s="55" t="s">
        <v>192</v>
      </c>
      <c r="AO7553" s="55">
        <v>11</v>
      </c>
      <c r="AP7553" s="55">
        <v>15</v>
      </c>
      <c r="AQ7553" s="55">
        <v>5945</v>
      </c>
      <c r="AR7553" s="55">
        <v>28500</v>
      </c>
      <c r="AS7553" s="78">
        <f t="shared" si="121"/>
        <v>0.20859649122807017</v>
      </c>
    </row>
    <row r="7554" spans="39:45">
      <c r="AM7554" s="54">
        <v>2019</v>
      </c>
      <c r="AN7554" s="54" t="s">
        <v>192</v>
      </c>
      <c r="AO7554" s="54">
        <v>11</v>
      </c>
      <c r="AP7554" s="54">
        <v>16</v>
      </c>
      <c r="AQ7554" s="54">
        <v>0</v>
      </c>
      <c r="AR7554" s="55">
        <v>28500</v>
      </c>
      <c r="AS7554" s="78">
        <f t="shared" ref="AS7554:AS7617" si="122">AQ7554/AR7554</f>
        <v>0</v>
      </c>
    </row>
    <row r="7555" spans="39:45">
      <c r="AM7555" s="55">
        <v>2019</v>
      </c>
      <c r="AN7555" s="55" t="s">
        <v>192</v>
      </c>
      <c r="AO7555" s="55">
        <v>11</v>
      </c>
      <c r="AP7555" s="55">
        <v>17</v>
      </c>
      <c r="AQ7555" s="55">
        <v>0</v>
      </c>
      <c r="AR7555" s="55">
        <v>28500</v>
      </c>
      <c r="AS7555" s="78">
        <f t="shared" si="122"/>
        <v>0</v>
      </c>
    </row>
    <row r="7556" spans="39:45">
      <c r="AM7556" s="54">
        <v>2019</v>
      </c>
      <c r="AN7556" s="54" t="s">
        <v>192</v>
      </c>
      <c r="AO7556" s="54">
        <v>11</v>
      </c>
      <c r="AP7556" s="54">
        <v>18</v>
      </c>
      <c r="AQ7556" s="54">
        <v>0</v>
      </c>
      <c r="AR7556" s="55">
        <v>28500</v>
      </c>
      <c r="AS7556" s="78">
        <f t="shared" si="122"/>
        <v>0</v>
      </c>
    </row>
    <row r="7557" spans="39:45">
      <c r="AM7557" s="55">
        <v>2019</v>
      </c>
      <c r="AN7557" s="55" t="s">
        <v>192</v>
      </c>
      <c r="AO7557" s="55">
        <v>11</v>
      </c>
      <c r="AP7557" s="55">
        <v>19</v>
      </c>
      <c r="AQ7557" s="55">
        <v>0</v>
      </c>
      <c r="AR7557" s="55">
        <v>28500</v>
      </c>
      <c r="AS7557" s="78">
        <f t="shared" si="122"/>
        <v>0</v>
      </c>
    </row>
    <row r="7558" spans="39:45">
      <c r="AM7558" s="54">
        <v>2019</v>
      </c>
      <c r="AN7558" s="54" t="s">
        <v>192</v>
      </c>
      <c r="AO7558" s="54">
        <v>11</v>
      </c>
      <c r="AP7558" s="54">
        <v>20</v>
      </c>
      <c r="AQ7558" s="54">
        <v>0</v>
      </c>
      <c r="AR7558" s="55">
        <v>28500</v>
      </c>
      <c r="AS7558" s="78">
        <f t="shared" si="122"/>
        <v>0</v>
      </c>
    </row>
    <row r="7559" spans="39:45">
      <c r="AM7559" s="55">
        <v>2019</v>
      </c>
      <c r="AN7559" s="55" t="s">
        <v>192</v>
      </c>
      <c r="AO7559" s="55">
        <v>11</v>
      </c>
      <c r="AP7559" s="55">
        <v>21</v>
      </c>
      <c r="AQ7559" s="55">
        <v>0</v>
      </c>
      <c r="AR7559" s="55">
        <v>28500</v>
      </c>
      <c r="AS7559" s="78">
        <f t="shared" si="122"/>
        <v>0</v>
      </c>
    </row>
    <row r="7560" spans="39:45">
      <c r="AM7560" s="54">
        <v>2019</v>
      </c>
      <c r="AN7560" s="54" t="s">
        <v>192</v>
      </c>
      <c r="AO7560" s="54">
        <v>11</v>
      </c>
      <c r="AP7560" s="54">
        <v>22</v>
      </c>
      <c r="AQ7560" s="54">
        <v>0</v>
      </c>
      <c r="AR7560" s="55">
        <v>28500</v>
      </c>
      <c r="AS7560" s="78">
        <f t="shared" si="122"/>
        <v>0</v>
      </c>
    </row>
    <row r="7561" spans="39:45">
      <c r="AM7561" s="55">
        <v>2019</v>
      </c>
      <c r="AN7561" s="55" t="s">
        <v>192</v>
      </c>
      <c r="AO7561" s="55">
        <v>11</v>
      </c>
      <c r="AP7561" s="55">
        <v>23</v>
      </c>
      <c r="AQ7561" s="55">
        <v>0</v>
      </c>
      <c r="AR7561" s="55">
        <v>28500</v>
      </c>
      <c r="AS7561" s="78">
        <f t="shared" si="122"/>
        <v>0</v>
      </c>
    </row>
    <row r="7562" spans="39:45">
      <c r="AM7562" s="54">
        <v>2019</v>
      </c>
      <c r="AN7562" s="54" t="s">
        <v>192</v>
      </c>
      <c r="AO7562" s="54">
        <v>12</v>
      </c>
      <c r="AP7562" s="54">
        <v>24</v>
      </c>
      <c r="AQ7562" s="54">
        <v>0</v>
      </c>
      <c r="AR7562" s="55">
        <v>28500</v>
      </c>
      <c r="AS7562" s="78">
        <f t="shared" si="122"/>
        <v>0</v>
      </c>
    </row>
    <row r="7563" spans="39:45">
      <c r="AM7563" s="55">
        <v>2019</v>
      </c>
      <c r="AN7563" s="55" t="s">
        <v>192</v>
      </c>
      <c r="AO7563" s="55">
        <v>12</v>
      </c>
      <c r="AP7563" s="55">
        <v>1</v>
      </c>
      <c r="AQ7563" s="55">
        <v>0</v>
      </c>
      <c r="AR7563" s="55">
        <v>28500</v>
      </c>
      <c r="AS7563" s="78">
        <f t="shared" si="122"/>
        <v>0</v>
      </c>
    </row>
    <row r="7564" spans="39:45">
      <c r="AM7564" s="54">
        <v>2019</v>
      </c>
      <c r="AN7564" s="54" t="s">
        <v>192</v>
      </c>
      <c r="AO7564" s="54">
        <v>12</v>
      </c>
      <c r="AP7564" s="54">
        <v>2</v>
      </c>
      <c r="AQ7564" s="54">
        <v>0</v>
      </c>
      <c r="AR7564" s="55">
        <v>28500</v>
      </c>
      <c r="AS7564" s="78">
        <f t="shared" si="122"/>
        <v>0</v>
      </c>
    </row>
    <row r="7565" spans="39:45">
      <c r="AM7565" s="55">
        <v>2019</v>
      </c>
      <c r="AN7565" s="55" t="s">
        <v>192</v>
      </c>
      <c r="AO7565" s="55">
        <v>12</v>
      </c>
      <c r="AP7565" s="55">
        <v>3</v>
      </c>
      <c r="AQ7565" s="55">
        <v>0</v>
      </c>
      <c r="AR7565" s="55">
        <v>28500</v>
      </c>
      <c r="AS7565" s="78">
        <f t="shared" si="122"/>
        <v>0</v>
      </c>
    </row>
    <row r="7566" spans="39:45">
      <c r="AM7566" s="54">
        <v>2019</v>
      </c>
      <c r="AN7566" s="54" t="s">
        <v>192</v>
      </c>
      <c r="AO7566" s="54">
        <v>12</v>
      </c>
      <c r="AP7566" s="54">
        <v>4</v>
      </c>
      <c r="AQ7566" s="54">
        <v>0</v>
      </c>
      <c r="AR7566" s="55">
        <v>28500</v>
      </c>
      <c r="AS7566" s="78">
        <f t="shared" si="122"/>
        <v>0</v>
      </c>
    </row>
    <row r="7567" spans="39:45">
      <c r="AM7567" s="55">
        <v>2019</v>
      </c>
      <c r="AN7567" s="55" t="s">
        <v>192</v>
      </c>
      <c r="AO7567" s="55">
        <v>12</v>
      </c>
      <c r="AP7567" s="55">
        <v>5</v>
      </c>
      <c r="AQ7567" s="55">
        <v>0</v>
      </c>
      <c r="AR7567" s="55">
        <v>28500</v>
      </c>
      <c r="AS7567" s="78">
        <f t="shared" si="122"/>
        <v>0</v>
      </c>
    </row>
    <row r="7568" spans="39:45">
      <c r="AM7568" s="54">
        <v>2019</v>
      </c>
      <c r="AN7568" s="54" t="s">
        <v>192</v>
      </c>
      <c r="AO7568" s="54">
        <v>12</v>
      </c>
      <c r="AP7568" s="54">
        <v>6</v>
      </c>
      <c r="AQ7568" s="54">
        <v>0</v>
      </c>
      <c r="AR7568" s="55">
        <v>28500</v>
      </c>
      <c r="AS7568" s="78">
        <f t="shared" si="122"/>
        <v>0</v>
      </c>
    </row>
    <row r="7569" spans="39:45">
      <c r="AM7569" s="55">
        <v>2019</v>
      </c>
      <c r="AN7569" s="55" t="s">
        <v>192</v>
      </c>
      <c r="AO7569" s="55">
        <v>12</v>
      </c>
      <c r="AP7569" s="55">
        <v>7</v>
      </c>
      <c r="AQ7569" s="55">
        <v>0</v>
      </c>
      <c r="AR7569" s="55">
        <v>28500</v>
      </c>
      <c r="AS7569" s="78">
        <f t="shared" si="122"/>
        <v>0</v>
      </c>
    </row>
    <row r="7570" spans="39:45">
      <c r="AM7570" s="54">
        <v>2019</v>
      </c>
      <c r="AN7570" s="54" t="s">
        <v>192</v>
      </c>
      <c r="AO7570" s="54">
        <v>12</v>
      </c>
      <c r="AP7570" s="54">
        <v>8</v>
      </c>
      <c r="AQ7570" s="54">
        <v>6612.5</v>
      </c>
      <c r="AR7570" s="55">
        <v>28500</v>
      </c>
      <c r="AS7570" s="78">
        <f t="shared" si="122"/>
        <v>0.23201754385964912</v>
      </c>
    </row>
    <row r="7571" spans="39:45">
      <c r="AM7571" s="55">
        <v>2019</v>
      </c>
      <c r="AN7571" s="55" t="s">
        <v>192</v>
      </c>
      <c r="AO7571" s="55">
        <v>12</v>
      </c>
      <c r="AP7571" s="55">
        <v>9</v>
      </c>
      <c r="AQ7571" s="55">
        <v>20565.5</v>
      </c>
      <c r="AR7571" s="55">
        <v>28500</v>
      </c>
      <c r="AS7571" s="78">
        <f t="shared" si="122"/>
        <v>0.72159649122807012</v>
      </c>
    </row>
    <row r="7572" spans="39:45">
      <c r="AM7572" s="54">
        <v>2019</v>
      </c>
      <c r="AN7572" s="54" t="s">
        <v>192</v>
      </c>
      <c r="AO7572" s="54">
        <v>12</v>
      </c>
      <c r="AP7572" s="54">
        <v>10</v>
      </c>
      <c r="AQ7572" s="54">
        <v>29251</v>
      </c>
      <c r="AR7572" s="55">
        <v>28500</v>
      </c>
      <c r="AS7572" s="78">
        <f t="shared" si="122"/>
        <v>1.0263508771929823</v>
      </c>
    </row>
    <row r="7573" spans="39:45">
      <c r="AM7573" s="55">
        <v>2019</v>
      </c>
      <c r="AN7573" s="55" t="s">
        <v>192</v>
      </c>
      <c r="AO7573" s="55">
        <v>12</v>
      </c>
      <c r="AP7573" s="55">
        <v>11</v>
      </c>
      <c r="AQ7573" s="55">
        <v>35120</v>
      </c>
      <c r="AR7573" s="55">
        <v>28500</v>
      </c>
      <c r="AS7573" s="78">
        <f t="shared" si="122"/>
        <v>1.232280701754386</v>
      </c>
    </row>
    <row r="7574" spans="39:45">
      <c r="AM7574" s="54">
        <v>2019</v>
      </c>
      <c r="AN7574" s="54" t="s">
        <v>192</v>
      </c>
      <c r="AO7574" s="54">
        <v>12</v>
      </c>
      <c r="AP7574" s="54">
        <v>12</v>
      </c>
      <c r="AQ7574" s="54">
        <v>21833</v>
      </c>
      <c r="AR7574" s="55">
        <v>28500</v>
      </c>
      <c r="AS7574" s="78">
        <f t="shared" si="122"/>
        <v>0.76607017543859646</v>
      </c>
    </row>
    <row r="7575" spans="39:45">
      <c r="AM7575" s="55">
        <v>2019</v>
      </c>
      <c r="AN7575" s="55" t="s">
        <v>192</v>
      </c>
      <c r="AO7575" s="55">
        <v>12</v>
      </c>
      <c r="AP7575" s="55">
        <v>13</v>
      </c>
      <c r="AQ7575" s="55">
        <v>1745.5</v>
      </c>
      <c r="AR7575" s="55">
        <v>28500</v>
      </c>
      <c r="AS7575" s="78">
        <f t="shared" si="122"/>
        <v>6.1245614035087721E-2</v>
      </c>
    </row>
    <row r="7576" spans="39:45">
      <c r="AM7576" s="54">
        <v>2019</v>
      </c>
      <c r="AN7576" s="54" t="s">
        <v>192</v>
      </c>
      <c r="AO7576" s="54">
        <v>12</v>
      </c>
      <c r="AP7576" s="54">
        <v>14</v>
      </c>
      <c r="AQ7576" s="54">
        <v>11476</v>
      </c>
      <c r="AR7576" s="55">
        <v>28500</v>
      </c>
      <c r="AS7576" s="78">
        <f t="shared" si="122"/>
        <v>0.40266666666666667</v>
      </c>
    </row>
    <row r="7577" spans="39:45">
      <c r="AM7577" s="55">
        <v>2019</v>
      </c>
      <c r="AN7577" s="55" t="s">
        <v>192</v>
      </c>
      <c r="AO7577" s="55">
        <v>12</v>
      </c>
      <c r="AP7577" s="55">
        <v>15</v>
      </c>
      <c r="AQ7577" s="55">
        <v>6276</v>
      </c>
      <c r="AR7577" s="55">
        <v>28500</v>
      </c>
      <c r="AS7577" s="78">
        <f t="shared" si="122"/>
        <v>0.22021052631578947</v>
      </c>
    </row>
    <row r="7578" spans="39:45">
      <c r="AM7578" s="54">
        <v>2019</v>
      </c>
      <c r="AN7578" s="54" t="s">
        <v>192</v>
      </c>
      <c r="AO7578" s="54">
        <v>12</v>
      </c>
      <c r="AP7578" s="54">
        <v>16</v>
      </c>
      <c r="AQ7578" s="54">
        <v>0</v>
      </c>
      <c r="AR7578" s="55">
        <v>28500</v>
      </c>
      <c r="AS7578" s="78">
        <f t="shared" si="122"/>
        <v>0</v>
      </c>
    </row>
    <row r="7579" spans="39:45">
      <c r="AM7579" s="55">
        <v>2019</v>
      </c>
      <c r="AN7579" s="55" t="s">
        <v>192</v>
      </c>
      <c r="AO7579" s="55">
        <v>12</v>
      </c>
      <c r="AP7579" s="55">
        <v>17</v>
      </c>
      <c r="AQ7579" s="55">
        <v>0</v>
      </c>
      <c r="AR7579" s="55">
        <v>28500</v>
      </c>
      <c r="AS7579" s="78">
        <f t="shared" si="122"/>
        <v>0</v>
      </c>
    </row>
    <row r="7580" spans="39:45">
      <c r="AM7580" s="54">
        <v>2019</v>
      </c>
      <c r="AN7580" s="54" t="s">
        <v>192</v>
      </c>
      <c r="AO7580" s="54">
        <v>12</v>
      </c>
      <c r="AP7580" s="54">
        <v>18</v>
      </c>
      <c r="AQ7580" s="54">
        <v>0</v>
      </c>
      <c r="AR7580" s="55">
        <v>28500</v>
      </c>
      <c r="AS7580" s="78">
        <f t="shared" si="122"/>
        <v>0</v>
      </c>
    </row>
    <row r="7581" spans="39:45">
      <c r="AM7581" s="55">
        <v>2019</v>
      </c>
      <c r="AN7581" s="55" t="s">
        <v>192</v>
      </c>
      <c r="AO7581" s="55">
        <v>12</v>
      </c>
      <c r="AP7581" s="55">
        <v>19</v>
      </c>
      <c r="AQ7581" s="55">
        <v>0</v>
      </c>
      <c r="AR7581" s="55">
        <v>28500</v>
      </c>
      <c r="AS7581" s="78">
        <f t="shared" si="122"/>
        <v>0</v>
      </c>
    </row>
    <row r="7582" spans="39:45">
      <c r="AM7582" s="54">
        <v>2019</v>
      </c>
      <c r="AN7582" s="54" t="s">
        <v>192</v>
      </c>
      <c r="AO7582" s="54">
        <v>12</v>
      </c>
      <c r="AP7582" s="54">
        <v>20</v>
      </c>
      <c r="AQ7582" s="54">
        <v>0</v>
      </c>
      <c r="AR7582" s="55">
        <v>28500</v>
      </c>
      <c r="AS7582" s="78">
        <f t="shared" si="122"/>
        <v>0</v>
      </c>
    </row>
    <row r="7583" spans="39:45">
      <c r="AM7583" s="55">
        <v>2019</v>
      </c>
      <c r="AN7583" s="55" t="s">
        <v>192</v>
      </c>
      <c r="AO7583" s="55">
        <v>12</v>
      </c>
      <c r="AP7583" s="55">
        <v>21</v>
      </c>
      <c r="AQ7583" s="55">
        <v>0</v>
      </c>
      <c r="AR7583" s="55">
        <v>28500</v>
      </c>
      <c r="AS7583" s="78">
        <f t="shared" si="122"/>
        <v>0</v>
      </c>
    </row>
    <row r="7584" spans="39:45">
      <c r="AM7584" s="54">
        <v>2019</v>
      </c>
      <c r="AN7584" s="54" t="s">
        <v>192</v>
      </c>
      <c r="AO7584" s="54">
        <v>12</v>
      </c>
      <c r="AP7584" s="54">
        <v>22</v>
      </c>
      <c r="AQ7584" s="54">
        <v>0</v>
      </c>
      <c r="AR7584" s="55">
        <v>28500</v>
      </c>
      <c r="AS7584" s="78">
        <f t="shared" si="122"/>
        <v>0</v>
      </c>
    </row>
    <row r="7585" spans="39:45">
      <c r="AM7585" s="55">
        <v>2019</v>
      </c>
      <c r="AN7585" s="55" t="s">
        <v>192</v>
      </c>
      <c r="AO7585" s="55">
        <v>12</v>
      </c>
      <c r="AP7585" s="55">
        <v>23</v>
      </c>
      <c r="AQ7585" s="55">
        <v>0</v>
      </c>
      <c r="AR7585" s="55">
        <v>28500</v>
      </c>
      <c r="AS7585" s="78">
        <f t="shared" si="122"/>
        <v>0</v>
      </c>
    </row>
    <row r="7586" spans="39:45">
      <c r="AM7586" s="54">
        <v>2019</v>
      </c>
      <c r="AN7586" s="54" t="s">
        <v>192</v>
      </c>
      <c r="AO7586" s="54">
        <v>13</v>
      </c>
      <c r="AP7586" s="54">
        <v>24</v>
      </c>
      <c r="AQ7586" s="54">
        <v>0</v>
      </c>
      <c r="AR7586" s="55">
        <v>28500</v>
      </c>
      <c r="AS7586" s="78">
        <f t="shared" si="122"/>
        <v>0</v>
      </c>
    </row>
    <row r="7587" spans="39:45">
      <c r="AM7587" s="55">
        <v>2019</v>
      </c>
      <c r="AN7587" s="55" t="s">
        <v>192</v>
      </c>
      <c r="AO7587" s="55">
        <v>13</v>
      </c>
      <c r="AP7587" s="55">
        <v>1</v>
      </c>
      <c r="AQ7587" s="55">
        <v>0</v>
      </c>
      <c r="AR7587" s="55">
        <v>28500</v>
      </c>
      <c r="AS7587" s="78">
        <f t="shared" si="122"/>
        <v>0</v>
      </c>
    </row>
    <row r="7588" spans="39:45">
      <c r="AM7588" s="54">
        <v>2019</v>
      </c>
      <c r="AN7588" s="54" t="s">
        <v>192</v>
      </c>
      <c r="AO7588" s="54">
        <v>13</v>
      </c>
      <c r="AP7588" s="54">
        <v>2</v>
      </c>
      <c r="AQ7588" s="54">
        <v>0</v>
      </c>
      <c r="AR7588" s="55">
        <v>28500</v>
      </c>
      <c r="AS7588" s="78">
        <f t="shared" si="122"/>
        <v>0</v>
      </c>
    </row>
    <row r="7589" spans="39:45">
      <c r="AM7589" s="55">
        <v>2019</v>
      </c>
      <c r="AN7589" s="55" t="s">
        <v>192</v>
      </c>
      <c r="AO7589" s="55">
        <v>13</v>
      </c>
      <c r="AP7589" s="55">
        <v>3</v>
      </c>
      <c r="AQ7589" s="55">
        <v>0</v>
      </c>
      <c r="AR7589" s="55">
        <v>28500</v>
      </c>
      <c r="AS7589" s="78">
        <f t="shared" si="122"/>
        <v>0</v>
      </c>
    </row>
    <row r="7590" spans="39:45">
      <c r="AM7590" s="54">
        <v>2019</v>
      </c>
      <c r="AN7590" s="54" t="s">
        <v>192</v>
      </c>
      <c r="AO7590" s="54">
        <v>13</v>
      </c>
      <c r="AP7590" s="54">
        <v>4</v>
      </c>
      <c r="AQ7590" s="54">
        <v>0</v>
      </c>
      <c r="AR7590" s="55">
        <v>28500</v>
      </c>
      <c r="AS7590" s="78">
        <f t="shared" si="122"/>
        <v>0</v>
      </c>
    </row>
    <row r="7591" spans="39:45">
      <c r="AM7591" s="55">
        <v>2019</v>
      </c>
      <c r="AN7591" s="55" t="s">
        <v>192</v>
      </c>
      <c r="AO7591" s="55">
        <v>13</v>
      </c>
      <c r="AP7591" s="55">
        <v>5</v>
      </c>
      <c r="AQ7591" s="55">
        <v>0</v>
      </c>
      <c r="AR7591" s="55">
        <v>28500</v>
      </c>
      <c r="AS7591" s="78">
        <f t="shared" si="122"/>
        <v>0</v>
      </c>
    </row>
    <row r="7592" spans="39:45">
      <c r="AM7592" s="54">
        <v>2019</v>
      </c>
      <c r="AN7592" s="54" t="s">
        <v>192</v>
      </c>
      <c r="AO7592" s="54">
        <v>13</v>
      </c>
      <c r="AP7592" s="54">
        <v>6</v>
      </c>
      <c r="AQ7592" s="54">
        <v>0</v>
      </c>
      <c r="AR7592" s="55">
        <v>28500</v>
      </c>
      <c r="AS7592" s="78">
        <f t="shared" si="122"/>
        <v>0</v>
      </c>
    </row>
    <row r="7593" spans="39:45">
      <c r="AM7593" s="55">
        <v>2019</v>
      </c>
      <c r="AN7593" s="55" t="s">
        <v>192</v>
      </c>
      <c r="AO7593" s="55">
        <v>13</v>
      </c>
      <c r="AP7593" s="55">
        <v>7</v>
      </c>
      <c r="AQ7593" s="55">
        <v>0</v>
      </c>
      <c r="AR7593" s="55">
        <v>28500</v>
      </c>
      <c r="AS7593" s="78">
        <f t="shared" si="122"/>
        <v>0</v>
      </c>
    </row>
    <row r="7594" spans="39:45">
      <c r="AM7594" s="54">
        <v>2019</v>
      </c>
      <c r="AN7594" s="54" t="s">
        <v>192</v>
      </c>
      <c r="AO7594" s="54">
        <v>13</v>
      </c>
      <c r="AP7594" s="54">
        <v>8</v>
      </c>
      <c r="AQ7594" s="54">
        <v>9073.5</v>
      </c>
      <c r="AR7594" s="55">
        <v>28500</v>
      </c>
      <c r="AS7594" s="78">
        <f t="shared" si="122"/>
        <v>0.31836842105263158</v>
      </c>
    </row>
    <row r="7595" spans="39:45">
      <c r="AM7595" s="55">
        <v>2019</v>
      </c>
      <c r="AN7595" s="55" t="s">
        <v>192</v>
      </c>
      <c r="AO7595" s="55">
        <v>13</v>
      </c>
      <c r="AP7595" s="55">
        <v>9</v>
      </c>
      <c r="AQ7595" s="55">
        <v>21922.5</v>
      </c>
      <c r="AR7595" s="55">
        <v>28500</v>
      </c>
      <c r="AS7595" s="78">
        <f t="shared" si="122"/>
        <v>0.76921052631578946</v>
      </c>
    </row>
    <row r="7596" spans="39:45">
      <c r="AM7596" s="54">
        <v>2019</v>
      </c>
      <c r="AN7596" s="54" t="s">
        <v>192</v>
      </c>
      <c r="AO7596" s="54">
        <v>13</v>
      </c>
      <c r="AP7596" s="54">
        <v>10</v>
      </c>
      <c r="AQ7596" s="54">
        <v>27164.5</v>
      </c>
      <c r="AR7596" s="55">
        <v>28500</v>
      </c>
      <c r="AS7596" s="78">
        <f t="shared" si="122"/>
        <v>0.95314035087719295</v>
      </c>
    </row>
    <row r="7597" spans="39:45">
      <c r="AM7597" s="55">
        <v>2019</v>
      </c>
      <c r="AN7597" s="55" t="s">
        <v>192</v>
      </c>
      <c r="AO7597" s="55">
        <v>13</v>
      </c>
      <c r="AP7597" s="55">
        <v>11</v>
      </c>
      <c r="AQ7597" s="55">
        <v>32656</v>
      </c>
      <c r="AR7597" s="55">
        <v>28500</v>
      </c>
      <c r="AS7597" s="78">
        <f t="shared" si="122"/>
        <v>1.1458245614035087</v>
      </c>
    </row>
    <row r="7598" spans="39:45">
      <c r="AM7598" s="54">
        <v>2019</v>
      </c>
      <c r="AN7598" s="54" t="s">
        <v>192</v>
      </c>
      <c r="AO7598" s="54">
        <v>13</v>
      </c>
      <c r="AP7598" s="54">
        <v>12</v>
      </c>
      <c r="AQ7598" s="54">
        <v>31789.5</v>
      </c>
      <c r="AR7598" s="55">
        <v>28500</v>
      </c>
      <c r="AS7598" s="78">
        <f t="shared" si="122"/>
        <v>1.1154210526315789</v>
      </c>
    </row>
    <row r="7599" spans="39:45">
      <c r="AM7599" s="55">
        <v>2019</v>
      </c>
      <c r="AN7599" s="55" t="s">
        <v>192</v>
      </c>
      <c r="AO7599" s="55">
        <v>13</v>
      </c>
      <c r="AP7599" s="55">
        <v>13</v>
      </c>
      <c r="AQ7599" s="55">
        <v>20882</v>
      </c>
      <c r="AR7599" s="55">
        <v>28500</v>
      </c>
      <c r="AS7599" s="78">
        <f t="shared" si="122"/>
        <v>0.73270175438596497</v>
      </c>
    </row>
    <row r="7600" spans="39:45">
      <c r="AM7600" s="54">
        <v>2019</v>
      </c>
      <c r="AN7600" s="54" t="s">
        <v>192</v>
      </c>
      <c r="AO7600" s="54">
        <v>13</v>
      </c>
      <c r="AP7600" s="54">
        <v>14</v>
      </c>
      <c r="AQ7600" s="54">
        <v>22103.5</v>
      </c>
      <c r="AR7600" s="55">
        <v>28500</v>
      </c>
      <c r="AS7600" s="78">
        <f t="shared" si="122"/>
        <v>0.7755614035087719</v>
      </c>
    </row>
    <row r="7601" spans="39:45">
      <c r="AM7601" s="55">
        <v>2019</v>
      </c>
      <c r="AN7601" s="55" t="s">
        <v>192</v>
      </c>
      <c r="AO7601" s="55">
        <v>13</v>
      </c>
      <c r="AP7601" s="55">
        <v>15</v>
      </c>
      <c r="AQ7601" s="55">
        <v>2799.5</v>
      </c>
      <c r="AR7601" s="55">
        <v>28500</v>
      </c>
      <c r="AS7601" s="78">
        <f t="shared" si="122"/>
        <v>9.8228070175438595E-2</v>
      </c>
    </row>
    <row r="7602" spans="39:45">
      <c r="AM7602" s="54">
        <v>2019</v>
      </c>
      <c r="AN7602" s="54" t="s">
        <v>192</v>
      </c>
      <c r="AO7602" s="54">
        <v>13</v>
      </c>
      <c r="AP7602" s="54">
        <v>16</v>
      </c>
      <c r="AQ7602" s="54">
        <v>0</v>
      </c>
      <c r="AR7602" s="55">
        <v>28500</v>
      </c>
      <c r="AS7602" s="78">
        <f t="shared" si="122"/>
        <v>0</v>
      </c>
    </row>
    <row r="7603" spans="39:45">
      <c r="AM7603" s="55">
        <v>2019</v>
      </c>
      <c r="AN7603" s="55" t="s">
        <v>192</v>
      </c>
      <c r="AO7603" s="55">
        <v>13</v>
      </c>
      <c r="AP7603" s="55">
        <v>17</v>
      </c>
      <c r="AQ7603" s="55">
        <v>0</v>
      </c>
      <c r="AR7603" s="55">
        <v>28500</v>
      </c>
      <c r="AS7603" s="78">
        <f t="shared" si="122"/>
        <v>0</v>
      </c>
    </row>
    <row r="7604" spans="39:45">
      <c r="AM7604" s="54">
        <v>2019</v>
      </c>
      <c r="AN7604" s="54" t="s">
        <v>192</v>
      </c>
      <c r="AO7604" s="54">
        <v>13</v>
      </c>
      <c r="AP7604" s="54">
        <v>18</v>
      </c>
      <c r="AQ7604" s="54">
        <v>0</v>
      </c>
      <c r="AR7604" s="55">
        <v>28500</v>
      </c>
      <c r="AS7604" s="78">
        <f t="shared" si="122"/>
        <v>0</v>
      </c>
    </row>
    <row r="7605" spans="39:45">
      <c r="AM7605" s="55">
        <v>2019</v>
      </c>
      <c r="AN7605" s="55" t="s">
        <v>192</v>
      </c>
      <c r="AO7605" s="55">
        <v>13</v>
      </c>
      <c r="AP7605" s="55">
        <v>19</v>
      </c>
      <c r="AQ7605" s="55">
        <v>0</v>
      </c>
      <c r="AR7605" s="55">
        <v>28500</v>
      </c>
      <c r="AS7605" s="78">
        <f t="shared" si="122"/>
        <v>0</v>
      </c>
    </row>
    <row r="7606" spans="39:45">
      <c r="AM7606" s="54">
        <v>2019</v>
      </c>
      <c r="AN7606" s="54" t="s">
        <v>192</v>
      </c>
      <c r="AO7606" s="54">
        <v>13</v>
      </c>
      <c r="AP7606" s="54">
        <v>20</v>
      </c>
      <c r="AQ7606" s="54">
        <v>0</v>
      </c>
      <c r="AR7606" s="55">
        <v>28500</v>
      </c>
      <c r="AS7606" s="78">
        <f t="shared" si="122"/>
        <v>0</v>
      </c>
    </row>
    <row r="7607" spans="39:45">
      <c r="AM7607" s="55">
        <v>2019</v>
      </c>
      <c r="AN7607" s="55" t="s">
        <v>192</v>
      </c>
      <c r="AO7607" s="55">
        <v>13</v>
      </c>
      <c r="AP7607" s="55">
        <v>21</v>
      </c>
      <c r="AQ7607" s="55">
        <v>0</v>
      </c>
      <c r="AR7607" s="55">
        <v>28500</v>
      </c>
      <c r="AS7607" s="78">
        <f t="shared" si="122"/>
        <v>0</v>
      </c>
    </row>
    <row r="7608" spans="39:45">
      <c r="AM7608" s="54">
        <v>2019</v>
      </c>
      <c r="AN7608" s="54" t="s">
        <v>192</v>
      </c>
      <c r="AO7608" s="54">
        <v>13</v>
      </c>
      <c r="AP7608" s="54">
        <v>22</v>
      </c>
      <c r="AQ7608" s="54">
        <v>0</v>
      </c>
      <c r="AR7608" s="55">
        <v>28500</v>
      </c>
      <c r="AS7608" s="78">
        <f t="shared" si="122"/>
        <v>0</v>
      </c>
    </row>
    <row r="7609" spans="39:45">
      <c r="AM7609" s="55">
        <v>2019</v>
      </c>
      <c r="AN7609" s="55" t="s">
        <v>192</v>
      </c>
      <c r="AO7609" s="55">
        <v>13</v>
      </c>
      <c r="AP7609" s="55">
        <v>23</v>
      </c>
      <c r="AQ7609" s="55">
        <v>0</v>
      </c>
      <c r="AR7609" s="55">
        <v>28500</v>
      </c>
      <c r="AS7609" s="78">
        <f t="shared" si="122"/>
        <v>0</v>
      </c>
    </row>
    <row r="7610" spans="39:45">
      <c r="AM7610" s="54">
        <v>2019</v>
      </c>
      <c r="AN7610" s="54" t="s">
        <v>192</v>
      </c>
      <c r="AO7610" s="54">
        <v>14</v>
      </c>
      <c r="AP7610" s="54">
        <v>24</v>
      </c>
      <c r="AQ7610" s="54">
        <v>0</v>
      </c>
      <c r="AR7610" s="55">
        <v>28500</v>
      </c>
      <c r="AS7610" s="78">
        <f t="shared" si="122"/>
        <v>0</v>
      </c>
    </row>
    <row r="7611" spans="39:45">
      <c r="AM7611" s="55">
        <v>2019</v>
      </c>
      <c r="AN7611" s="55" t="s">
        <v>192</v>
      </c>
      <c r="AO7611" s="55">
        <v>14</v>
      </c>
      <c r="AP7611" s="55">
        <v>1</v>
      </c>
      <c r="AQ7611" s="55">
        <v>0</v>
      </c>
      <c r="AR7611" s="55">
        <v>28500</v>
      </c>
      <c r="AS7611" s="78">
        <f t="shared" si="122"/>
        <v>0</v>
      </c>
    </row>
    <row r="7612" spans="39:45">
      <c r="AM7612" s="54">
        <v>2019</v>
      </c>
      <c r="AN7612" s="54" t="s">
        <v>192</v>
      </c>
      <c r="AO7612" s="54">
        <v>14</v>
      </c>
      <c r="AP7612" s="54">
        <v>2</v>
      </c>
      <c r="AQ7612" s="54">
        <v>0</v>
      </c>
      <c r="AR7612" s="55">
        <v>28500</v>
      </c>
      <c r="AS7612" s="78">
        <f t="shared" si="122"/>
        <v>0</v>
      </c>
    </row>
    <row r="7613" spans="39:45">
      <c r="AM7613" s="55">
        <v>2019</v>
      </c>
      <c r="AN7613" s="55" t="s">
        <v>192</v>
      </c>
      <c r="AO7613" s="55">
        <v>14</v>
      </c>
      <c r="AP7613" s="55">
        <v>3</v>
      </c>
      <c r="AQ7613" s="55">
        <v>0</v>
      </c>
      <c r="AR7613" s="55">
        <v>28500</v>
      </c>
      <c r="AS7613" s="78">
        <f t="shared" si="122"/>
        <v>0</v>
      </c>
    </row>
    <row r="7614" spans="39:45">
      <c r="AM7614" s="54">
        <v>2019</v>
      </c>
      <c r="AN7614" s="54" t="s">
        <v>192</v>
      </c>
      <c r="AO7614" s="54">
        <v>14</v>
      </c>
      <c r="AP7614" s="54">
        <v>4</v>
      </c>
      <c r="AQ7614" s="54">
        <v>0</v>
      </c>
      <c r="AR7614" s="55">
        <v>28500</v>
      </c>
      <c r="AS7614" s="78">
        <f t="shared" si="122"/>
        <v>0</v>
      </c>
    </row>
    <row r="7615" spans="39:45">
      <c r="AM7615" s="55">
        <v>2019</v>
      </c>
      <c r="AN7615" s="55" t="s">
        <v>192</v>
      </c>
      <c r="AO7615" s="55">
        <v>14</v>
      </c>
      <c r="AP7615" s="55">
        <v>5</v>
      </c>
      <c r="AQ7615" s="55">
        <v>0</v>
      </c>
      <c r="AR7615" s="55">
        <v>28500</v>
      </c>
      <c r="AS7615" s="78">
        <f t="shared" si="122"/>
        <v>0</v>
      </c>
    </row>
    <row r="7616" spans="39:45">
      <c r="AM7616" s="54">
        <v>2019</v>
      </c>
      <c r="AN7616" s="54" t="s">
        <v>192</v>
      </c>
      <c r="AO7616" s="54">
        <v>14</v>
      </c>
      <c r="AP7616" s="54">
        <v>6</v>
      </c>
      <c r="AQ7616" s="54">
        <v>0</v>
      </c>
      <c r="AR7616" s="55">
        <v>28500</v>
      </c>
      <c r="AS7616" s="78">
        <f t="shared" si="122"/>
        <v>0</v>
      </c>
    </row>
    <row r="7617" spans="39:45">
      <c r="AM7617" s="55">
        <v>2019</v>
      </c>
      <c r="AN7617" s="55" t="s">
        <v>192</v>
      </c>
      <c r="AO7617" s="55">
        <v>14</v>
      </c>
      <c r="AP7617" s="55">
        <v>7</v>
      </c>
      <c r="AQ7617" s="55">
        <v>0</v>
      </c>
      <c r="AR7617" s="55">
        <v>28500</v>
      </c>
      <c r="AS7617" s="78">
        <f t="shared" si="122"/>
        <v>0</v>
      </c>
    </row>
    <row r="7618" spans="39:45">
      <c r="AM7618" s="54">
        <v>2019</v>
      </c>
      <c r="AN7618" s="54" t="s">
        <v>192</v>
      </c>
      <c r="AO7618" s="54">
        <v>14</v>
      </c>
      <c r="AP7618" s="54">
        <v>8</v>
      </c>
      <c r="AQ7618" s="54">
        <v>4443</v>
      </c>
      <c r="AR7618" s="55">
        <v>28500</v>
      </c>
      <c r="AS7618" s="78">
        <f t="shared" ref="AS7618:AS7681" si="123">AQ7618/AR7618</f>
        <v>0.15589473684210525</v>
      </c>
    </row>
    <row r="7619" spans="39:45">
      <c r="AM7619" s="55">
        <v>2019</v>
      </c>
      <c r="AN7619" s="55" t="s">
        <v>192</v>
      </c>
      <c r="AO7619" s="55">
        <v>14</v>
      </c>
      <c r="AP7619" s="55">
        <v>9</v>
      </c>
      <c r="AQ7619" s="55">
        <v>19609</v>
      </c>
      <c r="AR7619" s="55">
        <v>28500</v>
      </c>
      <c r="AS7619" s="78">
        <f t="shared" si="123"/>
        <v>0.68803508771929822</v>
      </c>
    </row>
    <row r="7620" spans="39:45">
      <c r="AM7620" s="54">
        <v>2019</v>
      </c>
      <c r="AN7620" s="54" t="s">
        <v>192</v>
      </c>
      <c r="AO7620" s="54">
        <v>14</v>
      </c>
      <c r="AP7620" s="54">
        <v>10</v>
      </c>
      <c r="AQ7620" s="54">
        <v>28296</v>
      </c>
      <c r="AR7620" s="55">
        <v>28500</v>
      </c>
      <c r="AS7620" s="78">
        <f t="shared" si="123"/>
        <v>0.99284210526315786</v>
      </c>
    </row>
    <row r="7621" spans="39:45">
      <c r="AM7621" s="55">
        <v>2019</v>
      </c>
      <c r="AN7621" s="55" t="s">
        <v>192</v>
      </c>
      <c r="AO7621" s="55">
        <v>14</v>
      </c>
      <c r="AP7621" s="55">
        <v>11</v>
      </c>
      <c r="AQ7621" s="55">
        <v>30486</v>
      </c>
      <c r="AR7621" s="55">
        <v>28500</v>
      </c>
      <c r="AS7621" s="78">
        <f t="shared" si="123"/>
        <v>1.0696842105263158</v>
      </c>
    </row>
    <row r="7622" spans="39:45">
      <c r="AM7622" s="54">
        <v>2019</v>
      </c>
      <c r="AN7622" s="54" t="s">
        <v>192</v>
      </c>
      <c r="AO7622" s="54">
        <v>14</v>
      </c>
      <c r="AP7622" s="54">
        <v>12</v>
      </c>
      <c r="AQ7622" s="54">
        <v>33934</v>
      </c>
      <c r="AR7622" s="55">
        <v>28500</v>
      </c>
      <c r="AS7622" s="78">
        <f t="shared" si="123"/>
        <v>1.1906666666666668</v>
      </c>
    </row>
    <row r="7623" spans="39:45">
      <c r="AM7623" s="55">
        <v>2019</v>
      </c>
      <c r="AN7623" s="55" t="s">
        <v>192</v>
      </c>
      <c r="AO7623" s="55">
        <v>14</v>
      </c>
      <c r="AP7623" s="55">
        <v>13</v>
      </c>
      <c r="AQ7623" s="55">
        <v>28573</v>
      </c>
      <c r="AR7623" s="55">
        <v>28500</v>
      </c>
      <c r="AS7623" s="78">
        <f t="shared" si="123"/>
        <v>1.002561403508772</v>
      </c>
    </row>
    <row r="7624" spans="39:45">
      <c r="AM7624" s="54">
        <v>2019</v>
      </c>
      <c r="AN7624" s="54" t="s">
        <v>192</v>
      </c>
      <c r="AO7624" s="54">
        <v>14</v>
      </c>
      <c r="AP7624" s="54">
        <v>14</v>
      </c>
      <c r="AQ7624" s="54">
        <v>22516.5</v>
      </c>
      <c r="AR7624" s="55">
        <v>28500</v>
      </c>
      <c r="AS7624" s="78">
        <f t="shared" si="123"/>
        <v>0.79005263157894734</v>
      </c>
    </row>
    <row r="7625" spans="39:45">
      <c r="AM7625" s="55">
        <v>2019</v>
      </c>
      <c r="AN7625" s="55" t="s">
        <v>192</v>
      </c>
      <c r="AO7625" s="55">
        <v>14</v>
      </c>
      <c r="AP7625" s="55">
        <v>15</v>
      </c>
      <c r="AQ7625" s="55">
        <v>613.5</v>
      </c>
      <c r="AR7625" s="55">
        <v>28500</v>
      </c>
      <c r="AS7625" s="78">
        <f t="shared" si="123"/>
        <v>2.1526315789473685E-2</v>
      </c>
    </row>
    <row r="7626" spans="39:45">
      <c r="AM7626" s="54">
        <v>2019</v>
      </c>
      <c r="AN7626" s="54" t="s">
        <v>192</v>
      </c>
      <c r="AO7626" s="54">
        <v>14</v>
      </c>
      <c r="AP7626" s="54">
        <v>16</v>
      </c>
      <c r="AQ7626" s="54">
        <v>0</v>
      </c>
      <c r="AR7626" s="55">
        <v>28500</v>
      </c>
      <c r="AS7626" s="78">
        <f t="shared" si="123"/>
        <v>0</v>
      </c>
    </row>
    <row r="7627" spans="39:45">
      <c r="AM7627" s="55">
        <v>2019</v>
      </c>
      <c r="AN7627" s="55" t="s">
        <v>192</v>
      </c>
      <c r="AO7627" s="55">
        <v>14</v>
      </c>
      <c r="AP7627" s="55">
        <v>17</v>
      </c>
      <c r="AQ7627" s="55">
        <v>0</v>
      </c>
      <c r="AR7627" s="55">
        <v>28500</v>
      </c>
      <c r="AS7627" s="78">
        <f t="shared" si="123"/>
        <v>0</v>
      </c>
    </row>
    <row r="7628" spans="39:45">
      <c r="AM7628" s="54">
        <v>2019</v>
      </c>
      <c r="AN7628" s="54" t="s">
        <v>192</v>
      </c>
      <c r="AO7628" s="54">
        <v>14</v>
      </c>
      <c r="AP7628" s="54">
        <v>18</v>
      </c>
      <c r="AQ7628" s="54">
        <v>0</v>
      </c>
      <c r="AR7628" s="55">
        <v>28500</v>
      </c>
      <c r="AS7628" s="78">
        <f t="shared" si="123"/>
        <v>0</v>
      </c>
    </row>
    <row r="7629" spans="39:45">
      <c r="AM7629" s="55">
        <v>2019</v>
      </c>
      <c r="AN7629" s="55" t="s">
        <v>192</v>
      </c>
      <c r="AO7629" s="55">
        <v>14</v>
      </c>
      <c r="AP7629" s="55">
        <v>19</v>
      </c>
      <c r="AQ7629" s="55">
        <v>0</v>
      </c>
      <c r="AR7629" s="55">
        <v>28500</v>
      </c>
      <c r="AS7629" s="78">
        <f t="shared" si="123"/>
        <v>0</v>
      </c>
    </row>
    <row r="7630" spans="39:45">
      <c r="AM7630" s="54">
        <v>2019</v>
      </c>
      <c r="AN7630" s="54" t="s">
        <v>192</v>
      </c>
      <c r="AO7630" s="54">
        <v>14</v>
      </c>
      <c r="AP7630" s="54">
        <v>20</v>
      </c>
      <c r="AQ7630" s="54">
        <v>0</v>
      </c>
      <c r="AR7630" s="55">
        <v>28500</v>
      </c>
      <c r="AS7630" s="78">
        <f t="shared" si="123"/>
        <v>0</v>
      </c>
    </row>
    <row r="7631" spans="39:45">
      <c r="AM7631" s="55">
        <v>2019</v>
      </c>
      <c r="AN7631" s="55" t="s">
        <v>192</v>
      </c>
      <c r="AO7631" s="55">
        <v>14</v>
      </c>
      <c r="AP7631" s="55">
        <v>21</v>
      </c>
      <c r="AQ7631" s="55">
        <v>0</v>
      </c>
      <c r="AR7631" s="55">
        <v>28500</v>
      </c>
      <c r="AS7631" s="78">
        <f t="shared" si="123"/>
        <v>0</v>
      </c>
    </row>
    <row r="7632" spans="39:45">
      <c r="AM7632" s="54">
        <v>2019</v>
      </c>
      <c r="AN7632" s="54" t="s">
        <v>192</v>
      </c>
      <c r="AO7632" s="54">
        <v>14</v>
      </c>
      <c r="AP7632" s="54">
        <v>22</v>
      </c>
      <c r="AQ7632" s="54">
        <v>0</v>
      </c>
      <c r="AR7632" s="55">
        <v>28500</v>
      </c>
      <c r="AS7632" s="78">
        <f t="shared" si="123"/>
        <v>0</v>
      </c>
    </row>
    <row r="7633" spans="39:45">
      <c r="AM7633" s="55">
        <v>2019</v>
      </c>
      <c r="AN7633" s="55" t="s">
        <v>192</v>
      </c>
      <c r="AO7633" s="55">
        <v>14</v>
      </c>
      <c r="AP7633" s="55">
        <v>23</v>
      </c>
      <c r="AQ7633" s="55">
        <v>0</v>
      </c>
      <c r="AR7633" s="55">
        <v>28500</v>
      </c>
      <c r="AS7633" s="78">
        <f t="shared" si="123"/>
        <v>0</v>
      </c>
    </row>
    <row r="7634" spans="39:45">
      <c r="AM7634" s="54">
        <v>2019</v>
      </c>
      <c r="AN7634" s="54" t="s">
        <v>192</v>
      </c>
      <c r="AO7634" s="54">
        <v>15</v>
      </c>
      <c r="AP7634" s="54">
        <v>24</v>
      </c>
      <c r="AQ7634" s="54">
        <v>0</v>
      </c>
      <c r="AR7634" s="55">
        <v>28500</v>
      </c>
      <c r="AS7634" s="78">
        <f t="shared" si="123"/>
        <v>0</v>
      </c>
    </row>
    <row r="7635" spans="39:45">
      <c r="AM7635" s="55">
        <v>2019</v>
      </c>
      <c r="AN7635" s="55" t="s">
        <v>192</v>
      </c>
      <c r="AO7635" s="55">
        <v>15</v>
      </c>
      <c r="AP7635" s="55">
        <v>1</v>
      </c>
      <c r="AQ7635" s="55">
        <v>0</v>
      </c>
      <c r="AR7635" s="55">
        <v>28500</v>
      </c>
      <c r="AS7635" s="78">
        <f t="shared" si="123"/>
        <v>0</v>
      </c>
    </row>
    <row r="7636" spans="39:45">
      <c r="AM7636" s="54">
        <v>2019</v>
      </c>
      <c r="AN7636" s="54" t="s">
        <v>192</v>
      </c>
      <c r="AO7636" s="54">
        <v>15</v>
      </c>
      <c r="AP7636" s="54">
        <v>2</v>
      </c>
      <c r="AQ7636" s="54">
        <v>0</v>
      </c>
      <c r="AR7636" s="55">
        <v>28500</v>
      </c>
      <c r="AS7636" s="78">
        <f t="shared" si="123"/>
        <v>0</v>
      </c>
    </row>
    <row r="7637" spans="39:45">
      <c r="AM7637" s="55">
        <v>2019</v>
      </c>
      <c r="AN7637" s="55" t="s">
        <v>192</v>
      </c>
      <c r="AO7637" s="55">
        <v>15</v>
      </c>
      <c r="AP7637" s="55">
        <v>3</v>
      </c>
      <c r="AQ7637" s="55">
        <v>0</v>
      </c>
      <c r="AR7637" s="55">
        <v>28500</v>
      </c>
      <c r="AS7637" s="78">
        <f t="shared" si="123"/>
        <v>0</v>
      </c>
    </row>
    <row r="7638" spans="39:45">
      <c r="AM7638" s="54">
        <v>2019</v>
      </c>
      <c r="AN7638" s="54" t="s">
        <v>192</v>
      </c>
      <c r="AO7638" s="54">
        <v>15</v>
      </c>
      <c r="AP7638" s="54">
        <v>4</v>
      </c>
      <c r="AQ7638" s="54">
        <v>0</v>
      </c>
      <c r="AR7638" s="55">
        <v>28500</v>
      </c>
      <c r="AS7638" s="78">
        <f t="shared" si="123"/>
        <v>0</v>
      </c>
    </row>
    <row r="7639" spans="39:45">
      <c r="AM7639" s="55">
        <v>2019</v>
      </c>
      <c r="AN7639" s="55" t="s">
        <v>192</v>
      </c>
      <c r="AO7639" s="55">
        <v>15</v>
      </c>
      <c r="AP7639" s="55">
        <v>5</v>
      </c>
      <c r="AQ7639" s="55">
        <v>0</v>
      </c>
      <c r="AR7639" s="55">
        <v>28500</v>
      </c>
      <c r="AS7639" s="78">
        <f t="shared" si="123"/>
        <v>0</v>
      </c>
    </row>
    <row r="7640" spans="39:45">
      <c r="AM7640" s="54">
        <v>2019</v>
      </c>
      <c r="AN7640" s="54" t="s">
        <v>192</v>
      </c>
      <c r="AO7640" s="54">
        <v>15</v>
      </c>
      <c r="AP7640" s="54">
        <v>6</v>
      </c>
      <c r="AQ7640" s="54">
        <v>0</v>
      </c>
      <c r="AR7640" s="55">
        <v>28500</v>
      </c>
      <c r="AS7640" s="78">
        <f t="shared" si="123"/>
        <v>0</v>
      </c>
    </row>
    <row r="7641" spans="39:45">
      <c r="AM7641" s="55">
        <v>2019</v>
      </c>
      <c r="AN7641" s="55" t="s">
        <v>192</v>
      </c>
      <c r="AO7641" s="55">
        <v>15</v>
      </c>
      <c r="AP7641" s="55">
        <v>7</v>
      </c>
      <c r="AQ7641" s="55">
        <v>0</v>
      </c>
      <c r="AR7641" s="55">
        <v>28500</v>
      </c>
      <c r="AS7641" s="78">
        <f t="shared" si="123"/>
        <v>0</v>
      </c>
    </row>
    <row r="7642" spans="39:45">
      <c r="AM7642" s="54">
        <v>2019</v>
      </c>
      <c r="AN7642" s="54" t="s">
        <v>192</v>
      </c>
      <c r="AO7642" s="54">
        <v>15</v>
      </c>
      <c r="AP7642" s="54">
        <v>8</v>
      </c>
      <c r="AQ7642" s="54">
        <v>402</v>
      </c>
      <c r="AR7642" s="55">
        <v>28500</v>
      </c>
      <c r="AS7642" s="78">
        <f t="shared" si="123"/>
        <v>1.4105263157894737E-2</v>
      </c>
    </row>
    <row r="7643" spans="39:45">
      <c r="AM7643" s="55">
        <v>2019</v>
      </c>
      <c r="AN7643" s="55" t="s">
        <v>192</v>
      </c>
      <c r="AO7643" s="55">
        <v>15</v>
      </c>
      <c r="AP7643" s="55">
        <v>9</v>
      </c>
      <c r="AQ7643" s="55">
        <v>1423</v>
      </c>
      <c r="AR7643" s="55">
        <v>28500</v>
      </c>
      <c r="AS7643" s="78">
        <f t="shared" si="123"/>
        <v>4.9929824561403512E-2</v>
      </c>
    </row>
    <row r="7644" spans="39:45">
      <c r="AM7644" s="54">
        <v>2019</v>
      </c>
      <c r="AN7644" s="54" t="s">
        <v>192</v>
      </c>
      <c r="AO7644" s="54">
        <v>15</v>
      </c>
      <c r="AP7644" s="54">
        <v>10</v>
      </c>
      <c r="AQ7644" s="54">
        <v>1128.5</v>
      </c>
      <c r="AR7644" s="55">
        <v>28500</v>
      </c>
      <c r="AS7644" s="78">
        <f t="shared" si="123"/>
        <v>3.9596491228070178E-2</v>
      </c>
    </row>
    <row r="7645" spans="39:45">
      <c r="AM7645" s="55">
        <v>2019</v>
      </c>
      <c r="AN7645" s="55" t="s">
        <v>192</v>
      </c>
      <c r="AO7645" s="55">
        <v>15</v>
      </c>
      <c r="AP7645" s="55">
        <v>11</v>
      </c>
      <c r="AQ7645" s="55">
        <v>6071.5</v>
      </c>
      <c r="AR7645" s="55">
        <v>28500</v>
      </c>
      <c r="AS7645" s="78">
        <f t="shared" si="123"/>
        <v>0.21303508771929824</v>
      </c>
    </row>
    <row r="7646" spans="39:45">
      <c r="AM7646" s="54">
        <v>2019</v>
      </c>
      <c r="AN7646" s="54" t="s">
        <v>192</v>
      </c>
      <c r="AO7646" s="54">
        <v>15</v>
      </c>
      <c r="AP7646" s="54">
        <v>12</v>
      </c>
      <c r="AQ7646" s="54">
        <v>6785.5</v>
      </c>
      <c r="AR7646" s="55">
        <v>28500</v>
      </c>
      <c r="AS7646" s="78">
        <f t="shared" si="123"/>
        <v>0.23808771929824563</v>
      </c>
    </row>
    <row r="7647" spans="39:45">
      <c r="AM7647" s="55">
        <v>2019</v>
      </c>
      <c r="AN7647" s="55" t="s">
        <v>192</v>
      </c>
      <c r="AO7647" s="55">
        <v>15</v>
      </c>
      <c r="AP7647" s="55">
        <v>13</v>
      </c>
      <c r="AQ7647" s="55">
        <v>1775</v>
      </c>
      <c r="AR7647" s="55">
        <v>28500</v>
      </c>
      <c r="AS7647" s="78">
        <f t="shared" si="123"/>
        <v>6.2280701754385964E-2</v>
      </c>
    </row>
    <row r="7648" spans="39:45">
      <c r="AM7648" s="54">
        <v>2019</v>
      </c>
      <c r="AN7648" s="54" t="s">
        <v>192</v>
      </c>
      <c r="AO7648" s="54">
        <v>15</v>
      </c>
      <c r="AP7648" s="54">
        <v>14</v>
      </c>
      <c r="AQ7648" s="54">
        <v>1999</v>
      </c>
      <c r="AR7648" s="55">
        <v>28500</v>
      </c>
      <c r="AS7648" s="78">
        <f t="shared" si="123"/>
        <v>7.0140350877192989E-2</v>
      </c>
    </row>
    <row r="7649" spans="39:45">
      <c r="AM7649" s="55">
        <v>2019</v>
      </c>
      <c r="AN7649" s="55" t="s">
        <v>192</v>
      </c>
      <c r="AO7649" s="55">
        <v>15</v>
      </c>
      <c r="AP7649" s="55">
        <v>15</v>
      </c>
      <c r="AQ7649" s="55">
        <v>614</v>
      </c>
      <c r="AR7649" s="55">
        <v>28500</v>
      </c>
      <c r="AS7649" s="78">
        <f t="shared" si="123"/>
        <v>2.1543859649122806E-2</v>
      </c>
    </row>
    <row r="7650" spans="39:45">
      <c r="AM7650" s="54">
        <v>2019</v>
      </c>
      <c r="AN7650" s="54" t="s">
        <v>192</v>
      </c>
      <c r="AO7650" s="54">
        <v>15</v>
      </c>
      <c r="AP7650" s="54">
        <v>16</v>
      </c>
      <c r="AQ7650" s="54">
        <v>0</v>
      </c>
      <c r="AR7650" s="55">
        <v>28500</v>
      </c>
      <c r="AS7650" s="78">
        <f t="shared" si="123"/>
        <v>0</v>
      </c>
    </row>
    <row r="7651" spans="39:45">
      <c r="AM7651" s="55">
        <v>2019</v>
      </c>
      <c r="AN7651" s="55" t="s">
        <v>192</v>
      </c>
      <c r="AO7651" s="55">
        <v>15</v>
      </c>
      <c r="AP7651" s="55">
        <v>17</v>
      </c>
      <c r="AQ7651" s="55">
        <v>0</v>
      </c>
      <c r="AR7651" s="55">
        <v>28500</v>
      </c>
      <c r="AS7651" s="78">
        <f t="shared" si="123"/>
        <v>0</v>
      </c>
    </row>
    <row r="7652" spans="39:45">
      <c r="AM7652" s="54">
        <v>2019</v>
      </c>
      <c r="AN7652" s="54" t="s">
        <v>192</v>
      </c>
      <c r="AO7652" s="54">
        <v>15</v>
      </c>
      <c r="AP7652" s="54">
        <v>18</v>
      </c>
      <c r="AQ7652" s="54">
        <v>0</v>
      </c>
      <c r="AR7652" s="55">
        <v>28500</v>
      </c>
      <c r="AS7652" s="78">
        <f t="shared" si="123"/>
        <v>0</v>
      </c>
    </row>
    <row r="7653" spans="39:45">
      <c r="AM7653" s="55">
        <v>2019</v>
      </c>
      <c r="AN7653" s="55" t="s">
        <v>192</v>
      </c>
      <c r="AO7653" s="55">
        <v>15</v>
      </c>
      <c r="AP7653" s="55">
        <v>19</v>
      </c>
      <c r="AQ7653" s="55">
        <v>0</v>
      </c>
      <c r="AR7653" s="55">
        <v>28500</v>
      </c>
      <c r="AS7653" s="78">
        <f t="shared" si="123"/>
        <v>0</v>
      </c>
    </row>
    <row r="7654" spans="39:45">
      <c r="AM7654" s="54">
        <v>2019</v>
      </c>
      <c r="AN7654" s="54" t="s">
        <v>192</v>
      </c>
      <c r="AO7654" s="54">
        <v>15</v>
      </c>
      <c r="AP7654" s="54">
        <v>20</v>
      </c>
      <c r="AQ7654" s="54">
        <v>0</v>
      </c>
      <c r="AR7654" s="55">
        <v>28500</v>
      </c>
      <c r="AS7654" s="78">
        <f t="shared" si="123"/>
        <v>0</v>
      </c>
    </row>
    <row r="7655" spans="39:45">
      <c r="AM7655" s="55">
        <v>2019</v>
      </c>
      <c r="AN7655" s="55" t="s">
        <v>192</v>
      </c>
      <c r="AO7655" s="55">
        <v>15</v>
      </c>
      <c r="AP7655" s="55">
        <v>21</v>
      </c>
      <c r="AQ7655" s="55">
        <v>0</v>
      </c>
      <c r="AR7655" s="55">
        <v>28500</v>
      </c>
      <c r="AS7655" s="78">
        <f t="shared" si="123"/>
        <v>0</v>
      </c>
    </row>
    <row r="7656" spans="39:45">
      <c r="AM7656" s="54">
        <v>2019</v>
      </c>
      <c r="AN7656" s="54" t="s">
        <v>192</v>
      </c>
      <c r="AO7656" s="54">
        <v>15</v>
      </c>
      <c r="AP7656" s="54">
        <v>22</v>
      </c>
      <c r="AQ7656" s="54">
        <v>0</v>
      </c>
      <c r="AR7656" s="55">
        <v>28500</v>
      </c>
      <c r="AS7656" s="78">
        <f t="shared" si="123"/>
        <v>0</v>
      </c>
    </row>
    <row r="7657" spans="39:45">
      <c r="AM7657" s="55">
        <v>2019</v>
      </c>
      <c r="AN7657" s="55" t="s">
        <v>192</v>
      </c>
      <c r="AO7657" s="55">
        <v>15</v>
      </c>
      <c r="AP7657" s="55">
        <v>23</v>
      </c>
      <c r="AQ7657" s="55">
        <v>0</v>
      </c>
      <c r="AR7657" s="55">
        <v>28500</v>
      </c>
      <c r="AS7657" s="78">
        <f t="shared" si="123"/>
        <v>0</v>
      </c>
    </row>
    <row r="7658" spans="39:45">
      <c r="AM7658" s="54">
        <v>2019</v>
      </c>
      <c r="AN7658" s="54" t="s">
        <v>192</v>
      </c>
      <c r="AO7658" s="54">
        <v>16</v>
      </c>
      <c r="AP7658" s="54">
        <v>24</v>
      </c>
      <c r="AQ7658" s="54">
        <v>0</v>
      </c>
      <c r="AR7658" s="55">
        <v>28500</v>
      </c>
      <c r="AS7658" s="78">
        <f t="shared" si="123"/>
        <v>0</v>
      </c>
    </row>
    <row r="7659" spans="39:45">
      <c r="AM7659" s="55">
        <v>2019</v>
      </c>
      <c r="AN7659" s="55" t="s">
        <v>192</v>
      </c>
      <c r="AO7659" s="55">
        <v>16</v>
      </c>
      <c r="AP7659" s="55">
        <v>1</v>
      </c>
      <c r="AQ7659" s="55">
        <v>0</v>
      </c>
      <c r="AR7659" s="55">
        <v>28500</v>
      </c>
      <c r="AS7659" s="78">
        <f t="shared" si="123"/>
        <v>0</v>
      </c>
    </row>
    <row r="7660" spans="39:45">
      <c r="AM7660" s="54">
        <v>2019</v>
      </c>
      <c r="AN7660" s="54" t="s">
        <v>192</v>
      </c>
      <c r="AO7660" s="54">
        <v>16</v>
      </c>
      <c r="AP7660" s="54">
        <v>2</v>
      </c>
      <c r="AQ7660" s="54">
        <v>0</v>
      </c>
      <c r="AR7660" s="55">
        <v>28500</v>
      </c>
      <c r="AS7660" s="78">
        <f t="shared" si="123"/>
        <v>0</v>
      </c>
    </row>
    <row r="7661" spans="39:45">
      <c r="AM7661" s="55">
        <v>2019</v>
      </c>
      <c r="AN7661" s="55" t="s">
        <v>192</v>
      </c>
      <c r="AO7661" s="55">
        <v>16</v>
      </c>
      <c r="AP7661" s="55">
        <v>3</v>
      </c>
      <c r="AQ7661" s="55">
        <v>0</v>
      </c>
      <c r="AR7661" s="55">
        <v>28500</v>
      </c>
      <c r="AS7661" s="78">
        <f t="shared" si="123"/>
        <v>0</v>
      </c>
    </row>
    <row r="7662" spans="39:45">
      <c r="AM7662" s="54">
        <v>2019</v>
      </c>
      <c r="AN7662" s="54" t="s">
        <v>192</v>
      </c>
      <c r="AO7662" s="54">
        <v>16</v>
      </c>
      <c r="AP7662" s="54">
        <v>4</v>
      </c>
      <c r="AQ7662" s="54">
        <v>0</v>
      </c>
      <c r="AR7662" s="55">
        <v>28500</v>
      </c>
      <c r="AS7662" s="78">
        <f t="shared" si="123"/>
        <v>0</v>
      </c>
    </row>
    <row r="7663" spans="39:45">
      <c r="AM7663" s="55">
        <v>2019</v>
      </c>
      <c r="AN7663" s="55" t="s">
        <v>192</v>
      </c>
      <c r="AO7663" s="55">
        <v>16</v>
      </c>
      <c r="AP7663" s="55">
        <v>5</v>
      </c>
      <c r="AQ7663" s="55">
        <v>0</v>
      </c>
      <c r="AR7663" s="55">
        <v>28500</v>
      </c>
      <c r="AS7663" s="78">
        <f t="shared" si="123"/>
        <v>0</v>
      </c>
    </row>
    <row r="7664" spans="39:45">
      <c r="AM7664" s="54">
        <v>2019</v>
      </c>
      <c r="AN7664" s="54" t="s">
        <v>192</v>
      </c>
      <c r="AO7664" s="54">
        <v>16</v>
      </c>
      <c r="AP7664" s="54">
        <v>6</v>
      </c>
      <c r="AQ7664" s="54">
        <v>0</v>
      </c>
      <c r="AR7664" s="55">
        <v>28500</v>
      </c>
      <c r="AS7664" s="78">
        <f t="shared" si="123"/>
        <v>0</v>
      </c>
    </row>
    <row r="7665" spans="39:45">
      <c r="AM7665" s="55">
        <v>2019</v>
      </c>
      <c r="AN7665" s="55" t="s">
        <v>192</v>
      </c>
      <c r="AO7665" s="55">
        <v>16</v>
      </c>
      <c r="AP7665" s="55">
        <v>7</v>
      </c>
      <c r="AQ7665" s="55">
        <v>0</v>
      </c>
      <c r="AR7665" s="55">
        <v>28500</v>
      </c>
      <c r="AS7665" s="78">
        <f t="shared" si="123"/>
        <v>0</v>
      </c>
    </row>
    <row r="7666" spans="39:45">
      <c r="AM7666" s="54">
        <v>2019</v>
      </c>
      <c r="AN7666" s="54" t="s">
        <v>192</v>
      </c>
      <c r="AO7666" s="54">
        <v>16</v>
      </c>
      <c r="AP7666" s="54">
        <v>8</v>
      </c>
      <c r="AQ7666" s="54">
        <v>3220</v>
      </c>
      <c r="AR7666" s="55">
        <v>28500</v>
      </c>
      <c r="AS7666" s="78">
        <f t="shared" si="123"/>
        <v>0.11298245614035088</v>
      </c>
    </row>
    <row r="7667" spans="39:45">
      <c r="AM7667" s="55">
        <v>2019</v>
      </c>
      <c r="AN7667" s="55" t="s">
        <v>192</v>
      </c>
      <c r="AO7667" s="55">
        <v>16</v>
      </c>
      <c r="AP7667" s="55">
        <v>9</v>
      </c>
      <c r="AQ7667" s="55">
        <v>6211</v>
      </c>
      <c r="AR7667" s="55">
        <v>28500</v>
      </c>
      <c r="AS7667" s="78">
        <f t="shared" si="123"/>
        <v>0.2179298245614035</v>
      </c>
    </row>
    <row r="7668" spans="39:45">
      <c r="AM7668" s="54">
        <v>2019</v>
      </c>
      <c r="AN7668" s="54" t="s">
        <v>192</v>
      </c>
      <c r="AO7668" s="54">
        <v>16</v>
      </c>
      <c r="AP7668" s="54">
        <v>10</v>
      </c>
      <c r="AQ7668" s="54">
        <v>9511.5</v>
      </c>
      <c r="AR7668" s="55">
        <v>28500</v>
      </c>
      <c r="AS7668" s="78">
        <f t="shared" si="123"/>
        <v>0.33373684210526317</v>
      </c>
    </row>
    <row r="7669" spans="39:45">
      <c r="AM7669" s="55">
        <v>2019</v>
      </c>
      <c r="AN7669" s="55" t="s">
        <v>192</v>
      </c>
      <c r="AO7669" s="55">
        <v>16</v>
      </c>
      <c r="AP7669" s="55">
        <v>11</v>
      </c>
      <c r="AQ7669" s="55">
        <v>12387</v>
      </c>
      <c r="AR7669" s="55">
        <v>28500</v>
      </c>
      <c r="AS7669" s="78">
        <f t="shared" si="123"/>
        <v>0.43463157894736842</v>
      </c>
    </row>
    <row r="7670" spans="39:45">
      <c r="AM7670" s="54">
        <v>2019</v>
      </c>
      <c r="AN7670" s="54" t="s">
        <v>192</v>
      </c>
      <c r="AO7670" s="54">
        <v>16</v>
      </c>
      <c r="AP7670" s="54">
        <v>12</v>
      </c>
      <c r="AQ7670" s="54">
        <v>13133</v>
      </c>
      <c r="AR7670" s="55">
        <v>28500</v>
      </c>
      <c r="AS7670" s="78">
        <f t="shared" si="123"/>
        <v>0.46080701754385966</v>
      </c>
    </row>
    <row r="7671" spans="39:45">
      <c r="AM7671" s="55">
        <v>2019</v>
      </c>
      <c r="AN7671" s="55" t="s">
        <v>192</v>
      </c>
      <c r="AO7671" s="55">
        <v>16</v>
      </c>
      <c r="AP7671" s="55">
        <v>13</v>
      </c>
      <c r="AQ7671" s="55">
        <v>2332</v>
      </c>
      <c r="AR7671" s="55">
        <v>28500</v>
      </c>
      <c r="AS7671" s="78">
        <f t="shared" si="123"/>
        <v>8.1824561403508772E-2</v>
      </c>
    </row>
    <row r="7672" spans="39:45">
      <c r="AM7672" s="54">
        <v>2019</v>
      </c>
      <c r="AN7672" s="54" t="s">
        <v>192</v>
      </c>
      <c r="AO7672" s="54">
        <v>16</v>
      </c>
      <c r="AP7672" s="54">
        <v>14</v>
      </c>
      <c r="AQ7672" s="54">
        <v>612.5</v>
      </c>
      <c r="AR7672" s="55">
        <v>28500</v>
      </c>
      <c r="AS7672" s="78">
        <f t="shared" si="123"/>
        <v>2.1491228070175439E-2</v>
      </c>
    </row>
    <row r="7673" spans="39:45">
      <c r="AM7673" s="55">
        <v>2019</v>
      </c>
      <c r="AN7673" s="55" t="s">
        <v>192</v>
      </c>
      <c r="AO7673" s="55">
        <v>16</v>
      </c>
      <c r="AP7673" s="55">
        <v>15</v>
      </c>
      <c r="AQ7673" s="55">
        <v>456</v>
      </c>
      <c r="AR7673" s="55">
        <v>28500</v>
      </c>
      <c r="AS7673" s="78">
        <f t="shared" si="123"/>
        <v>1.6E-2</v>
      </c>
    </row>
    <row r="7674" spans="39:45">
      <c r="AM7674" s="54">
        <v>2019</v>
      </c>
      <c r="AN7674" s="54" t="s">
        <v>192</v>
      </c>
      <c r="AO7674" s="54">
        <v>16</v>
      </c>
      <c r="AP7674" s="54">
        <v>16</v>
      </c>
      <c r="AQ7674" s="54">
        <v>0</v>
      </c>
      <c r="AR7674" s="55">
        <v>28500</v>
      </c>
      <c r="AS7674" s="78">
        <f t="shared" si="123"/>
        <v>0</v>
      </c>
    </row>
    <row r="7675" spans="39:45">
      <c r="AM7675" s="55">
        <v>2019</v>
      </c>
      <c r="AN7675" s="55" t="s">
        <v>192</v>
      </c>
      <c r="AO7675" s="55">
        <v>16</v>
      </c>
      <c r="AP7675" s="55">
        <v>17</v>
      </c>
      <c r="AQ7675" s="55">
        <v>0</v>
      </c>
      <c r="AR7675" s="55">
        <v>28500</v>
      </c>
      <c r="AS7675" s="78">
        <f t="shared" si="123"/>
        <v>0</v>
      </c>
    </row>
    <row r="7676" spans="39:45">
      <c r="AM7676" s="54">
        <v>2019</v>
      </c>
      <c r="AN7676" s="54" t="s">
        <v>192</v>
      </c>
      <c r="AO7676" s="54">
        <v>16</v>
      </c>
      <c r="AP7676" s="54">
        <v>18</v>
      </c>
      <c r="AQ7676" s="54">
        <v>0</v>
      </c>
      <c r="AR7676" s="55">
        <v>28500</v>
      </c>
      <c r="AS7676" s="78">
        <f t="shared" si="123"/>
        <v>0</v>
      </c>
    </row>
    <row r="7677" spans="39:45">
      <c r="AM7677" s="55">
        <v>2019</v>
      </c>
      <c r="AN7677" s="55" t="s">
        <v>192</v>
      </c>
      <c r="AO7677" s="55">
        <v>16</v>
      </c>
      <c r="AP7677" s="55">
        <v>19</v>
      </c>
      <c r="AQ7677" s="55">
        <v>0</v>
      </c>
      <c r="AR7677" s="55">
        <v>28500</v>
      </c>
      <c r="AS7677" s="78">
        <f t="shared" si="123"/>
        <v>0</v>
      </c>
    </row>
    <row r="7678" spans="39:45">
      <c r="AM7678" s="54">
        <v>2019</v>
      </c>
      <c r="AN7678" s="54" t="s">
        <v>192</v>
      </c>
      <c r="AO7678" s="54">
        <v>16</v>
      </c>
      <c r="AP7678" s="54">
        <v>20</v>
      </c>
      <c r="AQ7678" s="54">
        <v>0</v>
      </c>
      <c r="AR7678" s="55">
        <v>28500</v>
      </c>
      <c r="AS7678" s="78">
        <f t="shared" si="123"/>
        <v>0</v>
      </c>
    </row>
    <row r="7679" spans="39:45">
      <c r="AM7679" s="55">
        <v>2019</v>
      </c>
      <c r="AN7679" s="55" t="s">
        <v>192</v>
      </c>
      <c r="AO7679" s="55">
        <v>16</v>
      </c>
      <c r="AP7679" s="55">
        <v>21</v>
      </c>
      <c r="AQ7679" s="55">
        <v>0</v>
      </c>
      <c r="AR7679" s="55">
        <v>28500</v>
      </c>
      <c r="AS7679" s="78">
        <f t="shared" si="123"/>
        <v>0</v>
      </c>
    </row>
    <row r="7680" spans="39:45">
      <c r="AM7680" s="54">
        <v>2019</v>
      </c>
      <c r="AN7680" s="54" t="s">
        <v>192</v>
      </c>
      <c r="AO7680" s="54">
        <v>16</v>
      </c>
      <c r="AP7680" s="54">
        <v>22</v>
      </c>
      <c r="AQ7680" s="54">
        <v>0</v>
      </c>
      <c r="AR7680" s="55">
        <v>28500</v>
      </c>
      <c r="AS7680" s="78">
        <f t="shared" si="123"/>
        <v>0</v>
      </c>
    </row>
    <row r="7681" spans="39:45">
      <c r="AM7681" s="55">
        <v>2019</v>
      </c>
      <c r="AN7681" s="55" t="s">
        <v>192</v>
      </c>
      <c r="AO7681" s="55">
        <v>16</v>
      </c>
      <c r="AP7681" s="55">
        <v>23</v>
      </c>
      <c r="AQ7681" s="55">
        <v>0</v>
      </c>
      <c r="AR7681" s="55">
        <v>28500</v>
      </c>
      <c r="AS7681" s="78">
        <f t="shared" si="123"/>
        <v>0</v>
      </c>
    </row>
    <row r="7682" spans="39:45">
      <c r="AM7682" s="54">
        <v>2019</v>
      </c>
      <c r="AN7682" s="54" t="s">
        <v>192</v>
      </c>
      <c r="AO7682" s="54">
        <v>17</v>
      </c>
      <c r="AP7682" s="54">
        <v>24</v>
      </c>
      <c r="AQ7682" s="54">
        <v>0</v>
      </c>
      <c r="AR7682" s="55">
        <v>28500</v>
      </c>
      <c r="AS7682" s="78">
        <f t="shared" ref="AS7682:AS7745" si="124">AQ7682/AR7682</f>
        <v>0</v>
      </c>
    </row>
    <row r="7683" spans="39:45">
      <c r="AM7683" s="55">
        <v>2019</v>
      </c>
      <c r="AN7683" s="55" t="s">
        <v>192</v>
      </c>
      <c r="AO7683" s="55">
        <v>17</v>
      </c>
      <c r="AP7683" s="55">
        <v>1</v>
      </c>
      <c r="AQ7683" s="55">
        <v>0</v>
      </c>
      <c r="AR7683" s="55">
        <v>28500</v>
      </c>
      <c r="AS7683" s="78">
        <f t="shared" si="124"/>
        <v>0</v>
      </c>
    </row>
    <row r="7684" spans="39:45">
      <c r="AM7684" s="54">
        <v>2019</v>
      </c>
      <c r="AN7684" s="54" t="s">
        <v>192</v>
      </c>
      <c r="AO7684" s="54">
        <v>17</v>
      </c>
      <c r="AP7684" s="54">
        <v>2</v>
      </c>
      <c r="AQ7684" s="54">
        <v>0</v>
      </c>
      <c r="AR7684" s="55">
        <v>28500</v>
      </c>
      <c r="AS7684" s="78">
        <f t="shared" si="124"/>
        <v>0</v>
      </c>
    </row>
    <row r="7685" spans="39:45">
      <c r="AM7685" s="55">
        <v>2019</v>
      </c>
      <c r="AN7685" s="55" t="s">
        <v>192</v>
      </c>
      <c r="AO7685" s="55">
        <v>17</v>
      </c>
      <c r="AP7685" s="55">
        <v>3</v>
      </c>
      <c r="AQ7685" s="55">
        <v>0</v>
      </c>
      <c r="AR7685" s="55">
        <v>28500</v>
      </c>
      <c r="AS7685" s="78">
        <f t="shared" si="124"/>
        <v>0</v>
      </c>
    </row>
    <row r="7686" spans="39:45">
      <c r="AM7686" s="54">
        <v>2019</v>
      </c>
      <c r="AN7686" s="54" t="s">
        <v>192</v>
      </c>
      <c r="AO7686" s="54">
        <v>17</v>
      </c>
      <c r="AP7686" s="54">
        <v>4</v>
      </c>
      <c r="AQ7686" s="54">
        <v>0</v>
      </c>
      <c r="AR7686" s="55">
        <v>28500</v>
      </c>
      <c r="AS7686" s="78">
        <f t="shared" si="124"/>
        <v>0</v>
      </c>
    </row>
    <row r="7687" spans="39:45">
      <c r="AM7687" s="55">
        <v>2019</v>
      </c>
      <c r="AN7687" s="55" t="s">
        <v>192</v>
      </c>
      <c r="AO7687" s="55">
        <v>17</v>
      </c>
      <c r="AP7687" s="55">
        <v>5</v>
      </c>
      <c r="AQ7687" s="55">
        <v>0</v>
      </c>
      <c r="AR7687" s="55">
        <v>28500</v>
      </c>
      <c r="AS7687" s="78">
        <f t="shared" si="124"/>
        <v>0</v>
      </c>
    </row>
    <row r="7688" spans="39:45">
      <c r="AM7688" s="54">
        <v>2019</v>
      </c>
      <c r="AN7688" s="54" t="s">
        <v>192</v>
      </c>
      <c r="AO7688" s="54">
        <v>17</v>
      </c>
      <c r="AP7688" s="54">
        <v>6</v>
      </c>
      <c r="AQ7688" s="54">
        <v>0</v>
      </c>
      <c r="AR7688" s="55">
        <v>28500</v>
      </c>
      <c r="AS7688" s="78">
        <f t="shared" si="124"/>
        <v>0</v>
      </c>
    </row>
    <row r="7689" spans="39:45">
      <c r="AM7689" s="55">
        <v>2019</v>
      </c>
      <c r="AN7689" s="55" t="s">
        <v>192</v>
      </c>
      <c r="AO7689" s="55">
        <v>17</v>
      </c>
      <c r="AP7689" s="55">
        <v>7</v>
      </c>
      <c r="AQ7689" s="55">
        <v>0</v>
      </c>
      <c r="AR7689" s="55">
        <v>28500</v>
      </c>
      <c r="AS7689" s="78">
        <f t="shared" si="124"/>
        <v>0</v>
      </c>
    </row>
    <row r="7690" spans="39:45">
      <c r="AM7690" s="54">
        <v>2019</v>
      </c>
      <c r="AN7690" s="54" t="s">
        <v>192</v>
      </c>
      <c r="AO7690" s="54">
        <v>17</v>
      </c>
      <c r="AP7690" s="54">
        <v>8</v>
      </c>
      <c r="AQ7690" s="54">
        <v>1462</v>
      </c>
      <c r="AR7690" s="55">
        <v>28500</v>
      </c>
      <c r="AS7690" s="78">
        <f t="shared" si="124"/>
        <v>5.1298245614035086E-2</v>
      </c>
    </row>
    <row r="7691" spans="39:45">
      <c r="AM7691" s="55">
        <v>2019</v>
      </c>
      <c r="AN7691" s="55" t="s">
        <v>192</v>
      </c>
      <c r="AO7691" s="55">
        <v>17</v>
      </c>
      <c r="AP7691" s="55">
        <v>9</v>
      </c>
      <c r="AQ7691" s="55">
        <v>5555.5</v>
      </c>
      <c r="AR7691" s="55">
        <v>28500</v>
      </c>
      <c r="AS7691" s="78">
        <f t="shared" si="124"/>
        <v>0.19492982456140351</v>
      </c>
    </row>
    <row r="7692" spans="39:45">
      <c r="AM7692" s="54">
        <v>2019</v>
      </c>
      <c r="AN7692" s="54" t="s">
        <v>192</v>
      </c>
      <c r="AO7692" s="54">
        <v>17</v>
      </c>
      <c r="AP7692" s="54">
        <v>10</v>
      </c>
      <c r="AQ7692" s="54">
        <v>22552.5</v>
      </c>
      <c r="AR7692" s="55">
        <v>28500</v>
      </c>
      <c r="AS7692" s="78">
        <f t="shared" si="124"/>
        <v>0.79131578947368419</v>
      </c>
    </row>
    <row r="7693" spans="39:45">
      <c r="AM7693" s="55">
        <v>2019</v>
      </c>
      <c r="AN7693" s="55" t="s">
        <v>192</v>
      </c>
      <c r="AO7693" s="55">
        <v>17</v>
      </c>
      <c r="AP7693" s="55">
        <v>11</v>
      </c>
      <c r="AQ7693" s="55">
        <v>26706.5</v>
      </c>
      <c r="AR7693" s="55">
        <v>28500</v>
      </c>
      <c r="AS7693" s="78">
        <f t="shared" si="124"/>
        <v>0.9370701754385965</v>
      </c>
    </row>
    <row r="7694" spans="39:45">
      <c r="AM7694" s="54">
        <v>2019</v>
      </c>
      <c r="AN7694" s="54" t="s">
        <v>192</v>
      </c>
      <c r="AO7694" s="54">
        <v>17</v>
      </c>
      <c r="AP7694" s="54">
        <v>12</v>
      </c>
      <c r="AQ7694" s="54">
        <v>23989</v>
      </c>
      <c r="AR7694" s="55">
        <v>28500</v>
      </c>
      <c r="AS7694" s="78">
        <f t="shared" si="124"/>
        <v>0.84171929824561409</v>
      </c>
    </row>
    <row r="7695" spans="39:45">
      <c r="AM7695" s="55">
        <v>2019</v>
      </c>
      <c r="AN7695" s="55" t="s">
        <v>192</v>
      </c>
      <c r="AO7695" s="55">
        <v>17</v>
      </c>
      <c r="AP7695" s="55">
        <v>13</v>
      </c>
      <c r="AQ7695" s="55">
        <v>5521.5</v>
      </c>
      <c r="AR7695" s="55">
        <v>28500</v>
      </c>
      <c r="AS7695" s="78">
        <f t="shared" si="124"/>
        <v>0.19373684210526315</v>
      </c>
    </row>
    <row r="7696" spans="39:45">
      <c r="AM7696" s="54">
        <v>2019</v>
      </c>
      <c r="AN7696" s="54" t="s">
        <v>192</v>
      </c>
      <c r="AO7696" s="54">
        <v>17</v>
      </c>
      <c r="AP7696" s="54">
        <v>14</v>
      </c>
      <c r="AQ7696" s="54">
        <v>5001</v>
      </c>
      <c r="AR7696" s="55">
        <v>28500</v>
      </c>
      <c r="AS7696" s="78">
        <f t="shared" si="124"/>
        <v>0.17547368421052631</v>
      </c>
    </row>
    <row r="7697" spans="39:45">
      <c r="AM7697" s="55">
        <v>2019</v>
      </c>
      <c r="AN7697" s="55" t="s">
        <v>192</v>
      </c>
      <c r="AO7697" s="55">
        <v>17</v>
      </c>
      <c r="AP7697" s="55">
        <v>15</v>
      </c>
      <c r="AQ7697" s="55">
        <v>1865.5</v>
      </c>
      <c r="AR7697" s="55">
        <v>28500</v>
      </c>
      <c r="AS7697" s="78">
        <f t="shared" si="124"/>
        <v>6.5456140350877198E-2</v>
      </c>
    </row>
    <row r="7698" spans="39:45">
      <c r="AM7698" s="54">
        <v>2019</v>
      </c>
      <c r="AN7698" s="54" t="s">
        <v>192</v>
      </c>
      <c r="AO7698" s="54">
        <v>17</v>
      </c>
      <c r="AP7698" s="54">
        <v>16</v>
      </c>
      <c r="AQ7698" s="54">
        <v>0</v>
      </c>
      <c r="AR7698" s="55">
        <v>28500</v>
      </c>
      <c r="AS7698" s="78">
        <f t="shared" si="124"/>
        <v>0</v>
      </c>
    </row>
    <row r="7699" spans="39:45">
      <c r="AM7699" s="55">
        <v>2019</v>
      </c>
      <c r="AN7699" s="55" t="s">
        <v>192</v>
      </c>
      <c r="AO7699" s="55">
        <v>17</v>
      </c>
      <c r="AP7699" s="55">
        <v>17</v>
      </c>
      <c r="AQ7699" s="55">
        <v>0</v>
      </c>
      <c r="AR7699" s="55">
        <v>28500</v>
      </c>
      <c r="AS7699" s="78">
        <f t="shared" si="124"/>
        <v>0</v>
      </c>
    </row>
    <row r="7700" spans="39:45">
      <c r="AM7700" s="54">
        <v>2019</v>
      </c>
      <c r="AN7700" s="54" t="s">
        <v>192</v>
      </c>
      <c r="AO7700" s="54">
        <v>17</v>
      </c>
      <c r="AP7700" s="54">
        <v>18</v>
      </c>
      <c r="AQ7700" s="54">
        <v>0</v>
      </c>
      <c r="AR7700" s="55">
        <v>28500</v>
      </c>
      <c r="AS7700" s="78">
        <f t="shared" si="124"/>
        <v>0</v>
      </c>
    </row>
    <row r="7701" spans="39:45">
      <c r="AM7701" s="55">
        <v>2019</v>
      </c>
      <c r="AN7701" s="55" t="s">
        <v>192</v>
      </c>
      <c r="AO7701" s="55">
        <v>17</v>
      </c>
      <c r="AP7701" s="55">
        <v>19</v>
      </c>
      <c r="AQ7701" s="55">
        <v>0</v>
      </c>
      <c r="AR7701" s="55">
        <v>28500</v>
      </c>
      <c r="AS7701" s="78">
        <f t="shared" si="124"/>
        <v>0</v>
      </c>
    </row>
    <row r="7702" spans="39:45">
      <c r="AM7702" s="54">
        <v>2019</v>
      </c>
      <c r="AN7702" s="54" t="s">
        <v>192</v>
      </c>
      <c r="AO7702" s="54">
        <v>17</v>
      </c>
      <c r="AP7702" s="54">
        <v>20</v>
      </c>
      <c r="AQ7702" s="54">
        <v>0</v>
      </c>
      <c r="AR7702" s="55">
        <v>28500</v>
      </c>
      <c r="AS7702" s="78">
        <f t="shared" si="124"/>
        <v>0</v>
      </c>
    </row>
    <row r="7703" spans="39:45">
      <c r="AM7703" s="55">
        <v>2019</v>
      </c>
      <c r="AN7703" s="55" t="s">
        <v>192</v>
      </c>
      <c r="AO7703" s="55">
        <v>17</v>
      </c>
      <c r="AP7703" s="55">
        <v>21</v>
      </c>
      <c r="AQ7703" s="55">
        <v>0</v>
      </c>
      <c r="AR7703" s="55">
        <v>28500</v>
      </c>
      <c r="AS7703" s="78">
        <f t="shared" si="124"/>
        <v>0</v>
      </c>
    </row>
    <row r="7704" spans="39:45">
      <c r="AM7704" s="54">
        <v>2019</v>
      </c>
      <c r="AN7704" s="54" t="s">
        <v>192</v>
      </c>
      <c r="AO7704" s="54">
        <v>17</v>
      </c>
      <c r="AP7704" s="54">
        <v>22</v>
      </c>
      <c r="AQ7704" s="54">
        <v>0</v>
      </c>
      <c r="AR7704" s="55">
        <v>28500</v>
      </c>
      <c r="AS7704" s="78">
        <f t="shared" si="124"/>
        <v>0</v>
      </c>
    </row>
    <row r="7705" spans="39:45">
      <c r="AM7705" s="55">
        <v>2019</v>
      </c>
      <c r="AN7705" s="55" t="s">
        <v>192</v>
      </c>
      <c r="AO7705" s="55">
        <v>17</v>
      </c>
      <c r="AP7705" s="55">
        <v>23</v>
      </c>
      <c r="AQ7705" s="55">
        <v>0</v>
      </c>
      <c r="AR7705" s="55">
        <v>28500</v>
      </c>
      <c r="AS7705" s="78">
        <f t="shared" si="124"/>
        <v>0</v>
      </c>
    </row>
    <row r="7706" spans="39:45">
      <c r="AM7706" s="54">
        <v>2019</v>
      </c>
      <c r="AN7706" s="54" t="s">
        <v>192</v>
      </c>
      <c r="AO7706" s="54">
        <v>18</v>
      </c>
      <c r="AP7706" s="54">
        <v>24</v>
      </c>
      <c r="AQ7706" s="54">
        <v>0</v>
      </c>
      <c r="AR7706" s="55">
        <v>28500</v>
      </c>
      <c r="AS7706" s="78">
        <f t="shared" si="124"/>
        <v>0</v>
      </c>
    </row>
    <row r="7707" spans="39:45">
      <c r="AM7707" s="55">
        <v>2019</v>
      </c>
      <c r="AN7707" s="55" t="s">
        <v>192</v>
      </c>
      <c r="AO7707" s="55">
        <v>18</v>
      </c>
      <c r="AP7707" s="55">
        <v>1</v>
      </c>
      <c r="AQ7707" s="55">
        <v>0</v>
      </c>
      <c r="AR7707" s="55">
        <v>28500</v>
      </c>
      <c r="AS7707" s="78">
        <f t="shared" si="124"/>
        <v>0</v>
      </c>
    </row>
    <row r="7708" spans="39:45">
      <c r="AM7708" s="54">
        <v>2019</v>
      </c>
      <c r="AN7708" s="54" t="s">
        <v>192</v>
      </c>
      <c r="AO7708" s="54">
        <v>18</v>
      </c>
      <c r="AP7708" s="54">
        <v>2</v>
      </c>
      <c r="AQ7708" s="54">
        <v>0</v>
      </c>
      <c r="AR7708" s="55">
        <v>28500</v>
      </c>
      <c r="AS7708" s="78">
        <f t="shared" si="124"/>
        <v>0</v>
      </c>
    </row>
    <row r="7709" spans="39:45">
      <c r="AM7709" s="55">
        <v>2019</v>
      </c>
      <c r="AN7709" s="55" t="s">
        <v>192</v>
      </c>
      <c r="AO7709" s="55">
        <v>18</v>
      </c>
      <c r="AP7709" s="55">
        <v>3</v>
      </c>
      <c r="AQ7709" s="55">
        <v>0</v>
      </c>
      <c r="AR7709" s="55">
        <v>28500</v>
      </c>
      <c r="AS7709" s="78">
        <f t="shared" si="124"/>
        <v>0</v>
      </c>
    </row>
    <row r="7710" spans="39:45">
      <c r="AM7710" s="54">
        <v>2019</v>
      </c>
      <c r="AN7710" s="54" t="s">
        <v>192</v>
      </c>
      <c r="AO7710" s="54">
        <v>18</v>
      </c>
      <c r="AP7710" s="54">
        <v>4</v>
      </c>
      <c r="AQ7710" s="54">
        <v>0</v>
      </c>
      <c r="AR7710" s="55">
        <v>28500</v>
      </c>
      <c r="AS7710" s="78">
        <f t="shared" si="124"/>
        <v>0</v>
      </c>
    </row>
    <row r="7711" spans="39:45">
      <c r="AM7711" s="55">
        <v>2019</v>
      </c>
      <c r="AN7711" s="55" t="s">
        <v>192</v>
      </c>
      <c r="AO7711" s="55">
        <v>18</v>
      </c>
      <c r="AP7711" s="55">
        <v>5</v>
      </c>
      <c r="AQ7711" s="55">
        <v>0</v>
      </c>
      <c r="AR7711" s="55">
        <v>28500</v>
      </c>
      <c r="AS7711" s="78">
        <f t="shared" si="124"/>
        <v>0</v>
      </c>
    </row>
    <row r="7712" spans="39:45">
      <c r="AM7712" s="54">
        <v>2019</v>
      </c>
      <c r="AN7712" s="54" t="s">
        <v>192</v>
      </c>
      <c r="AO7712" s="54">
        <v>18</v>
      </c>
      <c r="AP7712" s="54">
        <v>6</v>
      </c>
      <c r="AQ7712" s="54">
        <v>0</v>
      </c>
      <c r="AR7712" s="55">
        <v>28500</v>
      </c>
      <c r="AS7712" s="78">
        <f t="shared" si="124"/>
        <v>0</v>
      </c>
    </row>
    <row r="7713" spans="39:45">
      <c r="AM7713" s="55">
        <v>2019</v>
      </c>
      <c r="AN7713" s="55" t="s">
        <v>192</v>
      </c>
      <c r="AO7713" s="55">
        <v>18</v>
      </c>
      <c r="AP7713" s="55">
        <v>7</v>
      </c>
      <c r="AQ7713" s="55">
        <v>0</v>
      </c>
      <c r="AR7713" s="55">
        <v>28500</v>
      </c>
      <c r="AS7713" s="78">
        <f t="shared" si="124"/>
        <v>0</v>
      </c>
    </row>
    <row r="7714" spans="39:45">
      <c r="AM7714" s="54">
        <v>2019</v>
      </c>
      <c r="AN7714" s="54" t="s">
        <v>192</v>
      </c>
      <c r="AO7714" s="54">
        <v>18</v>
      </c>
      <c r="AP7714" s="54">
        <v>8</v>
      </c>
      <c r="AQ7714" s="54">
        <v>3765.5</v>
      </c>
      <c r="AR7714" s="55">
        <v>28500</v>
      </c>
      <c r="AS7714" s="78">
        <f t="shared" si="124"/>
        <v>0.13212280701754386</v>
      </c>
    </row>
    <row r="7715" spans="39:45">
      <c r="AM7715" s="55">
        <v>2019</v>
      </c>
      <c r="AN7715" s="55" t="s">
        <v>192</v>
      </c>
      <c r="AO7715" s="55">
        <v>18</v>
      </c>
      <c r="AP7715" s="55">
        <v>9</v>
      </c>
      <c r="AQ7715" s="55">
        <v>1995.5</v>
      </c>
      <c r="AR7715" s="55">
        <v>28500</v>
      </c>
      <c r="AS7715" s="78">
        <f t="shared" si="124"/>
        <v>7.0017543859649117E-2</v>
      </c>
    </row>
    <row r="7716" spans="39:45">
      <c r="AM7716" s="54">
        <v>2019</v>
      </c>
      <c r="AN7716" s="54" t="s">
        <v>192</v>
      </c>
      <c r="AO7716" s="54">
        <v>18</v>
      </c>
      <c r="AP7716" s="54">
        <v>10</v>
      </c>
      <c r="AQ7716" s="54">
        <v>27036</v>
      </c>
      <c r="AR7716" s="55">
        <v>28500</v>
      </c>
      <c r="AS7716" s="78">
        <f t="shared" si="124"/>
        <v>0.94863157894736838</v>
      </c>
    </row>
    <row r="7717" spans="39:45">
      <c r="AM7717" s="55">
        <v>2019</v>
      </c>
      <c r="AN7717" s="55" t="s">
        <v>192</v>
      </c>
      <c r="AO7717" s="55">
        <v>18</v>
      </c>
      <c r="AP7717" s="55">
        <v>11</v>
      </c>
      <c r="AQ7717" s="55">
        <v>15776</v>
      </c>
      <c r="AR7717" s="55">
        <v>28500</v>
      </c>
      <c r="AS7717" s="78">
        <f t="shared" si="124"/>
        <v>0.55354385964912278</v>
      </c>
    </row>
    <row r="7718" spans="39:45">
      <c r="AM7718" s="54">
        <v>2019</v>
      </c>
      <c r="AN7718" s="54" t="s">
        <v>192</v>
      </c>
      <c r="AO7718" s="54">
        <v>18</v>
      </c>
      <c r="AP7718" s="54">
        <v>12</v>
      </c>
      <c r="AQ7718" s="54">
        <v>24588</v>
      </c>
      <c r="AR7718" s="55">
        <v>28500</v>
      </c>
      <c r="AS7718" s="78">
        <f t="shared" si="124"/>
        <v>0.86273684210526314</v>
      </c>
    </row>
    <row r="7719" spans="39:45">
      <c r="AM7719" s="55">
        <v>2019</v>
      </c>
      <c r="AN7719" s="55" t="s">
        <v>192</v>
      </c>
      <c r="AO7719" s="55">
        <v>18</v>
      </c>
      <c r="AP7719" s="55">
        <v>13</v>
      </c>
      <c r="AQ7719" s="55">
        <v>2113.5</v>
      </c>
      <c r="AR7719" s="55">
        <v>28500</v>
      </c>
      <c r="AS7719" s="78">
        <f t="shared" si="124"/>
        <v>7.4157894736842103E-2</v>
      </c>
    </row>
    <row r="7720" spans="39:45">
      <c r="AM7720" s="54">
        <v>2019</v>
      </c>
      <c r="AN7720" s="54" t="s">
        <v>192</v>
      </c>
      <c r="AO7720" s="54">
        <v>18</v>
      </c>
      <c r="AP7720" s="54">
        <v>14</v>
      </c>
      <c r="AQ7720" s="54">
        <v>4180.5</v>
      </c>
      <c r="AR7720" s="55">
        <v>28500</v>
      </c>
      <c r="AS7720" s="78">
        <f t="shared" si="124"/>
        <v>0.14668421052631578</v>
      </c>
    </row>
    <row r="7721" spans="39:45">
      <c r="AM7721" s="55">
        <v>2019</v>
      </c>
      <c r="AN7721" s="55" t="s">
        <v>192</v>
      </c>
      <c r="AO7721" s="55">
        <v>18</v>
      </c>
      <c r="AP7721" s="55">
        <v>15</v>
      </c>
      <c r="AQ7721" s="55">
        <v>1318.5</v>
      </c>
      <c r="AR7721" s="55">
        <v>28500</v>
      </c>
      <c r="AS7721" s="78">
        <f t="shared" si="124"/>
        <v>4.6263157894736839E-2</v>
      </c>
    </row>
    <row r="7722" spans="39:45">
      <c r="AM7722" s="54">
        <v>2019</v>
      </c>
      <c r="AN7722" s="54" t="s">
        <v>192</v>
      </c>
      <c r="AO7722" s="54">
        <v>18</v>
      </c>
      <c r="AP7722" s="54">
        <v>16</v>
      </c>
      <c r="AQ7722" s="54">
        <v>0</v>
      </c>
      <c r="AR7722" s="55">
        <v>28500</v>
      </c>
      <c r="AS7722" s="78">
        <f t="shared" si="124"/>
        <v>0</v>
      </c>
    </row>
    <row r="7723" spans="39:45">
      <c r="AM7723" s="55">
        <v>2019</v>
      </c>
      <c r="AN7723" s="55" t="s">
        <v>192</v>
      </c>
      <c r="AO7723" s="55">
        <v>18</v>
      </c>
      <c r="AP7723" s="55">
        <v>17</v>
      </c>
      <c r="AQ7723" s="55">
        <v>0</v>
      </c>
      <c r="AR7723" s="55">
        <v>28500</v>
      </c>
      <c r="AS7723" s="78">
        <f t="shared" si="124"/>
        <v>0</v>
      </c>
    </row>
    <row r="7724" spans="39:45">
      <c r="AM7724" s="54">
        <v>2019</v>
      </c>
      <c r="AN7724" s="54" t="s">
        <v>192</v>
      </c>
      <c r="AO7724" s="54">
        <v>18</v>
      </c>
      <c r="AP7724" s="54">
        <v>18</v>
      </c>
      <c r="AQ7724" s="54">
        <v>0</v>
      </c>
      <c r="AR7724" s="55">
        <v>28500</v>
      </c>
      <c r="AS7724" s="78">
        <f t="shared" si="124"/>
        <v>0</v>
      </c>
    </row>
    <row r="7725" spans="39:45">
      <c r="AM7725" s="55">
        <v>2019</v>
      </c>
      <c r="AN7725" s="55" t="s">
        <v>192</v>
      </c>
      <c r="AO7725" s="55">
        <v>18</v>
      </c>
      <c r="AP7725" s="55">
        <v>19</v>
      </c>
      <c r="AQ7725" s="55">
        <v>0</v>
      </c>
      <c r="AR7725" s="55">
        <v>28500</v>
      </c>
      <c r="AS7725" s="78">
        <f t="shared" si="124"/>
        <v>0</v>
      </c>
    </row>
    <row r="7726" spans="39:45">
      <c r="AM7726" s="54">
        <v>2019</v>
      </c>
      <c r="AN7726" s="54" t="s">
        <v>192</v>
      </c>
      <c r="AO7726" s="54">
        <v>18</v>
      </c>
      <c r="AP7726" s="54">
        <v>20</v>
      </c>
      <c r="AQ7726" s="54">
        <v>0</v>
      </c>
      <c r="AR7726" s="55">
        <v>28500</v>
      </c>
      <c r="AS7726" s="78">
        <f t="shared" si="124"/>
        <v>0</v>
      </c>
    </row>
    <row r="7727" spans="39:45">
      <c r="AM7727" s="55">
        <v>2019</v>
      </c>
      <c r="AN7727" s="55" t="s">
        <v>192</v>
      </c>
      <c r="AO7727" s="55">
        <v>18</v>
      </c>
      <c r="AP7727" s="55">
        <v>21</v>
      </c>
      <c r="AQ7727" s="55">
        <v>0</v>
      </c>
      <c r="AR7727" s="55">
        <v>28500</v>
      </c>
      <c r="AS7727" s="78">
        <f t="shared" si="124"/>
        <v>0</v>
      </c>
    </row>
    <row r="7728" spans="39:45">
      <c r="AM7728" s="54">
        <v>2019</v>
      </c>
      <c r="AN7728" s="54" t="s">
        <v>192</v>
      </c>
      <c r="AO7728" s="54">
        <v>18</v>
      </c>
      <c r="AP7728" s="54">
        <v>22</v>
      </c>
      <c r="AQ7728" s="54">
        <v>0</v>
      </c>
      <c r="AR7728" s="55">
        <v>28500</v>
      </c>
      <c r="AS7728" s="78">
        <f t="shared" si="124"/>
        <v>0</v>
      </c>
    </row>
    <row r="7729" spans="39:45">
      <c r="AM7729" s="55">
        <v>2019</v>
      </c>
      <c r="AN7729" s="55" t="s">
        <v>192</v>
      </c>
      <c r="AO7729" s="55">
        <v>18</v>
      </c>
      <c r="AP7729" s="55">
        <v>23</v>
      </c>
      <c r="AQ7729" s="55">
        <v>0</v>
      </c>
      <c r="AR7729" s="55">
        <v>28500</v>
      </c>
      <c r="AS7729" s="78">
        <f t="shared" si="124"/>
        <v>0</v>
      </c>
    </row>
    <row r="7730" spans="39:45">
      <c r="AM7730" s="54">
        <v>2019</v>
      </c>
      <c r="AN7730" s="54" t="s">
        <v>192</v>
      </c>
      <c r="AO7730" s="54">
        <v>19</v>
      </c>
      <c r="AP7730" s="54">
        <v>24</v>
      </c>
      <c r="AQ7730" s="54">
        <v>0</v>
      </c>
      <c r="AR7730" s="55">
        <v>28500</v>
      </c>
      <c r="AS7730" s="78">
        <f t="shared" si="124"/>
        <v>0</v>
      </c>
    </row>
    <row r="7731" spans="39:45">
      <c r="AM7731" s="55">
        <v>2019</v>
      </c>
      <c r="AN7731" s="55" t="s">
        <v>192</v>
      </c>
      <c r="AO7731" s="55">
        <v>19</v>
      </c>
      <c r="AP7731" s="55">
        <v>1</v>
      </c>
      <c r="AQ7731" s="55">
        <v>0</v>
      </c>
      <c r="AR7731" s="55">
        <v>28500</v>
      </c>
      <c r="AS7731" s="78">
        <f t="shared" si="124"/>
        <v>0</v>
      </c>
    </row>
    <row r="7732" spans="39:45">
      <c r="AM7732" s="54">
        <v>2019</v>
      </c>
      <c r="AN7732" s="54" t="s">
        <v>192</v>
      </c>
      <c r="AO7732" s="54">
        <v>19</v>
      </c>
      <c r="AP7732" s="54">
        <v>2</v>
      </c>
      <c r="AQ7732" s="54">
        <v>0</v>
      </c>
      <c r="AR7732" s="55">
        <v>28500</v>
      </c>
      <c r="AS7732" s="78">
        <f t="shared" si="124"/>
        <v>0</v>
      </c>
    </row>
    <row r="7733" spans="39:45">
      <c r="AM7733" s="55">
        <v>2019</v>
      </c>
      <c r="AN7733" s="55" t="s">
        <v>192</v>
      </c>
      <c r="AO7733" s="55">
        <v>19</v>
      </c>
      <c r="AP7733" s="55">
        <v>3</v>
      </c>
      <c r="AQ7733" s="55">
        <v>0</v>
      </c>
      <c r="AR7733" s="55">
        <v>28500</v>
      </c>
      <c r="AS7733" s="78">
        <f t="shared" si="124"/>
        <v>0</v>
      </c>
    </row>
    <row r="7734" spans="39:45">
      <c r="AM7734" s="54">
        <v>2019</v>
      </c>
      <c r="AN7734" s="54" t="s">
        <v>192</v>
      </c>
      <c r="AO7734" s="54">
        <v>19</v>
      </c>
      <c r="AP7734" s="54">
        <v>4</v>
      </c>
      <c r="AQ7734" s="54">
        <v>0</v>
      </c>
      <c r="AR7734" s="55">
        <v>28500</v>
      </c>
      <c r="AS7734" s="78">
        <f t="shared" si="124"/>
        <v>0</v>
      </c>
    </row>
    <row r="7735" spans="39:45">
      <c r="AM7735" s="55">
        <v>2019</v>
      </c>
      <c r="AN7735" s="55" t="s">
        <v>192</v>
      </c>
      <c r="AO7735" s="55">
        <v>19</v>
      </c>
      <c r="AP7735" s="55">
        <v>5</v>
      </c>
      <c r="AQ7735" s="55">
        <v>0</v>
      </c>
      <c r="AR7735" s="55">
        <v>28500</v>
      </c>
      <c r="AS7735" s="78">
        <f t="shared" si="124"/>
        <v>0</v>
      </c>
    </row>
    <row r="7736" spans="39:45">
      <c r="AM7736" s="54">
        <v>2019</v>
      </c>
      <c r="AN7736" s="54" t="s">
        <v>192</v>
      </c>
      <c r="AO7736" s="54">
        <v>19</v>
      </c>
      <c r="AP7736" s="54">
        <v>6</v>
      </c>
      <c r="AQ7736" s="54">
        <v>0</v>
      </c>
      <c r="AR7736" s="55">
        <v>28500</v>
      </c>
      <c r="AS7736" s="78">
        <f t="shared" si="124"/>
        <v>0</v>
      </c>
    </row>
    <row r="7737" spans="39:45">
      <c r="AM7737" s="55">
        <v>2019</v>
      </c>
      <c r="AN7737" s="55" t="s">
        <v>192</v>
      </c>
      <c r="AO7737" s="55">
        <v>19</v>
      </c>
      <c r="AP7737" s="55">
        <v>7</v>
      </c>
      <c r="AQ7737" s="55">
        <v>0</v>
      </c>
      <c r="AR7737" s="55">
        <v>28500</v>
      </c>
      <c r="AS7737" s="78">
        <f t="shared" si="124"/>
        <v>0</v>
      </c>
    </row>
    <row r="7738" spans="39:45">
      <c r="AM7738" s="54">
        <v>2019</v>
      </c>
      <c r="AN7738" s="54" t="s">
        <v>192</v>
      </c>
      <c r="AO7738" s="54">
        <v>19</v>
      </c>
      <c r="AP7738" s="54">
        <v>8</v>
      </c>
      <c r="AQ7738" s="54">
        <v>4091</v>
      </c>
      <c r="AR7738" s="55">
        <v>28500</v>
      </c>
      <c r="AS7738" s="78">
        <f t="shared" si="124"/>
        <v>0.14354385964912281</v>
      </c>
    </row>
    <row r="7739" spans="39:45">
      <c r="AM7739" s="55">
        <v>2019</v>
      </c>
      <c r="AN7739" s="55" t="s">
        <v>192</v>
      </c>
      <c r="AO7739" s="55">
        <v>19</v>
      </c>
      <c r="AP7739" s="55">
        <v>9</v>
      </c>
      <c r="AQ7739" s="55">
        <v>8221.5</v>
      </c>
      <c r="AR7739" s="55">
        <v>28500</v>
      </c>
      <c r="AS7739" s="78">
        <f t="shared" si="124"/>
        <v>0.28847368421052633</v>
      </c>
    </row>
    <row r="7740" spans="39:45">
      <c r="AM7740" s="54">
        <v>2019</v>
      </c>
      <c r="AN7740" s="54" t="s">
        <v>192</v>
      </c>
      <c r="AO7740" s="54">
        <v>19</v>
      </c>
      <c r="AP7740" s="54">
        <v>10</v>
      </c>
      <c r="AQ7740" s="54">
        <v>2557</v>
      </c>
      <c r="AR7740" s="55">
        <v>28500</v>
      </c>
      <c r="AS7740" s="78">
        <f t="shared" si="124"/>
        <v>8.9719298245614032E-2</v>
      </c>
    </row>
    <row r="7741" spans="39:45">
      <c r="AM7741" s="55">
        <v>2019</v>
      </c>
      <c r="AN7741" s="55" t="s">
        <v>192</v>
      </c>
      <c r="AO7741" s="55">
        <v>19</v>
      </c>
      <c r="AP7741" s="55">
        <v>11</v>
      </c>
      <c r="AQ7741" s="55">
        <v>5030</v>
      </c>
      <c r="AR7741" s="55">
        <v>28500</v>
      </c>
      <c r="AS7741" s="78">
        <f t="shared" si="124"/>
        <v>0.17649122807017545</v>
      </c>
    </row>
    <row r="7742" spans="39:45">
      <c r="AM7742" s="54">
        <v>2019</v>
      </c>
      <c r="AN7742" s="54" t="s">
        <v>192</v>
      </c>
      <c r="AO7742" s="54">
        <v>19</v>
      </c>
      <c r="AP7742" s="54">
        <v>12</v>
      </c>
      <c r="AQ7742" s="54">
        <v>10134.5</v>
      </c>
      <c r="AR7742" s="55">
        <v>28500</v>
      </c>
      <c r="AS7742" s="78">
        <f t="shared" si="124"/>
        <v>0.35559649122807019</v>
      </c>
    </row>
    <row r="7743" spans="39:45">
      <c r="AM7743" s="55">
        <v>2019</v>
      </c>
      <c r="AN7743" s="55" t="s">
        <v>192</v>
      </c>
      <c r="AO7743" s="55">
        <v>19</v>
      </c>
      <c r="AP7743" s="55">
        <v>13</v>
      </c>
      <c r="AQ7743" s="55">
        <v>8367</v>
      </c>
      <c r="AR7743" s="55">
        <v>28500</v>
      </c>
      <c r="AS7743" s="78">
        <f t="shared" si="124"/>
        <v>0.29357894736842105</v>
      </c>
    </row>
    <row r="7744" spans="39:45">
      <c r="AM7744" s="54">
        <v>2019</v>
      </c>
      <c r="AN7744" s="54" t="s">
        <v>192</v>
      </c>
      <c r="AO7744" s="54">
        <v>19</v>
      </c>
      <c r="AP7744" s="54">
        <v>14</v>
      </c>
      <c r="AQ7744" s="54">
        <v>11155</v>
      </c>
      <c r="AR7744" s="55">
        <v>28500</v>
      </c>
      <c r="AS7744" s="78">
        <f t="shared" si="124"/>
        <v>0.39140350877192981</v>
      </c>
    </row>
    <row r="7745" spans="39:45">
      <c r="AM7745" s="55">
        <v>2019</v>
      </c>
      <c r="AN7745" s="55" t="s">
        <v>192</v>
      </c>
      <c r="AO7745" s="55">
        <v>19</v>
      </c>
      <c r="AP7745" s="55">
        <v>15</v>
      </c>
      <c r="AQ7745" s="55">
        <v>2988</v>
      </c>
      <c r="AR7745" s="55">
        <v>28500</v>
      </c>
      <c r="AS7745" s="78">
        <f t="shared" si="124"/>
        <v>0.10484210526315789</v>
      </c>
    </row>
    <row r="7746" spans="39:45">
      <c r="AM7746" s="54">
        <v>2019</v>
      </c>
      <c r="AN7746" s="54" t="s">
        <v>192</v>
      </c>
      <c r="AO7746" s="54">
        <v>19</v>
      </c>
      <c r="AP7746" s="54">
        <v>16</v>
      </c>
      <c r="AQ7746" s="54">
        <v>0</v>
      </c>
      <c r="AR7746" s="55">
        <v>28500</v>
      </c>
      <c r="AS7746" s="78">
        <f t="shared" ref="AS7746:AS7809" si="125">AQ7746/AR7746</f>
        <v>0</v>
      </c>
    </row>
    <row r="7747" spans="39:45">
      <c r="AM7747" s="55">
        <v>2019</v>
      </c>
      <c r="AN7747" s="55" t="s">
        <v>192</v>
      </c>
      <c r="AO7747" s="55">
        <v>19</v>
      </c>
      <c r="AP7747" s="55">
        <v>17</v>
      </c>
      <c r="AQ7747" s="55">
        <v>0</v>
      </c>
      <c r="AR7747" s="55">
        <v>28500</v>
      </c>
      <c r="AS7747" s="78">
        <f t="shared" si="125"/>
        <v>0</v>
      </c>
    </row>
    <row r="7748" spans="39:45">
      <c r="AM7748" s="54">
        <v>2019</v>
      </c>
      <c r="AN7748" s="54" t="s">
        <v>192</v>
      </c>
      <c r="AO7748" s="54">
        <v>19</v>
      </c>
      <c r="AP7748" s="54">
        <v>18</v>
      </c>
      <c r="AQ7748" s="54">
        <v>0</v>
      </c>
      <c r="AR7748" s="55">
        <v>28500</v>
      </c>
      <c r="AS7748" s="78">
        <f t="shared" si="125"/>
        <v>0</v>
      </c>
    </row>
    <row r="7749" spans="39:45">
      <c r="AM7749" s="55">
        <v>2019</v>
      </c>
      <c r="AN7749" s="55" t="s">
        <v>192</v>
      </c>
      <c r="AO7749" s="55">
        <v>19</v>
      </c>
      <c r="AP7749" s="55">
        <v>19</v>
      </c>
      <c r="AQ7749" s="55">
        <v>0</v>
      </c>
      <c r="AR7749" s="55">
        <v>28500</v>
      </c>
      <c r="AS7749" s="78">
        <f t="shared" si="125"/>
        <v>0</v>
      </c>
    </row>
    <row r="7750" spans="39:45">
      <c r="AM7750" s="54">
        <v>2019</v>
      </c>
      <c r="AN7750" s="54" t="s">
        <v>192</v>
      </c>
      <c r="AO7750" s="54">
        <v>19</v>
      </c>
      <c r="AP7750" s="54">
        <v>20</v>
      </c>
      <c r="AQ7750" s="54">
        <v>0</v>
      </c>
      <c r="AR7750" s="55">
        <v>28500</v>
      </c>
      <c r="AS7750" s="78">
        <f t="shared" si="125"/>
        <v>0</v>
      </c>
    </row>
    <row r="7751" spans="39:45">
      <c r="AM7751" s="55">
        <v>2019</v>
      </c>
      <c r="AN7751" s="55" t="s">
        <v>192</v>
      </c>
      <c r="AO7751" s="55">
        <v>19</v>
      </c>
      <c r="AP7751" s="55">
        <v>21</v>
      </c>
      <c r="AQ7751" s="55">
        <v>0</v>
      </c>
      <c r="AR7751" s="55">
        <v>28500</v>
      </c>
      <c r="AS7751" s="78">
        <f t="shared" si="125"/>
        <v>0</v>
      </c>
    </row>
    <row r="7752" spans="39:45">
      <c r="AM7752" s="54">
        <v>2019</v>
      </c>
      <c r="AN7752" s="54" t="s">
        <v>192</v>
      </c>
      <c r="AO7752" s="54">
        <v>19</v>
      </c>
      <c r="AP7752" s="54">
        <v>22</v>
      </c>
      <c r="AQ7752" s="54">
        <v>0</v>
      </c>
      <c r="AR7752" s="55">
        <v>28500</v>
      </c>
      <c r="AS7752" s="78">
        <f t="shared" si="125"/>
        <v>0</v>
      </c>
    </row>
    <row r="7753" spans="39:45">
      <c r="AM7753" s="55">
        <v>2019</v>
      </c>
      <c r="AN7753" s="55" t="s">
        <v>192</v>
      </c>
      <c r="AO7753" s="55">
        <v>19</v>
      </c>
      <c r="AP7753" s="55">
        <v>23</v>
      </c>
      <c r="AQ7753" s="55">
        <v>0</v>
      </c>
      <c r="AR7753" s="55">
        <v>28500</v>
      </c>
      <c r="AS7753" s="78">
        <f t="shared" si="125"/>
        <v>0</v>
      </c>
    </row>
    <row r="7754" spans="39:45">
      <c r="AM7754" s="54">
        <v>2019</v>
      </c>
      <c r="AN7754" s="54" t="s">
        <v>192</v>
      </c>
      <c r="AO7754" s="54">
        <v>20</v>
      </c>
      <c r="AP7754" s="54">
        <v>24</v>
      </c>
      <c r="AQ7754" s="54">
        <v>0</v>
      </c>
      <c r="AR7754" s="55">
        <v>28500</v>
      </c>
      <c r="AS7754" s="78">
        <f t="shared" si="125"/>
        <v>0</v>
      </c>
    </row>
    <row r="7755" spans="39:45">
      <c r="AM7755" s="55">
        <v>2019</v>
      </c>
      <c r="AN7755" s="55" t="s">
        <v>192</v>
      </c>
      <c r="AO7755" s="55">
        <v>20</v>
      </c>
      <c r="AP7755" s="55">
        <v>1</v>
      </c>
      <c r="AQ7755" s="55">
        <v>0</v>
      </c>
      <c r="AR7755" s="55">
        <v>28500</v>
      </c>
      <c r="AS7755" s="78">
        <f t="shared" si="125"/>
        <v>0</v>
      </c>
    </row>
    <row r="7756" spans="39:45">
      <c r="AM7756" s="54">
        <v>2019</v>
      </c>
      <c r="AN7756" s="54" t="s">
        <v>192</v>
      </c>
      <c r="AO7756" s="54">
        <v>20</v>
      </c>
      <c r="AP7756" s="54">
        <v>2</v>
      </c>
      <c r="AQ7756" s="54">
        <v>0</v>
      </c>
      <c r="AR7756" s="55">
        <v>28500</v>
      </c>
      <c r="AS7756" s="78">
        <f t="shared" si="125"/>
        <v>0</v>
      </c>
    </row>
    <row r="7757" spans="39:45">
      <c r="AM7757" s="55">
        <v>2019</v>
      </c>
      <c r="AN7757" s="55" t="s">
        <v>192</v>
      </c>
      <c r="AO7757" s="55">
        <v>20</v>
      </c>
      <c r="AP7757" s="55">
        <v>3</v>
      </c>
      <c r="AQ7757" s="55">
        <v>0</v>
      </c>
      <c r="AR7757" s="55">
        <v>28500</v>
      </c>
      <c r="AS7757" s="78">
        <f t="shared" si="125"/>
        <v>0</v>
      </c>
    </row>
    <row r="7758" spans="39:45">
      <c r="AM7758" s="54">
        <v>2019</v>
      </c>
      <c r="AN7758" s="54" t="s">
        <v>192</v>
      </c>
      <c r="AO7758" s="54">
        <v>20</v>
      </c>
      <c r="AP7758" s="54">
        <v>4</v>
      </c>
      <c r="AQ7758" s="54">
        <v>0</v>
      </c>
      <c r="AR7758" s="55">
        <v>28500</v>
      </c>
      <c r="AS7758" s="78">
        <f t="shared" si="125"/>
        <v>0</v>
      </c>
    </row>
    <row r="7759" spans="39:45">
      <c r="AM7759" s="55">
        <v>2019</v>
      </c>
      <c r="AN7759" s="55" t="s">
        <v>192</v>
      </c>
      <c r="AO7759" s="55">
        <v>20</v>
      </c>
      <c r="AP7759" s="55">
        <v>5</v>
      </c>
      <c r="AQ7759" s="55">
        <v>0</v>
      </c>
      <c r="AR7759" s="55">
        <v>28500</v>
      </c>
      <c r="AS7759" s="78">
        <f t="shared" si="125"/>
        <v>0</v>
      </c>
    </row>
    <row r="7760" spans="39:45">
      <c r="AM7760" s="54">
        <v>2019</v>
      </c>
      <c r="AN7760" s="54" t="s">
        <v>192</v>
      </c>
      <c r="AO7760" s="54">
        <v>20</v>
      </c>
      <c r="AP7760" s="54">
        <v>6</v>
      </c>
      <c r="AQ7760" s="54">
        <v>0</v>
      </c>
      <c r="AR7760" s="55">
        <v>28500</v>
      </c>
      <c r="AS7760" s="78">
        <f t="shared" si="125"/>
        <v>0</v>
      </c>
    </row>
    <row r="7761" spans="39:45">
      <c r="AM7761" s="55">
        <v>2019</v>
      </c>
      <c r="AN7761" s="55" t="s">
        <v>192</v>
      </c>
      <c r="AO7761" s="55">
        <v>20</v>
      </c>
      <c r="AP7761" s="55">
        <v>7</v>
      </c>
      <c r="AQ7761" s="55">
        <v>0</v>
      </c>
      <c r="AR7761" s="55">
        <v>28500</v>
      </c>
      <c r="AS7761" s="78">
        <f t="shared" si="125"/>
        <v>0</v>
      </c>
    </row>
    <row r="7762" spans="39:45">
      <c r="AM7762" s="54">
        <v>2019</v>
      </c>
      <c r="AN7762" s="54" t="s">
        <v>192</v>
      </c>
      <c r="AO7762" s="54">
        <v>20</v>
      </c>
      <c r="AP7762" s="54">
        <v>8</v>
      </c>
      <c r="AQ7762" s="54">
        <v>3186.5</v>
      </c>
      <c r="AR7762" s="55">
        <v>28500</v>
      </c>
      <c r="AS7762" s="78">
        <f t="shared" si="125"/>
        <v>0.11180701754385965</v>
      </c>
    </row>
    <row r="7763" spans="39:45">
      <c r="AM7763" s="55">
        <v>2019</v>
      </c>
      <c r="AN7763" s="55" t="s">
        <v>192</v>
      </c>
      <c r="AO7763" s="55">
        <v>20</v>
      </c>
      <c r="AP7763" s="55">
        <v>9</v>
      </c>
      <c r="AQ7763" s="55">
        <v>5332</v>
      </c>
      <c r="AR7763" s="55">
        <v>28500</v>
      </c>
      <c r="AS7763" s="78">
        <f t="shared" si="125"/>
        <v>0.18708771929824561</v>
      </c>
    </row>
    <row r="7764" spans="39:45">
      <c r="AM7764" s="54">
        <v>2019</v>
      </c>
      <c r="AN7764" s="54" t="s">
        <v>192</v>
      </c>
      <c r="AO7764" s="54">
        <v>20</v>
      </c>
      <c r="AP7764" s="54">
        <v>10</v>
      </c>
      <c r="AQ7764" s="54">
        <v>17454.5</v>
      </c>
      <c r="AR7764" s="55">
        <v>28500</v>
      </c>
      <c r="AS7764" s="78">
        <f t="shared" si="125"/>
        <v>0.61243859649122812</v>
      </c>
    </row>
    <row r="7765" spans="39:45">
      <c r="AM7765" s="55">
        <v>2019</v>
      </c>
      <c r="AN7765" s="55" t="s">
        <v>192</v>
      </c>
      <c r="AO7765" s="55">
        <v>20</v>
      </c>
      <c r="AP7765" s="55">
        <v>11</v>
      </c>
      <c r="AQ7765" s="55">
        <v>21139.5</v>
      </c>
      <c r="AR7765" s="55">
        <v>28500</v>
      </c>
      <c r="AS7765" s="78">
        <f t="shared" si="125"/>
        <v>0.74173684210526314</v>
      </c>
    </row>
    <row r="7766" spans="39:45">
      <c r="AM7766" s="54">
        <v>2019</v>
      </c>
      <c r="AN7766" s="54" t="s">
        <v>192</v>
      </c>
      <c r="AO7766" s="54">
        <v>20</v>
      </c>
      <c r="AP7766" s="54">
        <v>12</v>
      </c>
      <c r="AQ7766" s="54">
        <v>22372.5</v>
      </c>
      <c r="AR7766" s="55">
        <v>28500</v>
      </c>
      <c r="AS7766" s="78">
        <f t="shared" si="125"/>
        <v>0.78500000000000003</v>
      </c>
    </row>
    <row r="7767" spans="39:45">
      <c r="AM7767" s="55">
        <v>2019</v>
      </c>
      <c r="AN7767" s="55" t="s">
        <v>192</v>
      </c>
      <c r="AO7767" s="55">
        <v>20</v>
      </c>
      <c r="AP7767" s="55">
        <v>13</v>
      </c>
      <c r="AQ7767" s="55">
        <v>14422</v>
      </c>
      <c r="AR7767" s="55">
        <v>28500</v>
      </c>
      <c r="AS7767" s="78">
        <f t="shared" si="125"/>
        <v>0.50603508771929828</v>
      </c>
    </row>
    <row r="7768" spans="39:45">
      <c r="AM7768" s="54">
        <v>2019</v>
      </c>
      <c r="AN7768" s="54" t="s">
        <v>192</v>
      </c>
      <c r="AO7768" s="54">
        <v>20</v>
      </c>
      <c r="AP7768" s="54">
        <v>14</v>
      </c>
      <c r="AQ7768" s="54">
        <v>14737</v>
      </c>
      <c r="AR7768" s="55">
        <v>28500</v>
      </c>
      <c r="AS7768" s="78">
        <f t="shared" si="125"/>
        <v>0.5170877192982456</v>
      </c>
    </row>
    <row r="7769" spans="39:45">
      <c r="AM7769" s="55">
        <v>2019</v>
      </c>
      <c r="AN7769" s="55" t="s">
        <v>192</v>
      </c>
      <c r="AO7769" s="55">
        <v>20</v>
      </c>
      <c r="AP7769" s="55">
        <v>15</v>
      </c>
      <c r="AQ7769" s="55">
        <v>4186.5</v>
      </c>
      <c r="AR7769" s="55">
        <v>28500</v>
      </c>
      <c r="AS7769" s="78">
        <f t="shared" si="125"/>
        <v>0.14689473684210527</v>
      </c>
    </row>
    <row r="7770" spans="39:45">
      <c r="AM7770" s="54">
        <v>2019</v>
      </c>
      <c r="AN7770" s="54" t="s">
        <v>192</v>
      </c>
      <c r="AO7770" s="54">
        <v>20</v>
      </c>
      <c r="AP7770" s="54">
        <v>16</v>
      </c>
      <c r="AQ7770" s="54">
        <v>0</v>
      </c>
      <c r="AR7770" s="55">
        <v>28500</v>
      </c>
      <c r="AS7770" s="78">
        <f t="shared" si="125"/>
        <v>0</v>
      </c>
    </row>
    <row r="7771" spans="39:45">
      <c r="AM7771" s="55">
        <v>2019</v>
      </c>
      <c r="AN7771" s="55" t="s">
        <v>192</v>
      </c>
      <c r="AO7771" s="55">
        <v>20</v>
      </c>
      <c r="AP7771" s="55">
        <v>17</v>
      </c>
      <c r="AQ7771" s="55">
        <v>0</v>
      </c>
      <c r="AR7771" s="55">
        <v>28500</v>
      </c>
      <c r="AS7771" s="78">
        <f t="shared" si="125"/>
        <v>0</v>
      </c>
    </row>
    <row r="7772" spans="39:45">
      <c r="AM7772" s="54">
        <v>2019</v>
      </c>
      <c r="AN7772" s="54" t="s">
        <v>192</v>
      </c>
      <c r="AO7772" s="54">
        <v>20</v>
      </c>
      <c r="AP7772" s="54">
        <v>18</v>
      </c>
      <c r="AQ7772" s="54">
        <v>0</v>
      </c>
      <c r="AR7772" s="55">
        <v>28500</v>
      </c>
      <c r="AS7772" s="78">
        <f t="shared" si="125"/>
        <v>0</v>
      </c>
    </row>
    <row r="7773" spans="39:45">
      <c r="AM7773" s="55">
        <v>2019</v>
      </c>
      <c r="AN7773" s="55" t="s">
        <v>192</v>
      </c>
      <c r="AO7773" s="55">
        <v>20</v>
      </c>
      <c r="AP7773" s="55">
        <v>19</v>
      </c>
      <c r="AQ7773" s="55">
        <v>0</v>
      </c>
      <c r="AR7773" s="55">
        <v>28500</v>
      </c>
      <c r="AS7773" s="78">
        <f t="shared" si="125"/>
        <v>0</v>
      </c>
    </row>
    <row r="7774" spans="39:45">
      <c r="AM7774" s="54">
        <v>2019</v>
      </c>
      <c r="AN7774" s="54" t="s">
        <v>192</v>
      </c>
      <c r="AO7774" s="54">
        <v>20</v>
      </c>
      <c r="AP7774" s="54">
        <v>20</v>
      </c>
      <c r="AQ7774" s="54">
        <v>0</v>
      </c>
      <c r="AR7774" s="55">
        <v>28500</v>
      </c>
      <c r="AS7774" s="78">
        <f t="shared" si="125"/>
        <v>0</v>
      </c>
    </row>
    <row r="7775" spans="39:45">
      <c r="AM7775" s="55">
        <v>2019</v>
      </c>
      <c r="AN7775" s="55" t="s">
        <v>192</v>
      </c>
      <c r="AO7775" s="55">
        <v>20</v>
      </c>
      <c r="AP7775" s="55">
        <v>21</v>
      </c>
      <c r="AQ7775" s="55">
        <v>0</v>
      </c>
      <c r="AR7775" s="55">
        <v>28500</v>
      </c>
      <c r="AS7775" s="78">
        <f t="shared" si="125"/>
        <v>0</v>
      </c>
    </row>
    <row r="7776" spans="39:45">
      <c r="AM7776" s="54">
        <v>2019</v>
      </c>
      <c r="AN7776" s="54" t="s">
        <v>192</v>
      </c>
      <c r="AO7776" s="54">
        <v>20</v>
      </c>
      <c r="AP7776" s="54">
        <v>22</v>
      </c>
      <c r="AQ7776" s="54">
        <v>0</v>
      </c>
      <c r="AR7776" s="55">
        <v>28500</v>
      </c>
      <c r="AS7776" s="78">
        <f t="shared" si="125"/>
        <v>0</v>
      </c>
    </row>
    <row r="7777" spans="39:45">
      <c r="AM7777" s="55">
        <v>2019</v>
      </c>
      <c r="AN7777" s="55" t="s">
        <v>192</v>
      </c>
      <c r="AO7777" s="55">
        <v>20</v>
      </c>
      <c r="AP7777" s="55">
        <v>23</v>
      </c>
      <c r="AQ7777" s="55">
        <v>0</v>
      </c>
      <c r="AR7777" s="55">
        <v>28500</v>
      </c>
      <c r="AS7777" s="78">
        <f t="shared" si="125"/>
        <v>0</v>
      </c>
    </row>
    <row r="7778" spans="39:45">
      <c r="AM7778" s="54">
        <v>2019</v>
      </c>
      <c r="AN7778" s="54" t="s">
        <v>192</v>
      </c>
      <c r="AO7778" s="54">
        <v>21</v>
      </c>
      <c r="AP7778" s="54">
        <v>24</v>
      </c>
      <c r="AQ7778" s="54">
        <v>0</v>
      </c>
      <c r="AR7778" s="55">
        <v>28500</v>
      </c>
      <c r="AS7778" s="78">
        <f t="shared" si="125"/>
        <v>0</v>
      </c>
    </row>
    <row r="7779" spans="39:45">
      <c r="AM7779" s="55">
        <v>2019</v>
      </c>
      <c r="AN7779" s="55" t="s">
        <v>192</v>
      </c>
      <c r="AO7779" s="55">
        <v>21</v>
      </c>
      <c r="AP7779" s="55">
        <v>1</v>
      </c>
      <c r="AQ7779" s="55">
        <v>0</v>
      </c>
      <c r="AR7779" s="55">
        <v>28500</v>
      </c>
      <c r="AS7779" s="78">
        <f t="shared" si="125"/>
        <v>0</v>
      </c>
    </row>
    <row r="7780" spans="39:45">
      <c r="AM7780" s="54">
        <v>2019</v>
      </c>
      <c r="AN7780" s="54" t="s">
        <v>192</v>
      </c>
      <c r="AO7780" s="54">
        <v>21</v>
      </c>
      <c r="AP7780" s="54">
        <v>2</v>
      </c>
      <c r="AQ7780" s="54">
        <v>0</v>
      </c>
      <c r="AR7780" s="55">
        <v>28500</v>
      </c>
      <c r="AS7780" s="78">
        <f t="shared" si="125"/>
        <v>0</v>
      </c>
    </row>
    <row r="7781" spans="39:45">
      <c r="AM7781" s="55">
        <v>2019</v>
      </c>
      <c r="AN7781" s="55" t="s">
        <v>192</v>
      </c>
      <c r="AO7781" s="55">
        <v>21</v>
      </c>
      <c r="AP7781" s="55">
        <v>3</v>
      </c>
      <c r="AQ7781" s="55">
        <v>0</v>
      </c>
      <c r="AR7781" s="55">
        <v>28500</v>
      </c>
      <c r="AS7781" s="78">
        <f t="shared" si="125"/>
        <v>0</v>
      </c>
    </row>
    <row r="7782" spans="39:45">
      <c r="AM7782" s="54">
        <v>2019</v>
      </c>
      <c r="AN7782" s="54" t="s">
        <v>192</v>
      </c>
      <c r="AO7782" s="54">
        <v>21</v>
      </c>
      <c r="AP7782" s="54">
        <v>4</v>
      </c>
      <c r="AQ7782" s="54">
        <v>0</v>
      </c>
      <c r="AR7782" s="55">
        <v>28500</v>
      </c>
      <c r="AS7782" s="78">
        <f t="shared" si="125"/>
        <v>0</v>
      </c>
    </row>
    <row r="7783" spans="39:45">
      <c r="AM7783" s="55">
        <v>2019</v>
      </c>
      <c r="AN7783" s="55" t="s">
        <v>192</v>
      </c>
      <c r="AO7783" s="55">
        <v>21</v>
      </c>
      <c r="AP7783" s="55">
        <v>5</v>
      </c>
      <c r="AQ7783" s="55">
        <v>0</v>
      </c>
      <c r="AR7783" s="55">
        <v>28500</v>
      </c>
      <c r="AS7783" s="78">
        <f t="shared" si="125"/>
        <v>0</v>
      </c>
    </row>
    <row r="7784" spans="39:45">
      <c r="AM7784" s="54">
        <v>2019</v>
      </c>
      <c r="AN7784" s="54" t="s">
        <v>192</v>
      </c>
      <c r="AO7784" s="54">
        <v>21</v>
      </c>
      <c r="AP7784" s="54">
        <v>6</v>
      </c>
      <c r="AQ7784" s="54">
        <v>0</v>
      </c>
      <c r="AR7784" s="55">
        <v>28500</v>
      </c>
      <c r="AS7784" s="78">
        <f t="shared" si="125"/>
        <v>0</v>
      </c>
    </row>
    <row r="7785" spans="39:45">
      <c r="AM7785" s="55">
        <v>2019</v>
      </c>
      <c r="AN7785" s="55" t="s">
        <v>192</v>
      </c>
      <c r="AO7785" s="55">
        <v>21</v>
      </c>
      <c r="AP7785" s="55">
        <v>7</v>
      </c>
      <c r="AQ7785" s="55">
        <v>0</v>
      </c>
      <c r="AR7785" s="55">
        <v>28500</v>
      </c>
      <c r="AS7785" s="78">
        <f t="shared" si="125"/>
        <v>0</v>
      </c>
    </row>
    <row r="7786" spans="39:45">
      <c r="AM7786" s="54">
        <v>2019</v>
      </c>
      <c r="AN7786" s="54" t="s">
        <v>192</v>
      </c>
      <c r="AO7786" s="54">
        <v>21</v>
      </c>
      <c r="AP7786" s="54">
        <v>8</v>
      </c>
      <c r="AQ7786" s="54">
        <v>1334.5</v>
      </c>
      <c r="AR7786" s="55">
        <v>28500</v>
      </c>
      <c r="AS7786" s="78">
        <f t="shared" si="125"/>
        <v>4.6824561403508769E-2</v>
      </c>
    </row>
    <row r="7787" spans="39:45">
      <c r="AM7787" s="55">
        <v>2019</v>
      </c>
      <c r="AN7787" s="55" t="s">
        <v>192</v>
      </c>
      <c r="AO7787" s="55">
        <v>21</v>
      </c>
      <c r="AP7787" s="55">
        <v>9</v>
      </c>
      <c r="AQ7787" s="55">
        <v>2352</v>
      </c>
      <c r="AR7787" s="55">
        <v>28500</v>
      </c>
      <c r="AS7787" s="78">
        <f t="shared" si="125"/>
        <v>8.2526315789473684E-2</v>
      </c>
    </row>
    <row r="7788" spans="39:45">
      <c r="AM7788" s="54">
        <v>2019</v>
      </c>
      <c r="AN7788" s="54" t="s">
        <v>192</v>
      </c>
      <c r="AO7788" s="54">
        <v>21</v>
      </c>
      <c r="AP7788" s="54">
        <v>10</v>
      </c>
      <c r="AQ7788" s="54">
        <v>4270.5</v>
      </c>
      <c r="AR7788" s="55">
        <v>28500</v>
      </c>
      <c r="AS7788" s="78">
        <f t="shared" si="125"/>
        <v>0.14984210526315789</v>
      </c>
    </row>
    <row r="7789" spans="39:45">
      <c r="AM7789" s="55">
        <v>2019</v>
      </c>
      <c r="AN7789" s="55" t="s">
        <v>192</v>
      </c>
      <c r="AO7789" s="55">
        <v>21</v>
      </c>
      <c r="AP7789" s="55">
        <v>11</v>
      </c>
      <c r="AQ7789" s="55">
        <v>2215</v>
      </c>
      <c r="AR7789" s="55">
        <v>28500</v>
      </c>
      <c r="AS7789" s="78">
        <f t="shared" si="125"/>
        <v>7.7719298245614035E-2</v>
      </c>
    </row>
    <row r="7790" spans="39:45">
      <c r="AM7790" s="54">
        <v>2019</v>
      </c>
      <c r="AN7790" s="54" t="s">
        <v>192</v>
      </c>
      <c r="AO7790" s="54">
        <v>21</v>
      </c>
      <c r="AP7790" s="54">
        <v>12</v>
      </c>
      <c r="AQ7790" s="54">
        <v>1313.5</v>
      </c>
      <c r="AR7790" s="55">
        <v>28500</v>
      </c>
      <c r="AS7790" s="78">
        <f t="shared" si="125"/>
        <v>4.6087719298245615E-2</v>
      </c>
    </row>
    <row r="7791" spans="39:45">
      <c r="AM7791" s="55">
        <v>2019</v>
      </c>
      <c r="AN7791" s="55" t="s">
        <v>192</v>
      </c>
      <c r="AO7791" s="55">
        <v>21</v>
      </c>
      <c r="AP7791" s="55">
        <v>13</v>
      </c>
      <c r="AQ7791" s="55">
        <v>1025.5</v>
      </c>
      <c r="AR7791" s="55">
        <v>28500</v>
      </c>
      <c r="AS7791" s="78">
        <f t="shared" si="125"/>
        <v>3.598245614035088E-2</v>
      </c>
    </row>
    <row r="7792" spans="39:45">
      <c r="AM7792" s="54">
        <v>2019</v>
      </c>
      <c r="AN7792" s="54" t="s">
        <v>192</v>
      </c>
      <c r="AO7792" s="54">
        <v>21</v>
      </c>
      <c r="AP7792" s="54">
        <v>14</v>
      </c>
      <c r="AQ7792" s="54">
        <v>553.5</v>
      </c>
      <c r="AR7792" s="55">
        <v>28500</v>
      </c>
      <c r="AS7792" s="78">
        <f t="shared" si="125"/>
        <v>1.9421052631578947E-2</v>
      </c>
    </row>
    <row r="7793" spans="39:45">
      <c r="AM7793" s="55">
        <v>2019</v>
      </c>
      <c r="AN7793" s="55" t="s">
        <v>192</v>
      </c>
      <c r="AO7793" s="55">
        <v>21</v>
      </c>
      <c r="AP7793" s="55">
        <v>15</v>
      </c>
      <c r="AQ7793" s="55">
        <v>1176.5</v>
      </c>
      <c r="AR7793" s="55">
        <v>28500</v>
      </c>
      <c r="AS7793" s="78">
        <f t="shared" si="125"/>
        <v>4.1280701754385966E-2</v>
      </c>
    </row>
    <row r="7794" spans="39:45">
      <c r="AM7794" s="54">
        <v>2019</v>
      </c>
      <c r="AN7794" s="54" t="s">
        <v>192</v>
      </c>
      <c r="AO7794" s="54">
        <v>21</v>
      </c>
      <c r="AP7794" s="54">
        <v>16</v>
      </c>
      <c r="AQ7794" s="54">
        <v>0</v>
      </c>
      <c r="AR7794" s="55">
        <v>28500</v>
      </c>
      <c r="AS7794" s="78">
        <f t="shared" si="125"/>
        <v>0</v>
      </c>
    </row>
    <row r="7795" spans="39:45">
      <c r="AM7795" s="55">
        <v>2019</v>
      </c>
      <c r="AN7795" s="55" t="s">
        <v>192</v>
      </c>
      <c r="AO7795" s="55">
        <v>21</v>
      </c>
      <c r="AP7795" s="55">
        <v>17</v>
      </c>
      <c r="AQ7795" s="55">
        <v>0</v>
      </c>
      <c r="AR7795" s="55">
        <v>28500</v>
      </c>
      <c r="AS7795" s="78">
        <f t="shared" si="125"/>
        <v>0</v>
      </c>
    </row>
    <row r="7796" spans="39:45">
      <c r="AM7796" s="54">
        <v>2019</v>
      </c>
      <c r="AN7796" s="54" t="s">
        <v>192</v>
      </c>
      <c r="AO7796" s="54">
        <v>21</v>
      </c>
      <c r="AP7796" s="54">
        <v>18</v>
      </c>
      <c r="AQ7796" s="54">
        <v>0</v>
      </c>
      <c r="AR7796" s="55">
        <v>28500</v>
      </c>
      <c r="AS7796" s="78">
        <f t="shared" si="125"/>
        <v>0</v>
      </c>
    </row>
    <row r="7797" spans="39:45">
      <c r="AM7797" s="55">
        <v>2019</v>
      </c>
      <c r="AN7797" s="55" t="s">
        <v>192</v>
      </c>
      <c r="AO7797" s="55">
        <v>21</v>
      </c>
      <c r="AP7797" s="55">
        <v>19</v>
      </c>
      <c r="AQ7797" s="55">
        <v>0</v>
      </c>
      <c r="AR7797" s="55">
        <v>28500</v>
      </c>
      <c r="AS7797" s="78">
        <f t="shared" si="125"/>
        <v>0</v>
      </c>
    </row>
    <row r="7798" spans="39:45">
      <c r="AM7798" s="54">
        <v>2019</v>
      </c>
      <c r="AN7798" s="54" t="s">
        <v>192</v>
      </c>
      <c r="AO7798" s="54">
        <v>21</v>
      </c>
      <c r="AP7798" s="54">
        <v>20</v>
      </c>
      <c r="AQ7798" s="54">
        <v>0</v>
      </c>
      <c r="AR7798" s="55">
        <v>28500</v>
      </c>
      <c r="AS7798" s="78">
        <f t="shared" si="125"/>
        <v>0</v>
      </c>
    </row>
    <row r="7799" spans="39:45">
      <c r="AM7799" s="55">
        <v>2019</v>
      </c>
      <c r="AN7799" s="55" t="s">
        <v>192</v>
      </c>
      <c r="AO7799" s="55">
        <v>21</v>
      </c>
      <c r="AP7799" s="55">
        <v>21</v>
      </c>
      <c r="AQ7799" s="55">
        <v>0</v>
      </c>
      <c r="AR7799" s="55">
        <v>28500</v>
      </c>
      <c r="AS7799" s="78">
        <f t="shared" si="125"/>
        <v>0</v>
      </c>
    </row>
    <row r="7800" spans="39:45">
      <c r="AM7800" s="54">
        <v>2019</v>
      </c>
      <c r="AN7800" s="54" t="s">
        <v>192</v>
      </c>
      <c r="AO7800" s="54">
        <v>21</v>
      </c>
      <c r="AP7800" s="54">
        <v>22</v>
      </c>
      <c r="AQ7800" s="54">
        <v>0</v>
      </c>
      <c r="AR7800" s="55">
        <v>28500</v>
      </c>
      <c r="AS7800" s="78">
        <f t="shared" si="125"/>
        <v>0</v>
      </c>
    </row>
    <row r="7801" spans="39:45">
      <c r="AM7801" s="55">
        <v>2019</v>
      </c>
      <c r="AN7801" s="55" t="s">
        <v>192</v>
      </c>
      <c r="AO7801" s="55">
        <v>21</v>
      </c>
      <c r="AP7801" s="55">
        <v>23</v>
      </c>
      <c r="AQ7801" s="55">
        <v>0</v>
      </c>
      <c r="AR7801" s="55">
        <v>28500</v>
      </c>
      <c r="AS7801" s="78">
        <f t="shared" si="125"/>
        <v>0</v>
      </c>
    </row>
    <row r="7802" spans="39:45">
      <c r="AM7802" s="54">
        <v>2019</v>
      </c>
      <c r="AN7802" s="54" t="s">
        <v>192</v>
      </c>
      <c r="AO7802" s="54">
        <v>22</v>
      </c>
      <c r="AP7802" s="54">
        <v>24</v>
      </c>
      <c r="AQ7802" s="54">
        <v>0</v>
      </c>
      <c r="AR7802" s="55">
        <v>28500</v>
      </c>
      <c r="AS7802" s="78">
        <f t="shared" si="125"/>
        <v>0</v>
      </c>
    </row>
    <row r="7803" spans="39:45">
      <c r="AM7803" s="55">
        <v>2019</v>
      </c>
      <c r="AN7803" s="55" t="s">
        <v>192</v>
      </c>
      <c r="AO7803" s="55">
        <v>22</v>
      </c>
      <c r="AP7803" s="55">
        <v>1</v>
      </c>
      <c r="AQ7803" s="55">
        <v>0</v>
      </c>
      <c r="AR7803" s="55">
        <v>28500</v>
      </c>
      <c r="AS7803" s="78">
        <f t="shared" si="125"/>
        <v>0</v>
      </c>
    </row>
    <row r="7804" spans="39:45">
      <c r="AM7804" s="54">
        <v>2019</v>
      </c>
      <c r="AN7804" s="54" t="s">
        <v>192</v>
      </c>
      <c r="AO7804" s="54">
        <v>22</v>
      </c>
      <c r="AP7804" s="54">
        <v>2</v>
      </c>
      <c r="AQ7804" s="54">
        <v>0</v>
      </c>
      <c r="AR7804" s="55">
        <v>28500</v>
      </c>
      <c r="AS7804" s="78">
        <f t="shared" si="125"/>
        <v>0</v>
      </c>
    </row>
    <row r="7805" spans="39:45">
      <c r="AM7805" s="55">
        <v>2019</v>
      </c>
      <c r="AN7805" s="55" t="s">
        <v>192</v>
      </c>
      <c r="AO7805" s="55">
        <v>22</v>
      </c>
      <c r="AP7805" s="55">
        <v>3</v>
      </c>
      <c r="AQ7805" s="55">
        <v>0</v>
      </c>
      <c r="AR7805" s="55">
        <v>28500</v>
      </c>
      <c r="AS7805" s="78">
        <f t="shared" si="125"/>
        <v>0</v>
      </c>
    </row>
    <row r="7806" spans="39:45">
      <c r="AM7806" s="54">
        <v>2019</v>
      </c>
      <c r="AN7806" s="54" t="s">
        <v>192</v>
      </c>
      <c r="AO7806" s="54">
        <v>22</v>
      </c>
      <c r="AP7806" s="54">
        <v>4</v>
      </c>
      <c r="AQ7806" s="54">
        <v>0</v>
      </c>
      <c r="AR7806" s="55">
        <v>28500</v>
      </c>
      <c r="AS7806" s="78">
        <f t="shared" si="125"/>
        <v>0</v>
      </c>
    </row>
    <row r="7807" spans="39:45">
      <c r="AM7807" s="55">
        <v>2019</v>
      </c>
      <c r="AN7807" s="55" t="s">
        <v>192</v>
      </c>
      <c r="AO7807" s="55">
        <v>22</v>
      </c>
      <c r="AP7807" s="55">
        <v>5</v>
      </c>
      <c r="AQ7807" s="55">
        <v>0</v>
      </c>
      <c r="AR7807" s="55">
        <v>28500</v>
      </c>
      <c r="AS7807" s="78">
        <f t="shared" si="125"/>
        <v>0</v>
      </c>
    </row>
    <row r="7808" spans="39:45">
      <c r="AM7808" s="54">
        <v>2019</v>
      </c>
      <c r="AN7808" s="54" t="s">
        <v>192</v>
      </c>
      <c r="AO7808" s="54">
        <v>22</v>
      </c>
      <c r="AP7808" s="54">
        <v>6</v>
      </c>
      <c r="AQ7808" s="54">
        <v>0</v>
      </c>
      <c r="AR7808" s="55">
        <v>28500</v>
      </c>
      <c r="AS7808" s="78">
        <f t="shared" si="125"/>
        <v>0</v>
      </c>
    </row>
    <row r="7809" spans="39:45">
      <c r="AM7809" s="55">
        <v>2019</v>
      </c>
      <c r="AN7809" s="55" t="s">
        <v>192</v>
      </c>
      <c r="AO7809" s="55">
        <v>22</v>
      </c>
      <c r="AP7809" s="55">
        <v>7</v>
      </c>
      <c r="AQ7809" s="55">
        <v>0</v>
      </c>
      <c r="AR7809" s="55">
        <v>28500</v>
      </c>
      <c r="AS7809" s="78">
        <f t="shared" si="125"/>
        <v>0</v>
      </c>
    </row>
    <row r="7810" spans="39:45">
      <c r="AM7810" s="54">
        <v>2019</v>
      </c>
      <c r="AN7810" s="54" t="s">
        <v>192</v>
      </c>
      <c r="AO7810" s="54">
        <v>22</v>
      </c>
      <c r="AP7810" s="54">
        <v>8</v>
      </c>
      <c r="AQ7810" s="54">
        <v>1879.5</v>
      </c>
      <c r="AR7810" s="55">
        <v>28500</v>
      </c>
      <c r="AS7810" s="78">
        <f t="shared" ref="AS7810:AS7873" si="126">AQ7810/AR7810</f>
        <v>6.594736842105263E-2</v>
      </c>
    </row>
    <row r="7811" spans="39:45">
      <c r="AM7811" s="55">
        <v>2019</v>
      </c>
      <c r="AN7811" s="55" t="s">
        <v>192</v>
      </c>
      <c r="AO7811" s="55">
        <v>22</v>
      </c>
      <c r="AP7811" s="55">
        <v>9</v>
      </c>
      <c r="AQ7811" s="55">
        <v>13565.5</v>
      </c>
      <c r="AR7811" s="55">
        <v>28500</v>
      </c>
      <c r="AS7811" s="78">
        <f t="shared" si="126"/>
        <v>0.4759824561403509</v>
      </c>
    </row>
    <row r="7812" spans="39:45">
      <c r="AM7812" s="54">
        <v>2019</v>
      </c>
      <c r="AN7812" s="54" t="s">
        <v>192</v>
      </c>
      <c r="AO7812" s="54">
        <v>22</v>
      </c>
      <c r="AP7812" s="54">
        <v>10</v>
      </c>
      <c r="AQ7812" s="54">
        <v>4771</v>
      </c>
      <c r="AR7812" s="55">
        <v>28500</v>
      </c>
      <c r="AS7812" s="78">
        <f t="shared" si="126"/>
        <v>0.16740350877192983</v>
      </c>
    </row>
    <row r="7813" spans="39:45">
      <c r="AM7813" s="55">
        <v>2019</v>
      </c>
      <c r="AN7813" s="55" t="s">
        <v>192</v>
      </c>
      <c r="AO7813" s="55">
        <v>22</v>
      </c>
      <c r="AP7813" s="55">
        <v>11</v>
      </c>
      <c r="AQ7813" s="55">
        <v>1435</v>
      </c>
      <c r="AR7813" s="55">
        <v>28500</v>
      </c>
      <c r="AS7813" s="78">
        <f t="shared" si="126"/>
        <v>5.0350877192982459E-2</v>
      </c>
    </row>
    <row r="7814" spans="39:45">
      <c r="AM7814" s="54">
        <v>2019</v>
      </c>
      <c r="AN7814" s="54" t="s">
        <v>192</v>
      </c>
      <c r="AO7814" s="54">
        <v>22</v>
      </c>
      <c r="AP7814" s="54">
        <v>12</v>
      </c>
      <c r="AQ7814" s="54">
        <v>1077.5</v>
      </c>
      <c r="AR7814" s="55">
        <v>28500</v>
      </c>
      <c r="AS7814" s="78">
        <f t="shared" si="126"/>
        <v>3.780701754385965E-2</v>
      </c>
    </row>
    <row r="7815" spans="39:45">
      <c r="AM7815" s="55">
        <v>2019</v>
      </c>
      <c r="AN7815" s="55" t="s">
        <v>192</v>
      </c>
      <c r="AO7815" s="55">
        <v>22</v>
      </c>
      <c r="AP7815" s="55">
        <v>13</v>
      </c>
      <c r="AQ7815" s="55">
        <v>7566.5</v>
      </c>
      <c r="AR7815" s="55">
        <v>28500</v>
      </c>
      <c r="AS7815" s="78">
        <f t="shared" si="126"/>
        <v>0.26549122807017544</v>
      </c>
    </row>
    <row r="7816" spans="39:45">
      <c r="AM7816" s="54">
        <v>2019</v>
      </c>
      <c r="AN7816" s="54" t="s">
        <v>192</v>
      </c>
      <c r="AO7816" s="54">
        <v>22</v>
      </c>
      <c r="AP7816" s="54">
        <v>14</v>
      </c>
      <c r="AQ7816" s="54">
        <v>1111.5</v>
      </c>
      <c r="AR7816" s="55">
        <v>28500</v>
      </c>
      <c r="AS7816" s="78">
        <f t="shared" si="126"/>
        <v>3.9E-2</v>
      </c>
    </row>
    <row r="7817" spans="39:45">
      <c r="AM7817" s="55">
        <v>2019</v>
      </c>
      <c r="AN7817" s="55" t="s">
        <v>192</v>
      </c>
      <c r="AO7817" s="55">
        <v>22</v>
      </c>
      <c r="AP7817" s="55">
        <v>15</v>
      </c>
      <c r="AQ7817" s="55">
        <v>1124.5</v>
      </c>
      <c r="AR7817" s="55">
        <v>28500</v>
      </c>
      <c r="AS7817" s="78">
        <f t="shared" si="126"/>
        <v>3.9456140350877196E-2</v>
      </c>
    </row>
    <row r="7818" spans="39:45">
      <c r="AM7818" s="54">
        <v>2019</v>
      </c>
      <c r="AN7818" s="54" t="s">
        <v>192</v>
      </c>
      <c r="AO7818" s="54">
        <v>22</v>
      </c>
      <c r="AP7818" s="54">
        <v>16</v>
      </c>
      <c r="AQ7818" s="54">
        <v>0</v>
      </c>
      <c r="AR7818" s="55">
        <v>28500</v>
      </c>
      <c r="AS7818" s="78">
        <f t="shared" si="126"/>
        <v>0</v>
      </c>
    </row>
    <row r="7819" spans="39:45">
      <c r="AM7819" s="55">
        <v>2019</v>
      </c>
      <c r="AN7819" s="55" t="s">
        <v>192</v>
      </c>
      <c r="AO7819" s="55">
        <v>22</v>
      </c>
      <c r="AP7819" s="55">
        <v>17</v>
      </c>
      <c r="AQ7819" s="55">
        <v>0</v>
      </c>
      <c r="AR7819" s="55">
        <v>28500</v>
      </c>
      <c r="AS7819" s="78">
        <f t="shared" si="126"/>
        <v>0</v>
      </c>
    </row>
    <row r="7820" spans="39:45">
      <c r="AM7820" s="54">
        <v>2019</v>
      </c>
      <c r="AN7820" s="54" t="s">
        <v>192</v>
      </c>
      <c r="AO7820" s="54">
        <v>22</v>
      </c>
      <c r="AP7820" s="54">
        <v>18</v>
      </c>
      <c r="AQ7820" s="54">
        <v>0</v>
      </c>
      <c r="AR7820" s="55">
        <v>28500</v>
      </c>
      <c r="AS7820" s="78">
        <f t="shared" si="126"/>
        <v>0</v>
      </c>
    </row>
    <row r="7821" spans="39:45">
      <c r="AM7821" s="55">
        <v>2019</v>
      </c>
      <c r="AN7821" s="55" t="s">
        <v>192</v>
      </c>
      <c r="AO7821" s="55">
        <v>22</v>
      </c>
      <c r="AP7821" s="55">
        <v>19</v>
      </c>
      <c r="AQ7821" s="55">
        <v>0</v>
      </c>
      <c r="AR7821" s="55">
        <v>28500</v>
      </c>
      <c r="AS7821" s="78">
        <f t="shared" si="126"/>
        <v>0</v>
      </c>
    </row>
    <row r="7822" spans="39:45">
      <c r="AM7822" s="54">
        <v>2019</v>
      </c>
      <c r="AN7822" s="54" t="s">
        <v>192</v>
      </c>
      <c r="AO7822" s="54">
        <v>22</v>
      </c>
      <c r="AP7822" s="54">
        <v>20</v>
      </c>
      <c r="AQ7822" s="54">
        <v>0</v>
      </c>
      <c r="AR7822" s="55">
        <v>28500</v>
      </c>
      <c r="AS7822" s="78">
        <f t="shared" si="126"/>
        <v>0</v>
      </c>
    </row>
    <row r="7823" spans="39:45">
      <c r="AM7823" s="55">
        <v>2019</v>
      </c>
      <c r="AN7823" s="55" t="s">
        <v>192</v>
      </c>
      <c r="AO7823" s="55">
        <v>22</v>
      </c>
      <c r="AP7823" s="55">
        <v>21</v>
      </c>
      <c r="AQ7823" s="55">
        <v>0</v>
      </c>
      <c r="AR7823" s="55">
        <v>28500</v>
      </c>
      <c r="AS7823" s="78">
        <f t="shared" si="126"/>
        <v>0</v>
      </c>
    </row>
    <row r="7824" spans="39:45">
      <c r="AM7824" s="54">
        <v>2019</v>
      </c>
      <c r="AN7824" s="54" t="s">
        <v>192</v>
      </c>
      <c r="AO7824" s="54">
        <v>22</v>
      </c>
      <c r="AP7824" s="54">
        <v>22</v>
      </c>
      <c r="AQ7824" s="54">
        <v>0</v>
      </c>
      <c r="AR7824" s="55">
        <v>28500</v>
      </c>
      <c r="AS7824" s="78">
        <f t="shared" si="126"/>
        <v>0</v>
      </c>
    </row>
    <row r="7825" spans="39:45">
      <c r="AM7825" s="55">
        <v>2019</v>
      </c>
      <c r="AN7825" s="55" t="s">
        <v>192</v>
      </c>
      <c r="AO7825" s="55">
        <v>22</v>
      </c>
      <c r="AP7825" s="55">
        <v>23</v>
      </c>
      <c r="AQ7825" s="55">
        <v>0</v>
      </c>
      <c r="AR7825" s="55">
        <v>28500</v>
      </c>
      <c r="AS7825" s="78">
        <f t="shared" si="126"/>
        <v>0</v>
      </c>
    </row>
    <row r="7826" spans="39:45">
      <c r="AM7826" s="54">
        <v>2019</v>
      </c>
      <c r="AN7826" s="54" t="s">
        <v>192</v>
      </c>
      <c r="AO7826" s="54">
        <v>23</v>
      </c>
      <c r="AP7826" s="54">
        <v>24</v>
      </c>
      <c r="AQ7826" s="54">
        <v>0</v>
      </c>
      <c r="AR7826" s="55">
        <v>28500</v>
      </c>
      <c r="AS7826" s="78">
        <f t="shared" si="126"/>
        <v>0</v>
      </c>
    </row>
    <row r="7827" spans="39:45">
      <c r="AM7827" s="55">
        <v>2019</v>
      </c>
      <c r="AN7827" s="55" t="s">
        <v>192</v>
      </c>
      <c r="AO7827" s="55">
        <v>23</v>
      </c>
      <c r="AP7827" s="55">
        <v>1</v>
      </c>
      <c r="AQ7827" s="55">
        <v>0</v>
      </c>
      <c r="AR7827" s="55">
        <v>28500</v>
      </c>
      <c r="AS7827" s="78">
        <f t="shared" si="126"/>
        <v>0</v>
      </c>
    </row>
    <row r="7828" spans="39:45">
      <c r="AM7828" s="54">
        <v>2019</v>
      </c>
      <c r="AN7828" s="54" t="s">
        <v>192</v>
      </c>
      <c r="AO7828" s="54">
        <v>23</v>
      </c>
      <c r="AP7828" s="54">
        <v>2</v>
      </c>
      <c r="AQ7828" s="54">
        <v>0</v>
      </c>
      <c r="AR7828" s="55">
        <v>28500</v>
      </c>
      <c r="AS7828" s="78">
        <f t="shared" si="126"/>
        <v>0</v>
      </c>
    </row>
    <row r="7829" spans="39:45">
      <c r="AM7829" s="55">
        <v>2019</v>
      </c>
      <c r="AN7829" s="55" t="s">
        <v>192</v>
      </c>
      <c r="AO7829" s="55">
        <v>23</v>
      </c>
      <c r="AP7829" s="55">
        <v>3</v>
      </c>
      <c r="AQ7829" s="55">
        <v>0</v>
      </c>
      <c r="AR7829" s="55">
        <v>28500</v>
      </c>
      <c r="AS7829" s="78">
        <f t="shared" si="126"/>
        <v>0</v>
      </c>
    </row>
    <row r="7830" spans="39:45">
      <c r="AM7830" s="54">
        <v>2019</v>
      </c>
      <c r="AN7830" s="54" t="s">
        <v>192</v>
      </c>
      <c r="AO7830" s="54">
        <v>23</v>
      </c>
      <c r="AP7830" s="54">
        <v>4</v>
      </c>
      <c r="AQ7830" s="54">
        <v>0</v>
      </c>
      <c r="AR7830" s="55">
        <v>28500</v>
      </c>
      <c r="AS7830" s="78">
        <f t="shared" si="126"/>
        <v>0</v>
      </c>
    </row>
    <row r="7831" spans="39:45">
      <c r="AM7831" s="55">
        <v>2019</v>
      </c>
      <c r="AN7831" s="55" t="s">
        <v>192</v>
      </c>
      <c r="AO7831" s="55">
        <v>23</v>
      </c>
      <c r="AP7831" s="55">
        <v>5</v>
      </c>
      <c r="AQ7831" s="55">
        <v>0</v>
      </c>
      <c r="AR7831" s="55">
        <v>28500</v>
      </c>
      <c r="AS7831" s="78">
        <f t="shared" si="126"/>
        <v>0</v>
      </c>
    </row>
    <row r="7832" spans="39:45">
      <c r="AM7832" s="54">
        <v>2019</v>
      </c>
      <c r="AN7832" s="54" t="s">
        <v>192</v>
      </c>
      <c r="AO7832" s="54">
        <v>23</v>
      </c>
      <c r="AP7832" s="54">
        <v>6</v>
      </c>
      <c r="AQ7832" s="54">
        <v>0</v>
      </c>
      <c r="AR7832" s="55">
        <v>28500</v>
      </c>
      <c r="AS7832" s="78">
        <f t="shared" si="126"/>
        <v>0</v>
      </c>
    </row>
    <row r="7833" spans="39:45">
      <c r="AM7833" s="55">
        <v>2019</v>
      </c>
      <c r="AN7833" s="55" t="s">
        <v>192</v>
      </c>
      <c r="AO7833" s="55">
        <v>23</v>
      </c>
      <c r="AP7833" s="55">
        <v>7</v>
      </c>
      <c r="AQ7833" s="55">
        <v>0</v>
      </c>
      <c r="AR7833" s="55">
        <v>28500</v>
      </c>
      <c r="AS7833" s="78">
        <f t="shared" si="126"/>
        <v>0</v>
      </c>
    </row>
    <row r="7834" spans="39:45">
      <c r="AM7834" s="54">
        <v>2019</v>
      </c>
      <c r="AN7834" s="54" t="s">
        <v>192</v>
      </c>
      <c r="AO7834" s="54">
        <v>23</v>
      </c>
      <c r="AP7834" s="54">
        <v>8</v>
      </c>
      <c r="AQ7834" s="54">
        <v>542</v>
      </c>
      <c r="AR7834" s="55">
        <v>28500</v>
      </c>
      <c r="AS7834" s="78">
        <f t="shared" si="126"/>
        <v>1.9017543859649124E-2</v>
      </c>
    </row>
    <row r="7835" spans="39:45">
      <c r="AM7835" s="55">
        <v>2019</v>
      </c>
      <c r="AN7835" s="55" t="s">
        <v>192</v>
      </c>
      <c r="AO7835" s="55">
        <v>23</v>
      </c>
      <c r="AP7835" s="55">
        <v>9</v>
      </c>
      <c r="AQ7835" s="55">
        <v>610</v>
      </c>
      <c r="AR7835" s="55">
        <v>28500</v>
      </c>
      <c r="AS7835" s="78">
        <f t="shared" si="126"/>
        <v>2.1403508771929824E-2</v>
      </c>
    </row>
    <row r="7836" spans="39:45">
      <c r="AM7836" s="54">
        <v>2019</v>
      </c>
      <c r="AN7836" s="54" t="s">
        <v>192</v>
      </c>
      <c r="AO7836" s="54">
        <v>23</v>
      </c>
      <c r="AP7836" s="54">
        <v>10</v>
      </c>
      <c r="AQ7836" s="54">
        <v>4667.5</v>
      </c>
      <c r="AR7836" s="55">
        <v>28500</v>
      </c>
      <c r="AS7836" s="78">
        <f t="shared" si="126"/>
        <v>0.1637719298245614</v>
      </c>
    </row>
    <row r="7837" spans="39:45">
      <c r="AM7837" s="55">
        <v>2019</v>
      </c>
      <c r="AN7837" s="55" t="s">
        <v>192</v>
      </c>
      <c r="AO7837" s="55">
        <v>23</v>
      </c>
      <c r="AP7837" s="55">
        <v>11</v>
      </c>
      <c r="AQ7837" s="55">
        <v>2414.5</v>
      </c>
      <c r="AR7837" s="55">
        <v>28500</v>
      </c>
      <c r="AS7837" s="78">
        <f t="shared" si="126"/>
        <v>8.4719298245614041E-2</v>
      </c>
    </row>
    <row r="7838" spans="39:45">
      <c r="AM7838" s="54">
        <v>2019</v>
      </c>
      <c r="AN7838" s="54" t="s">
        <v>192</v>
      </c>
      <c r="AO7838" s="54">
        <v>23</v>
      </c>
      <c r="AP7838" s="54">
        <v>12</v>
      </c>
      <c r="AQ7838" s="54">
        <v>5096.5</v>
      </c>
      <c r="AR7838" s="55">
        <v>28500</v>
      </c>
      <c r="AS7838" s="78">
        <f t="shared" si="126"/>
        <v>0.17882456140350877</v>
      </c>
    </row>
    <row r="7839" spans="39:45">
      <c r="AM7839" s="55">
        <v>2019</v>
      </c>
      <c r="AN7839" s="55" t="s">
        <v>192</v>
      </c>
      <c r="AO7839" s="55">
        <v>23</v>
      </c>
      <c r="AP7839" s="55">
        <v>13</v>
      </c>
      <c r="AQ7839" s="55">
        <v>2898</v>
      </c>
      <c r="AR7839" s="55">
        <v>28500</v>
      </c>
      <c r="AS7839" s="78">
        <f t="shared" si="126"/>
        <v>0.10168421052631579</v>
      </c>
    </row>
    <row r="7840" spans="39:45">
      <c r="AM7840" s="54">
        <v>2019</v>
      </c>
      <c r="AN7840" s="54" t="s">
        <v>192</v>
      </c>
      <c r="AO7840" s="54">
        <v>23</v>
      </c>
      <c r="AP7840" s="54">
        <v>14</v>
      </c>
      <c r="AQ7840" s="54">
        <v>1244</v>
      </c>
      <c r="AR7840" s="55">
        <v>28500</v>
      </c>
      <c r="AS7840" s="78">
        <f t="shared" si="126"/>
        <v>4.3649122807017542E-2</v>
      </c>
    </row>
    <row r="7841" spans="39:45">
      <c r="AM7841" s="55">
        <v>2019</v>
      </c>
      <c r="AN7841" s="55" t="s">
        <v>192</v>
      </c>
      <c r="AO7841" s="55">
        <v>23</v>
      </c>
      <c r="AP7841" s="55">
        <v>15</v>
      </c>
      <c r="AQ7841" s="55">
        <v>52</v>
      </c>
      <c r="AR7841" s="55">
        <v>28500</v>
      </c>
      <c r="AS7841" s="78">
        <f t="shared" si="126"/>
        <v>1.8245614035087719E-3</v>
      </c>
    </row>
    <row r="7842" spans="39:45">
      <c r="AM7842" s="54">
        <v>2019</v>
      </c>
      <c r="AN7842" s="54" t="s">
        <v>192</v>
      </c>
      <c r="AO7842" s="54">
        <v>23</v>
      </c>
      <c r="AP7842" s="54">
        <v>16</v>
      </c>
      <c r="AQ7842" s="54">
        <v>0</v>
      </c>
      <c r="AR7842" s="55">
        <v>28500</v>
      </c>
      <c r="AS7842" s="78">
        <f t="shared" si="126"/>
        <v>0</v>
      </c>
    </row>
    <row r="7843" spans="39:45">
      <c r="AM7843" s="55">
        <v>2019</v>
      </c>
      <c r="AN7843" s="55" t="s">
        <v>192</v>
      </c>
      <c r="AO7843" s="55">
        <v>23</v>
      </c>
      <c r="AP7843" s="55">
        <v>17</v>
      </c>
      <c r="AQ7843" s="55">
        <v>0</v>
      </c>
      <c r="AR7843" s="55">
        <v>28500</v>
      </c>
      <c r="AS7843" s="78">
        <f t="shared" si="126"/>
        <v>0</v>
      </c>
    </row>
    <row r="7844" spans="39:45">
      <c r="AM7844" s="54">
        <v>2019</v>
      </c>
      <c r="AN7844" s="54" t="s">
        <v>192</v>
      </c>
      <c r="AO7844" s="54">
        <v>23</v>
      </c>
      <c r="AP7844" s="54">
        <v>18</v>
      </c>
      <c r="AQ7844" s="54">
        <v>0</v>
      </c>
      <c r="AR7844" s="55">
        <v>28500</v>
      </c>
      <c r="AS7844" s="78">
        <f t="shared" si="126"/>
        <v>0</v>
      </c>
    </row>
    <row r="7845" spans="39:45">
      <c r="AM7845" s="55">
        <v>2019</v>
      </c>
      <c r="AN7845" s="55" t="s">
        <v>192</v>
      </c>
      <c r="AO7845" s="55">
        <v>23</v>
      </c>
      <c r="AP7845" s="55">
        <v>19</v>
      </c>
      <c r="AQ7845" s="55">
        <v>0</v>
      </c>
      <c r="AR7845" s="55">
        <v>28500</v>
      </c>
      <c r="AS7845" s="78">
        <f t="shared" si="126"/>
        <v>0</v>
      </c>
    </row>
    <row r="7846" spans="39:45">
      <c r="AM7846" s="54">
        <v>2019</v>
      </c>
      <c r="AN7846" s="54" t="s">
        <v>192</v>
      </c>
      <c r="AO7846" s="54">
        <v>23</v>
      </c>
      <c r="AP7846" s="54">
        <v>20</v>
      </c>
      <c r="AQ7846" s="54">
        <v>0</v>
      </c>
      <c r="AR7846" s="55">
        <v>28500</v>
      </c>
      <c r="AS7846" s="78">
        <f t="shared" si="126"/>
        <v>0</v>
      </c>
    </row>
    <row r="7847" spans="39:45">
      <c r="AM7847" s="55">
        <v>2019</v>
      </c>
      <c r="AN7847" s="55" t="s">
        <v>192</v>
      </c>
      <c r="AO7847" s="55">
        <v>23</v>
      </c>
      <c r="AP7847" s="55">
        <v>21</v>
      </c>
      <c r="AQ7847" s="55">
        <v>0</v>
      </c>
      <c r="AR7847" s="55">
        <v>28500</v>
      </c>
      <c r="AS7847" s="78">
        <f t="shared" si="126"/>
        <v>0</v>
      </c>
    </row>
    <row r="7848" spans="39:45">
      <c r="AM7848" s="54">
        <v>2019</v>
      </c>
      <c r="AN7848" s="54" t="s">
        <v>192</v>
      </c>
      <c r="AO7848" s="54">
        <v>23</v>
      </c>
      <c r="AP7848" s="54">
        <v>22</v>
      </c>
      <c r="AQ7848" s="54">
        <v>0</v>
      </c>
      <c r="AR7848" s="55">
        <v>28500</v>
      </c>
      <c r="AS7848" s="78">
        <f t="shared" si="126"/>
        <v>0</v>
      </c>
    </row>
    <row r="7849" spans="39:45">
      <c r="AM7849" s="55">
        <v>2019</v>
      </c>
      <c r="AN7849" s="55" t="s">
        <v>192</v>
      </c>
      <c r="AO7849" s="55">
        <v>23</v>
      </c>
      <c r="AP7849" s="55">
        <v>23</v>
      </c>
      <c r="AQ7849" s="55">
        <v>0</v>
      </c>
      <c r="AR7849" s="55">
        <v>28500</v>
      </c>
      <c r="AS7849" s="78">
        <f t="shared" si="126"/>
        <v>0</v>
      </c>
    </row>
    <row r="7850" spans="39:45">
      <c r="AM7850" s="54">
        <v>2019</v>
      </c>
      <c r="AN7850" s="54" t="s">
        <v>192</v>
      </c>
      <c r="AO7850" s="54">
        <v>24</v>
      </c>
      <c r="AP7850" s="54">
        <v>24</v>
      </c>
      <c r="AQ7850" s="54">
        <v>0</v>
      </c>
      <c r="AR7850" s="55">
        <v>28500</v>
      </c>
      <c r="AS7850" s="78">
        <f t="shared" si="126"/>
        <v>0</v>
      </c>
    </row>
    <row r="7851" spans="39:45">
      <c r="AM7851" s="55">
        <v>2019</v>
      </c>
      <c r="AN7851" s="55" t="s">
        <v>192</v>
      </c>
      <c r="AO7851" s="55">
        <v>24</v>
      </c>
      <c r="AP7851" s="55">
        <v>1</v>
      </c>
      <c r="AQ7851" s="55">
        <v>0</v>
      </c>
      <c r="AR7851" s="55">
        <v>28500</v>
      </c>
      <c r="AS7851" s="78">
        <f t="shared" si="126"/>
        <v>0</v>
      </c>
    </row>
    <row r="7852" spans="39:45">
      <c r="AM7852" s="54">
        <v>2019</v>
      </c>
      <c r="AN7852" s="54" t="s">
        <v>192</v>
      </c>
      <c r="AO7852" s="54">
        <v>24</v>
      </c>
      <c r="AP7852" s="54">
        <v>2</v>
      </c>
      <c r="AQ7852" s="54">
        <v>0</v>
      </c>
      <c r="AR7852" s="55">
        <v>28500</v>
      </c>
      <c r="AS7852" s="78">
        <f t="shared" si="126"/>
        <v>0</v>
      </c>
    </row>
    <row r="7853" spans="39:45">
      <c r="AM7853" s="55">
        <v>2019</v>
      </c>
      <c r="AN7853" s="55" t="s">
        <v>192</v>
      </c>
      <c r="AO7853" s="55">
        <v>24</v>
      </c>
      <c r="AP7853" s="55">
        <v>3</v>
      </c>
      <c r="AQ7853" s="55">
        <v>0</v>
      </c>
      <c r="AR7853" s="55">
        <v>28500</v>
      </c>
      <c r="AS7853" s="78">
        <f t="shared" si="126"/>
        <v>0</v>
      </c>
    </row>
    <row r="7854" spans="39:45">
      <c r="AM7854" s="54">
        <v>2019</v>
      </c>
      <c r="AN7854" s="54" t="s">
        <v>192</v>
      </c>
      <c r="AO7854" s="54">
        <v>24</v>
      </c>
      <c r="AP7854" s="54">
        <v>4</v>
      </c>
      <c r="AQ7854" s="54">
        <v>0</v>
      </c>
      <c r="AR7854" s="55">
        <v>28500</v>
      </c>
      <c r="AS7854" s="78">
        <f t="shared" si="126"/>
        <v>0</v>
      </c>
    </row>
    <row r="7855" spans="39:45">
      <c r="AM7855" s="55">
        <v>2019</v>
      </c>
      <c r="AN7855" s="55" t="s">
        <v>192</v>
      </c>
      <c r="AO7855" s="55">
        <v>24</v>
      </c>
      <c r="AP7855" s="55">
        <v>5</v>
      </c>
      <c r="AQ7855" s="55">
        <v>0</v>
      </c>
      <c r="AR7855" s="55">
        <v>28500</v>
      </c>
      <c r="AS7855" s="78">
        <f t="shared" si="126"/>
        <v>0</v>
      </c>
    </row>
    <row r="7856" spans="39:45">
      <c r="AM7856" s="54">
        <v>2019</v>
      </c>
      <c r="AN7856" s="54" t="s">
        <v>192</v>
      </c>
      <c r="AO7856" s="54">
        <v>24</v>
      </c>
      <c r="AP7856" s="54">
        <v>6</v>
      </c>
      <c r="AQ7856" s="54">
        <v>0</v>
      </c>
      <c r="AR7856" s="55">
        <v>28500</v>
      </c>
      <c r="AS7856" s="78">
        <f t="shared" si="126"/>
        <v>0</v>
      </c>
    </row>
    <row r="7857" spans="39:45">
      <c r="AM7857" s="55">
        <v>2019</v>
      </c>
      <c r="AN7857" s="55" t="s">
        <v>192</v>
      </c>
      <c r="AO7857" s="55">
        <v>24</v>
      </c>
      <c r="AP7857" s="55">
        <v>7</v>
      </c>
      <c r="AQ7857" s="55">
        <v>0</v>
      </c>
      <c r="AR7857" s="55">
        <v>28500</v>
      </c>
      <c r="AS7857" s="78">
        <f t="shared" si="126"/>
        <v>0</v>
      </c>
    </row>
    <row r="7858" spans="39:45">
      <c r="AM7858" s="54">
        <v>2019</v>
      </c>
      <c r="AN7858" s="54" t="s">
        <v>192</v>
      </c>
      <c r="AO7858" s="54">
        <v>24</v>
      </c>
      <c r="AP7858" s="54">
        <v>8</v>
      </c>
      <c r="AQ7858" s="54">
        <v>849.5</v>
      </c>
      <c r="AR7858" s="55">
        <v>28500</v>
      </c>
      <c r="AS7858" s="78">
        <f t="shared" si="126"/>
        <v>2.980701754385965E-2</v>
      </c>
    </row>
    <row r="7859" spans="39:45">
      <c r="AM7859" s="55">
        <v>2019</v>
      </c>
      <c r="AN7859" s="55" t="s">
        <v>192</v>
      </c>
      <c r="AO7859" s="55">
        <v>24</v>
      </c>
      <c r="AP7859" s="55">
        <v>9</v>
      </c>
      <c r="AQ7859" s="55">
        <v>302</v>
      </c>
      <c r="AR7859" s="55">
        <v>28500</v>
      </c>
      <c r="AS7859" s="78">
        <f t="shared" si="126"/>
        <v>1.0596491228070175E-2</v>
      </c>
    </row>
    <row r="7860" spans="39:45">
      <c r="AM7860" s="54">
        <v>2019</v>
      </c>
      <c r="AN7860" s="54" t="s">
        <v>192</v>
      </c>
      <c r="AO7860" s="54">
        <v>24</v>
      </c>
      <c r="AP7860" s="54">
        <v>10</v>
      </c>
      <c r="AQ7860" s="54">
        <v>799</v>
      </c>
      <c r="AR7860" s="55">
        <v>28500</v>
      </c>
      <c r="AS7860" s="78">
        <f t="shared" si="126"/>
        <v>2.8035087719298246E-2</v>
      </c>
    </row>
    <row r="7861" spans="39:45">
      <c r="AM7861" s="55">
        <v>2019</v>
      </c>
      <c r="AN7861" s="55" t="s">
        <v>192</v>
      </c>
      <c r="AO7861" s="55">
        <v>24</v>
      </c>
      <c r="AP7861" s="55">
        <v>11</v>
      </c>
      <c r="AQ7861" s="55">
        <v>831</v>
      </c>
      <c r="AR7861" s="55">
        <v>28500</v>
      </c>
      <c r="AS7861" s="78">
        <f t="shared" si="126"/>
        <v>2.9157894736842105E-2</v>
      </c>
    </row>
    <row r="7862" spans="39:45">
      <c r="AM7862" s="54">
        <v>2019</v>
      </c>
      <c r="AN7862" s="54" t="s">
        <v>192</v>
      </c>
      <c r="AO7862" s="54">
        <v>24</v>
      </c>
      <c r="AP7862" s="54">
        <v>12</v>
      </c>
      <c r="AQ7862" s="54">
        <v>1708</v>
      </c>
      <c r="AR7862" s="55">
        <v>28500</v>
      </c>
      <c r="AS7862" s="78">
        <f t="shared" si="126"/>
        <v>5.9929824561403507E-2</v>
      </c>
    </row>
    <row r="7863" spans="39:45">
      <c r="AM7863" s="55">
        <v>2019</v>
      </c>
      <c r="AN7863" s="55" t="s">
        <v>192</v>
      </c>
      <c r="AO7863" s="55">
        <v>24</v>
      </c>
      <c r="AP7863" s="55">
        <v>13</v>
      </c>
      <c r="AQ7863" s="55">
        <v>13882.5</v>
      </c>
      <c r="AR7863" s="55">
        <v>28500</v>
      </c>
      <c r="AS7863" s="78">
        <f t="shared" si="126"/>
        <v>0.48710526315789476</v>
      </c>
    </row>
    <row r="7864" spans="39:45">
      <c r="AM7864" s="54">
        <v>2019</v>
      </c>
      <c r="AN7864" s="54" t="s">
        <v>192</v>
      </c>
      <c r="AO7864" s="54">
        <v>24</v>
      </c>
      <c r="AP7864" s="54">
        <v>14</v>
      </c>
      <c r="AQ7864" s="54">
        <v>11281</v>
      </c>
      <c r="AR7864" s="55">
        <v>28500</v>
      </c>
      <c r="AS7864" s="78">
        <f t="shared" si="126"/>
        <v>0.39582456140350875</v>
      </c>
    </row>
    <row r="7865" spans="39:45">
      <c r="AM7865" s="55">
        <v>2019</v>
      </c>
      <c r="AN7865" s="55" t="s">
        <v>192</v>
      </c>
      <c r="AO7865" s="55">
        <v>24</v>
      </c>
      <c r="AP7865" s="55">
        <v>15</v>
      </c>
      <c r="AQ7865" s="55">
        <v>2872</v>
      </c>
      <c r="AR7865" s="55">
        <v>28500</v>
      </c>
      <c r="AS7865" s="78">
        <f t="shared" si="126"/>
        <v>0.1007719298245614</v>
      </c>
    </row>
    <row r="7866" spans="39:45">
      <c r="AM7866" s="54">
        <v>2019</v>
      </c>
      <c r="AN7866" s="54" t="s">
        <v>192</v>
      </c>
      <c r="AO7866" s="54">
        <v>24</v>
      </c>
      <c r="AP7866" s="54">
        <v>16</v>
      </c>
      <c r="AQ7866" s="54">
        <v>0</v>
      </c>
      <c r="AR7866" s="55">
        <v>28500</v>
      </c>
      <c r="AS7866" s="78">
        <f t="shared" si="126"/>
        <v>0</v>
      </c>
    </row>
    <row r="7867" spans="39:45">
      <c r="AM7867" s="55">
        <v>2019</v>
      </c>
      <c r="AN7867" s="55" t="s">
        <v>192</v>
      </c>
      <c r="AO7867" s="55">
        <v>24</v>
      </c>
      <c r="AP7867" s="55">
        <v>17</v>
      </c>
      <c r="AQ7867" s="55">
        <v>0</v>
      </c>
      <c r="AR7867" s="55">
        <v>28500</v>
      </c>
      <c r="AS7867" s="78">
        <f t="shared" si="126"/>
        <v>0</v>
      </c>
    </row>
    <row r="7868" spans="39:45">
      <c r="AM7868" s="54">
        <v>2019</v>
      </c>
      <c r="AN7868" s="54" t="s">
        <v>192</v>
      </c>
      <c r="AO7868" s="54">
        <v>24</v>
      </c>
      <c r="AP7868" s="54">
        <v>18</v>
      </c>
      <c r="AQ7868" s="54">
        <v>0</v>
      </c>
      <c r="AR7868" s="55">
        <v>28500</v>
      </c>
      <c r="AS7868" s="78">
        <f t="shared" si="126"/>
        <v>0</v>
      </c>
    </row>
    <row r="7869" spans="39:45">
      <c r="AM7869" s="55">
        <v>2019</v>
      </c>
      <c r="AN7869" s="55" t="s">
        <v>192</v>
      </c>
      <c r="AO7869" s="55">
        <v>24</v>
      </c>
      <c r="AP7869" s="55">
        <v>19</v>
      </c>
      <c r="AQ7869" s="55">
        <v>0</v>
      </c>
      <c r="AR7869" s="55">
        <v>28500</v>
      </c>
      <c r="AS7869" s="78">
        <f t="shared" si="126"/>
        <v>0</v>
      </c>
    </row>
    <row r="7870" spans="39:45">
      <c r="AM7870" s="54">
        <v>2019</v>
      </c>
      <c r="AN7870" s="54" t="s">
        <v>192</v>
      </c>
      <c r="AO7870" s="54">
        <v>24</v>
      </c>
      <c r="AP7870" s="54">
        <v>20</v>
      </c>
      <c r="AQ7870" s="54">
        <v>0</v>
      </c>
      <c r="AR7870" s="55">
        <v>28500</v>
      </c>
      <c r="AS7870" s="78">
        <f t="shared" si="126"/>
        <v>0</v>
      </c>
    </row>
    <row r="7871" spans="39:45">
      <c r="AM7871" s="55">
        <v>2019</v>
      </c>
      <c r="AN7871" s="55" t="s">
        <v>192</v>
      </c>
      <c r="AO7871" s="55">
        <v>24</v>
      </c>
      <c r="AP7871" s="55">
        <v>21</v>
      </c>
      <c r="AQ7871" s="55">
        <v>0</v>
      </c>
      <c r="AR7871" s="55">
        <v>28500</v>
      </c>
      <c r="AS7871" s="78">
        <f t="shared" si="126"/>
        <v>0</v>
      </c>
    </row>
    <row r="7872" spans="39:45">
      <c r="AM7872" s="54">
        <v>2019</v>
      </c>
      <c r="AN7872" s="54" t="s">
        <v>192</v>
      </c>
      <c r="AO7872" s="54">
        <v>24</v>
      </c>
      <c r="AP7872" s="54">
        <v>22</v>
      </c>
      <c r="AQ7872" s="54">
        <v>0</v>
      </c>
      <c r="AR7872" s="55">
        <v>28500</v>
      </c>
      <c r="AS7872" s="78">
        <f t="shared" si="126"/>
        <v>0</v>
      </c>
    </row>
    <row r="7873" spans="39:45">
      <c r="AM7873" s="55">
        <v>2019</v>
      </c>
      <c r="AN7873" s="55" t="s">
        <v>192</v>
      </c>
      <c r="AO7873" s="55">
        <v>24</v>
      </c>
      <c r="AP7873" s="55">
        <v>23</v>
      </c>
      <c r="AQ7873" s="55">
        <v>0</v>
      </c>
      <c r="AR7873" s="55">
        <v>28500</v>
      </c>
      <c r="AS7873" s="78">
        <f t="shared" si="126"/>
        <v>0</v>
      </c>
    </row>
    <row r="7874" spans="39:45">
      <c r="AM7874" s="54">
        <v>2019</v>
      </c>
      <c r="AN7874" s="54" t="s">
        <v>192</v>
      </c>
      <c r="AO7874" s="54">
        <v>25</v>
      </c>
      <c r="AP7874" s="54">
        <v>24</v>
      </c>
      <c r="AQ7874" s="54">
        <v>0</v>
      </c>
      <c r="AR7874" s="55">
        <v>28500</v>
      </c>
      <c r="AS7874" s="78">
        <f t="shared" ref="AS7874:AS7937" si="127">AQ7874/AR7874</f>
        <v>0</v>
      </c>
    </row>
    <row r="7875" spans="39:45">
      <c r="AM7875" s="55">
        <v>2019</v>
      </c>
      <c r="AN7875" s="55" t="s">
        <v>192</v>
      </c>
      <c r="AO7875" s="55">
        <v>25</v>
      </c>
      <c r="AP7875" s="55">
        <v>1</v>
      </c>
      <c r="AQ7875" s="55">
        <v>0</v>
      </c>
      <c r="AR7875" s="55">
        <v>28500</v>
      </c>
      <c r="AS7875" s="78">
        <f t="shared" si="127"/>
        <v>0</v>
      </c>
    </row>
    <row r="7876" spans="39:45">
      <c r="AM7876" s="54">
        <v>2019</v>
      </c>
      <c r="AN7876" s="54" t="s">
        <v>192</v>
      </c>
      <c r="AO7876" s="54">
        <v>25</v>
      </c>
      <c r="AP7876" s="54">
        <v>2</v>
      </c>
      <c r="AQ7876" s="54">
        <v>0</v>
      </c>
      <c r="AR7876" s="55">
        <v>28500</v>
      </c>
      <c r="AS7876" s="78">
        <f t="shared" si="127"/>
        <v>0</v>
      </c>
    </row>
    <row r="7877" spans="39:45">
      <c r="AM7877" s="55">
        <v>2019</v>
      </c>
      <c r="AN7877" s="55" t="s">
        <v>192</v>
      </c>
      <c r="AO7877" s="55">
        <v>25</v>
      </c>
      <c r="AP7877" s="55">
        <v>3</v>
      </c>
      <c r="AQ7877" s="55">
        <v>0</v>
      </c>
      <c r="AR7877" s="55">
        <v>28500</v>
      </c>
      <c r="AS7877" s="78">
        <f t="shared" si="127"/>
        <v>0</v>
      </c>
    </row>
    <row r="7878" spans="39:45">
      <c r="AM7878" s="54">
        <v>2019</v>
      </c>
      <c r="AN7878" s="54" t="s">
        <v>192</v>
      </c>
      <c r="AO7878" s="54">
        <v>25</v>
      </c>
      <c r="AP7878" s="54">
        <v>4</v>
      </c>
      <c r="AQ7878" s="54">
        <v>0</v>
      </c>
      <c r="AR7878" s="55">
        <v>28500</v>
      </c>
      <c r="AS7878" s="78">
        <f t="shared" si="127"/>
        <v>0</v>
      </c>
    </row>
    <row r="7879" spans="39:45">
      <c r="AM7879" s="55">
        <v>2019</v>
      </c>
      <c r="AN7879" s="55" t="s">
        <v>192</v>
      </c>
      <c r="AO7879" s="55">
        <v>25</v>
      </c>
      <c r="AP7879" s="55">
        <v>5</v>
      </c>
      <c r="AQ7879" s="55">
        <v>0</v>
      </c>
      <c r="AR7879" s="55">
        <v>28500</v>
      </c>
      <c r="AS7879" s="78">
        <f t="shared" si="127"/>
        <v>0</v>
      </c>
    </row>
    <row r="7880" spans="39:45">
      <c r="AM7880" s="54">
        <v>2019</v>
      </c>
      <c r="AN7880" s="54" t="s">
        <v>192</v>
      </c>
      <c r="AO7880" s="54">
        <v>25</v>
      </c>
      <c r="AP7880" s="54">
        <v>6</v>
      </c>
      <c r="AQ7880" s="54">
        <v>0</v>
      </c>
      <c r="AR7880" s="55">
        <v>28500</v>
      </c>
      <c r="AS7880" s="78">
        <f t="shared" si="127"/>
        <v>0</v>
      </c>
    </row>
    <row r="7881" spans="39:45">
      <c r="AM7881" s="55">
        <v>2019</v>
      </c>
      <c r="AN7881" s="55" t="s">
        <v>192</v>
      </c>
      <c r="AO7881" s="55">
        <v>25</v>
      </c>
      <c r="AP7881" s="55">
        <v>7</v>
      </c>
      <c r="AQ7881" s="55">
        <v>0</v>
      </c>
      <c r="AR7881" s="55">
        <v>28500</v>
      </c>
      <c r="AS7881" s="78">
        <f t="shared" si="127"/>
        <v>0</v>
      </c>
    </row>
    <row r="7882" spans="39:45">
      <c r="AM7882" s="54">
        <v>2019</v>
      </c>
      <c r="AN7882" s="54" t="s">
        <v>192</v>
      </c>
      <c r="AO7882" s="54">
        <v>25</v>
      </c>
      <c r="AP7882" s="54">
        <v>8</v>
      </c>
      <c r="AQ7882" s="54">
        <v>841</v>
      </c>
      <c r="AR7882" s="55">
        <v>28500</v>
      </c>
      <c r="AS7882" s="78">
        <f t="shared" si="127"/>
        <v>2.9508771929824561E-2</v>
      </c>
    </row>
    <row r="7883" spans="39:45">
      <c r="AM7883" s="55">
        <v>2019</v>
      </c>
      <c r="AN7883" s="55" t="s">
        <v>192</v>
      </c>
      <c r="AO7883" s="55">
        <v>25</v>
      </c>
      <c r="AP7883" s="55">
        <v>9</v>
      </c>
      <c r="AQ7883" s="55">
        <v>480</v>
      </c>
      <c r="AR7883" s="55">
        <v>28500</v>
      </c>
      <c r="AS7883" s="78">
        <f t="shared" si="127"/>
        <v>1.6842105263157894E-2</v>
      </c>
    </row>
    <row r="7884" spans="39:45">
      <c r="AM7884" s="54">
        <v>2019</v>
      </c>
      <c r="AN7884" s="54" t="s">
        <v>192</v>
      </c>
      <c r="AO7884" s="54">
        <v>25</v>
      </c>
      <c r="AP7884" s="54">
        <v>10</v>
      </c>
      <c r="AQ7884" s="54">
        <v>6033.5</v>
      </c>
      <c r="AR7884" s="55">
        <v>28500</v>
      </c>
      <c r="AS7884" s="78">
        <f t="shared" si="127"/>
        <v>0.21170175438596492</v>
      </c>
    </row>
    <row r="7885" spans="39:45">
      <c r="AM7885" s="55">
        <v>2019</v>
      </c>
      <c r="AN7885" s="55" t="s">
        <v>192</v>
      </c>
      <c r="AO7885" s="55">
        <v>25</v>
      </c>
      <c r="AP7885" s="55">
        <v>11</v>
      </c>
      <c r="AQ7885" s="55">
        <v>2611</v>
      </c>
      <c r="AR7885" s="55">
        <v>28500</v>
      </c>
      <c r="AS7885" s="78">
        <f t="shared" si="127"/>
        <v>9.16140350877193E-2</v>
      </c>
    </row>
    <row r="7886" spans="39:45">
      <c r="AM7886" s="54">
        <v>2019</v>
      </c>
      <c r="AN7886" s="54" t="s">
        <v>192</v>
      </c>
      <c r="AO7886" s="54">
        <v>25</v>
      </c>
      <c r="AP7886" s="54">
        <v>12</v>
      </c>
      <c r="AQ7886" s="54">
        <v>1711.5</v>
      </c>
      <c r="AR7886" s="55">
        <v>28500</v>
      </c>
      <c r="AS7886" s="78">
        <f t="shared" si="127"/>
        <v>6.0052631578947371E-2</v>
      </c>
    </row>
    <row r="7887" spans="39:45">
      <c r="AM7887" s="55">
        <v>2019</v>
      </c>
      <c r="AN7887" s="55" t="s">
        <v>192</v>
      </c>
      <c r="AO7887" s="55">
        <v>25</v>
      </c>
      <c r="AP7887" s="55">
        <v>13</v>
      </c>
      <c r="AQ7887" s="55">
        <v>2602.5</v>
      </c>
      <c r="AR7887" s="55">
        <v>28500</v>
      </c>
      <c r="AS7887" s="78">
        <f t="shared" si="127"/>
        <v>9.1315789473684211E-2</v>
      </c>
    </row>
    <row r="7888" spans="39:45">
      <c r="AM7888" s="54">
        <v>2019</v>
      </c>
      <c r="AN7888" s="54" t="s">
        <v>192</v>
      </c>
      <c r="AO7888" s="54">
        <v>25</v>
      </c>
      <c r="AP7888" s="54">
        <v>14</v>
      </c>
      <c r="AQ7888" s="54">
        <v>167</v>
      </c>
      <c r="AR7888" s="55">
        <v>28500</v>
      </c>
      <c r="AS7888" s="78">
        <f t="shared" si="127"/>
        <v>5.8596491228070178E-3</v>
      </c>
    </row>
    <row r="7889" spans="39:45">
      <c r="AM7889" s="55">
        <v>2019</v>
      </c>
      <c r="AN7889" s="55" t="s">
        <v>192</v>
      </c>
      <c r="AO7889" s="55">
        <v>25</v>
      </c>
      <c r="AP7889" s="55">
        <v>15</v>
      </c>
      <c r="AQ7889" s="55">
        <v>1042.5</v>
      </c>
      <c r="AR7889" s="55">
        <v>28500</v>
      </c>
      <c r="AS7889" s="78">
        <f t="shared" si="127"/>
        <v>3.6578947368421051E-2</v>
      </c>
    </row>
    <row r="7890" spans="39:45">
      <c r="AM7890" s="54">
        <v>2019</v>
      </c>
      <c r="AN7890" s="54" t="s">
        <v>192</v>
      </c>
      <c r="AO7890" s="54">
        <v>25</v>
      </c>
      <c r="AP7890" s="54">
        <v>16</v>
      </c>
      <c r="AQ7890" s="54">
        <v>0</v>
      </c>
      <c r="AR7890" s="55">
        <v>28500</v>
      </c>
      <c r="AS7890" s="78">
        <f t="shared" si="127"/>
        <v>0</v>
      </c>
    </row>
    <row r="7891" spans="39:45">
      <c r="AM7891" s="55">
        <v>2019</v>
      </c>
      <c r="AN7891" s="55" t="s">
        <v>192</v>
      </c>
      <c r="AO7891" s="55">
        <v>25</v>
      </c>
      <c r="AP7891" s="55">
        <v>17</v>
      </c>
      <c r="AQ7891" s="55">
        <v>0</v>
      </c>
      <c r="AR7891" s="55">
        <v>28500</v>
      </c>
      <c r="AS7891" s="78">
        <f t="shared" si="127"/>
        <v>0</v>
      </c>
    </row>
    <row r="7892" spans="39:45">
      <c r="AM7892" s="54">
        <v>2019</v>
      </c>
      <c r="AN7892" s="54" t="s">
        <v>192</v>
      </c>
      <c r="AO7892" s="54">
        <v>25</v>
      </c>
      <c r="AP7892" s="54">
        <v>18</v>
      </c>
      <c r="AQ7892" s="54">
        <v>0</v>
      </c>
      <c r="AR7892" s="55">
        <v>28500</v>
      </c>
      <c r="AS7892" s="78">
        <f t="shared" si="127"/>
        <v>0</v>
      </c>
    </row>
    <row r="7893" spans="39:45">
      <c r="AM7893" s="55">
        <v>2019</v>
      </c>
      <c r="AN7893" s="55" t="s">
        <v>192</v>
      </c>
      <c r="AO7893" s="55">
        <v>25</v>
      </c>
      <c r="AP7893" s="55">
        <v>19</v>
      </c>
      <c r="AQ7893" s="55">
        <v>0</v>
      </c>
      <c r="AR7893" s="55">
        <v>28500</v>
      </c>
      <c r="AS7893" s="78">
        <f t="shared" si="127"/>
        <v>0</v>
      </c>
    </row>
    <row r="7894" spans="39:45">
      <c r="AM7894" s="54">
        <v>2019</v>
      </c>
      <c r="AN7894" s="54" t="s">
        <v>192</v>
      </c>
      <c r="AO7894" s="54">
        <v>25</v>
      </c>
      <c r="AP7894" s="54">
        <v>20</v>
      </c>
      <c r="AQ7894" s="54">
        <v>0</v>
      </c>
      <c r="AR7894" s="55">
        <v>28500</v>
      </c>
      <c r="AS7894" s="78">
        <f t="shared" si="127"/>
        <v>0</v>
      </c>
    </row>
    <row r="7895" spans="39:45">
      <c r="AM7895" s="55">
        <v>2019</v>
      </c>
      <c r="AN7895" s="55" t="s">
        <v>192</v>
      </c>
      <c r="AO7895" s="55">
        <v>25</v>
      </c>
      <c r="AP7895" s="55">
        <v>21</v>
      </c>
      <c r="AQ7895" s="55">
        <v>0</v>
      </c>
      <c r="AR7895" s="55">
        <v>28500</v>
      </c>
      <c r="AS7895" s="78">
        <f t="shared" si="127"/>
        <v>0</v>
      </c>
    </row>
    <row r="7896" spans="39:45">
      <c r="AM7896" s="54">
        <v>2019</v>
      </c>
      <c r="AN7896" s="54" t="s">
        <v>192</v>
      </c>
      <c r="AO7896" s="54">
        <v>25</v>
      </c>
      <c r="AP7896" s="54">
        <v>22</v>
      </c>
      <c r="AQ7896" s="54">
        <v>0</v>
      </c>
      <c r="AR7896" s="55">
        <v>28500</v>
      </c>
      <c r="AS7896" s="78">
        <f t="shared" si="127"/>
        <v>0</v>
      </c>
    </row>
    <row r="7897" spans="39:45">
      <c r="AM7897" s="55">
        <v>2019</v>
      </c>
      <c r="AN7897" s="55" t="s">
        <v>192</v>
      </c>
      <c r="AO7897" s="55">
        <v>25</v>
      </c>
      <c r="AP7897" s="55">
        <v>23</v>
      </c>
      <c r="AQ7897" s="55">
        <v>0</v>
      </c>
      <c r="AR7897" s="55">
        <v>28500</v>
      </c>
      <c r="AS7897" s="78">
        <f t="shared" si="127"/>
        <v>0</v>
      </c>
    </row>
    <row r="7898" spans="39:45">
      <c r="AM7898" s="54">
        <v>2019</v>
      </c>
      <c r="AN7898" s="54" t="s">
        <v>192</v>
      </c>
      <c r="AO7898" s="54">
        <v>26</v>
      </c>
      <c r="AP7898" s="54">
        <v>24</v>
      </c>
      <c r="AQ7898" s="54">
        <v>0</v>
      </c>
      <c r="AR7898" s="55">
        <v>28500</v>
      </c>
      <c r="AS7898" s="78">
        <f t="shared" si="127"/>
        <v>0</v>
      </c>
    </row>
    <row r="7899" spans="39:45">
      <c r="AM7899" s="55">
        <v>2019</v>
      </c>
      <c r="AN7899" s="55" t="s">
        <v>192</v>
      </c>
      <c r="AO7899" s="55">
        <v>26</v>
      </c>
      <c r="AP7899" s="55">
        <v>1</v>
      </c>
      <c r="AQ7899" s="55">
        <v>0</v>
      </c>
      <c r="AR7899" s="55">
        <v>28500</v>
      </c>
      <c r="AS7899" s="78">
        <f t="shared" si="127"/>
        <v>0</v>
      </c>
    </row>
    <row r="7900" spans="39:45">
      <c r="AM7900" s="54">
        <v>2019</v>
      </c>
      <c r="AN7900" s="54" t="s">
        <v>192</v>
      </c>
      <c r="AO7900" s="54">
        <v>26</v>
      </c>
      <c r="AP7900" s="54">
        <v>2</v>
      </c>
      <c r="AQ7900" s="54">
        <v>0</v>
      </c>
      <c r="AR7900" s="55">
        <v>28500</v>
      </c>
      <c r="AS7900" s="78">
        <f t="shared" si="127"/>
        <v>0</v>
      </c>
    </row>
    <row r="7901" spans="39:45">
      <c r="AM7901" s="55">
        <v>2019</v>
      </c>
      <c r="AN7901" s="55" t="s">
        <v>192</v>
      </c>
      <c r="AO7901" s="55">
        <v>26</v>
      </c>
      <c r="AP7901" s="55">
        <v>3</v>
      </c>
      <c r="AQ7901" s="55">
        <v>0</v>
      </c>
      <c r="AR7901" s="55">
        <v>28500</v>
      </c>
      <c r="AS7901" s="78">
        <f t="shared" si="127"/>
        <v>0</v>
      </c>
    </row>
    <row r="7902" spans="39:45">
      <c r="AM7902" s="54">
        <v>2019</v>
      </c>
      <c r="AN7902" s="54" t="s">
        <v>192</v>
      </c>
      <c r="AO7902" s="54">
        <v>26</v>
      </c>
      <c r="AP7902" s="54">
        <v>4</v>
      </c>
      <c r="AQ7902" s="54">
        <v>0</v>
      </c>
      <c r="AR7902" s="55">
        <v>28500</v>
      </c>
      <c r="AS7902" s="78">
        <f t="shared" si="127"/>
        <v>0</v>
      </c>
    </row>
    <row r="7903" spans="39:45">
      <c r="AM7903" s="55">
        <v>2019</v>
      </c>
      <c r="AN7903" s="55" t="s">
        <v>192</v>
      </c>
      <c r="AO7903" s="55">
        <v>26</v>
      </c>
      <c r="AP7903" s="55">
        <v>5</v>
      </c>
      <c r="AQ7903" s="55">
        <v>0</v>
      </c>
      <c r="AR7903" s="55">
        <v>28500</v>
      </c>
      <c r="AS7903" s="78">
        <f t="shared" si="127"/>
        <v>0</v>
      </c>
    </row>
    <row r="7904" spans="39:45">
      <c r="AM7904" s="54">
        <v>2019</v>
      </c>
      <c r="AN7904" s="54" t="s">
        <v>192</v>
      </c>
      <c r="AO7904" s="54">
        <v>26</v>
      </c>
      <c r="AP7904" s="54">
        <v>6</v>
      </c>
      <c r="AQ7904" s="54">
        <v>0</v>
      </c>
      <c r="AR7904" s="55">
        <v>28500</v>
      </c>
      <c r="AS7904" s="78">
        <f t="shared" si="127"/>
        <v>0</v>
      </c>
    </row>
    <row r="7905" spans="39:45">
      <c r="AM7905" s="55">
        <v>2019</v>
      </c>
      <c r="AN7905" s="55" t="s">
        <v>192</v>
      </c>
      <c r="AO7905" s="55">
        <v>26</v>
      </c>
      <c r="AP7905" s="55">
        <v>7</v>
      </c>
      <c r="AQ7905" s="55">
        <v>0</v>
      </c>
      <c r="AR7905" s="55">
        <v>28500</v>
      </c>
      <c r="AS7905" s="78">
        <f t="shared" si="127"/>
        <v>0</v>
      </c>
    </row>
    <row r="7906" spans="39:45">
      <c r="AM7906" s="54">
        <v>2019</v>
      </c>
      <c r="AN7906" s="54" t="s">
        <v>192</v>
      </c>
      <c r="AO7906" s="54">
        <v>26</v>
      </c>
      <c r="AP7906" s="54">
        <v>8</v>
      </c>
      <c r="AQ7906" s="54">
        <v>219.5</v>
      </c>
      <c r="AR7906" s="55">
        <v>28500</v>
      </c>
      <c r="AS7906" s="78">
        <f t="shared" si="127"/>
        <v>7.7017543859649127E-3</v>
      </c>
    </row>
    <row r="7907" spans="39:45">
      <c r="AM7907" s="55">
        <v>2019</v>
      </c>
      <c r="AN7907" s="55" t="s">
        <v>192</v>
      </c>
      <c r="AO7907" s="55">
        <v>26</v>
      </c>
      <c r="AP7907" s="55">
        <v>9</v>
      </c>
      <c r="AQ7907" s="55">
        <v>2277.5</v>
      </c>
      <c r="AR7907" s="55">
        <v>28500</v>
      </c>
      <c r="AS7907" s="78">
        <f t="shared" si="127"/>
        <v>7.9912280701754379E-2</v>
      </c>
    </row>
    <row r="7908" spans="39:45">
      <c r="AM7908" s="54">
        <v>2019</v>
      </c>
      <c r="AN7908" s="54" t="s">
        <v>192</v>
      </c>
      <c r="AO7908" s="54">
        <v>26</v>
      </c>
      <c r="AP7908" s="54">
        <v>10</v>
      </c>
      <c r="AQ7908" s="54">
        <v>1674.5</v>
      </c>
      <c r="AR7908" s="55">
        <v>28500</v>
      </c>
      <c r="AS7908" s="78">
        <f t="shared" si="127"/>
        <v>5.8754385964912281E-2</v>
      </c>
    </row>
    <row r="7909" spans="39:45">
      <c r="AM7909" s="55">
        <v>2019</v>
      </c>
      <c r="AN7909" s="55" t="s">
        <v>192</v>
      </c>
      <c r="AO7909" s="55">
        <v>26</v>
      </c>
      <c r="AP7909" s="55">
        <v>11</v>
      </c>
      <c r="AQ7909" s="55">
        <v>3930</v>
      </c>
      <c r="AR7909" s="55">
        <v>28500</v>
      </c>
      <c r="AS7909" s="78">
        <f t="shared" si="127"/>
        <v>0.13789473684210526</v>
      </c>
    </row>
    <row r="7910" spans="39:45">
      <c r="AM7910" s="54">
        <v>2019</v>
      </c>
      <c r="AN7910" s="54" t="s">
        <v>192</v>
      </c>
      <c r="AO7910" s="54">
        <v>26</v>
      </c>
      <c r="AP7910" s="54">
        <v>12</v>
      </c>
      <c r="AQ7910" s="54">
        <v>2781.5</v>
      </c>
      <c r="AR7910" s="55">
        <v>28500</v>
      </c>
      <c r="AS7910" s="78">
        <f t="shared" si="127"/>
        <v>9.7596491228070181E-2</v>
      </c>
    </row>
    <row r="7911" spans="39:45">
      <c r="AM7911" s="55">
        <v>2019</v>
      </c>
      <c r="AN7911" s="55" t="s">
        <v>192</v>
      </c>
      <c r="AO7911" s="55">
        <v>26</v>
      </c>
      <c r="AP7911" s="55">
        <v>13</v>
      </c>
      <c r="AQ7911" s="55">
        <v>4185.5</v>
      </c>
      <c r="AR7911" s="55">
        <v>28500</v>
      </c>
      <c r="AS7911" s="78">
        <f t="shared" si="127"/>
        <v>0.14685964912280702</v>
      </c>
    </row>
    <row r="7912" spans="39:45">
      <c r="AM7912" s="54">
        <v>2019</v>
      </c>
      <c r="AN7912" s="54" t="s">
        <v>192</v>
      </c>
      <c r="AO7912" s="54">
        <v>26</v>
      </c>
      <c r="AP7912" s="54">
        <v>14</v>
      </c>
      <c r="AQ7912" s="54">
        <v>15617</v>
      </c>
      <c r="AR7912" s="55">
        <v>28500</v>
      </c>
      <c r="AS7912" s="78">
        <f t="shared" si="127"/>
        <v>0.54796491228070177</v>
      </c>
    </row>
    <row r="7913" spans="39:45">
      <c r="AM7913" s="55">
        <v>2019</v>
      </c>
      <c r="AN7913" s="55" t="s">
        <v>192</v>
      </c>
      <c r="AO7913" s="55">
        <v>26</v>
      </c>
      <c r="AP7913" s="55">
        <v>15</v>
      </c>
      <c r="AQ7913" s="55">
        <v>0</v>
      </c>
      <c r="AR7913" s="55">
        <v>28500</v>
      </c>
      <c r="AS7913" s="78">
        <f t="shared" si="127"/>
        <v>0</v>
      </c>
    </row>
    <row r="7914" spans="39:45">
      <c r="AM7914" s="54">
        <v>2019</v>
      </c>
      <c r="AN7914" s="54" t="s">
        <v>192</v>
      </c>
      <c r="AO7914" s="54">
        <v>26</v>
      </c>
      <c r="AP7914" s="54">
        <v>16</v>
      </c>
      <c r="AQ7914" s="54">
        <v>0</v>
      </c>
      <c r="AR7914" s="55">
        <v>28500</v>
      </c>
      <c r="AS7914" s="78">
        <f t="shared" si="127"/>
        <v>0</v>
      </c>
    </row>
    <row r="7915" spans="39:45">
      <c r="AM7915" s="55">
        <v>2019</v>
      </c>
      <c r="AN7915" s="55" t="s">
        <v>192</v>
      </c>
      <c r="AO7915" s="55">
        <v>26</v>
      </c>
      <c r="AP7915" s="55">
        <v>17</v>
      </c>
      <c r="AQ7915" s="55">
        <v>0</v>
      </c>
      <c r="AR7915" s="55">
        <v>28500</v>
      </c>
      <c r="AS7915" s="78">
        <f t="shared" si="127"/>
        <v>0</v>
      </c>
    </row>
    <row r="7916" spans="39:45">
      <c r="AM7916" s="54">
        <v>2019</v>
      </c>
      <c r="AN7916" s="54" t="s">
        <v>192</v>
      </c>
      <c r="AO7916" s="54">
        <v>26</v>
      </c>
      <c r="AP7916" s="54">
        <v>18</v>
      </c>
      <c r="AQ7916" s="54">
        <v>0</v>
      </c>
      <c r="AR7916" s="55">
        <v>28500</v>
      </c>
      <c r="AS7916" s="78">
        <f t="shared" si="127"/>
        <v>0</v>
      </c>
    </row>
    <row r="7917" spans="39:45">
      <c r="AM7917" s="55">
        <v>2019</v>
      </c>
      <c r="AN7917" s="55" t="s">
        <v>192</v>
      </c>
      <c r="AO7917" s="55">
        <v>26</v>
      </c>
      <c r="AP7917" s="55">
        <v>19</v>
      </c>
      <c r="AQ7917" s="55">
        <v>0</v>
      </c>
      <c r="AR7917" s="55">
        <v>28500</v>
      </c>
      <c r="AS7917" s="78">
        <f t="shared" si="127"/>
        <v>0</v>
      </c>
    </row>
    <row r="7918" spans="39:45">
      <c r="AM7918" s="54">
        <v>2019</v>
      </c>
      <c r="AN7918" s="54" t="s">
        <v>192</v>
      </c>
      <c r="AO7918" s="54">
        <v>26</v>
      </c>
      <c r="AP7918" s="54">
        <v>20</v>
      </c>
      <c r="AQ7918" s="54">
        <v>0</v>
      </c>
      <c r="AR7918" s="55">
        <v>28500</v>
      </c>
      <c r="AS7918" s="78">
        <f t="shared" si="127"/>
        <v>0</v>
      </c>
    </row>
    <row r="7919" spans="39:45">
      <c r="AM7919" s="55">
        <v>2019</v>
      </c>
      <c r="AN7919" s="55" t="s">
        <v>192</v>
      </c>
      <c r="AO7919" s="55">
        <v>26</v>
      </c>
      <c r="AP7919" s="55">
        <v>21</v>
      </c>
      <c r="AQ7919" s="55">
        <v>0</v>
      </c>
      <c r="AR7919" s="55">
        <v>28500</v>
      </c>
      <c r="AS7919" s="78">
        <f t="shared" si="127"/>
        <v>0</v>
      </c>
    </row>
    <row r="7920" spans="39:45">
      <c r="AM7920" s="54">
        <v>2019</v>
      </c>
      <c r="AN7920" s="54" t="s">
        <v>192</v>
      </c>
      <c r="AO7920" s="54">
        <v>26</v>
      </c>
      <c r="AP7920" s="54">
        <v>22</v>
      </c>
      <c r="AQ7920" s="54">
        <v>0</v>
      </c>
      <c r="AR7920" s="55">
        <v>28500</v>
      </c>
      <c r="AS7920" s="78">
        <f t="shared" si="127"/>
        <v>0</v>
      </c>
    </row>
    <row r="7921" spans="39:45">
      <c r="AM7921" s="55">
        <v>2019</v>
      </c>
      <c r="AN7921" s="55" t="s">
        <v>192</v>
      </c>
      <c r="AO7921" s="55">
        <v>26</v>
      </c>
      <c r="AP7921" s="55">
        <v>23</v>
      </c>
      <c r="AQ7921" s="55">
        <v>0</v>
      </c>
      <c r="AR7921" s="55">
        <v>28500</v>
      </c>
      <c r="AS7921" s="78">
        <f t="shared" si="127"/>
        <v>0</v>
      </c>
    </row>
    <row r="7922" spans="39:45">
      <c r="AM7922" s="54">
        <v>2019</v>
      </c>
      <c r="AN7922" s="54" t="s">
        <v>192</v>
      </c>
      <c r="AO7922" s="54">
        <v>27</v>
      </c>
      <c r="AP7922" s="54">
        <v>24</v>
      </c>
      <c r="AQ7922" s="54">
        <v>0</v>
      </c>
      <c r="AR7922" s="55">
        <v>28500</v>
      </c>
      <c r="AS7922" s="78">
        <f t="shared" si="127"/>
        <v>0</v>
      </c>
    </row>
    <row r="7923" spans="39:45">
      <c r="AM7923" s="55">
        <v>2019</v>
      </c>
      <c r="AN7923" s="55" t="s">
        <v>192</v>
      </c>
      <c r="AO7923" s="55">
        <v>27</v>
      </c>
      <c r="AP7923" s="55">
        <v>1</v>
      </c>
      <c r="AQ7923" s="55">
        <v>0</v>
      </c>
      <c r="AR7923" s="55">
        <v>28500</v>
      </c>
      <c r="AS7923" s="78">
        <f t="shared" si="127"/>
        <v>0</v>
      </c>
    </row>
    <row r="7924" spans="39:45">
      <c r="AM7924" s="54">
        <v>2019</v>
      </c>
      <c r="AN7924" s="54" t="s">
        <v>192</v>
      </c>
      <c r="AO7924" s="54">
        <v>27</v>
      </c>
      <c r="AP7924" s="54">
        <v>2</v>
      </c>
      <c r="AQ7924" s="54">
        <v>0</v>
      </c>
      <c r="AR7924" s="55">
        <v>28500</v>
      </c>
      <c r="AS7924" s="78">
        <f t="shared" si="127"/>
        <v>0</v>
      </c>
    </row>
    <row r="7925" spans="39:45">
      <c r="AM7925" s="55">
        <v>2019</v>
      </c>
      <c r="AN7925" s="55" t="s">
        <v>192</v>
      </c>
      <c r="AO7925" s="55">
        <v>27</v>
      </c>
      <c r="AP7925" s="55">
        <v>3</v>
      </c>
      <c r="AQ7925" s="55">
        <v>0</v>
      </c>
      <c r="AR7925" s="55">
        <v>28500</v>
      </c>
      <c r="AS7925" s="78">
        <f t="shared" si="127"/>
        <v>0</v>
      </c>
    </row>
    <row r="7926" spans="39:45">
      <c r="AM7926" s="54">
        <v>2019</v>
      </c>
      <c r="AN7926" s="54" t="s">
        <v>192</v>
      </c>
      <c r="AO7926" s="54">
        <v>27</v>
      </c>
      <c r="AP7926" s="54">
        <v>4</v>
      </c>
      <c r="AQ7926" s="54">
        <v>0</v>
      </c>
      <c r="AR7926" s="55">
        <v>28500</v>
      </c>
      <c r="AS7926" s="78">
        <f t="shared" si="127"/>
        <v>0</v>
      </c>
    </row>
    <row r="7927" spans="39:45">
      <c r="AM7927" s="55">
        <v>2019</v>
      </c>
      <c r="AN7927" s="55" t="s">
        <v>192</v>
      </c>
      <c r="AO7927" s="55">
        <v>27</v>
      </c>
      <c r="AP7927" s="55">
        <v>5</v>
      </c>
      <c r="AQ7927" s="55">
        <v>0</v>
      </c>
      <c r="AR7927" s="55">
        <v>28500</v>
      </c>
      <c r="AS7927" s="78">
        <f t="shared" si="127"/>
        <v>0</v>
      </c>
    </row>
    <row r="7928" spans="39:45">
      <c r="AM7928" s="54">
        <v>2019</v>
      </c>
      <c r="AN7928" s="54" t="s">
        <v>192</v>
      </c>
      <c r="AO7928" s="54">
        <v>27</v>
      </c>
      <c r="AP7928" s="54">
        <v>6</v>
      </c>
      <c r="AQ7928" s="54">
        <v>0</v>
      </c>
      <c r="AR7928" s="55">
        <v>28500</v>
      </c>
      <c r="AS7928" s="78">
        <f t="shared" si="127"/>
        <v>0</v>
      </c>
    </row>
    <row r="7929" spans="39:45">
      <c r="AM7929" s="55">
        <v>2019</v>
      </c>
      <c r="AN7929" s="55" t="s">
        <v>192</v>
      </c>
      <c r="AO7929" s="55">
        <v>27</v>
      </c>
      <c r="AP7929" s="55">
        <v>7</v>
      </c>
      <c r="AQ7929" s="55">
        <v>0</v>
      </c>
      <c r="AR7929" s="55">
        <v>28500</v>
      </c>
      <c r="AS7929" s="78">
        <f t="shared" si="127"/>
        <v>0</v>
      </c>
    </row>
    <row r="7930" spans="39:45">
      <c r="AM7930" s="54">
        <v>2019</v>
      </c>
      <c r="AN7930" s="54" t="s">
        <v>192</v>
      </c>
      <c r="AO7930" s="54">
        <v>27</v>
      </c>
      <c r="AP7930" s="54">
        <v>8</v>
      </c>
      <c r="AQ7930" s="54">
        <v>495</v>
      </c>
      <c r="AR7930" s="55">
        <v>28500</v>
      </c>
      <c r="AS7930" s="78">
        <f t="shared" si="127"/>
        <v>1.7368421052631578E-2</v>
      </c>
    </row>
    <row r="7931" spans="39:45">
      <c r="AM7931" s="55">
        <v>2019</v>
      </c>
      <c r="AN7931" s="55" t="s">
        <v>192</v>
      </c>
      <c r="AO7931" s="55">
        <v>27</v>
      </c>
      <c r="AP7931" s="55">
        <v>9</v>
      </c>
      <c r="AQ7931" s="55">
        <v>2731</v>
      </c>
      <c r="AR7931" s="55">
        <v>28500</v>
      </c>
      <c r="AS7931" s="78">
        <f t="shared" si="127"/>
        <v>9.5824561403508771E-2</v>
      </c>
    </row>
    <row r="7932" spans="39:45">
      <c r="AM7932" s="54">
        <v>2019</v>
      </c>
      <c r="AN7932" s="54" t="s">
        <v>192</v>
      </c>
      <c r="AO7932" s="54">
        <v>27</v>
      </c>
      <c r="AP7932" s="54">
        <v>10</v>
      </c>
      <c r="AQ7932" s="54">
        <v>18146</v>
      </c>
      <c r="AR7932" s="55">
        <v>28500</v>
      </c>
      <c r="AS7932" s="78">
        <f t="shared" si="127"/>
        <v>0.63670175438596488</v>
      </c>
    </row>
    <row r="7933" spans="39:45">
      <c r="AM7933" s="55">
        <v>2019</v>
      </c>
      <c r="AN7933" s="55" t="s">
        <v>192</v>
      </c>
      <c r="AO7933" s="55">
        <v>27</v>
      </c>
      <c r="AP7933" s="55">
        <v>11</v>
      </c>
      <c r="AQ7933" s="55">
        <v>14538</v>
      </c>
      <c r="AR7933" s="55">
        <v>28500</v>
      </c>
      <c r="AS7933" s="78">
        <f t="shared" si="127"/>
        <v>0.51010526315789473</v>
      </c>
    </row>
    <row r="7934" spans="39:45">
      <c r="AM7934" s="54">
        <v>2019</v>
      </c>
      <c r="AN7934" s="54" t="s">
        <v>192</v>
      </c>
      <c r="AO7934" s="54">
        <v>27</v>
      </c>
      <c r="AP7934" s="54">
        <v>12</v>
      </c>
      <c r="AQ7934" s="54">
        <v>603.5</v>
      </c>
      <c r="AR7934" s="55">
        <v>28500</v>
      </c>
      <c r="AS7934" s="78">
        <f t="shared" si="127"/>
        <v>2.1175438596491229E-2</v>
      </c>
    </row>
    <row r="7935" spans="39:45">
      <c r="AM7935" s="55">
        <v>2019</v>
      </c>
      <c r="AN7935" s="55" t="s">
        <v>192</v>
      </c>
      <c r="AO7935" s="55">
        <v>27</v>
      </c>
      <c r="AP7935" s="55">
        <v>13</v>
      </c>
      <c r="AQ7935" s="55">
        <v>4714</v>
      </c>
      <c r="AR7935" s="55">
        <v>28500</v>
      </c>
      <c r="AS7935" s="78">
        <f t="shared" si="127"/>
        <v>0.16540350877192983</v>
      </c>
    </row>
    <row r="7936" spans="39:45">
      <c r="AM7936" s="54">
        <v>2019</v>
      </c>
      <c r="AN7936" s="54" t="s">
        <v>192</v>
      </c>
      <c r="AO7936" s="54">
        <v>27</v>
      </c>
      <c r="AP7936" s="54">
        <v>14</v>
      </c>
      <c r="AQ7936" s="54">
        <v>1527.5</v>
      </c>
      <c r="AR7936" s="55">
        <v>28500</v>
      </c>
      <c r="AS7936" s="78">
        <f t="shared" si="127"/>
        <v>5.3596491228070177E-2</v>
      </c>
    </row>
    <row r="7937" spans="39:45">
      <c r="AM7937" s="55">
        <v>2019</v>
      </c>
      <c r="AN7937" s="55" t="s">
        <v>192</v>
      </c>
      <c r="AO7937" s="55">
        <v>27</v>
      </c>
      <c r="AP7937" s="55">
        <v>15</v>
      </c>
      <c r="AQ7937" s="55">
        <v>0</v>
      </c>
      <c r="AR7937" s="55">
        <v>28500</v>
      </c>
      <c r="AS7937" s="78">
        <f t="shared" si="127"/>
        <v>0</v>
      </c>
    </row>
    <row r="7938" spans="39:45">
      <c r="AM7938" s="54">
        <v>2019</v>
      </c>
      <c r="AN7938" s="54" t="s">
        <v>192</v>
      </c>
      <c r="AO7938" s="54">
        <v>27</v>
      </c>
      <c r="AP7938" s="54">
        <v>16</v>
      </c>
      <c r="AQ7938" s="54">
        <v>0</v>
      </c>
      <c r="AR7938" s="55">
        <v>28500</v>
      </c>
      <c r="AS7938" s="78">
        <f t="shared" ref="AS7938:AS8001" si="128">AQ7938/AR7938</f>
        <v>0</v>
      </c>
    </row>
    <row r="7939" spans="39:45">
      <c r="AM7939" s="55">
        <v>2019</v>
      </c>
      <c r="AN7939" s="55" t="s">
        <v>192</v>
      </c>
      <c r="AO7939" s="55">
        <v>27</v>
      </c>
      <c r="AP7939" s="55">
        <v>17</v>
      </c>
      <c r="AQ7939" s="55">
        <v>0</v>
      </c>
      <c r="AR7939" s="55">
        <v>28500</v>
      </c>
      <c r="AS7939" s="78">
        <f t="shared" si="128"/>
        <v>0</v>
      </c>
    </row>
    <row r="7940" spans="39:45">
      <c r="AM7940" s="54">
        <v>2019</v>
      </c>
      <c r="AN7940" s="54" t="s">
        <v>192</v>
      </c>
      <c r="AO7940" s="54">
        <v>27</v>
      </c>
      <c r="AP7940" s="54">
        <v>18</v>
      </c>
      <c r="AQ7940" s="54">
        <v>0</v>
      </c>
      <c r="AR7940" s="55">
        <v>28500</v>
      </c>
      <c r="AS7940" s="78">
        <f t="shared" si="128"/>
        <v>0</v>
      </c>
    </row>
    <row r="7941" spans="39:45">
      <c r="AM7941" s="55">
        <v>2019</v>
      </c>
      <c r="AN7941" s="55" t="s">
        <v>192</v>
      </c>
      <c r="AO7941" s="55">
        <v>27</v>
      </c>
      <c r="AP7941" s="55">
        <v>19</v>
      </c>
      <c r="AQ7941" s="55">
        <v>0</v>
      </c>
      <c r="AR7941" s="55">
        <v>28500</v>
      </c>
      <c r="AS7941" s="78">
        <f t="shared" si="128"/>
        <v>0</v>
      </c>
    </row>
    <row r="7942" spans="39:45">
      <c r="AM7942" s="54">
        <v>2019</v>
      </c>
      <c r="AN7942" s="54" t="s">
        <v>192</v>
      </c>
      <c r="AO7942" s="54">
        <v>27</v>
      </c>
      <c r="AP7942" s="54">
        <v>20</v>
      </c>
      <c r="AQ7942" s="54">
        <v>0</v>
      </c>
      <c r="AR7942" s="55">
        <v>28500</v>
      </c>
      <c r="AS7942" s="78">
        <f t="shared" si="128"/>
        <v>0</v>
      </c>
    </row>
    <row r="7943" spans="39:45">
      <c r="AM7943" s="55">
        <v>2019</v>
      </c>
      <c r="AN7943" s="55" t="s">
        <v>192</v>
      </c>
      <c r="AO7943" s="55">
        <v>27</v>
      </c>
      <c r="AP7943" s="55">
        <v>21</v>
      </c>
      <c r="AQ7943" s="55">
        <v>0</v>
      </c>
      <c r="AR7943" s="55">
        <v>28500</v>
      </c>
      <c r="AS7943" s="78">
        <f t="shared" si="128"/>
        <v>0</v>
      </c>
    </row>
    <row r="7944" spans="39:45">
      <c r="AM7944" s="54">
        <v>2019</v>
      </c>
      <c r="AN7944" s="54" t="s">
        <v>192</v>
      </c>
      <c r="AO7944" s="54">
        <v>27</v>
      </c>
      <c r="AP7944" s="54">
        <v>22</v>
      </c>
      <c r="AQ7944" s="54">
        <v>0</v>
      </c>
      <c r="AR7944" s="55">
        <v>28500</v>
      </c>
      <c r="AS7944" s="78">
        <f t="shared" si="128"/>
        <v>0</v>
      </c>
    </row>
    <row r="7945" spans="39:45">
      <c r="AM7945" s="55">
        <v>2019</v>
      </c>
      <c r="AN7945" s="55" t="s">
        <v>192</v>
      </c>
      <c r="AO7945" s="55">
        <v>27</v>
      </c>
      <c r="AP7945" s="55">
        <v>23</v>
      </c>
      <c r="AQ7945" s="55">
        <v>0</v>
      </c>
      <c r="AR7945" s="55">
        <v>28500</v>
      </c>
      <c r="AS7945" s="78">
        <f t="shared" si="128"/>
        <v>0</v>
      </c>
    </row>
    <row r="7946" spans="39:45">
      <c r="AM7946" s="54">
        <v>2019</v>
      </c>
      <c r="AN7946" s="54" t="s">
        <v>192</v>
      </c>
      <c r="AO7946" s="54">
        <v>28</v>
      </c>
      <c r="AP7946" s="54">
        <v>24</v>
      </c>
      <c r="AQ7946" s="54">
        <v>0</v>
      </c>
      <c r="AR7946" s="55">
        <v>28500</v>
      </c>
      <c r="AS7946" s="78">
        <f t="shared" si="128"/>
        <v>0</v>
      </c>
    </row>
    <row r="7947" spans="39:45">
      <c r="AM7947" s="55">
        <v>2019</v>
      </c>
      <c r="AN7947" s="55" t="s">
        <v>192</v>
      </c>
      <c r="AO7947" s="55">
        <v>28</v>
      </c>
      <c r="AP7947" s="55">
        <v>1</v>
      </c>
      <c r="AQ7947" s="55">
        <v>0</v>
      </c>
      <c r="AR7947" s="55">
        <v>28500</v>
      </c>
      <c r="AS7947" s="78">
        <f t="shared" si="128"/>
        <v>0</v>
      </c>
    </row>
    <row r="7948" spans="39:45">
      <c r="AM7948" s="54">
        <v>2019</v>
      </c>
      <c r="AN7948" s="54" t="s">
        <v>192</v>
      </c>
      <c r="AO7948" s="54">
        <v>28</v>
      </c>
      <c r="AP7948" s="54">
        <v>2</v>
      </c>
      <c r="AQ7948" s="54">
        <v>0</v>
      </c>
      <c r="AR7948" s="55">
        <v>28500</v>
      </c>
      <c r="AS7948" s="78">
        <f t="shared" si="128"/>
        <v>0</v>
      </c>
    </row>
    <row r="7949" spans="39:45">
      <c r="AM7949" s="55">
        <v>2019</v>
      </c>
      <c r="AN7949" s="55" t="s">
        <v>192</v>
      </c>
      <c r="AO7949" s="55">
        <v>28</v>
      </c>
      <c r="AP7949" s="55">
        <v>3</v>
      </c>
      <c r="AQ7949" s="55">
        <v>0</v>
      </c>
      <c r="AR7949" s="55">
        <v>28500</v>
      </c>
      <c r="AS7949" s="78">
        <f t="shared" si="128"/>
        <v>0</v>
      </c>
    </row>
    <row r="7950" spans="39:45">
      <c r="AM7950" s="54">
        <v>2019</v>
      </c>
      <c r="AN7950" s="54" t="s">
        <v>192</v>
      </c>
      <c r="AO7950" s="54">
        <v>28</v>
      </c>
      <c r="AP7950" s="54">
        <v>4</v>
      </c>
      <c r="AQ7950" s="54">
        <v>0</v>
      </c>
      <c r="AR7950" s="55">
        <v>28500</v>
      </c>
      <c r="AS7950" s="78">
        <f t="shared" si="128"/>
        <v>0</v>
      </c>
    </row>
    <row r="7951" spans="39:45">
      <c r="AM7951" s="55">
        <v>2019</v>
      </c>
      <c r="AN7951" s="55" t="s">
        <v>192</v>
      </c>
      <c r="AO7951" s="55">
        <v>28</v>
      </c>
      <c r="AP7951" s="55">
        <v>5</v>
      </c>
      <c r="AQ7951" s="55">
        <v>0</v>
      </c>
      <c r="AR7951" s="55">
        <v>28500</v>
      </c>
      <c r="AS7951" s="78">
        <f t="shared" si="128"/>
        <v>0</v>
      </c>
    </row>
    <row r="7952" spans="39:45">
      <c r="AM7952" s="54">
        <v>2019</v>
      </c>
      <c r="AN7952" s="54" t="s">
        <v>192</v>
      </c>
      <c r="AO7952" s="54">
        <v>28</v>
      </c>
      <c r="AP7952" s="54">
        <v>6</v>
      </c>
      <c r="AQ7952" s="54">
        <v>0</v>
      </c>
      <c r="AR7952" s="55">
        <v>28500</v>
      </c>
      <c r="AS7952" s="78">
        <f t="shared" si="128"/>
        <v>0</v>
      </c>
    </row>
    <row r="7953" spans="39:45">
      <c r="AM7953" s="55">
        <v>2019</v>
      </c>
      <c r="AN7953" s="55" t="s">
        <v>192</v>
      </c>
      <c r="AO7953" s="55">
        <v>28</v>
      </c>
      <c r="AP7953" s="55">
        <v>7</v>
      </c>
      <c r="AQ7953" s="55">
        <v>0</v>
      </c>
      <c r="AR7953" s="55">
        <v>28500</v>
      </c>
      <c r="AS7953" s="78">
        <f t="shared" si="128"/>
        <v>0</v>
      </c>
    </row>
    <row r="7954" spans="39:45">
      <c r="AM7954" s="54">
        <v>2019</v>
      </c>
      <c r="AN7954" s="54" t="s">
        <v>192</v>
      </c>
      <c r="AO7954" s="54">
        <v>28</v>
      </c>
      <c r="AP7954" s="54">
        <v>8</v>
      </c>
      <c r="AQ7954" s="54">
        <v>448</v>
      </c>
      <c r="AR7954" s="55">
        <v>28500</v>
      </c>
      <c r="AS7954" s="78">
        <f t="shared" si="128"/>
        <v>1.5719298245614036E-2</v>
      </c>
    </row>
    <row r="7955" spans="39:45">
      <c r="AM7955" s="55">
        <v>2019</v>
      </c>
      <c r="AN7955" s="55" t="s">
        <v>192</v>
      </c>
      <c r="AO7955" s="55">
        <v>28</v>
      </c>
      <c r="AP7955" s="55">
        <v>9</v>
      </c>
      <c r="AQ7955" s="55">
        <v>2728.5</v>
      </c>
      <c r="AR7955" s="55">
        <v>28500</v>
      </c>
      <c r="AS7955" s="78">
        <f t="shared" si="128"/>
        <v>9.5736842105263162E-2</v>
      </c>
    </row>
    <row r="7956" spans="39:45">
      <c r="AM7956" s="54">
        <v>2019</v>
      </c>
      <c r="AN7956" s="54" t="s">
        <v>192</v>
      </c>
      <c r="AO7956" s="54">
        <v>28</v>
      </c>
      <c r="AP7956" s="54">
        <v>10</v>
      </c>
      <c r="AQ7956" s="54">
        <v>3165</v>
      </c>
      <c r="AR7956" s="55">
        <v>28500</v>
      </c>
      <c r="AS7956" s="78">
        <f t="shared" si="128"/>
        <v>0.11105263157894738</v>
      </c>
    </row>
    <row r="7957" spans="39:45">
      <c r="AM7957" s="55">
        <v>2019</v>
      </c>
      <c r="AN7957" s="55" t="s">
        <v>192</v>
      </c>
      <c r="AO7957" s="55">
        <v>28</v>
      </c>
      <c r="AP7957" s="55">
        <v>11</v>
      </c>
      <c r="AQ7957" s="55">
        <v>1221.5</v>
      </c>
      <c r="AR7957" s="55">
        <v>28500</v>
      </c>
      <c r="AS7957" s="78">
        <f t="shared" si="128"/>
        <v>4.2859649122807014E-2</v>
      </c>
    </row>
    <row r="7958" spans="39:45">
      <c r="AM7958" s="54">
        <v>2019</v>
      </c>
      <c r="AN7958" s="54" t="s">
        <v>192</v>
      </c>
      <c r="AO7958" s="54">
        <v>28</v>
      </c>
      <c r="AP7958" s="54">
        <v>12</v>
      </c>
      <c r="AQ7958" s="54">
        <v>452</v>
      </c>
      <c r="AR7958" s="55">
        <v>28500</v>
      </c>
      <c r="AS7958" s="78">
        <f t="shared" si="128"/>
        <v>1.5859649122807018E-2</v>
      </c>
    </row>
    <row r="7959" spans="39:45">
      <c r="AM7959" s="55">
        <v>2019</v>
      </c>
      <c r="AN7959" s="55" t="s">
        <v>192</v>
      </c>
      <c r="AO7959" s="55">
        <v>28</v>
      </c>
      <c r="AP7959" s="55">
        <v>13</v>
      </c>
      <c r="AQ7959" s="55">
        <v>1182.5</v>
      </c>
      <c r="AR7959" s="55">
        <v>28500</v>
      </c>
      <c r="AS7959" s="78">
        <f t="shared" si="128"/>
        <v>4.149122807017544E-2</v>
      </c>
    </row>
    <row r="7960" spans="39:45">
      <c r="AM7960" s="54">
        <v>2019</v>
      </c>
      <c r="AN7960" s="54" t="s">
        <v>192</v>
      </c>
      <c r="AO7960" s="54">
        <v>28</v>
      </c>
      <c r="AP7960" s="54">
        <v>14</v>
      </c>
      <c r="AQ7960" s="54">
        <v>939.5</v>
      </c>
      <c r="AR7960" s="55">
        <v>28500</v>
      </c>
      <c r="AS7960" s="78">
        <f t="shared" si="128"/>
        <v>3.2964912280701753E-2</v>
      </c>
    </row>
    <row r="7961" spans="39:45">
      <c r="AM7961" s="55">
        <v>2019</v>
      </c>
      <c r="AN7961" s="55" t="s">
        <v>192</v>
      </c>
      <c r="AO7961" s="55">
        <v>28</v>
      </c>
      <c r="AP7961" s="55">
        <v>15</v>
      </c>
      <c r="AQ7961" s="55">
        <v>3541.5</v>
      </c>
      <c r="AR7961" s="55">
        <v>28500</v>
      </c>
      <c r="AS7961" s="78">
        <f t="shared" si="128"/>
        <v>0.12426315789473684</v>
      </c>
    </row>
    <row r="7962" spans="39:45">
      <c r="AM7962" s="54">
        <v>2019</v>
      </c>
      <c r="AN7962" s="54" t="s">
        <v>192</v>
      </c>
      <c r="AO7962" s="54">
        <v>28</v>
      </c>
      <c r="AP7962" s="54">
        <v>16</v>
      </c>
      <c r="AQ7962" s="54">
        <v>0</v>
      </c>
      <c r="AR7962" s="55">
        <v>28500</v>
      </c>
      <c r="AS7962" s="78">
        <f t="shared" si="128"/>
        <v>0</v>
      </c>
    </row>
    <row r="7963" spans="39:45">
      <c r="AM7963" s="55">
        <v>2019</v>
      </c>
      <c r="AN7963" s="55" t="s">
        <v>192</v>
      </c>
      <c r="AO7963" s="55">
        <v>28</v>
      </c>
      <c r="AP7963" s="55">
        <v>17</v>
      </c>
      <c r="AQ7963" s="55">
        <v>0</v>
      </c>
      <c r="AR7963" s="55">
        <v>28500</v>
      </c>
      <c r="AS7963" s="78">
        <f t="shared" si="128"/>
        <v>0</v>
      </c>
    </row>
    <row r="7964" spans="39:45">
      <c r="AM7964" s="54">
        <v>2019</v>
      </c>
      <c r="AN7964" s="54" t="s">
        <v>192</v>
      </c>
      <c r="AO7964" s="54">
        <v>28</v>
      </c>
      <c r="AP7964" s="54">
        <v>18</v>
      </c>
      <c r="AQ7964" s="54">
        <v>0</v>
      </c>
      <c r="AR7964" s="55">
        <v>28500</v>
      </c>
      <c r="AS7964" s="78">
        <f t="shared" si="128"/>
        <v>0</v>
      </c>
    </row>
    <row r="7965" spans="39:45">
      <c r="AM7965" s="55">
        <v>2019</v>
      </c>
      <c r="AN7965" s="55" t="s">
        <v>192</v>
      </c>
      <c r="AO7965" s="55">
        <v>28</v>
      </c>
      <c r="AP7965" s="55">
        <v>19</v>
      </c>
      <c r="AQ7965" s="55">
        <v>0</v>
      </c>
      <c r="AR7965" s="55">
        <v>28500</v>
      </c>
      <c r="AS7965" s="78">
        <f t="shared" si="128"/>
        <v>0</v>
      </c>
    </row>
    <row r="7966" spans="39:45">
      <c r="AM7966" s="54">
        <v>2019</v>
      </c>
      <c r="AN7966" s="54" t="s">
        <v>192</v>
      </c>
      <c r="AO7966" s="54">
        <v>28</v>
      </c>
      <c r="AP7966" s="54">
        <v>20</v>
      </c>
      <c r="AQ7966" s="54">
        <v>0</v>
      </c>
      <c r="AR7966" s="55">
        <v>28500</v>
      </c>
      <c r="AS7966" s="78">
        <f t="shared" si="128"/>
        <v>0</v>
      </c>
    </row>
    <row r="7967" spans="39:45">
      <c r="AM7967" s="55">
        <v>2019</v>
      </c>
      <c r="AN7967" s="55" t="s">
        <v>192</v>
      </c>
      <c r="AO7967" s="55">
        <v>28</v>
      </c>
      <c r="AP7967" s="55">
        <v>21</v>
      </c>
      <c r="AQ7967" s="55">
        <v>0</v>
      </c>
      <c r="AR7967" s="55">
        <v>28500</v>
      </c>
      <c r="AS7967" s="78">
        <f t="shared" si="128"/>
        <v>0</v>
      </c>
    </row>
    <row r="7968" spans="39:45">
      <c r="AM7968" s="54">
        <v>2019</v>
      </c>
      <c r="AN7968" s="54" t="s">
        <v>192</v>
      </c>
      <c r="AO7968" s="54">
        <v>28</v>
      </c>
      <c r="AP7968" s="54">
        <v>22</v>
      </c>
      <c r="AQ7968" s="54">
        <v>0</v>
      </c>
      <c r="AR7968" s="55">
        <v>28500</v>
      </c>
      <c r="AS7968" s="78">
        <f t="shared" si="128"/>
        <v>0</v>
      </c>
    </row>
    <row r="7969" spans="39:45">
      <c r="AM7969" s="55">
        <v>2019</v>
      </c>
      <c r="AN7969" s="55" t="s">
        <v>192</v>
      </c>
      <c r="AO7969" s="55">
        <v>28</v>
      </c>
      <c r="AP7969" s="55">
        <v>23</v>
      </c>
      <c r="AQ7969" s="55">
        <v>0</v>
      </c>
      <c r="AR7969" s="55">
        <v>28500</v>
      </c>
      <c r="AS7969" s="78">
        <f t="shared" si="128"/>
        <v>0</v>
      </c>
    </row>
    <row r="7970" spans="39:45">
      <c r="AM7970" s="54">
        <v>2019</v>
      </c>
      <c r="AN7970" s="54" t="s">
        <v>192</v>
      </c>
      <c r="AO7970" s="54">
        <v>29</v>
      </c>
      <c r="AP7970" s="54">
        <v>24</v>
      </c>
      <c r="AQ7970" s="54">
        <v>0</v>
      </c>
      <c r="AR7970" s="55">
        <v>28500</v>
      </c>
      <c r="AS7970" s="78">
        <f t="shared" si="128"/>
        <v>0</v>
      </c>
    </row>
    <row r="7971" spans="39:45">
      <c r="AM7971" s="55">
        <v>2019</v>
      </c>
      <c r="AN7971" s="55" t="s">
        <v>192</v>
      </c>
      <c r="AO7971" s="55">
        <v>29</v>
      </c>
      <c r="AP7971" s="55">
        <v>1</v>
      </c>
      <c r="AQ7971" s="55">
        <v>0</v>
      </c>
      <c r="AR7971" s="55">
        <v>28500</v>
      </c>
      <c r="AS7971" s="78">
        <f t="shared" si="128"/>
        <v>0</v>
      </c>
    </row>
    <row r="7972" spans="39:45">
      <c r="AM7972" s="54">
        <v>2019</v>
      </c>
      <c r="AN7972" s="54" t="s">
        <v>192</v>
      </c>
      <c r="AO7972" s="54">
        <v>29</v>
      </c>
      <c r="AP7972" s="54">
        <v>2</v>
      </c>
      <c r="AQ7972" s="54">
        <v>0</v>
      </c>
      <c r="AR7972" s="55">
        <v>28500</v>
      </c>
      <c r="AS7972" s="78">
        <f t="shared" si="128"/>
        <v>0</v>
      </c>
    </row>
    <row r="7973" spans="39:45">
      <c r="AM7973" s="55">
        <v>2019</v>
      </c>
      <c r="AN7973" s="55" t="s">
        <v>192</v>
      </c>
      <c r="AO7973" s="55">
        <v>29</v>
      </c>
      <c r="AP7973" s="55">
        <v>3</v>
      </c>
      <c r="AQ7973" s="55">
        <v>0</v>
      </c>
      <c r="AR7973" s="55">
        <v>28500</v>
      </c>
      <c r="AS7973" s="78">
        <f t="shared" si="128"/>
        <v>0</v>
      </c>
    </row>
    <row r="7974" spans="39:45">
      <c r="AM7974" s="54">
        <v>2019</v>
      </c>
      <c r="AN7974" s="54" t="s">
        <v>192</v>
      </c>
      <c r="AO7974" s="54">
        <v>29</v>
      </c>
      <c r="AP7974" s="54">
        <v>4</v>
      </c>
      <c r="AQ7974" s="54">
        <v>0</v>
      </c>
      <c r="AR7974" s="55">
        <v>28500</v>
      </c>
      <c r="AS7974" s="78">
        <f t="shared" si="128"/>
        <v>0</v>
      </c>
    </row>
    <row r="7975" spans="39:45">
      <c r="AM7975" s="55">
        <v>2019</v>
      </c>
      <c r="AN7975" s="55" t="s">
        <v>192</v>
      </c>
      <c r="AO7975" s="55">
        <v>29</v>
      </c>
      <c r="AP7975" s="55">
        <v>5</v>
      </c>
      <c r="AQ7975" s="55">
        <v>0</v>
      </c>
      <c r="AR7975" s="55">
        <v>28500</v>
      </c>
      <c r="AS7975" s="78">
        <f t="shared" si="128"/>
        <v>0</v>
      </c>
    </row>
    <row r="7976" spans="39:45">
      <c r="AM7976" s="54">
        <v>2019</v>
      </c>
      <c r="AN7976" s="54" t="s">
        <v>192</v>
      </c>
      <c r="AO7976" s="54">
        <v>29</v>
      </c>
      <c r="AP7976" s="54">
        <v>6</v>
      </c>
      <c r="AQ7976" s="54">
        <v>0</v>
      </c>
      <c r="AR7976" s="55">
        <v>28500</v>
      </c>
      <c r="AS7976" s="78">
        <f t="shared" si="128"/>
        <v>0</v>
      </c>
    </row>
    <row r="7977" spans="39:45">
      <c r="AM7977" s="55">
        <v>2019</v>
      </c>
      <c r="AN7977" s="55" t="s">
        <v>192</v>
      </c>
      <c r="AO7977" s="55">
        <v>29</v>
      </c>
      <c r="AP7977" s="55">
        <v>7</v>
      </c>
      <c r="AQ7977" s="55">
        <v>0</v>
      </c>
      <c r="AR7977" s="55">
        <v>28500</v>
      </c>
      <c r="AS7977" s="78">
        <f t="shared" si="128"/>
        <v>0</v>
      </c>
    </row>
    <row r="7978" spans="39:45">
      <c r="AM7978" s="54">
        <v>2019</v>
      </c>
      <c r="AN7978" s="54" t="s">
        <v>192</v>
      </c>
      <c r="AO7978" s="54">
        <v>29</v>
      </c>
      <c r="AP7978" s="54">
        <v>8</v>
      </c>
      <c r="AQ7978" s="54">
        <v>1312.5</v>
      </c>
      <c r="AR7978" s="55">
        <v>28500</v>
      </c>
      <c r="AS7978" s="78">
        <f t="shared" si="128"/>
        <v>4.6052631578947366E-2</v>
      </c>
    </row>
    <row r="7979" spans="39:45">
      <c r="AM7979" s="55">
        <v>2019</v>
      </c>
      <c r="AN7979" s="55" t="s">
        <v>192</v>
      </c>
      <c r="AO7979" s="55">
        <v>29</v>
      </c>
      <c r="AP7979" s="55">
        <v>9</v>
      </c>
      <c r="AQ7979" s="55">
        <v>15749</v>
      </c>
      <c r="AR7979" s="55">
        <v>28500</v>
      </c>
      <c r="AS7979" s="78">
        <f t="shared" si="128"/>
        <v>0.5525964912280702</v>
      </c>
    </row>
    <row r="7980" spans="39:45">
      <c r="AM7980" s="54">
        <v>2019</v>
      </c>
      <c r="AN7980" s="54" t="s">
        <v>192</v>
      </c>
      <c r="AO7980" s="54">
        <v>29</v>
      </c>
      <c r="AP7980" s="54">
        <v>10</v>
      </c>
      <c r="AQ7980" s="54">
        <v>25809.5</v>
      </c>
      <c r="AR7980" s="55">
        <v>28500</v>
      </c>
      <c r="AS7980" s="78">
        <f t="shared" si="128"/>
        <v>0.90559649122807018</v>
      </c>
    </row>
    <row r="7981" spans="39:45">
      <c r="AM7981" s="55">
        <v>2019</v>
      </c>
      <c r="AN7981" s="55" t="s">
        <v>192</v>
      </c>
      <c r="AO7981" s="55">
        <v>29</v>
      </c>
      <c r="AP7981" s="55">
        <v>11</v>
      </c>
      <c r="AQ7981" s="55">
        <v>32119</v>
      </c>
      <c r="AR7981" s="55">
        <v>28500</v>
      </c>
      <c r="AS7981" s="78">
        <f t="shared" si="128"/>
        <v>1.126982456140351</v>
      </c>
    </row>
    <row r="7982" spans="39:45">
      <c r="AM7982" s="54">
        <v>2019</v>
      </c>
      <c r="AN7982" s="54" t="s">
        <v>192</v>
      </c>
      <c r="AO7982" s="54">
        <v>29</v>
      </c>
      <c r="AP7982" s="54">
        <v>12</v>
      </c>
      <c r="AQ7982" s="54">
        <v>31549.5</v>
      </c>
      <c r="AR7982" s="55">
        <v>28500</v>
      </c>
      <c r="AS7982" s="78">
        <f t="shared" si="128"/>
        <v>1.107</v>
      </c>
    </row>
    <row r="7983" spans="39:45">
      <c r="AM7983" s="55">
        <v>2019</v>
      </c>
      <c r="AN7983" s="55" t="s">
        <v>192</v>
      </c>
      <c r="AO7983" s="55">
        <v>29</v>
      </c>
      <c r="AP7983" s="55">
        <v>13</v>
      </c>
      <c r="AQ7983" s="55">
        <v>27499</v>
      </c>
      <c r="AR7983" s="55">
        <v>28500</v>
      </c>
      <c r="AS7983" s="78">
        <f t="shared" si="128"/>
        <v>0.96487719298245611</v>
      </c>
    </row>
    <row r="7984" spans="39:45">
      <c r="AM7984" s="54">
        <v>2019</v>
      </c>
      <c r="AN7984" s="54" t="s">
        <v>192</v>
      </c>
      <c r="AO7984" s="54">
        <v>29</v>
      </c>
      <c r="AP7984" s="54">
        <v>14</v>
      </c>
      <c r="AQ7984" s="54">
        <v>22882.5</v>
      </c>
      <c r="AR7984" s="55">
        <v>28500</v>
      </c>
      <c r="AS7984" s="78">
        <f t="shared" si="128"/>
        <v>0.80289473684210522</v>
      </c>
    </row>
    <row r="7985" spans="39:45">
      <c r="AM7985" s="55">
        <v>2019</v>
      </c>
      <c r="AN7985" s="55" t="s">
        <v>192</v>
      </c>
      <c r="AO7985" s="55">
        <v>29</v>
      </c>
      <c r="AP7985" s="55">
        <v>15</v>
      </c>
      <c r="AQ7985" s="55">
        <v>7882.5</v>
      </c>
      <c r="AR7985" s="55">
        <v>28500</v>
      </c>
      <c r="AS7985" s="78">
        <f t="shared" si="128"/>
        <v>0.27657894736842104</v>
      </c>
    </row>
    <row r="7986" spans="39:45">
      <c r="AM7986" s="54">
        <v>2019</v>
      </c>
      <c r="AN7986" s="54" t="s">
        <v>192</v>
      </c>
      <c r="AO7986" s="54">
        <v>29</v>
      </c>
      <c r="AP7986" s="54">
        <v>16</v>
      </c>
      <c r="AQ7986" s="54">
        <v>0</v>
      </c>
      <c r="AR7986" s="55">
        <v>28500</v>
      </c>
      <c r="AS7986" s="78">
        <f t="shared" si="128"/>
        <v>0</v>
      </c>
    </row>
    <row r="7987" spans="39:45">
      <c r="AM7987" s="55">
        <v>2019</v>
      </c>
      <c r="AN7987" s="55" t="s">
        <v>192</v>
      </c>
      <c r="AO7987" s="55">
        <v>29</v>
      </c>
      <c r="AP7987" s="55">
        <v>17</v>
      </c>
      <c r="AQ7987" s="55">
        <v>0</v>
      </c>
      <c r="AR7987" s="55">
        <v>28500</v>
      </c>
      <c r="AS7987" s="78">
        <f t="shared" si="128"/>
        <v>0</v>
      </c>
    </row>
    <row r="7988" spans="39:45">
      <c r="AM7988" s="54">
        <v>2019</v>
      </c>
      <c r="AN7988" s="54" t="s">
        <v>192</v>
      </c>
      <c r="AO7988" s="54">
        <v>29</v>
      </c>
      <c r="AP7988" s="54">
        <v>18</v>
      </c>
      <c r="AQ7988" s="54">
        <v>0</v>
      </c>
      <c r="AR7988" s="55">
        <v>28500</v>
      </c>
      <c r="AS7988" s="78">
        <f t="shared" si="128"/>
        <v>0</v>
      </c>
    </row>
    <row r="7989" spans="39:45">
      <c r="AM7989" s="55">
        <v>2019</v>
      </c>
      <c r="AN7989" s="55" t="s">
        <v>192</v>
      </c>
      <c r="AO7989" s="55">
        <v>29</v>
      </c>
      <c r="AP7989" s="55">
        <v>19</v>
      </c>
      <c r="AQ7989" s="55">
        <v>0</v>
      </c>
      <c r="AR7989" s="55">
        <v>28500</v>
      </c>
      <c r="AS7989" s="78">
        <f t="shared" si="128"/>
        <v>0</v>
      </c>
    </row>
    <row r="7990" spans="39:45">
      <c r="AM7990" s="54">
        <v>2019</v>
      </c>
      <c r="AN7990" s="54" t="s">
        <v>192</v>
      </c>
      <c r="AO7990" s="54">
        <v>29</v>
      </c>
      <c r="AP7990" s="54">
        <v>20</v>
      </c>
      <c r="AQ7990" s="54">
        <v>0</v>
      </c>
      <c r="AR7990" s="55">
        <v>28500</v>
      </c>
      <c r="AS7990" s="78">
        <f t="shared" si="128"/>
        <v>0</v>
      </c>
    </row>
    <row r="7991" spans="39:45">
      <c r="AM7991" s="55">
        <v>2019</v>
      </c>
      <c r="AN7991" s="55" t="s">
        <v>192</v>
      </c>
      <c r="AO7991" s="55">
        <v>29</v>
      </c>
      <c r="AP7991" s="55">
        <v>21</v>
      </c>
      <c r="AQ7991" s="55">
        <v>0</v>
      </c>
      <c r="AR7991" s="55">
        <v>28500</v>
      </c>
      <c r="AS7991" s="78">
        <f t="shared" si="128"/>
        <v>0</v>
      </c>
    </row>
    <row r="7992" spans="39:45">
      <c r="AM7992" s="54">
        <v>2019</v>
      </c>
      <c r="AN7992" s="54" t="s">
        <v>192</v>
      </c>
      <c r="AO7992" s="54">
        <v>29</v>
      </c>
      <c r="AP7992" s="54">
        <v>22</v>
      </c>
      <c r="AQ7992" s="54">
        <v>0</v>
      </c>
      <c r="AR7992" s="55">
        <v>28500</v>
      </c>
      <c r="AS7992" s="78">
        <f t="shared" si="128"/>
        <v>0</v>
      </c>
    </row>
    <row r="7993" spans="39:45">
      <c r="AM7993" s="55">
        <v>2019</v>
      </c>
      <c r="AN7993" s="55" t="s">
        <v>192</v>
      </c>
      <c r="AO7993" s="55">
        <v>29</v>
      </c>
      <c r="AP7993" s="55">
        <v>23</v>
      </c>
      <c r="AQ7993" s="55">
        <v>0</v>
      </c>
      <c r="AR7993" s="55">
        <v>28500</v>
      </c>
      <c r="AS7993" s="78">
        <f t="shared" si="128"/>
        <v>0</v>
      </c>
    </row>
    <row r="7994" spans="39:45">
      <c r="AM7994" s="54">
        <v>2019</v>
      </c>
      <c r="AN7994" s="54" t="s">
        <v>192</v>
      </c>
      <c r="AO7994" s="54">
        <v>30</v>
      </c>
      <c r="AP7994" s="54">
        <v>24</v>
      </c>
      <c r="AQ7994" s="54">
        <v>0</v>
      </c>
      <c r="AR7994" s="55">
        <v>28500</v>
      </c>
      <c r="AS7994" s="78">
        <f t="shared" si="128"/>
        <v>0</v>
      </c>
    </row>
    <row r="7995" spans="39:45">
      <c r="AM7995" s="55">
        <v>2019</v>
      </c>
      <c r="AN7995" s="55" t="s">
        <v>192</v>
      </c>
      <c r="AO7995" s="55">
        <v>30</v>
      </c>
      <c r="AP7995" s="55">
        <v>1</v>
      </c>
      <c r="AQ7995" s="55">
        <v>0</v>
      </c>
      <c r="AR7995" s="55">
        <v>28500</v>
      </c>
      <c r="AS7995" s="78">
        <f t="shared" si="128"/>
        <v>0</v>
      </c>
    </row>
    <row r="7996" spans="39:45">
      <c r="AM7996" s="54">
        <v>2019</v>
      </c>
      <c r="AN7996" s="54" t="s">
        <v>192</v>
      </c>
      <c r="AO7996" s="54">
        <v>30</v>
      </c>
      <c r="AP7996" s="54">
        <v>2</v>
      </c>
      <c r="AQ7996" s="54">
        <v>0</v>
      </c>
      <c r="AR7996" s="55">
        <v>28500</v>
      </c>
      <c r="AS7996" s="78">
        <f t="shared" si="128"/>
        <v>0</v>
      </c>
    </row>
    <row r="7997" spans="39:45">
      <c r="AM7997" s="55">
        <v>2019</v>
      </c>
      <c r="AN7997" s="55" t="s">
        <v>192</v>
      </c>
      <c r="AO7997" s="55">
        <v>30</v>
      </c>
      <c r="AP7997" s="55">
        <v>3</v>
      </c>
      <c r="AQ7997" s="55">
        <v>0</v>
      </c>
      <c r="AR7997" s="55">
        <v>28500</v>
      </c>
      <c r="AS7997" s="78">
        <f t="shared" si="128"/>
        <v>0</v>
      </c>
    </row>
    <row r="7998" spans="39:45">
      <c r="AM7998" s="54">
        <v>2019</v>
      </c>
      <c r="AN7998" s="54" t="s">
        <v>192</v>
      </c>
      <c r="AO7998" s="54">
        <v>30</v>
      </c>
      <c r="AP7998" s="54">
        <v>4</v>
      </c>
      <c r="AQ7998" s="54">
        <v>0</v>
      </c>
      <c r="AR7998" s="55">
        <v>28500</v>
      </c>
      <c r="AS7998" s="78">
        <f t="shared" si="128"/>
        <v>0</v>
      </c>
    </row>
    <row r="7999" spans="39:45">
      <c r="AM7999" s="55">
        <v>2019</v>
      </c>
      <c r="AN7999" s="55" t="s">
        <v>192</v>
      </c>
      <c r="AO7999" s="55">
        <v>30</v>
      </c>
      <c r="AP7999" s="55">
        <v>5</v>
      </c>
      <c r="AQ7999" s="55">
        <v>0</v>
      </c>
      <c r="AR7999" s="55">
        <v>28500</v>
      </c>
      <c r="AS7999" s="78">
        <f t="shared" si="128"/>
        <v>0</v>
      </c>
    </row>
    <row r="8000" spans="39:45">
      <c r="AM8000" s="54">
        <v>2019</v>
      </c>
      <c r="AN8000" s="54" t="s">
        <v>192</v>
      </c>
      <c r="AO8000" s="54">
        <v>30</v>
      </c>
      <c r="AP8000" s="54">
        <v>6</v>
      </c>
      <c r="AQ8000" s="54">
        <v>0</v>
      </c>
      <c r="AR8000" s="55">
        <v>28500</v>
      </c>
      <c r="AS8000" s="78">
        <f t="shared" si="128"/>
        <v>0</v>
      </c>
    </row>
    <row r="8001" spans="39:45">
      <c r="AM8001" s="55">
        <v>2019</v>
      </c>
      <c r="AN8001" s="55" t="s">
        <v>192</v>
      </c>
      <c r="AO8001" s="55">
        <v>30</v>
      </c>
      <c r="AP8001" s="55">
        <v>7</v>
      </c>
      <c r="AQ8001" s="55">
        <v>0</v>
      </c>
      <c r="AR8001" s="55">
        <v>28500</v>
      </c>
      <c r="AS8001" s="78">
        <f t="shared" si="128"/>
        <v>0</v>
      </c>
    </row>
    <row r="8002" spans="39:45">
      <c r="AM8002" s="54">
        <v>2019</v>
      </c>
      <c r="AN8002" s="54" t="s">
        <v>192</v>
      </c>
      <c r="AO8002" s="54">
        <v>30</v>
      </c>
      <c r="AP8002" s="54">
        <v>8</v>
      </c>
      <c r="AQ8002" s="54">
        <v>0</v>
      </c>
      <c r="AR8002" s="55">
        <v>28500</v>
      </c>
      <c r="AS8002" s="78">
        <f t="shared" ref="AS8002:AS8065" si="129">AQ8002/AR8002</f>
        <v>0</v>
      </c>
    </row>
    <row r="8003" spans="39:45">
      <c r="AM8003" s="55">
        <v>2019</v>
      </c>
      <c r="AN8003" s="55" t="s">
        <v>192</v>
      </c>
      <c r="AO8003" s="55">
        <v>30</v>
      </c>
      <c r="AP8003" s="55">
        <v>9</v>
      </c>
      <c r="AQ8003" s="55">
        <v>4151.5</v>
      </c>
      <c r="AR8003" s="55">
        <v>28500</v>
      </c>
      <c r="AS8003" s="78">
        <f t="shared" si="129"/>
        <v>0.14566666666666667</v>
      </c>
    </row>
    <row r="8004" spans="39:45">
      <c r="AM8004" s="54">
        <v>2019</v>
      </c>
      <c r="AN8004" s="54" t="s">
        <v>192</v>
      </c>
      <c r="AO8004" s="54">
        <v>30</v>
      </c>
      <c r="AP8004" s="54">
        <v>10</v>
      </c>
      <c r="AQ8004" s="54">
        <v>9207.5</v>
      </c>
      <c r="AR8004" s="55">
        <v>28500</v>
      </c>
      <c r="AS8004" s="78">
        <f t="shared" si="129"/>
        <v>0.32307017543859651</v>
      </c>
    </row>
    <row r="8005" spans="39:45">
      <c r="AM8005" s="55">
        <v>2019</v>
      </c>
      <c r="AN8005" s="55" t="s">
        <v>192</v>
      </c>
      <c r="AO8005" s="55">
        <v>30</v>
      </c>
      <c r="AP8005" s="55">
        <v>11</v>
      </c>
      <c r="AQ8005" s="55">
        <v>14509</v>
      </c>
      <c r="AR8005" s="55">
        <v>28500</v>
      </c>
      <c r="AS8005" s="78">
        <f t="shared" si="129"/>
        <v>0.50908771929824559</v>
      </c>
    </row>
    <row r="8006" spans="39:45">
      <c r="AM8006" s="54">
        <v>2019</v>
      </c>
      <c r="AN8006" s="54" t="s">
        <v>192</v>
      </c>
      <c r="AO8006" s="54">
        <v>30</v>
      </c>
      <c r="AP8006" s="54">
        <v>12</v>
      </c>
      <c r="AQ8006" s="54">
        <v>15544.5</v>
      </c>
      <c r="AR8006" s="55">
        <v>28500</v>
      </c>
      <c r="AS8006" s="78">
        <f t="shared" si="129"/>
        <v>0.54542105263157892</v>
      </c>
    </row>
    <row r="8007" spans="39:45">
      <c r="AM8007" s="55">
        <v>2019</v>
      </c>
      <c r="AN8007" s="55" t="s">
        <v>192</v>
      </c>
      <c r="AO8007" s="55">
        <v>30</v>
      </c>
      <c r="AP8007" s="55">
        <v>13</v>
      </c>
      <c r="AQ8007" s="55">
        <v>11225.5</v>
      </c>
      <c r="AR8007" s="55">
        <v>28500</v>
      </c>
      <c r="AS8007" s="78">
        <f t="shared" si="129"/>
        <v>0.39387719298245616</v>
      </c>
    </row>
    <row r="8008" spans="39:45">
      <c r="AM8008" s="54">
        <v>2019</v>
      </c>
      <c r="AN8008" s="54" t="s">
        <v>192</v>
      </c>
      <c r="AO8008" s="54">
        <v>30</v>
      </c>
      <c r="AP8008" s="54">
        <v>14</v>
      </c>
      <c r="AQ8008" s="54">
        <v>23584.5</v>
      </c>
      <c r="AR8008" s="55">
        <v>28500</v>
      </c>
      <c r="AS8008" s="78">
        <f t="shared" si="129"/>
        <v>0.82752631578947367</v>
      </c>
    </row>
    <row r="8009" spans="39:45">
      <c r="AM8009" s="55">
        <v>2019</v>
      </c>
      <c r="AN8009" s="55" t="s">
        <v>192</v>
      </c>
      <c r="AO8009" s="55">
        <v>30</v>
      </c>
      <c r="AP8009" s="55">
        <v>15</v>
      </c>
      <c r="AQ8009" s="55">
        <v>4643.5</v>
      </c>
      <c r="AR8009" s="55">
        <v>28500</v>
      </c>
      <c r="AS8009" s="78">
        <f t="shared" si="129"/>
        <v>0.16292982456140351</v>
      </c>
    </row>
    <row r="8010" spans="39:45">
      <c r="AM8010" s="54">
        <v>2019</v>
      </c>
      <c r="AN8010" s="54" t="s">
        <v>192</v>
      </c>
      <c r="AO8010" s="54">
        <v>30</v>
      </c>
      <c r="AP8010" s="54">
        <v>16</v>
      </c>
      <c r="AQ8010" s="54">
        <v>0</v>
      </c>
      <c r="AR8010" s="55">
        <v>28500</v>
      </c>
      <c r="AS8010" s="78">
        <f t="shared" si="129"/>
        <v>0</v>
      </c>
    </row>
    <row r="8011" spans="39:45">
      <c r="AM8011" s="55">
        <v>2019</v>
      </c>
      <c r="AN8011" s="55" t="s">
        <v>192</v>
      </c>
      <c r="AO8011" s="55">
        <v>30</v>
      </c>
      <c r="AP8011" s="55">
        <v>17</v>
      </c>
      <c r="AQ8011" s="55">
        <v>0</v>
      </c>
      <c r="AR8011" s="55">
        <v>28500</v>
      </c>
      <c r="AS8011" s="78">
        <f t="shared" si="129"/>
        <v>0</v>
      </c>
    </row>
    <row r="8012" spans="39:45">
      <c r="AM8012" s="54">
        <v>2019</v>
      </c>
      <c r="AN8012" s="54" t="s">
        <v>192</v>
      </c>
      <c r="AO8012" s="54">
        <v>30</v>
      </c>
      <c r="AP8012" s="54">
        <v>18</v>
      </c>
      <c r="AQ8012" s="54">
        <v>0</v>
      </c>
      <c r="AR8012" s="55">
        <v>28500</v>
      </c>
      <c r="AS8012" s="78">
        <f t="shared" si="129"/>
        <v>0</v>
      </c>
    </row>
    <row r="8013" spans="39:45">
      <c r="AM8013" s="55">
        <v>2019</v>
      </c>
      <c r="AN8013" s="55" t="s">
        <v>192</v>
      </c>
      <c r="AO8013" s="55">
        <v>30</v>
      </c>
      <c r="AP8013" s="55">
        <v>19</v>
      </c>
      <c r="AQ8013" s="55">
        <v>0</v>
      </c>
      <c r="AR8013" s="55">
        <v>28500</v>
      </c>
      <c r="AS8013" s="78">
        <f t="shared" si="129"/>
        <v>0</v>
      </c>
    </row>
    <row r="8014" spans="39:45">
      <c r="AM8014" s="54">
        <v>2019</v>
      </c>
      <c r="AN8014" s="54" t="s">
        <v>192</v>
      </c>
      <c r="AO8014" s="54">
        <v>30</v>
      </c>
      <c r="AP8014" s="54">
        <v>20</v>
      </c>
      <c r="AQ8014" s="54">
        <v>0</v>
      </c>
      <c r="AR8014" s="55">
        <v>28500</v>
      </c>
      <c r="AS8014" s="78">
        <f t="shared" si="129"/>
        <v>0</v>
      </c>
    </row>
    <row r="8015" spans="39:45">
      <c r="AM8015" s="55">
        <v>2019</v>
      </c>
      <c r="AN8015" s="55" t="s">
        <v>192</v>
      </c>
      <c r="AO8015" s="55">
        <v>30</v>
      </c>
      <c r="AP8015" s="55">
        <v>21</v>
      </c>
      <c r="AQ8015" s="55">
        <v>0</v>
      </c>
      <c r="AR8015" s="55">
        <v>28500</v>
      </c>
      <c r="AS8015" s="78">
        <f t="shared" si="129"/>
        <v>0</v>
      </c>
    </row>
    <row r="8016" spans="39:45">
      <c r="AM8016" s="54">
        <v>2019</v>
      </c>
      <c r="AN8016" s="54" t="s">
        <v>192</v>
      </c>
      <c r="AO8016" s="54">
        <v>30</v>
      </c>
      <c r="AP8016" s="54">
        <v>22</v>
      </c>
      <c r="AQ8016" s="54">
        <v>0</v>
      </c>
      <c r="AR8016" s="55">
        <v>28500</v>
      </c>
      <c r="AS8016" s="78">
        <f t="shared" si="129"/>
        <v>0</v>
      </c>
    </row>
    <row r="8017" spans="39:45">
      <c r="AM8017" s="55">
        <v>2019</v>
      </c>
      <c r="AN8017" s="55" t="s">
        <v>192</v>
      </c>
      <c r="AO8017" s="55">
        <v>30</v>
      </c>
      <c r="AP8017" s="55">
        <v>23</v>
      </c>
      <c r="AQ8017" s="55">
        <v>0</v>
      </c>
      <c r="AR8017" s="55">
        <v>28500</v>
      </c>
      <c r="AS8017" s="78">
        <f t="shared" si="129"/>
        <v>0</v>
      </c>
    </row>
    <row r="8018" spans="39:45">
      <c r="AM8018" s="54">
        <v>2019</v>
      </c>
      <c r="AN8018" s="54" t="s">
        <v>193</v>
      </c>
      <c r="AO8018" s="54">
        <v>1</v>
      </c>
      <c r="AP8018" s="54">
        <v>24</v>
      </c>
      <c r="AQ8018" s="54">
        <v>0</v>
      </c>
      <c r="AR8018" s="55">
        <v>28500</v>
      </c>
      <c r="AS8018" s="78">
        <f t="shared" si="129"/>
        <v>0</v>
      </c>
    </row>
    <row r="8019" spans="39:45">
      <c r="AM8019" s="55">
        <v>2019</v>
      </c>
      <c r="AN8019" s="55" t="s">
        <v>193</v>
      </c>
      <c r="AO8019" s="55">
        <v>1</v>
      </c>
      <c r="AP8019" s="55">
        <v>1</v>
      </c>
      <c r="AQ8019" s="55">
        <v>0</v>
      </c>
      <c r="AR8019" s="55">
        <v>28500</v>
      </c>
      <c r="AS8019" s="78">
        <f t="shared" si="129"/>
        <v>0</v>
      </c>
    </row>
    <row r="8020" spans="39:45">
      <c r="AM8020" s="54">
        <v>2019</v>
      </c>
      <c r="AN8020" s="54" t="s">
        <v>193</v>
      </c>
      <c r="AO8020" s="54">
        <v>1</v>
      </c>
      <c r="AP8020" s="54">
        <v>2</v>
      </c>
      <c r="AQ8020" s="54">
        <v>0</v>
      </c>
      <c r="AR8020" s="55">
        <v>28500</v>
      </c>
      <c r="AS8020" s="78">
        <f t="shared" si="129"/>
        <v>0</v>
      </c>
    </row>
    <row r="8021" spans="39:45">
      <c r="AM8021" s="55">
        <v>2019</v>
      </c>
      <c r="AN8021" s="55" t="s">
        <v>193</v>
      </c>
      <c r="AO8021" s="55">
        <v>1</v>
      </c>
      <c r="AP8021" s="55">
        <v>3</v>
      </c>
      <c r="AQ8021" s="55">
        <v>0</v>
      </c>
      <c r="AR8021" s="55">
        <v>28500</v>
      </c>
      <c r="AS8021" s="78">
        <f t="shared" si="129"/>
        <v>0</v>
      </c>
    </row>
    <row r="8022" spans="39:45">
      <c r="AM8022" s="54">
        <v>2019</v>
      </c>
      <c r="AN8022" s="54" t="s">
        <v>193</v>
      </c>
      <c r="AO8022" s="54">
        <v>1</v>
      </c>
      <c r="AP8022" s="54">
        <v>4</v>
      </c>
      <c r="AQ8022" s="54">
        <v>0</v>
      </c>
      <c r="AR8022" s="55">
        <v>28500</v>
      </c>
      <c r="AS8022" s="78">
        <f t="shared" si="129"/>
        <v>0</v>
      </c>
    </row>
    <row r="8023" spans="39:45">
      <c r="AM8023" s="55">
        <v>2019</v>
      </c>
      <c r="AN8023" s="55" t="s">
        <v>193</v>
      </c>
      <c r="AO8023" s="55">
        <v>1</v>
      </c>
      <c r="AP8023" s="55">
        <v>5</v>
      </c>
      <c r="AQ8023" s="55">
        <v>0</v>
      </c>
      <c r="AR8023" s="55">
        <v>28500</v>
      </c>
      <c r="AS8023" s="78">
        <f t="shared" si="129"/>
        <v>0</v>
      </c>
    </row>
    <row r="8024" spans="39:45">
      <c r="AM8024" s="54">
        <v>2019</v>
      </c>
      <c r="AN8024" s="54" t="s">
        <v>193</v>
      </c>
      <c r="AO8024" s="54">
        <v>1</v>
      </c>
      <c r="AP8024" s="54">
        <v>6</v>
      </c>
      <c r="AQ8024" s="54">
        <v>0</v>
      </c>
      <c r="AR8024" s="55">
        <v>28500</v>
      </c>
      <c r="AS8024" s="78">
        <f t="shared" si="129"/>
        <v>0</v>
      </c>
    </row>
    <row r="8025" spans="39:45">
      <c r="AM8025" s="55">
        <v>2019</v>
      </c>
      <c r="AN8025" s="55" t="s">
        <v>193</v>
      </c>
      <c r="AO8025" s="55">
        <v>1</v>
      </c>
      <c r="AP8025" s="55">
        <v>7</v>
      </c>
      <c r="AQ8025" s="55">
        <v>0</v>
      </c>
      <c r="AR8025" s="55">
        <v>28500</v>
      </c>
      <c r="AS8025" s="78">
        <f t="shared" si="129"/>
        <v>0</v>
      </c>
    </row>
    <row r="8026" spans="39:45">
      <c r="AM8026" s="54">
        <v>2019</v>
      </c>
      <c r="AN8026" s="54" t="s">
        <v>193</v>
      </c>
      <c r="AO8026" s="54">
        <v>1</v>
      </c>
      <c r="AP8026" s="54">
        <v>8</v>
      </c>
      <c r="AQ8026" s="54">
        <v>124</v>
      </c>
      <c r="AR8026" s="55">
        <v>28500</v>
      </c>
      <c r="AS8026" s="78">
        <f t="shared" si="129"/>
        <v>4.3508771929824559E-3</v>
      </c>
    </row>
    <row r="8027" spans="39:45">
      <c r="AM8027" s="55">
        <v>2019</v>
      </c>
      <c r="AN8027" s="55" t="s">
        <v>193</v>
      </c>
      <c r="AO8027" s="55">
        <v>1</v>
      </c>
      <c r="AP8027" s="55">
        <v>9</v>
      </c>
      <c r="AQ8027" s="55">
        <v>99.5</v>
      </c>
      <c r="AR8027" s="55">
        <v>28500</v>
      </c>
      <c r="AS8027" s="78">
        <f t="shared" si="129"/>
        <v>3.4912280701754387E-3</v>
      </c>
    </row>
    <row r="8028" spans="39:45">
      <c r="AM8028" s="54">
        <v>2019</v>
      </c>
      <c r="AN8028" s="54" t="s">
        <v>193</v>
      </c>
      <c r="AO8028" s="54">
        <v>1</v>
      </c>
      <c r="AP8028" s="54">
        <v>10</v>
      </c>
      <c r="AQ8028" s="54">
        <v>4610.5</v>
      </c>
      <c r="AR8028" s="55">
        <v>28500</v>
      </c>
      <c r="AS8028" s="78">
        <f t="shared" si="129"/>
        <v>0.1617719298245614</v>
      </c>
    </row>
    <row r="8029" spans="39:45">
      <c r="AM8029" s="55">
        <v>2019</v>
      </c>
      <c r="AN8029" s="55" t="s">
        <v>193</v>
      </c>
      <c r="AO8029" s="55">
        <v>1</v>
      </c>
      <c r="AP8029" s="55">
        <v>11</v>
      </c>
      <c r="AQ8029" s="55">
        <v>32788.5</v>
      </c>
      <c r="AR8029" s="55">
        <v>28500</v>
      </c>
      <c r="AS8029" s="78">
        <f t="shared" si="129"/>
        <v>1.1504736842105263</v>
      </c>
    </row>
    <row r="8030" spans="39:45">
      <c r="AM8030" s="54">
        <v>2019</v>
      </c>
      <c r="AN8030" s="54" t="s">
        <v>193</v>
      </c>
      <c r="AO8030" s="54">
        <v>1</v>
      </c>
      <c r="AP8030" s="54">
        <v>12</v>
      </c>
      <c r="AQ8030" s="54">
        <v>4563</v>
      </c>
      <c r="AR8030" s="55">
        <v>28500</v>
      </c>
      <c r="AS8030" s="78">
        <f t="shared" si="129"/>
        <v>0.16010526315789475</v>
      </c>
    </row>
    <row r="8031" spans="39:45">
      <c r="AM8031" s="55">
        <v>2019</v>
      </c>
      <c r="AN8031" s="55" t="s">
        <v>193</v>
      </c>
      <c r="AO8031" s="55">
        <v>1</v>
      </c>
      <c r="AP8031" s="55">
        <v>13</v>
      </c>
      <c r="AQ8031" s="55">
        <v>27326.5</v>
      </c>
      <c r="AR8031" s="55">
        <v>28500</v>
      </c>
      <c r="AS8031" s="78">
        <f t="shared" si="129"/>
        <v>0.9588245614035088</v>
      </c>
    </row>
    <row r="8032" spans="39:45">
      <c r="AM8032" s="54">
        <v>2019</v>
      </c>
      <c r="AN8032" s="54" t="s">
        <v>193</v>
      </c>
      <c r="AO8032" s="54">
        <v>1</v>
      </c>
      <c r="AP8032" s="54">
        <v>14</v>
      </c>
      <c r="AQ8032" s="54">
        <v>1089.5</v>
      </c>
      <c r="AR8032" s="55">
        <v>28500</v>
      </c>
      <c r="AS8032" s="78">
        <f t="shared" si="129"/>
        <v>3.8228070175438597E-2</v>
      </c>
    </row>
    <row r="8033" spans="39:45">
      <c r="AM8033" s="55">
        <v>2019</v>
      </c>
      <c r="AN8033" s="55" t="s">
        <v>193</v>
      </c>
      <c r="AO8033" s="55">
        <v>1</v>
      </c>
      <c r="AP8033" s="55">
        <v>15</v>
      </c>
      <c r="AQ8033" s="55">
        <v>717</v>
      </c>
      <c r="AR8033" s="55">
        <v>28500</v>
      </c>
      <c r="AS8033" s="78">
        <f t="shared" si="129"/>
        <v>2.5157894736842105E-2</v>
      </c>
    </row>
    <row r="8034" spans="39:45">
      <c r="AM8034" s="54">
        <v>2019</v>
      </c>
      <c r="AN8034" s="54" t="s">
        <v>193</v>
      </c>
      <c r="AO8034" s="54">
        <v>1</v>
      </c>
      <c r="AP8034" s="54">
        <v>16</v>
      </c>
      <c r="AQ8034" s="54">
        <v>0</v>
      </c>
      <c r="AR8034" s="55">
        <v>28500</v>
      </c>
      <c r="AS8034" s="78">
        <f t="shared" si="129"/>
        <v>0</v>
      </c>
    </row>
    <row r="8035" spans="39:45">
      <c r="AM8035" s="55">
        <v>2019</v>
      </c>
      <c r="AN8035" s="55" t="s">
        <v>193</v>
      </c>
      <c r="AO8035" s="55">
        <v>1</v>
      </c>
      <c r="AP8035" s="55">
        <v>17</v>
      </c>
      <c r="AQ8035" s="55">
        <v>0</v>
      </c>
      <c r="AR8035" s="55">
        <v>28500</v>
      </c>
      <c r="AS8035" s="78">
        <f t="shared" si="129"/>
        <v>0</v>
      </c>
    </row>
    <row r="8036" spans="39:45">
      <c r="AM8036" s="54">
        <v>2019</v>
      </c>
      <c r="AN8036" s="54" t="s">
        <v>193</v>
      </c>
      <c r="AO8036" s="54">
        <v>1</v>
      </c>
      <c r="AP8036" s="54">
        <v>18</v>
      </c>
      <c r="AQ8036" s="54">
        <v>0</v>
      </c>
      <c r="AR8036" s="55">
        <v>28500</v>
      </c>
      <c r="AS8036" s="78">
        <f t="shared" si="129"/>
        <v>0</v>
      </c>
    </row>
    <row r="8037" spans="39:45">
      <c r="AM8037" s="55">
        <v>2019</v>
      </c>
      <c r="AN8037" s="55" t="s">
        <v>193</v>
      </c>
      <c r="AO8037" s="55">
        <v>1</v>
      </c>
      <c r="AP8037" s="55">
        <v>19</v>
      </c>
      <c r="AQ8037" s="55">
        <v>0</v>
      </c>
      <c r="AR8037" s="55">
        <v>28500</v>
      </c>
      <c r="AS8037" s="78">
        <f t="shared" si="129"/>
        <v>0</v>
      </c>
    </row>
    <row r="8038" spans="39:45">
      <c r="AM8038" s="54">
        <v>2019</v>
      </c>
      <c r="AN8038" s="54" t="s">
        <v>193</v>
      </c>
      <c r="AO8038" s="54">
        <v>1</v>
      </c>
      <c r="AP8038" s="54">
        <v>20</v>
      </c>
      <c r="AQ8038" s="54">
        <v>0</v>
      </c>
      <c r="AR8038" s="55">
        <v>28500</v>
      </c>
      <c r="AS8038" s="78">
        <f t="shared" si="129"/>
        <v>0</v>
      </c>
    </row>
    <row r="8039" spans="39:45">
      <c r="AM8039" s="55">
        <v>2019</v>
      </c>
      <c r="AN8039" s="55" t="s">
        <v>193</v>
      </c>
      <c r="AO8039" s="55">
        <v>1</v>
      </c>
      <c r="AP8039" s="55">
        <v>21</v>
      </c>
      <c r="AQ8039" s="55">
        <v>0</v>
      </c>
      <c r="AR8039" s="55">
        <v>28500</v>
      </c>
      <c r="AS8039" s="78">
        <f t="shared" si="129"/>
        <v>0</v>
      </c>
    </row>
    <row r="8040" spans="39:45">
      <c r="AM8040" s="54">
        <v>2019</v>
      </c>
      <c r="AN8040" s="54" t="s">
        <v>193</v>
      </c>
      <c r="AO8040" s="54">
        <v>1</v>
      </c>
      <c r="AP8040" s="54">
        <v>22</v>
      </c>
      <c r="AQ8040" s="54">
        <v>0</v>
      </c>
      <c r="AR8040" s="55">
        <v>28500</v>
      </c>
      <c r="AS8040" s="78">
        <f t="shared" si="129"/>
        <v>0</v>
      </c>
    </row>
    <row r="8041" spans="39:45">
      <c r="AM8041" s="55">
        <v>2019</v>
      </c>
      <c r="AN8041" s="55" t="s">
        <v>193</v>
      </c>
      <c r="AO8041" s="55">
        <v>1</v>
      </c>
      <c r="AP8041" s="55">
        <v>23</v>
      </c>
      <c r="AQ8041" s="55">
        <v>0</v>
      </c>
      <c r="AR8041" s="55">
        <v>28500</v>
      </c>
      <c r="AS8041" s="78">
        <f t="shared" si="129"/>
        <v>0</v>
      </c>
    </row>
    <row r="8042" spans="39:45">
      <c r="AM8042" s="54">
        <v>2019</v>
      </c>
      <c r="AN8042" s="54" t="s">
        <v>193</v>
      </c>
      <c r="AO8042" s="54">
        <v>2</v>
      </c>
      <c r="AP8042" s="54">
        <v>24</v>
      </c>
      <c r="AQ8042" s="54">
        <v>0</v>
      </c>
      <c r="AR8042" s="55">
        <v>28500</v>
      </c>
      <c r="AS8042" s="78">
        <f t="shared" si="129"/>
        <v>0</v>
      </c>
    </row>
    <row r="8043" spans="39:45">
      <c r="AM8043" s="55">
        <v>2019</v>
      </c>
      <c r="AN8043" s="55" t="s">
        <v>193</v>
      </c>
      <c r="AO8043" s="55">
        <v>2</v>
      </c>
      <c r="AP8043" s="55">
        <v>1</v>
      </c>
      <c r="AQ8043" s="55">
        <v>0</v>
      </c>
      <c r="AR8043" s="55">
        <v>28500</v>
      </c>
      <c r="AS8043" s="78">
        <f t="shared" si="129"/>
        <v>0</v>
      </c>
    </row>
    <row r="8044" spans="39:45">
      <c r="AM8044" s="54">
        <v>2019</v>
      </c>
      <c r="AN8044" s="54" t="s">
        <v>193</v>
      </c>
      <c r="AO8044" s="54">
        <v>2</v>
      </c>
      <c r="AP8044" s="54">
        <v>2</v>
      </c>
      <c r="AQ8044" s="54">
        <v>0</v>
      </c>
      <c r="AR8044" s="55">
        <v>28500</v>
      </c>
      <c r="AS8044" s="78">
        <f t="shared" si="129"/>
        <v>0</v>
      </c>
    </row>
    <row r="8045" spans="39:45">
      <c r="AM8045" s="55">
        <v>2019</v>
      </c>
      <c r="AN8045" s="55" t="s">
        <v>193</v>
      </c>
      <c r="AO8045" s="55">
        <v>2</v>
      </c>
      <c r="AP8045" s="55">
        <v>3</v>
      </c>
      <c r="AQ8045" s="55">
        <v>0</v>
      </c>
      <c r="AR8045" s="55">
        <v>28500</v>
      </c>
      <c r="AS8045" s="78">
        <f t="shared" si="129"/>
        <v>0</v>
      </c>
    </row>
    <row r="8046" spans="39:45">
      <c r="AM8046" s="54">
        <v>2019</v>
      </c>
      <c r="AN8046" s="54" t="s">
        <v>193</v>
      </c>
      <c r="AO8046" s="54">
        <v>2</v>
      </c>
      <c r="AP8046" s="54">
        <v>4</v>
      </c>
      <c r="AQ8046" s="54">
        <v>0</v>
      </c>
      <c r="AR8046" s="55">
        <v>28500</v>
      </c>
      <c r="AS8046" s="78">
        <f t="shared" si="129"/>
        <v>0</v>
      </c>
    </row>
    <row r="8047" spans="39:45">
      <c r="AM8047" s="55">
        <v>2019</v>
      </c>
      <c r="AN8047" s="55" t="s">
        <v>193</v>
      </c>
      <c r="AO8047" s="55">
        <v>2</v>
      </c>
      <c r="AP8047" s="55">
        <v>5</v>
      </c>
      <c r="AQ8047" s="55">
        <v>0</v>
      </c>
      <c r="AR8047" s="55">
        <v>28500</v>
      </c>
      <c r="AS8047" s="78">
        <f t="shared" si="129"/>
        <v>0</v>
      </c>
    </row>
    <row r="8048" spans="39:45">
      <c r="AM8048" s="54">
        <v>2019</v>
      </c>
      <c r="AN8048" s="54" t="s">
        <v>193</v>
      </c>
      <c r="AO8048" s="54">
        <v>2</v>
      </c>
      <c r="AP8048" s="54">
        <v>6</v>
      </c>
      <c r="AQ8048" s="54">
        <v>0</v>
      </c>
      <c r="AR8048" s="55">
        <v>28500</v>
      </c>
      <c r="AS8048" s="78">
        <f t="shared" si="129"/>
        <v>0</v>
      </c>
    </row>
    <row r="8049" spans="39:45">
      <c r="AM8049" s="55">
        <v>2019</v>
      </c>
      <c r="AN8049" s="55" t="s">
        <v>193</v>
      </c>
      <c r="AO8049" s="55">
        <v>2</v>
      </c>
      <c r="AP8049" s="55">
        <v>7</v>
      </c>
      <c r="AQ8049" s="55">
        <v>0</v>
      </c>
      <c r="AR8049" s="55">
        <v>28500</v>
      </c>
      <c r="AS8049" s="78">
        <f t="shared" si="129"/>
        <v>0</v>
      </c>
    </row>
    <row r="8050" spans="39:45">
      <c r="AM8050" s="54">
        <v>2019</v>
      </c>
      <c r="AN8050" s="54" t="s">
        <v>193</v>
      </c>
      <c r="AO8050" s="54">
        <v>2</v>
      </c>
      <c r="AP8050" s="54">
        <v>8</v>
      </c>
      <c r="AQ8050" s="54">
        <v>1394.5</v>
      </c>
      <c r="AR8050" s="55">
        <v>28500</v>
      </c>
      <c r="AS8050" s="78">
        <f t="shared" si="129"/>
        <v>4.8929824561403511E-2</v>
      </c>
    </row>
    <row r="8051" spans="39:45">
      <c r="AM8051" s="55">
        <v>2019</v>
      </c>
      <c r="AN8051" s="55" t="s">
        <v>193</v>
      </c>
      <c r="AO8051" s="55">
        <v>2</v>
      </c>
      <c r="AP8051" s="55">
        <v>9</v>
      </c>
      <c r="AQ8051" s="55">
        <v>13980.5</v>
      </c>
      <c r="AR8051" s="55">
        <v>28500</v>
      </c>
      <c r="AS8051" s="78">
        <f t="shared" si="129"/>
        <v>0.49054385964912278</v>
      </c>
    </row>
    <row r="8052" spans="39:45">
      <c r="AM8052" s="54">
        <v>2019</v>
      </c>
      <c r="AN8052" s="54" t="s">
        <v>193</v>
      </c>
      <c r="AO8052" s="54">
        <v>2</v>
      </c>
      <c r="AP8052" s="54">
        <v>10</v>
      </c>
      <c r="AQ8052" s="54">
        <v>25717.5</v>
      </c>
      <c r="AR8052" s="55">
        <v>28500</v>
      </c>
      <c r="AS8052" s="78">
        <f t="shared" si="129"/>
        <v>0.9023684210526316</v>
      </c>
    </row>
    <row r="8053" spans="39:45">
      <c r="AM8053" s="55">
        <v>2019</v>
      </c>
      <c r="AN8053" s="55" t="s">
        <v>193</v>
      </c>
      <c r="AO8053" s="55">
        <v>2</v>
      </c>
      <c r="AP8053" s="55">
        <v>11</v>
      </c>
      <c r="AQ8053" s="55">
        <v>30163</v>
      </c>
      <c r="AR8053" s="55">
        <v>28500</v>
      </c>
      <c r="AS8053" s="78">
        <f t="shared" si="129"/>
        <v>1.0583508771929824</v>
      </c>
    </row>
    <row r="8054" spans="39:45">
      <c r="AM8054" s="54">
        <v>2019</v>
      </c>
      <c r="AN8054" s="54" t="s">
        <v>193</v>
      </c>
      <c r="AO8054" s="54">
        <v>2</v>
      </c>
      <c r="AP8054" s="54">
        <v>12</v>
      </c>
      <c r="AQ8054" s="54">
        <v>31086.5</v>
      </c>
      <c r="AR8054" s="55">
        <v>28500</v>
      </c>
      <c r="AS8054" s="78">
        <f t="shared" si="129"/>
        <v>1.0907543859649123</v>
      </c>
    </row>
    <row r="8055" spans="39:45">
      <c r="AM8055" s="55">
        <v>2019</v>
      </c>
      <c r="AN8055" s="55" t="s">
        <v>193</v>
      </c>
      <c r="AO8055" s="55">
        <v>2</v>
      </c>
      <c r="AP8055" s="55">
        <v>13</v>
      </c>
      <c r="AQ8055" s="55">
        <v>27331.5</v>
      </c>
      <c r="AR8055" s="55">
        <v>28500</v>
      </c>
      <c r="AS8055" s="78">
        <f t="shared" si="129"/>
        <v>0.95899999999999996</v>
      </c>
    </row>
    <row r="8056" spans="39:45">
      <c r="AM8056" s="54">
        <v>2019</v>
      </c>
      <c r="AN8056" s="54" t="s">
        <v>193</v>
      </c>
      <c r="AO8056" s="54">
        <v>2</v>
      </c>
      <c r="AP8056" s="54">
        <v>14</v>
      </c>
      <c r="AQ8056" s="54">
        <v>20905</v>
      </c>
      <c r="AR8056" s="55">
        <v>28500</v>
      </c>
      <c r="AS8056" s="78">
        <f t="shared" si="129"/>
        <v>0.73350877192982455</v>
      </c>
    </row>
    <row r="8057" spans="39:45">
      <c r="AM8057" s="55">
        <v>2019</v>
      </c>
      <c r="AN8057" s="55" t="s">
        <v>193</v>
      </c>
      <c r="AO8057" s="55">
        <v>2</v>
      </c>
      <c r="AP8057" s="55">
        <v>15</v>
      </c>
      <c r="AQ8057" s="55">
        <v>6027</v>
      </c>
      <c r="AR8057" s="55">
        <v>28500</v>
      </c>
      <c r="AS8057" s="78">
        <f t="shared" si="129"/>
        <v>0.21147368421052631</v>
      </c>
    </row>
    <row r="8058" spans="39:45">
      <c r="AM8058" s="54">
        <v>2019</v>
      </c>
      <c r="AN8058" s="54" t="s">
        <v>193</v>
      </c>
      <c r="AO8058" s="54">
        <v>2</v>
      </c>
      <c r="AP8058" s="54">
        <v>16</v>
      </c>
      <c r="AQ8058" s="54">
        <v>0</v>
      </c>
      <c r="AR8058" s="55">
        <v>28500</v>
      </c>
      <c r="AS8058" s="78">
        <f t="shared" si="129"/>
        <v>0</v>
      </c>
    </row>
    <row r="8059" spans="39:45">
      <c r="AM8059" s="55">
        <v>2019</v>
      </c>
      <c r="AN8059" s="55" t="s">
        <v>193</v>
      </c>
      <c r="AO8059" s="55">
        <v>2</v>
      </c>
      <c r="AP8059" s="55">
        <v>17</v>
      </c>
      <c r="AQ8059" s="55">
        <v>0</v>
      </c>
      <c r="AR8059" s="55">
        <v>28500</v>
      </c>
      <c r="AS8059" s="78">
        <f t="shared" si="129"/>
        <v>0</v>
      </c>
    </row>
    <row r="8060" spans="39:45">
      <c r="AM8060" s="54">
        <v>2019</v>
      </c>
      <c r="AN8060" s="54" t="s">
        <v>193</v>
      </c>
      <c r="AO8060" s="54">
        <v>2</v>
      </c>
      <c r="AP8060" s="54">
        <v>18</v>
      </c>
      <c r="AQ8060" s="54">
        <v>0</v>
      </c>
      <c r="AR8060" s="55">
        <v>28500</v>
      </c>
      <c r="AS8060" s="78">
        <f t="shared" si="129"/>
        <v>0</v>
      </c>
    </row>
    <row r="8061" spans="39:45">
      <c r="AM8061" s="55">
        <v>2019</v>
      </c>
      <c r="AN8061" s="55" t="s">
        <v>193</v>
      </c>
      <c r="AO8061" s="55">
        <v>2</v>
      </c>
      <c r="AP8061" s="55">
        <v>19</v>
      </c>
      <c r="AQ8061" s="55">
        <v>0</v>
      </c>
      <c r="AR8061" s="55">
        <v>28500</v>
      </c>
      <c r="AS8061" s="78">
        <f t="shared" si="129"/>
        <v>0</v>
      </c>
    </row>
    <row r="8062" spans="39:45">
      <c r="AM8062" s="54">
        <v>2019</v>
      </c>
      <c r="AN8062" s="54" t="s">
        <v>193</v>
      </c>
      <c r="AO8062" s="54">
        <v>2</v>
      </c>
      <c r="AP8062" s="54">
        <v>20</v>
      </c>
      <c r="AQ8062" s="54">
        <v>0</v>
      </c>
      <c r="AR8062" s="55">
        <v>28500</v>
      </c>
      <c r="AS8062" s="78">
        <f t="shared" si="129"/>
        <v>0</v>
      </c>
    </row>
    <row r="8063" spans="39:45">
      <c r="AM8063" s="55">
        <v>2019</v>
      </c>
      <c r="AN8063" s="55" t="s">
        <v>193</v>
      </c>
      <c r="AO8063" s="55">
        <v>2</v>
      </c>
      <c r="AP8063" s="55">
        <v>21</v>
      </c>
      <c r="AQ8063" s="55">
        <v>0</v>
      </c>
      <c r="AR8063" s="55">
        <v>28500</v>
      </c>
      <c r="AS8063" s="78">
        <f t="shared" si="129"/>
        <v>0</v>
      </c>
    </row>
    <row r="8064" spans="39:45">
      <c r="AM8064" s="54">
        <v>2019</v>
      </c>
      <c r="AN8064" s="54" t="s">
        <v>193</v>
      </c>
      <c r="AO8064" s="54">
        <v>2</v>
      </c>
      <c r="AP8064" s="54">
        <v>22</v>
      </c>
      <c r="AQ8064" s="54">
        <v>0</v>
      </c>
      <c r="AR8064" s="55">
        <v>28500</v>
      </c>
      <c r="AS8064" s="78">
        <f t="shared" si="129"/>
        <v>0</v>
      </c>
    </row>
    <row r="8065" spans="39:45">
      <c r="AM8065" s="55">
        <v>2019</v>
      </c>
      <c r="AN8065" s="55" t="s">
        <v>193</v>
      </c>
      <c r="AO8065" s="55">
        <v>2</v>
      </c>
      <c r="AP8065" s="55">
        <v>23</v>
      </c>
      <c r="AQ8065" s="55">
        <v>0</v>
      </c>
      <c r="AR8065" s="55">
        <v>28500</v>
      </c>
      <c r="AS8065" s="78">
        <f t="shared" si="129"/>
        <v>0</v>
      </c>
    </row>
    <row r="8066" spans="39:45">
      <c r="AM8066" s="54">
        <v>2019</v>
      </c>
      <c r="AN8066" s="54" t="s">
        <v>193</v>
      </c>
      <c r="AO8066" s="54">
        <v>3</v>
      </c>
      <c r="AP8066" s="54">
        <v>24</v>
      </c>
      <c r="AQ8066" s="54">
        <v>0</v>
      </c>
      <c r="AR8066" s="55">
        <v>28500</v>
      </c>
      <c r="AS8066" s="78">
        <f t="shared" ref="AS8066:AS8129" si="130">AQ8066/AR8066</f>
        <v>0</v>
      </c>
    </row>
    <row r="8067" spans="39:45">
      <c r="AM8067" s="55">
        <v>2019</v>
      </c>
      <c r="AN8067" s="55" t="s">
        <v>193</v>
      </c>
      <c r="AO8067" s="55">
        <v>3</v>
      </c>
      <c r="AP8067" s="55">
        <v>1</v>
      </c>
      <c r="AQ8067" s="55">
        <v>0</v>
      </c>
      <c r="AR8067" s="55">
        <v>28500</v>
      </c>
      <c r="AS8067" s="78">
        <f t="shared" si="130"/>
        <v>0</v>
      </c>
    </row>
    <row r="8068" spans="39:45">
      <c r="AM8068" s="54">
        <v>2019</v>
      </c>
      <c r="AN8068" s="54" t="s">
        <v>193</v>
      </c>
      <c r="AO8068" s="54">
        <v>3</v>
      </c>
      <c r="AP8068" s="54">
        <v>2</v>
      </c>
      <c r="AQ8068" s="54">
        <v>0</v>
      </c>
      <c r="AR8068" s="55">
        <v>28500</v>
      </c>
      <c r="AS8068" s="78">
        <f t="shared" si="130"/>
        <v>0</v>
      </c>
    </row>
    <row r="8069" spans="39:45">
      <c r="AM8069" s="55">
        <v>2019</v>
      </c>
      <c r="AN8069" s="55" t="s">
        <v>193</v>
      </c>
      <c r="AO8069" s="55">
        <v>3</v>
      </c>
      <c r="AP8069" s="55">
        <v>3</v>
      </c>
      <c r="AQ8069" s="55">
        <v>0</v>
      </c>
      <c r="AR8069" s="55">
        <v>28500</v>
      </c>
      <c r="AS8069" s="78">
        <f t="shared" si="130"/>
        <v>0</v>
      </c>
    </row>
    <row r="8070" spans="39:45">
      <c r="AM8070" s="54">
        <v>2019</v>
      </c>
      <c r="AN8070" s="54" t="s">
        <v>193</v>
      </c>
      <c r="AO8070" s="54">
        <v>3</v>
      </c>
      <c r="AP8070" s="54">
        <v>4</v>
      </c>
      <c r="AQ8070" s="54">
        <v>0</v>
      </c>
      <c r="AR8070" s="55">
        <v>28500</v>
      </c>
      <c r="AS8070" s="78">
        <f t="shared" si="130"/>
        <v>0</v>
      </c>
    </row>
    <row r="8071" spans="39:45">
      <c r="AM8071" s="55">
        <v>2019</v>
      </c>
      <c r="AN8071" s="55" t="s">
        <v>193</v>
      </c>
      <c r="AO8071" s="55">
        <v>3</v>
      </c>
      <c r="AP8071" s="55">
        <v>5</v>
      </c>
      <c r="AQ8071" s="55">
        <v>0</v>
      </c>
      <c r="AR8071" s="55">
        <v>28500</v>
      </c>
      <c r="AS8071" s="78">
        <f t="shared" si="130"/>
        <v>0</v>
      </c>
    </row>
    <row r="8072" spans="39:45">
      <c r="AM8072" s="54">
        <v>2019</v>
      </c>
      <c r="AN8072" s="54" t="s">
        <v>193</v>
      </c>
      <c r="AO8072" s="54">
        <v>3</v>
      </c>
      <c r="AP8072" s="54">
        <v>6</v>
      </c>
      <c r="AQ8072" s="54">
        <v>0</v>
      </c>
      <c r="AR8072" s="55">
        <v>28500</v>
      </c>
      <c r="AS8072" s="78">
        <f t="shared" si="130"/>
        <v>0</v>
      </c>
    </row>
    <row r="8073" spans="39:45">
      <c r="AM8073" s="55">
        <v>2019</v>
      </c>
      <c r="AN8073" s="55" t="s">
        <v>193</v>
      </c>
      <c r="AO8073" s="55">
        <v>3</v>
      </c>
      <c r="AP8073" s="55">
        <v>7</v>
      </c>
      <c r="AQ8073" s="55">
        <v>0</v>
      </c>
      <c r="AR8073" s="55">
        <v>28500</v>
      </c>
      <c r="AS8073" s="78">
        <f t="shared" si="130"/>
        <v>0</v>
      </c>
    </row>
    <row r="8074" spans="39:45">
      <c r="AM8074" s="54">
        <v>2019</v>
      </c>
      <c r="AN8074" s="54" t="s">
        <v>193</v>
      </c>
      <c r="AO8074" s="54">
        <v>3</v>
      </c>
      <c r="AP8074" s="54">
        <v>8</v>
      </c>
      <c r="AQ8074" s="54">
        <v>35.5</v>
      </c>
      <c r="AR8074" s="55">
        <v>28500</v>
      </c>
      <c r="AS8074" s="78">
        <f t="shared" si="130"/>
        <v>1.2456140350877193E-3</v>
      </c>
    </row>
    <row r="8075" spans="39:45">
      <c r="AM8075" s="55">
        <v>2019</v>
      </c>
      <c r="AN8075" s="55" t="s">
        <v>193</v>
      </c>
      <c r="AO8075" s="55">
        <v>3</v>
      </c>
      <c r="AP8075" s="55">
        <v>9</v>
      </c>
      <c r="AQ8075" s="55">
        <v>6534.5</v>
      </c>
      <c r="AR8075" s="55">
        <v>28500</v>
      </c>
      <c r="AS8075" s="78">
        <f t="shared" si="130"/>
        <v>0.22928070175438597</v>
      </c>
    </row>
    <row r="8076" spans="39:45">
      <c r="AM8076" s="54">
        <v>2019</v>
      </c>
      <c r="AN8076" s="54" t="s">
        <v>193</v>
      </c>
      <c r="AO8076" s="54">
        <v>3</v>
      </c>
      <c r="AP8076" s="54">
        <v>10</v>
      </c>
      <c r="AQ8076" s="54">
        <v>22383.5</v>
      </c>
      <c r="AR8076" s="55">
        <v>28500</v>
      </c>
      <c r="AS8076" s="78">
        <f t="shared" si="130"/>
        <v>0.78538596491228074</v>
      </c>
    </row>
    <row r="8077" spans="39:45">
      <c r="AM8077" s="55">
        <v>2019</v>
      </c>
      <c r="AN8077" s="55" t="s">
        <v>193</v>
      </c>
      <c r="AO8077" s="55">
        <v>3</v>
      </c>
      <c r="AP8077" s="55">
        <v>11</v>
      </c>
      <c r="AQ8077" s="55">
        <v>27873</v>
      </c>
      <c r="AR8077" s="55">
        <v>28500</v>
      </c>
      <c r="AS8077" s="78">
        <f t="shared" si="130"/>
        <v>0.97799999999999998</v>
      </c>
    </row>
    <row r="8078" spans="39:45">
      <c r="AM8078" s="54">
        <v>2019</v>
      </c>
      <c r="AN8078" s="54" t="s">
        <v>193</v>
      </c>
      <c r="AO8078" s="54">
        <v>3</v>
      </c>
      <c r="AP8078" s="54">
        <v>12</v>
      </c>
      <c r="AQ8078" s="54">
        <v>29227</v>
      </c>
      <c r="AR8078" s="55">
        <v>28500</v>
      </c>
      <c r="AS8078" s="78">
        <f t="shared" si="130"/>
        <v>1.0255087719298246</v>
      </c>
    </row>
    <row r="8079" spans="39:45">
      <c r="AM8079" s="55">
        <v>2019</v>
      </c>
      <c r="AN8079" s="55" t="s">
        <v>193</v>
      </c>
      <c r="AO8079" s="55">
        <v>3</v>
      </c>
      <c r="AP8079" s="55">
        <v>13</v>
      </c>
      <c r="AQ8079" s="55">
        <v>25904.5</v>
      </c>
      <c r="AR8079" s="55">
        <v>28500</v>
      </c>
      <c r="AS8079" s="78">
        <f t="shared" si="130"/>
        <v>0.90892982456140348</v>
      </c>
    </row>
    <row r="8080" spans="39:45">
      <c r="AM8080" s="54">
        <v>2019</v>
      </c>
      <c r="AN8080" s="54" t="s">
        <v>193</v>
      </c>
      <c r="AO8080" s="54">
        <v>3</v>
      </c>
      <c r="AP8080" s="54">
        <v>14</v>
      </c>
      <c r="AQ8080" s="54">
        <v>19313.5</v>
      </c>
      <c r="AR8080" s="55">
        <v>28500</v>
      </c>
      <c r="AS8080" s="78">
        <f t="shared" si="130"/>
        <v>0.67766666666666664</v>
      </c>
    </row>
    <row r="8081" spans="39:45">
      <c r="AM8081" s="55">
        <v>2019</v>
      </c>
      <c r="AN8081" s="55" t="s">
        <v>193</v>
      </c>
      <c r="AO8081" s="55">
        <v>3</v>
      </c>
      <c r="AP8081" s="55">
        <v>15</v>
      </c>
      <c r="AQ8081" s="55">
        <v>6295.5</v>
      </c>
      <c r="AR8081" s="55">
        <v>28500</v>
      </c>
      <c r="AS8081" s="78">
        <f t="shared" si="130"/>
        <v>0.22089473684210525</v>
      </c>
    </row>
    <row r="8082" spans="39:45">
      <c r="AM8082" s="54">
        <v>2019</v>
      </c>
      <c r="AN8082" s="54" t="s">
        <v>193</v>
      </c>
      <c r="AO8082" s="54">
        <v>3</v>
      </c>
      <c r="AP8082" s="54">
        <v>16</v>
      </c>
      <c r="AQ8082" s="54">
        <v>0</v>
      </c>
      <c r="AR8082" s="55">
        <v>28500</v>
      </c>
      <c r="AS8082" s="78">
        <f t="shared" si="130"/>
        <v>0</v>
      </c>
    </row>
    <row r="8083" spans="39:45">
      <c r="AM8083" s="55">
        <v>2019</v>
      </c>
      <c r="AN8083" s="55" t="s">
        <v>193</v>
      </c>
      <c r="AO8083" s="55">
        <v>3</v>
      </c>
      <c r="AP8083" s="55">
        <v>17</v>
      </c>
      <c r="AQ8083" s="55">
        <v>0</v>
      </c>
      <c r="AR8083" s="55">
        <v>28500</v>
      </c>
      <c r="AS8083" s="78">
        <f t="shared" si="130"/>
        <v>0</v>
      </c>
    </row>
    <row r="8084" spans="39:45">
      <c r="AM8084" s="54">
        <v>2019</v>
      </c>
      <c r="AN8084" s="54" t="s">
        <v>193</v>
      </c>
      <c r="AO8084" s="54">
        <v>3</v>
      </c>
      <c r="AP8084" s="54">
        <v>18</v>
      </c>
      <c r="AQ8084" s="54">
        <v>0</v>
      </c>
      <c r="AR8084" s="55">
        <v>28500</v>
      </c>
      <c r="AS8084" s="78">
        <f t="shared" si="130"/>
        <v>0</v>
      </c>
    </row>
    <row r="8085" spans="39:45">
      <c r="AM8085" s="55">
        <v>2019</v>
      </c>
      <c r="AN8085" s="55" t="s">
        <v>193</v>
      </c>
      <c r="AO8085" s="55">
        <v>3</v>
      </c>
      <c r="AP8085" s="55">
        <v>19</v>
      </c>
      <c r="AQ8085" s="55">
        <v>0</v>
      </c>
      <c r="AR8085" s="55">
        <v>28500</v>
      </c>
      <c r="AS8085" s="78">
        <f t="shared" si="130"/>
        <v>0</v>
      </c>
    </row>
    <row r="8086" spans="39:45">
      <c r="AM8086" s="54">
        <v>2019</v>
      </c>
      <c r="AN8086" s="54" t="s">
        <v>193</v>
      </c>
      <c r="AO8086" s="54">
        <v>3</v>
      </c>
      <c r="AP8086" s="54">
        <v>20</v>
      </c>
      <c r="AQ8086" s="54">
        <v>0</v>
      </c>
      <c r="AR8086" s="55">
        <v>28500</v>
      </c>
      <c r="AS8086" s="78">
        <f t="shared" si="130"/>
        <v>0</v>
      </c>
    </row>
    <row r="8087" spans="39:45">
      <c r="AM8087" s="55">
        <v>2019</v>
      </c>
      <c r="AN8087" s="55" t="s">
        <v>193</v>
      </c>
      <c r="AO8087" s="55">
        <v>3</v>
      </c>
      <c r="AP8087" s="55">
        <v>21</v>
      </c>
      <c r="AQ8087" s="55">
        <v>0</v>
      </c>
      <c r="AR8087" s="55">
        <v>28500</v>
      </c>
      <c r="AS8087" s="78">
        <f t="shared" si="130"/>
        <v>0</v>
      </c>
    </row>
    <row r="8088" spans="39:45">
      <c r="AM8088" s="54">
        <v>2019</v>
      </c>
      <c r="AN8088" s="54" t="s">
        <v>193</v>
      </c>
      <c r="AO8088" s="54">
        <v>3</v>
      </c>
      <c r="AP8088" s="54">
        <v>22</v>
      </c>
      <c r="AQ8088" s="54">
        <v>0</v>
      </c>
      <c r="AR8088" s="55">
        <v>28500</v>
      </c>
      <c r="AS8088" s="78">
        <f t="shared" si="130"/>
        <v>0</v>
      </c>
    </row>
    <row r="8089" spans="39:45">
      <c r="AM8089" s="55">
        <v>2019</v>
      </c>
      <c r="AN8089" s="55" t="s">
        <v>193</v>
      </c>
      <c r="AO8089" s="55">
        <v>3</v>
      </c>
      <c r="AP8089" s="55">
        <v>23</v>
      </c>
      <c r="AQ8089" s="55">
        <v>0</v>
      </c>
      <c r="AR8089" s="55">
        <v>28500</v>
      </c>
      <c r="AS8089" s="78">
        <f t="shared" si="130"/>
        <v>0</v>
      </c>
    </row>
    <row r="8090" spans="39:45">
      <c r="AM8090" s="54">
        <v>2019</v>
      </c>
      <c r="AN8090" s="54" t="s">
        <v>193</v>
      </c>
      <c r="AO8090" s="54">
        <v>4</v>
      </c>
      <c r="AP8090" s="54">
        <v>24</v>
      </c>
      <c r="AQ8090" s="54">
        <v>0</v>
      </c>
      <c r="AR8090" s="55">
        <v>28500</v>
      </c>
      <c r="AS8090" s="78">
        <f t="shared" si="130"/>
        <v>0</v>
      </c>
    </row>
    <row r="8091" spans="39:45">
      <c r="AM8091" s="55">
        <v>2019</v>
      </c>
      <c r="AN8091" s="55" t="s">
        <v>193</v>
      </c>
      <c r="AO8091" s="55">
        <v>4</v>
      </c>
      <c r="AP8091" s="55">
        <v>1</v>
      </c>
      <c r="AQ8091" s="55">
        <v>0</v>
      </c>
      <c r="AR8091" s="55">
        <v>28500</v>
      </c>
      <c r="AS8091" s="78">
        <f t="shared" si="130"/>
        <v>0</v>
      </c>
    </row>
    <row r="8092" spans="39:45">
      <c r="AM8092" s="54">
        <v>2019</v>
      </c>
      <c r="AN8092" s="54" t="s">
        <v>193</v>
      </c>
      <c r="AO8092" s="54">
        <v>4</v>
      </c>
      <c r="AP8092" s="54">
        <v>2</v>
      </c>
      <c r="AQ8092" s="54">
        <v>0</v>
      </c>
      <c r="AR8092" s="55">
        <v>28500</v>
      </c>
      <c r="AS8092" s="78">
        <f t="shared" si="130"/>
        <v>0</v>
      </c>
    </row>
    <row r="8093" spans="39:45">
      <c r="AM8093" s="55">
        <v>2019</v>
      </c>
      <c r="AN8093" s="55" t="s">
        <v>193</v>
      </c>
      <c r="AO8093" s="55">
        <v>4</v>
      </c>
      <c r="AP8093" s="55">
        <v>3</v>
      </c>
      <c r="AQ8093" s="55">
        <v>0</v>
      </c>
      <c r="AR8093" s="55">
        <v>28500</v>
      </c>
      <c r="AS8093" s="78">
        <f t="shared" si="130"/>
        <v>0</v>
      </c>
    </row>
    <row r="8094" spans="39:45">
      <c r="AM8094" s="54">
        <v>2019</v>
      </c>
      <c r="AN8094" s="54" t="s">
        <v>193</v>
      </c>
      <c r="AO8094" s="54">
        <v>4</v>
      </c>
      <c r="AP8094" s="54">
        <v>4</v>
      </c>
      <c r="AQ8094" s="54">
        <v>0</v>
      </c>
      <c r="AR8094" s="55">
        <v>28500</v>
      </c>
      <c r="AS8094" s="78">
        <f t="shared" si="130"/>
        <v>0</v>
      </c>
    </row>
    <row r="8095" spans="39:45">
      <c r="AM8095" s="55">
        <v>2019</v>
      </c>
      <c r="AN8095" s="55" t="s">
        <v>193</v>
      </c>
      <c r="AO8095" s="55">
        <v>4</v>
      </c>
      <c r="AP8095" s="55">
        <v>5</v>
      </c>
      <c r="AQ8095" s="55">
        <v>0</v>
      </c>
      <c r="AR8095" s="55">
        <v>28500</v>
      </c>
      <c r="AS8095" s="78">
        <f t="shared" si="130"/>
        <v>0</v>
      </c>
    </row>
    <row r="8096" spans="39:45">
      <c r="AM8096" s="54">
        <v>2019</v>
      </c>
      <c r="AN8096" s="54" t="s">
        <v>193</v>
      </c>
      <c r="AO8096" s="54">
        <v>4</v>
      </c>
      <c r="AP8096" s="54">
        <v>6</v>
      </c>
      <c r="AQ8096" s="54">
        <v>0</v>
      </c>
      <c r="AR8096" s="55">
        <v>28500</v>
      </c>
      <c r="AS8096" s="78">
        <f t="shared" si="130"/>
        <v>0</v>
      </c>
    </row>
    <row r="8097" spans="39:45">
      <c r="AM8097" s="55">
        <v>2019</v>
      </c>
      <c r="AN8097" s="55" t="s">
        <v>193</v>
      </c>
      <c r="AO8097" s="55">
        <v>4</v>
      </c>
      <c r="AP8097" s="55">
        <v>7</v>
      </c>
      <c r="AQ8097" s="55">
        <v>0</v>
      </c>
      <c r="AR8097" s="55">
        <v>28500</v>
      </c>
      <c r="AS8097" s="78">
        <f t="shared" si="130"/>
        <v>0</v>
      </c>
    </row>
    <row r="8098" spans="39:45">
      <c r="AM8098" s="54">
        <v>2019</v>
      </c>
      <c r="AN8098" s="54" t="s">
        <v>193</v>
      </c>
      <c r="AO8098" s="54">
        <v>4</v>
      </c>
      <c r="AP8098" s="54">
        <v>8</v>
      </c>
      <c r="AQ8098" s="54">
        <v>0</v>
      </c>
      <c r="AR8098" s="55">
        <v>28500</v>
      </c>
      <c r="AS8098" s="78">
        <f t="shared" si="130"/>
        <v>0</v>
      </c>
    </row>
    <row r="8099" spans="39:45">
      <c r="AM8099" s="55">
        <v>2019</v>
      </c>
      <c r="AN8099" s="55" t="s">
        <v>193</v>
      </c>
      <c r="AO8099" s="55">
        <v>4</v>
      </c>
      <c r="AP8099" s="55">
        <v>9</v>
      </c>
      <c r="AQ8099" s="55">
        <v>13657.5</v>
      </c>
      <c r="AR8099" s="55">
        <v>28500</v>
      </c>
      <c r="AS8099" s="78">
        <f t="shared" si="130"/>
        <v>0.47921052631578948</v>
      </c>
    </row>
    <row r="8100" spans="39:45">
      <c r="AM8100" s="54">
        <v>2019</v>
      </c>
      <c r="AN8100" s="54" t="s">
        <v>193</v>
      </c>
      <c r="AO8100" s="54">
        <v>4</v>
      </c>
      <c r="AP8100" s="54">
        <v>10</v>
      </c>
      <c r="AQ8100" s="54">
        <v>24569.5</v>
      </c>
      <c r="AR8100" s="55">
        <v>28500</v>
      </c>
      <c r="AS8100" s="78">
        <f t="shared" si="130"/>
        <v>0.86208771929824557</v>
      </c>
    </row>
    <row r="8101" spans="39:45">
      <c r="AM8101" s="55">
        <v>2019</v>
      </c>
      <c r="AN8101" s="55" t="s">
        <v>193</v>
      </c>
      <c r="AO8101" s="55">
        <v>4</v>
      </c>
      <c r="AP8101" s="55">
        <v>11</v>
      </c>
      <c r="AQ8101" s="55">
        <v>29490</v>
      </c>
      <c r="AR8101" s="55">
        <v>28500</v>
      </c>
      <c r="AS8101" s="78">
        <f t="shared" si="130"/>
        <v>1.0347368421052632</v>
      </c>
    </row>
    <row r="8102" spans="39:45">
      <c r="AM8102" s="54">
        <v>2019</v>
      </c>
      <c r="AN8102" s="54" t="s">
        <v>193</v>
      </c>
      <c r="AO8102" s="54">
        <v>4</v>
      </c>
      <c r="AP8102" s="54">
        <v>12</v>
      </c>
      <c r="AQ8102" s="54">
        <v>30191.5</v>
      </c>
      <c r="AR8102" s="55">
        <v>28500</v>
      </c>
      <c r="AS8102" s="78">
        <f t="shared" si="130"/>
        <v>1.0593508771929825</v>
      </c>
    </row>
    <row r="8103" spans="39:45">
      <c r="AM8103" s="55">
        <v>2019</v>
      </c>
      <c r="AN8103" s="55" t="s">
        <v>193</v>
      </c>
      <c r="AO8103" s="55">
        <v>4</v>
      </c>
      <c r="AP8103" s="55">
        <v>13</v>
      </c>
      <c r="AQ8103" s="55">
        <v>26623</v>
      </c>
      <c r="AR8103" s="55">
        <v>28500</v>
      </c>
      <c r="AS8103" s="78">
        <f t="shared" si="130"/>
        <v>0.93414035087719294</v>
      </c>
    </row>
    <row r="8104" spans="39:45">
      <c r="AM8104" s="54">
        <v>2019</v>
      </c>
      <c r="AN8104" s="54" t="s">
        <v>193</v>
      </c>
      <c r="AO8104" s="54">
        <v>4</v>
      </c>
      <c r="AP8104" s="54">
        <v>14</v>
      </c>
      <c r="AQ8104" s="54">
        <v>20679.5</v>
      </c>
      <c r="AR8104" s="55">
        <v>28500</v>
      </c>
      <c r="AS8104" s="78">
        <f t="shared" si="130"/>
        <v>0.72559649122807013</v>
      </c>
    </row>
    <row r="8105" spans="39:45">
      <c r="AM8105" s="55">
        <v>2019</v>
      </c>
      <c r="AN8105" s="55" t="s">
        <v>193</v>
      </c>
      <c r="AO8105" s="55">
        <v>4</v>
      </c>
      <c r="AP8105" s="55">
        <v>15</v>
      </c>
      <c r="AQ8105" s="55">
        <v>7091</v>
      </c>
      <c r="AR8105" s="55">
        <v>28500</v>
      </c>
      <c r="AS8105" s="78">
        <f t="shared" si="130"/>
        <v>0.24880701754385964</v>
      </c>
    </row>
    <row r="8106" spans="39:45">
      <c r="AM8106" s="54">
        <v>2019</v>
      </c>
      <c r="AN8106" s="54" t="s">
        <v>193</v>
      </c>
      <c r="AO8106" s="54">
        <v>4</v>
      </c>
      <c r="AP8106" s="54">
        <v>16</v>
      </c>
      <c r="AQ8106" s="54">
        <v>0</v>
      </c>
      <c r="AR8106" s="55">
        <v>28500</v>
      </c>
      <c r="AS8106" s="78">
        <f t="shared" si="130"/>
        <v>0</v>
      </c>
    </row>
    <row r="8107" spans="39:45">
      <c r="AM8107" s="55">
        <v>2019</v>
      </c>
      <c r="AN8107" s="55" t="s">
        <v>193</v>
      </c>
      <c r="AO8107" s="55">
        <v>4</v>
      </c>
      <c r="AP8107" s="55">
        <v>17</v>
      </c>
      <c r="AQ8107" s="55">
        <v>0</v>
      </c>
      <c r="AR8107" s="55">
        <v>28500</v>
      </c>
      <c r="AS8107" s="78">
        <f t="shared" si="130"/>
        <v>0</v>
      </c>
    </row>
    <row r="8108" spans="39:45">
      <c r="AM8108" s="54">
        <v>2019</v>
      </c>
      <c r="AN8108" s="54" t="s">
        <v>193</v>
      </c>
      <c r="AO8108" s="54">
        <v>4</v>
      </c>
      <c r="AP8108" s="54">
        <v>18</v>
      </c>
      <c r="AQ8108" s="54">
        <v>0</v>
      </c>
      <c r="AR8108" s="55">
        <v>28500</v>
      </c>
      <c r="AS8108" s="78">
        <f t="shared" si="130"/>
        <v>0</v>
      </c>
    </row>
    <row r="8109" spans="39:45">
      <c r="AM8109" s="55">
        <v>2019</v>
      </c>
      <c r="AN8109" s="55" t="s">
        <v>193</v>
      </c>
      <c r="AO8109" s="55">
        <v>4</v>
      </c>
      <c r="AP8109" s="55">
        <v>19</v>
      </c>
      <c r="AQ8109" s="55">
        <v>0</v>
      </c>
      <c r="AR8109" s="55">
        <v>28500</v>
      </c>
      <c r="AS8109" s="78">
        <f t="shared" si="130"/>
        <v>0</v>
      </c>
    </row>
    <row r="8110" spans="39:45">
      <c r="AM8110" s="54">
        <v>2019</v>
      </c>
      <c r="AN8110" s="54" t="s">
        <v>193</v>
      </c>
      <c r="AO8110" s="54">
        <v>4</v>
      </c>
      <c r="AP8110" s="54">
        <v>20</v>
      </c>
      <c r="AQ8110" s="54">
        <v>0</v>
      </c>
      <c r="AR8110" s="55">
        <v>28500</v>
      </c>
      <c r="AS8110" s="78">
        <f t="shared" si="130"/>
        <v>0</v>
      </c>
    </row>
    <row r="8111" spans="39:45">
      <c r="AM8111" s="55">
        <v>2019</v>
      </c>
      <c r="AN8111" s="55" t="s">
        <v>193</v>
      </c>
      <c r="AO8111" s="55">
        <v>4</v>
      </c>
      <c r="AP8111" s="55">
        <v>21</v>
      </c>
      <c r="AQ8111" s="55">
        <v>0</v>
      </c>
      <c r="AR8111" s="55">
        <v>28500</v>
      </c>
      <c r="AS8111" s="78">
        <f t="shared" si="130"/>
        <v>0</v>
      </c>
    </row>
    <row r="8112" spans="39:45">
      <c r="AM8112" s="54">
        <v>2019</v>
      </c>
      <c r="AN8112" s="54" t="s">
        <v>193</v>
      </c>
      <c r="AO8112" s="54">
        <v>4</v>
      </c>
      <c r="AP8112" s="54">
        <v>22</v>
      </c>
      <c r="AQ8112" s="54">
        <v>0</v>
      </c>
      <c r="AR8112" s="55">
        <v>28500</v>
      </c>
      <c r="AS8112" s="78">
        <f t="shared" si="130"/>
        <v>0</v>
      </c>
    </row>
    <row r="8113" spans="39:45">
      <c r="AM8113" s="55">
        <v>2019</v>
      </c>
      <c r="AN8113" s="55" t="s">
        <v>193</v>
      </c>
      <c r="AO8113" s="55">
        <v>4</v>
      </c>
      <c r="AP8113" s="55">
        <v>23</v>
      </c>
      <c r="AQ8113" s="55">
        <v>0</v>
      </c>
      <c r="AR8113" s="55">
        <v>28500</v>
      </c>
      <c r="AS8113" s="78">
        <f t="shared" si="130"/>
        <v>0</v>
      </c>
    </row>
    <row r="8114" spans="39:45">
      <c r="AM8114" s="54">
        <v>2019</v>
      </c>
      <c r="AN8114" s="54" t="s">
        <v>193</v>
      </c>
      <c r="AO8114" s="54">
        <v>5</v>
      </c>
      <c r="AP8114" s="54">
        <v>24</v>
      </c>
      <c r="AQ8114" s="54">
        <v>0</v>
      </c>
      <c r="AR8114" s="55">
        <v>28500</v>
      </c>
      <c r="AS8114" s="78">
        <f t="shared" si="130"/>
        <v>0</v>
      </c>
    </row>
    <row r="8115" spans="39:45">
      <c r="AM8115" s="55">
        <v>2019</v>
      </c>
      <c r="AN8115" s="55" t="s">
        <v>193</v>
      </c>
      <c r="AO8115" s="55">
        <v>5</v>
      </c>
      <c r="AP8115" s="55">
        <v>1</v>
      </c>
      <c r="AQ8115" s="55">
        <v>0</v>
      </c>
      <c r="AR8115" s="55">
        <v>28500</v>
      </c>
      <c r="AS8115" s="78">
        <f t="shared" si="130"/>
        <v>0</v>
      </c>
    </row>
    <row r="8116" spans="39:45">
      <c r="AM8116" s="54">
        <v>2019</v>
      </c>
      <c r="AN8116" s="54" t="s">
        <v>193</v>
      </c>
      <c r="AO8116" s="54">
        <v>5</v>
      </c>
      <c r="AP8116" s="54">
        <v>2</v>
      </c>
      <c r="AQ8116" s="54">
        <v>0</v>
      </c>
      <c r="AR8116" s="55">
        <v>28500</v>
      </c>
      <c r="AS8116" s="78">
        <f t="shared" si="130"/>
        <v>0</v>
      </c>
    </row>
    <row r="8117" spans="39:45">
      <c r="AM8117" s="55">
        <v>2019</v>
      </c>
      <c r="AN8117" s="55" t="s">
        <v>193</v>
      </c>
      <c r="AO8117" s="55">
        <v>5</v>
      </c>
      <c r="AP8117" s="55">
        <v>3</v>
      </c>
      <c r="AQ8117" s="55">
        <v>0</v>
      </c>
      <c r="AR8117" s="55">
        <v>28500</v>
      </c>
      <c r="AS8117" s="78">
        <f t="shared" si="130"/>
        <v>0</v>
      </c>
    </row>
    <row r="8118" spans="39:45">
      <c r="AM8118" s="54">
        <v>2019</v>
      </c>
      <c r="AN8118" s="54" t="s">
        <v>193</v>
      </c>
      <c r="AO8118" s="54">
        <v>5</v>
      </c>
      <c r="AP8118" s="54">
        <v>4</v>
      </c>
      <c r="AQ8118" s="54">
        <v>0</v>
      </c>
      <c r="AR8118" s="55">
        <v>28500</v>
      </c>
      <c r="AS8118" s="78">
        <f t="shared" si="130"/>
        <v>0</v>
      </c>
    </row>
    <row r="8119" spans="39:45">
      <c r="AM8119" s="55">
        <v>2019</v>
      </c>
      <c r="AN8119" s="55" t="s">
        <v>193</v>
      </c>
      <c r="AO8119" s="55">
        <v>5</v>
      </c>
      <c r="AP8119" s="55">
        <v>5</v>
      </c>
      <c r="AQ8119" s="55">
        <v>0</v>
      </c>
      <c r="AR8119" s="55">
        <v>28500</v>
      </c>
      <c r="AS8119" s="78">
        <f t="shared" si="130"/>
        <v>0</v>
      </c>
    </row>
    <row r="8120" spans="39:45">
      <c r="AM8120" s="54">
        <v>2019</v>
      </c>
      <c r="AN8120" s="54" t="s">
        <v>193</v>
      </c>
      <c r="AO8120" s="54">
        <v>5</v>
      </c>
      <c r="AP8120" s="54">
        <v>6</v>
      </c>
      <c r="AQ8120" s="54">
        <v>0</v>
      </c>
      <c r="AR8120" s="55">
        <v>28500</v>
      </c>
      <c r="AS8120" s="78">
        <f t="shared" si="130"/>
        <v>0</v>
      </c>
    </row>
    <row r="8121" spans="39:45">
      <c r="AM8121" s="55">
        <v>2019</v>
      </c>
      <c r="AN8121" s="55" t="s">
        <v>193</v>
      </c>
      <c r="AO8121" s="55">
        <v>5</v>
      </c>
      <c r="AP8121" s="55">
        <v>7</v>
      </c>
      <c r="AQ8121" s="55">
        <v>0</v>
      </c>
      <c r="AR8121" s="55">
        <v>28500</v>
      </c>
      <c r="AS8121" s="78">
        <f t="shared" si="130"/>
        <v>0</v>
      </c>
    </row>
    <row r="8122" spans="39:45">
      <c r="AM8122" s="54">
        <v>2019</v>
      </c>
      <c r="AN8122" s="54" t="s">
        <v>193</v>
      </c>
      <c r="AO8122" s="54">
        <v>5</v>
      </c>
      <c r="AP8122" s="54">
        <v>8</v>
      </c>
      <c r="AQ8122" s="54">
        <v>0</v>
      </c>
      <c r="AR8122" s="55">
        <v>28500</v>
      </c>
      <c r="AS8122" s="78">
        <f t="shared" si="130"/>
        <v>0</v>
      </c>
    </row>
    <row r="8123" spans="39:45">
      <c r="AM8123" s="55">
        <v>2019</v>
      </c>
      <c r="AN8123" s="55" t="s">
        <v>193</v>
      </c>
      <c r="AO8123" s="55">
        <v>5</v>
      </c>
      <c r="AP8123" s="55">
        <v>9</v>
      </c>
      <c r="AQ8123" s="55">
        <v>4375</v>
      </c>
      <c r="AR8123" s="55">
        <v>28500</v>
      </c>
      <c r="AS8123" s="78">
        <f t="shared" si="130"/>
        <v>0.15350877192982457</v>
      </c>
    </row>
    <row r="8124" spans="39:45">
      <c r="AM8124" s="54">
        <v>2019</v>
      </c>
      <c r="AN8124" s="54" t="s">
        <v>193</v>
      </c>
      <c r="AO8124" s="54">
        <v>5</v>
      </c>
      <c r="AP8124" s="54">
        <v>10</v>
      </c>
      <c r="AQ8124" s="54">
        <v>5444.5</v>
      </c>
      <c r="AR8124" s="55">
        <v>28500</v>
      </c>
      <c r="AS8124" s="78">
        <f t="shared" si="130"/>
        <v>0.19103508771929825</v>
      </c>
    </row>
    <row r="8125" spans="39:45">
      <c r="AM8125" s="55">
        <v>2019</v>
      </c>
      <c r="AN8125" s="55" t="s">
        <v>193</v>
      </c>
      <c r="AO8125" s="55">
        <v>5</v>
      </c>
      <c r="AP8125" s="55">
        <v>11</v>
      </c>
      <c r="AQ8125" s="55">
        <v>5808.5</v>
      </c>
      <c r="AR8125" s="55">
        <v>28500</v>
      </c>
      <c r="AS8125" s="78">
        <f t="shared" si="130"/>
        <v>0.20380701754385966</v>
      </c>
    </row>
    <row r="8126" spans="39:45">
      <c r="AM8126" s="54">
        <v>2019</v>
      </c>
      <c r="AN8126" s="54" t="s">
        <v>193</v>
      </c>
      <c r="AO8126" s="54">
        <v>5</v>
      </c>
      <c r="AP8126" s="54">
        <v>12</v>
      </c>
      <c r="AQ8126" s="54">
        <v>13288</v>
      </c>
      <c r="AR8126" s="55">
        <v>28500</v>
      </c>
      <c r="AS8126" s="78">
        <f t="shared" si="130"/>
        <v>0.46624561403508774</v>
      </c>
    </row>
    <row r="8127" spans="39:45">
      <c r="AM8127" s="55">
        <v>2019</v>
      </c>
      <c r="AN8127" s="55" t="s">
        <v>193</v>
      </c>
      <c r="AO8127" s="55">
        <v>5</v>
      </c>
      <c r="AP8127" s="55">
        <v>13</v>
      </c>
      <c r="AQ8127" s="55">
        <v>8675</v>
      </c>
      <c r="AR8127" s="55">
        <v>28500</v>
      </c>
      <c r="AS8127" s="78">
        <f t="shared" si="130"/>
        <v>0.3043859649122807</v>
      </c>
    </row>
    <row r="8128" spans="39:45">
      <c r="AM8128" s="54">
        <v>2019</v>
      </c>
      <c r="AN8128" s="54" t="s">
        <v>193</v>
      </c>
      <c r="AO8128" s="54">
        <v>5</v>
      </c>
      <c r="AP8128" s="54">
        <v>14</v>
      </c>
      <c r="AQ8128" s="54">
        <v>1671</v>
      </c>
      <c r="AR8128" s="55">
        <v>28500</v>
      </c>
      <c r="AS8128" s="78">
        <f t="shared" si="130"/>
        <v>5.8631578947368423E-2</v>
      </c>
    </row>
    <row r="8129" spans="39:45">
      <c r="AM8129" s="55">
        <v>2019</v>
      </c>
      <c r="AN8129" s="55" t="s">
        <v>193</v>
      </c>
      <c r="AO8129" s="55">
        <v>5</v>
      </c>
      <c r="AP8129" s="55">
        <v>15</v>
      </c>
      <c r="AQ8129" s="55">
        <v>667</v>
      </c>
      <c r="AR8129" s="55">
        <v>28500</v>
      </c>
      <c r="AS8129" s="78">
        <f t="shared" si="130"/>
        <v>2.3403508771929826E-2</v>
      </c>
    </row>
    <row r="8130" spans="39:45">
      <c r="AM8130" s="54">
        <v>2019</v>
      </c>
      <c r="AN8130" s="54" t="s">
        <v>193</v>
      </c>
      <c r="AO8130" s="54">
        <v>5</v>
      </c>
      <c r="AP8130" s="54">
        <v>16</v>
      </c>
      <c r="AQ8130" s="54">
        <v>0</v>
      </c>
      <c r="AR8130" s="55">
        <v>28500</v>
      </c>
      <c r="AS8130" s="78">
        <f t="shared" ref="AS8130:AS8193" si="131">AQ8130/AR8130</f>
        <v>0</v>
      </c>
    </row>
    <row r="8131" spans="39:45">
      <c r="AM8131" s="55">
        <v>2019</v>
      </c>
      <c r="AN8131" s="55" t="s">
        <v>193</v>
      </c>
      <c r="AO8131" s="55">
        <v>5</v>
      </c>
      <c r="AP8131" s="55">
        <v>17</v>
      </c>
      <c r="AQ8131" s="55">
        <v>0</v>
      </c>
      <c r="AR8131" s="55">
        <v>28500</v>
      </c>
      <c r="AS8131" s="78">
        <f t="shared" si="131"/>
        <v>0</v>
      </c>
    </row>
    <row r="8132" spans="39:45">
      <c r="AM8132" s="54">
        <v>2019</v>
      </c>
      <c r="AN8132" s="54" t="s">
        <v>193</v>
      </c>
      <c r="AO8132" s="54">
        <v>5</v>
      </c>
      <c r="AP8132" s="54">
        <v>18</v>
      </c>
      <c r="AQ8132" s="54">
        <v>0</v>
      </c>
      <c r="AR8132" s="55">
        <v>28500</v>
      </c>
      <c r="AS8132" s="78">
        <f t="shared" si="131"/>
        <v>0</v>
      </c>
    </row>
    <row r="8133" spans="39:45">
      <c r="AM8133" s="55">
        <v>2019</v>
      </c>
      <c r="AN8133" s="55" t="s">
        <v>193</v>
      </c>
      <c r="AO8133" s="55">
        <v>5</v>
      </c>
      <c r="AP8133" s="55">
        <v>19</v>
      </c>
      <c r="AQ8133" s="55">
        <v>0</v>
      </c>
      <c r="AR8133" s="55">
        <v>28500</v>
      </c>
      <c r="AS8133" s="78">
        <f t="shared" si="131"/>
        <v>0</v>
      </c>
    </row>
    <row r="8134" spans="39:45">
      <c r="AM8134" s="54">
        <v>2019</v>
      </c>
      <c r="AN8134" s="54" t="s">
        <v>193</v>
      </c>
      <c r="AO8134" s="54">
        <v>5</v>
      </c>
      <c r="AP8134" s="54">
        <v>20</v>
      </c>
      <c r="AQ8134" s="54">
        <v>0</v>
      </c>
      <c r="AR8134" s="55">
        <v>28500</v>
      </c>
      <c r="AS8134" s="78">
        <f t="shared" si="131"/>
        <v>0</v>
      </c>
    </row>
    <row r="8135" spans="39:45">
      <c r="AM8135" s="55">
        <v>2019</v>
      </c>
      <c r="AN8135" s="55" t="s">
        <v>193</v>
      </c>
      <c r="AO8135" s="55">
        <v>5</v>
      </c>
      <c r="AP8135" s="55">
        <v>21</v>
      </c>
      <c r="AQ8135" s="55">
        <v>0</v>
      </c>
      <c r="AR8135" s="55">
        <v>28500</v>
      </c>
      <c r="AS8135" s="78">
        <f t="shared" si="131"/>
        <v>0</v>
      </c>
    </row>
    <row r="8136" spans="39:45">
      <c r="AM8136" s="54">
        <v>2019</v>
      </c>
      <c r="AN8136" s="54" t="s">
        <v>193</v>
      </c>
      <c r="AO8136" s="54">
        <v>5</v>
      </c>
      <c r="AP8136" s="54">
        <v>22</v>
      </c>
      <c r="AQ8136" s="54">
        <v>0</v>
      </c>
      <c r="AR8136" s="55">
        <v>28500</v>
      </c>
      <c r="AS8136" s="78">
        <f t="shared" si="131"/>
        <v>0</v>
      </c>
    </row>
    <row r="8137" spans="39:45">
      <c r="AM8137" s="55">
        <v>2019</v>
      </c>
      <c r="AN8137" s="55" t="s">
        <v>193</v>
      </c>
      <c r="AO8137" s="55">
        <v>5</v>
      </c>
      <c r="AP8137" s="55">
        <v>23</v>
      </c>
      <c r="AQ8137" s="55">
        <v>0</v>
      </c>
      <c r="AR8137" s="55">
        <v>28500</v>
      </c>
      <c r="AS8137" s="78">
        <f t="shared" si="131"/>
        <v>0</v>
      </c>
    </row>
    <row r="8138" spans="39:45">
      <c r="AM8138" s="54">
        <v>2019</v>
      </c>
      <c r="AN8138" s="54" t="s">
        <v>193</v>
      </c>
      <c r="AO8138" s="54">
        <v>6</v>
      </c>
      <c r="AP8138" s="54">
        <v>24</v>
      </c>
      <c r="AQ8138" s="54">
        <v>0</v>
      </c>
      <c r="AR8138" s="55">
        <v>28500</v>
      </c>
      <c r="AS8138" s="78">
        <f t="shared" si="131"/>
        <v>0</v>
      </c>
    </row>
    <row r="8139" spans="39:45">
      <c r="AM8139" s="55">
        <v>2019</v>
      </c>
      <c r="AN8139" s="55" t="s">
        <v>193</v>
      </c>
      <c r="AO8139" s="55">
        <v>6</v>
      </c>
      <c r="AP8139" s="55">
        <v>1</v>
      </c>
      <c r="AQ8139" s="55">
        <v>0</v>
      </c>
      <c r="AR8139" s="55">
        <v>28500</v>
      </c>
      <c r="AS8139" s="78">
        <f t="shared" si="131"/>
        <v>0</v>
      </c>
    </row>
    <row r="8140" spans="39:45">
      <c r="AM8140" s="54">
        <v>2019</v>
      </c>
      <c r="AN8140" s="54" t="s">
        <v>193</v>
      </c>
      <c r="AO8140" s="54">
        <v>6</v>
      </c>
      <c r="AP8140" s="54">
        <v>2</v>
      </c>
      <c r="AQ8140" s="54">
        <v>0</v>
      </c>
      <c r="AR8140" s="55">
        <v>28500</v>
      </c>
      <c r="AS8140" s="78">
        <f t="shared" si="131"/>
        <v>0</v>
      </c>
    </row>
    <row r="8141" spans="39:45">
      <c r="AM8141" s="55">
        <v>2019</v>
      </c>
      <c r="AN8141" s="55" t="s">
        <v>193</v>
      </c>
      <c r="AO8141" s="55">
        <v>6</v>
      </c>
      <c r="AP8141" s="55">
        <v>3</v>
      </c>
      <c r="AQ8141" s="55">
        <v>0</v>
      </c>
      <c r="AR8141" s="55">
        <v>28500</v>
      </c>
      <c r="AS8141" s="78">
        <f t="shared" si="131"/>
        <v>0</v>
      </c>
    </row>
    <row r="8142" spans="39:45">
      <c r="AM8142" s="54">
        <v>2019</v>
      </c>
      <c r="AN8142" s="54" t="s">
        <v>193</v>
      </c>
      <c r="AO8142" s="54">
        <v>6</v>
      </c>
      <c r="AP8142" s="54">
        <v>4</v>
      </c>
      <c r="AQ8142" s="54">
        <v>0</v>
      </c>
      <c r="AR8142" s="55">
        <v>28500</v>
      </c>
      <c r="AS8142" s="78">
        <f t="shared" si="131"/>
        <v>0</v>
      </c>
    </row>
    <row r="8143" spans="39:45">
      <c r="AM8143" s="55">
        <v>2019</v>
      </c>
      <c r="AN8143" s="55" t="s">
        <v>193</v>
      </c>
      <c r="AO8143" s="55">
        <v>6</v>
      </c>
      <c r="AP8143" s="55">
        <v>5</v>
      </c>
      <c r="AQ8143" s="55">
        <v>0</v>
      </c>
      <c r="AR8143" s="55">
        <v>28500</v>
      </c>
      <c r="AS8143" s="78">
        <f t="shared" si="131"/>
        <v>0</v>
      </c>
    </row>
    <row r="8144" spans="39:45">
      <c r="AM8144" s="54">
        <v>2019</v>
      </c>
      <c r="AN8144" s="54" t="s">
        <v>193</v>
      </c>
      <c r="AO8144" s="54">
        <v>6</v>
      </c>
      <c r="AP8144" s="54">
        <v>6</v>
      </c>
      <c r="AQ8144" s="54">
        <v>0</v>
      </c>
      <c r="AR8144" s="55">
        <v>28500</v>
      </c>
      <c r="AS8144" s="78">
        <f t="shared" si="131"/>
        <v>0</v>
      </c>
    </row>
    <row r="8145" spans="39:45">
      <c r="AM8145" s="55">
        <v>2019</v>
      </c>
      <c r="AN8145" s="55" t="s">
        <v>193</v>
      </c>
      <c r="AO8145" s="55">
        <v>6</v>
      </c>
      <c r="AP8145" s="55">
        <v>7</v>
      </c>
      <c r="AQ8145" s="55">
        <v>0</v>
      </c>
      <c r="AR8145" s="55">
        <v>28500</v>
      </c>
      <c r="AS8145" s="78">
        <f t="shared" si="131"/>
        <v>0</v>
      </c>
    </row>
    <row r="8146" spans="39:45">
      <c r="AM8146" s="54">
        <v>2019</v>
      </c>
      <c r="AN8146" s="54" t="s">
        <v>193</v>
      </c>
      <c r="AO8146" s="54">
        <v>6</v>
      </c>
      <c r="AP8146" s="54">
        <v>8</v>
      </c>
      <c r="AQ8146" s="54">
        <v>0</v>
      </c>
      <c r="AR8146" s="55">
        <v>28500</v>
      </c>
      <c r="AS8146" s="78">
        <f t="shared" si="131"/>
        <v>0</v>
      </c>
    </row>
    <row r="8147" spans="39:45">
      <c r="AM8147" s="55">
        <v>2019</v>
      </c>
      <c r="AN8147" s="55" t="s">
        <v>193</v>
      </c>
      <c r="AO8147" s="55">
        <v>6</v>
      </c>
      <c r="AP8147" s="55">
        <v>9</v>
      </c>
      <c r="AQ8147" s="55">
        <v>245</v>
      </c>
      <c r="AR8147" s="55">
        <v>28500</v>
      </c>
      <c r="AS8147" s="78">
        <f t="shared" si="131"/>
        <v>8.5964912280701751E-3</v>
      </c>
    </row>
    <row r="8148" spans="39:45">
      <c r="AM8148" s="54">
        <v>2019</v>
      </c>
      <c r="AN8148" s="54" t="s">
        <v>193</v>
      </c>
      <c r="AO8148" s="54">
        <v>6</v>
      </c>
      <c r="AP8148" s="54">
        <v>10</v>
      </c>
      <c r="AQ8148" s="54">
        <v>13021</v>
      </c>
      <c r="AR8148" s="55">
        <v>28500</v>
      </c>
      <c r="AS8148" s="78">
        <f t="shared" si="131"/>
        <v>0.45687719298245616</v>
      </c>
    </row>
    <row r="8149" spans="39:45">
      <c r="AM8149" s="55">
        <v>2019</v>
      </c>
      <c r="AN8149" s="55" t="s">
        <v>193</v>
      </c>
      <c r="AO8149" s="55">
        <v>6</v>
      </c>
      <c r="AP8149" s="55">
        <v>11</v>
      </c>
      <c r="AQ8149" s="55">
        <v>795</v>
      </c>
      <c r="AR8149" s="55">
        <v>28500</v>
      </c>
      <c r="AS8149" s="78">
        <f t="shared" si="131"/>
        <v>2.7894736842105264E-2</v>
      </c>
    </row>
    <row r="8150" spans="39:45">
      <c r="AM8150" s="54">
        <v>2019</v>
      </c>
      <c r="AN8150" s="54" t="s">
        <v>193</v>
      </c>
      <c r="AO8150" s="54">
        <v>6</v>
      </c>
      <c r="AP8150" s="54">
        <v>12</v>
      </c>
      <c r="AQ8150" s="54">
        <v>1379</v>
      </c>
      <c r="AR8150" s="55">
        <v>28500</v>
      </c>
      <c r="AS8150" s="78">
        <f t="shared" si="131"/>
        <v>4.8385964912280699E-2</v>
      </c>
    </row>
    <row r="8151" spans="39:45">
      <c r="AM8151" s="55">
        <v>2019</v>
      </c>
      <c r="AN8151" s="55" t="s">
        <v>193</v>
      </c>
      <c r="AO8151" s="55">
        <v>6</v>
      </c>
      <c r="AP8151" s="55">
        <v>13</v>
      </c>
      <c r="AQ8151" s="55">
        <v>893</v>
      </c>
      <c r="AR8151" s="55">
        <v>28500</v>
      </c>
      <c r="AS8151" s="78">
        <f t="shared" si="131"/>
        <v>3.1333333333333331E-2</v>
      </c>
    </row>
    <row r="8152" spans="39:45">
      <c r="AM8152" s="54">
        <v>2019</v>
      </c>
      <c r="AN8152" s="54" t="s">
        <v>193</v>
      </c>
      <c r="AO8152" s="54">
        <v>6</v>
      </c>
      <c r="AP8152" s="54">
        <v>14</v>
      </c>
      <c r="AQ8152" s="54">
        <v>15423.5</v>
      </c>
      <c r="AR8152" s="55">
        <v>28500</v>
      </c>
      <c r="AS8152" s="78">
        <f t="shared" si="131"/>
        <v>0.5411754385964912</v>
      </c>
    </row>
    <row r="8153" spans="39:45">
      <c r="AM8153" s="55">
        <v>2019</v>
      </c>
      <c r="AN8153" s="55" t="s">
        <v>193</v>
      </c>
      <c r="AO8153" s="55">
        <v>6</v>
      </c>
      <c r="AP8153" s="55">
        <v>15</v>
      </c>
      <c r="AQ8153" s="55">
        <v>1332</v>
      </c>
      <c r="AR8153" s="55">
        <v>28500</v>
      </c>
      <c r="AS8153" s="78">
        <f t="shared" si="131"/>
        <v>4.673684210526316E-2</v>
      </c>
    </row>
    <row r="8154" spans="39:45">
      <c r="AM8154" s="54">
        <v>2019</v>
      </c>
      <c r="AN8154" s="54" t="s">
        <v>193</v>
      </c>
      <c r="AO8154" s="54">
        <v>6</v>
      </c>
      <c r="AP8154" s="54">
        <v>16</v>
      </c>
      <c r="AQ8154" s="54">
        <v>0</v>
      </c>
      <c r="AR8154" s="55">
        <v>28500</v>
      </c>
      <c r="AS8154" s="78">
        <f t="shared" si="131"/>
        <v>0</v>
      </c>
    </row>
    <row r="8155" spans="39:45">
      <c r="AM8155" s="55">
        <v>2019</v>
      </c>
      <c r="AN8155" s="55" t="s">
        <v>193</v>
      </c>
      <c r="AO8155" s="55">
        <v>6</v>
      </c>
      <c r="AP8155" s="55">
        <v>17</v>
      </c>
      <c r="AQ8155" s="55">
        <v>0</v>
      </c>
      <c r="AR8155" s="55">
        <v>28500</v>
      </c>
      <c r="AS8155" s="78">
        <f t="shared" si="131"/>
        <v>0</v>
      </c>
    </row>
    <row r="8156" spans="39:45">
      <c r="AM8156" s="54">
        <v>2019</v>
      </c>
      <c r="AN8156" s="54" t="s">
        <v>193</v>
      </c>
      <c r="AO8156" s="54">
        <v>6</v>
      </c>
      <c r="AP8156" s="54">
        <v>18</v>
      </c>
      <c r="AQ8156" s="54">
        <v>0</v>
      </c>
      <c r="AR8156" s="55">
        <v>28500</v>
      </c>
      <c r="AS8156" s="78">
        <f t="shared" si="131"/>
        <v>0</v>
      </c>
    </row>
    <row r="8157" spans="39:45">
      <c r="AM8157" s="55">
        <v>2019</v>
      </c>
      <c r="AN8157" s="55" t="s">
        <v>193</v>
      </c>
      <c r="AO8157" s="55">
        <v>6</v>
      </c>
      <c r="AP8157" s="55">
        <v>19</v>
      </c>
      <c r="AQ8157" s="55">
        <v>0</v>
      </c>
      <c r="AR8157" s="55">
        <v>28500</v>
      </c>
      <c r="AS8157" s="78">
        <f t="shared" si="131"/>
        <v>0</v>
      </c>
    </row>
    <row r="8158" spans="39:45">
      <c r="AM8158" s="54">
        <v>2019</v>
      </c>
      <c r="AN8158" s="54" t="s">
        <v>193</v>
      </c>
      <c r="AO8158" s="54">
        <v>6</v>
      </c>
      <c r="AP8158" s="54">
        <v>20</v>
      </c>
      <c r="AQ8158" s="54">
        <v>0</v>
      </c>
      <c r="AR8158" s="55">
        <v>28500</v>
      </c>
      <c r="AS8158" s="78">
        <f t="shared" si="131"/>
        <v>0</v>
      </c>
    </row>
    <row r="8159" spans="39:45">
      <c r="AM8159" s="55">
        <v>2019</v>
      </c>
      <c r="AN8159" s="55" t="s">
        <v>193</v>
      </c>
      <c r="AO8159" s="55">
        <v>6</v>
      </c>
      <c r="AP8159" s="55">
        <v>21</v>
      </c>
      <c r="AQ8159" s="55">
        <v>0</v>
      </c>
      <c r="AR8159" s="55">
        <v>28500</v>
      </c>
      <c r="AS8159" s="78">
        <f t="shared" si="131"/>
        <v>0</v>
      </c>
    </row>
    <row r="8160" spans="39:45">
      <c r="AM8160" s="54">
        <v>2019</v>
      </c>
      <c r="AN8160" s="54" t="s">
        <v>193</v>
      </c>
      <c r="AO8160" s="54">
        <v>6</v>
      </c>
      <c r="AP8160" s="54">
        <v>22</v>
      </c>
      <c r="AQ8160" s="54">
        <v>0</v>
      </c>
      <c r="AR8160" s="55">
        <v>28500</v>
      </c>
      <c r="AS8160" s="78">
        <f t="shared" si="131"/>
        <v>0</v>
      </c>
    </row>
    <row r="8161" spans="39:45">
      <c r="AM8161" s="55">
        <v>2019</v>
      </c>
      <c r="AN8161" s="55" t="s">
        <v>193</v>
      </c>
      <c r="AO8161" s="55">
        <v>6</v>
      </c>
      <c r="AP8161" s="55">
        <v>23</v>
      </c>
      <c r="AQ8161" s="55">
        <v>0</v>
      </c>
      <c r="AR8161" s="55">
        <v>28500</v>
      </c>
      <c r="AS8161" s="78">
        <f t="shared" si="131"/>
        <v>0</v>
      </c>
    </row>
    <row r="8162" spans="39:45">
      <c r="AM8162" s="54">
        <v>2019</v>
      </c>
      <c r="AN8162" s="54" t="s">
        <v>193</v>
      </c>
      <c r="AO8162" s="54">
        <v>7</v>
      </c>
      <c r="AP8162" s="54">
        <v>24</v>
      </c>
      <c r="AQ8162" s="54">
        <v>0</v>
      </c>
      <c r="AR8162" s="55">
        <v>28500</v>
      </c>
      <c r="AS8162" s="78">
        <f t="shared" si="131"/>
        <v>0</v>
      </c>
    </row>
    <row r="8163" spans="39:45">
      <c r="AM8163" s="55">
        <v>2019</v>
      </c>
      <c r="AN8163" s="55" t="s">
        <v>193</v>
      </c>
      <c r="AO8163" s="55">
        <v>7</v>
      </c>
      <c r="AP8163" s="55">
        <v>1</v>
      </c>
      <c r="AQ8163" s="55">
        <v>0</v>
      </c>
      <c r="AR8163" s="55">
        <v>28500</v>
      </c>
      <c r="AS8163" s="78">
        <f t="shared" si="131"/>
        <v>0</v>
      </c>
    </row>
    <row r="8164" spans="39:45">
      <c r="AM8164" s="54">
        <v>2019</v>
      </c>
      <c r="AN8164" s="54" t="s">
        <v>193</v>
      </c>
      <c r="AO8164" s="54">
        <v>7</v>
      </c>
      <c r="AP8164" s="54">
        <v>2</v>
      </c>
      <c r="AQ8164" s="54">
        <v>0</v>
      </c>
      <c r="AR8164" s="55">
        <v>28500</v>
      </c>
      <c r="AS8164" s="78">
        <f t="shared" si="131"/>
        <v>0</v>
      </c>
    </row>
    <row r="8165" spans="39:45">
      <c r="AM8165" s="55">
        <v>2019</v>
      </c>
      <c r="AN8165" s="55" t="s">
        <v>193</v>
      </c>
      <c r="AO8165" s="55">
        <v>7</v>
      </c>
      <c r="AP8165" s="55">
        <v>3</v>
      </c>
      <c r="AQ8165" s="55">
        <v>0</v>
      </c>
      <c r="AR8165" s="55">
        <v>28500</v>
      </c>
      <c r="AS8165" s="78">
        <f t="shared" si="131"/>
        <v>0</v>
      </c>
    </row>
    <row r="8166" spans="39:45">
      <c r="AM8166" s="54">
        <v>2019</v>
      </c>
      <c r="AN8166" s="54" t="s">
        <v>193</v>
      </c>
      <c r="AO8166" s="54">
        <v>7</v>
      </c>
      <c r="AP8166" s="54">
        <v>4</v>
      </c>
      <c r="AQ8166" s="54">
        <v>0</v>
      </c>
      <c r="AR8166" s="55">
        <v>28500</v>
      </c>
      <c r="AS8166" s="78">
        <f t="shared" si="131"/>
        <v>0</v>
      </c>
    </row>
    <row r="8167" spans="39:45">
      <c r="AM8167" s="55">
        <v>2019</v>
      </c>
      <c r="AN8167" s="55" t="s">
        <v>193</v>
      </c>
      <c r="AO8167" s="55">
        <v>7</v>
      </c>
      <c r="AP8167" s="55">
        <v>5</v>
      </c>
      <c r="AQ8167" s="55">
        <v>0</v>
      </c>
      <c r="AR8167" s="55">
        <v>28500</v>
      </c>
      <c r="AS8167" s="78">
        <f t="shared" si="131"/>
        <v>0</v>
      </c>
    </row>
    <row r="8168" spans="39:45">
      <c r="AM8168" s="54">
        <v>2019</v>
      </c>
      <c r="AN8168" s="54" t="s">
        <v>193</v>
      </c>
      <c r="AO8168" s="54">
        <v>7</v>
      </c>
      <c r="AP8168" s="54">
        <v>6</v>
      </c>
      <c r="AQ8168" s="54">
        <v>0</v>
      </c>
      <c r="AR8168" s="55">
        <v>28500</v>
      </c>
      <c r="AS8168" s="78">
        <f t="shared" si="131"/>
        <v>0</v>
      </c>
    </row>
    <row r="8169" spans="39:45">
      <c r="AM8169" s="55">
        <v>2019</v>
      </c>
      <c r="AN8169" s="55" t="s">
        <v>193</v>
      </c>
      <c r="AO8169" s="55">
        <v>7</v>
      </c>
      <c r="AP8169" s="55">
        <v>7</v>
      </c>
      <c r="AQ8169" s="55">
        <v>0</v>
      </c>
      <c r="AR8169" s="55">
        <v>28500</v>
      </c>
      <c r="AS8169" s="78">
        <f t="shared" si="131"/>
        <v>0</v>
      </c>
    </row>
    <row r="8170" spans="39:45">
      <c r="AM8170" s="54">
        <v>2019</v>
      </c>
      <c r="AN8170" s="54" t="s">
        <v>193</v>
      </c>
      <c r="AO8170" s="54">
        <v>7</v>
      </c>
      <c r="AP8170" s="54">
        <v>8</v>
      </c>
      <c r="AQ8170" s="54">
        <v>0</v>
      </c>
      <c r="AR8170" s="55">
        <v>28500</v>
      </c>
      <c r="AS8170" s="78">
        <f t="shared" si="131"/>
        <v>0</v>
      </c>
    </row>
    <row r="8171" spans="39:45">
      <c r="AM8171" s="55">
        <v>2019</v>
      </c>
      <c r="AN8171" s="55" t="s">
        <v>193</v>
      </c>
      <c r="AO8171" s="55">
        <v>7</v>
      </c>
      <c r="AP8171" s="55">
        <v>9</v>
      </c>
      <c r="AQ8171" s="55">
        <v>617</v>
      </c>
      <c r="AR8171" s="55">
        <v>28500</v>
      </c>
      <c r="AS8171" s="78">
        <f t="shared" si="131"/>
        <v>2.1649122807017543E-2</v>
      </c>
    </row>
    <row r="8172" spans="39:45">
      <c r="AM8172" s="54">
        <v>2019</v>
      </c>
      <c r="AN8172" s="54" t="s">
        <v>193</v>
      </c>
      <c r="AO8172" s="54">
        <v>7</v>
      </c>
      <c r="AP8172" s="54">
        <v>10</v>
      </c>
      <c r="AQ8172" s="54">
        <v>2990</v>
      </c>
      <c r="AR8172" s="55">
        <v>28500</v>
      </c>
      <c r="AS8172" s="78">
        <f t="shared" si="131"/>
        <v>0.10491228070175439</v>
      </c>
    </row>
    <row r="8173" spans="39:45">
      <c r="AM8173" s="55">
        <v>2019</v>
      </c>
      <c r="AN8173" s="55" t="s">
        <v>193</v>
      </c>
      <c r="AO8173" s="55">
        <v>7</v>
      </c>
      <c r="AP8173" s="55">
        <v>11</v>
      </c>
      <c r="AQ8173" s="55">
        <v>3960</v>
      </c>
      <c r="AR8173" s="55">
        <v>28500</v>
      </c>
      <c r="AS8173" s="78">
        <f t="shared" si="131"/>
        <v>0.13894736842105262</v>
      </c>
    </row>
    <row r="8174" spans="39:45">
      <c r="AM8174" s="54">
        <v>2019</v>
      </c>
      <c r="AN8174" s="54" t="s">
        <v>193</v>
      </c>
      <c r="AO8174" s="54">
        <v>7</v>
      </c>
      <c r="AP8174" s="54">
        <v>12</v>
      </c>
      <c r="AQ8174" s="54">
        <v>9399</v>
      </c>
      <c r="AR8174" s="55">
        <v>28500</v>
      </c>
      <c r="AS8174" s="78">
        <f t="shared" si="131"/>
        <v>0.32978947368421052</v>
      </c>
    </row>
    <row r="8175" spans="39:45">
      <c r="AM8175" s="55">
        <v>2019</v>
      </c>
      <c r="AN8175" s="55" t="s">
        <v>193</v>
      </c>
      <c r="AO8175" s="55">
        <v>7</v>
      </c>
      <c r="AP8175" s="55">
        <v>13</v>
      </c>
      <c r="AQ8175" s="55">
        <v>12442</v>
      </c>
      <c r="AR8175" s="55">
        <v>28500</v>
      </c>
      <c r="AS8175" s="78">
        <f t="shared" si="131"/>
        <v>0.43656140350877193</v>
      </c>
    </row>
    <row r="8176" spans="39:45">
      <c r="AM8176" s="54">
        <v>2019</v>
      </c>
      <c r="AN8176" s="54" t="s">
        <v>193</v>
      </c>
      <c r="AO8176" s="54">
        <v>7</v>
      </c>
      <c r="AP8176" s="54">
        <v>14</v>
      </c>
      <c r="AQ8176" s="54">
        <v>15436.5</v>
      </c>
      <c r="AR8176" s="55">
        <v>28500</v>
      </c>
      <c r="AS8176" s="78">
        <f t="shared" si="131"/>
        <v>0.54163157894736846</v>
      </c>
    </row>
    <row r="8177" spans="39:45">
      <c r="AM8177" s="55">
        <v>2019</v>
      </c>
      <c r="AN8177" s="55" t="s">
        <v>193</v>
      </c>
      <c r="AO8177" s="55">
        <v>7</v>
      </c>
      <c r="AP8177" s="55">
        <v>15</v>
      </c>
      <c r="AQ8177" s="55">
        <v>634.5</v>
      </c>
      <c r="AR8177" s="55">
        <v>28500</v>
      </c>
      <c r="AS8177" s="78">
        <f t="shared" si="131"/>
        <v>2.2263157894736842E-2</v>
      </c>
    </row>
    <row r="8178" spans="39:45">
      <c r="AM8178" s="54">
        <v>2019</v>
      </c>
      <c r="AN8178" s="54" t="s">
        <v>193</v>
      </c>
      <c r="AO8178" s="54">
        <v>7</v>
      </c>
      <c r="AP8178" s="54">
        <v>16</v>
      </c>
      <c r="AQ8178" s="54">
        <v>0</v>
      </c>
      <c r="AR8178" s="55">
        <v>28500</v>
      </c>
      <c r="AS8178" s="78">
        <f t="shared" si="131"/>
        <v>0</v>
      </c>
    </row>
    <row r="8179" spans="39:45">
      <c r="AM8179" s="55">
        <v>2019</v>
      </c>
      <c r="AN8179" s="55" t="s">
        <v>193</v>
      </c>
      <c r="AO8179" s="55">
        <v>7</v>
      </c>
      <c r="AP8179" s="55">
        <v>17</v>
      </c>
      <c r="AQ8179" s="55">
        <v>0</v>
      </c>
      <c r="AR8179" s="55">
        <v>28500</v>
      </c>
      <c r="AS8179" s="78">
        <f t="shared" si="131"/>
        <v>0</v>
      </c>
    </row>
    <row r="8180" spans="39:45">
      <c r="AM8180" s="54">
        <v>2019</v>
      </c>
      <c r="AN8180" s="54" t="s">
        <v>193</v>
      </c>
      <c r="AO8180" s="54">
        <v>7</v>
      </c>
      <c r="AP8180" s="54">
        <v>18</v>
      </c>
      <c r="AQ8180" s="54">
        <v>0</v>
      </c>
      <c r="AR8180" s="55">
        <v>28500</v>
      </c>
      <c r="AS8180" s="78">
        <f t="shared" si="131"/>
        <v>0</v>
      </c>
    </row>
    <row r="8181" spans="39:45">
      <c r="AM8181" s="55">
        <v>2019</v>
      </c>
      <c r="AN8181" s="55" t="s">
        <v>193</v>
      </c>
      <c r="AO8181" s="55">
        <v>7</v>
      </c>
      <c r="AP8181" s="55">
        <v>19</v>
      </c>
      <c r="AQ8181" s="55">
        <v>0</v>
      </c>
      <c r="AR8181" s="55">
        <v>28500</v>
      </c>
      <c r="AS8181" s="78">
        <f t="shared" si="131"/>
        <v>0</v>
      </c>
    </row>
    <row r="8182" spans="39:45">
      <c r="AM8182" s="54">
        <v>2019</v>
      </c>
      <c r="AN8182" s="54" t="s">
        <v>193</v>
      </c>
      <c r="AO8182" s="54">
        <v>7</v>
      </c>
      <c r="AP8182" s="54">
        <v>20</v>
      </c>
      <c r="AQ8182" s="54">
        <v>0</v>
      </c>
      <c r="AR8182" s="55">
        <v>28500</v>
      </c>
      <c r="AS8182" s="78">
        <f t="shared" si="131"/>
        <v>0</v>
      </c>
    </row>
    <row r="8183" spans="39:45">
      <c r="AM8183" s="55">
        <v>2019</v>
      </c>
      <c r="AN8183" s="55" t="s">
        <v>193</v>
      </c>
      <c r="AO8183" s="55">
        <v>7</v>
      </c>
      <c r="AP8183" s="55">
        <v>21</v>
      </c>
      <c r="AQ8183" s="55">
        <v>0</v>
      </c>
      <c r="AR8183" s="55">
        <v>28500</v>
      </c>
      <c r="AS8183" s="78">
        <f t="shared" si="131"/>
        <v>0</v>
      </c>
    </row>
    <row r="8184" spans="39:45">
      <c r="AM8184" s="54">
        <v>2019</v>
      </c>
      <c r="AN8184" s="54" t="s">
        <v>193</v>
      </c>
      <c r="AO8184" s="54">
        <v>7</v>
      </c>
      <c r="AP8184" s="54">
        <v>22</v>
      </c>
      <c r="AQ8184" s="54">
        <v>0</v>
      </c>
      <c r="AR8184" s="55">
        <v>28500</v>
      </c>
      <c r="AS8184" s="78">
        <f t="shared" si="131"/>
        <v>0</v>
      </c>
    </row>
    <row r="8185" spans="39:45">
      <c r="AM8185" s="55">
        <v>2019</v>
      </c>
      <c r="AN8185" s="55" t="s">
        <v>193</v>
      </c>
      <c r="AO8185" s="55">
        <v>7</v>
      </c>
      <c r="AP8185" s="55">
        <v>23</v>
      </c>
      <c r="AQ8185" s="55">
        <v>0</v>
      </c>
      <c r="AR8185" s="55">
        <v>28500</v>
      </c>
      <c r="AS8185" s="78">
        <f t="shared" si="131"/>
        <v>0</v>
      </c>
    </row>
    <row r="8186" spans="39:45">
      <c r="AM8186" s="54">
        <v>2019</v>
      </c>
      <c r="AN8186" s="54" t="s">
        <v>193</v>
      </c>
      <c r="AO8186" s="54">
        <v>8</v>
      </c>
      <c r="AP8186" s="54">
        <v>24</v>
      </c>
      <c r="AQ8186" s="54">
        <v>0</v>
      </c>
      <c r="AR8186" s="55">
        <v>28500</v>
      </c>
      <c r="AS8186" s="78">
        <f t="shared" si="131"/>
        <v>0</v>
      </c>
    </row>
    <row r="8187" spans="39:45">
      <c r="AM8187" s="55">
        <v>2019</v>
      </c>
      <c r="AN8187" s="55" t="s">
        <v>193</v>
      </c>
      <c r="AO8187" s="55">
        <v>8</v>
      </c>
      <c r="AP8187" s="55">
        <v>1</v>
      </c>
      <c r="AQ8187" s="55">
        <v>0</v>
      </c>
      <c r="AR8187" s="55">
        <v>28500</v>
      </c>
      <c r="AS8187" s="78">
        <f t="shared" si="131"/>
        <v>0</v>
      </c>
    </row>
    <row r="8188" spans="39:45">
      <c r="AM8188" s="54">
        <v>2019</v>
      </c>
      <c r="AN8188" s="54" t="s">
        <v>193</v>
      </c>
      <c r="AO8188" s="54">
        <v>8</v>
      </c>
      <c r="AP8188" s="54">
        <v>2</v>
      </c>
      <c r="AQ8188" s="54">
        <v>0</v>
      </c>
      <c r="AR8188" s="55">
        <v>28500</v>
      </c>
      <c r="AS8188" s="78">
        <f t="shared" si="131"/>
        <v>0</v>
      </c>
    </row>
    <row r="8189" spans="39:45">
      <c r="AM8189" s="55">
        <v>2019</v>
      </c>
      <c r="AN8189" s="55" t="s">
        <v>193</v>
      </c>
      <c r="AO8189" s="55">
        <v>8</v>
      </c>
      <c r="AP8189" s="55">
        <v>3</v>
      </c>
      <c r="AQ8189" s="55">
        <v>0</v>
      </c>
      <c r="AR8189" s="55">
        <v>28500</v>
      </c>
      <c r="AS8189" s="78">
        <f t="shared" si="131"/>
        <v>0</v>
      </c>
    </row>
    <row r="8190" spans="39:45">
      <c r="AM8190" s="54">
        <v>2019</v>
      </c>
      <c r="AN8190" s="54" t="s">
        <v>193</v>
      </c>
      <c r="AO8190" s="54">
        <v>8</v>
      </c>
      <c r="AP8190" s="54">
        <v>4</v>
      </c>
      <c r="AQ8190" s="54">
        <v>0</v>
      </c>
      <c r="AR8190" s="55">
        <v>28500</v>
      </c>
      <c r="AS8190" s="78">
        <f t="shared" si="131"/>
        <v>0</v>
      </c>
    </row>
    <row r="8191" spans="39:45">
      <c r="AM8191" s="55">
        <v>2019</v>
      </c>
      <c r="AN8191" s="55" t="s">
        <v>193</v>
      </c>
      <c r="AO8191" s="55">
        <v>8</v>
      </c>
      <c r="AP8191" s="55">
        <v>5</v>
      </c>
      <c r="AQ8191" s="55">
        <v>0</v>
      </c>
      <c r="AR8191" s="55">
        <v>28500</v>
      </c>
      <c r="AS8191" s="78">
        <f t="shared" si="131"/>
        <v>0</v>
      </c>
    </row>
    <row r="8192" spans="39:45">
      <c r="AM8192" s="54">
        <v>2019</v>
      </c>
      <c r="AN8192" s="54" t="s">
        <v>193</v>
      </c>
      <c r="AO8192" s="54">
        <v>8</v>
      </c>
      <c r="AP8192" s="54">
        <v>6</v>
      </c>
      <c r="AQ8192" s="54">
        <v>0</v>
      </c>
      <c r="AR8192" s="55">
        <v>28500</v>
      </c>
      <c r="AS8192" s="78">
        <f t="shared" si="131"/>
        <v>0</v>
      </c>
    </row>
    <row r="8193" spans="39:45">
      <c r="AM8193" s="55">
        <v>2019</v>
      </c>
      <c r="AN8193" s="55" t="s">
        <v>193</v>
      </c>
      <c r="AO8193" s="55">
        <v>8</v>
      </c>
      <c r="AP8193" s="55">
        <v>7</v>
      </c>
      <c r="AQ8193" s="55">
        <v>0</v>
      </c>
      <c r="AR8193" s="55">
        <v>28500</v>
      </c>
      <c r="AS8193" s="78">
        <f t="shared" si="131"/>
        <v>0</v>
      </c>
    </row>
    <row r="8194" spans="39:45">
      <c r="AM8194" s="54">
        <v>2019</v>
      </c>
      <c r="AN8194" s="54" t="s">
        <v>193</v>
      </c>
      <c r="AO8194" s="54">
        <v>8</v>
      </c>
      <c r="AP8194" s="54">
        <v>8</v>
      </c>
      <c r="AQ8194" s="54">
        <v>0</v>
      </c>
      <c r="AR8194" s="55">
        <v>28500</v>
      </c>
      <c r="AS8194" s="78">
        <f t="shared" ref="AS8194:AS8257" si="132">AQ8194/AR8194</f>
        <v>0</v>
      </c>
    </row>
    <row r="8195" spans="39:45">
      <c r="AM8195" s="55">
        <v>2019</v>
      </c>
      <c r="AN8195" s="55" t="s">
        <v>193</v>
      </c>
      <c r="AO8195" s="55">
        <v>8</v>
      </c>
      <c r="AP8195" s="55">
        <v>9</v>
      </c>
      <c r="AQ8195" s="55">
        <v>8747</v>
      </c>
      <c r="AR8195" s="55">
        <v>28500</v>
      </c>
      <c r="AS8195" s="78">
        <f t="shared" si="132"/>
        <v>0.30691228070175436</v>
      </c>
    </row>
    <row r="8196" spans="39:45">
      <c r="AM8196" s="54">
        <v>2019</v>
      </c>
      <c r="AN8196" s="54" t="s">
        <v>193</v>
      </c>
      <c r="AO8196" s="54">
        <v>8</v>
      </c>
      <c r="AP8196" s="54">
        <v>10</v>
      </c>
      <c r="AQ8196" s="54">
        <v>19874</v>
      </c>
      <c r="AR8196" s="55">
        <v>28500</v>
      </c>
      <c r="AS8196" s="78">
        <f t="shared" si="132"/>
        <v>0.69733333333333336</v>
      </c>
    </row>
    <row r="8197" spans="39:45">
      <c r="AM8197" s="55">
        <v>2019</v>
      </c>
      <c r="AN8197" s="55" t="s">
        <v>193</v>
      </c>
      <c r="AO8197" s="55">
        <v>8</v>
      </c>
      <c r="AP8197" s="55">
        <v>11</v>
      </c>
      <c r="AQ8197" s="55">
        <v>26475.5</v>
      </c>
      <c r="AR8197" s="55">
        <v>28500</v>
      </c>
      <c r="AS8197" s="78">
        <f t="shared" si="132"/>
        <v>0.92896491228070177</v>
      </c>
    </row>
    <row r="8198" spans="39:45">
      <c r="AM8198" s="54">
        <v>2019</v>
      </c>
      <c r="AN8198" s="54" t="s">
        <v>193</v>
      </c>
      <c r="AO8198" s="54">
        <v>8</v>
      </c>
      <c r="AP8198" s="54">
        <v>12</v>
      </c>
      <c r="AQ8198" s="54">
        <v>27596.5</v>
      </c>
      <c r="AR8198" s="55">
        <v>28500</v>
      </c>
      <c r="AS8198" s="78">
        <f t="shared" si="132"/>
        <v>0.9682982456140351</v>
      </c>
    </row>
    <row r="8199" spans="39:45">
      <c r="AM8199" s="55">
        <v>2019</v>
      </c>
      <c r="AN8199" s="55" t="s">
        <v>193</v>
      </c>
      <c r="AO8199" s="55">
        <v>8</v>
      </c>
      <c r="AP8199" s="55">
        <v>13</v>
      </c>
      <c r="AQ8199" s="55">
        <v>4295</v>
      </c>
      <c r="AR8199" s="55">
        <v>28500</v>
      </c>
      <c r="AS8199" s="78">
        <f t="shared" si="132"/>
        <v>0.15070175438596492</v>
      </c>
    </row>
    <row r="8200" spans="39:45">
      <c r="AM8200" s="54">
        <v>2019</v>
      </c>
      <c r="AN8200" s="54" t="s">
        <v>193</v>
      </c>
      <c r="AO8200" s="54">
        <v>8</v>
      </c>
      <c r="AP8200" s="54">
        <v>14</v>
      </c>
      <c r="AQ8200" s="54">
        <v>2572</v>
      </c>
      <c r="AR8200" s="55">
        <v>28500</v>
      </c>
      <c r="AS8200" s="78">
        <f t="shared" si="132"/>
        <v>9.0245614035087726E-2</v>
      </c>
    </row>
    <row r="8201" spans="39:45">
      <c r="AM8201" s="55">
        <v>2019</v>
      </c>
      <c r="AN8201" s="55" t="s">
        <v>193</v>
      </c>
      <c r="AO8201" s="55">
        <v>8</v>
      </c>
      <c r="AP8201" s="55">
        <v>15</v>
      </c>
      <c r="AQ8201" s="55">
        <v>2441.5</v>
      </c>
      <c r="AR8201" s="55">
        <v>28500</v>
      </c>
      <c r="AS8201" s="78">
        <f t="shared" si="132"/>
        <v>8.5666666666666669E-2</v>
      </c>
    </row>
    <row r="8202" spans="39:45">
      <c r="AM8202" s="54">
        <v>2019</v>
      </c>
      <c r="AN8202" s="54" t="s">
        <v>193</v>
      </c>
      <c r="AO8202" s="54">
        <v>8</v>
      </c>
      <c r="AP8202" s="54">
        <v>16</v>
      </c>
      <c r="AQ8202" s="54">
        <v>0</v>
      </c>
      <c r="AR8202" s="55">
        <v>28500</v>
      </c>
      <c r="AS8202" s="78">
        <f t="shared" si="132"/>
        <v>0</v>
      </c>
    </row>
    <row r="8203" spans="39:45">
      <c r="AM8203" s="55">
        <v>2019</v>
      </c>
      <c r="AN8203" s="55" t="s">
        <v>193</v>
      </c>
      <c r="AO8203" s="55">
        <v>8</v>
      </c>
      <c r="AP8203" s="55">
        <v>17</v>
      </c>
      <c r="AQ8203" s="55">
        <v>0</v>
      </c>
      <c r="AR8203" s="55">
        <v>28500</v>
      </c>
      <c r="AS8203" s="78">
        <f t="shared" si="132"/>
        <v>0</v>
      </c>
    </row>
    <row r="8204" spans="39:45">
      <c r="AM8204" s="54">
        <v>2019</v>
      </c>
      <c r="AN8204" s="54" t="s">
        <v>193</v>
      </c>
      <c r="AO8204" s="54">
        <v>8</v>
      </c>
      <c r="AP8204" s="54">
        <v>18</v>
      </c>
      <c r="AQ8204" s="54">
        <v>0</v>
      </c>
      <c r="AR8204" s="55">
        <v>28500</v>
      </c>
      <c r="AS8204" s="78">
        <f t="shared" si="132"/>
        <v>0</v>
      </c>
    </row>
    <row r="8205" spans="39:45">
      <c r="AM8205" s="55">
        <v>2019</v>
      </c>
      <c r="AN8205" s="55" t="s">
        <v>193</v>
      </c>
      <c r="AO8205" s="55">
        <v>8</v>
      </c>
      <c r="AP8205" s="55">
        <v>19</v>
      </c>
      <c r="AQ8205" s="55">
        <v>0</v>
      </c>
      <c r="AR8205" s="55">
        <v>28500</v>
      </c>
      <c r="AS8205" s="78">
        <f t="shared" si="132"/>
        <v>0</v>
      </c>
    </row>
    <row r="8206" spans="39:45">
      <c r="AM8206" s="54">
        <v>2019</v>
      </c>
      <c r="AN8206" s="54" t="s">
        <v>193</v>
      </c>
      <c r="AO8206" s="54">
        <v>8</v>
      </c>
      <c r="AP8206" s="54">
        <v>20</v>
      </c>
      <c r="AQ8206" s="54">
        <v>0</v>
      </c>
      <c r="AR8206" s="55">
        <v>28500</v>
      </c>
      <c r="AS8206" s="78">
        <f t="shared" si="132"/>
        <v>0</v>
      </c>
    </row>
    <row r="8207" spans="39:45">
      <c r="AM8207" s="55">
        <v>2019</v>
      </c>
      <c r="AN8207" s="55" t="s">
        <v>193</v>
      </c>
      <c r="AO8207" s="55">
        <v>8</v>
      </c>
      <c r="AP8207" s="55">
        <v>21</v>
      </c>
      <c r="AQ8207" s="55">
        <v>0</v>
      </c>
      <c r="AR8207" s="55">
        <v>28500</v>
      </c>
      <c r="AS8207" s="78">
        <f t="shared" si="132"/>
        <v>0</v>
      </c>
    </row>
    <row r="8208" spans="39:45">
      <c r="AM8208" s="54">
        <v>2019</v>
      </c>
      <c r="AN8208" s="54" t="s">
        <v>193</v>
      </c>
      <c r="AO8208" s="54">
        <v>8</v>
      </c>
      <c r="AP8208" s="54">
        <v>22</v>
      </c>
      <c r="AQ8208" s="54">
        <v>0</v>
      </c>
      <c r="AR8208" s="55">
        <v>28500</v>
      </c>
      <c r="AS8208" s="78">
        <f t="shared" si="132"/>
        <v>0</v>
      </c>
    </row>
    <row r="8209" spans="39:45">
      <c r="AM8209" s="55">
        <v>2019</v>
      </c>
      <c r="AN8209" s="55" t="s">
        <v>193</v>
      </c>
      <c r="AO8209" s="55">
        <v>8</v>
      </c>
      <c r="AP8209" s="55">
        <v>23</v>
      </c>
      <c r="AQ8209" s="55">
        <v>0</v>
      </c>
      <c r="AR8209" s="55">
        <v>28500</v>
      </c>
      <c r="AS8209" s="78">
        <f t="shared" si="132"/>
        <v>0</v>
      </c>
    </row>
    <row r="8210" spans="39:45">
      <c r="AM8210" s="54">
        <v>2019</v>
      </c>
      <c r="AN8210" s="54" t="s">
        <v>193</v>
      </c>
      <c r="AO8210" s="54">
        <v>9</v>
      </c>
      <c r="AP8210" s="54">
        <v>24</v>
      </c>
      <c r="AQ8210" s="54">
        <v>0</v>
      </c>
      <c r="AR8210" s="55">
        <v>28500</v>
      </c>
      <c r="AS8210" s="78">
        <f t="shared" si="132"/>
        <v>0</v>
      </c>
    </row>
    <row r="8211" spans="39:45">
      <c r="AM8211" s="55">
        <v>2019</v>
      </c>
      <c r="AN8211" s="55" t="s">
        <v>193</v>
      </c>
      <c r="AO8211" s="55">
        <v>9</v>
      </c>
      <c r="AP8211" s="55">
        <v>1</v>
      </c>
      <c r="AQ8211" s="55">
        <v>0</v>
      </c>
      <c r="AR8211" s="55">
        <v>28500</v>
      </c>
      <c r="AS8211" s="78">
        <f t="shared" si="132"/>
        <v>0</v>
      </c>
    </row>
    <row r="8212" spans="39:45">
      <c r="AM8212" s="54">
        <v>2019</v>
      </c>
      <c r="AN8212" s="54" t="s">
        <v>193</v>
      </c>
      <c r="AO8212" s="54">
        <v>9</v>
      </c>
      <c r="AP8212" s="54">
        <v>2</v>
      </c>
      <c r="AQ8212" s="54">
        <v>0</v>
      </c>
      <c r="AR8212" s="55">
        <v>28500</v>
      </c>
      <c r="AS8212" s="78">
        <f t="shared" si="132"/>
        <v>0</v>
      </c>
    </row>
    <row r="8213" spans="39:45">
      <c r="AM8213" s="55">
        <v>2019</v>
      </c>
      <c r="AN8213" s="55" t="s">
        <v>193</v>
      </c>
      <c r="AO8213" s="55">
        <v>9</v>
      </c>
      <c r="AP8213" s="55">
        <v>3</v>
      </c>
      <c r="AQ8213" s="55">
        <v>0</v>
      </c>
      <c r="AR8213" s="55">
        <v>28500</v>
      </c>
      <c r="AS8213" s="78">
        <f t="shared" si="132"/>
        <v>0</v>
      </c>
    </row>
    <row r="8214" spans="39:45">
      <c r="AM8214" s="54">
        <v>2019</v>
      </c>
      <c r="AN8214" s="54" t="s">
        <v>193</v>
      </c>
      <c r="AO8214" s="54">
        <v>9</v>
      </c>
      <c r="AP8214" s="54">
        <v>4</v>
      </c>
      <c r="AQ8214" s="54">
        <v>0</v>
      </c>
      <c r="AR8214" s="55">
        <v>28500</v>
      </c>
      <c r="AS8214" s="78">
        <f t="shared" si="132"/>
        <v>0</v>
      </c>
    </row>
    <row r="8215" spans="39:45">
      <c r="AM8215" s="55">
        <v>2019</v>
      </c>
      <c r="AN8215" s="55" t="s">
        <v>193</v>
      </c>
      <c r="AO8215" s="55">
        <v>9</v>
      </c>
      <c r="AP8215" s="55">
        <v>5</v>
      </c>
      <c r="AQ8215" s="55">
        <v>0</v>
      </c>
      <c r="AR8215" s="55">
        <v>28500</v>
      </c>
      <c r="AS8215" s="78">
        <f t="shared" si="132"/>
        <v>0</v>
      </c>
    </row>
    <row r="8216" spans="39:45">
      <c r="AM8216" s="54">
        <v>2019</v>
      </c>
      <c r="AN8216" s="54" t="s">
        <v>193</v>
      </c>
      <c r="AO8216" s="54">
        <v>9</v>
      </c>
      <c r="AP8216" s="54">
        <v>6</v>
      </c>
      <c r="AQ8216" s="54">
        <v>0</v>
      </c>
      <c r="AR8216" s="55">
        <v>28500</v>
      </c>
      <c r="AS8216" s="78">
        <f t="shared" si="132"/>
        <v>0</v>
      </c>
    </row>
    <row r="8217" spans="39:45">
      <c r="AM8217" s="55">
        <v>2019</v>
      </c>
      <c r="AN8217" s="55" t="s">
        <v>193</v>
      </c>
      <c r="AO8217" s="55">
        <v>9</v>
      </c>
      <c r="AP8217" s="55">
        <v>7</v>
      </c>
      <c r="AQ8217" s="55">
        <v>0</v>
      </c>
      <c r="AR8217" s="55">
        <v>28500</v>
      </c>
      <c r="AS8217" s="78">
        <f t="shared" si="132"/>
        <v>0</v>
      </c>
    </row>
    <row r="8218" spans="39:45">
      <c r="AM8218" s="54">
        <v>2019</v>
      </c>
      <c r="AN8218" s="54" t="s">
        <v>193</v>
      </c>
      <c r="AO8218" s="54">
        <v>9</v>
      </c>
      <c r="AP8218" s="54">
        <v>8</v>
      </c>
      <c r="AQ8218" s="54">
        <v>0</v>
      </c>
      <c r="AR8218" s="55">
        <v>28500</v>
      </c>
      <c r="AS8218" s="78">
        <f t="shared" si="132"/>
        <v>0</v>
      </c>
    </row>
    <row r="8219" spans="39:45">
      <c r="AM8219" s="55">
        <v>2019</v>
      </c>
      <c r="AN8219" s="55" t="s">
        <v>193</v>
      </c>
      <c r="AO8219" s="55">
        <v>9</v>
      </c>
      <c r="AP8219" s="55">
        <v>9</v>
      </c>
      <c r="AQ8219" s="55">
        <v>14367</v>
      </c>
      <c r="AR8219" s="55">
        <v>28500</v>
      </c>
      <c r="AS8219" s="78">
        <f t="shared" si="132"/>
        <v>0.50410526315789472</v>
      </c>
    </row>
    <row r="8220" spans="39:45">
      <c r="AM8220" s="54">
        <v>2019</v>
      </c>
      <c r="AN8220" s="54" t="s">
        <v>193</v>
      </c>
      <c r="AO8220" s="54">
        <v>9</v>
      </c>
      <c r="AP8220" s="54">
        <v>10</v>
      </c>
      <c r="AQ8220" s="54">
        <v>23858.5</v>
      </c>
      <c r="AR8220" s="55">
        <v>28500</v>
      </c>
      <c r="AS8220" s="78">
        <f t="shared" si="132"/>
        <v>0.83714035087719296</v>
      </c>
    </row>
    <row r="8221" spans="39:45">
      <c r="AM8221" s="55">
        <v>2019</v>
      </c>
      <c r="AN8221" s="55" t="s">
        <v>193</v>
      </c>
      <c r="AO8221" s="55">
        <v>9</v>
      </c>
      <c r="AP8221" s="55">
        <v>11</v>
      </c>
      <c r="AQ8221" s="55">
        <v>25870.5</v>
      </c>
      <c r="AR8221" s="55">
        <v>28500</v>
      </c>
      <c r="AS8221" s="78">
        <f t="shared" si="132"/>
        <v>0.90773684210526318</v>
      </c>
    </row>
    <row r="8222" spans="39:45">
      <c r="AM8222" s="54">
        <v>2019</v>
      </c>
      <c r="AN8222" s="54" t="s">
        <v>193</v>
      </c>
      <c r="AO8222" s="54">
        <v>9</v>
      </c>
      <c r="AP8222" s="54">
        <v>12</v>
      </c>
      <c r="AQ8222" s="54">
        <v>29052.5</v>
      </c>
      <c r="AR8222" s="55">
        <v>28500</v>
      </c>
      <c r="AS8222" s="78">
        <f t="shared" si="132"/>
        <v>1.0193859649122807</v>
      </c>
    </row>
    <row r="8223" spans="39:45">
      <c r="AM8223" s="55">
        <v>2019</v>
      </c>
      <c r="AN8223" s="55" t="s">
        <v>193</v>
      </c>
      <c r="AO8223" s="55">
        <v>9</v>
      </c>
      <c r="AP8223" s="55">
        <v>13</v>
      </c>
      <c r="AQ8223" s="55">
        <v>25208</v>
      </c>
      <c r="AR8223" s="55">
        <v>28500</v>
      </c>
      <c r="AS8223" s="78">
        <f t="shared" si="132"/>
        <v>0.88449122807017544</v>
      </c>
    </row>
    <row r="8224" spans="39:45">
      <c r="AM8224" s="54">
        <v>2019</v>
      </c>
      <c r="AN8224" s="54" t="s">
        <v>193</v>
      </c>
      <c r="AO8224" s="54">
        <v>9</v>
      </c>
      <c r="AP8224" s="54">
        <v>14</v>
      </c>
      <c r="AQ8224" s="54">
        <v>15534.5</v>
      </c>
      <c r="AR8224" s="55">
        <v>28500</v>
      </c>
      <c r="AS8224" s="78">
        <f t="shared" si="132"/>
        <v>0.54507017543859648</v>
      </c>
    </row>
    <row r="8225" spans="39:45">
      <c r="AM8225" s="55">
        <v>2019</v>
      </c>
      <c r="AN8225" s="55" t="s">
        <v>193</v>
      </c>
      <c r="AO8225" s="55">
        <v>9</v>
      </c>
      <c r="AP8225" s="55">
        <v>15</v>
      </c>
      <c r="AQ8225" s="55">
        <v>8087.5</v>
      </c>
      <c r="AR8225" s="55">
        <v>28500</v>
      </c>
      <c r="AS8225" s="78">
        <f t="shared" si="132"/>
        <v>0.2837719298245614</v>
      </c>
    </row>
    <row r="8226" spans="39:45">
      <c r="AM8226" s="54">
        <v>2019</v>
      </c>
      <c r="AN8226" s="54" t="s">
        <v>193</v>
      </c>
      <c r="AO8226" s="54">
        <v>9</v>
      </c>
      <c r="AP8226" s="54">
        <v>16</v>
      </c>
      <c r="AQ8226" s="54">
        <v>0</v>
      </c>
      <c r="AR8226" s="55">
        <v>28500</v>
      </c>
      <c r="AS8226" s="78">
        <f t="shared" si="132"/>
        <v>0</v>
      </c>
    </row>
    <row r="8227" spans="39:45">
      <c r="AM8227" s="55">
        <v>2019</v>
      </c>
      <c r="AN8227" s="55" t="s">
        <v>193</v>
      </c>
      <c r="AO8227" s="55">
        <v>9</v>
      </c>
      <c r="AP8227" s="55">
        <v>17</v>
      </c>
      <c r="AQ8227" s="55">
        <v>0</v>
      </c>
      <c r="AR8227" s="55">
        <v>28500</v>
      </c>
      <c r="AS8227" s="78">
        <f t="shared" si="132"/>
        <v>0</v>
      </c>
    </row>
    <row r="8228" spans="39:45">
      <c r="AM8228" s="54">
        <v>2019</v>
      </c>
      <c r="AN8228" s="54" t="s">
        <v>193</v>
      </c>
      <c r="AO8228" s="54">
        <v>9</v>
      </c>
      <c r="AP8228" s="54">
        <v>18</v>
      </c>
      <c r="AQ8228" s="54">
        <v>0</v>
      </c>
      <c r="AR8228" s="55">
        <v>28500</v>
      </c>
      <c r="AS8228" s="78">
        <f t="shared" si="132"/>
        <v>0</v>
      </c>
    </row>
    <row r="8229" spans="39:45">
      <c r="AM8229" s="55">
        <v>2019</v>
      </c>
      <c r="AN8229" s="55" t="s">
        <v>193</v>
      </c>
      <c r="AO8229" s="55">
        <v>9</v>
      </c>
      <c r="AP8229" s="55">
        <v>19</v>
      </c>
      <c r="AQ8229" s="55">
        <v>0</v>
      </c>
      <c r="AR8229" s="55">
        <v>28500</v>
      </c>
      <c r="AS8229" s="78">
        <f t="shared" si="132"/>
        <v>0</v>
      </c>
    </row>
    <row r="8230" spans="39:45">
      <c r="AM8230" s="54">
        <v>2019</v>
      </c>
      <c r="AN8230" s="54" t="s">
        <v>193</v>
      </c>
      <c r="AO8230" s="54">
        <v>9</v>
      </c>
      <c r="AP8230" s="54">
        <v>20</v>
      </c>
      <c r="AQ8230" s="54">
        <v>0</v>
      </c>
      <c r="AR8230" s="55">
        <v>28500</v>
      </c>
      <c r="AS8230" s="78">
        <f t="shared" si="132"/>
        <v>0</v>
      </c>
    </row>
    <row r="8231" spans="39:45">
      <c r="AM8231" s="55">
        <v>2019</v>
      </c>
      <c r="AN8231" s="55" t="s">
        <v>193</v>
      </c>
      <c r="AO8231" s="55">
        <v>9</v>
      </c>
      <c r="AP8231" s="55">
        <v>21</v>
      </c>
      <c r="AQ8231" s="55">
        <v>0</v>
      </c>
      <c r="AR8231" s="55">
        <v>28500</v>
      </c>
      <c r="AS8231" s="78">
        <f t="shared" si="132"/>
        <v>0</v>
      </c>
    </row>
    <row r="8232" spans="39:45">
      <c r="AM8232" s="54">
        <v>2019</v>
      </c>
      <c r="AN8232" s="54" t="s">
        <v>193</v>
      </c>
      <c r="AO8232" s="54">
        <v>9</v>
      </c>
      <c r="AP8232" s="54">
        <v>22</v>
      </c>
      <c r="AQ8232" s="54">
        <v>0</v>
      </c>
      <c r="AR8232" s="55">
        <v>28500</v>
      </c>
      <c r="AS8232" s="78">
        <f t="shared" si="132"/>
        <v>0</v>
      </c>
    </row>
    <row r="8233" spans="39:45">
      <c r="AM8233" s="55">
        <v>2019</v>
      </c>
      <c r="AN8233" s="55" t="s">
        <v>193</v>
      </c>
      <c r="AO8233" s="55">
        <v>9</v>
      </c>
      <c r="AP8233" s="55">
        <v>23</v>
      </c>
      <c r="AQ8233" s="55">
        <v>0</v>
      </c>
      <c r="AR8233" s="55">
        <v>28500</v>
      </c>
      <c r="AS8233" s="78">
        <f t="shared" si="132"/>
        <v>0</v>
      </c>
    </row>
    <row r="8234" spans="39:45">
      <c r="AM8234" s="54">
        <v>2019</v>
      </c>
      <c r="AN8234" s="54" t="s">
        <v>193</v>
      </c>
      <c r="AO8234" s="54">
        <v>10</v>
      </c>
      <c r="AP8234" s="54">
        <v>24</v>
      </c>
      <c r="AQ8234" s="54">
        <v>0</v>
      </c>
      <c r="AR8234" s="55">
        <v>28500</v>
      </c>
      <c r="AS8234" s="78">
        <f t="shared" si="132"/>
        <v>0</v>
      </c>
    </row>
    <row r="8235" spans="39:45">
      <c r="AM8235" s="55">
        <v>2019</v>
      </c>
      <c r="AN8235" s="55" t="s">
        <v>193</v>
      </c>
      <c r="AO8235" s="55">
        <v>10</v>
      </c>
      <c r="AP8235" s="55">
        <v>1</v>
      </c>
      <c r="AQ8235" s="55">
        <v>0</v>
      </c>
      <c r="AR8235" s="55">
        <v>28500</v>
      </c>
      <c r="AS8235" s="78">
        <f t="shared" si="132"/>
        <v>0</v>
      </c>
    </row>
    <row r="8236" spans="39:45">
      <c r="AM8236" s="54">
        <v>2019</v>
      </c>
      <c r="AN8236" s="54" t="s">
        <v>193</v>
      </c>
      <c r="AO8236" s="54">
        <v>10</v>
      </c>
      <c r="AP8236" s="54">
        <v>2</v>
      </c>
      <c r="AQ8236" s="54">
        <v>0</v>
      </c>
      <c r="AR8236" s="55">
        <v>28500</v>
      </c>
      <c r="AS8236" s="78">
        <f t="shared" si="132"/>
        <v>0</v>
      </c>
    </row>
    <row r="8237" spans="39:45">
      <c r="AM8237" s="55">
        <v>2019</v>
      </c>
      <c r="AN8237" s="55" t="s">
        <v>193</v>
      </c>
      <c r="AO8237" s="55">
        <v>10</v>
      </c>
      <c r="AP8237" s="55">
        <v>3</v>
      </c>
      <c r="AQ8237" s="55">
        <v>0</v>
      </c>
      <c r="AR8237" s="55">
        <v>28500</v>
      </c>
      <c r="AS8237" s="78">
        <f t="shared" si="132"/>
        <v>0</v>
      </c>
    </row>
    <row r="8238" spans="39:45">
      <c r="AM8238" s="54">
        <v>2019</v>
      </c>
      <c r="AN8238" s="54" t="s">
        <v>193</v>
      </c>
      <c r="AO8238" s="54">
        <v>10</v>
      </c>
      <c r="AP8238" s="54">
        <v>4</v>
      </c>
      <c r="AQ8238" s="54">
        <v>0</v>
      </c>
      <c r="AR8238" s="55">
        <v>28500</v>
      </c>
      <c r="AS8238" s="78">
        <f t="shared" si="132"/>
        <v>0</v>
      </c>
    </row>
    <row r="8239" spans="39:45">
      <c r="AM8239" s="55">
        <v>2019</v>
      </c>
      <c r="AN8239" s="55" t="s">
        <v>193</v>
      </c>
      <c r="AO8239" s="55">
        <v>10</v>
      </c>
      <c r="AP8239" s="55">
        <v>5</v>
      </c>
      <c r="AQ8239" s="55">
        <v>0</v>
      </c>
      <c r="AR8239" s="55">
        <v>28500</v>
      </c>
      <c r="AS8239" s="78">
        <f t="shared" si="132"/>
        <v>0</v>
      </c>
    </row>
    <row r="8240" spans="39:45">
      <c r="AM8240" s="54">
        <v>2019</v>
      </c>
      <c r="AN8240" s="54" t="s">
        <v>193</v>
      </c>
      <c r="AO8240" s="54">
        <v>10</v>
      </c>
      <c r="AP8240" s="54">
        <v>6</v>
      </c>
      <c r="AQ8240" s="54">
        <v>0</v>
      </c>
      <c r="AR8240" s="55">
        <v>28500</v>
      </c>
      <c r="AS8240" s="78">
        <f t="shared" si="132"/>
        <v>0</v>
      </c>
    </row>
    <row r="8241" spans="39:45">
      <c r="AM8241" s="55">
        <v>2019</v>
      </c>
      <c r="AN8241" s="55" t="s">
        <v>193</v>
      </c>
      <c r="AO8241" s="55">
        <v>10</v>
      </c>
      <c r="AP8241" s="55">
        <v>7</v>
      </c>
      <c r="AQ8241" s="55">
        <v>0</v>
      </c>
      <c r="AR8241" s="55">
        <v>28500</v>
      </c>
      <c r="AS8241" s="78">
        <f t="shared" si="132"/>
        <v>0</v>
      </c>
    </row>
    <row r="8242" spans="39:45">
      <c r="AM8242" s="54">
        <v>2019</v>
      </c>
      <c r="AN8242" s="54" t="s">
        <v>193</v>
      </c>
      <c r="AO8242" s="54">
        <v>10</v>
      </c>
      <c r="AP8242" s="54">
        <v>8</v>
      </c>
      <c r="AQ8242" s="54">
        <v>0</v>
      </c>
      <c r="AR8242" s="55">
        <v>28500</v>
      </c>
      <c r="AS8242" s="78">
        <f t="shared" si="132"/>
        <v>0</v>
      </c>
    </row>
    <row r="8243" spans="39:45">
      <c r="AM8243" s="55">
        <v>2019</v>
      </c>
      <c r="AN8243" s="55" t="s">
        <v>193</v>
      </c>
      <c r="AO8243" s="55">
        <v>10</v>
      </c>
      <c r="AP8243" s="55">
        <v>9</v>
      </c>
      <c r="AQ8243" s="55">
        <v>1877</v>
      </c>
      <c r="AR8243" s="55">
        <v>28500</v>
      </c>
      <c r="AS8243" s="78">
        <f t="shared" si="132"/>
        <v>6.5859649122807021E-2</v>
      </c>
    </row>
    <row r="8244" spans="39:45">
      <c r="AM8244" s="54">
        <v>2019</v>
      </c>
      <c r="AN8244" s="54" t="s">
        <v>193</v>
      </c>
      <c r="AO8244" s="54">
        <v>10</v>
      </c>
      <c r="AP8244" s="54">
        <v>10</v>
      </c>
      <c r="AQ8244" s="54">
        <v>2053</v>
      </c>
      <c r="AR8244" s="55">
        <v>28500</v>
      </c>
      <c r="AS8244" s="78">
        <f t="shared" si="132"/>
        <v>7.2035087719298244E-2</v>
      </c>
    </row>
    <row r="8245" spans="39:45">
      <c r="AM8245" s="55">
        <v>2019</v>
      </c>
      <c r="AN8245" s="55" t="s">
        <v>193</v>
      </c>
      <c r="AO8245" s="55">
        <v>10</v>
      </c>
      <c r="AP8245" s="55">
        <v>11</v>
      </c>
      <c r="AQ8245" s="55">
        <v>1692.5</v>
      </c>
      <c r="AR8245" s="55">
        <v>28500</v>
      </c>
      <c r="AS8245" s="78">
        <f t="shared" si="132"/>
        <v>5.9385964912280702E-2</v>
      </c>
    </row>
    <row r="8246" spans="39:45">
      <c r="AM8246" s="54">
        <v>2019</v>
      </c>
      <c r="AN8246" s="54" t="s">
        <v>193</v>
      </c>
      <c r="AO8246" s="54">
        <v>10</v>
      </c>
      <c r="AP8246" s="54">
        <v>12</v>
      </c>
      <c r="AQ8246" s="54">
        <v>941.5</v>
      </c>
      <c r="AR8246" s="55">
        <v>28500</v>
      </c>
      <c r="AS8246" s="78">
        <f t="shared" si="132"/>
        <v>3.3035087719298244E-2</v>
      </c>
    </row>
    <row r="8247" spans="39:45">
      <c r="AM8247" s="55">
        <v>2019</v>
      </c>
      <c r="AN8247" s="55" t="s">
        <v>193</v>
      </c>
      <c r="AO8247" s="55">
        <v>10</v>
      </c>
      <c r="AP8247" s="55">
        <v>13</v>
      </c>
      <c r="AQ8247" s="55">
        <v>1185</v>
      </c>
      <c r="AR8247" s="55">
        <v>28500</v>
      </c>
      <c r="AS8247" s="78">
        <f t="shared" si="132"/>
        <v>4.1578947368421056E-2</v>
      </c>
    </row>
    <row r="8248" spans="39:45">
      <c r="AM8248" s="54">
        <v>2019</v>
      </c>
      <c r="AN8248" s="54" t="s">
        <v>193</v>
      </c>
      <c r="AO8248" s="54">
        <v>10</v>
      </c>
      <c r="AP8248" s="54">
        <v>14</v>
      </c>
      <c r="AQ8248" s="54">
        <v>1078</v>
      </c>
      <c r="AR8248" s="55">
        <v>28500</v>
      </c>
      <c r="AS8248" s="78">
        <f t="shared" si="132"/>
        <v>3.7824561403508775E-2</v>
      </c>
    </row>
    <row r="8249" spans="39:45">
      <c r="AM8249" s="55">
        <v>2019</v>
      </c>
      <c r="AN8249" s="55" t="s">
        <v>193</v>
      </c>
      <c r="AO8249" s="55">
        <v>10</v>
      </c>
      <c r="AP8249" s="55">
        <v>15</v>
      </c>
      <c r="AQ8249" s="55">
        <v>52</v>
      </c>
      <c r="AR8249" s="55">
        <v>28500</v>
      </c>
      <c r="AS8249" s="78">
        <f t="shared" si="132"/>
        <v>1.8245614035087719E-3</v>
      </c>
    </row>
    <row r="8250" spans="39:45">
      <c r="AM8250" s="54">
        <v>2019</v>
      </c>
      <c r="AN8250" s="54" t="s">
        <v>193</v>
      </c>
      <c r="AO8250" s="54">
        <v>10</v>
      </c>
      <c r="AP8250" s="54">
        <v>16</v>
      </c>
      <c r="AQ8250" s="54">
        <v>0</v>
      </c>
      <c r="AR8250" s="55">
        <v>28500</v>
      </c>
      <c r="AS8250" s="78">
        <f t="shared" si="132"/>
        <v>0</v>
      </c>
    </row>
    <row r="8251" spans="39:45">
      <c r="AM8251" s="55">
        <v>2019</v>
      </c>
      <c r="AN8251" s="55" t="s">
        <v>193</v>
      </c>
      <c r="AO8251" s="55">
        <v>10</v>
      </c>
      <c r="AP8251" s="55">
        <v>17</v>
      </c>
      <c r="AQ8251" s="55">
        <v>0</v>
      </c>
      <c r="AR8251" s="55">
        <v>28500</v>
      </c>
      <c r="AS8251" s="78">
        <f t="shared" si="132"/>
        <v>0</v>
      </c>
    </row>
    <row r="8252" spans="39:45">
      <c r="AM8252" s="54">
        <v>2019</v>
      </c>
      <c r="AN8252" s="54" t="s">
        <v>193</v>
      </c>
      <c r="AO8252" s="54">
        <v>10</v>
      </c>
      <c r="AP8252" s="54">
        <v>18</v>
      </c>
      <c r="AQ8252" s="54">
        <v>0</v>
      </c>
      <c r="AR8252" s="55">
        <v>28500</v>
      </c>
      <c r="AS8252" s="78">
        <f t="shared" si="132"/>
        <v>0</v>
      </c>
    </row>
    <row r="8253" spans="39:45">
      <c r="AM8253" s="55">
        <v>2019</v>
      </c>
      <c r="AN8253" s="55" t="s">
        <v>193</v>
      </c>
      <c r="AO8253" s="55">
        <v>10</v>
      </c>
      <c r="AP8253" s="55">
        <v>19</v>
      </c>
      <c r="AQ8253" s="55">
        <v>0</v>
      </c>
      <c r="AR8253" s="55">
        <v>28500</v>
      </c>
      <c r="AS8253" s="78">
        <f t="shared" si="132"/>
        <v>0</v>
      </c>
    </row>
    <row r="8254" spans="39:45">
      <c r="AM8254" s="54">
        <v>2019</v>
      </c>
      <c r="AN8254" s="54" t="s">
        <v>193</v>
      </c>
      <c r="AO8254" s="54">
        <v>10</v>
      </c>
      <c r="AP8254" s="54">
        <v>20</v>
      </c>
      <c r="AQ8254" s="54">
        <v>0</v>
      </c>
      <c r="AR8254" s="55">
        <v>28500</v>
      </c>
      <c r="AS8254" s="78">
        <f t="shared" si="132"/>
        <v>0</v>
      </c>
    </row>
    <row r="8255" spans="39:45">
      <c r="AM8255" s="55">
        <v>2019</v>
      </c>
      <c r="AN8255" s="55" t="s">
        <v>193</v>
      </c>
      <c r="AO8255" s="55">
        <v>10</v>
      </c>
      <c r="AP8255" s="55">
        <v>21</v>
      </c>
      <c r="AQ8255" s="55">
        <v>0</v>
      </c>
      <c r="AR8255" s="55">
        <v>28500</v>
      </c>
      <c r="AS8255" s="78">
        <f t="shared" si="132"/>
        <v>0</v>
      </c>
    </row>
    <row r="8256" spans="39:45">
      <c r="AM8256" s="54">
        <v>2019</v>
      </c>
      <c r="AN8256" s="54" t="s">
        <v>193</v>
      </c>
      <c r="AO8256" s="54">
        <v>10</v>
      </c>
      <c r="AP8256" s="54">
        <v>22</v>
      </c>
      <c r="AQ8256" s="54">
        <v>0</v>
      </c>
      <c r="AR8256" s="55">
        <v>28500</v>
      </c>
      <c r="AS8256" s="78">
        <f t="shared" si="132"/>
        <v>0</v>
      </c>
    </row>
    <row r="8257" spans="39:45">
      <c r="AM8257" s="55">
        <v>2019</v>
      </c>
      <c r="AN8257" s="55" t="s">
        <v>193</v>
      </c>
      <c r="AO8257" s="55">
        <v>10</v>
      </c>
      <c r="AP8257" s="55">
        <v>23</v>
      </c>
      <c r="AQ8257" s="55">
        <v>0</v>
      </c>
      <c r="AR8257" s="55">
        <v>28500</v>
      </c>
      <c r="AS8257" s="78">
        <f t="shared" si="132"/>
        <v>0</v>
      </c>
    </row>
    <row r="8258" spans="39:45">
      <c r="AM8258" s="54">
        <v>2019</v>
      </c>
      <c r="AN8258" s="54" t="s">
        <v>193</v>
      </c>
      <c r="AO8258" s="54">
        <v>11</v>
      </c>
      <c r="AP8258" s="54">
        <v>24</v>
      </c>
      <c r="AQ8258" s="54">
        <v>0</v>
      </c>
      <c r="AR8258" s="55">
        <v>28500</v>
      </c>
      <c r="AS8258" s="78">
        <f t="shared" ref="AS8258:AS8321" si="133">AQ8258/AR8258</f>
        <v>0</v>
      </c>
    </row>
    <row r="8259" spans="39:45">
      <c r="AM8259" s="55">
        <v>2019</v>
      </c>
      <c r="AN8259" s="55" t="s">
        <v>193</v>
      </c>
      <c r="AO8259" s="55">
        <v>11</v>
      </c>
      <c r="AP8259" s="55">
        <v>1</v>
      </c>
      <c r="AQ8259" s="55">
        <v>0</v>
      </c>
      <c r="AR8259" s="55">
        <v>28500</v>
      </c>
      <c r="AS8259" s="78">
        <f t="shared" si="133"/>
        <v>0</v>
      </c>
    </row>
    <row r="8260" spans="39:45">
      <c r="AM8260" s="54">
        <v>2019</v>
      </c>
      <c r="AN8260" s="54" t="s">
        <v>193</v>
      </c>
      <c r="AO8260" s="54">
        <v>11</v>
      </c>
      <c r="AP8260" s="54">
        <v>2</v>
      </c>
      <c r="AQ8260" s="54">
        <v>0</v>
      </c>
      <c r="AR8260" s="55">
        <v>28500</v>
      </c>
      <c r="AS8260" s="78">
        <f t="shared" si="133"/>
        <v>0</v>
      </c>
    </row>
    <row r="8261" spans="39:45">
      <c r="AM8261" s="55">
        <v>2019</v>
      </c>
      <c r="AN8261" s="55" t="s">
        <v>193</v>
      </c>
      <c r="AO8261" s="55">
        <v>11</v>
      </c>
      <c r="AP8261" s="55">
        <v>3</v>
      </c>
      <c r="AQ8261" s="55">
        <v>0</v>
      </c>
      <c r="AR8261" s="55">
        <v>28500</v>
      </c>
      <c r="AS8261" s="78">
        <f t="shared" si="133"/>
        <v>0</v>
      </c>
    </row>
    <row r="8262" spans="39:45">
      <c r="AM8262" s="54">
        <v>2019</v>
      </c>
      <c r="AN8262" s="54" t="s">
        <v>193</v>
      </c>
      <c r="AO8262" s="54">
        <v>11</v>
      </c>
      <c r="AP8262" s="54">
        <v>4</v>
      </c>
      <c r="AQ8262" s="54">
        <v>0</v>
      </c>
      <c r="AR8262" s="55">
        <v>28500</v>
      </c>
      <c r="AS8262" s="78">
        <f t="shared" si="133"/>
        <v>0</v>
      </c>
    </row>
    <row r="8263" spans="39:45">
      <c r="AM8263" s="55">
        <v>2019</v>
      </c>
      <c r="AN8263" s="55" t="s">
        <v>193</v>
      </c>
      <c r="AO8263" s="55">
        <v>11</v>
      </c>
      <c r="AP8263" s="55">
        <v>5</v>
      </c>
      <c r="AQ8263" s="55">
        <v>0</v>
      </c>
      <c r="AR8263" s="55">
        <v>28500</v>
      </c>
      <c r="AS8263" s="78">
        <f t="shared" si="133"/>
        <v>0</v>
      </c>
    </row>
    <row r="8264" spans="39:45">
      <c r="AM8264" s="54">
        <v>2019</v>
      </c>
      <c r="AN8264" s="54" t="s">
        <v>193</v>
      </c>
      <c r="AO8264" s="54">
        <v>11</v>
      </c>
      <c r="AP8264" s="54">
        <v>6</v>
      </c>
      <c r="AQ8264" s="54">
        <v>0</v>
      </c>
      <c r="AR8264" s="55">
        <v>28500</v>
      </c>
      <c r="AS8264" s="78">
        <f t="shared" si="133"/>
        <v>0</v>
      </c>
    </row>
    <row r="8265" spans="39:45">
      <c r="AM8265" s="55">
        <v>2019</v>
      </c>
      <c r="AN8265" s="55" t="s">
        <v>193</v>
      </c>
      <c r="AO8265" s="55">
        <v>11</v>
      </c>
      <c r="AP8265" s="55">
        <v>7</v>
      </c>
      <c r="AQ8265" s="55">
        <v>0</v>
      </c>
      <c r="AR8265" s="55">
        <v>28500</v>
      </c>
      <c r="AS8265" s="78">
        <f t="shared" si="133"/>
        <v>0</v>
      </c>
    </row>
    <row r="8266" spans="39:45">
      <c r="AM8266" s="54">
        <v>2019</v>
      </c>
      <c r="AN8266" s="54" t="s">
        <v>193</v>
      </c>
      <c r="AO8266" s="54">
        <v>11</v>
      </c>
      <c r="AP8266" s="54">
        <v>8</v>
      </c>
      <c r="AQ8266" s="54">
        <v>0</v>
      </c>
      <c r="AR8266" s="55">
        <v>28500</v>
      </c>
      <c r="AS8266" s="78">
        <f t="shared" si="133"/>
        <v>0</v>
      </c>
    </row>
    <row r="8267" spans="39:45">
      <c r="AM8267" s="55">
        <v>2019</v>
      </c>
      <c r="AN8267" s="55" t="s">
        <v>193</v>
      </c>
      <c r="AO8267" s="55">
        <v>11</v>
      </c>
      <c r="AP8267" s="55">
        <v>9</v>
      </c>
      <c r="AQ8267" s="55">
        <v>18466</v>
      </c>
      <c r="AR8267" s="55">
        <v>28500</v>
      </c>
      <c r="AS8267" s="78">
        <f t="shared" si="133"/>
        <v>0.64792982456140347</v>
      </c>
    </row>
    <row r="8268" spans="39:45">
      <c r="AM8268" s="54">
        <v>2019</v>
      </c>
      <c r="AN8268" s="54" t="s">
        <v>193</v>
      </c>
      <c r="AO8268" s="54">
        <v>11</v>
      </c>
      <c r="AP8268" s="54">
        <v>10</v>
      </c>
      <c r="AQ8268" s="54">
        <v>25260.5</v>
      </c>
      <c r="AR8268" s="55">
        <v>28500</v>
      </c>
      <c r="AS8268" s="78">
        <f t="shared" si="133"/>
        <v>0.88633333333333331</v>
      </c>
    </row>
    <row r="8269" spans="39:45">
      <c r="AM8269" s="55">
        <v>2019</v>
      </c>
      <c r="AN8269" s="55" t="s">
        <v>193</v>
      </c>
      <c r="AO8269" s="55">
        <v>11</v>
      </c>
      <c r="AP8269" s="55">
        <v>11</v>
      </c>
      <c r="AQ8269" s="55">
        <v>28290</v>
      </c>
      <c r="AR8269" s="55">
        <v>28500</v>
      </c>
      <c r="AS8269" s="78">
        <f t="shared" si="133"/>
        <v>0.99263157894736842</v>
      </c>
    </row>
    <row r="8270" spans="39:45">
      <c r="AM8270" s="54">
        <v>2019</v>
      </c>
      <c r="AN8270" s="54" t="s">
        <v>193</v>
      </c>
      <c r="AO8270" s="54">
        <v>11</v>
      </c>
      <c r="AP8270" s="54">
        <v>12</v>
      </c>
      <c r="AQ8270" s="54">
        <v>25319</v>
      </c>
      <c r="AR8270" s="55">
        <v>28500</v>
      </c>
      <c r="AS8270" s="78">
        <f t="shared" si="133"/>
        <v>0.88838596491228072</v>
      </c>
    </row>
    <row r="8271" spans="39:45">
      <c r="AM8271" s="55">
        <v>2019</v>
      </c>
      <c r="AN8271" s="55" t="s">
        <v>193</v>
      </c>
      <c r="AO8271" s="55">
        <v>11</v>
      </c>
      <c r="AP8271" s="55">
        <v>13</v>
      </c>
      <c r="AQ8271" s="55">
        <v>28761</v>
      </c>
      <c r="AR8271" s="55">
        <v>28500</v>
      </c>
      <c r="AS8271" s="78">
        <f t="shared" si="133"/>
        <v>1.009157894736842</v>
      </c>
    </row>
    <row r="8272" spans="39:45">
      <c r="AM8272" s="54">
        <v>2019</v>
      </c>
      <c r="AN8272" s="54" t="s">
        <v>193</v>
      </c>
      <c r="AO8272" s="54">
        <v>11</v>
      </c>
      <c r="AP8272" s="54">
        <v>14</v>
      </c>
      <c r="AQ8272" s="54">
        <v>20979</v>
      </c>
      <c r="AR8272" s="55">
        <v>28500</v>
      </c>
      <c r="AS8272" s="78">
        <f t="shared" si="133"/>
        <v>0.73610526315789471</v>
      </c>
    </row>
    <row r="8273" spans="39:45">
      <c r="AM8273" s="55">
        <v>2019</v>
      </c>
      <c r="AN8273" s="55" t="s">
        <v>193</v>
      </c>
      <c r="AO8273" s="55">
        <v>11</v>
      </c>
      <c r="AP8273" s="55">
        <v>15</v>
      </c>
      <c r="AQ8273" s="55">
        <v>97.5</v>
      </c>
      <c r="AR8273" s="55">
        <v>28500</v>
      </c>
      <c r="AS8273" s="78">
        <f t="shared" si="133"/>
        <v>3.4210526315789475E-3</v>
      </c>
    </row>
    <row r="8274" spans="39:45">
      <c r="AM8274" s="54">
        <v>2019</v>
      </c>
      <c r="AN8274" s="54" t="s">
        <v>193</v>
      </c>
      <c r="AO8274" s="54">
        <v>11</v>
      </c>
      <c r="AP8274" s="54">
        <v>16</v>
      </c>
      <c r="AQ8274" s="54">
        <v>0</v>
      </c>
      <c r="AR8274" s="55">
        <v>28500</v>
      </c>
      <c r="AS8274" s="78">
        <f t="shared" si="133"/>
        <v>0</v>
      </c>
    </row>
    <row r="8275" spans="39:45">
      <c r="AM8275" s="55">
        <v>2019</v>
      </c>
      <c r="AN8275" s="55" t="s">
        <v>193</v>
      </c>
      <c r="AO8275" s="55">
        <v>11</v>
      </c>
      <c r="AP8275" s="55">
        <v>17</v>
      </c>
      <c r="AQ8275" s="55">
        <v>0</v>
      </c>
      <c r="AR8275" s="55">
        <v>28500</v>
      </c>
      <c r="AS8275" s="78">
        <f t="shared" si="133"/>
        <v>0</v>
      </c>
    </row>
    <row r="8276" spans="39:45">
      <c r="AM8276" s="54">
        <v>2019</v>
      </c>
      <c r="AN8276" s="54" t="s">
        <v>193</v>
      </c>
      <c r="AO8276" s="54">
        <v>11</v>
      </c>
      <c r="AP8276" s="54">
        <v>18</v>
      </c>
      <c r="AQ8276" s="54">
        <v>0</v>
      </c>
      <c r="AR8276" s="55">
        <v>28500</v>
      </c>
      <c r="AS8276" s="78">
        <f t="shared" si="133"/>
        <v>0</v>
      </c>
    </row>
    <row r="8277" spans="39:45">
      <c r="AM8277" s="55">
        <v>2019</v>
      </c>
      <c r="AN8277" s="55" t="s">
        <v>193</v>
      </c>
      <c r="AO8277" s="55">
        <v>11</v>
      </c>
      <c r="AP8277" s="55">
        <v>19</v>
      </c>
      <c r="AQ8277" s="55">
        <v>0</v>
      </c>
      <c r="AR8277" s="55">
        <v>28500</v>
      </c>
      <c r="AS8277" s="78">
        <f t="shared" si="133"/>
        <v>0</v>
      </c>
    </row>
    <row r="8278" spans="39:45">
      <c r="AM8278" s="54">
        <v>2019</v>
      </c>
      <c r="AN8278" s="54" t="s">
        <v>193</v>
      </c>
      <c r="AO8278" s="54">
        <v>11</v>
      </c>
      <c r="AP8278" s="54">
        <v>20</v>
      </c>
      <c r="AQ8278" s="54">
        <v>0</v>
      </c>
      <c r="AR8278" s="55">
        <v>28500</v>
      </c>
      <c r="AS8278" s="78">
        <f t="shared" si="133"/>
        <v>0</v>
      </c>
    </row>
    <row r="8279" spans="39:45">
      <c r="AM8279" s="55">
        <v>2019</v>
      </c>
      <c r="AN8279" s="55" t="s">
        <v>193</v>
      </c>
      <c r="AO8279" s="55">
        <v>11</v>
      </c>
      <c r="AP8279" s="55">
        <v>21</v>
      </c>
      <c r="AQ8279" s="55">
        <v>0</v>
      </c>
      <c r="AR8279" s="55">
        <v>28500</v>
      </c>
      <c r="AS8279" s="78">
        <f t="shared" si="133"/>
        <v>0</v>
      </c>
    </row>
    <row r="8280" spans="39:45">
      <c r="AM8280" s="54">
        <v>2019</v>
      </c>
      <c r="AN8280" s="54" t="s">
        <v>193</v>
      </c>
      <c r="AO8280" s="54">
        <v>11</v>
      </c>
      <c r="AP8280" s="54">
        <v>22</v>
      </c>
      <c r="AQ8280" s="54">
        <v>0</v>
      </c>
      <c r="AR8280" s="55">
        <v>28500</v>
      </c>
      <c r="AS8280" s="78">
        <f t="shared" si="133"/>
        <v>0</v>
      </c>
    </row>
    <row r="8281" spans="39:45">
      <c r="AM8281" s="55">
        <v>2019</v>
      </c>
      <c r="AN8281" s="55" t="s">
        <v>193</v>
      </c>
      <c r="AO8281" s="55">
        <v>11</v>
      </c>
      <c r="AP8281" s="55">
        <v>23</v>
      </c>
      <c r="AQ8281" s="55">
        <v>0</v>
      </c>
      <c r="AR8281" s="55">
        <v>28500</v>
      </c>
      <c r="AS8281" s="78">
        <f t="shared" si="133"/>
        <v>0</v>
      </c>
    </row>
    <row r="8282" spans="39:45">
      <c r="AM8282" s="54">
        <v>2019</v>
      </c>
      <c r="AN8282" s="54" t="s">
        <v>193</v>
      </c>
      <c r="AO8282" s="54">
        <v>12</v>
      </c>
      <c r="AP8282" s="54">
        <v>24</v>
      </c>
      <c r="AQ8282" s="54">
        <v>0</v>
      </c>
      <c r="AR8282" s="55">
        <v>28500</v>
      </c>
      <c r="AS8282" s="78">
        <f t="shared" si="133"/>
        <v>0</v>
      </c>
    </row>
    <row r="8283" spans="39:45">
      <c r="AM8283" s="55">
        <v>2019</v>
      </c>
      <c r="AN8283" s="55" t="s">
        <v>193</v>
      </c>
      <c r="AO8283" s="55">
        <v>12</v>
      </c>
      <c r="AP8283" s="55">
        <v>1</v>
      </c>
      <c r="AQ8283" s="55">
        <v>0</v>
      </c>
      <c r="AR8283" s="55">
        <v>28500</v>
      </c>
      <c r="AS8283" s="78">
        <f t="shared" si="133"/>
        <v>0</v>
      </c>
    </row>
    <row r="8284" spans="39:45">
      <c r="AM8284" s="54">
        <v>2019</v>
      </c>
      <c r="AN8284" s="54" t="s">
        <v>193</v>
      </c>
      <c r="AO8284" s="54">
        <v>12</v>
      </c>
      <c r="AP8284" s="54">
        <v>2</v>
      </c>
      <c r="AQ8284" s="54">
        <v>0</v>
      </c>
      <c r="AR8284" s="55">
        <v>28500</v>
      </c>
      <c r="AS8284" s="78">
        <f t="shared" si="133"/>
        <v>0</v>
      </c>
    </row>
    <row r="8285" spans="39:45">
      <c r="AM8285" s="55">
        <v>2019</v>
      </c>
      <c r="AN8285" s="55" t="s">
        <v>193</v>
      </c>
      <c r="AO8285" s="55">
        <v>12</v>
      </c>
      <c r="AP8285" s="55">
        <v>3</v>
      </c>
      <c r="AQ8285" s="55">
        <v>0</v>
      </c>
      <c r="AR8285" s="55">
        <v>28500</v>
      </c>
      <c r="AS8285" s="78">
        <f t="shared" si="133"/>
        <v>0</v>
      </c>
    </row>
    <row r="8286" spans="39:45">
      <c r="AM8286" s="54">
        <v>2019</v>
      </c>
      <c r="AN8286" s="54" t="s">
        <v>193</v>
      </c>
      <c r="AO8286" s="54">
        <v>12</v>
      </c>
      <c r="AP8286" s="54">
        <v>4</v>
      </c>
      <c r="AQ8286" s="54">
        <v>0</v>
      </c>
      <c r="AR8286" s="55">
        <v>28500</v>
      </c>
      <c r="AS8286" s="78">
        <f t="shared" si="133"/>
        <v>0</v>
      </c>
    </row>
    <row r="8287" spans="39:45">
      <c r="AM8287" s="55">
        <v>2019</v>
      </c>
      <c r="AN8287" s="55" t="s">
        <v>193</v>
      </c>
      <c r="AO8287" s="55">
        <v>12</v>
      </c>
      <c r="AP8287" s="55">
        <v>5</v>
      </c>
      <c r="AQ8287" s="55">
        <v>0</v>
      </c>
      <c r="AR8287" s="55">
        <v>28500</v>
      </c>
      <c r="AS8287" s="78">
        <f t="shared" si="133"/>
        <v>0</v>
      </c>
    </row>
    <row r="8288" spans="39:45">
      <c r="AM8288" s="54">
        <v>2019</v>
      </c>
      <c r="AN8288" s="54" t="s">
        <v>193</v>
      </c>
      <c r="AO8288" s="54">
        <v>12</v>
      </c>
      <c r="AP8288" s="54">
        <v>6</v>
      </c>
      <c r="AQ8288" s="54">
        <v>0</v>
      </c>
      <c r="AR8288" s="55">
        <v>28500</v>
      </c>
      <c r="AS8288" s="78">
        <f t="shared" si="133"/>
        <v>0</v>
      </c>
    </row>
    <row r="8289" spans="39:45">
      <c r="AM8289" s="55">
        <v>2019</v>
      </c>
      <c r="AN8289" s="55" t="s">
        <v>193</v>
      </c>
      <c r="AO8289" s="55">
        <v>12</v>
      </c>
      <c r="AP8289" s="55">
        <v>7</v>
      </c>
      <c r="AQ8289" s="55">
        <v>0</v>
      </c>
      <c r="AR8289" s="55">
        <v>28500</v>
      </c>
      <c r="AS8289" s="78">
        <f t="shared" si="133"/>
        <v>0</v>
      </c>
    </row>
    <row r="8290" spans="39:45">
      <c r="AM8290" s="54">
        <v>2019</v>
      </c>
      <c r="AN8290" s="54" t="s">
        <v>193</v>
      </c>
      <c r="AO8290" s="54">
        <v>12</v>
      </c>
      <c r="AP8290" s="54">
        <v>8</v>
      </c>
      <c r="AQ8290" s="54">
        <v>0</v>
      </c>
      <c r="AR8290" s="55">
        <v>28500</v>
      </c>
      <c r="AS8290" s="78">
        <f t="shared" si="133"/>
        <v>0</v>
      </c>
    </row>
    <row r="8291" spans="39:45">
      <c r="AM8291" s="55">
        <v>2019</v>
      </c>
      <c r="AN8291" s="55" t="s">
        <v>193</v>
      </c>
      <c r="AO8291" s="55">
        <v>12</v>
      </c>
      <c r="AP8291" s="55">
        <v>9</v>
      </c>
      <c r="AQ8291" s="55">
        <v>623.5</v>
      </c>
      <c r="AR8291" s="55">
        <v>28500</v>
      </c>
      <c r="AS8291" s="78">
        <f t="shared" si="133"/>
        <v>2.1877192982456141E-2</v>
      </c>
    </row>
    <row r="8292" spans="39:45">
      <c r="AM8292" s="54">
        <v>2019</v>
      </c>
      <c r="AN8292" s="54" t="s">
        <v>193</v>
      </c>
      <c r="AO8292" s="54">
        <v>12</v>
      </c>
      <c r="AP8292" s="54">
        <v>10</v>
      </c>
      <c r="AQ8292" s="54">
        <v>652</v>
      </c>
      <c r="AR8292" s="55">
        <v>28500</v>
      </c>
      <c r="AS8292" s="78">
        <f t="shared" si="133"/>
        <v>2.2877192982456142E-2</v>
      </c>
    </row>
    <row r="8293" spans="39:45">
      <c r="AM8293" s="55">
        <v>2019</v>
      </c>
      <c r="AN8293" s="55" t="s">
        <v>193</v>
      </c>
      <c r="AO8293" s="55">
        <v>12</v>
      </c>
      <c r="AP8293" s="55">
        <v>11</v>
      </c>
      <c r="AQ8293" s="55">
        <v>5306.5</v>
      </c>
      <c r="AR8293" s="55">
        <v>28500</v>
      </c>
      <c r="AS8293" s="78">
        <f t="shared" si="133"/>
        <v>0.18619298245614035</v>
      </c>
    </row>
    <row r="8294" spans="39:45">
      <c r="AM8294" s="54">
        <v>2019</v>
      </c>
      <c r="AN8294" s="54" t="s">
        <v>193</v>
      </c>
      <c r="AO8294" s="54">
        <v>12</v>
      </c>
      <c r="AP8294" s="54">
        <v>12</v>
      </c>
      <c r="AQ8294" s="54">
        <v>9312</v>
      </c>
      <c r="AR8294" s="55">
        <v>28500</v>
      </c>
      <c r="AS8294" s="78">
        <f t="shared" si="133"/>
        <v>0.32673684210526316</v>
      </c>
    </row>
    <row r="8295" spans="39:45">
      <c r="AM8295" s="55">
        <v>2019</v>
      </c>
      <c r="AN8295" s="55" t="s">
        <v>193</v>
      </c>
      <c r="AO8295" s="55">
        <v>12</v>
      </c>
      <c r="AP8295" s="55">
        <v>13</v>
      </c>
      <c r="AQ8295" s="55">
        <v>748.5</v>
      </c>
      <c r="AR8295" s="55">
        <v>28500</v>
      </c>
      <c r="AS8295" s="78">
        <f t="shared" si="133"/>
        <v>2.6263157894736842E-2</v>
      </c>
    </row>
    <row r="8296" spans="39:45">
      <c r="AM8296" s="54">
        <v>2019</v>
      </c>
      <c r="AN8296" s="54" t="s">
        <v>193</v>
      </c>
      <c r="AO8296" s="54">
        <v>12</v>
      </c>
      <c r="AP8296" s="54">
        <v>14</v>
      </c>
      <c r="AQ8296" s="54">
        <v>711.5</v>
      </c>
      <c r="AR8296" s="55">
        <v>28500</v>
      </c>
      <c r="AS8296" s="78">
        <f t="shared" si="133"/>
        <v>2.4964912280701756E-2</v>
      </c>
    </row>
    <row r="8297" spans="39:45">
      <c r="AM8297" s="55">
        <v>2019</v>
      </c>
      <c r="AN8297" s="55" t="s">
        <v>193</v>
      </c>
      <c r="AO8297" s="55">
        <v>12</v>
      </c>
      <c r="AP8297" s="55">
        <v>15</v>
      </c>
      <c r="AQ8297" s="55">
        <v>1336</v>
      </c>
      <c r="AR8297" s="55">
        <v>28500</v>
      </c>
      <c r="AS8297" s="78">
        <f t="shared" si="133"/>
        <v>4.6877192982456142E-2</v>
      </c>
    </row>
    <row r="8298" spans="39:45">
      <c r="AM8298" s="54">
        <v>2019</v>
      </c>
      <c r="AN8298" s="54" t="s">
        <v>193</v>
      </c>
      <c r="AO8298" s="54">
        <v>12</v>
      </c>
      <c r="AP8298" s="54">
        <v>16</v>
      </c>
      <c r="AQ8298" s="54">
        <v>0</v>
      </c>
      <c r="AR8298" s="55">
        <v>28500</v>
      </c>
      <c r="AS8298" s="78">
        <f t="shared" si="133"/>
        <v>0</v>
      </c>
    </row>
    <row r="8299" spans="39:45">
      <c r="AM8299" s="55">
        <v>2019</v>
      </c>
      <c r="AN8299" s="55" t="s">
        <v>193</v>
      </c>
      <c r="AO8299" s="55">
        <v>12</v>
      </c>
      <c r="AP8299" s="55">
        <v>17</v>
      </c>
      <c r="AQ8299" s="55">
        <v>0</v>
      </c>
      <c r="AR8299" s="55">
        <v>28500</v>
      </c>
      <c r="AS8299" s="78">
        <f t="shared" si="133"/>
        <v>0</v>
      </c>
    </row>
    <row r="8300" spans="39:45">
      <c r="AM8300" s="54">
        <v>2019</v>
      </c>
      <c r="AN8300" s="54" t="s">
        <v>193</v>
      </c>
      <c r="AO8300" s="54">
        <v>12</v>
      </c>
      <c r="AP8300" s="54">
        <v>18</v>
      </c>
      <c r="AQ8300" s="54">
        <v>0</v>
      </c>
      <c r="AR8300" s="55">
        <v>28500</v>
      </c>
      <c r="AS8300" s="78">
        <f t="shared" si="133"/>
        <v>0</v>
      </c>
    </row>
    <row r="8301" spans="39:45">
      <c r="AM8301" s="55">
        <v>2019</v>
      </c>
      <c r="AN8301" s="55" t="s">
        <v>193</v>
      </c>
      <c r="AO8301" s="55">
        <v>12</v>
      </c>
      <c r="AP8301" s="55">
        <v>19</v>
      </c>
      <c r="AQ8301" s="55">
        <v>0</v>
      </c>
      <c r="AR8301" s="55">
        <v>28500</v>
      </c>
      <c r="AS8301" s="78">
        <f t="shared" si="133"/>
        <v>0</v>
      </c>
    </row>
    <row r="8302" spans="39:45">
      <c r="AM8302" s="54">
        <v>2019</v>
      </c>
      <c r="AN8302" s="54" t="s">
        <v>193</v>
      </c>
      <c r="AO8302" s="54">
        <v>12</v>
      </c>
      <c r="AP8302" s="54">
        <v>20</v>
      </c>
      <c r="AQ8302" s="54">
        <v>0</v>
      </c>
      <c r="AR8302" s="55">
        <v>28500</v>
      </c>
      <c r="AS8302" s="78">
        <f t="shared" si="133"/>
        <v>0</v>
      </c>
    </row>
    <row r="8303" spans="39:45">
      <c r="AM8303" s="55">
        <v>2019</v>
      </c>
      <c r="AN8303" s="55" t="s">
        <v>193</v>
      </c>
      <c r="AO8303" s="55">
        <v>12</v>
      </c>
      <c r="AP8303" s="55">
        <v>21</v>
      </c>
      <c r="AQ8303" s="55">
        <v>0</v>
      </c>
      <c r="AR8303" s="55">
        <v>28500</v>
      </c>
      <c r="AS8303" s="78">
        <f t="shared" si="133"/>
        <v>0</v>
      </c>
    </row>
    <row r="8304" spans="39:45">
      <c r="AM8304" s="54">
        <v>2019</v>
      </c>
      <c r="AN8304" s="54" t="s">
        <v>193</v>
      </c>
      <c r="AO8304" s="54">
        <v>12</v>
      </c>
      <c r="AP8304" s="54">
        <v>22</v>
      </c>
      <c r="AQ8304" s="54">
        <v>0</v>
      </c>
      <c r="AR8304" s="55">
        <v>28500</v>
      </c>
      <c r="AS8304" s="78">
        <f t="shared" si="133"/>
        <v>0</v>
      </c>
    </row>
    <row r="8305" spans="39:45">
      <c r="AM8305" s="55">
        <v>2019</v>
      </c>
      <c r="AN8305" s="55" t="s">
        <v>193</v>
      </c>
      <c r="AO8305" s="55">
        <v>12</v>
      </c>
      <c r="AP8305" s="55">
        <v>23</v>
      </c>
      <c r="AQ8305" s="55">
        <v>0</v>
      </c>
      <c r="AR8305" s="55">
        <v>28500</v>
      </c>
      <c r="AS8305" s="78">
        <f t="shared" si="133"/>
        <v>0</v>
      </c>
    </row>
    <row r="8306" spans="39:45">
      <c r="AM8306" s="54">
        <v>2019</v>
      </c>
      <c r="AN8306" s="54" t="s">
        <v>193</v>
      </c>
      <c r="AO8306" s="54">
        <v>13</v>
      </c>
      <c r="AP8306" s="54">
        <v>24</v>
      </c>
      <c r="AQ8306" s="54">
        <v>0</v>
      </c>
      <c r="AR8306" s="55">
        <v>28500</v>
      </c>
      <c r="AS8306" s="78">
        <f t="shared" si="133"/>
        <v>0</v>
      </c>
    </row>
    <row r="8307" spans="39:45">
      <c r="AM8307" s="55">
        <v>2019</v>
      </c>
      <c r="AN8307" s="55" t="s">
        <v>193</v>
      </c>
      <c r="AO8307" s="55">
        <v>13</v>
      </c>
      <c r="AP8307" s="55">
        <v>1</v>
      </c>
      <c r="AQ8307" s="55">
        <v>0</v>
      </c>
      <c r="AR8307" s="55">
        <v>28500</v>
      </c>
      <c r="AS8307" s="78">
        <f t="shared" si="133"/>
        <v>0</v>
      </c>
    </row>
    <row r="8308" spans="39:45">
      <c r="AM8308" s="54">
        <v>2019</v>
      </c>
      <c r="AN8308" s="54" t="s">
        <v>193</v>
      </c>
      <c r="AO8308" s="54">
        <v>13</v>
      </c>
      <c r="AP8308" s="54">
        <v>2</v>
      </c>
      <c r="AQ8308" s="54">
        <v>0</v>
      </c>
      <c r="AR8308" s="55">
        <v>28500</v>
      </c>
      <c r="AS8308" s="78">
        <f t="shared" si="133"/>
        <v>0</v>
      </c>
    </row>
    <row r="8309" spans="39:45">
      <c r="AM8309" s="55">
        <v>2019</v>
      </c>
      <c r="AN8309" s="55" t="s">
        <v>193</v>
      </c>
      <c r="AO8309" s="55">
        <v>13</v>
      </c>
      <c r="AP8309" s="55">
        <v>3</v>
      </c>
      <c r="AQ8309" s="55">
        <v>0</v>
      </c>
      <c r="AR8309" s="55">
        <v>28500</v>
      </c>
      <c r="AS8309" s="78">
        <f t="shared" si="133"/>
        <v>0</v>
      </c>
    </row>
    <row r="8310" spans="39:45">
      <c r="AM8310" s="54">
        <v>2019</v>
      </c>
      <c r="AN8310" s="54" t="s">
        <v>193</v>
      </c>
      <c r="AO8310" s="54">
        <v>13</v>
      </c>
      <c r="AP8310" s="54">
        <v>4</v>
      </c>
      <c r="AQ8310" s="54">
        <v>0</v>
      </c>
      <c r="AR8310" s="55">
        <v>28500</v>
      </c>
      <c r="AS8310" s="78">
        <f t="shared" si="133"/>
        <v>0</v>
      </c>
    </row>
    <row r="8311" spans="39:45">
      <c r="AM8311" s="55">
        <v>2019</v>
      </c>
      <c r="AN8311" s="55" t="s">
        <v>193</v>
      </c>
      <c r="AO8311" s="55">
        <v>13</v>
      </c>
      <c r="AP8311" s="55">
        <v>5</v>
      </c>
      <c r="AQ8311" s="55">
        <v>0</v>
      </c>
      <c r="AR8311" s="55">
        <v>28500</v>
      </c>
      <c r="AS8311" s="78">
        <f t="shared" si="133"/>
        <v>0</v>
      </c>
    </row>
    <row r="8312" spans="39:45">
      <c r="AM8312" s="54">
        <v>2019</v>
      </c>
      <c r="AN8312" s="54" t="s">
        <v>193</v>
      </c>
      <c r="AO8312" s="54">
        <v>13</v>
      </c>
      <c r="AP8312" s="54">
        <v>6</v>
      </c>
      <c r="AQ8312" s="54">
        <v>0</v>
      </c>
      <c r="AR8312" s="55">
        <v>28500</v>
      </c>
      <c r="AS8312" s="78">
        <f t="shared" si="133"/>
        <v>0</v>
      </c>
    </row>
    <row r="8313" spans="39:45">
      <c r="AM8313" s="55">
        <v>2019</v>
      </c>
      <c r="AN8313" s="55" t="s">
        <v>193</v>
      </c>
      <c r="AO8313" s="55">
        <v>13</v>
      </c>
      <c r="AP8313" s="55">
        <v>7</v>
      </c>
      <c r="AQ8313" s="55">
        <v>0</v>
      </c>
      <c r="AR8313" s="55">
        <v>28500</v>
      </c>
      <c r="AS8313" s="78">
        <f t="shared" si="133"/>
        <v>0</v>
      </c>
    </row>
    <row r="8314" spans="39:45">
      <c r="AM8314" s="54">
        <v>2019</v>
      </c>
      <c r="AN8314" s="54" t="s">
        <v>193</v>
      </c>
      <c r="AO8314" s="54">
        <v>13</v>
      </c>
      <c r="AP8314" s="54">
        <v>8</v>
      </c>
      <c r="AQ8314" s="54">
        <v>0</v>
      </c>
      <c r="AR8314" s="55">
        <v>28500</v>
      </c>
      <c r="AS8314" s="78">
        <f t="shared" si="133"/>
        <v>0</v>
      </c>
    </row>
    <row r="8315" spans="39:45">
      <c r="AM8315" s="55">
        <v>2019</v>
      </c>
      <c r="AN8315" s="55" t="s">
        <v>193</v>
      </c>
      <c r="AO8315" s="55">
        <v>13</v>
      </c>
      <c r="AP8315" s="55">
        <v>9</v>
      </c>
      <c r="AQ8315" s="55">
        <v>5915.5</v>
      </c>
      <c r="AR8315" s="55">
        <v>28500</v>
      </c>
      <c r="AS8315" s="78">
        <f t="shared" si="133"/>
        <v>0.20756140350877192</v>
      </c>
    </row>
    <row r="8316" spans="39:45">
      <c r="AM8316" s="54">
        <v>2019</v>
      </c>
      <c r="AN8316" s="54" t="s">
        <v>193</v>
      </c>
      <c r="AO8316" s="54">
        <v>13</v>
      </c>
      <c r="AP8316" s="54">
        <v>10</v>
      </c>
      <c r="AQ8316" s="54">
        <v>5653.5</v>
      </c>
      <c r="AR8316" s="55">
        <v>28500</v>
      </c>
      <c r="AS8316" s="78">
        <f t="shared" si="133"/>
        <v>0.19836842105263158</v>
      </c>
    </row>
    <row r="8317" spans="39:45">
      <c r="AM8317" s="55">
        <v>2019</v>
      </c>
      <c r="AN8317" s="55" t="s">
        <v>193</v>
      </c>
      <c r="AO8317" s="55">
        <v>13</v>
      </c>
      <c r="AP8317" s="55">
        <v>11</v>
      </c>
      <c r="AQ8317" s="55">
        <v>3527.5</v>
      </c>
      <c r="AR8317" s="55">
        <v>28500</v>
      </c>
      <c r="AS8317" s="78">
        <f t="shared" si="133"/>
        <v>0.12377192982456141</v>
      </c>
    </row>
    <row r="8318" spans="39:45">
      <c r="AM8318" s="54">
        <v>2019</v>
      </c>
      <c r="AN8318" s="54" t="s">
        <v>193</v>
      </c>
      <c r="AO8318" s="54">
        <v>13</v>
      </c>
      <c r="AP8318" s="54">
        <v>12</v>
      </c>
      <c r="AQ8318" s="54">
        <v>22165.5</v>
      </c>
      <c r="AR8318" s="55">
        <v>28500</v>
      </c>
      <c r="AS8318" s="78">
        <f t="shared" si="133"/>
        <v>0.77773684210526317</v>
      </c>
    </row>
    <row r="8319" spans="39:45">
      <c r="AM8319" s="55">
        <v>2019</v>
      </c>
      <c r="AN8319" s="55" t="s">
        <v>193</v>
      </c>
      <c r="AO8319" s="55">
        <v>13</v>
      </c>
      <c r="AP8319" s="55">
        <v>13</v>
      </c>
      <c r="AQ8319" s="55">
        <v>6565.5</v>
      </c>
      <c r="AR8319" s="55">
        <v>28500</v>
      </c>
      <c r="AS8319" s="78">
        <f t="shared" si="133"/>
        <v>0.23036842105263158</v>
      </c>
    </row>
    <row r="8320" spans="39:45">
      <c r="AM8320" s="54">
        <v>2019</v>
      </c>
      <c r="AN8320" s="54" t="s">
        <v>193</v>
      </c>
      <c r="AO8320" s="54">
        <v>13</v>
      </c>
      <c r="AP8320" s="54">
        <v>14</v>
      </c>
      <c r="AQ8320" s="54">
        <v>2328</v>
      </c>
      <c r="AR8320" s="55">
        <v>28500</v>
      </c>
      <c r="AS8320" s="78">
        <f t="shared" si="133"/>
        <v>8.168421052631579E-2</v>
      </c>
    </row>
    <row r="8321" spans="39:45">
      <c r="AM8321" s="55">
        <v>2019</v>
      </c>
      <c r="AN8321" s="55" t="s">
        <v>193</v>
      </c>
      <c r="AO8321" s="55">
        <v>13</v>
      </c>
      <c r="AP8321" s="55">
        <v>15</v>
      </c>
      <c r="AQ8321" s="55">
        <v>526</v>
      </c>
      <c r="AR8321" s="55">
        <v>28500</v>
      </c>
      <c r="AS8321" s="78">
        <f t="shared" si="133"/>
        <v>1.8456140350877195E-2</v>
      </c>
    </row>
    <row r="8322" spans="39:45">
      <c r="AM8322" s="54">
        <v>2019</v>
      </c>
      <c r="AN8322" s="54" t="s">
        <v>193</v>
      </c>
      <c r="AO8322" s="54">
        <v>13</v>
      </c>
      <c r="AP8322" s="54">
        <v>16</v>
      </c>
      <c r="AQ8322" s="54">
        <v>0</v>
      </c>
      <c r="AR8322" s="55">
        <v>28500</v>
      </c>
      <c r="AS8322" s="78">
        <f t="shared" ref="AS8322:AS8385" si="134">AQ8322/AR8322</f>
        <v>0</v>
      </c>
    </row>
    <row r="8323" spans="39:45">
      <c r="AM8323" s="55">
        <v>2019</v>
      </c>
      <c r="AN8323" s="55" t="s">
        <v>193</v>
      </c>
      <c r="AO8323" s="55">
        <v>13</v>
      </c>
      <c r="AP8323" s="55">
        <v>17</v>
      </c>
      <c r="AQ8323" s="55">
        <v>0</v>
      </c>
      <c r="AR8323" s="55">
        <v>28500</v>
      </c>
      <c r="AS8323" s="78">
        <f t="shared" si="134"/>
        <v>0</v>
      </c>
    </row>
    <row r="8324" spans="39:45">
      <c r="AM8324" s="54">
        <v>2019</v>
      </c>
      <c r="AN8324" s="54" t="s">
        <v>193</v>
      </c>
      <c r="AO8324" s="54">
        <v>13</v>
      </c>
      <c r="AP8324" s="54">
        <v>18</v>
      </c>
      <c r="AQ8324" s="54">
        <v>0</v>
      </c>
      <c r="AR8324" s="55">
        <v>28500</v>
      </c>
      <c r="AS8324" s="78">
        <f t="shared" si="134"/>
        <v>0</v>
      </c>
    </row>
    <row r="8325" spans="39:45">
      <c r="AM8325" s="55">
        <v>2019</v>
      </c>
      <c r="AN8325" s="55" t="s">
        <v>193</v>
      </c>
      <c r="AO8325" s="55">
        <v>13</v>
      </c>
      <c r="AP8325" s="55">
        <v>19</v>
      </c>
      <c r="AQ8325" s="55">
        <v>0</v>
      </c>
      <c r="AR8325" s="55">
        <v>28500</v>
      </c>
      <c r="AS8325" s="78">
        <f t="shared" si="134"/>
        <v>0</v>
      </c>
    </row>
    <row r="8326" spans="39:45">
      <c r="AM8326" s="54">
        <v>2019</v>
      </c>
      <c r="AN8326" s="54" t="s">
        <v>193</v>
      </c>
      <c r="AO8326" s="54">
        <v>13</v>
      </c>
      <c r="AP8326" s="54">
        <v>20</v>
      </c>
      <c r="AQ8326" s="54">
        <v>0</v>
      </c>
      <c r="AR8326" s="55">
        <v>28500</v>
      </c>
      <c r="AS8326" s="78">
        <f t="shared" si="134"/>
        <v>0</v>
      </c>
    </row>
    <row r="8327" spans="39:45">
      <c r="AM8327" s="55">
        <v>2019</v>
      </c>
      <c r="AN8327" s="55" t="s">
        <v>193</v>
      </c>
      <c r="AO8327" s="55">
        <v>13</v>
      </c>
      <c r="AP8327" s="55">
        <v>21</v>
      </c>
      <c r="AQ8327" s="55">
        <v>0</v>
      </c>
      <c r="AR8327" s="55">
        <v>28500</v>
      </c>
      <c r="AS8327" s="78">
        <f t="shared" si="134"/>
        <v>0</v>
      </c>
    </row>
    <row r="8328" spans="39:45">
      <c r="AM8328" s="54">
        <v>2019</v>
      </c>
      <c r="AN8328" s="54" t="s">
        <v>193</v>
      </c>
      <c r="AO8328" s="54">
        <v>13</v>
      </c>
      <c r="AP8328" s="54">
        <v>22</v>
      </c>
      <c r="AQ8328" s="54">
        <v>0</v>
      </c>
      <c r="AR8328" s="55">
        <v>28500</v>
      </c>
      <c r="AS8328" s="78">
        <f t="shared" si="134"/>
        <v>0</v>
      </c>
    </row>
    <row r="8329" spans="39:45">
      <c r="AM8329" s="55">
        <v>2019</v>
      </c>
      <c r="AN8329" s="55" t="s">
        <v>193</v>
      </c>
      <c r="AO8329" s="55">
        <v>13</v>
      </c>
      <c r="AP8329" s="55">
        <v>23</v>
      </c>
      <c r="AQ8329" s="55">
        <v>0</v>
      </c>
      <c r="AR8329" s="55">
        <v>28500</v>
      </c>
      <c r="AS8329" s="78">
        <f t="shared" si="134"/>
        <v>0</v>
      </c>
    </row>
    <row r="8330" spans="39:45">
      <c r="AM8330" s="54">
        <v>2019</v>
      </c>
      <c r="AN8330" s="54" t="s">
        <v>193</v>
      </c>
      <c r="AO8330" s="54">
        <v>14</v>
      </c>
      <c r="AP8330" s="54">
        <v>24</v>
      </c>
      <c r="AQ8330" s="54">
        <v>0</v>
      </c>
      <c r="AR8330" s="55">
        <v>28500</v>
      </c>
      <c r="AS8330" s="78">
        <f t="shared" si="134"/>
        <v>0</v>
      </c>
    </row>
    <row r="8331" spans="39:45">
      <c r="AM8331" s="55">
        <v>2019</v>
      </c>
      <c r="AN8331" s="55" t="s">
        <v>193</v>
      </c>
      <c r="AO8331" s="55">
        <v>14</v>
      </c>
      <c r="AP8331" s="55">
        <v>1</v>
      </c>
      <c r="AQ8331" s="55">
        <v>0</v>
      </c>
      <c r="AR8331" s="55">
        <v>28500</v>
      </c>
      <c r="AS8331" s="78">
        <f t="shared" si="134"/>
        <v>0</v>
      </c>
    </row>
    <row r="8332" spans="39:45">
      <c r="AM8332" s="54">
        <v>2019</v>
      </c>
      <c r="AN8332" s="54" t="s">
        <v>193</v>
      </c>
      <c r="AO8332" s="54">
        <v>14</v>
      </c>
      <c r="AP8332" s="54">
        <v>2</v>
      </c>
      <c r="AQ8332" s="54">
        <v>0</v>
      </c>
      <c r="AR8332" s="55">
        <v>28500</v>
      </c>
      <c r="AS8332" s="78">
        <f t="shared" si="134"/>
        <v>0</v>
      </c>
    </row>
    <row r="8333" spans="39:45">
      <c r="AM8333" s="55">
        <v>2019</v>
      </c>
      <c r="AN8333" s="55" t="s">
        <v>193</v>
      </c>
      <c r="AO8333" s="55">
        <v>14</v>
      </c>
      <c r="AP8333" s="55">
        <v>3</v>
      </c>
      <c r="AQ8333" s="55">
        <v>0</v>
      </c>
      <c r="AR8333" s="55">
        <v>28500</v>
      </c>
      <c r="AS8333" s="78">
        <f t="shared" si="134"/>
        <v>0</v>
      </c>
    </row>
    <row r="8334" spans="39:45">
      <c r="AM8334" s="54">
        <v>2019</v>
      </c>
      <c r="AN8334" s="54" t="s">
        <v>193</v>
      </c>
      <c r="AO8334" s="54">
        <v>14</v>
      </c>
      <c r="AP8334" s="54">
        <v>4</v>
      </c>
      <c r="AQ8334" s="54">
        <v>0</v>
      </c>
      <c r="AR8334" s="55">
        <v>28500</v>
      </c>
      <c r="AS8334" s="78">
        <f t="shared" si="134"/>
        <v>0</v>
      </c>
    </row>
    <row r="8335" spans="39:45">
      <c r="AM8335" s="55">
        <v>2019</v>
      </c>
      <c r="AN8335" s="55" t="s">
        <v>193</v>
      </c>
      <c r="AO8335" s="55">
        <v>14</v>
      </c>
      <c r="AP8335" s="55">
        <v>5</v>
      </c>
      <c r="AQ8335" s="55">
        <v>0</v>
      </c>
      <c r="AR8335" s="55">
        <v>28500</v>
      </c>
      <c r="AS8335" s="78">
        <f t="shared" si="134"/>
        <v>0</v>
      </c>
    </row>
    <row r="8336" spans="39:45">
      <c r="AM8336" s="54">
        <v>2019</v>
      </c>
      <c r="AN8336" s="54" t="s">
        <v>193</v>
      </c>
      <c r="AO8336" s="54">
        <v>14</v>
      </c>
      <c r="AP8336" s="54">
        <v>6</v>
      </c>
      <c r="AQ8336" s="54">
        <v>0</v>
      </c>
      <c r="AR8336" s="55">
        <v>28500</v>
      </c>
      <c r="AS8336" s="78">
        <f t="shared" si="134"/>
        <v>0</v>
      </c>
    </row>
    <row r="8337" spans="39:45">
      <c r="AM8337" s="55">
        <v>2019</v>
      </c>
      <c r="AN8337" s="55" t="s">
        <v>193</v>
      </c>
      <c r="AO8337" s="55">
        <v>14</v>
      </c>
      <c r="AP8337" s="55">
        <v>7</v>
      </c>
      <c r="AQ8337" s="55">
        <v>0</v>
      </c>
      <c r="AR8337" s="55">
        <v>28500</v>
      </c>
      <c r="AS8337" s="78">
        <f t="shared" si="134"/>
        <v>0</v>
      </c>
    </row>
    <row r="8338" spans="39:45">
      <c r="AM8338" s="54">
        <v>2019</v>
      </c>
      <c r="AN8338" s="54" t="s">
        <v>193</v>
      </c>
      <c r="AO8338" s="54">
        <v>14</v>
      </c>
      <c r="AP8338" s="54">
        <v>8</v>
      </c>
      <c r="AQ8338" s="54">
        <v>0</v>
      </c>
      <c r="AR8338" s="55">
        <v>28500</v>
      </c>
      <c r="AS8338" s="78">
        <f t="shared" si="134"/>
        <v>0</v>
      </c>
    </row>
    <row r="8339" spans="39:45">
      <c r="AM8339" s="55">
        <v>2019</v>
      </c>
      <c r="AN8339" s="55" t="s">
        <v>193</v>
      </c>
      <c r="AO8339" s="55">
        <v>14</v>
      </c>
      <c r="AP8339" s="55">
        <v>9</v>
      </c>
      <c r="AQ8339" s="55">
        <v>5449.5</v>
      </c>
      <c r="AR8339" s="55">
        <v>28500</v>
      </c>
      <c r="AS8339" s="78">
        <f t="shared" si="134"/>
        <v>0.19121052631578947</v>
      </c>
    </row>
    <row r="8340" spans="39:45">
      <c r="AM8340" s="54">
        <v>2019</v>
      </c>
      <c r="AN8340" s="54" t="s">
        <v>193</v>
      </c>
      <c r="AO8340" s="54">
        <v>14</v>
      </c>
      <c r="AP8340" s="54">
        <v>10</v>
      </c>
      <c r="AQ8340" s="54">
        <v>2895</v>
      </c>
      <c r="AR8340" s="55">
        <v>28500</v>
      </c>
      <c r="AS8340" s="78">
        <f t="shared" si="134"/>
        <v>0.10157894736842105</v>
      </c>
    </row>
    <row r="8341" spans="39:45">
      <c r="AM8341" s="55">
        <v>2019</v>
      </c>
      <c r="AN8341" s="55" t="s">
        <v>193</v>
      </c>
      <c r="AO8341" s="55">
        <v>14</v>
      </c>
      <c r="AP8341" s="55">
        <v>11</v>
      </c>
      <c r="AQ8341" s="55">
        <v>11286.5</v>
      </c>
      <c r="AR8341" s="55">
        <v>28500</v>
      </c>
      <c r="AS8341" s="78">
        <f t="shared" si="134"/>
        <v>0.3960175438596491</v>
      </c>
    </row>
    <row r="8342" spans="39:45">
      <c r="AM8342" s="54">
        <v>2019</v>
      </c>
      <c r="AN8342" s="54" t="s">
        <v>193</v>
      </c>
      <c r="AO8342" s="54">
        <v>14</v>
      </c>
      <c r="AP8342" s="54">
        <v>12</v>
      </c>
      <c r="AQ8342" s="54">
        <v>28799.5</v>
      </c>
      <c r="AR8342" s="55">
        <v>28500</v>
      </c>
      <c r="AS8342" s="78">
        <f t="shared" si="134"/>
        <v>1.0105087719298245</v>
      </c>
    </row>
    <row r="8343" spans="39:45">
      <c r="AM8343" s="55">
        <v>2019</v>
      </c>
      <c r="AN8343" s="55" t="s">
        <v>193</v>
      </c>
      <c r="AO8343" s="55">
        <v>14</v>
      </c>
      <c r="AP8343" s="55">
        <v>13</v>
      </c>
      <c r="AQ8343" s="55">
        <v>3760.5</v>
      </c>
      <c r="AR8343" s="55">
        <v>28500</v>
      </c>
      <c r="AS8343" s="78">
        <f t="shared" si="134"/>
        <v>0.13194736842105262</v>
      </c>
    </row>
    <row r="8344" spans="39:45">
      <c r="AM8344" s="54">
        <v>2019</v>
      </c>
      <c r="AN8344" s="54" t="s">
        <v>193</v>
      </c>
      <c r="AO8344" s="54">
        <v>14</v>
      </c>
      <c r="AP8344" s="54">
        <v>14</v>
      </c>
      <c r="AQ8344" s="54">
        <v>3718</v>
      </c>
      <c r="AR8344" s="55">
        <v>28500</v>
      </c>
      <c r="AS8344" s="78">
        <f t="shared" si="134"/>
        <v>0.13045614035087719</v>
      </c>
    </row>
    <row r="8345" spans="39:45">
      <c r="AM8345" s="55">
        <v>2019</v>
      </c>
      <c r="AN8345" s="55" t="s">
        <v>193</v>
      </c>
      <c r="AO8345" s="55">
        <v>14</v>
      </c>
      <c r="AP8345" s="55">
        <v>15</v>
      </c>
      <c r="AQ8345" s="55">
        <v>9021</v>
      </c>
      <c r="AR8345" s="55">
        <v>28500</v>
      </c>
      <c r="AS8345" s="78">
        <f t="shared" si="134"/>
        <v>0.31652631578947371</v>
      </c>
    </row>
    <row r="8346" spans="39:45">
      <c r="AM8346" s="54">
        <v>2019</v>
      </c>
      <c r="AN8346" s="54" t="s">
        <v>193</v>
      </c>
      <c r="AO8346" s="54">
        <v>14</v>
      </c>
      <c r="AP8346" s="54">
        <v>16</v>
      </c>
      <c r="AQ8346" s="54">
        <v>0</v>
      </c>
      <c r="AR8346" s="55">
        <v>28500</v>
      </c>
      <c r="AS8346" s="78">
        <f t="shared" si="134"/>
        <v>0</v>
      </c>
    </row>
    <row r="8347" spans="39:45">
      <c r="AM8347" s="55">
        <v>2019</v>
      </c>
      <c r="AN8347" s="55" t="s">
        <v>193</v>
      </c>
      <c r="AO8347" s="55">
        <v>14</v>
      </c>
      <c r="AP8347" s="55">
        <v>17</v>
      </c>
      <c r="AQ8347" s="55">
        <v>0</v>
      </c>
      <c r="AR8347" s="55">
        <v>28500</v>
      </c>
      <c r="AS8347" s="78">
        <f t="shared" si="134"/>
        <v>0</v>
      </c>
    </row>
    <row r="8348" spans="39:45">
      <c r="AM8348" s="54">
        <v>2019</v>
      </c>
      <c r="AN8348" s="54" t="s">
        <v>193</v>
      </c>
      <c r="AO8348" s="54">
        <v>14</v>
      </c>
      <c r="AP8348" s="54">
        <v>18</v>
      </c>
      <c r="AQ8348" s="54">
        <v>0</v>
      </c>
      <c r="AR8348" s="55">
        <v>28500</v>
      </c>
      <c r="AS8348" s="78">
        <f t="shared" si="134"/>
        <v>0</v>
      </c>
    </row>
    <row r="8349" spans="39:45">
      <c r="AM8349" s="55">
        <v>2019</v>
      </c>
      <c r="AN8349" s="55" t="s">
        <v>193</v>
      </c>
      <c r="AO8349" s="55">
        <v>14</v>
      </c>
      <c r="AP8349" s="55">
        <v>19</v>
      </c>
      <c r="AQ8349" s="55">
        <v>0</v>
      </c>
      <c r="AR8349" s="55">
        <v>28500</v>
      </c>
      <c r="AS8349" s="78">
        <f t="shared" si="134"/>
        <v>0</v>
      </c>
    </row>
    <row r="8350" spans="39:45">
      <c r="AM8350" s="54">
        <v>2019</v>
      </c>
      <c r="AN8350" s="54" t="s">
        <v>193</v>
      </c>
      <c r="AO8350" s="54">
        <v>14</v>
      </c>
      <c r="AP8350" s="54">
        <v>20</v>
      </c>
      <c r="AQ8350" s="54">
        <v>0</v>
      </c>
      <c r="AR8350" s="55">
        <v>28500</v>
      </c>
      <c r="AS8350" s="78">
        <f t="shared" si="134"/>
        <v>0</v>
      </c>
    </row>
    <row r="8351" spans="39:45">
      <c r="AM8351" s="55">
        <v>2019</v>
      </c>
      <c r="AN8351" s="55" t="s">
        <v>193</v>
      </c>
      <c r="AO8351" s="55">
        <v>14</v>
      </c>
      <c r="AP8351" s="55">
        <v>21</v>
      </c>
      <c r="AQ8351" s="55">
        <v>0</v>
      </c>
      <c r="AR8351" s="55">
        <v>28500</v>
      </c>
      <c r="AS8351" s="78">
        <f t="shared" si="134"/>
        <v>0</v>
      </c>
    </row>
    <row r="8352" spans="39:45">
      <c r="AM8352" s="54">
        <v>2019</v>
      </c>
      <c r="AN8352" s="54" t="s">
        <v>193</v>
      </c>
      <c r="AO8352" s="54">
        <v>14</v>
      </c>
      <c r="AP8352" s="54">
        <v>22</v>
      </c>
      <c r="AQ8352" s="54">
        <v>0</v>
      </c>
      <c r="AR8352" s="55">
        <v>28500</v>
      </c>
      <c r="AS8352" s="78">
        <f t="shared" si="134"/>
        <v>0</v>
      </c>
    </row>
    <row r="8353" spans="39:45">
      <c r="AM8353" s="55">
        <v>2019</v>
      </c>
      <c r="AN8353" s="55" t="s">
        <v>193</v>
      </c>
      <c r="AO8353" s="55">
        <v>14</v>
      </c>
      <c r="AP8353" s="55">
        <v>23</v>
      </c>
      <c r="AQ8353" s="55">
        <v>0</v>
      </c>
      <c r="AR8353" s="55">
        <v>28500</v>
      </c>
      <c r="AS8353" s="78">
        <f t="shared" si="134"/>
        <v>0</v>
      </c>
    </row>
    <row r="8354" spans="39:45">
      <c r="AM8354" s="54">
        <v>2019</v>
      </c>
      <c r="AN8354" s="54" t="s">
        <v>193</v>
      </c>
      <c r="AO8354" s="54">
        <v>15</v>
      </c>
      <c r="AP8354" s="54">
        <v>24</v>
      </c>
      <c r="AQ8354" s="54">
        <v>0</v>
      </c>
      <c r="AR8354" s="55">
        <v>28500</v>
      </c>
      <c r="AS8354" s="78">
        <f t="shared" si="134"/>
        <v>0</v>
      </c>
    </row>
    <row r="8355" spans="39:45">
      <c r="AM8355" s="55">
        <v>2019</v>
      </c>
      <c r="AN8355" s="55" t="s">
        <v>193</v>
      </c>
      <c r="AO8355" s="55">
        <v>15</v>
      </c>
      <c r="AP8355" s="55">
        <v>1</v>
      </c>
      <c r="AQ8355" s="55">
        <v>0</v>
      </c>
      <c r="AR8355" s="55">
        <v>28500</v>
      </c>
      <c r="AS8355" s="78">
        <f t="shared" si="134"/>
        <v>0</v>
      </c>
    </row>
    <row r="8356" spans="39:45">
      <c r="AM8356" s="54">
        <v>2019</v>
      </c>
      <c r="AN8356" s="54" t="s">
        <v>193</v>
      </c>
      <c r="AO8356" s="54">
        <v>15</v>
      </c>
      <c r="AP8356" s="54">
        <v>2</v>
      </c>
      <c r="AQ8356" s="54">
        <v>0</v>
      </c>
      <c r="AR8356" s="55">
        <v>28500</v>
      </c>
      <c r="AS8356" s="78">
        <f t="shared" si="134"/>
        <v>0</v>
      </c>
    </row>
    <row r="8357" spans="39:45">
      <c r="AM8357" s="55">
        <v>2019</v>
      </c>
      <c r="AN8357" s="55" t="s">
        <v>193</v>
      </c>
      <c r="AO8357" s="55">
        <v>15</v>
      </c>
      <c r="AP8357" s="55">
        <v>3</v>
      </c>
      <c r="AQ8357" s="55">
        <v>0</v>
      </c>
      <c r="AR8357" s="55">
        <v>28500</v>
      </c>
      <c r="AS8357" s="78">
        <f t="shared" si="134"/>
        <v>0</v>
      </c>
    </row>
    <row r="8358" spans="39:45">
      <c r="AM8358" s="54">
        <v>2019</v>
      </c>
      <c r="AN8358" s="54" t="s">
        <v>193</v>
      </c>
      <c r="AO8358" s="54">
        <v>15</v>
      </c>
      <c r="AP8358" s="54">
        <v>4</v>
      </c>
      <c r="AQ8358" s="54">
        <v>0</v>
      </c>
      <c r="AR8358" s="55">
        <v>28500</v>
      </c>
      <c r="AS8358" s="78">
        <f t="shared" si="134"/>
        <v>0</v>
      </c>
    </row>
    <row r="8359" spans="39:45">
      <c r="AM8359" s="55">
        <v>2019</v>
      </c>
      <c r="AN8359" s="55" t="s">
        <v>193</v>
      </c>
      <c r="AO8359" s="55">
        <v>15</v>
      </c>
      <c r="AP8359" s="55">
        <v>5</v>
      </c>
      <c r="AQ8359" s="55">
        <v>0</v>
      </c>
      <c r="AR8359" s="55">
        <v>28500</v>
      </c>
      <c r="AS8359" s="78">
        <f t="shared" si="134"/>
        <v>0</v>
      </c>
    </row>
    <row r="8360" spans="39:45">
      <c r="AM8360" s="54">
        <v>2019</v>
      </c>
      <c r="AN8360" s="54" t="s">
        <v>193</v>
      </c>
      <c r="AO8360" s="54">
        <v>15</v>
      </c>
      <c r="AP8360" s="54">
        <v>6</v>
      </c>
      <c r="AQ8360" s="54">
        <v>0</v>
      </c>
      <c r="AR8360" s="55">
        <v>28500</v>
      </c>
      <c r="AS8360" s="78">
        <f t="shared" si="134"/>
        <v>0</v>
      </c>
    </row>
    <row r="8361" spans="39:45">
      <c r="AM8361" s="55">
        <v>2019</v>
      </c>
      <c r="AN8361" s="55" t="s">
        <v>193</v>
      </c>
      <c r="AO8361" s="55">
        <v>15</v>
      </c>
      <c r="AP8361" s="55">
        <v>7</v>
      </c>
      <c r="AQ8361" s="55">
        <v>0</v>
      </c>
      <c r="AR8361" s="55">
        <v>28500</v>
      </c>
      <c r="AS8361" s="78">
        <f t="shared" si="134"/>
        <v>0</v>
      </c>
    </row>
    <row r="8362" spans="39:45">
      <c r="AM8362" s="54">
        <v>2019</v>
      </c>
      <c r="AN8362" s="54" t="s">
        <v>193</v>
      </c>
      <c r="AO8362" s="54">
        <v>15</v>
      </c>
      <c r="AP8362" s="54">
        <v>8</v>
      </c>
      <c r="AQ8362" s="54">
        <v>0</v>
      </c>
      <c r="AR8362" s="55">
        <v>28500</v>
      </c>
      <c r="AS8362" s="78">
        <f t="shared" si="134"/>
        <v>0</v>
      </c>
    </row>
    <row r="8363" spans="39:45">
      <c r="AM8363" s="55">
        <v>2019</v>
      </c>
      <c r="AN8363" s="55" t="s">
        <v>193</v>
      </c>
      <c r="AO8363" s="55">
        <v>15</v>
      </c>
      <c r="AP8363" s="55">
        <v>9</v>
      </c>
      <c r="AQ8363" s="55">
        <v>11923</v>
      </c>
      <c r="AR8363" s="55">
        <v>28500</v>
      </c>
      <c r="AS8363" s="78">
        <f t="shared" si="134"/>
        <v>0.41835087719298247</v>
      </c>
    </row>
    <row r="8364" spans="39:45">
      <c r="AM8364" s="54">
        <v>2019</v>
      </c>
      <c r="AN8364" s="54" t="s">
        <v>193</v>
      </c>
      <c r="AO8364" s="54">
        <v>15</v>
      </c>
      <c r="AP8364" s="54">
        <v>10</v>
      </c>
      <c r="AQ8364" s="54">
        <v>27103</v>
      </c>
      <c r="AR8364" s="55">
        <v>28500</v>
      </c>
      <c r="AS8364" s="78">
        <f t="shared" si="134"/>
        <v>0.95098245614035093</v>
      </c>
    </row>
    <row r="8365" spans="39:45">
      <c r="AM8365" s="55">
        <v>2019</v>
      </c>
      <c r="AN8365" s="55" t="s">
        <v>193</v>
      </c>
      <c r="AO8365" s="55">
        <v>15</v>
      </c>
      <c r="AP8365" s="55">
        <v>11</v>
      </c>
      <c r="AQ8365" s="55">
        <v>28936</v>
      </c>
      <c r="AR8365" s="55">
        <v>28500</v>
      </c>
      <c r="AS8365" s="78">
        <f t="shared" si="134"/>
        <v>1.0152982456140351</v>
      </c>
    </row>
    <row r="8366" spans="39:45">
      <c r="AM8366" s="54">
        <v>2019</v>
      </c>
      <c r="AN8366" s="54" t="s">
        <v>193</v>
      </c>
      <c r="AO8366" s="54">
        <v>15</v>
      </c>
      <c r="AP8366" s="54">
        <v>12</v>
      </c>
      <c r="AQ8366" s="54">
        <v>29854.5</v>
      </c>
      <c r="AR8366" s="55">
        <v>28500</v>
      </c>
      <c r="AS8366" s="78">
        <f t="shared" si="134"/>
        <v>1.0475263157894736</v>
      </c>
    </row>
    <row r="8367" spans="39:45">
      <c r="AM8367" s="55">
        <v>2019</v>
      </c>
      <c r="AN8367" s="55" t="s">
        <v>193</v>
      </c>
      <c r="AO8367" s="55">
        <v>15</v>
      </c>
      <c r="AP8367" s="55">
        <v>13</v>
      </c>
      <c r="AQ8367" s="55">
        <v>25755.5</v>
      </c>
      <c r="AR8367" s="55">
        <v>28500</v>
      </c>
      <c r="AS8367" s="78">
        <f t="shared" si="134"/>
        <v>0.90370175438596489</v>
      </c>
    </row>
    <row r="8368" spans="39:45">
      <c r="AM8368" s="54">
        <v>2019</v>
      </c>
      <c r="AN8368" s="54" t="s">
        <v>193</v>
      </c>
      <c r="AO8368" s="54">
        <v>15</v>
      </c>
      <c r="AP8368" s="54">
        <v>14</v>
      </c>
      <c r="AQ8368" s="54">
        <v>17489.5</v>
      </c>
      <c r="AR8368" s="55">
        <v>28500</v>
      </c>
      <c r="AS8368" s="78">
        <f t="shared" si="134"/>
        <v>0.61366666666666669</v>
      </c>
    </row>
    <row r="8369" spans="39:45">
      <c r="AM8369" s="55">
        <v>2019</v>
      </c>
      <c r="AN8369" s="55" t="s">
        <v>193</v>
      </c>
      <c r="AO8369" s="55">
        <v>15</v>
      </c>
      <c r="AP8369" s="55">
        <v>15</v>
      </c>
      <c r="AQ8369" s="55">
        <v>3944.5</v>
      </c>
      <c r="AR8369" s="55">
        <v>28500</v>
      </c>
      <c r="AS8369" s="78">
        <f t="shared" si="134"/>
        <v>0.13840350877192983</v>
      </c>
    </row>
    <row r="8370" spans="39:45">
      <c r="AM8370" s="54">
        <v>2019</v>
      </c>
      <c r="AN8370" s="54" t="s">
        <v>193</v>
      </c>
      <c r="AO8370" s="54">
        <v>15</v>
      </c>
      <c r="AP8370" s="54">
        <v>16</v>
      </c>
      <c r="AQ8370" s="54">
        <v>0</v>
      </c>
      <c r="AR8370" s="55">
        <v>28500</v>
      </c>
      <c r="AS8370" s="78">
        <f t="shared" si="134"/>
        <v>0</v>
      </c>
    </row>
    <row r="8371" spans="39:45">
      <c r="AM8371" s="55">
        <v>2019</v>
      </c>
      <c r="AN8371" s="55" t="s">
        <v>193</v>
      </c>
      <c r="AO8371" s="55">
        <v>15</v>
      </c>
      <c r="AP8371" s="55">
        <v>17</v>
      </c>
      <c r="AQ8371" s="55">
        <v>0</v>
      </c>
      <c r="AR8371" s="55">
        <v>28500</v>
      </c>
      <c r="AS8371" s="78">
        <f t="shared" si="134"/>
        <v>0</v>
      </c>
    </row>
    <row r="8372" spans="39:45">
      <c r="AM8372" s="54">
        <v>2019</v>
      </c>
      <c r="AN8372" s="54" t="s">
        <v>193</v>
      </c>
      <c r="AO8372" s="54">
        <v>15</v>
      </c>
      <c r="AP8372" s="54">
        <v>18</v>
      </c>
      <c r="AQ8372" s="54">
        <v>0</v>
      </c>
      <c r="AR8372" s="55">
        <v>28500</v>
      </c>
      <c r="AS8372" s="78">
        <f t="shared" si="134"/>
        <v>0</v>
      </c>
    </row>
    <row r="8373" spans="39:45">
      <c r="AM8373" s="55">
        <v>2019</v>
      </c>
      <c r="AN8373" s="55" t="s">
        <v>193</v>
      </c>
      <c r="AO8373" s="55">
        <v>15</v>
      </c>
      <c r="AP8373" s="55">
        <v>19</v>
      </c>
      <c r="AQ8373" s="55">
        <v>0</v>
      </c>
      <c r="AR8373" s="55">
        <v>28500</v>
      </c>
      <c r="AS8373" s="78">
        <f t="shared" si="134"/>
        <v>0</v>
      </c>
    </row>
    <row r="8374" spans="39:45">
      <c r="AM8374" s="54">
        <v>2019</v>
      </c>
      <c r="AN8374" s="54" t="s">
        <v>193</v>
      </c>
      <c r="AO8374" s="54">
        <v>15</v>
      </c>
      <c r="AP8374" s="54">
        <v>20</v>
      </c>
      <c r="AQ8374" s="54">
        <v>0</v>
      </c>
      <c r="AR8374" s="55">
        <v>28500</v>
      </c>
      <c r="AS8374" s="78">
        <f t="shared" si="134"/>
        <v>0</v>
      </c>
    </row>
    <row r="8375" spans="39:45">
      <c r="AM8375" s="55">
        <v>2019</v>
      </c>
      <c r="AN8375" s="55" t="s">
        <v>193</v>
      </c>
      <c r="AO8375" s="55">
        <v>15</v>
      </c>
      <c r="AP8375" s="55">
        <v>21</v>
      </c>
      <c r="AQ8375" s="55">
        <v>0</v>
      </c>
      <c r="AR8375" s="55">
        <v>28500</v>
      </c>
      <c r="AS8375" s="78">
        <f t="shared" si="134"/>
        <v>0</v>
      </c>
    </row>
    <row r="8376" spans="39:45">
      <c r="AM8376" s="54">
        <v>2019</v>
      </c>
      <c r="AN8376" s="54" t="s">
        <v>193</v>
      </c>
      <c r="AO8376" s="54">
        <v>15</v>
      </c>
      <c r="AP8376" s="54">
        <v>22</v>
      </c>
      <c r="AQ8376" s="54">
        <v>0</v>
      </c>
      <c r="AR8376" s="55">
        <v>28500</v>
      </c>
      <c r="AS8376" s="78">
        <f t="shared" si="134"/>
        <v>0</v>
      </c>
    </row>
    <row r="8377" spans="39:45">
      <c r="AM8377" s="55">
        <v>2019</v>
      </c>
      <c r="AN8377" s="55" t="s">
        <v>193</v>
      </c>
      <c r="AO8377" s="55">
        <v>15</v>
      </c>
      <c r="AP8377" s="55">
        <v>23</v>
      </c>
      <c r="AQ8377" s="55">
        <v>0</v>
      </c>
      <c r="AR8377" s="55">
        <v>28500</v>
      </c>
      <c r="AS8377" s="78">
        <f t="shared" si="134"/>
        <v>0</v>
      </c>
    </row>
    <row r="8378" spans="39:45">
      <c r="AM8378" s="54">
        <v>2019</v>
      </c>
      <c r="AN8378" s="54" t="s">
        <v>193</v>
      </c>
      <c r="AO8378" s="54">
        <v>16</v>
      </c>
      <c r="AP8378" s="54">
        <v>24</v>
      </c>
      <c r="AQ8378" s="54">
        <v>0</v>
      </c>
      <c r="AR8378" s="55">
        <v>28500</v>
      </c>
      <c r="AS8378" s="78">
        <f t="shared" si="134"/>
        <v>0</v>
      </c>
    </row>
    <row r="8379" spans="39:45">
      <c r="AM8379" s="55">
        <v>2019</v>
      </c>
      <c r="AN8379" s="55" t="s">
        <v>193</v>
      </c>
      <c r="AO8379" s="55">
        <v>16</v>
      </c>
      <c r="AP8379" s="55">
        <v>1</v>
      </c>
      <c r="AQ8379" s="55">
        <v>0</v>
      </c>
      <c r="AR8379" s="55">
        <v>28500</v>
      </c>
      <c r="AS8379" s="78">
        <f t="shared" si="134"/>
        <v>0</v>
      </c>
    </row>
    <row r="8380" spans="39:45">
      <c r="AM8380" s="54">
        <v>2019</v>
      </c>
      <c r="AN8380" s="54" t="s">
        <v>193</v>
      </c>
      <c r="AO8380" s="54">
        <v>16</v>
      </c>
      <c r="AP8380" s="54">
        <v>2</v>
      </c>
      <c r="AQ8380" s="54">
        <v>0</v>
      </c>
      <c r="AR8380" s="55">
        <v>28500</v>
      </c>
      <c r="AS8380" s="78">
        <f t="shared" si="134"/>
        <v>0</v>
      </c>
    </row>
    <row r="8381" spans="39:45">
      <c r="AM8381" s="55">
        <v>2019</v>
      </c>
      <c r="AN8381" s="55" t="s">
        <v>193</v>
      </c>
      <c r="AO8381" s="55">
        <v>16</v>
      </c>
      <c r="AP8381" s="55">
        <v>3</v>
      </c>
      <c r="AQ8381" s="55">
        <v>0</v>
      </c>
      <c r="AR8381" s="55">
        <v>28500</v>
      </c>
      <c r="AS8381" s="78">
        <f t="shared" si="134"/>
        <v>0</v>
      </c>
    </row>
    <row r="8382" spans="39:45">
      <c r="AM8382" s="54">
        <v>2019</v>
      </c>
      <c r="AN8382" s="54" t="s">
        <v>193</v>
      </c>
      <c r="AO8382" s="54">
        <v>16</v>
      </c>
      <c r="AP8382" s="54">
        <v>4</v>
      </c>
      <c r="AQ8382" s="54">
        <v>0</v>
      </c>
      <c r="AR8382" s="55">
        <v>28500</v>
      </c>
      <c r="AS8382" s="78">
        <f t="shared" si="134"/>
        <v>0</v>
      </c>
    </row>
    <row r="8383" spans="39:45">
      <c r="AM8383" s="55">
        <v>2019</v>
      </c>
      <c r="AN8383" s="55" t="s">
        <v>193</v>
      </c>
      <c r="AO8383" s="55">
        <v>16</v>
      </c>
      <c r="AP8383" s="55">
        <v>5</v>
      </c>
      <c r="AQ8383" s="55">
        <v>0</v>
      </c>
      <c r="AR8383" s="55">
        <v>28500</v>
      </c>
      <c r="AS8383" s="78">
        <f t="shared" si="134"/>
        <v>0</v>
      </c>
    </row>
    <row r="8384" spans="39:45">
      <c r="AM8384" s="54">
        <v>2019</v>
      </c>
      <c r="AN8384" s="54" t="s">
        <v>193</v>
      </c>
      <c r="AO8384" s="54">
        <v>16</v>
      </c>
      <c r="AP8384" s="54">
        <v>6</v>
      </c>
      <c r="AQ8384" s="54">
        <v>0</v>
      </c>
      <c r="AR8384" s="55">
        <v>28500</v>
      </c>
      <c r="AS8384" s="78">
        <f t="shared" si="134"/>
        <v>0</v>
      </c>
    </row>
    <row r="8385" spans="39:45">
      <c r="AM8385" s="55">
        <v>2019</v>
      </c>
      <c r="AN8385" s="55" t="s">
        <v>193</v>
      </c>
      <c r="AO8385" s="55">
        <v>16</v>
      </c>
      <c r="AP8385" s="55">
        <v>7</v>
      </c>
      <c r="AQ8385" s="55">
        <v>0</v>
      </c>
      <c r="AR8385" s="55">
        <v>28500</v>
      </c>
      <c r="AS8385" s="78">
        <f t="shared" si="134"/>
        <v>0</v>
      </c>
    </row>
    <row r="8386" spans="39:45">
      <c r="AM8386" s="54">
        <v>2019</v>
      </c>
      <c r="AN8386" s="54" t="s">
        <v>193</v>
      </c>
      <c r="AO8386" s="54">
        <v>16</v>
      </c>
      <c r="AP8386" s="54">
        <v>8</v>
      </c>
      <c r="AQ8386" s="54">
        <v>0</v>
      </c>
      <c r="AR8386" s="55">
        <v>28500</v>
      </c>
      <c r="AS8386" s="78">
        <f t="shared" ref="AS8386:AS8449" si="135">AQ8386/AR8386</f>
        <v>0</v>
      </c>
    </row>
    <row r="8387" spans="39:45">
      <c r="AM8387" s="55">
        <v>2019</v>
      </c>
      <c r="AN8387" s="55" t="s">
        <v>193</v>
      </c>
      <c r="AO8387" s="55">
        <v>16</v>
      </c>
      <c r="AP8387" s="55">
        <v>9</v>
      </c>
      <c r="AQ8387" s="55">
        <v>308</v>
      </c>
      <c r="AR8387" s="55">
        <v>28500</v>
      </c>
      <c r="AS8387" s="78">
        <f t="shared" si="135"/>
        <v>1.0807017543859649E-2</v>
      </c>
    </row>
    <row r="8388" spans="39:45">
      <c r="AM8388" s="54">
        <v>2019</v>
      </c>
      <c r="AN8388" s="54" t="s">
        <v>193</v>
      </c>
      <c r="AO8388" s="54">
        <v>16</v>
      </c>
      <c r="AP8388" s="54">
        <v>10</v>
      </c>
      <c r="AQ8388" s="54">
        <v>12972.5</v>
      </c>
      <c r="AR8388" s="55">
        <v>28500</v>
      </c>
      <c r="AS8388" s="78">
        <f t="shared" si="135"/>
        <v>0.45517543859649123</v>
      </c>
    </row>
    <row r="8389" spans="39:45">
      <c r="AM8389" s="55">
        <v>2019</v>
      </c>
      <c r="AN8389" s="55" t="s">
        <v>193</v>
      </c>
      <c r="AO8389" s="55">
        <v>16</v>
      </c>
      <c r="AP8389" s="55">
        <v>11</v>
      </c>
      <c r="AQ8389" s="55">
        <v>13668.5</v>
      </c>
      <c r="AR8389" s="55">
        <v>28500</v>
      </c>
      <c r="AS8389" s="78">
        <f t="shared" si="135"/>
        <v>0.47959649122807019</v>
      </c>
    </row>
    <row r="8390" spans="39:45">
      <c r="AM8390" s="54">
        <v>2019</v>
      </c>
      <c r="AN8390" s="54" t="s">
        <v>193</v>
      </c>
      <c r="AO8390" s="54">
        <v>16</v>
      </c>
      <c r="AP8390" s="54">
        <v>12</v>
      </c>
      <c r="AQ8390" s="54">
        <v>7602</v>
      </c>
      <c r="AR8390" s="55">
        <v>28500</v>
      </c>
      <c r="AS8390" s="78">
        <f t="shared" si="135"/>
        <v>0.26673684210526316</v>
      </c>
    </row>
    <row r="8391" spans="39:45">
      <c r="AM8391" s="55">
        <v>2019</v>
      </c>
      <c r="AN8391" s="55" t="s">
        <v>193</v>
      </c>
      <c r="AO8391" s="55">
        <v>16</v>
      </c>
      <c r="AP8391" s="55">
        <v>13</v>
      </c>
      <c r="AQ8391" s="55">
        <v>5575.5</v>
      </c>
      <c r="AR8391" s="55">
        <v>28500</v>
      </c>
      <c r="AS8391" s="78">
        <f t="shared" si="135"/>
        <v>0.19563157894736843</v>
      </c>
    </row>
    <row r="8392" spans="39:45">
      <c r="AM8392" s="54">
        <v>2019</v>
      </c>
      <c r="AN8392" s="54" t="s">
        <v>193</v>
      </c>
      <c r="AO8392" s="54">
        <v>16</v>
      </c>
      <c r="AP8392" s="54">
        <v>14</v>
      </c>
      <c r="AQ8392" s="54">
        <v>4389.5</v>
      </c>
      <c r="AR8392" s="55">
        <v>28500</v>
      </c>
      <c r="AS8392" s="78">
        <f t="shared" si="135"/>
        <v>0.15401754385964914</v>
      </c>
    </row>
    <row r="8393" spans="39:45">
      <c r="AM8393" s="55">
        <v>2019</v>
      </c>
      <c r="AN8393" s="55" t="s">
        <v>193</v>
      </c>
      <c r="AO8393" s="55">
        <v>16</v>
      </c>
      <c r="AP8393" s="55">
        <v>15</v>
      </c>
      <c r="AQ8393" s="55">
        <v>170</v>
      </c>
      <c r="AR8393" s="55">
        <v>28500</v>
      </c>
      <c r="AS8393" s="78">
        <f t="shared" si="135"/>
        <v>5.9649122807017545E-3</v>
      </c>
    </row>
    <row r="8394" spans="39:45">
      <c r="AM8394" s="54">
        <v>2019</v>
      </c>
      <c r="AN8394" s="54" t="s">
        <v>193</v>
      </c>
      <c r="AO8394" s="54">
        <v>16</v>
      </c>
      <c r="AP8394" s="54">
        <v>16</v>
      </c>
      <c r="AQ8394" s="54">
        <v>0</v>
      </c>
      <c r="AR8394" s="55">
        <v>28500</v>
      </c>
      <c r="AS8394" s="78">
        <f t="shared" si="135"/>
        <v>0</v>
      </c>
    </row>
    <row r="8395" spans="39:45">
      <c r="AM8395" s="55">
        <v>2019</v>
      </c>
      <c r="AN8395" s="55" t="s">
        <v>193</v>
      </c>
      <c r="AO8395" s="55">
        <v>16</v>
      </c>
      <c r="AP8395" s="55">
        <v>17</v>
      </c>
      <c r="AQ8395" s="55">
        <v>0</v>
      </c>
      <c r="AR8395" s="55">
        <v>28500</v>
      </c>
      <c r="AS8395" s="78">
        <f t="shared" si="135"/>
        <v>0</v>
      </c>
    </row>
    <row r="8396" spans="39:45">
      <c r="AM8396" s="54">
        <v>2019</v>
      </c>
      <c r="AN8396" s="54" t="s">
        <v>193</v>
      </c>
      <c r="AO8396" s="54">
        <v>16</v>
      </c>
      <c r="AP8396" s="54">
        <v>18</v>
      </c>
      <c r="AQ8396" s="54">
        <v>0</v>
      </c>
      <c r="AR8396" s="55">
        <v>28500</v>
      </c>
      <c r="AS8396" s="78">
        <f t="shared" si="135"/>
        <v>0</v>
      </c>
    </row>
    <row r="8397" spans="39:45">
      <c r="AM8397" s="55">
        <v>2019</v>
      </c>
      <c r="AN8397" s="55" t="s">
        <v>193</v>
      </c>
      <c r="AO8397" s="55">
        <v>16</v>
      </c>
      <c r="AP8397" s="55">
        <v>19</v>
      </c>
      <c r="AQ8397" s="55">
        <v>0</v>
      </c>
      <c r="AR8397" s="55">
        <v>28500</v>
      </c>
      <c r="AS8397" s="78">
        <f t="shared" si="135"/>
        <v>0</v>
      </c>
    </row>
    <row r="8398" spans="39:45">
      <c r="AM8398" s="54">
        <v>2019</v>
      </c>
      <c r="AN8398" s="54" t="s">
        <v>193</v>
      </c>
      <c r="AO8398" s="54">
        <v>16</v>
      </c>
      <c r="AP8398" s="54">
        <v>20</v>
      </c>
      <c r="AQ8398" s="54">
        <v>0</v>
      </c>
      <c r="AR8398" s="55">
        <v>28500</v>
      </c>
      <c r="AS8398" s="78">
        <f t="shared" si="135"/>
        <v>0</v>
      </c>
    </row>
    <row r="8399" spans="39:45">
      <c r="AM8399" s="55">
        <v>2019</v>
      </c>
      <c r="AN8399" s="55" t="s">
        <v>193</v>
      </c>
      <c r="AO8399" s="55">
        <v>16</v>
      </c>
      <c r="AP8399" s="55">
        <v>21</v>
      </c>
      <c r="AQ8399" s="55">
        <v>0</v>
      </c>
      <c r="AR8399" s="55">
        <v>28500</v>
      </c>
      <c r="AS8399" s="78">
        <f t="shared" si="135"/>
        <v>0</v>
      </c>
    </row>
    <row r="8400" spans="39:45">
      <c r="AM8400" s="54">
        <v>2019</v>
      </c>
      <c r="AN8400" s="54" t="s">
        <v>193</v>
      </c>
      <c r="AO8400" s="54">
        <v>16</v>
      </c>
      <c r="AP8400" s="54">
        <v>22</v>
      </c>
      <c r="AQ8400" s="54">
        <v>0</v>
      </c>
      <c r="AR8400" s="55">
        <v>28500</v>
      </c>
      <c r="AS8400" s="78">
        <f t="shared" si="135"/>
        <v>0</v>
      </c>
    </row>
    <row r="8401" spans="39:45">
      <c r="AM8401" s="55">
        <v>2019</v>
      </c>
      <c r="AN8401" s="55" t="s">
        <v>193</v>
      </c>
      <c r="AO8401" s="55">
        <v>16</v>
      </c>
      <c r="AP8401" s="55">
        <v>23</v>
      </c>
      <c r="AQ8401" s="55">
        <v>0</v>
      </c>
      <c r="AR8401" s="55">
        <v>28500</v>
      </c>
      <c r="AS8401" s="78">
        <f t="shared" si="135"/>
        <v>0</v>
      </c>
    </row>
    <row r="8402" spans="39:45">
      <c r="AM8402" s="54">
        <v>2019</v>
      </c>
      <c r="AN8402" s="54" t="s">
        <v>193</v>
      </c>
      <c r="AO8402" s="54">
        <v>17</v>
      </c>
      <c r="AP8402" s="54">
        <v>24</v>
      </c>
      <c r="AQ8402" s="54">
        <v>0</v>
      </c>
      <c r="AR8402" s="55">
        <v>28500</v>
      </c>
      <c r="AS8402" s="78">
        <f t="shared" si="135"/>
        <v>0</v>
      </c>
    </row>
    <row r="8403" spans="39:45">
      <c r="AM8403" s="55">
        <v>2019</v>
      </c>
      <c r="AN8403" s="55" t="s">
        <v>193</v>
      </c>
      <c r="AO8403" s="55">
        <v>17</v>
      </c>
      <c r="AP8403" s="55">
        <v>1</v>
      </c>
      <c r="AQ8403" s="55">
        <v>0</v>
      </c>
      <c r="AR8403" s="55">
        <v>28500</v>
      </c>
      <c r="AS8403" s="78">
        <f t="shared" si="135"/>
        <v>0</v>
      </c>
    </row>
    <row r="8404" spans="39:45">
      <c r="AM8404" s="54">
        <v>2019</v>
      </c>
      <c r="AN8404" s="54" t="s">
        <v>193</v>
      </c>
      <c r="AO8404" s="54">
        <v>17</v>
      </c>
      <c r="AP8404" s="54">
        <v>2</v>
      </c>
      <c r="AQ8404" s="54">
        <v>0</v>
      </c>
      <c r="AR8404" s="55">
        <v>28500</v>
      </c>
      <c r="AS8404" s="78">
        <f t="shared" si="135"/>
        <v>0</v>
      </c>
    </row>
    <row r="8405" spans="39:45">
      <c r="AM8405" s="55">
        <v>2019</v>
      </c>
      <c r="AN8405" s="55" t="s">
        <v>193</v>
      </c>
      <c r="AO8405" s="55">
        <v>17</v>
      </c>
      <c r="AP8405" s="55">
        <v>3</v>
      </c>
      <c r="AQ8405" s="55">
        <v>0</v>
      </c>
      <c r="AR8405" s="55">
        <v>28500</v>
      </c>
      <c r="AS8405" s="78">
        <f t="shared" si="135"/>
        <v>0</v>
      </c>
    </row>
    <row r="8406" spans="39:45">
      <c r="AM8406" s="54">
        <v>2019</v>
      </c>
      <c r="AN8406" s="54" t="s">
        <v>193</v>
      </c>
      <c r="AO8406" s="54">
        <v>17</v>
      </c>
      <c r="AP8406" s="54">
        <v>4</v>
      </c>
      <c r="AQ8406" s="54">
        <v>0</v>
      </c>
      <c r="AR8406" s="55">
        <v>28500</v>
      </c>
      <c r="AS8406" s="78">
        <f t="shared" si="135"/>
        <v>0</v>
      </c>
    </row>
    <row r="8407" spans="39:45">
      <c r="AM8407" s="55">
        <v>2019</v>
      </c>
      <c r="AN8407" s="55" t="s">
        <v>193</v>
      </c>
      <c r="AO8407" s="55">
        <v>17</v>
      </c>
      <c r="AP8407" s="55">
        <v>5</v>
      </c>
      <c r="AQ8407" s="55">
        <v>0</v>
      </c>
      <c r="AR8407" s="55">
        <v>28500</v>
      </c>
      <c r="AS8407" s="78">
        <f t="shared" si="135"/>
        <v>0</v>
      </c>
    </row>
    <row r="8408" spans="39:45">
      <c r="AM8408" s="54">
        <v>2019</v>
      </c>
      <c r="AN8408" s="54" t="s">
        <v>193</v>
      </c>
      <c r="AO8408" s="54">
        <v>17</v>
      </c>
      <c r="AP8408" s="54">
        <v>6</v>
      </c>
      <c r="AQ8408" s="54">
        <v>0</v>
      </c>
      <c r="AR8408" s="55">
        <v>28500</v>
      </c>
      <c r="AS8408" s="78">
        <f t="shared" si="135"/>
        <v>0</v>
      </c>
    </row>
    <row r="8409" spans="39:45">
      <c r="AM8409" s="55">
        <v>2019</v>
      </c>
      <c r="AN8409" s="55" t="s">
        <v>193</v>
      </c>
      <c r="AO8409" s="55">
        <v>17</v>
      </c>
      <c r="AP8409" s="55">
        <v>7</v>
      </c>
      <c r="AQ8409" s="55">
        <v>0</v>
      </c>
      <c r="AR8409" s="55">
        <v>28500</v>
      </c>
      <c r="AS8409" s="78">
        <f t="shared" si="135"/>
        <v>0</v>
      </c>
    </row>
    <row r="8410" spans="39:45">
      <c r="AM8410" s="54">
        <v>2019</v>
      </c>
      <c r="AN8410" s="54" t="s">
        <v>193</v>
      </c>
      <c r="AO8410" s="54">
        <v>17</v>
      </c>
      <c r="AP8410" s="54">
        <v>8</v>
      </c>
      <c r="AQ8410" s="54">
        <v>0</v>
      </c>
      <c r="AR8410" s="55">
        <v>28500</v>
      </c>
      <c r="AS8410" s="78">
        <f t="shared" si="135"/>
        <v>0</v>
      </c>
    </row>
    <row r="8411" spans="39:45">
      <c r="AM8411" s="55">
        <v>2019</v>
      </c>
      <c r="AN8411" s="55" t="s">
        <v>193</v>
      </c>
      <c r="AO8411" s="55">
        <v>17</v>
      </c>
      <c r="AP8411" s="55">
        <v>9</v>
      </c>
      <c r="AQ8411" s="55">
        <v>4486.5</v>
      </c>
      <c r="AR8411" s="55">
        <v>28500</v>
      </c>
      <c r="AS8411" s="78">
        <f t="shared" si="135"/>
        <v>0.15742105263157893</v>
      </c>
    </row>
    <row r="8412" spans="39:45">
      <c r="AM8412" s="54">
        <v>2019</v>
      </c>
      <c r="AN8412" s="54" t="s">
        <v>193</v>
      </c>
      <c r="AO8412" s="54">
        <v>17</v>
      </c>
      <c r="AP8412" s="54">
        <v>10</v>
      </c>
      <c r="AQ8412" s="54">
        <v>3274</v>
      </c>
      <c r="AR8412" s="55">
        <v>28500</v>
      </c>
      <c r="AS8412" s="78">
        <f t="shared" si="135"/>
        <v>0.11487719298245615</v>
      </c>
    </row>
    <row r="8413" spans="39:45">
      <c r="AM8413" s="55">
        <v>2019</v>
      </c>
      <c r="AN8413" s="55" t="s">
        <v>193</v>
      </c>
      <c r="AO8413" s="55">
        <v>17</v>
      </c>
      <c r="AP8413" s="55">
        <v>11</v>
      </c>
      <c r="AQ8413" s="55">
        <v>3445.5</v>
      </c>
      <c r="AR8413" s="55">
        <v>28500</v>
      </c>
      <c r="AS8413" s="78">
        <f t="shared" si="135"/>
        <v>0.12089473684210526</v>
      </c>
    </row>
    <row r="8414" spans="39:45">
      <c r="AM8414" s="54">
        <v>2019</v>
      </c>
      <c r="AN8414" s="54" t="s">
        <v>193</v>
      </c>
      <c r="AO8414" s="54">
        <v>17</v>
      </c>
      <c r="AP8414" s="54">
        <v>12</v>
      </c>
      <c r="AQ8414" s="54">
        <v>11014</v>
      </c>
      <c r="AR8414" s="55">
        <v>28500</v>
      </c>
      <c r="AS8414" s="78">
        <f t="shared" si="135"/>
        <v>0.38645614035087722</v>
      </c>
    </row>
    <row r="8415" spans="39:45">
      <c r="AM8415" s="55">
        <v>2019</v>
      </c>
      <c r="AN8415" s="55" t="s">
        <v>193</v>
      </c>
      <c r="AO8415" s="55">
        <v>17</v>
      </c>
      <c r="AP8415" s="55">
        <v>13</v>
      </c>
      <c r="AQ8415" s="55">
        <v>4196</v>
      </c>
      <c r="AR8415" s="55">
        <v>28500</v>
      </c>
      <c r="AS8415" s="78">
        <f t="shared" si="135"/>
        <v>0.1472280701754386</v>
      </c>
    </row>
    <row r="8416" spans="39:45">
      <c r="AM8416" s="54">
        <v>2019</v>
      </c>
      <c r="AN8416" s="54" t="s">
        <v>193</v>
      </c>
      <c r="AO8416" s="54">
        <v>17</v>
      </c>
      <c r="AP8416" s="54">
        <v>14</v>
      </c>
      <c r="AQ8416" s="54">
        <v>1999</v>
      </c>
      <c r="AR8416" s="55">
        <v>28500</v>
      </c>
      <c r="AS8416" s="78">
        <f t="shared" si="135"/>
        <v>7.0140350877192989E-2</v>
      </c>
    </row>
    <row r="8417" spans="39:45">
      <c r="AM8417" s="55">
        <v>2019</v>
      </c>
      <c r="AN8417" s="55" t="s">
        <v>193</v>
      </c>
      <c r="AO8417" s="55">
        <v>17</v>
      </c>
      <c r="AP8417" s="55">
        <v>15</v>
      </c>
      <c r="AQ8417" s="55">
        <v>627</v>
      </c>
      <c r="AR8417" s="55">
        <v>28500</v>
      </c>
      <c r="AS8417" s="78">
        <f t="shared" si="135"/>
        <v>2.1999999999999999E-2</v>
      </c>
    </row>
    <row r="8418" spans="39:45">
      <c r="AM8418" s="54">
        <v>2019</v>
      </c>
      <c r="AN8418" s="54" t="s">
        <v>193</v>
      </c>
      <c r="AO8418" s="54">
        <v>17</v>
      </c>
      <c r="AP8418" s="54">
        <v>16</v>
      </c>
      <c r="AQ8418" s="54">
        <v>0</v>
      </c>
      <c r="AR8418" s="55">
        <v>28500</v>
      </c>
      <c r="AS8418" s="78">
        <f t="shared" si="135"/>
        <v>0</v>
      </c>
    </row>
    <row r="8419" spans="39:45">
      <c r="AM8419" s="55">
        <v>2019</v>
      </c>
      <c r="AN8419" s="55" t="s">
        <v>193</v>
      </c>
      <c r="AO8419" s="55">
        <v>17</v>
      </c>
      <c r="AP8419" s="55">
        <v>17</v>
      </c>
      <c r="AQ8419" s="55">
        <v>0</v>
      </c>
      <c r="AR8419" s="55">
        <v>28500</v>
      </c>
      <c r="AS8419" s="78">
        <f t="shared" si="135"/>
        <v>0</v>
      </c>
    </row>
    <row r="8420" spans="39:45">
      <c r="AM8420" s="54">
        <v>2019</v>
      </c>
      <c r="AN8420" s="54" t="s">
        <v>193</v>
      </c>
      <c r="AO8420" s="54">
        <v>17</v>
      </c>
      <c r="AP8420" s="54">
        <v>18</v>
      </c>
      <c r="AQ8420" s="54">
        <v>0</v>
      </c>
      <c r="AR8420" s="55">
        <v>28500</v>
      </c>
      <c r="AS8420" s="78">
        <f t="shared" si="135"/>
        <v>0</v>
      </c>
    </row>
    <row r="8421" spans="39:45">
      <c r="AM8421" s="55">
        <v>2019</v>
      </c>
      <c r="AN8421" s="55" t="s">
        <v>193</v>
      </c>
      <c r="AO8421" s="55">
        <v>17</v>
      </c>
      <c r="AP8421" s="55">
        <v>19</v>
      </c>
      <c r="AQ8421" s="55">
        <v>0</v>
      </c>
      <c r="AR8421" s="55">
        <v>28500</v>
      </c>
      <c r="AS8421" s="78">
        <f t="shared" si="135"/>
        <v>0</v>
      </c>
    </row>
    <row r="8422" spans="39:45">
      <c r="AM8422" s="54">
        <v>2019</v>
      </c>
      <c r="AN8422" s="54" t="s">
        <v>193</v>
      </c>
      <c r="AO8422" s="54">
        <v>17</v>
      </c>
      <c r="AP8422" s="54">
        <v>20</v>
      </c>
      <c r="AQ8422" s="54">
        <v>0</v>
      </c>
      <c r="AR8422" s="55">
        <v>28500</v>
      </c>
      <c r="AS8422" s="78">
        <f t="shared" si="135"/>
        <v>0</v>
      </c>
    </row>
    <row r="8423" spans="39:45">
      <c r="AM8423" s="55">
        <v>2019</v>
      </c>
      <c r="AN8423" s="55" t="s">
        <v>193</v>
      </c>
      <c r="AO8423" s="55">
        <v>17</v>
      </c>
      <c r="AP8423" s="55">
        <v>21</v>
      </c>
      <c r="AQ8423" s="55">
        <v>0</v>
      </c>
      <c r="AR8423" s="55">
        <v>28500</v>
      </c>
      <c r="AS8423" s="78">
        <f t="shared" si="135"/>
        <v>0</v>
      </c>
    </row>
    <row r="8424" spans="39:45">
      <c r="AM8424" s="54">
        <v>2019</v>
      </c>
      <c r="AN8424" s="54" t="s">
        <v>193</v>
      </c>
      <c r="AO8424" s="54">
        <v>17</v>
      </c>
      <c r="AP8424" s="54">
        <v>22</v>
      </c>
      <c r="AQ8424" s="54">
        <v>0</v>
      </c>
      <c r="AR8424" s="55">
        <v>28500</v>
      </c>
      <c r="AS8424" s="78">
        <f t="shared" si="135"/>
        <v>0</v>
      </c>
    </row>
    <row r="8425" spans="39:45">
      <c r="AM8425" s="55">
        <v>2019</v>
      </c>
      <c r="AN8425" s="55" t="s">
        <v>193</v>
      </c>
      <c r="AO8425" s="55">
        <v>17</v>
      </c>
      <c r="AP8425" s="55">
        <v>23</v>
      </c>
      <c r="AQ8425" s="55">
        <v>0</v>
      </c>
      <c r="AR8425" s="55">
        <v>28500</v>
      </c>
      <c r="AS8425" s="78">
        <f t="shared" si="135"/>
        <v>0</v>
      </c>
    </row>
    <row r="8426" spans="39:45">
      <c r="AM8426" s="54">
        <v>2019</v>
      </c>
      <c r="AN8426" s="54" t="s">
        <v>193</v>
      </c>
      <c r="AO8426" s="54">
        <v>18</v>
      </c>
      <c r="AP8426" s="54">
        <v>24</v>
      </c>
      <c r="AQ8426" s="54">
        <v>0</v>
      </c>
      <c r="AR8426" s="55">
        <v>28500</v>
      </c>
      <c r="AS8426" s="78">
        <f t="shared" si="135"/>
        <v>0</v>
      </c>
    </row>
    <row r="8427" spans="39:45">
      <c r="AM8427" s="55">
        <v>2019</v>
      </c>
      <c r="AN8427" s="55" t="s">
        <v>193</v>
      </c>
      <c r="AO8427" s="55">
        <v>18</v>
      </c>
      <c r="AP8427" s="55">
        <v>1</v>
      </c>
      <c r="AQ8427" s="55">
        <v>0</v>
      </c>
      <c r="AR8427" s="55">
        <v>28500</v>
      </c>
      <c r="AS8427" s="78">
        <f t="shared" si="135"/>
        <v>0</v>
      </c>
    </row>
    <row r="8428" spans="39:45">
      <c r="AM8428" s="54">
        <v>2019</v>
      </c>
      <c r="AN8428" s="54" t="s">
        <v>193</v>
      </c>
      <c r="AO8428" s="54">
        <v>18</v>
      </c>
      <c r="AP8428" s="54">
        <v>2</v>
      </c>
      <c r="AQ8428" s="54">
        <v>0</v>
      </c>
      <c r="AR8428" s="55">
        <v>28500</v>
      </c>
      <c r="AS8428" s="78">
        <f t="shared" si="135"/>
        <v>0</v>
      </c>
    </row>
    <row r="8429" spans="39:45">
      <c r="AM8429" s="55">
        <v>2019</v>
      </c>
      <c r="AN8429" s="55" t="s">
        <v>193</v>
      </c>
      <c r="AO8429" s="55">
        <v>18</v>
      </c>
      <c r="AP8429" s="55">
        <v>3</v>
      </c>
      <c r="AQ8429" s="55">
        <v>0</v>
      </c>
      <c r="AR8429" s="55">
        <v>28500</v>
      </c>
      <c r="AS8429" s="78">
        <f t="shared" si="135"/>
        <v>0</v>
      </c>
    </row>
    <row r="8430" spans="39:45">
      <c r="AM8430" s="54">
        <v>2019</v>
      </c>
      <c r="AN8430" s="54" t="s">
        <v>193</v>
      </c>
      <c r="AO8430" s="54">
        <v>18</v>
      </c>
      <c r="AP8430" s="54">
        <v>4</v>
      </c>
      <c r="AQ8430" s="54">
        <v>0</v>
      </c>
      <c r="AR8430" s="55">
        <v>28500</v>
      </c>
      <c r="AS8430" s="78">
        <f t="shared" si="135"/>
        <v>0</v>
      </c>
    </row>
    <row r="8431" spans="39:45">
      <c r="AM8431" s="55">
        <v>2019</v>
      </c>
      <c r="AN8431" s="55" t="s">
        <v>193</v>
      </c>
      <c r="AO8431" s="55">
        <v>18</v>
      </c>
      <c r="AP8431" s="55">
        <v>5</v>
      </c>
      <c r="AQ8431" s="55">
        <v>0</v>
      </c>
      <c r="AR8431" s="55">
        <v>28500</v>
      </c>
      <c r="AS8431" s="78">
        <f t="shared" si="135"/>
        <v>0</v>
      </c>
    </row>
    <row r="8432" spans="39:45">
      <c r="AM8432" s="54">
        <v>2019</v>
      </c>
      <c r="AN8432" s="54" t="s">
        <v>193</v>
      </c>
      <c r="AO8432" s="54">
        <v>18</v>
      </c>
      <c r="AP8432" s="54">
        <v>6</v>
      </c>
      <c r="AQ8432" s="54">
        <v>0</v>
      </c>
      <c r="AR8432" s="55">
        <v>28500</v>
      </c>
      <c r="AS8432" s="78">
        <f t="shared" si="135"/>
        <v>0</v>
      </c>
    </row>
    <row r="8433" spans="39:45">
      <c r="AM8433" s="55">
        <v>2019</v>
      </c>
      <c r="AN8433" s="55" t="s">
        <v>193</v>
      </c>
      <c r="AO8433" s="55">
        <v>18</v>
      </c>
      <c r="AP8433" s="55">
        <v>7</v>
      </c>
      <c r="AQ8433" s="55">
        <v>0</v>
      </c>
      <c r="AR8433" s="55">
        <v>28500</v>
      </c>
      <c r="AS8433" s="78">
        <f t="shared" si="135"/>
        <v>0</v>
      </c>
    </row>
    <row r="8434" spans="39:45">
      <c r="AM8434" s="54">
        <v>2019</v>
      </c>
      <c r="AN8434" s="54" t="s">
        <v>193</v>
      </c>
      <c r="AO8434" s="54">
        <v>18</v>
      </c>
      <c r="AP8434" s="54">
        <v>8</v>
      </c>
      <c r="AQ8434" s="54">
        <v>0</v>
      </c>
      <c r="AR8434" s="55">
        <v>28500</v>
      </c>
      <c r="AS8434" s="78">
        <f t="shared" si="135"/>
        <v>0</v>
      </c>
    </row>
    <row r="8435" spans="39:45">
      <c r="AM8435" s="55">
        <v>2019</v>
      </c>
      <c r="AN8435" s="55" t="s">
        <v>193</v>
      </c>
      <c r="AO8435" s="55">
        <v>18</v>
      </c>
      <c r="AP8435" s="55">
        <v>9</v>
      </c>
      <c r="AQ8435" s="55">
        <v>8451.5</v>
      </c>
      <c r="AR8435" s="55">
        <v>28500</v>
      </c>
      <c r="AS8435" s="78">
        <f t="shared" si="135"/>
        <v>0.29654385964912283</v>
      </c>
    </row>
    <row r="8436" spans="39:45">
      <c r="AM8436" s="54">
        <v>2019</v>
      </c>
      <c r="AN8436" s="54" t="s">
        <v>193</v>
      </c>
      <c r="AO8436" s="54">
        <v>18</v>
      </c>
      <c r="AP8436" s="54">
        <v>10</v>
      </c>
      <c r="AQ8436" s="54">
        <v>6227</v>
      </c>
      <c r="AR8436" s="55">
        <v>28500</v>
      </c>
      <c r="AS8436" s="78">
        <f t="shared" si="135"/>
        <v>0.21849122807017543</v>
      </c>
    </row>
    <row r="8437" spans="39:45">
      <c r="AM8437" s="55">
        <v>2019</v>
      </c>
      <c r="AN8437" s="55" t="s">
        <v>193</v>
      </c>
      <c r="AO8437" s="55">
        <v>18</v>
      </c>
      <c r="AP8437" s="55">
        <v>11</v>
      </c>
      <c r="AQ8437" s="55">
        <v>28069</v>
      </c>
      <c r="AR8437" s="55">
        <v>28500</v>
      </c>
      <c r="AS8437" s="78">
        <f t="shared" si="135"/>
        <v>0.98487719298245613</v>
      </c>
    </row>
    <row r="8438" spans="39:45">
      <c r="AM8438" s="54">
        <v>2019</v>
      </c>
      <c r="AN8438" s="54" t="s">
        <v>193</v>
      </c>
      <c r="AO8438" s="54">
        <v>18</v>
      </c>
      <c r="AP8438" s="54">
        <v>12</v>
      </c>
      <c r="AQ8438" s="54">
        <v>23627</v>
      </c>
      <c r="AR8438" s="55">
        <v>28500</v>
      </c>
      <c r="AS8438" s="78">
        <f t="shared" si="135"/>
        <v>0.8290175438596491</v>
      </c>
    </row>
    <row r="8439" spans="39:45">
      <c r="AM8439" s="55">
        <v>2019</v>
      </c>
      <c r="AN8439" s="55" t="s">
        <v>193</v>
      </c>
      <c r="AO8439" s="55">
        <v>18</v>
      </c>
      <c r="AP8439" s="55">
        <v>13</v>
      </c>
      <c r="AQ8439" s="55">
        <v>7962.5</v>
      </c>
      <c r="AR8439" s="55">
        <v>28500</v>
      </c>
      <c r="AS8439" s="78">
        <f t="shared" si="135"/>
        <v>0.27938596491228068</v>
      </c>
    </row>
    <row r="8440" spans="39:45">
      <c r="AM8440" s="54">
        <v>2019</v>
      </c>
      <c r="AN8440" s="54" t="s">
        <v>193</v>
      </c>
      <c r="AO8440" s="54">
        <v>18</v>
      </c>
      <c r="AP8440" s="54">
        <v>14</v>
      </c>
      <c r="AQ8440" s="54">
        <v>5459</v>
      </c>
      <c r="AR8440" s="55">
        <v>28500</v>
      </c>
      <c r="AS8440" s="78">
        <f t="shared" si="135"/>
        <v>0.19154385964912279</v>
      </c>
    </row>
    <row r="8441" spans="39:45">
      <c r="AM8441" s="55">
        <v>2019</v>
      </c>
      <c r="AN8441" s="55" t="s">
        <v>193</v>
      </c>
      <c r="AO8441" s="55">
        <v>18</v>
      </c>
      <c r="AP8441" s="55">
        <v>15</v>
      </c>
      <c r="AQ8441" s="55">
        <v>2081.5</v>
      </c>
      <c r="AR8441" s="55">
        <v>28500</v>
      </c>
      <c r="AS8441" s="78">
        <f t="shared" si="135"/>
        <v>7.3035087719298245E-2</v>
      </c>
    </row>
    <row r="8442" spans="39:45">
      <c r="AM8442" s="54">
        <v>2019</v>
      </c>
      <c r="AN8442" s="54" t="s">
        <v>193</v>
      </c>
      <c r="AO8442" s="54">
        <v>18</v>
      </c>
      <c r="AP8442" s="54">
        <v>16</v>
      </c>
      <c r="AQ8442" s="54">
        <v>0</v>
      </c>
      <c r="AR8442" s="55">
        <v>28500</v>
      </c>
      <c r="AS8442" s="78">
        <f t="shared" si="135"/>
        <v>0</v>
      </c>
    </row>
    <row r="8443" spans="39:45">
      <c r="AM8443" s="55">
        <v>2019</v>
      </c>
      <c r="AN8443" s="55" t="s">
        <v>193</v>
      </c>
      <c r="AO8443" s="55">
        <v>18</v>
      </c>
      <c r="AP8443" s="55">
        <v>17</v>
      </c>
      <c r="AQ8443" s="55">
        <v>0</v>
      </c>
      <c r="AR8443" s="55">
        <v>28500</v>
      </c>
      <c r="AS8443" s="78">
        <f t="shared" si="135"/>
        <v>0</v>
      </c>
    </row>
    <row r="8444" spans="39:45">
      <c r="AM8444" s="54">
        <v>2019</v>
      </c>
      <c r="AN8444" s="54" t="s">
        <v>193</v>
      </c>
      <c r="AO8444" s="54">
        <v>18</v>
      </c>
      <c r="AP8444" s="54">
        <v>18</v>
      </c>
      <c r="AQ8444" s="54">
        <v>0</v>
      </c>
      <c r="AR8444" s="55">
        <v>28500</v>
      </c>
      <c r="AS8444" s="78">
        <f t="shared" si="135"/>
        <v>0</v>
      </c>
    </row>
    <row r="8445" spans="39:45">
      <c r="AM8445" s="55">
        <v>2019</v>
      </c>
      <c r="AN8445" s="55" t="s">
        <v>193</v>
      </c>
      <c r="AO8445" s="55">
        <v>18</v>
      </c>
      <c r="AP8445" s="55">
        <v>19</v>
      </c>
      <c r="AQ8445" s="55">
        <v>0</v>
      </c>
      <c r="AR8445" s="55">
        <v>28500</v>
      </c>
      <c r="AS8445" s="78">
        <f t="shared" si="135"/>
        <v>0</v>
      </c>
    </row>
    <row r="8446" spans="39:45">
      <c r="AM8446" s="54">
        <v>2019</v>
      </c>
      <c r="AN8446" s="54" t="s">
        <v>193</v>
      </c>
      <c r="AO8446" s="54">
        <v>18</v>
      </c>
      <c r="AP8446" s="54">
        <v>20</v>
      </c>
      <c r="AQ8446" s="54">
        <v>0</v>
      </c>
      <c r="AR8446" s="55">
        <v>28500</v>
      </c>
      <c r="AS8446" s="78">
        <f t="shared" si="135"/>
        <v>0</v>
      </c>
    </row>
    <row r="8447" spans="39:45">
      <c r="AM8447" s="55">
        <v>2019</v>
      </c>
      <c r="AN8447" s="55" t="s">
        <v>193</v>
      </c>
      <c r="AO8447" s="55">
        <v>18</v>
      </c>
      <c r="AP8447" s="55">
        <v>21</v>
      </c>
      <c r="AQ8447" s="55">
        <v>0</v>
      </c>
      <c r="AR8447" s="55">
        <v>28500</v>
      </c>
      <c r="AS8447" s="78">
        <f t="shared" si="135"/>
        <v>0</v>
      </c>
    </row>
    <row r="8448" spans="39:45">
      <c r="AM8448" s="54">
        <v>2019</v>
      </c>
      <c r="AN8448" s="54" t="s">
        <v>193</v>
      </c>
      <c r="AO8448" s="54">
        <v>18</v>
      </c>
      <c r="AP8448" s="54">
        <v>22</v>
      </c>
      <c r="AQ8448" s="54">
        <v>0</v>
      </c>
      <c r="AR8448" s="55">
        <v>28500</v>
      </c>
      <c r="AS8448" s="78">
        <f t="shared" si="135"/>
        <v>0</v>
      </c>
    </row>
    <row r="8449" spans="39:45">
      <c r="AM8449" s="55">
        <v>2019</v>
      </c>
      <c r="AN8449" s="55" t="s">
        <v>193</v>
      </c>
      <c r="AO8449" s="55">
        <v>18</v>
      </c>
      <c r="AP8449" s="55">
        <v>23</v>
      </c>
      <c r="AQ8449" s="55">
        <v>0</v>
      </c>
      <c r="AR8449" s="55">
        <v>28500</v>
      </c>
      <c r="AS8449" s="78">
        <f t="shared" si="135"/>
        <v>0</v>
      </c>
    </row>
    <row r="8450" spans="39:45">
      <c r="AM8450" s="54">
        <v>2019</v>
      </c>
      <c r="AN8450" s="54" t="s">
        <v>193</v>
      </c>
      <c r="AO8450" s="54">
        <v>19</v>
      </c>
      <c r="AP8450" s="54">
        <v>24</v>
      </c>
      <c r="AQ8450" s="54">
        <v>0</v>
      </c>
      <c r="AR8450" s="55">
        <v>28500</v>
      </c>
      <c r="AS8450" s="78">
        <f t="shared" ref="AS8450:AS8513" si="136">AQ8450/AR8450</f>
        <v>0</v>
      </c>
    </row>
    <row r="8451" spans="39:45">
      <c r="AM8451" s="55">
        <v>2019</v>
      </c>
      <c r="AN8451" s="55" t="s">
        <v>193</v>
      </c>
      <c r="AO8451" s="55">
        <v>19</v>
      </c>
      <c r="AP8451" s="55">
        <v>1</v>
      </c>
      <c r="AQ8451" s="55">
        <v>0</v>
      </c>
      <c r="AR8451" s="55">
        <v>28500</v>
      </c>
      <c r="AS8451" s="78">
        <f t="shared" si="136"/>
        <v>0</v>
      </c>
    </row>
    <row r="8452" spans="39:45">
      <c r="AM8452" s="54">
        <v>2019</v>
      </c>
      <c r="AN8452" s="54" t="s">
        <v>193</v>
      </c>
      <c r="AO8452" s="54">
        <v>19</v>
      </c>
      <c r="AP8452" s="54">
        <v>2</v>
      </c>
      <c r="AQ8452" s="54">
        <v>0</v>
      </c>
      <c r="AR8452" s="55">
        <v>28500</v>
      </c>
      <c r="AS8452" s="78">
        <f t="shared" si="136"/>
        <v>0</v>
      </c>
    </row>
    <row r="8453" spans="39:45">
      <c r="AM8453" s="55">
        <v>2019</v>
      </c>
      <c r="AN8453" s="55" t="s">
        <v>193</v>
      </c>
      <c r="AO8453" s="55">
        <v>19</v>
      </c>
      <c r="AP8453" s="55">
        <v>3</v>
      </c>
      <c r="AQ8453" s="55">
        <v>0</v>
      </c>
      <c r="AR8453" s="55">
        <v>28500</v>
      </c>
      <c r="AS8453" s="78">
        <f t="shared" si="136"/>
        <v>0</v>
      </c>
    </row>
    <row r="8454" spans="39:45">
      <c r="AM8454" s="54">
        <v>2019</v>
      </c>
      <c r="AN8454" s="54" t="s">
        <v>193</v>
      </c>
      <c r="AO8454" s="54">
        <v>19</v>
      </c>
      <c r="AP8454" s="54">
        <v>4</v>
      </c>
      <c r="AQ8454" s="54">
        <v>0</v>
      </c>
      <c r="AR8454" s="55">
        <v>28500</v>
      </c>
      <c r="AS8454" s="78">
        <f t="shared" si="136"/>
        <v>0</v>
      </c>
    </row>
    <row r="8455" spans="39:45">
      <c r="AM8455" s="55">
        <v>2019</v>
      </c>
      <c r="AN8455" s="55" t="s">
        <v>193</v>
      </c>
      <c r="AO8455" s="55">
        <v>19</v>
      </c>
      <c r="AP8455" s="55">
        <v>5</v>
      </c>
      <c r="AQ8455" s="55">
        <v>0</v>
      </c>
      <c r="AR8455" s="55">
        <v>28500</v>
      </c>
      <c r="AS8455" s="78">
        <f t="shared" si="136"/>
        <v>0</v>
      </c>
    </row>
    <row r="8456" spans="39:45">
      <c r="AM8456" s="54">
        <v>2019</v>
      </c>
      <c r="AN8456" s="54" t="s">
        <v>193</v>
      </c>
      <c r="AO8456" s="54">
        <v>19</v>
      </c>
      <c r="AP8456" s="54">
        <v>6</v>
      </c>
      <c r="AQ8456" s="54">
        <v>0</v>
      </c>
      <c r="AR8456" s="55">
        <v>28500</v>
      </c>
      <c r="AS8456" s="78">
        <f t="shared" si="136"/>
        <v>0</v>
      </c>
    </row>
    <row r="8457" spans="39:45">
      <c r="AM8457" s="55">
        <v>2019</v>
      </c>
      <c r="AN8457" s="55" t="s">
        <v>193</v>
      </c>
      <c r="AO8457" s="55">
        <v>19</v>
      </c>
      <c r="AP8457" s="55">
        <v>7</v>
      </c>
      <c r="AQ8457" s="55">
        <v>0</v>
      </c>
      <c r="AR8457" s="55">
        <v>28500</v>
      </c>
      <c r="AS8457" s="78">
        <f t="shared" si="136"/>
        <v>0</v>
      </c>
    </row>
    <row r="8458" spans="39:45">
      <c r="AM8458" s="54">
        <v>2019</v>
      </c>
      <c r="AN8458" s="54" t="s">
        <v>193</v>
      </c>
      <c r="AO8458" s="54">
        <v>19</v>
      </c>
      <c r="AP8458" s="54">
        <v>8</v>
      </c>
      <c r="AQ8458" s="54">
        <v>0</v>
      </c>
      <c r="AR8458" s="55">
        <v>28500</v>
      </c>
      <c r="AS8458" s="78">
        <f t="shared" si="136"/>
        <v>0</v>
      </c>
    </row>
    <row r="8459" spans="39:45">
      <c r="AM8459" s="55">
        <v>2019</v>
      </c>
      <c r="AN8459" s="55" t="s">
        <v>193</v>
      </c>
      <c r="AO8459" s="55">
        <v>19</v>
      </c>
      <c r="AP8459" s="55">
        <v>9</v>
      </c>
      <c r="AQ8459" s="55">
        <v>1979.5</v>
      </c>
      <c r="AR8459" s="55">
        <v>28500</v>
      </c>
      <c r="AS8459" s="78">
        <f t="shared" si="136"/>
        <v>6.9456140350877188E-2</v>
      </c>
    </row>
    <row r="8460" spans="39:45">
      <c r="AM8460" s="54">
        <v>2019</v>
      </c>
      <c r="AN8460" s="54" t="s">
        <v>193</v>
      </c>
      <c r="AO8460" s="54">
        <v>19</v>
      </c>
      <c r="AP8460" s="54">
        <v>10</v>
      </c>
      <c r="AQ8460" s="54">
        <v>11474.5</v>
      </c>
      <c r="AR8460" s="55">
        <v>28500</v>
      </c>
      <c r="AS8460" s="78">
        <f t="shared" si="136"/>
        <v>0.40261403508771931</v>
      </c>
    </row>
    <row r="8461" spans="39:45">
      <c r="AM8461" s="55">
        <v>2019</v>
      </c>
      <c r="AN8461" s="55" t="s">
        <v>193</v>
      </c>
      <c r="AO8461" s="55">
        <v>19</v>
      </c>
      <c r="AP8461" s="55">
        <v>11</v>
      </c>
      <c r="AQ8461" s="55">
        <v>15552</v>
      </c>
      <c r="AR8461" s="55">
        <v>28500</v>
      </c>
      <c r="AS8461" s="78">
        <f t="shared" si="136"/>
        <v>0.54568421052631577</v>
      </c>
    </row>
    <row r="8462" spans="39:45">
      <c r="AM8462" s="54">
        <v>2019</v>
      </c>
      <c r="AN8462" s="54" t="s">
        <v>193</v>
      </c>
      <c r="AO8462" s="54">
        <v>19</v>
      </c>
      <c r="AP8462" s="54">
        <v>12</v>
      </c>
      <c r="AQ8462" s="54">
        <v>6675</v>
      </c>
      <c r="AR8462" s="55">
        <v>28500</v>
      </c>
      <c r="AS8462" s="78">
        <f t="shared" si="136"/>
        <v>0.23421052631578948</v>
      </c>
    </row>
    <row r="8463" spans="39:45">
      <c r="AM8463" s="55">
        <v>2019</v>
      </c>
      <c r="AN8463" s="55" t="s">
        <v>193</v>
      </c>
      <c r="AO8463" s="55">
        <v>19</v>
      </c>
      <c r="AP8463" s="55">
        <v>13</v>
      </c>
      <c r="AQ8463" s="55">
        <v>6731.5</v>
      </c>
      <c r="AR8463" s="55">
        <v>28500</v>
      </c>
      <c r="AS8463" s="78">
        <f t="shared" si="136"/>
        <v>0.23619298245614034</v>
      </c>
    </row>
    <row r="8464" spans="39:45">
      <c r="AM8464" s="54">
        <v>2019</v>
      </c>
      <c r="AN8464" s="54" t="s">
        <v>193</v>
      </c>
      <c r="AO8464" s="54">
        <v>19</v>
      </c>
      <c r="AP8464" s="54">
        <v>14</v>
      </c>
      <c r="AQ8464" s="54">
        <v>505.5</v>
      </c>
      <c r="AR8464" s="55">
        <v>28500</v>
      </c>
      <c r="AS8464" s="78">
        <f t="shared" si="136"/>
        <v>1.7736842105263158E-2</v>
      </c>
    </row>
    <row r="8465" spans="39:45">
      <c r="AM8465" s="55">
        <v>2019</v>
      </c>
      <c r="AN8465" s="55" t="s">
        <v>193</v>
      </c>
      <c r="AO8465" s="55">
        <v>19</v>
      </c>
      <c r="AP8465" s="55">
        <v>15</v>
      </c>
      <c r="AQ8465" s="55">
        <v>117</v>
      </c>
      <c r="AR8465" s="55">
        <v>28500</v>
      </c>
      <c r="AS8465" s="78">
        <f t="shared" si="136"/>
        <v>4.1052631578947368E-3</v>
      </c>
    </row>
    <row r="8466" spans="39:45">
      <c r="AM8466" s="54">
        <v>2019</v>
      </c>
      <c r="AN8466" s="54" t="s">
        <v>193</v>
      </c>
      <c r="AO8466" s="54">
        <v>19</v>
      </c>
      <c r="AP8466" s="54">
        <v>16</v>
      </c>
      <c r="AQ8466" s="54">
        <v>0</v>
      </c>
      <c r="AR8466" s="55">
        <v>28500</v>
      </c>
      <c r="AS8466" s="78">
        <f t="shared" si="136"/>
        <v>0</v>
      </c>
    </row>
    <row r="8467" spans="39:45">
      <c r="AM8467" s="55">
        <v>2019</v>
      </c>
      <c r="AN8467" s="55" t="s">
        <v>193</v>
      </c>
      <c r="AO8467" s="55">
        <v>19</v>
      </c>
      <c r="AP8467" s="55">
        <v>17</v>
      </c>
      <c r="AQ8467" s="55">
        <v>0</v>
      </c>
      <c r="AR8467" s="55">
        <v>28500</v>
      </c>
      <c r="AS8467" s="78">
        <f t="shared" si="136"/>
        <v>0</v>
      </c>
    </row>
    <row r="8468" spans="39:45">
      <c r="AM8468" s="54">
        <v>2019</v>
      </c>
      <c r="AN8468" s="54" t="s">
        <v>193</v>
      </c>
      <c r="AO8468" s="54">
        <v>19</v>
      </c>
      <c r="AP8468" s="54">
        <v>18</v>
      </c>
      <c r="AQ8468" s="54">
        <v>0</v>
      </c>
      <c r="AR8468" s="55">
        <v>28500</v>
      </c>
      <c r="AS8468" s="78">
        <f t="shared" si="136"/>
        <v>0</v>
      </c>
    </row>
    <row r="8469" spans="39:45">
      <c r="AM8469" s="55">
        <v>2019</v>
      </c>
      <c r="AN8469" s="55" t="s">
        <v>193</v>
      </c>
      <c r="AO8469" s="55">
        <v>19</v>
      </c>
      <c r="AP8469" s="55">
        <v>19</v>
      </c>
      <c r="AQ8469" s="55">
        <v>0</v>
      </c>
      <c r="AR8469" s="55">
        <v>28500</v>
      </c>
      <c r="AS8469" s="78">
        <f t="shared" si="136"/>
        <v>0</v>
      </c>
    </row>
    <row r="8470" spans="39:45">
      <c r="AM8470" s="54">
        <v>2019</v>
      </c>
      <c r="AN8470" s="54" t="s">
        <v>193</v>
      </c>
      <c r="AO8470" s="54">
        <v>19</v>
      </c>
      <c r="AP8470" s="54">
        <v>20</v>
      </c>
      <c r="AQ8470" s="54">
        <v>0</v>
      </c>
      <c r="AR8470" s="55">
        <v>28500</v>
      </c>
      <c r="AS8470" s="78">
        <f t="shared" si="136"/>
        <v>0</v>
      </c>
    </row>
    <row r="8471" spans="39:45">
      <c r="AM8471" s="55">
        <v>2019</v>
      </c>
      <c r="AN8471" s="55" t="s">
        <v>193</v>
      </c>
      <c r="AO8471" s="55">
        <v>19</v>
      </c>
      <c r="AP8471" s="55">
        <v>21</v>
      </c>
      <c r="AQ8471" s="55">
        <v>0</v>
      </c>
      <c r="AR8471" s="55">
        <v>28500</v>
      </c>
      <c r="AS8471" s="78">
        <f t="shared" si="136"/>
        <v>0</v>
      </c>
    </row>
    <row r="8472" spans="39:45">
      <c r="AM8472" s="54">
        <v>2019</v>
      </c>
      <c r="AN8472" s="54" t="s">
        <v>193</v>
      </c>
      <c r="AO8472" s="54">
        <v>19</v>
      </c>
      <c r="AP8472" s="54">
        <v>22</v>
      </c>
      <c r="AQ8472" s="54">
        <v>0</v>
      </c>
      <c r="AR8472" s="55">
        <v>28500</v>
      </c>
      <c r="AS8472" s="78">
        <f t="shared" si="136"/>
        <v>0</v>
      </c>
    </row>
    <row r="8473" spans="39:45">
      <c r="AM8473" s="55">
        <v>2019</v>
      </c>
      <c r="AN8473" s="55" t="s">
        <v>193</v>
      </c>
      <c r="AO8473" s="55">
        <v>19</v>
      </c>
      <c r="AP8473" s="55">
        <v>23</v>
      </c>
      <c r="AQ8473" s="55">
        <v>0</v>
      </c>
      <c r="AR8473" s="55">
        <v>28500</v>
      </c>
      <c r="AS8473" s="78">
        <f t="shared" si="136"/>
        <v>0</v>
      </c>
    </row>
    <row r="8474" spans="39:45">
      <c r="AM8474" s="54">
        <v>2019</v>
      </c>
      <c r="AN8474" s="54" t="s">
        <v>193</v>
      </c>
      <c r="AO8474" s="54">
        <v>20</v>
      </c>
      <c r="AP8474" s="54">
        <v>24</v>
      </c>
      <c r="AQ8474" s="54">
        <v>0</v>
      </c>
      <c r="AR8474" s="55">
        <v>28500</v>
      </c>
      <c r="AS8474" s="78">
        <f t="shared" si="136"/>
        <v>0</v>
      </c>
    </row>
    <row r="8475" spans="39:45">
      <c r="AM8475" s="55">
        <v>2019</v>
      </c>
      <c r="AN8475" s="55" t="s">
        <v>193</v>
      </c>
      <c r="AO8475" s="55">
        <v>20</v>
      </c>
      <c r="AP8475" s="55">
        <v>1</v>
      </c>
      <c r="AQ8475" s="55">
        <v>0</v>
      </c>
      <c r="AR8475" s="55">
        <v>28500</v>
      </c>
      <c r="AS8475" s="78">
        <f t="shared" si="136"/>
        <v>0</v>
      </c>
    </row>
    <row r="8476" spans="39:45">
      <c r="AM8476" s="54">
        <v>2019</v>
      </c>
      <c r="AN8476" s="54" t="s">
        <v>193</v>
      </c>
      <c r="AO8476" s="54">
        <v>20</v>
      </c>
      <c r="AP8476" s="54">
        <v>2</v>
      </c>
      <c r="AQ8476" s="54">
        <v>0</v>
      </c>
      <c r="AR8476" s="55">
        <v>28500</v>
      </c>
      <c r="AS8476" s="78">
        <f t="shared" si="136"/>
        <v>0</v>
      </c>
    </row>
    <row r="8477" spans="39:45">
      <c r="AM8477" s="55">
        <v>2019</v>
      </c>
      <c r="AN8477" s="55" t="s">
        <v>193</v>
      </c>
      <c r="AO8477" s="55">
        <v>20</v>
      </c>
      <c r="AP8477" s="55">
        <v>3</v>
      </c>
      <c r="AQ8477" s="55">
        <v>0</v>
      </c>
      <c r="AR8477" s="55">
        <v>28500</v>
      </c>
      <c r="AS8477" s="78">
        <f t="shared" si="136"/>
        <v>0</v>
      </c>
    </row>
    <row r="8478" spans="39:45">
      <c r="AM8478" s="54">
        <v>2019</v>
      </c>
      <c r="AN8478" s="54" t="s">
        <v>193</v>
      </c>
      <c r="AO8478" s="54">
        <v>20</v>
      </c>
      <c r="AP8478" s="54">
        <v>4</v>
      </c>
      <c r="AQ8478" s="54">
        <v>0</v>
      </c>
      <c r="AR8478" s="55">
        <v>28500</v>
      </c>
      <c r="AS8478" s="78">
        <f t="shared" si="136"/>
        <v>0</v>
      </c>
    </row>
    <row r="8479" spans="39:45">
      <c r="AM8479" s="55">
        <v>2019</v>
      </c>
      <c r="AN8479" s="55" t="s">
        <v>193</v>
      </c>
      <c r="AO8479" s="55">
        <v>20</v>
      </c>
      <c r="AP8479" s="55">
        <v>5</v>
      </c>
      <c r="AQ8479" s="55">
        <v>0</v>
      </c>
      <c r="AR8479" s="55">
        <v>28500</v>
      </c>
      <c r="AS8479" s="78">
        <f t="shared" si="136"/>
        <v>0</v>
      </c>
    </row>
    <row r="8480" spans="39:45">
      <c r="AM8480" s="54">
        <v>2019</v>
      </c>
      <c r="AN8480" s="54" t="s">
        <v>193</v>
      </c>
      <c r="AO8480" s="54">
        <v>20</v>
      </c>
      <c r="AP8480" s="54">
        <v>6</v>
      </c>
      <c r="AQ8480" s="54">
        <v>0</v>
      </c>
      <c r="AR8480" s="55">
        <v>28500</v>
      </c>
      <c r="AS8480" s="78">
        <f t="shared" si="136"/>
        <v>0</v>
      </c>
    </row>
    <row r="8481" spans="39:45">
      <c r="AM8481" s="55">
        <v>2019</v>
      </c>
      <c r="AN8481" s="55" t="s">
        <v>193</v>
      </c>
      <c r="AO8481" s="55">
        <v>20</v>
      </c>
      <c r="AP8481" s="55">
        <v>7</v>
      </c>
      <c r="AQ8481" s="55">
        <v>0</v>
      </c>
      <c r="AR8481" s="55">
        <v>28500</v>
      </c>
      <c r="AS8481" s="78">
        <f t="shared" si="136"/>
        <v>0</v>
      </c>
    </row>
    <row r="8482" spans="39:45">
      <c r="AM8482" s="54">
        <v>2019</v>
      </c>
      <c r="AN8482" s="54" t="s">
        <v>193</v>
      </c>
      <c r="AO8482" s="54">
        <v>20</v>
      </c>
      <c r="AP8482" s="54">
        <v>8</v>
      </c>
      <c r="AQ8482" s="54">
        <v>0</v>
      </c>
      <c r="AR8482" s="55">
        <v>28500</v>
      </c>
      <c r="AS8482" s="78">
        <f t="shared" si="136"/>
        <v>0</v>
      </c>
    </row>
    <row r="8483" spans="39:45">
      <c r="AM8483" s="55">
        <v>2019</v>
      </c>
      <c r="AN8483" s="55" t="s">
        <v>193</v>
      </c>
      <c r="AO8483" s="55">
        <v>20</v>
      </c>
      <c r="AP8483" s="55">
        <v>9</v>
      </c>
      <c r="AQ8483" s="55">
        <v>95.5</v>
      </c>
      <c r="AR8483" s="55">
        <v>28500</v>
      </c>
      <c r="AS8483" s="78">
        <f t="shared" si="136"/>
        <v>3.3508771929824563E-3</v>
      </c>
    </row>
    <row r="8484" spans="39:45">
      <c r="AM8484" s="54">
        <v>2019</v>
      </c>
      <c r="AN8484" s="54" t="s">
        <v>193</v>
      </c>
      <c r="AO8484" s="54">
        <v>20</v>
      </c>
      <c r="AP8484" s="54">
        <v>10</v>
      </c>
      <c r="AQ8484" s="54">
        <v>804.5</v>
      </c>
      <c r="AR8484" s="55">
        <v>28500</v>
      </c>
      <c r="AS8484" s="78">
        <f t="shared" si="136"/>
        <v>2.8228070175438595E-2</v>
      </c>
    </row>
    <row r="8485" spans="39:45">
      <c r="AM8485" s="55">
        <v>2019</v>
      </c>
      <c r="AN8485" s="55" t="s">
        <v>193</v>
      </c>
      <c r="AO8485" s="55">
        <v>20</v>
      </c>
      <c r="AP8485" s="55">
        <v>11</v>
      </c>
      <c r="AQ8485" s="55">
        <v>4404.5</v>
      </c>
      <c r="AR8485" s="55">
        <v>28500</v>
      </c>
      <c r="AS8485" s="78">
        <f t="shared" si="136"/>
        <v>0.15454385964912282</v>
      </c>
    </row>
    <row r="8486" spans="39:45">
      <c r="AM8486" s="54">
        <v>2019</v>
      </c>
      <c r="AN8486" s="54" t="s">
        <v>193</v>
      </c>
      <c r="AO8486" s="54">
        <v>20</v>
      </c>
      <c r="AP8486" s="54">
        <v>12</v>
      </c>
      <c r="AQ8486" s="54">
        <v>577</v>
      </c>
      <c r="AR8486" s="55">
        <v>28500</v>
      </c>
      <c r="AS8486" s="78">
        <f t="shared" si="136"/>
        <v>2.024561403508772E-2</v>
      </c>
    </row>
    <row r="8487" spans="39:45">
      <c r="AM8487" s="55">
        <v>2019</v>
      </c>
      <c r="AN8487" s="55" t="s">
        <v>193</v>
      </c>
      <c r="AO8487" s="55">
        <v>20</v>
      </c>
      <c r="AP8487" s="55">
        <v>13</v>
      </c>
      <c r="AQ8487" s="55">
        <v>1012</v>
      </c>
      <c r="AR8487" s="55">
        <v>28500</v>
      </c>
      <c r="AS8487" s="78">
        <f t="shared" si="136"/>
        <v>3.5508771929824559E-2</v>
      </c>
    </row>
    <row r="8488" spans="39:45">
      <c r="AM8488" s="54">
        <v>2019</v>
      </c>
      <c r="AN8488" s="54" t="s">
        <v>193</v>
      </c>
      <c r="AO8488" s="54">
        <v>20</v>
      </c>
      <c r="AP8488" s="54">
        <v>14</v>
      </c>
      <c r="AQ8488" s="54">
        <v>15537</v>
      </c>
      <c r="AR8488" s="55">
        <v>28500</v>
      </c>
      <c r="AS8488" s="78">
        <f t="shared" si="136"/>
        <v>0.54515789473684206</v>
      </c>
    </row>
    <row r="8489" spans="39:45">
      <c r="AM8489" s="55">
        <v>2019</v>
      </c>
      <c r="AN8489" s="55" t="s">
        <v>193</v>
      </c>
      <c r="AO8489" s="55">
        <v>20</v>
      </c>
      <c r="AP8489" s="55">
        <v>15</v>
      </c>
      <c r="AQ8489" s="55">
        <v>7191</v>
      </c>
      <c r="AR8489" s="55">
        <v>28500</v>
      </c>
      <c r="AS8489" s="78">
        <f t="shared" si="136"/>
        <v>0.25231578947368422</v>
      </c>
    </row>
    <row r="8490" spans="39:45">
      <c r="AM8490" s="54">
        <v>2019</v>
      </c>
      <c r="AN8490" s="54" t="s">
        <v>193</v>
      </c>
      <c r="AO8490" s="54">
        <v>20</v>
      </c>
      <c r="AP8490" s="54">
        <v>16</v>
      </c>
      <c r="AQ8490" s="54">
        <v>0</v>
      </c>
      <c r="AR8490" s="55">
        <v>28500</v>
      </c>
      <c r="AS8490" s="78">
        <f t="shared" si="136"/>
        <v>0</v>
      </c>
    </row>
    <row r="8491" spans="39:45">
      <c r="AM8491" s="55">
        <v>2019</v>
      </c>
      <c r="AN8491" s="55" t="s">
        <v>193</v>
      </c>
      <c r="AO8491" s="55">
        <v>20</v>
      </c>
      <c r="AP8491" s="55">
        <v>17</v>
      </c>
      <c r="AQ8491" s="55">
        <v>0</v>
      </c>
      <c r="AR8491" s="55">
        <v>28500</v>
      </c>
      <c r="AS8491" s="78">
        <f t="shared" si="136"/>
        <v>0</v>
      </c>
    </row>
    <row r="8492" spans="39:45">
      <c r="AM8492" s="54">
        <v>2019</v>
      </c>
      <c r="AN8492" s="54" t="s">
        <v>193</v>
      </c>
      <c r="AO8492" s="54">
        <v>20</v>
      </c>
      <c r="AP8492" s="54">
        <v>18</v>
      </c>
      <c r="AQ8492" s="54">
        <v>0</v>
      </c>
      <c r="AR8492" s="55">
        <v>28500</v>
      </c>
      <c r="AS8492" s="78">
        <f t="shared" si="136"/>
        <v>0</v>
      </c>
    </row>
    <row r="8493" spans="39:45">
      <c r="AM8493" s="55">
        <v>2019</v>
      </c>
      <c r="AN8493" s="55" t="s">
        <v>193</v>
      </c>
      <c r="AO8493" s="55">
        <v>20</v>
      </c>
      <c r="AP8493" s="55">
        <v>19</v>
      </c>
      <c r="AQ8493" s="55">
        <v>0</v>
      </c>
      <c r="AR8493" s="55">
        <v>28500</v>
      </c>
      <c r="AS8493" s="78">
        <f t="shared" si="136"/>
        <v>0</v>
      </c>
    </row>
    <row r="8494" spans="39:45">
      <c r="AM8494" s="54">
        <v>2019</v>
      </c>
      <c r="AN8494" s="54" t="s">
        <v>193</v>
      </c>
      <c r="AO8494" s="54">
        <v>20</v>
      </c>
      <c r="AP8494" s="54">
        <v>20</v>
      </c>
      <c r="AQ8494" s="54">
        <v>0</v>
      </c>
      <c r="AR8494" s="55">
        <v>28500</v>
      </c>
      <c r="AS8494" s="78">
        <f t="shared" si="136"/>
        <v>0</v>
      </c>
    </row>
    <row r="8495" spans="39:45">
      <c r="AM8495" s="55">
        <v>2019</v>
      </c>
      <c r="AN8495" s="55" t="s">
        <v>193</v>
      </c>
      <c r="AO8495" s="55">
        <v>20</v>
      </c>
      <c r="AP8495" s="55">
        <v>21</v>
      </c>
      <c r="AQ8495" s="55">
        <v>0</v>
      </c>
      <c r="AR8495" s="55">
        <v>28500</v>
      </c>
      <c r="AS8495" s="78">
        <f t="shared" si="136"/>
        <v>0</v>
      </c>
    </row>
    <row r="8496" spans="39:45">
      <c r="AM8496" s="54">
        <v>2019</v>
      </c>
      <c r="AN8496" s="54" t="s">
        <v>193</v>
      </c>
      <c r="AO8496" s="54">
        <v>20</v>
      </c>
      <c r="AP8496" s="54">
        <v>22</v>
      </c>
      <c r="AQ8496" s="54">
        <v>0</v>
      </c>
      <c r="AR8496" s="55">
        <v>28500</v>
      </c>
      <c r="AS8496" s="78">
        <f t="shared" si="136"/>
        <v>0</v>
      </c>
    </row>
    <row r="8497" spans="39:45">
      <c r="AM8497" s="55">
        <v>2019</v>
      </c>
      <c r="AN8497" s="55" t="s">
        <v>193</v>
      </c>
      <c r="AO8497" s="55">
        <v>20</v>
      </c>
      <c r="AP8497" s="55">
        <v>23</v>
      </c>
      <c r="AQ8497" s="55">
        <v>0</v>
      </c>
      <c r="AR8497" s="55">
        <v>28500</v>
      </c>
      <c r="AS8497" s="78">
        <f t="shared" si="136"/>
        <v>0</v>
      </c>
    </row>
    <row r="8498" spans="39:45">
      <c r="AM8498" s="54">
        <v>2019</v>
      </c>
      <c r="AN8498" s="54" t="s">
        <v>193</v>
      </c>
      <c r="AO8498" s="54">
        <v>21</v>
      </c>
      <c r="AP8498" s="54">
        <v>24</v>
      </c>
      <c r="AQ8498" s="54">
        <v>0</v>
      </c>
      <c r="AR8498" s="55">
        <v>28500</v>
      </c>
      <c r="AS8498" s="78">
        <f t="shared" si="136"/>
        <v>0</v>
      </c>
    </row>
    <row r="8499" spans="39:45">
      <c r="AM8499" s="55">
        <v>2019</v>
      </c>
      <c r="AN8499" s="55" t="s">
        <v>193</v>
      </c>
      <c r="AO8499" s="55">
        <v>21</v>
      </c>
      <c r="AP8499" s="55">
        <v>1</v>
      </c>
      <c r="AQ8499" s="55">
        <v>0</v>
      </c>
      <c r="AR8499" s="55">
        <v>28500</v>
      </c>
      <c r="AS8499" s="78">
        <f t="shared" si="136"/>
        <v>0</v>
      </c>
    </row>
    <row r="8500" spans="39:45">
      <c r="AM8500" s="54">
        <v>2019</v>
      </c>
      <c r="AN8500" s="54" t="s">
        <v>193</v>
      </c>
      <c r="AO8500" s="54">
        <v>21</v>
      </c>
      <c r="AP8500" s="54">
        <v>2</v>
      </c>
      <c r="AQ8500" s="54">
        <v>0</v>
      </c>
      <c r="AR8500" s="55">
        <v>28500</v>
      </c>
      <c r="AS8500" s="78">
        <f t="shared" si="136"/>
        <v>0</v>
      </c>
    </row>
    <row r="8501" spans="39:45">
      <c r="AM8501" s="55">
        <v>2019</v>
      </c>
      <c r="AN8501" s="55" t="s">
        <v>193</v>
      </c>
      <c r="AO8501" s="55">
        <v>21</v>
      </c>
      <c r="AP8501" s="55">
        <v>3</v>
      </c>
      <c r="AQ8501" s="55">
        <v>0</v>
      </c>
      <c r="AR8501" s="55">
        <v>28500</v>
      </c>
      <c r="AS8501" s="78">
        <f t="shared" si="136"/>
        <v>0</v>
      </c>
    </row>
    <row r="8502" spans="39:45">
      <c r="AM8502" s="54">
        <v>2019</v>
      </c>
      <c r="AN8502" s="54" t="s">
        <v>193</v>
      </c>
      <c r="AO8502" s="54">
        <v>21</v>
      </c>
      <c r="AP8502" s="54">
        <v>4</v>
      </c>
      <c r="AQ8502" s="54">
        <v>0</v>
      </c>
      <c r="AR8502" s="55">
        <v>28500</v>
      </c>
      <c r="AS8502" s="78">
        <f t="shared" si="136"/>
        <v>0</v>
      </c>
    </row>
    <row r="8503" spans="39:45">
      <c r="AM8503" s="55">
        <v>2019</v>
      </c>
      <c r="AN8503" s="55" t="s">
        <v>193</v>
      </c>
      <c r="AO8503" s="55">
        <v>21</v>
      </c>
      <c r="AP8503" s="55">
        <v>5</v>
      </c>
      <c r="AQ8503" s="55">
        <v>0</v>
      </c>
      <c r="AR8503" s="55">
        <v>28500</v>
      </c>
      <c r="AS8503" s="78">
        <f t="shared" si="136"/>
        <v>0</v>
      </c>
    </row>
    <row r="8504" spans="39:45">
      <c r="AM8504" s="54">
        <v>2019</v>
      </c>
      <c r="AN8504" s="54" t="s">
        <v>193</v>
      </c>
      <c r="AO8504" s="54">
        <v>21</v>
      </c>
      <c r="AP8504" s="54">
        <v>6</v>
      </c>
      <c r="AQ8504" s="54">
        <v>0</v>
      </c>
      <c r="AR8504" s="55">
        <v>28500</v>
      </c>
      <c r="AS8504" s="78">
        <f t="shared" si="136"/>
        <v>0</v>
      </c>
    </row>
    <row r="8505" spans="39:45">
      <c r="AM8505" s="55">
        <v>2019</v>
      </c>
      <c r="AN8505" s="55" t="s">
        <v>193</v>
      </c>
      <c r="AO8505" s="55">
        <v>21</v>
      </c>
      <c r="AP8505" s="55">
        <v>7</v>
      </c>
      <c r="AQ8505" s="55">
        <v>0</v>
      </c>
      <c r="AR8505" s="55">
        <v>28500</v>
      </c>
      <c r="AS8505" s="78">
        <f t="shared" si="136"/>
        <v>0</v>
      </c>
    </row>
    <row r="8506" spans="39:45">
      <c r="AM8506" s="54">
        <v>2019</v>
      </c>
      <c r="AN8506" s="54" t="s">
        <v>193</v>
      </c>
      <c r="AO8506" s="54">
        <v>21</v>
      </c>
      <c r="AP8506" s="54">
        <v>8</v>
      </c>
      <c r="AQ8506" s="54">
        <v>0</v>
      </c>
      <c r="AR8506" s="55">
        <v>28500</v>
      </c>
      <c r="AS8506" s="78">
        <f t="shared" si="136"/>
        <v>0</v>
      </c>
    </row>
    <row r="8507" spans="39:45">
      <c r="AM8507" s="55">
        <v>2019</v>
      </c>
      <c r="AN8507" s="55" t="s">
        <v>193</v>
      </c>
      <c r="AO8507" s="55">
        <v>21</v>
      </c>
      <c r="AP8507" s="55">
        <v>9</v>
      </c>
      <c r="AQ8507" s="55">
        <v>33</v>
      </c>
      <c r="AR8507" s="55">
        <v>28500</v>
      </c>
      <c r="AS8507" s="78">
        <f t="shared" si="136"/>
        <v>1.1578947368421054E-3</v>
      </c>
    </row>
    <row r="8508" spans="39:45">
      <c r="AM8508" s="54">
        <v>2019</v>
      </c>
      <c r="AN8508" s="54" t="s">
        <v>193</v>
      </c>
      <c r="AO8508" s="54">
        <v>21</v>
      </c>
      <c r="AP8508" s="54">
        <v>10</v>
      </c>
      <c r="AQ8508" s="54">
        <v>25928.5</v>
      </c>
      <c r="AR8508" s="55">
        <v>28500</v>
      </c>
      <c r="AS8508" s="78">
        <f t="shared" si="136"/>
        <v>0.90977192982456145</v>
      </c>
    </row>
    <row r="8509" spans="39:45">
      <c r="AM8509" s="55">
        <v>2019</v>
      </c>
      <c r="AN8509" s="55" t="s">
        <v>193</v>
      </c>
      <c r="AO8509" s="55">
        <v>21</v>
      </c>
      <c r="AP8509" s="55">
        <v>11</v>
      </c>
      <c r="AQ8509" s="55">
        <v>17273.5</v>
      </c>
      <c r="AR8509" s="55">
        <v>28500</v>
      </c>
      <c r="AS8509" s="78">
        <f t="shared" si="136"/>
        <v>0.60608771929824556</v>
      </c>
    </row>
    <row r="8510" spans="39:45">
      <c r="AM8510" s="54">
        <v>2019</v>
      </c>
      <c r="AN8510" s="54" t="s">
        <v>193</v>
      </c>
      <c r="AO8510" s="54">
        <v>21</v>
      </c>
      <c r="AP8510" s="54">
        <v>12</v>
      </c>
      <c r="AQ8510" s="54">
        <v>19493</v>
      </c>
      <c r="AR8510" s="55">
        <v>28500</v>
      </c>
      <c r="AS8510" s="78">
        <f t="shared" si="136"/>
        <v>0.68396491228070178</v>
      </c>
    </row>
    <row r="8511" spans="39:45">
      <c r="AM8511" s="55">
        <v>2019</v>
      </c>
      <c r="AN8511" s="55" t="s">
        <v>193</v>
      </c>
      <c r="AO8511" s="55">
        <v>21</v>
      </c>
      <c r="AP8511" s="55">
        <v>13</v>
      </c>
      <c r="AQ8511" s="55">
        <v>3990</v>
      </c>
      <c r="AR8511" s="55">
        <v>28500</v>
      </c>
      <c r="AS8511" s="78">
        <f t="shared" si="136"/>
        <v>0.14000000000000001</v>
      </c>
    </row>
    <row r="8512" spans="39:45">
      <c r="AM8512" s="54">
        <v>2019</v>
      </c>
      <c r="AN8512" s="54" t="s">
        <v>193</v>
      </c>
      <c r="AO8512" s="54">
        <v>21</v>
      </c>
      <c r="AP8512" s="54">
        <v>14</v>
      </c>
      <c r="AQ8512" s="54">
        <v>169</v>
      </c>
      <c r="AR8512" s="55">
        <v>28500</v>
      </c>
      <c r="AS8512" s="78">
        <f t="shared" si="136"/>
        <v>5.929824561403509E-3</v>
      </c>
    </row>
    <row r="8513" spans="39:45">
      <c r="AM8513" s="55">
        <v>2019</v>
      </c>
      <c r="AN8513" s="55" t="s">
        <v>193</v>
      </c>
      <c r="AO8513" s="55">
        <v>21</v>
      </c>
      <c r="AP8513" s="55">
        <v>15</v>
      </c>
      <c r="AQ8513" s="55">
        <v>9844</v>
      </c>
      <c r="AR8513" s="55">
        <v>28500</v>
      </c>
      <c r="AS8513" s="78">
        <f t="shared" si="136"/>
        <v>0.34540350877192982</v>
      </c>
    </row>
    <row r="8514" spans="39:45">
      <c r="AM8514" s="54">
        <v>2019</v>
      </c>
      <c r="AN8514" s="54" t="s">
        <v>193</v>
      </c>
      <c r="AO8514" s="54">
        <v>21</v>
      </c>
      <c r="AP8514" s="54">
        <v>16</v>
      </c>
      <c r="AQ8514" s="54">
        <v>0</v>
      </c>
      <c r="AR8514" s="55">
        <v>28500</v>
      </c>
      <c r="AS8514" s="78">
        <f t="shared" ref="AS8514:AS8577" si="137">AQ8514/AR8514</f>
        <v>0</v>
      </c>
    </row>
    <row r="8515" spans="39:45">
      <c r="AM8515" s="55">
        <v>2019</v>
      </c>
      <c r="AN8515" s="55" t="s">
        <v>193</v>
      </c>
      <c r="AO8515" s="55">
        <v>21</v>
      </c>
      <c r="AP8515" s="55">
        <v>17</v>
      </c>
      <c r="AQ8515" s="55">
        <v>0</v>
      </c>
      <c r="AR8515" s="55">
        <v>28500</v>
      </c>
      <c r="AS8515" s="78">
        <f t="shared" si="137"/>
        <v>0</v>
      </c>
    </row>
    <row r="8516" spans="39:45">
      <c r="AM8516" s="54">
        <v>2019</v>
      </c>
      <c r="AN8516" s="54" t="s">
        <v>193</v>
      </c>
      <c r="AO8516" s="54">
        <v>21</v>
      </c>
      <c r="AP8516" s="54">
        <v>18</v>
      </c>
      <c r="AQ8516" s="54">
        <v>0</v>
      </c>
      <c r="AR8516" s="55">
        <v>28500</v>
      </c>
      <c r="AS8516" s="78">
        <f t="shared" si="137"/>
        <v>0</v>
      </c>
    </row>
    <row r="8517" spans="39:45">
      <c r="AM8517" s="55">
        <v>2019</v>
      </c>
      <c r="AN8517" s="55" t="s">
        <v>193</v>
      </c>
      <c r="AO8517" s="55">
        <v>21</v>
      </c>
      <c r="AP8517" s="55">
        <v>19</v>
      </c>
      <c r="AQ8517" s="55">
        <v>0</v>
      </c>
      <c r="AR8517" s="55">
        <v>28500</v>
      </c>
      <c r="AS8517" s="78">
        <f t="shared" si="137"/>
        <v>0</v>
      </c>
    </row>
    <row r="8518" spans="39:45">
      <c r="AM8518" s="54">
        <v>2019</v>
      </c>
      <c r="AN8518" s="54" t="s">
        <v>193</v>
      </c>
      <c r="AO8518" s="54">
        <v>21</v>
      </c>
      <c r="AP8518" s="54">
        <v>20</v>
      </c>
      <c r="AQ8518" s="54">
        <v>0</v>
      </c>
      <c r="AR8518" s="55">
        <v>28500</v>
      </c>
      <c r="AS8518" s="78">
        <f t="shared" si="137"/>
        <v>0</v>
      </c>
    </row>
    <row r="8519" spans="39:45">
      <c r="AM8519" s="55">
        <v>2019</v>
      </c>
      <c r="AN8519" s="55" t="s">
        <v>193</v>
      </c>
      <c r="AO8519" s="55">
        <v>21</v>
      </c>
      <c r="AP8519" s="55">
        <v>21</v>
      </c>
      <c r="AQ8519" s="55">
        <v>0</v>
      </c>
      <c r="AR8519" s="55">
        <v>28500</v>
      </c>
      <c r="AS8519" s="78">
        <f t="shared" si="137"/>
        <v>0</v>
      </c>
    </row>
    <row r="8520" spans="39:45">
      <c r="AM8520" s="54">
        <v>2019</v>
      </c>
      <c r="AN8520" s="54" t="s">
        <v>193</v>
      </c>
      <c r="AO8520" s="54">
        <v>21</v>
      </c>
      <c r="AP8520" s="54">
        <v>22</v>
      </c>
      <c r="AQ8520" s="54">
        <v>0</v>
      </c>
      <c r="AR8520" s="55">
        <v>28500</v>
      </c>
      <c r="AS8520" s="78">
        <f t="shared" si="137"/>
        <v>0</v>
      </c>
    </row>
    <row r="8521" spans="39:45">
      <c r="AM8521" s="55">
        <v>2019</v>
      </c>
      <c r="AN8521" s="55" t="s">
        <v>193</v>
      </c>
      <c r="AO8521" s="55">
        <v>21</v>
      </c>
      <c r="AP8521" s="55">
        <v>23</v>
      </c>
      <c r="AQ8521" s="55">
        <v>0</v>
      </c>
      <c r="AR8521" s="55">
        <v>28500</v>
      </c>
      <c r="AS8521" s="78">
        <f t="shared" si="137"/>
        <v>0</v>
      </c>
    </row>
    <row r="8522" spans="39:45">
      <c r="AM8522" s="54">
        <v>2019</v>
      </c>
      <c r="AN8522" s="54" t="s">
        <v>193</v>
      </c>
      <c r="AO8522" s="54">
        <v>22</v>
      </c>
      <c r="AP8522" s="54">
        <v>24</v>
      </c>
      <c r="AQ8522" s="54">
        <v>0</v>
      </c>
      <c r="AR8522" s="55">
        <v>28500</v>
      </c>
      <c r="AS8522" s="78">
        <f t="shared" si="137"/>
        <v>0</v>
      </c>
    </row>
    <row r="8523" spans="39:45">
      <c r="AM8523" s="55">
        <v>2019</v>
      </c>
      <c r="AN8523" s="55" t="s">
        <v>193</v>
      </c>
      <c r="AO8523" s="55">
        <v>22</v>
      </c>
      <c r="AP8523" s="55">
        <v>1</v>
      </c>
      <c r="AQ8523" s="55">
        <v>0</v>
      </c>
      <c r="AR8523" s="55">
        <v>28500</v>
      </c>
      <c r="AS8523" s="78">
        <f t="shared" si="137"/>
        <v>0</v>
      </c>
    </row>
    <row r="8524" spans="39:45">
      <c r="AM8524" s="54">
        <v>2019</v>
      </c>
      <c r="AN8524" s="54" t="s">
        <v>193</v>
      </c>
      <c r="AO8524" s="54">
        <v>22</v>
      </c>
      <c r="AP8524" s="54">
        <v>2</v>
      </c>
      <c r="AQ8524" s="54">
        <v>0</v>
      </c>
      <c r="AR8524" s="55">
        <v>28500</v>
      </c>
      <c r="AS8524" s="78">
        <f t="shared" si="137"/>
        <v>0</v>
      </c>
    </row>
    <row r="8525" spans="39:45">
      <c r="AM8525" s="55">
        <v>2019</v>
      </c>
      <c r="AN8525" s="55" t="s">
        <v>193</v>
      </c>
      <c r="AO8525" s="55">
        <v>22</v>
      </c>
      <c r="AP8525" s="55">
        <v>3</v>
      </c>
      <c r="AQ8525" s="55">
        <v>0</v>
      </c>
      <c r="AR8525" s="55">
        <v>28500</v>
      </c>
      <c r="AS8525" s="78">
        <f t="shared" si="137"/>
        <v>0</v>
      </c>
    </row>
    <row r="8526" spans="39:45">
      <c r="AM8526" s="54">
        <v>2019</v>
      </c>
      <c r="AN8526" s="54" t="s">
        <v>193</v>
      </c>
      <c r="AO8526" s="54">
        <v>22</v>
      </c>
      <c r="AP8526" s="54">
        <v>4</v>
      </c>
      <c r="AQ8526" s="54">
        <v>0</v>
      </c>
      <c r="AR8526" s="55">
        <v>28500</v>
      </c>
      <c r="AS8526" s="78">
        <f t="shared" si="137"/>
        <v>0</v>
      </c>
    </row>
    <row r="8527" spans="39:45">
      <c r="AM8527" s="55">
        <v>2019</v>
      </c>
      <c r="AN8527" s="55" t="s">
        <v>193</v>
      </c>
      <c r="AO8527" s="55">
        <v>22</v>
      </c>
      <c r="AP8527" s="55">
        <v>5</v>
      </c>
      <c r="AQ8527" s="55">
        <v>0</v>
      </c>
      <c r="AR8527" s="55">
        <v>28500</v>
      </c>
      <c r="AS8527" s="78">
        <f t="shared" si="137"/>
        <v>0</v>
      </c>
    </row>
    <row r="8528" spans="39:45">
      <c r="AM8528" s="54">
        <v>2019</v>
      </c>
      <c r="AN8528" s="54" t="s">
        <v>193</v>
      </c>
      <c r="AO8528" s="54">
        <v>22</v>
      </c>
      <c r="AP8528" s="54">
        <v>6</v>
      </c>
      <c r="AQ8528" s="54">
        <v>0</v>
      </c>
      <c r="AR8528" s="55">
        <v>28500</v>
      </c>
      <c r="AS8528" s="78">
        <f t="shared" si="137"/>
        <v>0</v>
      </c>
    </row>
    <row r="8529" spans="39:45">
      <c r="AM8529" s="55">
        <v>2019</v>
      </c>
      <c r="AN8529" s="55" t="s">
        <v>193</v>
      </c>
      <c r="AO8529" s="55">
        <v>22</v>
      </c>
      <c r="AP8529" s="55">
        <v>7</v>
      </c>
      <c r="AQ8529" s="55">
        <v>0</v>
      </c>
      <c r="AR8529" s="55">
        <v>28500</v>
      </c>
      <c r="AS8529" s="78">
        <f t="shared" si="137"/>
        <v>0</v>
      </c>
    </row>
    <row r="8530" spans="39:45">
      <c r="AM8530" s="54">
        <v>2019</v>
      </c>
      <c r="AN8530" s="54" t="s">
        <v>193</v>
      </c>
      <c r="AO8530" s="54">
        <v>22</v>
      </c>
      <c r="AP8530" s="54">
        <v>8</v>
      </c>
      <c r="AQ8530" s="54">
        <v>0</v>
      </c>
      <c r="AR8530" s="55">
        <v>28500</v>
      </c>
      <c r="AS8530" s="78">
        <f t="shared" si="137"/>
        <v>0</v>
      </c>
    </row>
    <row r="8531" spans="39:45">
      <c r="AM8531" s="55">
        <v>2019</v>
      </c>
      <c r="AN8531" s="55" t="s">
        <v>193</v>
      </c>
      <c r="AO8531" s="55">
        <v>22</v>
      </c>
      <c r="AP8531" s="55">
        <v>9</v>
      </c>
      <c r="AQ8531" s="55">
        <v>583.5</v>
      </c>
      <c r="AR8531" s="55">
        <v>28500</v>
      </c>
      <c r="AS8531" s="78">
        <f t="shared" si="137"/>
        <v>2.0473684210526314E-2</v>
      </c>
    </row>
    <row r="8532" spans="39:45">
      <c r="AM8532" s="54">
        <v>2019</v>
      </c>
      <c r="AN8532" s="54" t="s">
        <v>193</v>
      </c>
      <c r="AO8532" s="54">
        <v>22</v>
      </c>
      <c r="AP8532" s="54">
        <v>10</v>
      </c>
      <c r="AQ8532" s="54">
        <v>7583</v>
      </c>
      <c r="AR8532" s="55">
        <v>28500</v>
      </c>
      <c r="AS8532" s="78">
        <f t="shared" si="137"/>
        <v>0.26607017543859651</v>
      </c>
    </row>
    <row r="8533" spans="39:45">
      <c r="AM8533" s="55">
        <v>2019</v>
      </c>
      <c r="AN8533" s="55" t="s">
        <v>193</v>
      </c>
      <c r="AO8533" s="55">
        <v>22</v>
      </c>
      <c r="AP8533" s="55">
        <v>11</v>
      </c>
      <c r="AQ8533" s="55">
        <v>26326</v>
      </c>
      <c r="AR8533" s="55">
        <v>28500</v>
      </c>
      <c r="AS8533" s="78">
        <f t="shared" si="137"/>
        <v>0.92371929824561405</v>
      </c>
    </row>
    <row r="8534" spans="39:45">
      <c r="AM8534" s="54">
        <v>2019</v>
      </c>
      <c r="AN8534" s="54" t="s">
        <v>193</v>
      </c>
      <c r="AO8534" s="54">
        <v>22</v>
      </c>
      <c r="AP8534" s="54">
        <v>12</v>
      </c>
      <c r="AQ8534" s="54">
        <v>23977.5</v>
      </c>
      <c r="AR8534" s="55">
        <v>28500</v>
      </c>
      <c r="AS8534" s="78">
        <f t="shared" si="137"/>
        <v>0.84131578947368424</v>
      </c>
    </row>
    <row r="8535" spans="39:45">
      <c r="AM8535" s="55">
        <v>2019</v>
      </c>
      <c r="AN8535" s="55" t="s">
        <v>193</v>
      </c>
      <c r="AO8535" s="55">
        <v>22</v>
      </c>
      <c r="AP8535" s="55">
        <v>13</v>
      </c>
      <c r="AQ8535" s="55">
        <v>12976</v>
      </c>
      <c r="AR8535" s="55">
        <v>28500</v>
      </c>
      <c r="AS8535" s="78">
        <f t="shared" si="137"/>
        <v>0.45529824561403509</v>
      </c>
    </row>
    <row r="8536" spans="39:45">
      <c r="AM8536" s="54">
        <v>2019</v>
      </c>
      <c r="AN8536" s="54" t="s">
        <v>193</v>
      </c>
      <c r="AO8536" s="54">
        <v>22</v>
      </c>
      <c r="AP8536" s="54">
        <v>14</v>
      </c>
      <c r="AQ8536" s="54">
        <v>4442.5</v>
      </c>
      <c r="AR8536" s="55">
        <v>28500</v>
      </c>
      <c r="AS8536" s="78">
        <f t="shared" si="137"/>
        <v>0.15587719298245614</v>
      </c>
    </row>
    <row r="8537" spans="39:45">
      <c r="AM8537" s="55">
        <v>2019</v>
      </c>
      <c r="AN8537" s="55" t="s">
        <v>193</v>
      </c>
      <c r="AO8537" s="55">
        <v>22</v>
      </c>
      <c r="AP8537" s="55">
        <v>15</v>
      </c>
      <c r="AQ8537" s="55">
        <v>2080.5</v>
      </c>
      <c r="AR8537" s="55">
        <v>28500</v>
      </c>
      <c r="AS8537" s="78">
        <f t="shared" si="137"/>
        <v>7.2999999999999995E-2</v>
      </c>
    </row>
    <row r="8538" spans="39:45">
      <c r="AM8538" s="54">
        <v>2019</v>
      </c>
      <c r="AN8538" s="54" t="s">
        <v>193</v>
      </c>
      <c r="AO8538" s="54">
        <v>22</v>
      </c>
      <c r="AP8538" s="54">
        <v>16</v>
      </c>
      <c r="AQ8538" s="54">
        <v>0</v>
      </c>
      <c r="AR8538" s="55">
        <v>28500</v>
      </c>
      <c r="AS8538" s="78">
        <f t="shared" si="137"/>
        <v>0</v>
      </c>
    </row>
    <row r="8539" spans="39:45">
      <c r="AM8539" s="55">
        <v>2019</v>
      </c>
      <c r="AN8539" s="55" t="s">
        <v>193</v>
      </c>
      <c r="AO8539" s="55">
        <v>22</v>
      </c>
      <c r="AP8539" s="55">
        <v>17</v>
      </c>
      <c r="AQ8539" s="55">
        <v>0</v>
      </c>
      <c r="AR8539" s="55">
        <v>28500</v>
      </c>
      <c r="AS8539" s="78">
        <f t="shared" si="137"/>
        <v>0</v>
      </c>
    </row>
    <row r="8540" spans="39:45">
      <c r="AM8540" s="54">
        <v>2019</v>
      </c>
      <c r="AN8540" s="54" t="s">
        <v>193</v>
      </c>
      <c r="AO8540" s="54">
        <v>22</v>
      </c>
      <c r="AP8540" s="54">
        <v>18</v>
      </c>
      <c r="AQ8540" s="54">
        <v>0</v>
      </c>
      <c r="AR8540" s="55">
        <v>28500</v>
      </c>
      <c r="AS8540" s="78">
        <f t="shared" si="137"/>
        <v>0</v>
      </c>
    </row>
    <row r="8541" spans="39:45">
      <c r="AM8541" s="55">
        <v>2019</v>
      </c>
      <c r="AN8541" s="55" t="s">
        <v>193</v>
      </c>
      <c r="AO8541" s="55">
        <v>22</v>
      </c>
      <c r="AP8541" s="55">
        <v>19</v>
      </c>
      <c r="AQ8541" s="55">
        <v>0</v>
      </c>
      <c r="AR8541" s="55">
        <v>28500</v>
      </c>
      <c r="AS8541" s="78">
        <f t="shared" si="137"/>
        <v>0</v>
      </c>
    </row>
    <row r="8542" spans="39:45">
      <c r="AM8542" s="54">
        <v>2019</v>
      </c>
      <c r="AN8542" s="54" t="s">
        <v>193</v>
      </c>
      <c r="AO8542" s="54">
        <v>22</v>
      </c>
      <c r="AP8542" s="54">
        <v>20</v>
      </c>
      <c r="AQ8542" s="54">
        <v>0</v>
      </c>
      <c r="AR8542" s="55">
        <v>28500</v>
      </c>
      <c r="AS8542" s="78">
        <f t="shared" si="137"/>
        <v>0</v>
      </c>
    </row>
    <row r="8543" spans="39:45">
      <c r="AM8543" s="55">
        <v>2019</v>
      </c>
      <c r="AN8543" s="55" t="s">
        <v>193</v>
      </c>
      <c r="AO8543" s="55">
        <v>22</v>
      </c>
      <c r="AP8543" s="55">
        <v>21</v>
      </c>
      <c r="AQ8543" s="55">
        <v>0</v>
      </c>
      <c r="AR8543" s="55">
        <v>28500</v>
      </c>
      <c r="AS8543" s="78">
        <f t="shared" si="137"/>
        <v>0</v>
      </c>
    </row>
    <row r="8544" spans="39:45">
      <c r="AM8544" s="54">
        <v>2019</v>
      </c>
      <c r="AN8544" s="54" t="s">
        <v>193</v>
      </c>
      <c r="AO8544" s="54">
        <v>22</v>
      </c>
      <c r="AP8544" s="54">
        <v>22</v>
      </c>
      <c r="AQ8544" s="54">
        <v>0</v>
      </c>
      <c r="AR8544" s="55">
        <v>28500</v>
      </c>
      <c r="AS8544" s="78">
        <f t="shared" si="137"/>
        <v>0</v>
      </c>
    </row>
    <row r="8545" spans="39:45">
      <c r="AM8545" s="55">
        <v>2019</v>
      </c>
      <c r="AN8545" s="55" t="s">
        <v>193</v>
      </c>
      <c r="AO8545" s="55">
        <v>22</v>
      </c>
      <c r="AP8545" s="55">
        <v>23</v>
      </c>
      <c r="AQ8545" s="55">
        <v>0</v>
      </c>
      <c r="AR8545" s="55">
        <v>28500</v>
      </c>
      <c r="AS8545" s="78">
        <f t="shared" si="137"/>
        <v>0</v>
      </c>
    </row>
    <row r="8546" spans="39:45">
      <c r="AM8546" s="54">
        <v>2019</v>
      </c>
      <c r="AN8546" s="54" t="s">
        <v>193</v>
      </c>
      <c r="AO8546" s="54">
        <v>23</v>
      </c>
      <c r="AP8546" s="54">
        <v>24</v>
      </c>
      <c r="AQ8546" s="54">
        <v>0</v>
      </c>
      <c r="AR8546" s="55">
        <v>28500</v>
      </c>
      <c r="AS8546" s="78">
        <f t="shared" si="137"/>
        <v>0</v>
      </c>
    </row>
    <row r="8547" spans="39:45">
      <c r="AM8547" s="55">
        <v>2019</v>
      </c>
      <c r="AN8547" s="55" t="s">
        <v>193</v>
      </c>
      <c r="AO8547" s="55">
        <v>23</v>
      </c>
      <c r="AP8547" s="55">
        <v>1</v>
      </c>
      <c r="AQ8547" s="55">
        <v>0</v>
      </c>
      <c r="AR8547" s="55">
        <v>28500</v>
      </c>
      <c r="AS8547" s="78">
        <f t="shared" si="137"/>
        <v>0</v>
      </c>
    </row>
    <row r="8548" spans="39:45">
      <c r="AM8548" s="54">
        <v>2019</v>
      </c>
      <c r="AN8548" s="54" t="s">
        <v>193</v>
      </c>
      <c r="AO8548" s="54">
        <v>23</v>
      </c>
      <c r="AP8548" s="54">
        <v>2</v>
      </c>
      <c r="AQ8548" s="54">
        <v>0</v>
      </c>
      <c r="AR8548" s="55">
        <v>28500</v>
      </c>
      <c r="AS8548" s="78">
        <f t="shared" si="137"/>
        <v>0</v>
      </c>
    </row>
    <row r="8549" spans="39:45">
      <c r="AM8549" s="55">
        <v>2019</v>
      </c>
      <c r="AN8549" s="55" t="s">
        <v>193</v>
      </c>
      <c r="AO8549" s="55">
        <v>23</v>
      </c>
      <c r="AP8549" s="55">
        <v>3</v>
      </c>
      <c r="AQ8549" s="55">
        <v>0</v>
      </c>
      <c r="AR8549" s="55">
        <v>28500</v>
      </c>
      <c r="AS8549" s="78">
        <f t="shared" si="137"/>
        <v>0</v>
      </c>
    </row>
    <row r="8550" spans="39:45">
      <c r="AM8550" s="54">
        <v>2019</v>
      </c>
      <c r="AN8550" s="54" t="s">
        <v>193</v>
      </c>
      <c r="AO8550" s="54">
        <v>23</v>
      </c>
      <c r="AP8550" s="54">
        <v>4</v>
      </c>
      <c r="AQ8550" s="54">
        <v>0</v>
      </c>
      <c r="AR8550" s="55">
        <v>28500</v>
      </c>
      <c r="AS8550" s="78">
        <f t="shared" si="137"/>
        <v>0</v>
      </c>
    </row>
    <row r="8551" spans="39:45">
      <c r="AM8551" s="55">
        <v>2019</v>
      </c>
      <c r="AN8551" s="55" t="s">
        <v>193</v>
      </c>
      <c r="AO8551" s="55">
        <v>23</v>
      </c>
      <c r="AP8551" s="55">
        <v>5</v>
      </c>
      <c r="AQ8551" s="55">
        <v>0</v>
      </c>
      <c r="AR8551" s="55">
        <v>28500</v>
      </c>
      <c r="AS8551" s="78">
        <f t="shared" si="137"/>
        <v>0</v>
      </c>
    </row>
    <row r="8552" spans="39:45">
      <c r="AM8552" s="54">
        <v>2019</v>
      </c>
      <c r="AN8552" s="54" t="s">
        <v>193</v>
      </c>
      <c r="AO8552" s="54">
        <v>23</v>
      </c>
      <c r="AP8552" s="54">
        <v>6</v>
      </c>
      <c r="AQ8552" s="54">
        <v>0</v>
      </c>
      <c r="AR8552" s="55">
        <v>28500</v>
      </c>
      <c r="AS8552" s="78">
        <f t="shared" si="137"/>
        <v>0</v>
      </c>
    </row>
    <row r="8553" spans="39:45">
      <c r="AM8553" s="55">
        <v>2019</v>
      </c>
      <c r="AN8553" s="55" t="s">
        <v>193</v>
      </c>
      <c r="AO8553" s="55">
        <v>23</v>
      </c>
      <c r="AP8553" s="55">
        <v>7</v>
      </c>
      <c r="AQ8553" s="55">
        <v>0</v>
      </c>
      <c r="AR8553" s="55">
        <v>28500</v>
      </c>
      <c r="AS8553" s="78">
        <f t="shared" si="137"/>
        <v>0</v>
      </c>
    </row>
    <row r="8554" spans="39:45">
      <c r="AM8554" s="54">
        <v>2019</v>
      </c>
      <c r="AN8554" s="54" t="s">
        <v>193</v>
      </c>
      <c r="AO8554" s="54">
        <v>23</v>
      </c>
      <c r="AP8554" s="54">
        <v>8</v>
      </c>
      <c r="AQ8554" s="54">
        <v>0</v>
      </c>
      <c r="AR8554" s="55">
        <v>28500</v>
      </c>
      <c r="AS8554" s="78">
        <f t="shared" si="137"/>
        <v>0</v>
      </c>
    </row>
    <row r="8555" spans="39:45">
      <c r="AM8555" s="55">
        <v>2019</v>
      </c>
      <c r="AN8555" s="55" t="s">
        <v>193</v>
      </c>
      <c r="AO8555" s="55">
        <v>23</v>
      </c>
      <c r="AP8555" s="55">
        <v>9</v>
      </c>
      <c r="AQ8555" s="55">
        <v>13770.5</v>
      </c>
      <c r="AR8555" s="55">
        <v>28500</v>
      </c>
      <c r="AS8555" s="78">
        <f t="shared" si="137"/>
        <v>0.4831754385964912</v>
      </c>
    </row>
    <row r="8556" spans="39:45">
      <c r="AM8556" s="54">
        <v>2019</v>
      </c>
      <c r="AN8556" s="54" t="s">
        <v>193</v>
      </c>
      <c r="AO8556" s="54">
        <v>23</v>
      </c>
      <c r="AP8556" s="54">
        <v>10</v>
      </c>
      <c r="AQ8556" s="54">
        <v>23266</v>
      </c>
      <c r="AR8556" s="55">
        <v>28500</v>
      </c>
      <c r="AS8556" s="78">
        <f t="shared" si="137"/>
        <v>0.81635087719298249</v>
      </c>
    </row>
    <row r="8557" spans="39:45">
      <c r="AM8557" s="55">
        <v>2019</v>
      </c>
      <c r="AN8557" s="55" t="s">
        <v>193</v>
      </c>
      <c r="AO8557" s="55">
        <v>23</v>
      </c>
      <c r="AP8557" s="55">
        <v>11</v>
      </c>
      <c r="AQ8557" s="55">
        <v>28455.5</v>
      </c>
      <c r="AR8557" s="55">
        <v>28500</v>
      </c>
      <c r="AS8557" s="78">
        <f t="shared" si="137"/>
        <v>0.99843859649122813</v>
      </c>
    </row>
    <row r="8558" spans="39:45">
      <c r="AM8558" s="54">
        <v>2019</v>
      </c>
      <c r="AN8558" s="54" t="s">
        <v>193</v>
      </c>
      <c r="AO8558" s="54">
        <v>23</v>
      </c>
      <c r="AP8558" s="54">
        <v>12</v>
      </c>
      <c r="AQ8558" s="54">
        <v>27607.5</v>
      </c>
      <c r="AR8558" s="55">
        <v>28500</v>
      </c>
      <c r="AS8558" s="78">
        <f t="shared" si="137"/>
        <v>0.96868421052631581</v>
      </c>
    </row>
    <row r="8559" spans="39:45">
      <c r="AM8559" s="55">
        <v>2019</v>
      </c>
      <c r="AN8559" s="55" t="s">
        <v>193</v>
      </c>
      <c r="AO8559" s="55">
        <v>23</v>
      </c>
      <c r="AP8559" s="55">
        <v>13</v>
      </c>
      <c r="AQ8559" s="55">
        <v>20358.5</v>
      </c>
      <c r="AR8559" s="55">
        <v>28500</v>
      </c>
      <c r="AS8559" s="78">
        <f t="shared" si="137"/>
        <v>0.71433333333333338</v>
      </c>
    </row>
    <row r="8560" spans="39:45">
      <c r="AM8560" s="54">
        <v>2019</v>
      </c>
      <c r="AN8560" s="54" t="s">
        <v>193</v>
      </c>
      <c r="AO8560" s="54">
        <v>23</v>
      </c>
      <c r="AP8560" s="54">
        <v>14</v>
      </c>
      <c r="AQ8560" s="54">
        <v>8941.5</v>
      </c>
      <c r="AR8560" s="55">
        <v>28500</v>
      </c>
      <c r="AS8560" s="78">
        <f t="shared" si="137"/>
        <v>0.31373684210526315</v>
      </c>
    </row>
    <row r="8561" spans="39:45">
      <c r="AM8561" s="55">
        <v>2019</v>
      </c>
      <c r="AN8561" s="55" t="s">
        <v>193</v>
      </c>
      <c r="AO8561" s="55">
        <v>23</v>
      </c>
      <c r="AP8561" s="55">
        <v>15</v>
      </c>
      <c r="AQ8561" s="55">
        <v>10353.5</v>
      </c>
      <c r="AR8561" s="55">
        <v>28500</v>
      </c>
      <c r="AS8561" s="78">
        <f t="shared" si="137"/>
        <v>0.36328070175438598</v>
      </c>
    </row>
    <row r="8562" spans="39:45">
      <c r="AM8562" s="54">
        <v>2019</v>
      </c>
      <c r="AN8562" s="54" t="s">
        <v>193</v>
      </c>
      <c r="AO8562" s="54">
        <v>23</v>
      </c>
      <c r="AP8562" s="54">
        <v>16</v>
      </c>
      <c r="AQ8562" s="54">
        <v>0</v>
      </c>
      <c r="AR8562" s="55">
        <v>28500</v>
      </c>
      <c r="AS8562" s="78">
        <f t="shared" si="137"/>
        <v>0</v>
      </c>
    </row>
    <row r="8563" spans="39:45">
      <c r="AM8563" s="55">
        <v>2019</v>
      </c>
      <c r="AN8563" s="55" t="s">
        <v>193</v>
      </c>
      <c r="AO8563" s="55">
        <v>23</v>
      </c>
      <c r="AP8563" s="55">
        <v>17</v>
      </c>
      <c r="AQ8563" s="55">
        <v>0</v>
      </c>
      <c r="AR8563" s="55">
        <v>28500</v>
      </c>
      <c r="AS8563" s="78">
        <f t="shared" si="137"/>
        <v>0</v>
      </c>
    </row>
    <row r="8564" spans="39:45">
      <c r="AM8564" s="54">
        <v>2019</v>
      </c>
      <c r="AN8564" s="54" t="s">
        <v>193</v>
      </c>
      <c r="AO8564" s="54">
        <v>23</v>
      </c>
      <c r="AP8564" s="54">
        <v>18</v>
      </c>
      <c r="AQ8564" s="54">
        <v>0</v>
      </c>
      <c r="AR8564" s="55">
        <v>28500</v>
      </c>
      <c r="AS8564" s="78">
        <f t="shared" si="137"/>
        <v>0</v>
      </c>
    </row>
    <row r="8565" spans="39:45">
      <c r="AM8565" s="55">
        <v>2019</v>
      </c>
      <c r="AN8565" s="55" t="s">
        <v>193</v>
      </c>
      <c r="AO8565" s="55">
        <v>23</v>
      </c>
      <c r="AP8565" s="55">
        <v>19</v>
      </c>
      <c r="AQ8565" s="55">
        <v>0</v>
      </c>
      <c r="AR8565" s="55">
        <v>28500</v>
      </c>
      <c r="AS8565" s="78">
        <f t="shared" si="137"/>
        <v>0</v>
      </c>
    </row>
    <row r="8566" spans="39:45">
      <c r="AM8566" s="54">
        <v>2019</v>
      </c>
      <c r="AN8566" s="54" t="s">
        <v>193</v>
      </c>
      <c r="AO8566" s="54">
        <v>23</v>
      </c>
      <c r="AP8566" s="54">
        <v>20</v>
      </c>
      <c r="AQ8566" s="54">
        <v>0</v>
      </c>
      <c r="AR8566" s="55">
        <v>28500</v>
      </c>
      <c r="AS8566" s="78">
        <f t="shared" si="137"/>
        <v>0</v>
      </c>
    </row>
    <row r="8567" spans="39:45">
      <c r="AM8567" s="55">
        <v>2019</v>
      </c>
      <c r="AN8567" s="55" t="s">
        <v>193</v>
      </c>
      <c r="AO8567" s="55">
        <v>23</v>
      </c>
      <c r="AP8567" s="55">
        <v>21</v>
      </c>
      <c r="AQ8567" s="55">
        <v>0</v>
      </c>
      <c r="AR8567" s="55">
        <v>28500</v>
      </c>
      <c r="AS8567" s="78">
        <f t="shared" si="137"/>
        <v>0</v>
      </c>
    </row>
    <row r="8568" spans="39:45">
      <c r="AM8568" s="54">
        <v>2019</v>
      </c>
      <c r="AN8568" s="54" t="s">
        <v>193</v>
      </c>
      <c r="AO8568" s="54">
        <v>23</v>
      </c>
      <c r="AP8568" s="54">
        <v>22</v>
      </c>
      <c r="AQ8568" s="54">
        <v>0</v>
      </c>
      <c r="AR8568" s="55">
        <v>28500</v>
      </c>
      <c r="AS8568" s="78">
        <f t="shared" si="137"/>
        <v>0</v>
      </c>
    </row>
    <row r="8569" spans="39:45">
      <c r="AM8569" s="55">
        <v>2019</v>
      </c>
      <c r="AN8569" s="55" t="s">
        <v>193</v>
      </c>
      <c r="AO8569" s="55">
        <v>23</v>
      </c>
      <c r="AP8569" s="55">
        <v>23</v>
      </c>
      <c r="AQ8569" s="55">
        <v>0</v>
      </c>
      <c r="AR8569" s="55">
        <v>28500</v>
      </c>
      <c r="AS8569" s="78">
        <f t="shared" si="137"/>
        <v>0</v>
      </c>
    </row>
    <row r="8570" spans="39:45">
      <c r="AM8570" s="54">
        <v>2019</v>
      </c>
      <c r="AN8570" s="54" t="s">
        <v>193</v>
      </c>
      <c r="AO8570" s="54">
        <v>24</v>
      </c>
      <c r="AP8570" s="54">
        <v>24</v>
      </c>
      <c r="AQ8570" s="54">
        <v>0</v>
      </c>
      <c r="AR8570" s="55">
        <v>28500</v>
      </c>
      <c r="AS8570" s="78">
        <f t="shared" si="137"/>
        <v>0</v>
      </c>
    </row>
    <row r="8571" spans="39:45">
      <c r="AM8571" s="55">
        <v>2019</v>
      </c>
      <c r="AN8571" s="55" t="s">
        <v>193</v>
      </c>
      <c r="AO8571" s="55">
        <v>24</v>
      </c>
      <c r="AP8571" s="55">
        <v>1</v>
      </c>
      <c r="AQ8571" s="55">
        <v>0</v>
      </c>
      <c r="AR8571" s="55">
        <v>28500</v>
      </c>
      <c r="AS8571" s="78">
        <f t="shared" si="137"/>
        <v>0</v>
      </c>
    </row>
    <row r="8572" spans="39:45">
      <c r="AM8572" s="54">
        <v>2019</v>
      </c>
      <c r="AN8572" s="54" t="s">
        <v>193</v>
      </c>
      <c r="AO8572" s="54">
        <v>24</v>
      </c>
      <c r="AP8572" s="54">
        <v>2</v>
      </c>
      <c r="AQ8572" s="54">
        <v>0</v>
      </c>
      <c r="AR8572" s="55">
        <v>28500</v>
      </c>
      <c r="AS8572" s="78">
        <f t="shared" si="137"/>
        <v>0</v>
      </c>
    </row>
    <row r="8573" spans="39:45">
      <c r="AM8573" s="55">
        <v>2019</v>
      </c>
      <c r="AN8573" s="55" t="s">
        <v>193</v>
      </c>
      <c r="AO8573" s="55">
        <v>24</v>
      </c>
      <c r="AP8573" s="55">
        <v>3</v>
      </c>
      <c r="AQ8573" s="55">
        <v>0</v>
      </c>
      <c r="AR8573" s="55">
        <v>28500</v>
      </c>
      <c r="AS8573" s="78">
        <f t="shared" si="137"/>
        <v>0</v>
      </c>
    </row>
    <row r="8574" spans="39:45">
      <c r="AM8574" s="54">
        <v>2019</v>
      </c>
      <c r="AN8574" s="54" t="s">
        <v>193</v>
      </c>
      <c r="AO8574" s="54">
        <v>24</v>
      </c>
      <c r="AP8574" s="54">
        <v>4</v>
      </c>
      <c r="AQ8574" s="54">
        <v>0</v>
      </c>
      <c r="AR8574" s="55">
        <v>28500</v>
      </c>
      <c r="AS8574" s="78">
        <f t="shared" si="137"/>
        <v>0</v>
      </c>
    </row>
    <row r="8575" spans="39:45">
      <c r="AM8575" s="55">
        <v>2019</v>
      </c>
      <c r="AN8575" s="55" t="s">
        <v>193</v>
      </c>
      <c r="AO8575" s="55">
        <v>24</v>
      </c>
      <c r="AP8575" s="55">
        <v>5</v>
      </c>
      <c r="AQ8575" s="55">
        <v>0</v>
      </c>
      <c r="AR8575" s="55">
        <v>28500</v>
      </c>
      <c r="AS8575" s="78">
        <f t="shared" si="137"/>
        <v>0</v>
      </c>
    </row>
    <row r="8576" spans="39:45">
      <c r="AM8576" s="54">
        <v>2019</v>
      </c>
      <c r="AN8576" s="54" t="s">
        <v>193</v>
      </c>
      <c r="AO8576" s="54">
        <v>24</v>
      </c>
      <c r="AP8576" s="54">
        <v>6</v>
      </c>
      <c r="AQ8576" s="54">
        <v>0</v>
      </c>
      <c r="AR8576" s="55">
        <v>28500</v>
      </c>
      <c r="AS8576" s="78">
        <f t="shared" si="137"/>
        <v>0</v>
      </c>
    </row>
    <row r="8577" spans="39:45">
      <c r="AM8577" s="55">
        <v>2019</v>
      </c>
      <c r="AN8577" s="55" t="s">
        <v>193</v>
      </c>
      <c r="AO8577" s="55">
        <v>24</v>
      </c>
      <c r="AP8577" s="55">
        <v>7</v>
      </c>
      <c r="AQ8577" s="55">
        <v>0</v>
      </c>
      <c r="AR8577" s="55">
        <v>28500</v>
      </c>
      <c r="AS8577" s="78">
        <f t="shared" si="137"/>
        <v>0</v>
      </c>
    </row>
    <row r="8578" spans="39:45">
      <c r="AM8578" s="54">
        <v>2019</v>
      </c>
      <c r="AN8578" s="54" t="s">
        <v>193</v>
      </c>
      <c r="AO8578" s="54">
        <v>24</v>
      </c>
      <c r="AP8578" s="54">
        <v>8</v>
      </c>
      <c r="AQ8578" s="54">
        <v>0</v>
      </c>
      <c r="AR8578" s="55">
        <v>28500</v>
      </c>
      <c r="AS8578" s="78">
        <f t="shared" ref="AS8578:AS8641" si="138">AQ8578/AR8578</f>
        <v>0</v>
      </c>
    </row>
    <row r="8579" spans="39:45">
      <c r="AM8579" s="55">
        <v>2019</v>
      </c>
      <c r="AN8579" s="55" t="s">
        <v>193</v>
      </c>
      <c r="AO8579" s="55">
        <v>24</v>
      </c>
      <c r="AP8579" s="55">
        <v>9</v>
      </c>
      <c r="AQ8579" s="55">
        <v>10998</v>
      </c>
      <c r="AR8579" s="55">
        <v>28500</v>
      </c>
      <c r="AS8579" s="78">
        <f t="shared" si="138"/>
        <v>0.38589473684210529</v>
      </c>
    </row>
    <row r="8580" spans="39:45">
      <c r="AM8580" s="54">
        <v>2019</v>
      </c>
      <c r="AN8580" s="54" t="s">
        <v>193</v>
      </c>
      <c r="AO8580" s="54">
        <v>24</v>
      </c>
      <c r="AP8580" s="54">
        <v>10</v>
      </c>
      <c r="AQ8580" s="54">
        <v>2397</v>
      </c>
      <c r="AR8580" s="55">
        <v>28500</v>
      </c>
      <c r="AS8580" s="78">
        <f t="shared" si="138"/>
        <v>8.4105263157894739E-2</v>
      </c>
    </row>
    <row r="8581" spans="39:45">
      <c r="AM8581" s="55">
        <v>2019</v>
      </c>
      <c r="AN8581" s="55" t="s">
        <v>193</v>
      </c>
      <c r="AO8581" s="55">
        <v>24</v>
      </c>
      <c r="AP8581" s="55">
        <v>11</v>
      </c>
      <c r="AQ8581" s="55">
        <v>25926.5</v>
      </c>
      <c r="AR8581" s="55">
        <v>28500</v>
      </c>
      <c r="AS8581" s="78">
        <f t="shared" si="138"/>
        <v>0.9097017543859649</v>
      </c>
    </row>
    <row r="8582" spans="39:45">
      <c r="AM8582" s="54">
        <v>2019</v>
      </c>
      <c r="AN8582" s="54" t="s">
        <v>193</v>
      </c>
      <c r="AO8582" s="54">
        <v>24</v>
      </c>
      <c r="AP8582" s="54">
        <v>12</v>
      </c>
      <c r="AQ8582" s="54">
        <v>13326.5</v>
      </c>
      <c r="AR8582" s="55">
        <v>28500</v>
      </c>
      <c r="AS8582" s="78">
        <f t="shared" si="138"/>
        <v>0.46759649122807018</v>
      </c>
    </row>
    <row r="8583" spans="39:45">
      <c r="AM8583" s="55">
        <v>2019</v>
      </c>
      <c r="AN8583" s="55" t="s">
        <v>193</v>
      </c>
      <c r="AO8583" s="55">
        <v>24</v>
      </c>
      <c r="AP8583" s="55">
        <v>13</v>
      </c>
      <c r="AQ8583" s="55">
        <v>17458.5</v>
      </c>
      <c r="AR8583" s="55">
        <v>28500</v>
      </c>
      <c r="AS8583" s="78">
        <f t="shared" si="138"/>
        <v>0.612578947368421</v>
      </c>
    </row>
    <row r="8584" spans="39:45">
      <c r="AM8584" s="54">
        <v>2019</v>
      </c>
      <c r="AN8584" s="54" t="s">
        <v>193</v>
      </c>
      <c r="AO8584" s="54">
        <v>24</v>
      </c>
      <c r="AP8584" s="54">
        <v>14</v>
      </c>
      <c r="AQ8584" s="54">
        <v>2536</v>
      </c>
      <c r="AR8584" s="55">
        <v>28500</v>
      </c>
      <c r="AS8584" s="78">
        <f t="shared" si="138"/>
        <v>8.8982456140350871E-2</v>
      </c>
    </row>
    <row r="8585" spans="39:45">
      <c r="AM8585" s="55">
        <v>2019</v>
      </c>
      <c r="AN8585" s="55" t="s">
        <v>193</v>
      </c>
      <c r="AO8585" s="55">
        <v>24</v>
      </c>
      <c r="AP8585" s="55">
        <v>15</v>
      </c>
      <c r="AQ8585" s="55">
        <v>5921</v>
      </c>
      <c r="AR8585" s="55">
        <v>28500</v>
      </c>
      <c r="AS8585" s="78">
        <f t="shared" si="138"/>
        <v>0.20775438596491227</v>
      </c>
    </row>
    <row r="8586" spans="39:45">
      <c r="AM8586" s="54">
        <v>2019</v>
      </c>
      <c r="AN8586" s="54" t="s">
        <v>193</v>
      </c>
      <c r="AO8586" s="54">
        <v>24</v>
      </c>
      <c r="AP8586" s="54">
        <v>16</v>
      </c>
      <c r="AQ8586" s="54">
        <v>0</v>
      </c>
      <c r="AR8586" s="55">
        <v>28500</v>
      </c>
      <c r="AS8586" s="78">
        <f t="shared" si="138"/>
        <v>0</v>
      </c>
    </row>
    <row r="8587" spans="39:45">
      <c r="AM8587" s="55">
        <v>2019</v>
      </c>
      <c r="AN8587" s="55" t="s">
        <v>193</v>
      </c>
      <c r="AO8587" s="55">
        <v>24</v>
      </c>
      <c r="AP8587" s="55">
        <v>17</v>
      </c>
      <c r="AQ8587" s="55">
        <v>0</v>
      </c>
      <c r="AR8587" s="55">
        <v>28500</v>
      </c>
      <c r="AS8587" s="78">
        <f t="shared" si="138"/>
        <v>0</v>
      </c>
    </row>
    <row r="8588" spans="39:45">
      <c r="AM8588" s="54">
        <v>2019</v>
      </c>
      <c r="AN8588" s="54" t="s">
        <v>193</v>
      </c>
      <c r="AO8588" s="54">
        <v>24</v>
      </c>
      <c r="AP8588" s="54">
        <v>18</v>
      </c>
      <c r="AQ8588" s="54">
        <v>0</v>
      </c>
      <c r="AR8588" s="55">
        <v>28500</v>
      </c>
      <c r="AS8588" s="78">
        <f t="shared" si="138"/>
        <v>0</v>
      </c>
    </row>
    <row r="8589" spans="39:45">
      <c r="AM8589" s="55">
        <v>2019</v>
      </c>
      <c r="AN8589" s="55" t="s">
        <v>193</v>
      </c>
      <c r="AO8589" s="55">
        <v>24</v>
      </c>
      <c r="AP8589" s="55">
        <v>19</v>
      </c>
      <c r="AQ8589" s="55">
        <v>0</v>
      </c>
      <c r="AR8589" s="55">
        <v>28500</v>
      </c>
      <c r="AS8589" s="78">
        <f t="shared" si="138"/>
        <v>0</v>
      </c>
    </row>
    <row r="8590" spans="39:45">
      <c r="AM8590" s="54">
        <v>2019</v>
      </c>
      <c r="AN8590" s="54" t="s">
        <v>193</v>
      </c>
      <c r="AO8590" s="54">
        <v>24</v>
      </c>
      <c r="AP8590" s="54">
        <v>20</v>
      </c>
      <c r="AQ8590" s="54">
        <v>0</v>
      </c>
      <c r="AR8590" s="55">
        <v>28500</v>
      </c>
      <c r="AS8590" s="78">
        <f t="shared" si="138"/>
        <v>0</v>
      </c>
    </row>
    <row r="8591" spans="39:45">
      <c r="AM8591" s="55">
        <v>2019</v>
      </c>
      <c r="AN8591" s="55" t="s">
        <v>193</v>
      </c>
      <c r="AO8591" s="55">
        <v>24</v>
      </c>
      <c r="AP8591" s="55">
        <v>21</v>
      </c>
      <c r="AQ8591" s="55">
        <v>0</v>
      </c>
      <c r="AR8591" s="55">
        <v>28500</v>
      </c>
      <c r="AS8591" s="78">
        <f t="shared" si="138"/>
        <v>0</v>
      </c>
    </row>
    <row r="8592" spans="39:45">
      <c r="AM8592" s="54">
        <v>2019</v>
      </c>
      <c r="AN8592" s="54" t="s">
        <v>193</v>
      </c>
      <c r="AO8592" s="54">
        <v>24</v>
      </c>
      <c r="AP8592" s="54">
        <v>22</v>
      </c>
      <c r="AQ8592" s="54">
        <v>0</v>
      </c>
      <c r="AR8592" s="55">
        <v>28500</v>
      </c>
      <c r="AS8592" s="78">
        <f t="shared" si="138"/>
        <v>0</v>
      </c>
    </row>
    <row r="8593" spans="39:45">
      <c r="AM8593" s="55">
        <v>2019</v>
      </c>
      <c r="AN8593" s="55" t="s">
        <v>193</v>
      </c>
      <c r="AO8593" s="55">
        <v>24</v>
      </c>
      <c r="AP8593" s="55">
        <v>23</v>
      </c>
      <c r="AQ8593" s="55">
        <v>0</v>
      </c>
      <c r="AR8593" s="55">
        <v>28500</v>
      </c>
      <c r="AS8593" s="78">
        <f t="shared" si="138"/>
        <v>0</v>
      </c>
    </row>
    <row r="8594" spans="39:45">
      <c r="AM8594" s="54">
        <v>2019</v>
      </c>
      <c r="AN8594" s="54" t="s">
        <v>193</v>
      </c>
      <c r="AO8594" s="54">
        <v>25</v>
      </c>
      <c r="AP8594" s="54">
        <v>24</v>
      </c>
      <c r="AQ8594" s="54">
        <v>0</v>
      </c>
      <c r="AR8594" s="55">
        <v>28500</v>
      </c>
      <c r="AS8594" s="78">
        <f t="shared" si="138"/>
        <v>0</v>
      </c>
    </row>
    <row r="8595" spans="39:45">
      <c r="AM8595" s="55">
        <v>2019</v>
      </c>
      <c r="AN8595" s="55" t="s">
        <v>193</v>
      </c>
      <c r="AO8595" s="55">
        <v>25</v>
      </c>
      <c r="AP8595" s="55">
        <v>1</v>
      </c>
      <c r="AQ8595" s="55">
        <v>0</v>
      </c>
      <c r="AR8595" s="55">
        <v>28500</v>
      </c>
      <c r="AS8595" s="78">
        <f t="shared" si="138"/>
        <v>0</v>
      </c>
    </row>
    <row r="8596" spans="39:45">
      <c r="AM8596" s="54">
        <v>2019</v>
      </c>
      <c r="AN8596" s="54" t="s">
        <v>193</v>
      </c>
      <c r="AO8596" s="54">
        <v>25</v>
      </c>
      <c r="AP8596" s="54">
        <v>2</v>
      </c>
      <c r="AQ8596" s="54">
        <v>0</v>
      </c>
      <c r="AR8596" s="55">
        <v>28500</v>
      </c>
      <c r="AS8596" s="78">
        <f t="shared" si="138"/>
        <v>0</v>
      </c>
    </row>
    <row r="8597" spans="39:45">
      <c r="AM8597" s="55">
        <v>2019</v>
      </c>
      <c r="AN8597" s="55" t="s">
        <v>193</v>
      </c>
      <c r="AO8597" s="55">
        <v>25</v>
      </c>
      <c r="AP8597" s="55">
        <v>3</v>
      </c>
      <c r="AQ8597" s="55">
        <v>0</v>
      </c>
      <c r="AR8597" s="55">
        <v>28500</v>
      </c>
      <c r="AS8597" s="78">
        <f t="shared" si="138"/>
        <v>0</v>
      </c>
    </row>
    <row r="8598" spans="39:45">
      <c r="AM8598" s="54">
        <v>2019</v>
      </c>
      <c r="AN8598" s="54" t="s">
        <v>193</v>
      </c>
      <c r="AO8598" s="54">
        <v>25</v>
      </c>
      <c r="AP8598" s="54">
        <v>4</v>
      </c>
      <c r="AQ8598" s="54">
        <v>0</v>
      </c>
      <c r="AR8598" s="55">
        <v>28500</v>
      </c>
      <c r="AS8598" s="78">
        <f t="shared" si="138"/>
        <v>0</v>
      </c>
    </row>
    <row r="8599" spans="39:45">
      <c r="AM8599" s="55">
        <v>2019</v>
      </c>
      <c r="AN8599" s="55" t="s">
        <v>193</v>
      </c>
      <c r="AO8599" s="55">
        <v>25</v>
      </c>
      <c r="AP8599" s="55">
        <v>5</v>
      </c>
      <c r="AQ8599" s="55">
        <v>0</v>
      </c>
      <c r="AR8599" s="55">
        <v>28500</v>
      </c>
      <c r="AS8599" s="78">
        <f t="shared" si="138"/>
        <v>0</v>
      </c>
    </row>
    <row r="8600" spans="39:45">
      <c r="AM8600" s="54">
        <v>2019</v>
      </c>
      <c r="AN8600" s="54" t="s">
        <v>193</v>
      </c>
      <c r="AO8600" s="54">
        <v>25</v>
      </c>
      <c r="AP8600" s="54">
        <v>6</v>
      </c>
      <c r="AQ8600" s="54">
        <v>0</v>
      </c>
      <c r="AR8600" s="55">
        <v>28500</v>
      </c>
      <c r="AS8600" s="78">
        <f t="shared" si="138"/>
        <v>0</v>
      </c>
    </row>
    <row r="8601" spans="39:45">
      <c r="AM8601" s="55">
        <v>2019</v>
      </c>
      <c r="AN8601" s="55" t="s">
        <v>193</v>
      </c>
      <c r="AO8601" s="55">
        <v>25</v>
      </c>
      <c r="AP8601" s="55">
        <v>7</v>
      </c>
      <c r="AQ8601" s="55">
        <v>0</v>
      </c>
      <c r="AR8601" s="55">
        <v>28500</v>
      </c>
      <c r="AS8601" s="78">
        <f t="shared" si="138"/>
        <v>0</v>
      </c>
    </row>
    <row r="8602" spans="39:45">
      <c r="AM8602" s="54">
        <v>2019</v>
      </c>
      <c r="AN8602" s="54" t="s">
        <v>193</v>
      </c>
      <c r="AO8602" s="54">
        <v>25</v>
      </c>
      <c r="AP8602" s="54">
        <v>8</v>
      </c>
      <c r="AQ8602" s="54">
        <v>0</v>
      </c>
      <c r="AR8602" s="55">
        <v>28500</v>
      </c>
      <c r="AS8602" s="78">
        <f t="shared" si="138"/>
        <v>0</v>
      </c>
    </row>
    <row r="8603" spans="39:45">
      <c r="AM8603" s="55">
        <v>2019</v>
      </c>
      <c r="AN8603" s="55" t="s">
        <v>193</v>
      </c>
      <c r="AO8603" s="55">
        <v>25</v>
      </c>
      <c r="AP8603" s="55">
        <v>9</v>
      </c>
      <c r="AQ8603" s="55">
        <v>13283.5</v>
      </c>
      <c r="AR8603" s="55">
        <v>28500</v>
      </c>
      <c r="AS8603" s="78">
        <f t="shared" si="138"/>
        <v>0.46608771929824561</v>
      </c>
    </row>
    <row r="8604" spans="39:45">
      <c r="AM8604" s="54">
        <v>2019</v>
      </c>
      <c r="AN8604" s="54" t="s">
        <v>193</v>
      </c>
      <c r="AO8604" s="54">
        <v>25</v>
      </c>
      <c r="AP8604" s="54">
        <v>10</v>
      </c>
      <c r="AQ8604" s="54">
        <v>22186.5</v>
      </c>
      <c r="AR8604" s="55">
        <v>28500</v>
      </c>
      <c r="AS8604" s="78">
        <f t="shared" si="138"/>
        <v>0.77847368421052632</v>
      </c>
    </row>
    <row r="8605" spans="39:45">
      <c r="AM8605" s="55">
        <v>2019</v>
      </c>
      <c r="AN8605" s="55" t="s">
        <v>193</v>
      </c>
      <c r="AO8605" s="55">
        <v>25</v>
      </c>
      <c r="AP8605" s="55">
        <v>11</v>
      </c>
      <c r="AQ8605" s="55">
        <v>28171.5</v>
      </c>
      <c r="AR8605" s="55">
        <v>28500</v>
      </c>
      <c r="AS8605" s="78">
        <f t="shared" si="138"/>
        <v>0.98847368421052628</v>
      </c>
    </row>
    <row r="8606" spans="39:45">
      <c r="AM8606" s="54">
        <v>2019</v>
      </c>
      <c r="AN8606" s="54" t="s">
        <v>193</v>
      </c>
      <c r="AO8606" s="54">
        <v>25</v>
      </c>
      <c r="AP8606" s="54">
        <v>12</v>
      </c>
      <c r="AQ8606" s="54">
        <v>28970.5</v>
      </c>
      <c r="AR8606" s="55">
        <v>28500</v>
      </c>
      <c r="AS8606" s="78">
        <f t="shared" si="138"/>
        <v>1.0165087719298245</v>
      </c>
    </row>
    <row r="8607" spans="39:45">
      <c r="AM8607" s="55">
        <v>2019</v>
      </c>
      <c r="AN8607" s="55" t="s">
        <v>193</v>
      </c>
      <c r="AO8607" s="55">
        <v>25</v>
      </c>
      <c r="AP8607" s="55">
        <v>13</v>
      </c>
      <c r="AQ8607" s="55">
        <v>25106.5</v>
      </c>
      <c r="AR8607" s="55">
        <v>28500</v>
      </c>
      <c r="AS8607" s="78">
        <f t="shared" si="138"/>
        <v>0.88092982456140356</v>
      </c>
    </row>
    <row r="8608" spans="39:45">
      <c r="AM8608" s="54">
        <v>2019</v>
      </c>
      <c r="AN8608" s="54" t="s">
        <v>193</v>
      </c>
      <c r="AO8608" s="54">
        <v>25</v>
      </c>
      <c r="AP8608" s="54">
        <v>14</v>
      </c>
      <c r="AQ8608" s="54">
        <v>19354.5</v>
      </c>
      <c r="AR8608" s="55">
        <v>28500</v>
      </c>
      <c r="AS8608" s="78">
        <f t="shared" si="138"/>
        <v>0.67910526315789477</v>
      </c>
    </row>
    <row r="8609" spans="39:45">
      <c r="AM8609" s="55">
        <v>2019</v>
      </c>
      <c r="AN8609" s="55" t="s">
        <v>193</v>
      </c>
      <c r="AO8609" s="55">
        <v>25</v>
      </c>
      <c r="AP8609" s="55">
        <v>15</v>
      </c>
      <c r="AQ8609" s="55">
        <v>8600.5</v>
      </c>
      <c r="AR8609" s="55">
        <v>28500</v>
      </c>
      <c r="AS8609" s="78">
        <f t="shared" si="138"/>
        <v>0.30177192982456141</v>
      </c>
    </row>
    <row r="8610" spans="39:45">
      <c r="AM8610" s="54">
        <v>2019</v>
      </c>
      <c r="AN8610" s="54" t="s">
        <v>193</v>
      </c>
      <c r="AO8610" s="54">
        <v>25</v>
      </c>
      <c r="AP8610" s="54">
        <v>16</v>
      </c>
      <c r="AQ8610" s="54">
        <v>0</v>
      </c>
      <c r="AR8610" s="55">
        <v>28500</v>
      </c>
      <c r="AS8610" s="78">
        <f t="shared" si="138"/>
        <v>0</v>
      </c>
    </row>
    <row r="8611" spans="39:45">
      <c r="AM8611" s="55">
        <v>2019</v>
      </c>
      <c r="AN8611" s="55" t="s">
        <v>193</v>
      </c>
      <c r="AO8611" s="55">
        <v>25</v>
      </c>
      <c r="AP8611" s="55">
        <v>17</v>
      </c>
      <c r="AQ8611" s="55">
        <v>0</v>
      </c>
      <c r="AR8611" s="55">
        <v>28500</v>
      </c>
      <c r="AS8611" s="78">
        <f t="shared" si="138"/>
        <v>0</v>
      </c>
    </row>
    <row r="8612" spans="39:45">
      <c r="AM8612" s="54">
        <v>2019</v>
      </c>
      <c r="AN8612" s="54" t="s">
        <v>193</v>
      </c>
      <c r="AO8612" s="54">
        <v>25</v>
      </c>
      <c r="AP8612" s="54">
        <v>18</v>
      </c>
      <c r="AQ8612" s="54">
        <v>0</v>
      </c>
      <c r="AR8612" s="55">
        <v>28500</v>
      </c>
      <c r="AS8612" s="78">
        <f t="shared" si="138"/>
        <v>0</v>
      </c>
    </row>
    <row r="8613" spans="39:45">
      <c r="AM8613" s="55">
        <v>2019</v>
      </c>
      <c r="AN8613" s="55" t="s">
        <v>193</v>
      </c>
      <c r="AO8613" s="55">
        <v>25</v>
      </c>
      <c r="AP8613" s="55">
        <v>19</v>
      </c>
      <c r="AQ8613" s="55">
        <v>0</v>
      </c>
      <c r="AR8613" s="55">
        <v>28500</v>
      </c>
      <c r="AS8613" s="78">
        <f t="shared" si="138"/>
        <v>0</v>
      </c>
    </row>
    <row r="8614" spans="39:45">
      <c r="AM8614" s="54">
        <v>2019</v>
      </c>
      <c r="AN8614" s="54" t="s">
        <v>193</v>
      </c>
      <c r="AO8614" s="54">
        <v>25</v>
      </c>
      <c r="AP8614" s="54">
        <v>20</v>
      </c>
      <c r="AQ8614" s="54">
        <v>0</v>
      </c>
      <c r="AR8614" s="55">
        <v>28500</v>
      </c>
      <c r="AS8614" s="78">
        <f t="shared" si="138"/>
        <v>0</v>
      </c>
    </row>
    <row r="8615" spans="39:45">
      <c r="AM8615" s="55">
        <v>2019</v>
      </c>
      <c r="AN8615" s="55" t="s">
        <v>193</v>
      </c>
      <c r="AO8615" s="55">
        <v>25</v>
      </c>
      <c r="AP8615" s="55">
        <v>21</v>
      </c>
      <c r="AQ8615" s="55">
        <v>0</v>
      </c>
      <c r="AR8615" s="55">
        <v>28500</v>
      </c>
      <c r="AS8615" s="78">
        <f t="shared" si="138"/>
        <v>0</v>
      </c>
    </row>
    <row r="8616" spans="39:45">
      <c r="AM8616" s="54">
        <v>2019</v>
      </c>
      <c r="AN8616" s="54" t="s">
        <v>193</v>
      </c>
      <c r="AO8616" s="54">
        <v>25</v>
      </c>
      <c r="AP8616" s="54">
        <v>22</v>
      </c>
      <c r="AQ8616" s="54">
        <v>0</v>
      </c>
      <c r="AR8616" s="55">
        <v>28500</v>
      </c>
      <c r="AS8616" s="78">
        <f t="shared" si="138"/>
        <v>0</v>
      </c>
    </row>
    <row r="8617" spans="39:45">
      <c r="AM8617" s="55">
        <v>2019</v>
      </c>
      <c r="AN8617" s="55" t="s">
        <v>193</v>
      </c>
      <c r="AO8617" s="55">
        <v>25</v>
      </c>
      <c r="AP8617" s="55">
        <v>23</v>
      </c>
      <c r="AQ8617" s="55">
        <v>0</v>
      </c>
      <c r="AR8617" s="55">
        <v>28500</v>
      </c>
      <c r="AS8617" s="78">
        <f t="shared" si="138"/>
        <v>0</v>
      </c>
    </row>
    <row r="8618" spans="39:45">
      <c r="AM8618" s="54">
        <v>2019</v>
      </c>
      <c r="AN8618" s="54" t="s">
        <v>193</v>
      </c>
      <c r="AO8618" s="54">
        <v>26</v>
      </c>
      <c r="AP8618" s="54">
        <v>24</v>
      </c>
      <c r="AQ8618" s="54">
        <v>0</v>
      </c>
      <c r="AR8618" s="55">
        <v>28500</v>
      </c>
      <c r="AS8618" s="78">
        <f t="shared" si="138"/>
        <v>0</v>
      </c>
    </row>
    <row r="8619" spans="39:45">
      <c r="AM8619" s="55">
        <v>2019</v>
      </c>
      <c r="AN8619" s="55" t="s">
        <v>193</v>
      </c>
      <c r="AO8619" s="55">
        <v>26</v>
      </c>
      <c r="AP8619" s="55">
        <v>1</v>
      </c>
      <c r="AQ8619" s="55">
        <v>0</v>
      </c>
      <c r="AR8619" s="55">
        <v>28500</v>
      </c>
      <c r="AS8619" s="78">
        <f t="shared" si="138"/>
        <v>0</v>
      </c>
    </row>
    <row r="8620" spans="39:45">
      <c r="AM8620" s="54">
        <v>2019</v>
      </c>
      <c r="AN8620" s="54" t="s">
        <v>193</v>
      </c>
      <c r="AO8620" s="54">
        <v>26</v>
      </c>
      <c r="AP8620" s="54">
        <v>2</v>
      </c>
      <c r="AQ8620" s="54">
        <v>0</v>
      </c>
      <c r="AR8620" s="55">
        <v>28500</v>
      </c>
      <c r="AS8620" s="78">
        <f t="shared" si="138"/>
        <v>0</v>
      </c>
    </row>
    <row r="8621" spans="39:45">
      <c r="AM8621" s="55">
        <v>2019</v>
      </c>
      <c r="AN8621" s="55" t="s">
        <v>193</v>
      </c>
      <c r="AO8621" s="55">
        <v>26</v>
      </c>
      <c r="AP8621" s="55">
        <v>3</v>
      </c>
      <c r="AQ8621" s="55">
        <v>0</v>
      </c>
      <c r="AR8621" s="55">
        <v>28500</v>
      </c>
      <c r="AS8621" s="78">
        <f t="shared" si="138"/>
        <v>0</v>
      </c>
    </row>
    <row r="8622" spans="39:45">
      <c r="AM8622" s="54">
        <v>2019</v>
      </c>
      <c r="AN8622" s="54" t="s">
        <v>193</v>
      </c>
      <c r="AO8622" s="54">
        <v>26</v>
      </c>
      <c r="AP8622" s="54">
        <v>4</v>
      </c>
      <c r="AQ8622" s="54">
        <v>0</v>
      </c>
      <c r="AR8622" s="55">
        <v>28500</v>
      </c>
      <c r="AS8622" s="78">
        <f t="shared" si="138"/>
        <v>0</v>
      </c>
    </row>
    <row r="8623" spans="39:45">
      <c r="AM8623" s="55">
        <v>2019</v>
      </c>
      <c r="AN8623" s="55" t="s">
        <v>193</v>
      </c>
      <c r="AO8623" s="55">
        <v>26</v>
      </c>
      <c r="AP8623" s="55">
        <v>5</v>
      </c>
      <c r="AQ8623" s="55">
        <v>0</v>
      </c>
      <c r="AR8623" s="55">
        <v>28500</v>
      </c>
      <c r="AS8623" s="78">
        <f t="shared" si="138"/>
        <v>0</v>
      </c>
    </row>
    <row r="8624" spans="39:45">
      <c r="AM8624" s="54">
        <v>2019</v>
      </c>
      <c r="AN8624" s="54" t="s">
        <v>193</v>
      </c>
      <c r="AO8624" s="54">
        <v>26</v>
      </c>
      <c r="AP8624" s="54">
        <v>6</v>
      </c>
      <c r="AQ8624" s="54">
        <v>0</v>
      </c>
      <c r="AR8624" s="55">
        <v>28500</v>
      </c>
      <c r="AS8624" s="78">
        <f t="shared" si="138"/>
        <v>0</v>
      </c>
    </row>
    <row r="8625" spans="39:45">
      <c r="AM8625" s="55">
        <v>2019</v>
      </c>
      <c r="AN8625" s="55" t="s">
        <v>193</v>
      </c>
      <c r="AO8625" s="55">
        <v>26</v>
      </c>
      <c r="AP8625" s="55">
        <v>7</v>
      </c>
      <c r="AQ8625" s="55">
        <v>0</v>
      </c>
      <c r="AR8625" s="55">
        <v>28500</v>
      </c>
      <c r="AS8625" s="78">
        <f t="shared" si="138"/>
        <v>0</v>
      </c>
    </row>
    <row r="8626" spans="39:45">
      <c r="AM8626" s="54">
        <v>2019</v>
      </c>
      <c r="AN8626" s="54" t="s">
        <v>193</v>
      </c>
      <c r="AO8626" s="54">
        <v>26</v>
      </c>
      <c r="AP8626" s="54">
        <v>8</v>
      </c>
      <c r="AQ8626" s="54">
        <v>0</v>
      </c>
      <c r="AR8626" s="55">
        <v>28500</v>
      </c>
      <c r="AS8626" s="78">
        <f t="shared" si="138"/>
        <v>0</v>
      </c>
    </row>
    <row r="8627" spans="39:45">
      <c r="AM8627" s="55">
        <v>2019</v>
      </c>
      <c r="AN8627" s="55" t="s">
        <v>193</v>
      </c>
      <c r="AO8627" s="55">
        <v>26</v>
      </c>
      <c r="AP8627" s="55">
        <v>9</v>
      </c>
      <c r="AQ8627" s="55">
        <v>4184.5</v>
      </c>
      <c r="AR8627" s="55">
        <v>28500</v>
      </c>
      <c r="AS8627" s="78">
        <f t="shared" si="138"/>
        <v>0.14682456140350877</v>
      </c>
    </row>
    <row r="8628" spans="39:45">
      <c r="AM8628" s="54">
        <v>2019</v>
      </c>
      <c r="AN8628" s="54" t="s">
        <v>193</v>
      </c>
      <c r="AO8628" s="54">
        <v>26</v>
      </c>
      <c r="AP8628" s="54">
        <v>10</v>
      </c>
      <c r="AQ8628" s="54">
        <v>4075.5</v>
      </c>
      <c r="AR8628" s="55">
        <v>28500</v>
      </c>
      <c r="AS8628" s="78">
        <f t="shared" si="138"/>
        <v>0.14299999999999999</v>
      </c>
    </row>
    <row r="8629" spans="39:45">
      <c r="AM8629" s="55">
        <v>2019</v>
      </c>
      <c r="AN8629" s="55" t="s">
        <v>193</v>
      </c>
      <c r="AO8629" s="55">
        <v>26</v>
      </c>
      <c r="AP8629" s="55">
        <v>11</v>
      </c>
      <c r="AQ8629" s="55">
        <v>6715</v>
      </c>
      <c r="AR8629" s="55">
        <v>28500</v>
      </c>
      <c r="AS8629" s="78">
        <f t="shared" si="138"/>
        <v>0.2356140350877193</v>
      </c>
    </row>
    <row r="8630" spans="39:45">
      <c r="AM8630" s="54">
        <v>2019</v>
      </c>
      <c r="AN8630" s="54" t="s">
        <v>193</v>
      </c>
      <c r="AO8630" s="54">
        <v>26</v>
      </c>
      <c r="AP8630" s="54">
        <v>12</v>
      </c>
      <c r="AQ8630" s="54">
        <v>10102.5</v>
      </c>
      <c r="AR8630" s="55">
        <v>28500</v>
      </c>
      <c r="AS8630" s="78">
        <f t="shared" si="138"/>
        <v>0.35447368421052633</v>
      </c>
    </row>
    <row r="8631" spans="39:45">
      <c r="AM8631" s="55">
        <v>2019</v>
      </c>
      <c r="AN8631" s="55" t="s">
        <v>193</v>
      </c>
      <c r="AO8631" s="55">
        <v>26</v>
      </c>
      <c r="AP8631" s="55">
        <v>13</v>
      </c>
      <c r="AQ8631" s="55">
        <v>1043.5</v>
      </c>
      <c r="AR8631" s="55">
        <v>28500</v>
      </c>
      <c r="AS8631" s="78">
        <f t="shared" si="138"/>
        <v>3.66140350877193E-2</v>
      </c>
    </row>
    <row r="8632" spans="39:45">
      <c r="AM8632" s="54">
        <v>2019</v>
      </c>
      <c r="AN8632" s="54" t="s">
        <v>193</v>
      </c>
      <c r="AO8632" s="54">
        <v>26</v>
      </c>
      <c r="AP8632" s="54">
        <v>14</v>
      </c>
      <c r="AQ8632" s="54">
        <v>1076.5</v>
      </c>
      <c r="AR8632" s="55">
        <v>28500</v>
      </c>
      <c r="AS8632" s="78">
        <f t="shared" si="138"/>
        <v>3.7771929824561401E-2</v>
      </c>
    </row>
    <row r="8633" spans="39:45">
      <c r="AM8633" s="55">
        <v>2019</v>
      </c>
      <c r="AN8633" s="55" t="s">
        <v>193</v>
      </c>
      <c r="AO8633" s="55">
        <v>26</v>
      </c>
      <c r="AP8633" s="55">
        <v>15</v>
      </c>
      <c r="AQ8633" s="55">
        <v>596</v>
      </c>
      <c r="AR8633" s="55">
        <v>28500</v>
      </c>
      <c r="AS8633" s="78">
        <f t="shared" si="138"/>
        <v>2.0912280701754386E-2</v>
      </c>
    </row>
    <row r="8634" spans="39:45">
      <c r="AM8634" s="54">
        <v>2019</v>
      </c>
      <c r="AN8634" s="54" t="s">
        <v>193</v>
      </c>
      <c r="AO8634" s="54">
        <v>26</v>
      </c>
      <c r="AP8634" s="54">
        <v>16</v>
      </c>
      <c r="AQ8634" s="54">
        <v>0</v>
      </c>
      <c r="AR8634" s="55">
        <v>28500</v>
      </c>
      <c r="AS8634" s="78">
        <f t="shared" si="138"/>
        <v>0</v>
      </c>
    </row>
    <row r="8635" spans="39:45">
      <c r="AM8635" s="55">
        <v>2019</v>
      </c>
      <c r="AN8635" s="55" t="s">
        <v>193</v>
      </c>
      <c r="AO8635" s="55">
        <v>26</v>
      </c>
      <c r="AP8635" s="55">
        <v>17</v>
      </c>
      <c r="AQ8635" s="55">
        <v>0</v>
      </c>
      <c r="AR8635" s="55">
        <v>28500</v>
      </c>
      <c r="AS8635" s="78">
        <f t="shared" si="138"/>
        <v>0</v>
      </c>
    </row>
    <row r="8636" spans="39:45">
      <c r="AM8636" s="54">
        <v>2019</v>
      </c>
      <c r="AN8636" s="54" t="s">
        <v>193</v>
      </c>
      <c r="AO8636" s="54">
        <v>26</v>
      </c>
      <c r="AP8636" s="54">
        <v>18</v>
      </c>
      <c r="AQ8636" s="54">
        <v>0</v>
      </c>
      <c r="AR8636" s="55">
        <v>28500</v>
      </c>
      <c r="AS8636" s="78">
        <f t="shared" si="138"/>
        <v>0</v>
      </c>
    </row>
    <row r="8637" spans="39:45">
      <c r="AM8637" s="55">
        <v>2019</v>
      </c>
      <c r="AN8637" s="55" t="s">
        <v>193</v>
      </c>
      <c r="AO8637" s="55">
        <v>26</v>
      </c>
      <c r="AP8637" s="55">
        <v>19</v>
      </c>
      <c r="AQ8637" s="55">
        <v>0</v>
      </c>
      <c r="AR8637" s="55">
        <v>28500</v>
      </c>
      <c r="AS8637" s="78">
        <f t="shared" si="138"/>
        <v>0</v>
      </c>
    </row>
    <row r="8638" spans="39:45">
      <c r="AM8638" s="54">
        <v>2019</v>
      </c>
      <c r="AN8638" s="54" t="s">
        <v>193</v>
      </c>
      <c r="AO8638" s="54">
        <v>26</v>
      </c>
      <c r="AP8638" s="54">
        <v>20</v>
      </c>
      <c r="AQ8638" s="54">
        <v>0</v>
      </c>
      <c r="AR8638" s="55">
        <v>28500</v>
      </c>
      <c r="AS8638" s="78">
        <f t="shared" si="138"/>
        <v>0</v>
      </c>
    </row>
    <row r="8639" spans="39:45">
      <c r="AM8639" s="55">
        <v>2019</v>
      </c>
      <c r="AN8639" s="55" t="s">
        <v>193</v>
      </c>
      <c r="AO8639" s="55">
        <v>26</v>
      </c>
      <c r="AP8639" s="55">
        <v>21</v>
      </c>
      <c r="AQ8639" s="55">
        <v>0</v>
      </c>
      <c r="AR8639" s="55">
        <v>28500</v>
      </c>
      <c r="AS8639" s="78">
        <f t="shared" si="138"/>
        <v>0</v>
      </c>
    </row>
    <row r="8640" spans="39:45">
      <c r="AM8640" s="54">
        <v>2019</v>
      </c>
      <c r="AN8640" s="54" t="s">
        <v>193</v>
      </c>
      <c r="AO8640" s="54">
        <v>26</v>
      </c>
      <c r="AP8640" s="54">
        <v>22</v>
      </c>
      <c r="AQ8640" s="54">
        <v>0</v>
      </c>
      <c r="AR8640" s="55">
        <v>28500</v>
      </c>
      <c r="AS8640" s="78">
        <f t="shared" si="138"/>
        <v>0</v>
      </c>
    </row>
    <row r="8641" spans="39:45">
      <c r="AM8641" s="55">
        <v>2019</v>
      </c>
      <c r="AN8641" s="55" t="s">
        <v>193</v>
      </c>
      <c r="AO8641" s="55">
        <v>26</v>
      </c>
      <c r="AP8641" s="55">
        <v>23</v>
      </c>
      <c r="AQ8641" s="55">
        <v>0</v>
      </c>
      <c r="AR8641" s="55">
        <v>28500</v>
      </c>
      <c r="AS8641" s="78">
        <f t="shared" si="138"/>
        <v>0</v>
      </c>
    </row>
    <row r="8642" spans="39:45">
      <c r="AM8642" s="54">
        <v>2019</v>
      </c>
      <c r="AN8642" s="54" t="s">
        <v>193</v>
      </c>
      <c r="AO8642" s="54">
        <v>27</v>
      </c>
      <c r="AP8642" s="54">
        <v>24</v>
      </c>
      <c r="AQ8642" s="54">
        <v>0</v>
      </c>
      <c r="AR8642" s="55">
        <v>28500</v>
      </c>
      <c r="AS8642" s="78">
        <f t="shared" ref="AS8642:AS8705" si="139">AQ8642/AR8642</f>
        <v>0</v>
      </c>
    </row>
    <row r="8643" spans="39:45">
      <c r="AM8643" s="55">
        <v>2019</v>
      </c>
      <c r="AN8643" s="55" t="s">
        <v>193</v>
      </c>
      <c r="AO8643" s="55">
        <v>27</v>
      </c>
      <c r="AP8643" s="55">
        <v>1</v>
      </c>
      <c r="AQ8643" s="55">
        <v>0</v>
      </c>
      <c r="AR8643" s="55">
        <v>28500</v>
      </c>
      <c r="AS8643" s="78">
        <f t="shared" si="139"/>
        <v>0</v>
      </c>
    </row>
    <row r="8644" spans="39:45">
      <c r="AM8644" s="54">
        <v>2019</v>
      </c>
      <c r="AN8644" s="54" t="s">
        <v>193</v>
      </c>
      <c r="AO8644" s="54">
        <v>27</v>
      </c>
      <c r="AP8644" s="54">
        <v>2</v>
      </c>
      <c r="AQ8644" s="54">
        <v>0</v>
      </c>
      <c r="AR8644" s="55">
        <v>28500</v>
      </c>
      <c r="AS8644" s="78">
        <f t="shared" si="139"/>
        <v>0</v>
      </c>
    </row>
    <row r="8645" spans="39:45">
      <c r="AM8645" s="55">
        <v>2019</v>
      </c>
      <c r="AN8645" s="55" t="s">
        <v>193</v>
      </c>
      <c r="AO8645" s="55">
        <v>27</v>
      </c>
      <c r="AP8645" s="55">
        <v>3</v>
      </c>
      <c r="AQ8645" s="55">
        <v>0</v>
      </c>
      <c r="AR8645" s="55">
        <v>28500</v>
      </c>
      <c r="AS8645" s="78">
        <f t="shared" si="139"/>
        <v>0</v>
      </c>
    </row>
    <row r="8646" spans="39:45">
      <c r="AM8646" s="54">
        <v>2019</v>
      </c>
      <c r="AN8646" s="54" t="s">
        <v>193</v>
      </c>
      <c r="AO8646" s="54">
        <v>27</v>
      </c>
      <c r="AP8646" s="54">
        <v>4</v>
      </c>
      <c r="AQ8646" s="54">
        <v>0</v>
      </c>
      <c r="AR8646" s="55">
        <v>28500</v>
      </c>
      <c r="AS8646" s="78">
        <f t="shared" si="139"/>
        <v>0</v>
      </c>
    </row>
    <row r="8647" spans="39:45">
      <c r="AM8647" s="55">
        <v>2019</v>
      </c>
      <c r="AN8647" s="55" t="s">
        <v>193</v>
      </c>
      <c r="AO8647" s="55">
        <v>27</v>
      </c>
      <c r="AP8647" s="55">
        <v>5</v>
      </c>
      <c r="AQ8647" s="55">
        <v>0</v>
      </c>
      <c r="AR8647" s="55">
        <v>28500</v>
      </c>
      <c r="AS8647" s="78">
        <f t="shared" si="139"/>
        <v>0</v>
      </c>
    </row>
    <row r="8648" spans="39:45">
      <c r="AM8648" s="54">
        <v>2019</v>
      </c>
      <c r="AN8648" s="54" t="s">
        <v>193</v>
      </c>
      <c r="AO8648" s="54">
        <v>27</v>
      </c>
      <c r="AP8648" s="54">
        <v>6</v>
      </c>
      <c r="AQ8648" s="54">
        <v>0</v>
      </c>
      <c r="AR8648" s="55">
        <v>28500</v>
      </c>
      <c r="AS8648" s="78">
        <f t="shared" si="139"/>
        <v>0</v>
      </c>
    </row>
    <row r="8649" spans="39:45">
      <c r="AM8649" s="55">
        <v>2019</v>
      </c>
      <c r="AN8649" s="55" t="s">
        <v>193</v>
      </c>
      <c r="AO8649" s="55">
        <v>27</v>
      </c>
      <c r="AP8649" s="55">
        <v>7</v>
      </c>
      <c r="AQ8649" s="55">
        <v>0</v>
      </c>
      <c r="AR8649" s="55">
        <v>28500</v>
      </c>
      <c r="AS8649" s="78">
        <f t="shared" si="139"/>
        <v>0</v>
      </c>
    </row>
    <row r="8650" spans="39:45">
      <c r="AM8650" s="54">
        <v>2019</v>
      </c>
      <c r="AN8650" s="54" t="s">
        <v>193</v>
      </c>
      <c r="AO8650" s="54">
        <v>27</v>
      </c>
      <c r="AP8650" s="54">
        <v>8</v>
      </c>
      <c r="AQ8650" s="54">
        <v>0</v>
      </c>
      <c r="AR8650" s="55">
        <v>28500</v>
      </c>
      <c r="AS8650" s="78">
        <f t="shared" si="139"/>
        <v>0</v>
      </c>
    </row>
    <row r="8651" spans="39:45">
      <c r="AM8651" s="55">
        <v>2019</v>
      </c>
      <c r="AN8651" s="55" t="s">
        <v>193</v>
      </c>
      <c r="AO8651" s="55">
        <v>27</v>
      </c>
      <c r="AP8651" s="55">
        <v>9</v>
      </c>
      <c r="AQ8651" s="55">
        <v>552.5</v>
      </c>
      <c r="AR8651" s="55">
        <v>28500</v>
      </c>
      <c r="AS8651" s="78">
        <f t="shared" si="139"/>
        <v>1.9385964912280701E-2</v>
      </c>
    </row>
    <row r="8652" spans="39:45">
      <c r="AM8652" s="54">
        <v>2019</v>
      </c>
      <c r="AN8652" s="54" t="s">
        <v>193</v>
      </c>
      <c r="AO8652" s="54">
        <v>27</v>
      </c>
      <c r="AP8652" s="54">
        <v>10</v>
      </c>
      <c r="AQ8652" s="54">
        <v>8524</v>
      </c>
      <c r="AR8652" s="55">
        <v>28500</v>
      </c>
      <c r="AS8652" s="78">
        <f t="shared" si="139"/>
        <v>0.29908771929824562</v>
      </c>
    </row>
    <row r="8653" spans="39:45">
      <c r="AM8653" s="55">
        <v>2019</v>
      </c>
      <c r="AN8653" s="55" t="s">
        <v>193</v>
      </c>
      <c r="AO8653" s="55">
        <v>27</v>
      </c>
      <c r="AP8653" s="55">
        <v>11</v>
      </c>
      <c r="AQ8653" s="55">
        <v>19509</v>
      </c>
      <c r="AR8653" s="55">
        <v>28500</v>
      </c>
      <c r="AS8653" s="78">
        <f t="shared" si="139"/>
        <v>0.68452631578947365</v>
      </c>
    </row>
    <row r="8654" spans="39:45">
      <c r="AM8654" s="54">
        <v>2019</v>
      </c>
      <c r="AN8654" s="54" t="s">
        <v>193</v>
      </c>
      <c r="AO8654" s="54">
        <v>27</v>
      </c>
      <c r="AP8654" s="54">
        <v>12</v>
      </c>
      <c r="AQ8654" s="54">
        <v>21105</v>
      </c>
      <c r="AR8654" s="55">
        <v>28500</v>
      </c>
      <c r="AS8654" s="78">
        <f t="shared" si="139"/>
        <v>0.7405263157894737</v>
      </c>
    </row>
    <row r="8655" spans="39:45">
      <c r="AM8655" s="55">
        <v>2019</v>
      </c>
      <c r="AN8655" s="55" t="s">
        <v>193</v>
      </c>
      <c r="AO8655" s="55">
        <v>27</v>
      </c>
      <c r="AP8655" s="55">
        <v>13</v>
      </c>
      <c r="AQ8655" s="55">
        <v>11090</v>
      </c>
      <c r="AR8655" s="55">
        <v>28500</v>
      </c>
      <c r="AS8655" s="78">
        <f t="shared" si="139"/>
        <v>0.38912280701754387</v>
      </c>
    </row>
    <row r="8656" spans="39:45">
      <c r="AM8656" s="54">
        <v>2019</v>
      </c>
      <c r="AN8656" s="54" t="s">
        <v>193</v>
      </c>
      <c r="AO8656" s="54">
        <v>27</v>
      </c>
      <c r="AP8656" s="54">
        <v>14</v>
      </c>
      <c r="AQ8656" s="54">
        <v>2323</v>
      </c>
      <c r="AR8656" s="55">
        <v>28500</v>
      </c>
      <c r="AS8656" s="78">
        <f t="shared" si="139"/>
        <v>8.1508771929824558E-2</v>
      </c>
    </row>
    <row r="8657" spans="39:45">
      <c r="AM8657" s="55">
        <v>2019</v>
      </c>
      <c r="AN8657" s="55" t="s">
        <v>193</v>
      </c>
      <c r="AO8657" s="55">
        <v>27</v>
      </c>
      <c r="AP8657" s="55">
        <v>15</v>
      </c>
      <c r="AQ8657" s="55">
        <v>1365</v>
      </c>
      <c r="AR8657" s="55">
        <v>28500</v>
      </c>
      <c r="AS8657" s="78">
        <f t="shared" si="139"/>
        <v>4.7894736842105261E-2</v>
      </c>
    </row>
    <row r="8658" spans="39:45">
      <c r="AM8658" s="54">
        <v>2019</v>
      </c>
      <c r="AN8658" s="54" t="s">
        <v>193</v>
      </c>
      <c r="AO8658" s="54">
        <v>27</v>
      </c>
      <c r="AP8658" s="54">
        <v>16</v>
      </c>
      <c r="AQ8658" s="54">
        <v>0</v>
      </c>
      <c r="AR8658" s="55">
        <v>28500</v>
      </c>
      <c r="AS8658" s="78">
        <f t="shared" si="139"/>
        <v>0</v>
      </c>
    </row>
    <row r="8659" spans="39:45">
      <c r="AM8659" s="55">
        <v>2019</v>
      </c>
      <c r="AN8659" s="55" t="s">
        <v>193</v>
      </c>
      <c r="AO8659" s="55">
        <v>27</v>
      </c>
      <c r="AP8659" s="55">
        <v>17</v>
      </c>
      <c r="AQ8659" s="55">
        <v>0</v>
      </c>
      <c r="AR8659" s="55">
        <v>28500</v>
      </c>
      <c r="AS8659" s="78">
        <f t="shared" si="139"/>
        <v>0</v>
      </c>
    </row>
    <row r="8660" spans="39:45">
      <c r="AM8660" s="54">
        <v>2019</v>
      </c>
      <c r="AN8660" s="54" t="s">
        <v>193</v>
      </c>
      <c r="AO8660" s="54">
        <v>27</v>
      </c>
      <c r="AP8660" s="54">
        <v>18</v>
      </c>
      <c r="AQ8660" s="54">
        <v>0</v>
      </c>
      <c r="AR8660" s="55">
        <v>28500</v>
      </c>
      <c r="AS8660" s="78">
        <f t="shared" si="139"/>
        <v>0</v>
      </c>
    </row>
    <row r="8661" spans="39:45">
      <c r="AM8661" s="55">
        <v>2019</v>
      </c>
      <c r="AN8661" s="55" t="s">
        <v>193</v>
      </c>
      <c r="AO8661" s="55">
        <v>27</v>
      </c>
      <c r="AP8661" s="55">
        <v>19</v>
      </c>
      <c r="AQ8661" s="55">
        <v>0</v>
      </c>
      <c r="AR8661" s="55">
        <v>28500</v>
      </c>
      <c r="AS8661" s="78">
        <f t="shared" si="139"/>
        <v>0</v>
      </c>
    </row>
    <row r="8662" spans="39:45">
      <c r="AM8662" s="54">
        <v>2019</v>
      </c>
      <c r="AN8662" s="54" t="s">
        <v>193</v>
      </c>
      <c r="AO8662" s="54">
        <v>27</v>
      </c>
      <c r="AP8662" s="54">
        <v>20</v>
      </c>
      <c r="AQ8662" s="54">
        <v>0</v>
      </c>
      <c r="AR8662" s="55">
        <v>28500</v>
      </c>
      <c r="AS8662" s="78">
        <f t="shared" si="139"/>
        <v>0</v>
      </c>
    </row>
    <row r="8663" spans="39:45">
      <c r="AM8663" s="55">
        <v>2019</v>
      </c>
      <c r="AN8663" s="55" t="s">
        <v>193</v>
      </c>
      <c r="AO8663" s="55">
        <v>27</v>
      </c>
      <c r="AP8663" s="55">
        <v>21</v>
      </c>
      <c r="AQ8663" s="55">
        <v>0</v>
      </c>
      <c r="AR8663" s="55">
        <v>28500</v>
      </c>
      <c r="AS8663" s="78">
        <f t="shared" si="139"/>
        <v>0</v>
      </c>
    </row>
    <row r="8664" spans="39:45">
      <c r="AM8664" s="54">
        <v>2019</v>
      </c>
      <c r="AN8664" s="54" t="s">
        <v>193</v>
      </c>
      <c r="AO8664" s="54">
        <v>27</v>
      </c>
      <c r="AP8664" s="54">
        <v>22</v>
      </c>
      <c r="AQ8664" s="54">
        <v>0</v>
      </c>
      <c r="AR8664" s="55">
        <v>28500</v>
      </c>
      <c r="AS8664" s="78">
        <f t="shared" si="139"/>
        <v>0</v>
      </c>
    </row>
    <row r="8665" spans="39:45">
      <c r="AM8665" s="55">
        <v>2019</v>
      </c>
      <c r="AN8665" s="55" t="s">
        <v>193</v>
      </c>
      <c r="AO8665" s="55">
        <v>27</v>
      </c>
      <c r="AP8665" s="55">
        <v>23</v>
      </c>
      <c r="AQ8665" s="55">
        <v>0</v>
      </c>
      <c r="AR8665" s="55">
        <v>28500</v>
      </c>
      <c r="AS8665" s="78">
        <f t="shared" si="139"/>
        <v>0</v>
      </c>
    </row>
    <row r="8666" spans="39:45">
      <c r="AM8666" s="54">
        <v>2019</v>
      </c>
      <c r="AN8666" s="54" t="s">
        <v>193</v>
      </c>
      <c r="AO8666" s="54">
        <v>28</v>
      </c>
      <c r="AP8666" s="54">
        <v>24</v>
      </c>
      <c r="AQ8666" s="54">
        <v>0</v>
      </c>
      <c r="AR8666" s="55">
        <v>28500</v>
      </c>
      <c r="AS8666" s="78">
        <f t="shared" si="139"/>
        <v>0</v>
      </c>
    </row>
    <row r="8667" spans="39:45">
      <c r="AM8667" s="55">
        <v>2019</v>
      </c>
      <c r="AN8667" s="55" t="s">
        <v>193</v>
      </c>
      <c r="AO8667" s="55">
        <v>28</v>
      </c>
      <c r="AP8667" s="55">
        <v>1</v>
      </c>
      <c r="AQ8667" s="55">
        <v>0</v>
      </c>
      <c r="AR8667" s="55">
        <v>28500</v>
      </c>
      <c r="AS8667" s="78">
        <f t="shared" si="139"/>
        <v>0</v>
      </c>
    </row>
    <row r="8668" spans="39:45">
      <c r="AM8668" s="54">
        <v>2019</v>
      </c>
      <c r="AN8668" s="54" t="s">
        <v>193</v>
      </c>
      <c r="AO8668" s="54">
        <v>28</v>
      </c>
      <c r="AP8668" s="54">
        <v>2</v>
      </c>
      <c r="AQ8668" s="54">
        <v>0</v>
      </c>
      <c r="AR8668" s="55">
        <v>28500</v>
      </c>
      <c r="AS8668" s="78">
        <f t="shared" si="139"/>
        <v>0</v>
      </c>
    </row>
    <row r="8669" spans="39:45">
      <c r="AM8669" s="55">
        <v>2019</v>
      </c>
      <c r="AN8669" s="55" t="s">
        <v>193</v>
      </c>
      <c r="AO8669" s="55">
        <v>28</v>
      </c>
      <c r="AP8669" s="55">
        <v>3</v>
      </c>
      <c r="AQ8669" s="55">
        <v>0</v>
      </c>
      <c r="AR8669" s="55">
        <v>28500</v>
      </c>
      <c r="AS8669" s="78">
        <f t="shared" si="139"/>
        <v>0</v>
      </c>
    </row>
    <row r="8670" spans="39:45">
      <c r="AM8670" s="54">
        <v>2019</v>
      </c>
      <c r="AN8670" s="54" t="s">
        <v>193</v>
      </c>
      <c r="AO8670" s="54">
        <v>28</v>
      </c>
      <c r="AP8670" s="54">
        <v>4</v>
      </c>
      <c r="AQ8670" s="54">
        <v>0</v>
      </c>
      <c r="AR8670" s="55">
        <v>28500</v>
      </c>
      <c r="AS8670" s="78">
        <f t="shared" si="139"/>
        <v>0</v>
      </c>
    </row>
    <row r="8671" spans="39:45">
      <c r="AM8671" s="55">
        <v>2019</v>
      </c>
      <c r="AN8671" s="55" t="s">
        <v>193</v>
      </c>
      <c r="AO8671" s="55">
        <v>28</v>
      </c>
      <c r="AP8671" s="55">
        <v>5</v>
      </c>
      <c r="AQ8671" s="55">
        <v>0</v>
      </c>
      <c r="AR8671" s="55">
        <v>28500</v>
      </c>
      <c r="AS8671" s="78">
        <f t="shared" si="139"/>
        <v>0</v>
      </c>
    </row>
    <row r="8672" spans="39:45">
      <c r="AM8672" s="54">
        <v>2019</v>
      </c>
      <c r="AN8672" s="54" t="s">
        <v>193</v>
      </c>
      <c r="AO8672" s="54">
        <v>28</v>
      </c>
      <c r="AP8672" s="54">
        <v>6</v>
      </c>
      <c r="AQ8672" s="54">
        <v>0</v>
      </c>
      <c r="AR8672" s="55">
        <v>28500</v>
      </c>
      <c r="AS8672" s="78">
        <f t="shared" si="139"/>
        <v>0</v>
      </c>
    </row>
    <row r="8673" spans="39:45">
      <c r="AM8673" s="55">
        <v>2019</v>
      </c>
      <c r="AN8673" s="55" t="s">
        <v>193</v>
      </c>
      <c r="AO8673" s="55">
        <v>28</v>
      </c>
      <c r="AP8673" s="55">
        <v>7</v>
      </c>
      <c r="AQ8673" s="55">
        <v>0</v>
      </c>
      <c r="AR8673" s="55">
        <v>28500</v>
      </c>
      <c r="AS8673" s="78">
        <f t="shared" si="139"/>
        <v>0</v>
      </c>
    </row>
    <row r="8674" spans="39:45">
      <c r="AM8674" s="54">
        <v>2019</v>
      </c>
      <c r="AN8674" s="54" t="s">
        <v>193</v>
      </c>
      <c r="AO8674" s="54">
        <v>28</v>
      </c>
      <c r="AP8674" s="54">
        <v>8</v>
      </c>
      <c r="AQ8674" s="54">
        <v>0</v>
      </c>
      <c r="AR8674" s="55">
        <v>28500</v>
      </c>
      <c r="AS8674" s="78">
        <f t="shared" si="139"/>
        <v>0</v>
      </c>
    </row>
    <row r="8675" spans="39:45">
      <c r="AM8675" s="55">
        <v>2019</v>
      </c>
      <c r="AN8675" s="55" t="s">
        <v>193</v>
      </c>
      <c r="AO8675" s="55">
        <v>28</v>
      </c>
      <c r="AP8675" s="55">
        <v>9</v>
      </c>
      <c r="AQ8675" s="55">
        <v>1052</v>
      </c>
      <c r="AR8675" s="55">
        <v>28500</v>
      </c>
      <c r="AS8675" s="78">
        <f t="shared" si="139"/>
        <v>3.6912280701754389E-2</v>
      </c>
    </row>
    <row r="8676" spans="39:45">
      <c r="AM8676" s="54">
        <v>2019</v>
      </c>
      <c r="AN8676" s="54" t="s">
        <v>193</v>
      </c>
      <c r="AO8676" s="54">
        <v>28</v>
      </c>
      <c r="AP8676" s="54">
        <v>10</v>
      </c>
      <c r="AQ8676" s="54">
        <v>810.5</v>
      </c>
      <c r="AR8676" s="55">
        <v>28500</v>
      </c>
      <c r="AS8676" s="78">
        <f t="shared" si="139"/>
        <v>2.8438596491228069E-2</v>
      </c>
    </row>
    <row r="8677" spans="39:45">
      <c r="AM8677" s="55">
        <v>2019</v>
      </c>
      <c r="AN8677" s="55" t="s">
        <v>193</v>
      </c>
      <c r="AO8677" s="55">
        <v>28</v>
      </c>
      <c r="AP8677" s="55">
        <v>11</v>
      </c>
      <c r="AQ8677" s="55">
        <v>1544.5</v>
      </c>
      <c r="AR8677" s="55">
        <v>28500</v>
      </c>
      <c r="AS8677" s="78">
        <f t="shared" si="139"/>
        <v>5.4192982456140348E-2</v>
      </c>
    </row>
    <row r="8678" spans="39:45">
      <c r="AM8678" s="54">
        <v>2019</v>
      </c>
      <c r="AN8678" s="54" t="s">
        <v>193</v>
      </c>
      <c r="AO8678" s="54">
        <v>28</v>
      </c>
      <c r="AP8678" s="54">
        <v>12</v>
      </c>
      <c r="AQ8678" s="54">
        <v>1182.5</v>
      </c>
      <c r="AR8678" s="55">
        <v>28500</v>
      </c>
      <c r="AS8678" s="78">
        <f t="shared" si="139"/>
        <v>4.149122807017544E-2</v>
      </c>
    </row>
    <row r="8679" spans="39:45">
      <c r="AM8679" s="55">
        <v>2019</v>
      </c>
      <c r="AN8679" s="55" t="s">
        <v>193</v>
      </c>
      <c r="AO8679" s="55">
        <v>28</v>
      </c>
      <c r="AP8679" s="55">
        <v>13</v>
      </c>
      <c r="AQ8679" s="55">
        <v>973</v>
      </c>
      <c r="AR8679" s="55">
        <v>28500</v>
      </c>
      <c r="AS8679" s="78">
        <f t="shared" si="139"/>
        <v>3.4140350877192985E-2</v>
      </c>
    </row>
    <row r="8680" spans="39:45">
      <c r="AM8680" s="54">
        <v>2019</v>
      </c>
      <c r="AN8680" s="54" t="s">
        <v>193</v>
      </c>
      <c r="AO8680" s="54">
        <v>28</v>
      </c>
      <c r="AP8680" s="54">
        <v>14</v>
      </c>
      <c r="AQ8680" s="54">
        <v>391</v>
      </c>
      <c r="AR8680" s="55">
        <v>28500</v>
      </c>
      <c r="AS8680" s="78">
        <f t="shared" si="139"/>
        <v>1.3719298245614036E-2</v>
      </c>
    </row>
    <row r="8681" spans="39:45">
      <c r="AM8681" s="55">
        <v>2019</v>
      </c>
      <c r="AN8681" s="55" t="s">
        <v>193</v>
      </c>
      <c r="AO8681" s="55">
        <v>28</v>
      </c>
      <c r="AP8681" s="55">
        <v>15</v>
      </c>
      <c r="AQ8681" s="55">
        <v>276</v>
      </c>
      <c r="AR8681" s="55">
        <v>28500</v>
      </c>
      <c r="AS8681" s="78">
        <f t="shared" si="139"/>
        <v>9.6842105263157899E-3</v>
      </c>
    </row>
    <row r="8682" spans="39:45">
      <c r="AM8682" s="54">
        <v>2019</v>
      </c>
      <c r="AN8682" s="54" t="s">
        <v>193</v>
      </c>
      <c r="AO8682" s="54">
        <v>28</v>
      </c>
      <c r="AP8682" s="54">
        <v>16</v>
      </c>
      <c r="AQ8682" s="54">
        <v>0</v>
      </c>
      <c r="AR8682" s="55">
        <v>28500</v>
      </c>
      <c r="AS8682" s="78">
        <f t="shared" si="139"/>
        <v>0</v>
      </c>
    </row>
    <row r="8683" spans="39:45">
      <c r="AM8683" s="55">
        <v>2019</v>
      </c>
      <c r="AN8683" s="55" t="s">
        <v>193</v>
      </c>
      <c r="AO8683" s="55">
        <v>28</v>
      </c>
      <c r="AP8683" s="55">
        <v>17</v>
      </c>
      <c r="AQ8683" s="55">
        <v>0</v>
      </c>
      <c r="AR8683" s="55">
        <v>28500</v>
      </c>
      <c r="AS8683" s="78">
        <f t="shared" si="139"/>
        <v>0</v>
      </c>
    </row>
    <row r="8684" spans="39:45">
      <c r="AM8684" s="54">
        <v>2019</v>
      </c>
      <c r="AN8684" s="54" t="s">
        <v>193</v>
      </c>
      <c r="AO8684" s="54">
        <v>28</v>
      </c>
      <c r="AP8684" s="54">
        <v>18</v>
      </c>
      <c r="AQ8684" s="54">
        <v>0</v>
      </c>
      <c r="AR8684" s="55">
        <v>28500</v>
      </c>
      <c r="AS8684" s="78">
        <f t="shared" si="139"/>
        <v>0</v>
      </c>
    </row>
    <row r="8685" spans="39:45">
      <c r="AM8685" s="55">
        <v>2019</v>
      </c>
      <c r="AN8685" s="55" t="s">
        <v>193</v>
      </c>
      <c r="AO8685" s="55">
        <v>28</v>
      </c>
      <c r="AP8685" s="55">
        <v>19</v>
      </c>
      <c r="AQ8685" s="55">
        <v>0</v>
      </c>
      <c r="AR8685" s="55">
        <v>28500</v>
      </c>
      <c r="AS8685" s="78">
        <f t="shared" si="139"/>
        <v>0</v>
      </c>
    </row>
    <row r="8686" spans="39:45">
      <c r="AM8686" s="54">
        <v>2019</v>
      </c>
      <c r="AN8686" s="54" t="s">
        <v>193</v>
      </c>
      <c r="AO8686" s="54">
        <v>28</v>
      </c>
      <c r="AP8686" s="54">
        <v>20</v>
      </c>
      <c r="AQ8686" s="54">
        <v>0</v>
      </c>
      <c r="AR8686" s="55">
        <v>28500</v>
      </c>
      <c r="AS8686" s="78">
        <f t="shared" si="139"/>
        <v>0</v>
      </c>
    </row>
    <row r="8687" spans="39:45">
      <c r="AM8687" s="55">
        <v>2019</v>
      </c>
      <c r="AN8687" s="55" t="s">
        <v>193</v>
      </c>
      <c r="AO8687" s="55">
        <v>28</v>
      </c>
      <c r="AP8687" s="55">
        <v>21</v>
      </c>
      <c r="AQ8687" s="55">
        <v>0</v>
      </c>
      <c r="AR8687" s="55">
        <v>28500</v>
      </c>
      <c r="AS8687" s="78">
        <f t="shared" si="139"/>
        <v>0</v>
      </c>
    </row>
    <row r="8688" spans="39:45">
      <c r="AM8688" s="54">
        <v>2019</v>
      </c>
      <c r="AN8688" s="54" t="s">
        <v>193</v>
      </c>
      <c r="AO8688" s="54">
        <v>28</v>
      </c>
      <c r="AP8688" s="54">
        <v>22</v>
      </c>
      <c r="AQ8688" s="54">
        <v>0</v>
      </c>
      <c r="AR8688" s="55">
        <v>28500</v>
      </c>
      <c r="AS8688" s="78">
        <f t="shared" si="139"/>
        <v>0</v>
      </c>
    </row>
    <row r="8689" spans="39:45">
      <c r="AM8689" s="55">
        <v>2019</v>
      </c>
      <c r="AN8689" s="55" t="s">
        <v>193</v>
      </c>
      <c r="AO8689" s="55">
        <v>28</v>
      </c>
      <c r="AP8689" s="55">
        <v>23</v>
      </c>
      <c r="AQ8689" s="55">
        <v>0</v>
      </c>
      <c r="AR8689" s="55">
        <v>28500</v>
      </c>
      <c r="AS8689" s="78">
        <f t="shared" si="139"/>
        <v>0</v>
      </c>
    </row>
    <row r="8690" spans="39:45">
      <c r="AM8690" s="54">
        <v>2019</v>
      </c>
      <c r="AN8690" s="54" t="s">
        <v>193</v>
      </c>
      <c r="AO8690" s="54">
        <v>29</v>
      </c>
      <c r="AP8690" s="54">
        <v>24</v>
      </c>
      <c r="AQ8690" s="54">
        <v>0</v>
      </c>
      <c r="AR8690" s="55">
        <v>28500</v>
      </c>
      <c r="AS8690" s="78">
        <f t="shared" si="139"/>
        <v>0</v>
      </c>
    </row>
    <row r="8691" spans="39:45">
      <c r="AM8691" s="55">
        <v>2019</v>
      </c>
      <c r="AN8691" s="55" t="s">
        <v>193</v>
      </c>
      <c r="AO8691" s="55">
        <v>29</v>
      </c>
      <c r="AP8691" s="55">
        <v>1</v>
      </c>
      <c r="AQ8691" s="55">
        <v>0</v>
      </c>
      <c r="AR8691" s="55">
        <v>28500</v>
      </c>
      <c r="AS8691" s="78">
        <f t="shared" si="139"/>
        <v>0</v>
      </c>
    </row>
    <row r="8692" spans="39:45">
      <c r="AM8692" s="54">
        <v>2019</v>
      </c>
      <c r="AN8692" s="54" t="s">
        <v>193</v>
      </c>
      <c r="AO8692" s="54">
        <v>29</v>
      </c>
      <c r="AP8692" s="54">
        <v>2</v>
      </c>
      <c r="AQ8692" s="54">
        <v>0</v>
      </c>
      <c r="AR8692" s="55">
        <v>28500</v>
      </c>
      <c r="AS8692" s="78">
        <f t="shared" si="139"/>
        <v>0</v>
      </c>
    </row>
    <row r="8693" spans="39:45">
      <c r="AM8693" s="55">
        <v>2019</v>
      </c>
      <c r="AN8693" s="55" t="s">
        <v>193</v>
      </c>
      <c r="AO8693" s="55">
        <v>29</v>
      </c>
      <c r="AP8693" s="55">
        <v>3</v>
      </c>
      <c r="AQ8693" s="55">
        <v>0</v>
      </c>
      <c r="AR8693" s="55">
        <v>28500</v>
      </c>
      <c r="AS8693" s="78">
        <f t="shared" si="139"/>
        <v>0</v>
      </c>
    </row>
    <row r="8694" spans="39:45">
      <c r="AM8694" s="54">
        <v>2019</v>
      </c>
      <c r="AN8694" s="54" t="s">
        <v>193</v>
      </c>
      <c r="AO8694" s="54">
        <v>29</v>
      </c>
      <c r="AP8694" s="54">
        <v>4</v>
      </c>
      <c r="AQ8694" s="54">
        <v>0</v>
      </c>
      <c r="AR8694" s="55">
        <v>28500</v>
      </c>
      <c r="AS8694" s="78">
        <f t="shared" si="139"/>
        <v>0</v>
      </c>
    </row>
    <row r="8695" spans="39:45">
      <c r="AM8695" s="55">
        <v>2019</v>
      </c>
      <c r="AN8695" s="55" t="s">
        <v>193</v>
      </c>
      <c r="AO8695" s="55">
        <v>29</v>
      </c>
      <c r="AP8695" s="55">
        <v>5</v>
      </c>
      <c r="AQ8695" s="55">
        <v>0</v>
      </c>
      <c r="AR8695" s="55">
        <v>28500</v>
      </c>
      <c r="AS8695" s="78">
        <f t="shared" si="139"/>
        <v>0</v>
      </c>
    </row>
    <row r="8696" spans="39:45">
      <c r="AM8696" s="54">
        <v>2019</v>
      </c>
      <c r="AN8696" s="54" t="s">
        <v>193</v>
      </c>
      <c r="AO8696" s="54">
        <v>29</v>
      </c>
      <c r="AP8696" s="54">
        <v>6</v>
      </c>
      <c r="AQ8696" s="54">
        <v>0</v>
      </c>
      <c r="AR8696" s="55">
        <v>28500</v>
      </c>
      <c r="AS8696" s="78">
        <f t="shared" si="139"/>
        <v>0</v>
      </c>
    </row>
    <row r="8697" spans="39:45">
      <c r="AM8697" s="55">
        <v>2019</v>
      </c>
      <c r="AN8697" s="55" t="s">
        <v>193</v>
      </c>
      <c r="AO8697" s="55">
        <v>29</v>
      </c>
      <c r="AP8697" s="55">
        <v>7</v>
      </c>
      <c r="AQ8697" s="55">
        <v>0</v>
      </c>
      <c r="AR8697" s="55">
        <v>28500</v>
      </c>
      <c r="AS8697" s="78">
        <f t="shared" si="139"/>
        <v>0</v>
      </c>
    </row>
    <row r="8698" spans="39:45">
      <c r="AM8698" s="54">
        <v>2019</v>
      </c>
      <c r="AN8698" s="54" t="s">
        <v>193</v>
      </c>
      <c r="AO8698" s="54">
        <v>29</v>
      </c>
      <c r="AP8698" s="54">
        <v>8</v>
      </c>
      <c r="AQ8698" s="54">
        <v>0</v>
      </c>
      <c r="AR8698" s="55">
        <v>28500</v>
      </c>
      <c r="AS8698" s="78">
        <f t="shared" si="139"/>
        <v>0</v>
      </c>
    </row>
    <row r="8699" spans="39:45">
      <c r="AM8699" s="55">
        <v>2019</v>
      </c>
      <c r="AN8699" s="55" t="s">
        <v>193</v>
      </c>
      <c r="AO8699" s="55">
        <v>29</v>
      </c>
      <c r="AP8699" s="55">
        <v>9</v>
      </c>
      <c r="AQ8699" s="55">
        <v>281</v>
      </c>
      <c r="AR8699" s="55">
        <v>28500</v>
      </c>
      <c r="AS8699" s="78">
        <f t="shared" si="139"/>
        <v>9.8596491228070179E-3</v>
      </c>
    </row>
    <row r="8700" spans="39:45">
      <c r="AM8700" s="54">
        <v>2019</v>
      </c>
      <c r="AN8700" s="54" t="s">
        <v>193</v>
      </c>
      <c r="AO8700" s="54">
        <v>29</v>
      </c>
      <c r="AP8700" s="54">
        <v>10</v>
      </c>
      <c r="AQ8700" s="54">
        <v>4289</v>
      </c>
      <c r="AR8700" s="55">
        <v>28500</v>
      </c>
      <c r="AS8700" s="78">
        <f t="shared" si="139"/>
        <v>0.15049122807017543</v>
      </c>
    </row>
    <row r="8701" spans="39:45">
      <c r="AM8701" s="55">
        <v>2019</v>
      </c>
      <c r="AN8701" s="55" t="s">
        <v>193</v>
      </c>
      <c r="AO8701" s="55">
        <v>29</v>
      </c>
      <c r="AP8701" s="55">
        <v>11</v>
      </c>
      <c r="AQ8701" s="55">
        <v>13612.5</v>
      </c>
      <c r="AR8701" s="55">
        <v>28500</v>
      </c>
      <c r="AS8701" s="78">
        <f t="shared" si="139"/>
        <v>0.47763157894736841</v>
      </c>
    </row>
    <row r="8702" spans="39:45">
      <c r="AM8702" s="54">
        <v>2019</v>
      </c>
      <c r="AN8702" s="54" t="s">
        <v>193</v>
      </c>
      <c r="AO8702" s="54">
        <v>29</v>
      </c>
      <c r="AP8702" s="54">
        <v>12</v>
      </c>
      <c r="AQ8702" s="54">
        <v>20141.5</v>
      </c>
      <c r="AR8702" s="55">
        <v>28500</v>
      </c>
      <c r="AS8702" s="78">
        <f t="shared" si="139"/>
        <v>0.70671929824561408</v>
      </c>
    </row>
    <row r="8703" spans="39:45">
      <c r="AM8703" s="55">
        <v>2019</v>
      </c>
      <c r="AN8703" s="55" t="s">
        <v>193</v>
      </c>
      <c r="AO8703" s="55">
        <v>29</v>
      </c>
      <c r="AP8703" s="55">
        <v>13</v>
      </c>
      <c r="AQ8703" s="55">
        <v>26914.5</v>
      </c>
      <c r="AR8703" s="55">
        <v>28500</v>
      </c>
      <c r="AS8703" s="78">
        <f t="shared" si="139"/>
        <v>0.94436842105263152</v>
      </c>
    </row>
    <row r="8704" spans="39:45">
      <c r="AM8704" s="54">
        <v>2019</v>
      </c>
      <c r="AN8704" s="54" t="s">
        <v>193</v>
      </c>
      <c r="AO8704" s="54">
        <v>29</v>
      </c>
      <c r="AP8704" s="54">
        <v>14</v>
      </c>
      <c r="AQ8704" s="54">
        <v>16431.5</v>
      </c>
      <c r="AR8704" s="55">
        <v>28500</v>
      </c>
      <c r="AS8704" s="78">
        <f t="shared" si="139"/>
        <v>0.5765438596491228</v>
      </c>
    </row>
    <row r="8705" spans="39:45">
      <c r="AM8705" s="55">
        <v>2019</v>
      </c>
      <c r="AN8705" s="55" t="s">
        <v>193</v>
      </c>
      <c r="AO8705" s="55">
        <v>29</v>
      </c>
      <c r="AP8705" s="55">
        <v>15</v>
      </c>
      <c r="AQ8705" s="55">
        <v>8285</v>
      </c>
      <c r="AR8705" s="55">
        <v>28500</v>
      </c>
      <c r="AS8705" s="78">
        <f t="shared" si="139"/>
        <v>0.29070175438596491</v>
      </c>
    </row>
    <row r="8706" spans="39:45">
      <c r="AM8706" s="54">
        <v>2019</v>
      </c>
      <c r="AN8706" s="54" t="s">
        <v>193</v>
      </c>
      <c r="AO8706" s="54">
        <v>29</v>
      </c>
      <c r="AP8706" s="54">
        <v>16</v>
      </c>
      <c r="AQ8706" s="54">
        <v>0</v>
      </c>
      <c r="AR8706" s="55">
        <v>28500</v>
      </c>
      <c r="AS8706" s="78">
        <f t="shared" ref="AS8706:AS8769" si="140">AQ8706/AR8706</f>
        <v>0</v>
      </c>
    </row>
    <row r="8707" spans="39:45">
      <c r="AM8707" s="55">
        <v>2019</v>
      </c>
      <c r="AN8707" s="55" t="s">
        <v>193</v>
      </c>
      <c r="AO8707" s="55">
        <v>29</v>
      </c>
      <c r="AP8707" s="55">
        <v>17</v>
      </c>
      <c r="AQ8707" s="55">
        <v>0</v>
      </c>
      <c r="AR8707" s="55">
        <v>28500</v>
      </c>
      <c r="AS8707" s="78">
        <f t="shared" si="140"/>
        <v>0</v>
      </c>
    </row>
    <row r="8708" spans="39:45">
      <c r="AM8708" s="54">
        <v>2019</v>
      </c>
      <c r="AN8708" s="54" t="s">
        <v>193</v>
      </c>
      <c r="AO8708" s="54">
        <v>29</v>
      </c>
      <c r="AP8708" s="54">
        <v>18</v>
      </c>
      <c r="AQ8708" s="54">
        <v>0</v>
      </c>
      <c r="AR8708" s="55">
        <v>28500</v>
      </c>
      <c r="AS8708" s="78">
        <f t="shared" si="140"/>
        <v>0</v>
      </c>
    </row>
    <row r="8709" spans="39:45">
      <c r="AM8709" s="55">
        <v>2019</v>
      </c>
      <c r="AN8709" s="55" t="s">
        <v>193</v>
      </c>
      <c r="AO8709" s="55">
        <v>29</v>
      </c>
      <c r="AP8709" s="55">
        <v>19</v>
      </c>
      <c r="AQ8709" s="55">
        <v>0</v>
      </c>
      <c r="AR8709" s="55">
        <v>28500</v>
      </c>
      <c r="AS8709" s="78">
        <f t="shared" si="140"/>
        <v>0</v>
      </c>
    </row>
    <row r="8710" spans="39:45">
      <c r="AM8710" s="54">
        <v>2019</v>
      </c>
      <c r="AN8710" s="54" t="s">
        <v>193</v>
      </c>
      <c r="AO8710" s="54">
        <v>29</v>
      </c>
      <c r="AP8710" s="54">
        <v>20</v>
      </c>
      <c r="AQ8710" s="54">
        <v>0</v>
      </c>
      <c r="AR8710" s="55">
        <v>28500</v>
      </c>
      <c r="AS8710" s="78">
        <f t="shared" si="140"/>
        <v>0</v>
      </c>
    </row>
    <row r="8711" spans="39:45">
      <c r="AM8711" s="55">
        <v>2019</v>
      </c>
      <c r="AN8711" s="55" t="s">
        <v>193</v>
      </c>
      <c r="AO8711" s="55">
        <v>29</v>
      </c>
      <c r="AP8711" s="55">
        <v>21</v>
      </c>
      <c r="AQ8711" s="55">
        <v>0</v>
      </c>
      <c r="AR8711" s="55">
        <v>28500</v>
      </c>
      <c r="AS8711" s="78">
        <f t="shared" si="140"/>
        <v>0</v>
      </c>
    </row>
    <row r="8712" spans="39:45">
      <c r="AM8712" s="54">
        <v>2019</v>
      </c>
      <c r="AN8712" s="54" t="s">
        <v>193</v>
      </c>
      <c r="AO8712" s="54">
        <v>29</v>
      </c>
      <c r="AP8712" s="54">
        <v>22</v>
      </c>
      <c r="AQ8712" s="54">
        <v>0</v>
      </c>
      <c r="AR8712" s="55">
        <v>28500</v>
      </c>
      <c r="AS8712" s="78">
        <f t="shared" si="140"/>
        <v>0</v>
      </c>
    </row>
    <row r="8713" spans="39:45">
      <c r="AM8713" s="55">
        <v>2019</v>
      </c>
      <c r="AN8713" s="55" t="s">
        <v>193</v>
      </c>
      <c r="AO8713" s="55">
        <v>29</v>
      </c>
      <c r="AP8713" s="55">
        <v>23</v>
      </c>
      <c r="AQ8713" s="55">
        <v>0</v>
      </c>
      <c r="AR8713" s="55">
        <v>28500</v>
      </c>
      <c r="AS8713" s="78">
        <f t="shared" si="140"/>
        <v>0</v>
      </c>
    </row>
    <row r="8714" spans="39:45">
      <c r="AM8714" s="54">
        <v>2019</v>
      </c>
      <c r="AN8714" s="54" t="s">
        <v>193</v>
      </c>
      <c r="AO8714" s="54">
        <v>30</v>
      </c>
      <c r="AP8714" s="54">
        <v>24</v>
      </c>
      <c r="AQ8714" s="54">
        <v>0</v>
      </c>
      <c r="AR8714" s="55">
        <v>28500</v>
      </c>
      <c r="AS8714" s="78">
        <f t="shared" si="140"/>
        <v>0</v>
      </c>
    </row>
    <row r="8715" spans="39:45">
      <c r="AM8715" s="55">
        <v>2019</v>
      </c>
      <c r="AN8715" s="55" t="s">
        <v>193</v>
      </c>
      <c r="AO8715" s="55">
        <v>30</v>
      </c>
      <c r="AP8715" s="55">
        <v>1</v>
      </c>
      <c r="AQ8715" s="55">
        <v>0</v>
      </c>
      <c r="AR8715" s="55">
        <v>28500</v>
      </c>
      <c r="AS8715" s="78">
        <f t="shared" si="140"/>
        <v>0</v>
      </c>
    </row>
    <row r="8716" spans="39:45">
      <c r="AM8716" s="54">
        <v>2019</v>
      </c>
      <c r="AN8716" s="54" t="s">
        <v>193</v>
      </c>
      <c r="AO8716" s="54">
        <v>30</v>
      </c>
      <c r="AP8716" s="54">
        <v>2</v>
      </c>
      <c r="AQ8716" s="54">
        <v>0</v>
      </c>
      <c r="AR8716" s="55">
        <v>28500</v>
      </c>
      <c r="AS8716" s="78">
        <f t="shared" si="140"/>
        <v>0</v>
      </c>
    </row>
    <row r="8717" spans="39:45">
      <c r="AM8717" s="55">
        <v>2019</v>
      </c>
      <c r="AN8717" s="55" t="s">
        <v>193</v>
      </c>
      <c r="AO8717" s="55">
        <v>30</v>
      </c>
      <c r="AP8717" s="55">
        <v>3</v>
      </c>
      <c r="AQ8717" s="55">
        <v>0</v>
      </c>
      <c r="AR8717" s="55">
        <v>28500</v>
      </c>
      <c r="AS8717" s="78">
        <f t="shared" si="140"/>
        <v>0</v>
      </c>
    </row>
    <row r="8718" spans="39:45">
      <c r="AM8718" s="54">
        <v>2019</v>
      </c>
      <c r="AN8718" s="54" t="s">
        <v>193</v>
      </c>
      <c r="AO8718" s="54">
        <v>30</v>
      </c>
      <c r="AP8718" s="54">
        <v>4</v>
      </c>
      <c r="AQ8718" s="54">
        <v>0</v>
      </c>
      <c r="AR8718" s="55">
        <v>28500</v>
      </c>
      <c r="AS8718" s="78">
        <f t="shared" si="140"/>
        <v>0</v>
      </c>
    </row>
    <row r="8719" spans="39:45">
      <c r="AM8719" s="55">
        <v>2019</v>
      </c>
      <c r="AN8719" s="55" t="s">
        <v>193</v>
      </c>
      <c r="AO8719" s="55">
        <v>30</v>
      </c>
      <c r="AP8719" s="55">
        <v>5</v>
      </c>
      <c r="AQ8719" s="55">
        <v>0</v>
      </c>
      <c r="AR8719" s="55">
        <v>28500</v>
      </c>
      <c r="AS8719" s="78">
        <f t="shared" si="140"/>
        <v>0</v>
      </c>
    </row>
    <row r="8720" spans="39:45">
      <c r="AM8720" s="54">
        <v>2019</v>
      </c>
      <c r="AN8720" s="54" t="s">
        <v>193</v>
      </c>
      <c r="AO8720" s="54">
        <v>30</v>
      </c>
      <c r="AP8720" s="54">
        <v>6</v>
      </c>
      <c r="AQ8720" s="54">
        <v>0</v>
      </c>
      <c r="AR8720" s="55">
        <v>28500</v>
      </c>
      <c r="AS8720" s="78">
        <f t="shared" si="140"/>
        <v>0</v>
      </c>
    </row>
    <row r="8721" spans="39:45">
      <c r="AM8721" s="55">
        <v>2019</v>
      </c>
      <c r="AN8721" s="55" t="s">
        <v>193</v>
      </c>
      <c r="AO8721" s="55">
        <v>30</v>
      </c>
      <c r="AP8721" s="55">
        <v>7</v>
      </c>
      <c r="AQ8721" s="55">
        <v>0</v>
      </c>
      <c r="AR8721" s="55">
        <v>28500</v>
      </c>
      <c r="AS8721" s="78">
        <f t="shared" si="140"/>
        <v>0</v>
      </c>
    </row>
    <row r="8722" spans="39:45">
      <c r="AM8722" s="54">
        <v>2019</v>
      </c>
      <c r="AN8722" s="54" t="s">
        <v>193</v>
      </c>
      <c r="AO8722" s="54">
        <v>30</v>
      </c>
      <c r="AP8722" s="54">
        <v>8</v>
      </c>
      <c r="AQ8722" s="54">
        <v>0</v>
      </c>
      <c r="AR8722" s="55">
        <v>28500</v>
      </c>
      <c r="AS8722" s="78">
        <f t="shared" si="140"/>
        <v>0</v>
      </c>
    </row>
    <row r="8723" spans="39:45">
      <c r="AM8723" s="55">
        <v>2019</v>
      </c>
      <c r="AN8723" s="55" t="s">
        <v>193</v>
      </c>
      <c r="AO8723" s="55">
        <v>30</v>
      </c>
      <c r="AP8723" s="55">
        <v>9</v>
      </c>
      <c r="AQ8723" s="55">
        <v>11842.5</v>
      </c>
      <c r="AR8723" s="55">
        <v>28500</v>
      </c>
      <c r="AS8723" s="78">
        <f t="shared" si="140"/>
        <v>0.41552631578947369</v>
      </c>
    </row>
    <row r="8724" spans="39:45">
      <c r="AM8724" s="54">
        <v>2019</v>
      </c>
      <c r="AN8724" s="54" t="s">
        <v>193</v>
      </c>
      <c r="AO8724" s="54">
        <v>30</v>
      </c>
      <c r="AP8724" s="54">
        <v>10</v>
      </c>
      <c r="AQ8724" s="54">
        <v>22121.5</v>
      </c>
      <c r="AR8724" s="55">
        <v>28500</v>
      </c>
      <c r="AS8724" s="78">
        <f t="shared" si="140"/>
        <v>0.77619298245614032</v>
      </c>
    </row>
    <row r="8725" spans="39:45">
      <c r="AM8725" s="55">
        <v>2019</v>
      </c>
      <c r="AN8725" s="55" t="s">
        <v>193</v>
      </c>
      <c r="AO8725" s="55">
        <v>30</v>
      </c>
      <c r="AP8725" s="55">
        <v>11</v>
      </c>
      <c r="AQ8725" s="55">
        <v>28095.5</v>
      </c>
      <c r="AR8725" s="55">
        <v>28500</v>
      </c>
      <c r="AS8725" s="78">
        <f t="shared" si="140"/>
        <v>0.98580701754385969</v>
      </c>
    </row>
    <row r="8726" spans="39:45">
      <c r="AM8726" s="54">
        <v>2019</v>
      </c>
      <c r="AN8726" s="54" t="s">
        <v>193</v>
      </c>
      <c r="AO8726" s="54">
        <v>30</v>
      </c>
      <c r="AP8726" s="54">
        <v>12</v>
      </c>
      <c r="AQ8726" s="54">
        <v>29760.5</v>
      </c>
      <c r="AR8726" s="55">
        <v>28500</v>
      </c>
      <c r="AS8726" s="78">
        <f t="shared" si="140"/>
        <v>1.0442280701754385</v>
      </c>
    </row>
    <row r="8727" spans="39:45">
      <c r="AM8727" s="55">
        <v>2019</v>
      </c>
      <c r="AN8727" s="55" t="s">
        <v>193</v>
      </c>
      <c r="AO8727" s="55">
        <v>30</v>
      </c>
      <c r="AP8727" s="55">
        <v>13</v>
      </c>
      <c r="AQ8727" s="55">
        <v>26950.5</v>
      </c>
      <c r="AR8727" s="55">
        <v>28500</v>
      </c>
      <c r="AS8727" s="78">
        <f t="shared" si="140"/>
        <v>0.94563157894736838</v>
      </c>
    </row>
    <row r="8728" spans="39:45">
      <c r="AM8728" s="54">
        <v>2019</v>
      </c>
      <c r="AN8728" s="54" t="s">
        <v>193</v>
      </c>
      <c r="AO8728" s="54">
        <v>30</v>
      </c>
      <c r="AP8728" s="54">
        <v>14</v>
      </c>
      <c r="AQ8728" s="54">
        <v>20267</v>
      </c>
      <c r="AR8728" s="55">
        <v>28500</v>
      </c>
      <c r="AS8728" s="78">
        <f t="shared" si="140"/>
        <v>0.71112280701754382</v>
      </c>
    </row>
    <row r="8729" spans="39:45">
      <c r="AM8729" s="55">
        <v>2019</v>
      </c>
      <c r="AN8729" s="55" t="s">
        <v>193</v>
      </c>
      <c r="AO8729" s="55">
        <v>30</v>
      </c>
      <c r="AP8729" s="55">
        <v>15</v>
      </c>
      <c r="AQ8729" s="55">
        <v>9429</v>
      </c>
      <c r="AR8729" s="55">
        <v>28500</v>
      </c>
      <c r="AS8729" s="78">
        <f t="shared" si="140"/>
        <v>0.33084210526315788</v>
      </c>
    </row>
    <row r="8730" spans="39:45">
      <c r="AM8730" s="54">
        <v>2019</v>
      </c>
      <c r="AN8730" s="54" t="s">
        <v>193</v>
      </c>
      <c r="AO8730" s="54">
        <v>30</v>
      </c>
      <c r="AP8730" s="54">
        <v>16</v>
      </c>
      <c r="AQ8730" s="54">
        <v>0</v>
      </c>
      <c r="AR8730" s="55">
        <v>28500</v>
      </c>
      <c r="AS8730" s="78">
        <f t="shared" si="140"/>
        <v>0</v>
      </c>
    </row>
    <row r="8731" spans="39:45">
      <c r="AM8731" s="55">
        <v>2019</v>
      </c>
      <c r="AN8731" s="55" t="s">
        <v>193</v>
      </c>
      <c r="AO8731" s="55">
        <v>30</v>
      </c>
      <c r="AP8731" s="55">
        <v>17</v>
      </c>
      <c r="AQ8731" s="55">
        <v>0</v>
      </c>
      <c r="AR8731" s="55">
        <v>28500</v>
      </c>
      <c r="AS8731" s="78">
        <f t="shared" si="140"/>
        <v>0</v>
      </c>
    </row>
    <row r="8732" spans="39:45">
      <c r="AM8732" s="54">
        <v>2019</v>
      </c>
      <c r="AN8732" s="54" t="s">
        <v>193</v>
      </c>
      <c r="AO8732" s="54">
        <v>30</v>
      </c>
      <c r="AP8732" s="54">
        <v>18</v>
      </c>
      <c r="AQ8732" s="54">
        <v>0</v>
      </c>
      <c r="AR8732" s="55">
        <v>28500</v>
      </c>
      <c r="AS8732" s="78">
        <f t="shared" si="140"/>
        <v>0</v>
      </c>
    </row>
    <row r="8733" spans="39:45">
      <c r="AM8733" s="55">
        <v>2019</v>
      </c>
      <c r="AN8733" s="55" t="s">
        <v>193</v>
      </c>
      <c r="AO8733" s="55">
        <v>30</v>
      </c>
      <c r="AP8733" s="55">
        <v>19</v>
      </c>
      <c r="AQ8733" s="55">
        <v>0</v>
      </c>
      <c r="AR8733" s="55">
        <v>28500</v>
      </c>
      <c r="AS8733" s="78">
        <f t="shared" si="140"/>
        <v>0</v>
      </c>
    </row>
    <row r="8734" spans="39:45">
      <c r="AM8734" s="54">
        <v>2019</v>
      </c>
      <c r="AN8734" s="54" t="s">
        <v>193</v>
      </c>
      <c r="AO8734" s="54">
        <v>30</v>
      </c>
      <c r="AP8734" s="54">
        <v>20</v>
      </c>
      <c r="AQ8734" s="54">
        <v>0</v>
      </c>
      <c r="AR8734" s="55">
        <v>28500</v>
      </c>
      <c r="AS8734" s="78">
        <f t="shared" si="140"/>
        <v>0</v>
      </c>
    </row>
    <row r="8735" spans="39:45">
      <c r="AM8735" s="55">
        <v>2019</v>
      </c>
      <c r="AN8735" s="55" t="s">
        <v>193</v>
      </c>
      <c r="AO8735" s="55">
        <v>30</v>
      </c>
      <c r="AP8735" s="55">
        <v>21</v>
      </c>
      <c r="AQ8735" s="55">
        <v>0</v>
      </c>
      <c r="AR8735" s="55">
        <v>28500</v>
      </c>
      <c r="AS8735" s="78">
        <f t="shared" si="140"/>
        <v>0</v>
      </c>
    </row>
    <row r="8736" spans="39:45">
      <c r="AM8736" s="54">
        <v>2019</v>
      </c>
      <c r="AN8736" s="54" t="s">
        <v>193</v>
      </c>
      <c r="AO8736" s="54">
        <v>30</v>
      </c>
      <c r="AP8736" s="54">
        <v>22</v>
      </c>
      <c r="AQ8736" s="54">
        <v>0</v>
      </c>
      <c r="AR8736" s="55">
        <v>28500</v>
      </c>
      <c r="AS8736" s="78">
        <f t="shared" si="140"/>
        <v>0</v>
      </c>
    </row>
    <row r="8737" spans="39:45">
      <c r="AM8737" s="55">
        <v>2019</v>
      </c>
      <c r="AN8737" s="55" t="s">
        <v>193</v>
      </c>
      <c r="AO8737" s="55">
        <v>30</v>
      </c>
      <c r="AP8737" s="55">
        <v>23</v>
      </c>
      <c r="AQ8737" s="55">
        <v>0</v>
      </c>
      <c r="AR8737" s="55">
        <v>28500</v>
      </c>
      <c r="AS8737" s="78">
        <f t="shared" si="140"/>
        <v>0</v>
      </c>
    </row>
    <row r="8738" spans="39:45">
      <c r="AM8738" s="54">
        <v>2019</v>
      </c>
      <c r="AN8738" s="54" t="s">
        <v>193</v>
      </c>
      <c r="AO8738" s="54">
        <v>31</v>
      </c>
      <c r="AP8738" s="54">
        <v>24</v>
      </c>
      <c r="AQ8738" s="54">
        <v>0</v>
      </c>
      <c r="AR8738" s="55">
        <v>28500</v>
      </c>
      <c r="AS8738" s="78">
        <f t="shared" si="140"/>
        <v>0</v>
      </c>
    </row>
    <row r="8739" spans="39:45">
      <c r="AM8739" s="55">
        <v>2019</v>
      </c>
      <c r="AN8739" s="55" t="s">
        <v>193</v>
      </c>
      <c r="AO8739" s="55">
        <v>31</v>
      </c>
      <c r="AP8739" s="55">
        <v>1</v>
      </c>
      <c r="AQ8739" s="55">
        <v>0</v>
      </c>
      <c r="AR8739" s="55">
        <v>28500</v>
      </c>
      <c r="AS8739" s="78">
        <f t="shared" si="140"/>
        <v>0</v>
      </c>
    </row>
    <row r="8740" spans="39:45">
      <c r="AM8740" s="54">
        <v>2019</v>
      </c>
      <c r="AN8740" s="54" t="s">
        <v>193</v>
      </c>
      <c r="AO8740" s="54">
        <v>31</v>
      </c>
      <c r="AP8740" s="54">
        <v>2</v>
      </c>
      <c r="AQ8740" s="54">
        <v>0</v>
      </c>
      <c r="AR8740" s="55">
        <v>28500</v>
      </c>
      <c r="AS8740" s="78">
        <f t="shared" si="140"/>
        <v>0</v>
      </c>
    </row>
    <row r="8741" spans="39:45">
      <c r="AM8741" s="55">
        <v>2019</v>
      </c>
      <c r="AN8741" s="55" t="s">
        <v>193</v>
      </c>
      <c r="AO8741" s="55">
        <v>31</v>
      </c>
      <c r="AP8741" s="55">
        <v>3</v>
      </c>
      <c r="AQ8741" s="55">
        <v>0</v>
      </c>
      <c r="AR8741" s="55">
        <v>28500</v>
      </c>
      <c r="AS8741" s="78">
        <f t="shared" si="140"/>
        <v>0</v>
      </c>
    </row>
    <row r="8742" spans="39:45">
      <c r="AM8742" s="54">
        <v>2019</v>
      </c>
      <c r="AN8742" s="54" t="s">
        <v>193</v>
      </c>
      <c r="AO8742" s="54">
        <v>31</v>
      </c>
      <c r="AP8742" s="54">
        <v>4</v>
      </c>
      <c r="AQ8742" s="54">
        <v>0</v>
      </c>
      <c r="AR8742" s="55">
        <v>28500</v>
      </c>
      <c r="AS8742" s="78">
        <f t="shared" si="140"/>
        <v>0</v>
      </c>
    </row>
    <row r="8743" spans="39:45">
      <c r="AM8743" s="55">
        <v>2019</v>
      </c>
      <c r="AN8743" s="55" t="s">
        <v>193</v>
      </c>
      <c r="AO8743" s="55">
        <v>31</v>
      </c>
      <c r="AP8743" s="55">
        <v>5</v>
      </c>
      <c r="AQ8743" s="55">
        <v>0</v>
      </c>
      <c r="AR8743" s="55">
        <v>28500</v>
      </c>
      <c r="AS8743" s="78">
        <f t="shared" si="140"/>
        <v>0</v>
      </c>
    </row>
    <row r="8744" spans="39:45">
      <c r="AM8744" s="54">
        <v>2019</v>
      </c>
      <c r="AN8744" s="54" t="s">
        <v>193</v>
      </c>
      <c r="AO8744" s="54">
        <v>31</v>
      </c>
      <c r="AP8744" s="54">
        <v>6</v>
      </c>
      <c r="AQ8744" s="54">
        <v>0</v>
      </c>
      <c r="AR8744" s="55">
        <v>28500</v>
      </c>
      <c r="AS8744" s="78">
        <f t="shared" si="140"/>
        <v>0</v>
      </c>
    </row>
    <row r="8745" spans="39:45">
      <c r="AM8745" s="55">
        <v>2019</v>
      </c>
      <c r="AN8745" s="55" t="s">
        <v>193</v>
      </c>
      <c r="AO8745" s="55">
        <v>31</v>
      </c>
      <c r="AP8745" s="55">
        <v>7</v>
      </c>
      <c r="AQ8745" s="55">
        <v>0</v>
      </c>
      <c r="AR8745" s="55">
        <v>28500</v>
      </c>
      <c r="AS8745" s="78">
        <f t="shared" si="140"/>
        <v>0</v>
      </c>
    </row>
    <row r="8746" spans="39:45">
      <c r="AM8746" s="54">
        <v>2019</v>
      </c>
      <c r="AN8746" s="54" t="s">
        <v>193</v>
      </c>
      <c r="AO8746" s="54">
        <v>31</v>
      </c>
      <c r="AP8746" s="54">
        <v>8</v>
      </c>
      <c r="AQ8746" s="54">
        <v>0</v>
      </c>
      <c r="AR8746" s="55">
        <v>28500</v>
      </c>
      <c r="AS8746" s="78">
        <f t="shared" si="140"/>
        <v>0</v>
      </c>
    </row>
    <row r="8747" spans="39:45">
      <c r="AM8747" s="55">
        <v>2019</v>
      </c>
      <c r="AN8747" s="55" t="s">
        <v>193</v>
      </c>
      <c r="AO8747" s="55">
        <v>31</v>
      </c>
      <c r="AP8747" s="55">
        <v>9</v>
      </c>
      <c r="AQ8747" s="55">
        <v>2955.5</v>
      </c>
      <c r="AR8747" s="55">
        <v>28500</v>
      </c>
      <c r="AS8747" s="78">
        <f t="shared" si="140"/>
        <v>0.10370175438596491</v>
      </c>
    </row>
    <row r="8748" spans="39:45">
      <c r="AM8748" s="54">
        <v>2019</v>
      </c>
      <c r="AN8748" s="54" t="s">
        <v>193</v>
      </c>
      <c r="AO8748" s="54">
        <v>31</v>
      </c>
      <c r="AP8748" s="54">
        <v>10</v>
      </c>
      <c r="AQ8748" s="54">
        <v>711</v>
      </c>
      <c r="AR8748" s="55">
        <v>28500</v>
      </c>
      <c r="AS8748" s="78">
        <f t="shared" si="140"/>
        <v>2.4947368421052631E-2</v>
      </c>
    </row>
    <row r="8749" spans="39:45">
      <c r="AM8749" s="55">
        <v>2019</v>
      </c>
      <c r="AN8749" s="55" t="s">
        <v>193</v>
      </c>
      <c r="AO8749" s="55">
        <v>31</v>
      </c>
      <c r="AP8749" s="55">
        <v>11</v>
      </c>
      <c r="AQ8749" s="55">
        <v>1543.5</v>
      </c>
      <c r="AR8749" s="55">
        <v>28500</v>
      </c>
      <c r="AS8749" s="78">
        <f t="shared" si="140"/>
        <v>5.4157894736842106E-2</v>
      </c>
    </row>
    <row r="8750" spans="39:45">
      <c r="AM8750" s="54">
        <v>2019</v>
      </c>
      <c r="AN8750" s="54" t="s">
        <v>193</v>
      </c>
      <c r="AO8750" s="54">
        <v>31</v>
      </c>
      <c r="AP8750" s="54">
        <v>12</v>
      </c>
      <c r="AQ8750" s="54">
        <v>576</v>
      </c>
      <c r="AR8750" s="55">
        <v>28500</v>
      </c>
      <c r="AS8750" s="78">
        <f t="shared" si="140"/>
        <v>2.0210526315789474E-2</v>
      </c>
    </row>
    <row r="8751" spans="39:45">
      <c r="AM8751" s="55">
        <v>2019</v>
      </c>
      <c r="AN8751" s="55" t="s">
        <v>193</v>
      </c>
      <c r="AO8751" s="55">
        <v>31</v>
      </c>
      <c r="AP8751" s="55">
        <v>13</v>
      </c>
      <c r="AQ8751" s="55">
        <v>672</v>
      </c>
      <c r="AR8751" s="55">
        <v>28500</v>
      </c>
      <c r="AS8751" s="78">
        <f t="shared" si="140"/>
        <v>2.3578947368421053E-2</v>
      </c>
    </row>
    <row r="8752" spans="39:45">
      <c r="AM8752" s="54">
        <v>2019</v>
      </c>
      <c r="AN8752" s="54" t="s">
        <v>193</v>
      </c>
      <c r="AO8752" s="54">
        <v>31</v>
      </c>
      <c r="AP8752" s="54">
        <v>14</v>
      </c>
      <c r="AQ8752" s="54">
        <v>576</v>
      </c>
      <c r="AR8752" s="55">
        <v>28500</v>
      </c>
      <c r="AS8752" s="78">
        <f t="shared" si="140"/>
        <v>2.0210526315789474E-2</v>
      </c>
    </row>
    <row r="8753" spans="39:45">
      <c r="AM8753" s="55">
        <v>2019</v>
      </c>
      <c r="AN8753" s="55" t="s">
        <v>193</v>
      </c>
      <c r="AO8753" s="55">
        <v>31</v>
      </c>
      <c r="AP8753" s="55">
        <v>15</v>
      </c>
      <c r="AQ8753" s="55">
        <v>276</v>
      </c>
      <c r="AR8753" s="55">
        <v>28500</v>
      </c>
      <c r="AS8753" s="78">
        <f t="shared" si="140"/>
        <v>9.6842105263157899E-3</v>
      </c>
    </row>
    <row r="8754" spans="39:45">
      <c r="AM8754" s="54">
        <v>2019</v>
      </c>
      <c r="AN8754" s="54" t="s">
        <v>193</v>
      </c>
      <c r="AO8754" s="54">
        <v>31</v>
      </c>
      <c r="AP8754" s="54">
        <v>16</v>
      </c>
      <c r="AQ8754" s="54">
        <v>0</v>
      </c>
      <c r="AR8754" s="55">
        <v>28500</v>
      </c>
      <c r="AS8754" s="78">
        <f t="shared" si="140"/>
        <v>0</v>
      </c>
    </row>
    <row r="8755" spans="39:45">
      <c r="AM8755" s="55">
        <v>2019</v>
      </c>
      <c r="AN8755" s="55" t="s">
        <v>193</v>
      </c>
      <c r="AO8755" s="55">
        <v>31</v>
      </c>
      <c r="AP8755" s="55">
        <v>17</v>
      </c>
      <c r="AQ8755" s="55">
        <v>0</v>
      </c>
      <c r="AR8755" s="55">
        <v>28500</v>
      </c>
      <c r="AS8755" s="78">
        <f t="shared" si="140"/>
        <v>0</v>
      </c>
    </row>
    <row r="8756" spans="39:45">
      <c r="AM8756" s="54">
        <v>2019</v>
      </c>
      <c r="AN8756" s="54" t="s">
        <v>193</v>
      </c>
      <c r="AO8756" s="54">
        <v>31</v>
      </c>
      <c r="AP8756" s="54">
        <v>18</v>
      </c>
      <c r="AQ8756" s="54">
        <v>0</v>
      </c>
      <c r="AR8756" s="55">
        <v>28500</v>
      </c>
      <c r="AS8756" s="78">
        <f t="shared" si="140"/>
        <v>0</v>
      </c>
    </row>
    <row r="8757" spans="39:45">
      <c r="AM8757" s="55">
        <v>2019</v>
      </c>
      <c r="AN8757" s="55" t="s">
        <v>193</v>
      </c>
      <c r="AO8757" s="55">
        <v>31</v>
      </c>
      <c r="AP8757" s="55">
        <v>19</v>
      </c>
      <c r="AQ8757" s="55">
        <v>0</v>
      </c>
      <c r="AR8757" s="55">
        <v>28500</v>
      </c>
      <c r="AS8757" s="78">
        <f t="shared" si="140"/>
        <v>0</v>
      </c>
    </row>
    <row r="8758" spans="39:45">
      <c r="AM8758" s="54">
        <v>2019</v>
      </c>
      <c r="AN8758" s="54" t="s">
        <v>193</v>
      </c>
      <c r="AO8758" s="54">
        <v>31</v>
      </c>
      <c r="AP8758" s="54">
        <v>20</v>
      </c>
      <c r="AQ8758" s="54">
        <v>0</v>
      </c>
      <c r="AR8758" s="55">
        <v>28500</v>
      </c>
      <c r="AS8758" s="78">
        <f t="shared" si="140"/>
        <v>0</v>
      </c>
    </row>
    <row r="8759" spans="39:45">
      <c r="AM8759" s="55">
        <v>2019</v>
      </c>
      <c r="AN8759" s="55" t="s">
        <v>193</v>
      </c>
      <c r="AO8759" s="55">
        <v>31</v>
      </c>
      <c r="AP8759" s="55">
        <v>21</v>
      </c>
      <c r="AQ8759" s="55">
        <v>0</v>
      </c>
      <c r="AR8759" s="55">
        <v>28500</v>
      </c>
      <c r="AS8759" s="78">
        <f t="shared" si="140"/>
        <v>0</v>
      </c>
    </row>
    <row r="8760" spans="39:45">
      <c r="AM8760" s="54">
        <v>2019</v>
      </c>
      <c r="AN8760" s="54" t="s">
        <v>193</v>
      </c>
      <c r="AO8760" s="54">
        <v>31</v>
      </c>
      <c r="AP8760" s="54">
        <v>22</v>
      </c>
      <c r="AQ8760" s="54">
        <v>0</v>
      </c>
      <c r="AR8760" s="55">
        <v>28500</v>
      </c>
      <c r="AS8760" s="78">
        <f t="shared" si="140"/>
        <v>0</v>
      </c>
    </row>
    <row r="8761" spans="39:45">
      <c r="AM8761" s="55">
        <v>2019</v>
      </c>
      <c r="AN8761" s="55" t="s">
        <v>193</v>
      </c>
      <c r="AO8761" s="55">
        <v>31</v>
      </c>
      <c r="AP8761" s="55">
        <v>23</v>
      </c>
      <c r="AQ8761" s="55">
        <v>0</v>
      </c>
      <c r="AR8761" s="55">
        <v>28500</v>
      </c>
      <c r="AS8761" s="78">
        <f t="shared" si="140"/>
        <v>0</v>
      </c>
    </row>
    <row r="8762" spans="39:45">
      <c r="AM8762" s="54">
        <v>2020</v>
      </c>
      <c r="AN8762" s="54" t="s">
        <v>183</v>
      </c>
      <c r="AO8762" s="54">
        <v>1</v>
      </c>
      <c r="AP8762" s="54">
        <v>24</v>
      </c>
      <c r="AQ8762" s="54">
        <v>0</v>
      </c>
      <c r="AR8762" s="55">
        <v>28500</v>
      </c>
      <c r="AS8762" s="78">
        <f t="shared" si="140"/>
        <v>0</v>
      </c>
    </row>
    <row r="8763" spans="39:45">
      <c r="AM8763" s="55">
        <v>2020</v>
      </c>
      <c r="AN8763" s="55" t="s">
        <v>183</v>
      </c>
      <c r="AO8763" s="55">
        <v>1</v>
      </c>
      <c r="AP8763" s="55">
        <v>1</v>
      </c>
      <c r="AQ8763" s="55">
        <v>0</v>
      </c>
      <c r="AR8763" s="55">
        <v>28500</v>
      </c>
      <c r="AS8763" s="78">
        <f t="shared" si="140"/>
        <v>0</v>
      </c>
    </row>
    <row r="8764" spans="39:45">
      <c r="AM8764" s="54">
        <v>2020</v>
      </c>
      <c r="AN8764" s="54" t="s">
        <v>183</v>
      </c>
      <c r="AO8764" s="54">
        <v>1</v>
      </c>
      <c r="AP8764" s="54">
        <v>2</v>
      </c>
      <c r="AQ8764" s="54">
        <v>0</v>
      </c>
      <c r="AR8764" s="55">
        <v>28500</v>
      </c>
      <c r="AS8764" s="78">
        <f t="shared" si="140"/>
        <v>0</v>
      </c>
    </row>
    <row r="8765" spans="39:45">
      <c r="AM8765" s="55">
        <v>2020</v>
      </c>
      <c r="AN8765" s="55" t="s">
        <v>183</v>
      </c>
      <c r="AO8765" s="55">
        <v>1</v>
      </c>
      <c r="AP8765" s="55">
        <v>3</v>
      </c>
      <c r="AQ8765" s="55">
        <v>0</v>
      </c>
      <c r="AR8765" s="55">
        <v>28500</v>
      </c>
      <c r="AS8765" s="78">
        <f t="shared" si="140"/>
        <v>0</v>
      </c>
    </row>
    <row r="8766" spans="39:45">
      <c r="AM8766" s="54">
        <v>2020</v>
      </c>
      <c r="AN8766" s="54" t="s">
        <v>183</v>
      </c>
      <c r="AO8766" s="54">
        <v>1</v>
      </c>
      <c r="AP8766" s="54">
        <v>4</v>
      </c>
      <c r="AQ8766" s="54">
        <v>0</v>
      </c>
      <c r="AR8766" s="55">
        <v>28500</v>
      </c>
      <c r="AS8766" s="78">
        <f t="shared" si="140"/>
        <v>0</v>
      </c>
    </row>
    <row r="8767" spans="39:45">
      <c r="AM8767" s="55">
        <v>2020</v>
      </c>
      <c r="AN8767" s="55" t="s">
        <v>183</v>
      </c>
      <c r="AO8767" s="55">
        <v>1</v>
      </c>
      <c r="AP8767" s="55">
        <v>5</v>
      </c>
      <c r="AQ8767" s="55">
        <v>0</v>
      </c>
      <c r="AR8767" s="55">
        <v>28500</v>
      </c>
      <c r="AS8767" s="78">
        <f t="shared" si="140"/>
        <v>0</v>
      </c>
    </row>
    <row r="8768" spans="39:45">
      <c r="AM8768" s="54">
        <v>2020</v>
      </c>
      <c r="AN8768" s="54" t="s">
        <v>183</v>
      </c>
      <c r="AO8768" s="54">
        <v>1</v>
      </c>
      <c r="AP8768" s="54">
        <v>6</v>
      </c>
      <c r="AQ8768" s="54">
        <v>0</v>
      </c>
      <c r="AR8768" s="55">
        <v>28500</v>
      </c>
      <c r="AS8768" s="78">
        <f t="shared" si="140"/>
        <v>0</v>
      </c>
    </row>
    <row r="8769" spans="39:45">
      <c r="AM8769" s="55">
        <v>2020</v>
      </c>
      <c r="AN8769" s="55" t="s">
        <v>183</v>
      </c>
      <c r="AO8769" s="55">
        <v>1</v>
      </c>
      <c r="AP8769" s="55">
        <v>7</v>
      </c>
      <c r="AQ8769" s="55">
        <v>0</v>
      </c>
      <c r="AR8769" s="55">
        <v>28500</v>
      </c>
      <c r="AS8769" s="78">
        <f t="shared" si="140"/>
        <v>0</v>
      </c>
    </row>
    <row r="8770" spans="39:45">
      <c r="AM8770" s="54">
        <v>2020</v>
      </c>
      <c r="AN8770" s="54" t="s">
        <v>183</v>
      </c>
      <c r="AO8770" s="54">
        <v>1</v>
      </c>
      <c r="AP8770" s="54">
        <v>8</v>
      </c>
      <c r="AQ8770" s="54">
        <v>0</v>
      </c>
      <c r="AR8770" s="55">
        <v>28500</v>
      </c>
      <c r="AS8770" s="78">
        <f t="shared" ref="AS8770:AS8833" si="141">AQ8770/AR8770</f>
        <v>0</v>
      </c>
    </row>
    <row r="8771" spans="39:45">
      <c r="AM8771" s="55">
        <v>2020</v>
      </c>
      <c r="AN8771" s="55" t="s">
        <v>183</v>
      </c>
      <c r="AO8771" s="55">
        <v>1</v>
      </c>
      <c r="AP8771" s="55">
        <v>9</v>
      </c>
      <c r="AQ8771" s="55">
        <v>689</v>
      </c>
      <c r="AR8771" s="55">
        <v>28500</v>
      </c>
      <c r="AS8771" s="78">
        <f t="shared" si="141"/>
        <v>2.4175438596491228E-2</v>
      </c>
    </row>
    <row r="8772" spans="39:45">
      <c r="AM8772" s="54">
        <v>2020</v>
      </c>
      <c r="AN8772" s="54" t="s">
        <v>183</v>
      </c>
      <c r="AO8772" s="54">
        <v>1</v>
      </c>
      <c r="AP8772" s="54">
        <v>10</v>
      </c>
      <c r="AQ8772" s="54">
        <v>2393.5</v>
      </c>
      <c r="AR8772" s="55">
        <v>28500</v>
      </c>
      <c r="AS8772" s="78">
        <f t="shared" si="141"/>
        <v>8.3982456140350881E-2</v>
      </c>
    </row>
    <row r="8773" spans="39:45">
      <c r="AM8773" s="55">
        <v>2020</v>
      </c>
      <c r="AN8773" s="55" t="s">
        <v>183</v>
      </c>
      <c r="AO8773" s="55">
        <v>1</v>
      </c>
      <c r="AP8773" s="55">
        <v>11</v>
      </c>
      <c r="AQ8773" s="55">
        <v>1681</v>
      </c>
      <c r="AR8773" s="55">
        <v>28500</v>
      </c>
      <c r="AS8773" s="78">
        <f t="shared" si="141"/>
        <v>5.8982456140350879E-2</v>
      </c>
    </row>
    <row r="8774" spans="39:45">
      <c r="AM8774" s="54">
        <v>2020</v>
      </c>
      <c r="AN8774" s="54" t="s">
        <v>183</v>
      </c>
      <c r="AO8774" s="54">
        <v>1</v>
      </c>
      <c r="AP8774" s="54">
        <v>12</v>
      </c>
      <c r="AQ8774" s="54">
        <v>1865</v>
      </c>
      <c r="AR8774" s="55">
        <v>28500</v>
      </c>
      <c r="AS8774" s="78">
        <f t="shared" si="141"/>
        <v>6.5438596491228074E-2</v>
      </c>
    </row>
    <row r="8775" spans="39:45">
      <c r="AM8775" s="55">
        <v>2020</v>
      </c>
      <c r="AN8775" s="55" t="s">
        <v>183</v>
      </c>
      <c r="AO8775" s="55">
        <v>1</v>
      </c>
      <c r="AP8775" s="55">
        <v>13</v>
      </c>
      <c r="AQ8775" s="55">
        <v>1417.5</v>
      </c>
      <c r="AR8775" s="55">
        <v>28500</v>
      </c>
      <c r="AS8775" s="78">
        <f t="shared" si="141"/>
        <v>4.9736842105263156E-2</v>
      </c>
    </row>
    <row r="8776" spans="39:45">
      <c r="AM8776" s="54">
        <v>2020</v>
      </c>
      <c r="AN8776" s="54" t="s">
        <v>183</v>
      </c>
      <c r="AO8776" s="54">
        <v>1</v>
      </c>
      <c r="AP8776" s="54">
        <v>14</v>
      </c>
      <c r="AQ8776" s="54">
        <v>816.5</v>
      </c>
      <c r="AR8776" s="55">
        <v>28500</v>
      </c>
      <c r="AS8776" s="78">
        <f t="shared" si="141"/>
        <v>2.8649122807017542E-2</v>
      </c>
    </row>
    <row r="8777" spans="39:45">
      <c r="AM8777" s="55">
        <v>2020</v>
      </c>
      <c r="AN8777" s="55" t="s">
        <v>183</v>
      </c>
      <c r="AO8777" s="55">
        <v>1</v>
      </c>
      <c r="AP8777" s="55">
        <v>15</v>
      </c>
      <c r="AQ8777" s="55">
        <v>643</v>
      </c>
      <c r="AR8777" s="55">
        <v>28500</v>
      </c>
      <c r="AS8777" s="78">
        <f t="shared" si="141"/>
        <v>2.2561403508771932E-2</v>
      </c>
    </row>
    <row r="8778" spans="39:45">
      <c r="AM8778" s="54">
        <v>2020</v>
      </c>
      <c r="AN8778" s="54" t="s">
        <v>183</v>
      </c>
      <c r="AO8778" s="54">
        <v>1</v>
      </c>
      <c r="AP8778" s="54">
        <v>16</v>
      </c>
      <c r="AQ8778" s="54">
        <v>0</v>
      </c>
      <c r="AR8778" s="55">
        <v>28500</v>
      </c>
      <c r="AS8778" s="78">
        <f t="shared" si="141"/>
        <v>0</v>
      </c>
    </row>
    <row r="8779" spans="39:45">
      <c r="AM8779" s="55">
        <v>2020</v>
      </c>
      <c r="AN8779" s="55" t="s">
        <v>183</v>
      </c>
      <c r="AO8779" s="55">
        <v>1</v>
      </c>
      <c r="AP8779" s="55">
        <v>17</v>
      </c>
      <c r="AQ8779" s="55">
        <v>0</v>
      </c>
      <c r="AR8779" s="55">
        <v>28500</v>
      </c>
      <c r="AS8779" s="78">
        <f t="shared" si="141"/>
        <v>0</v>
      </c>
    </row>
    <row r="8780" spans="39:45">
      <c r="AM8780" s="54">
        <v>2020</v>
      </c>
      <c r="AN8780" s="54" t="s">
        <v>183</v>
      </c>
      <c r="AO8780" s="54">
        <v>1</v>
      </c>
      <c r="AP8780" s="54">
        <v>18</v>
      </c>
      <c r="AQ8780" s="54">
        <v>0</v>
      </c>
      <c r="AR8780" s="55">
        <v>28500</v>
      </c>
      <c r="AS8780" s="78">
        <f t="shared" si="141"/>
        <v>0</v>
      </c>
    </row>
    <row r="8781" spans="39:45">
      <c r="AM8781" s="55">
        <v>2020</v>
      </c>
      <c r="AN8781" s="55" t="s">
        <v>183</v>
      </c>
      <c r="AO8781" s="55">
        <v>1</v>
      </c>
      <c r="AP8781" s="55">
        <v>19</v>
      </c>
      <c r="AQ8781" s="55">
        <v>0</v>
      </c>
      <c r="AR8781" s="55">
        <v>28500</v>
      </c>
      <c r="AS8781" s="78">
        <f t="shared" si="141"/>
        <v>0</v>
      </c>
    </row>
    <row r="8782" spans="39:45">
      <c r="AM8782" s="54">
        <v>2020</v>
      </c>
      <c r="AN8782" s="54" t="s">
        <v>183</v>
      </c>
      <c r="AO8782" s="54">
        <v>1</v>
      </c>
      <c r="AP8782" s="54">
        <v>20</v>
      </c>
      <c r="AQ8782" s="54">
        <v>0</v>
      </c>
      <c r="AR8782" s="55">
        <v>28500</v>
      </c>
      <c r="AS8782" s="78">
        <f t="shared" si="141"/>
        <v>0</v>
      </c>
    </row>
    <row r="8783" spans="39:45">
      <c r="AM8783" s="55">
        <v>2020</v>
      </c>
      <c r="AN8783" s="55" t="s">
        <v>183</v>
      </c>
      <c r="AO8783" s="55">
        <v>1</v>
      </c>
      <c r="AP8783" s="55">
        <v>21</v>
      </c>
      <c r="AQ8783" s="55">
        <v>0</v>
      </c>
      <c r="AR8783" s="55">
        <v>28500</v>
      </c>
      <c r="AS8783" s="78">
        <f t="shared" si="141"/>
        <v>0</v>
      </c>
    </row>
    <row r="8784" spans="39:45">
      <c r="AM8784" s="54">
        <v>2020</v>
      </c>
      <c r="AN8784" s="54" t="s">
        <v>183</v>
      </c>
      <c r="AO8784" s="54">
        <v>1</v>
      </c>
      <c r="AP8784" s="54">
        <v>22</v>
      </c>
      <c r="AQ8784" s="54">
        <v>0</v>
      </c>
      <c r="AR8784" s="55">
        <v>28500</v>
      </c>
      <c r="AS8784" s="78">
        <f t="shared" si="141"/>
        <v>0</v>
      </c>
    </row>
    <row r="8785" spans="39:45">
      <c r="AM8785" s="55">
        <v>2020</v>
      </c>
      <c r="AN8785" s="55" t="s">
        <v>183</v>
      </c>
      <c r="AO8785" s="55">
        <v>1</v>
      </c>
      <c r="AP8785" s="55">
        <v>23</v>
      </c>
      <c r="AQ8785" s="55">
        <v>0</v>
      </c>
      <c r="AR8785" s="55">
        <v>28500</v>
      </c>
      <c r="AS8785" s="78">
        <f t="shared" si="141"/>
        <v>0</v>
      </c>
    </row>
    <row r="8786" spans="39:45">
      <c r="AM8786" s="54">
        <v>2020</v>
      </c>
      <c r="AN8786" s="54" t="s">
        <v>183</v>
      </c>
      <c r="AO8786" s="54">
        <v>2</v>
      </c>
      <c r="AP8786" s="54">
        <v>24</v>
      </c>
      <c r="AQ8786" s="54">
        <v>0</v>
      </c>
      <c r="AR8786" s="55">
        <v>28500</v>
      </c>
      <c r="AS8786" s="78">
        <f t="shared" si="141"/>
        <v>0</v>
      </c>
    </row>
    <row r="8787" spans="39:45">
      <c r="AM8787" s="55">
        <v>2020</v>
      </c>
      <c r="AN8787" s="55" t="s">
        <v>183</v>
      </c>
      <c r="AO8787" s="55">
        <v>2</v>
      </c>
      <c r="AP8787" s="55">
        <v>1</v>
      </c>
      <c r="AQ8787" s="55">
        <v>0</v>
      </c>
      <c r="AR8787" s="55">
        <v>28500</v>
      </c>
      <c r="AS8787" s="78">
        <f t="shared" si="141"/>
        <v>0</v>
      </c>
    </row>
    <row r="8788" spans="39:45">
      <c r="AM8788" s="54">
        <v>2020</v>
      </c>
      <c r="AN8788" s="54" t="s">
        <v>183</v>
      </c>
      <c r="AO8788" s="54">
        <v>2</v>
      </c>
      <c r="AP8788" s="54">
        <v>2</v>
      </c>
      <c r="AQ8788" s="54">
        <v>0</v>
      </c>
      <c r="AR8788" s="55">
        <v>28500</v>
      </c>
      <c r="AS8788" s="78">
        <f t="shared" si="141"/>
        <v>0</v>
      </c>
    </row>
    <row r="8789" spans="39:45">
      <c r="AM8789" s="55">
        <v>2020</v>
      </c>
      <c r="AN8789" s="55" t="s">
        <v>183</v>
      </c>
      <c r="AO8789" s="55">
        <v>2</v>
      </c>
      <c r="AP8789" s="55">
        <v>3</v>
      </c>
      <c r="AQ8789" s="55">
        <v>0</v>
      </c>
      <c r="AR8789" s="55">
        <v>28500</v>
      </c>
      <c r="AS8789" s="78">
        <f t="shared" si="141"/>
        <v>0</v>
      </c>
    </row>
    <row r="8790" spans="39:45">
      <c r="AM8790" s="54">
        <v>2020</v>
      </c>
      <c r="AN8790" s="54" t="s">
        <v>183</v>
      </c>
      <c r="AO8790" s="54">
        <v>2</v>
      </c>
      <c r="AP8790" s="54">
        <v>4</v>
      </c>
      <c r="AQ8790" s="54">
        <v>0</v>
      </c>
      <c r="AR8790" s="55">
        <v>28500</v>
      </c>
      <c r="AS8790" s="78">
        <f t="shared" si="141"/>
        <v>0</v>
      </c>
    </row>
    <row r="8791" spans="39:45">
      <c r="AM8791" s="55">
        <v>2020</v>
      </c>
      <c r="AN8791" s="55" t="s">
        <v>183</v>
      </c>
      <c r="AO8791" s="55">
        <v>2</v>
      </c>
      <c r="AP8791" s="55">
        <v>5</v>
      </c>
      <c r="AQ8791" s="55">
        <v>0</v>
      </c>
      <c r="AR8791" s="55">
        <v>28500</v>
      </c>
      <c r="AS8791" s="78">
        <f t="shared" si="141"/>
        <v>0</v>
      </c>
    </row>
    <row r="8792" spans="39:45">
      <c r="AM8792" s="54">
        <v>2020</v>
      </c>
      <c r="AN8792" s="54" t="s">
        <v>183</v>
      </c>
      <c r="AO8792" s="54">
        <v>2</v>
      </c>
      <c r="AP8792" s="54">
        <v>6</v>
      </c>
      <c r="AQ8792" s="54">
        <v>0</v>
      </c>
      <c r="AR8792" s="55">
        <v>28500</v>
      </c>
      <c r="AS8792" s="78">
        <f t="shared" si="141"/>
        <v>0</v>
      </c>
    </row>
    <row r="8793" spans="39:45">
      <c r="AM8793" s="55">
        <v>2020</v>
      </c>
      <c r="AN8793" s="55" t="s">
        <v>183</v>
      </c>
      <c r="AO8793" s="55">
        <v>2</v>
      </c>
      <c r="AP8793" s="55">
        <v>7</v>
      </c>
      <c r="AQ8793" s="55">
        <v>0</v>
      </c>
      <c r="AR8793" s="55">
        <v>28500</v>
      </c>
      <c r="AS8793" s="78">
        <f t="shared" si="141"/>
        <v>0</v>
      </c>
    </row>
    <row r="8794" spans="39:45">
      <c r="AM8794" s="54">
        <v>2020</v>
      </c>
      <c r="AN8794" s="54" t="s">
        <v>183</v>
      </c>
      <c r="AO8794" s="54">
        <v>2</v>
      </c>
      <c r="AP8794" s="54">
        <v>8</v>
      </c>
      <c r="AQ8794" s="54">
        <v>0</v>
      </c>
      <c r="AR8794" s="55">
        <v>28500</v>
      </c>
      <c r="AS8794" s="78">
        <f t="shared" si="141"/>
        <v>0</v>
      </c>
    </row>
    <row r="8795" spans="39:45">
      <c r="AM8795" s="55">
        <v>2020</v>
      </c>
      <c r="AN8795" s="55" t="s">
        <v>183</v>
      </c>
      <c r="AO8795" s="55">
        <v>2</v>
      </c>
      <c r="AP8795" s="55">
        <v>9</v>
      </c>
      <c r="AQ8795" s="55">
        <v>74.5</v>
      </c>
      <c r="AR8795" s="55">
        <v>28500</v>
      </c>
      <c r="AS8795" s="78">
        <f t="shared" si="141"/>
        <v>2.6140350877192982E-3</v>
      </c>
    </row>
    <row r="8796" spans="39:45">
      <c r="AM8796" s="54">
        <v>2020</v>
      </c>
      <c r="AN8796" s="54" t="s">
        <v>183</v>
      </c>
      <c r="AO8796" s="54">
        <v>2</v>
      </c>
      <c r="AP8796" s="54">
        <v>10</v>
      </c>
      <c r="AQ8796" s="54">
        <v>1401.5</v>
      </c>
      <c r="AR8796" s="55">
        <v>28500</v>
      </c>
      <c r="AS8796" s="78">
        <f t="shared" si="141"/>
        <v>4.9175438596491226E-2</v>
      </c>
    </row>
    <row r="8797" spans="39:45">
      <c r="AM8797" s="55">
        <v>2020</v>
      </c>
      <c r="AN8797" s="55" t="s">
        <v>183</v>
      </c>
      <c r="AO8797" s="55">
        <v>2</v>
      </c>
      <c r="AP8797" s="55">
        <v>11</v>
      </c>
      <c r="AQ8797" s="55">
        <v>3685</v>
      </c>
      <c r="AR8797" s="55">
        <v>28500</v>
      </c>
      <c r="AS8797" s="78">
        <f t="shared" si="141"/>
        <v>0.12929824561403508</v>
      </c>
    </row>
    <row r="8798" spans="39:45">
      <c r="AM8798" s="54">
        <v>2020</v>
      </c>
      <c r="AN8798" s="54" t="s">
        <v>183</v>
      </c>
      <c r="AO8798" s="54">
        <v>2</v>
      </c>
      <c r="AP8798" s="54">
        <v>12</v>
      </c>
      <c r="AQ8798" s="54">
        <v>6053</v>
      </c>
      <c r="AR8798" s="55">
        <v>28500</v>
      </c>
      <c r="AS8798" s="78">
        <f t="shared" si="141"/>
        <v>0.21238596491228071</v>
      </c>
    </row>
    <row r="8799" spans="39:45">
      <c r="AM8799" s="55">
        <v>2020</v>
      </c>
      <c r="AN8799" s="55" t="s">
        <v>183</v>
      </c>
      <c r="AO8799" s="55">
        <v>2</v>
      </c>
      <c r="AP8799" s="55">
        <v>13</v>
      </c>
      <c r="AQ8799" s="55">
        <v>3870</v>
      </c>
      <c r="AR8799" s="55">
        <v>28500</v>
      </c>
      <c r="AS8799" s="78">
        <f t="shared" si="141"/>
        <v>0.13578947368421052</v>
      </c>
    </row>
    <row r="8800" spans="39:45">
      <c r="AM8800" s="54">
        <v>2020</v>
      </c>
      <c r="AN8800" s="54" t="s">
        <v>183</v>
      </c>
      <c r="AO8800" s="54">
        <v>2</v>
      </c>
      <c r="AP8800" s="54">
        <v>14</v>
      </c>
      <c r="AQ8800" s="54">
        <v>936.5</v>
      </c>
      <c r="AR8800" s="55">
        <v>28500</v>
      </c>
      <c r="AS8800" s="78">
        <f t="shared" si="141"/>
        <v>3.2859649122807019E-2</v>
      </c>
    </row>
    <row r="8801" spans="39:45">
      <c r="AM8801" s="55">
        <v>2020</v>
      </c>
      <c r="AN8801" s="55" t="s">
        <v>183</v>
      </c>
      <c r="AO8801" s="55">
        <v>2</v>
      </c>
      <c r="AP8801" s="55">
        <v>15</v>
      </c>
      <c r="AQ8801" s="55">
        <v>0</v>
      </c>
      <c r="AR8801" s="55">
        <v>28500</v>
      </c>
      <c r="AS8801" s="78">
        <f t="shared" si="141"/>
        <v>0</v>
      </c>
    </row>
    <row r="8802" spans="39:45">
      <c r="AM8802" s="54">
        <v>2020</v>
      </c>
      <c r="AN8802" s="54" t="s">
        <v>183</v>
      </c>
      <c r="AO8802" s="54">
        <v>2</v>
      </c>
      <c r="AP8802" s="54">
        <v>16</v>
      </c>
      <c r="AQ8802" s="54">
        <v>0</v>
      </c>
      <c r="AR8802" s="55">
        <v>28500</v>
      </c>
      <c r="AS8802" s="78">
        <f t="shared" si="141"/>
        <v>0</v>
      </c>
    </row>
    <row r="8803" spans="39:45">
      <c r="AM8803" s="55">
        <v>2020</v>
      </c>
      <c r="AN8803" s="55" t="s">
        <v>183</v>
      </c>
      <c r="AO8803" s="55">
        <v>2</v>
      </c>
      <c r="AP8803" s="55">
        <v>17</v>
      </c>
      <c r="AQ8803" s="55">
        <v>0</v>
      </c>
      <c r="AR8803" s="55">
        <v>28500</v>
      </c>
      <c r="AS8803" s="78">
        <f t="shared" si="141"/>
        <v>0</v>
      </c>
    </row>
    <row r="8804" spans="39:45">
      <c r="AM8804" s="54">
        <v>2020</v>
      </c>
      <c r="AN8804" s="54" t="s">
        <v>183</v>
      </c>
      <c r="AO8804" s="54">
        <v>2</v>
      </c>
      <c r="AP8804" s="54">
        <v>18</v>
      </c>
      <c r="AQ8804" s="54">
        <v>0</v>
      </c>
      <c r="AR8804" s="55">
        <v>28500</v>
      </c>
      <c r="AS8804" s="78">
        <f t="shared" si="141"/>
        <v>0</v>
      </c>
    </row>
    <row r="8805" spans="39:45">
      <c r="AM8805" s="55">
        <v>2020</v>
      </c>
      <c r="AN8805" s="55" t="s">
        <v>183</v>
      </c>
      <c r="AO8805" s="55">
        <v>2</v>
      </c>
      <c r="AP8805" s="55">
        <v>19</v>
      </c>
      <c r="AQ8805" s="55">
        <v>0</v>
      </c>
      <c r="AR8805" s="55">
        <v>28500</v>
      </c>
      <c r="AS8805" s="78">
        <f t="shared" si="141"/>
        <v>0</v>
      </c>
    </row>
    <row r="8806" spans="39:45">
      <c r="AM8806" s="54">
        <v>2020</v>
      </c>
      <c r="AN8806" s="54" t="s">
        <v>183</v>
      </c>
      <c r="AO8806" s="54">
        <v>2</v>
      </c>
      <c r="AP8806" s="54">
        <v>20</v>
      </c>
      <c r="AQ8806" s="54">
        <v>0</v>
      </c>
      <c r="AR8806" s="55">
        <v>28500</v>
      </c>
      <c r="AS8806" s="78">
        <f t="shared" si="141"/>
        <v>0</v>
      </c>
    </row>
    <row r="8807" spans="39:45">
      <c r="AM8807" s="55">
        <v>2020</v>
      </c>
      <c r="AN8807" s="55" t="s">
        <v>183</v>
      </c>
      <c r="AO8807" s="55">
        <v>2</v>
      </c>
      <c r="AP8807" s="55">
        <v>21</v>
      </c>
      <c r="AQ8807" s="55">
        <v>0</v>
      </c>
      <c r="AR8807" s="55">
        <v>28500</v>
      </c>
      <c r="AS8807" s="78">
        <f t="shared" si="141"/>
        <v>0</v>
      </c>
    </row>
    <row r="8808" spans="39:45">
      <c r="AM8808" s="54">
        <v>2020</v>
      </c>
      <c r="AN8808" s="54" t="s">
        <v>183</v>
      </c>
      <c r="AO8808" s="54">
        <v>2</v>
      </c>
      <c r="AP8808" s="54">
        <v>22</v>
      </c>
      <c r="AQ8808" s="54">
        <v>0</v>
      </c>
      <c r="AR8808" s="55">
        <v>28500</v>
      </c>
      <c r="AS8808" s="78">
        <f t="shared" si="141"/>
        <v>0</v>
      </c>
    </row>
    <row r="8809" spans="39:45">
      <c r="AM8809" s="55">
        <v>2020</v>
      </c>
      <c r="AN8809" s="55" t="s">
        <v>183</v>
      </c>
      <c r="AO8809" s="55">
        <v>2</v>
      </c>
      <c r="AP8809" s="55">
        <v>23</v>
      </c>
      <c r="AQ8809" s="55">
        <v>0</v>
      </c>
      <c r="AR8809" s="55">
        <v>28500</v>
      </c>
      <c r="AS8809" s="78">
        <f t="shared" si="141"/>
        <v>0</v>
      </c>
    </row>
    <row r="8810" spans="39:45">
      <c r="AM8810" s="54">
        <v>2020</v>
      </c>
      <c r="AN8810" s="54" t="s">
        <v>183</v>
      </c>
      <c r="AO8810" s="54">
        <v>3</v>
      </c>
      <c r="AP8810" s="54">
        <v>24</v>
      </c>
      <c r="AQ8810" s="54">
        <v>0</v>
      </c>
      <c r="AR8810" s="55">
        <v>28500</v>
      </c>
      <c r="AS8810" s="78">
        <f t="shared" si="141"/>
        <v>0</v>
      </c>
    </row>
    <row r="8811" spans="39:45">
      <c r="AM8811" s="55">
        <v>2020</v>
      </c>
      <c r="AN8811" s="55" t="s">
        <v>183</v>
      </c>
      <c r="AO8811" s="55">
        <v>3</v>
      </c>
      <c r="AP8811" s="55">
        <v>1</v>
      </c>
      <c r="AQ8811" s="55">
        <v>0</v>
      </c>
      <c r="AR8811" s="55">
        <v>28500</v>
      </c>
      <c r="AS8811" s="78">
        <f t="shared" si="141"/>
        <v>0</v>
      </c>
    </row>
    <row r="8812" spans="39:45">
      <c r="AM8812" s="54">
        <v>2020</v>
      </c>
      <c r="AN8812" s="54" t="s">
        <v>183</v>
      </c>
      <c r="AO8812" s="54">
        <v>3</v>
      </c>
      <c r="AP8812" s="54">
        <v>2</v>
      </c>
      <c r="AQ8812" s="54">
        <v>0</v>
      </c>
      <c r="AR8812" s="55">
        <v>28500</v>
      </c>
      <c r="AS8812" s="78">
        <f t="shared" si="141"/>
        <v>0</v>
      </c>
    </row>
    <row r="8813" spans="39:45">
      <c r="AM8813" s="55">
        <v>2020</v>
      </c>
      <c r="AN8813" s="55" t="s">
        <v>183</v>
      </c>
      <c r="AO8813" s="55">
        <v>3</v>
      </c>
      <c r="AP8813" s="55">
        <v>3</v>
      </c>
      <c r="AQ8813" s="55">
        <v>0</v>
      </c>
      <c r="AR8813" s="55">
        <v>28500</v>
      </c>
      <c r="AS8813" s="78">
        <f t="shared" si="141"/>
        <v>0</v>
      </c>
    </row>
    <row r="8814" spans="39:45">
      <c r="AM8814" s="54">
        <v>2020</v>
      </c>
      <c r="AN8814" s="54" t="s">
        <v>183</v>
      </c>
      <c r="AO8814" s="54">
        <v>3</v>
      </c>
      <c r="AP8814" s="54">
        <v>4</v>
      </c>
      <c r="AQ8814" s="54">
        <v>0</v>
      </c>
      <c r="AR8814" s="55">
        <v>28500</v>
      </c>
      <c r="AS8814" s="78">
        <f t="shared" si="141"/>
        <v>0</v>
      </c>
    </row>
    <row r="8815" spans="39:45">
      <c r="AM8815" s="55">
        <v>2020</v>
      </c>
      <c r="AN8815" s="55" t="s">
        <v>183</v>
      </c>
      <c r="AO8815" s="55">
        <v>3</v>
      </c>
      <c r="AP8815" s="55">
        <v>5</v>
      </c>
      <c r="AQ8815" s="55">
        <v>0</v>
      </c>
      <c r="AR8815" s="55">
        <v>28500</v>
      </c>
      <c r="AS8815" s="78">
        <f t="shared" si="141"/>
        <v>0</v>
      </c>
    </row>
    <row r="8816" spans="39:45">
      <c r="AM8816" s="54">
        <v>2020</v>
      </c>
      <c r="AN8816" s="54" t="s">
        <v>183</v>
      </c>
      <c r="AO8816" s="54">
        <v>3</v>
      </c>
      <c r="AP8816" s="54">
        <v>6</v>
      </c>
      <c r="AQ8816" s="54">
        <v>0</v>
      </c>
      <c r="AR8816" s="55">
        <v>28500</v>
      </c>
      <c r="AS8816" s="78">
        <f t="shared" si="141"/>
        <v>0</v>
      </c>
    </row>
    <row r="8817" spans="39:45">
      <c r="AM8817" s="55">
        <v>2020</v>
      </c>
      <c r="AN8817" s="55" t="s">
        <v>183</v>
      </c>
      <c r="AO8817" s="55">
        <v>3</v>
      </c>
      <c r="AP8817" s="55">
        <v>7</v>
      </c>
      <c r="AQ8817" s="55">
        <v>0</v>
      </c>
      <c r="AR8817" s="55">
        <v>28500</v>
      </c>
      <c r="AS8817" s="78">
        <f t="shared" si="141"/>
        <v>0</v>
      </c>
    </row>
    <row r="8818" spans="39:45">
      <c r="AM8818" s="54">
        <v>2020</v>
      </c>
      <c r="AN8818" s="54" t="s">
        <v>183</v>
      </c>
      <c r="AO8818" s="54">
        <v>3</v>
      </c>
      <c r="AP8818" s="54">
        <v>8</v>
      </c>
      <c r="AQ8818" s="54">
        <v>0</v>
      </c>
      <c r="AR8818" s="55">
        <v>28500</v>
      </c>
      <c r="AS8818" s="78">
        <f t="shared" si="141"/>
        <v>0</v>
      </c>
    </row>
    <row r="8819" spans="39:45">
      <c r="AM8819" s="55">
        <v>2020</v>
      </c>
      <c r="AN8819" s="55" t="s">
        <v>183</v>
      </c>
      <c r="AO8819" s="55">
        <v>3</v>
      </c>
      <c r="AP8819" s="55">
        <v>9</v>
      </c>
      <c r="AQ8819" s="55">
        <v>5455.5</v>
      </c>
      <c r="AR8819" s="55">
        <v>28500</v>
      </c>
      <c r="AS8819" s="78">
        <f t="shared" si="141"/>
        <v>0.19142105263157894</v>
      </c>
    </row>
    <row r="8820" spans="39:45">
      <c r="AM8820" s="54">
        <v>2020</v>
      </c>
      <c r="AN8820" s="54" t="s">
        <v>183</v>
      </c>
      <c r="AO8820" s="54">
        <v>3</v>
      </c>
      <c r="AP8820" s="54">
        <v>10</v>
      </c>
      <c r="AQ8820" s="54">
        <v>194</v>
      </c>
      <c r="AR8820" s="55">
        <v>28500</v>
      </c>
      <c r="AS8820" s="78">
        <f t="shared" si="141"/>
        <v>6.8070175438596494E-3</v>
      </c>
    </row>
    <row r="8821" spans="39:45">
      <c r="AM8821" s="55">
        <v>2020</v>
      </c>
      <c r="AN8821" s="55" t="s">
        <v>183</v>
      </c>
      <c r="AO8821" s="55">
        <v>3</v>
      </c>
      <c r="AP8821" s="55">
        <v>11</v>
      </c>
      <c r="AQ8821" s="55">
        <v>16779</v>
      </c>
      <c r="AR8821" s="55">
        <v>28500</v>
      </c>
      <c r="AS8821" s="78">
        <f t="shared" si="141"/>
        <v>0.58873684210526311</v>
      </c>
    </row>
    <row r="8822" spans="39:45">
      <c r="AM8822" s="54">
        <v>2020</v>
      </c>
      <c r="AN8822" s="54" t="s">
        <v>183</v>
      </c>
      <c r="AO8822" s="54">
        <v>3</v>
      </c>
      <c r="AP8822" s="54">
        <v>12</v>
      </c>
      <c r="AQ8822" s="54">
        <v>2451</v>
      </c>
      <c r="AR8822" s="55">
        <v>28500</v>
      </c>
      <c r="AS8822" s="78">
        <f t="shared" si="141"/>
        <v>8.5999999999999993E-2</v>
      </c>
    </row>
    <row r="8823" spans="39:45">
      <c r="AM8823" s="55">
        <v>2020</v>
      </c>
      <c r="AN8823" s="55" t="s">
        <v>183</v>
      </c>
      <c r="AO8823" s="55">
        <v>3</v>
      </c>
      <c r="AP8823" s="55">
        <v>13</v>
      </c>
      <c r="AQ8823" s="55">
        <v>1553.5</v>
      </c>
      <c r="AR8823" s="55">
        <v>28500</v>
      </c>
      <c r="AS8823" s="78">
        <f t="shared" si="141"/>
        <v>5.4508771929824562E-2</v>
      </c>
    </row>
    <row r="8824" spans="39:45">
      <c r="AM8824" s="54">
        <v>2020</v>
      </c>
      <c r="AN8824" s="54" t="s">
        <v>183</v>
      </c>
      <c r="AO8824" s="54">
        <v>3</v>
      </c>
      <c r="AP8824" s="54">
        <v>14</v>
      </c>
      <c r="AQ8824" s="54">
        <v>20087</v>
      </c>
      <c r="AR8824" s="55">
        <v>28500</v>
      </c>
      <c r="AS8824" s="78">
        <f t="shared" si="141"/>
        <v>0.70480701754385966</v>
      </c>
    </row>
    <row r="8825" spans="39:45">
      <c r="AM8825" s="55">
        <v>2020</v>
      </c>
      <c r="AN8825" s="55" t="s">
        <v>183</v>
      </c>
      <c r="AO8825" s="55">
        <v>3</v>
      </c>
      <c r="AP8825" s="55">
        <v>15</v>
      </c>
      <c r="AQ8825" s="55">
        <v>11210</v>
      </c>
      <c r="AR8825" s="55">
        <v>28500</v>
      </c>
      <c r="AS8825" s="78">
        <f t="shared" si="141"/>
        <v>0.39333333333333331</v>
      </c>
    </row>
    <row r="8826" spans="39:45">
      <c r="AM8826" s="54">
        <v>2020</v>
      </c>
      <c r="AN8826" s="54" t="s">
        <v>183</v>
      </c>
      <c r="AO8826" s="54">
        <v>3</v>
      </c>
      <c r="AP8826" s="54">
        <v>16</v>
      </c>
      <c r="AQ8826" s="54">
        <v>0</v>
      </c>
      <c r="AR8826" s="55">
        <v>28500</v>
      </c>
      <c r="AS8826" s="78">
        <f t="shared" si="141"/>
        <v>0</v>
      </c>
    </row>
    <row r="8827" spans="39:45">
      <c r="AM8827" s="55">
        <v>2020</v>
      </c>
      <c r="AN8827" s="55" t="s">
        <v>183</v>
      </c>
      <c r="AO8827" s="55">
        <v>3</v>
      </c>
      <c r="AP8827" s="55">
        <v>17</v>
      </c>
      <c r="AQ8827" s="55">
        <v>0</v>
      </c>
      <c r="AR8827" s="55">
        <v>28500</v>
      </c>
      <c r="AS8827" s="78">
        <f t="shared" si="141"/>
        <v>0</v>
      </c>
    </row>
    <row r="8828" spans="39:45">
      <c r="AM8828" s="54">
        <v>2020</v>
      </c>
      <c r="AN8828" s="54" t="s">
        <v>183</v>
      </c>
      <c r="AO8828" s="54">
        <v>3</v>
      </c>
      <c r="AP8828" s="54">
        <v>18</v>
      </c>
      <c r="AQ8828" s="54">
        <v>0</v>
      </c>
      <c r="AR8828" s="55">
        <v>28500</v>
      </c>
      <c r="AS8828" s="78">
        <f t="shared" si="141"/>
        <v>0</v>
      </c>
    </row>
    <row r="8829" spans="39:45">
      <c r="AM8829" s="55">
        <v>2020</v>
      </c>
      <c r="AN8829" s="55" t="s">
        <v>183</v>
      </c>
      <c r="AO8829" s="55">
        <v>3</v>
      </c>
      <c r="AP8829" s="55">
        <v>19</v>
      </c>
      <c r="AQ8829" s="55">
        <v>0</v>
      </c>
      <c r="AR8829" s="55">
        <v>28500</v>
      </c>
      <c r="AS8829" s="78">
        <f t="shared" si="141"/>
        <v>0</v>
      </c>
    </row>
    <row r="8830" spans="39:45">
      <c r="AM8830" s="54">
        <v>2020</v>
      </c>
      <c r="AN8830" s="54" t="s">
        <v>183</v>
      </c>
      <c r="AO8830" s="54">
        <v>3</v>
      </c>
      <c r="AP8830" s="54">
        <v>20</v>
      </c>
      <c r="AQ8830" s="54">
        <v>0</v>
      </c>
      <c r="AR8830" s="55">
        <v>28500</v>
      </c>
      <c r="AS8830" s="78">
        <f t="shared" si="141"/>
        <v>0</v>
      </c>
    </row>
    <row r="8831" spans="39:45">
      <c r="AM8831" s="55">
        <v>2020</v>
      </c>
      <c r="AN8831" s="55" t="s">
        <v>183</v>
      </c>
      <c r="AO8831" s="55">
        <v>3</v>
      </c>
      <c r="AP8831" s="55">
        <v>21</v>
      </c>
      <c r="AQ8831" s="55">
        <v>0</v>
      </c>
      <c r="AR8831" s="55">
        <v>28500</v>
      </c>
      <c r="AS8831" s="78">
        <f t="shared" si="141"/>
        <v>0</v>
      </c>
    </row>
    <row r="8832" spans="39:45">
      <c r="AM8832" s="54">
        <v>2020</v>
      </c>
      <c r="AN8832" s="54" t="s">
        <v>183</v>
      </c>
      <c r="AO8832" s="54">
        <v>3</v>
      </c>
      <c r="AP8832" s="54">
        <v>22</v>
      </c>
      <c r="AQ8832" s="54">
        <v>0</v>
      </c>
      <c r="AR8832" s="55">
        <v>28500</v>
      </c>
      <c r="AS8832" s="78">
        <f t="shared" si="141"/>
        <v>0</v>
      </c>
    </row>
    <row r="8833" spans="39:45">
      <c r="AM8833" s="55">
        <v>2020</v>
      </c>
      <c r="AN8833" s="55" t="s">
        <v>183</v>
      </c>
      <c r="AO8833" s="55">
        <v>3</v>
      </c>
      <c r="AP8833" s="55">
        <v>23</v>
      </c>
      <c r="AQ8833" s="55">
        <v>0</v>
      </c>
      <c r="AR8833" s="55">
        <v>28500</v>
      </c>
      <c r="AS8833" s="78">
        <f t="shared" si="141"/>
        <v>0</v>
      </c>
    </row>
    <row r="8834" spans="39:45">
      <c r="AM8834" s="54">
        <v>2020</v>
      </c>
      <c r="AN8834" s="54" t="s">
        <v>183</v>
      </c>
      <c r="AO8834" s="54">
        <v>4</v>
      </c>
      <c r="AP8834" s="54">
        <v>24</v>
      </c>
      <c r="AQ8834" s="54">
        <v>0</v>
      </c>
      <c r="AR8834" s="55">
        <v>28500</v>
      </c>
      <c r="AS8834" s="78">
        <f t="shared" ref="AS8834:AS8897" si="142">AQ8834/AR8834</f>
        <v>0</v>
      </c>
    </row>
    <row r="8835" spans="39:45">
      <c r="AM8835" s="55">
        <v>2020</v>
      </c>
      <c r="AN8835" s="55" t="s">
        <v>183</v>
      </c>
      <c r="AO8835" s="55">
        <v>4</v>
      </c>
      <c r="AP8835" s="55">
        <v>1</v>
      </c>
      <c r="AQ8835" s="55">
        <v>0</v>
      </c>
      <c r="AR8835" s="55">
        <v>28500</v>
      </c>
      <c r="AS8835" s="78">
        <f t="shared" si="142"/>
        <v>0</v>
      </c>
    </row>
    <row r="8836" spans="39:45">
      <c r="AM8836" s="54">
        <v>2020</v>
      </c>
      <c r="AN8836" s="54" t="s">
        <v>183</v>
      </c>
      <c r="AO8836" s="54">
        <v>4</v>
      </c>
      <c r="AP8836" s="54">
        <v>2</v>
      </c>
      <c r="AQ8836" s="54">
        <v>0</v>
      </c>
      <c r="AR8836" s="55">
        <v>28500</v>
      </c>
      <c r="AS8836" s="78">
        <f t="shared" si="142"/>
        <v>0</v>
      </c>
    </row>
    <row r="8837" spans="39:45">
      <c r="AM8837" s="55">
        <v>2020</v>
      </c>
      <c r="AN8837" s="55" t="s">
        <v>183</v>
      </c>
      <c r="AO8837" s="55">
        <v>4</v>
      </c>
      <c r="AP8837" s="55">
        <v>3</v>
      </c>
      <c r="AQ8837" s="55">
        <v>0</v>
      </c>
      <c r="AR8837" s="55">
        <v>28500</v>
      </c>
      <c r="AS8837" s="78">
        <f t="shared" si="142"/>
        <v>0</v>
      </c>
    </row>
    <row r="8838" spans="39:45">
      <c r="AM8838" s="54">
        <v>2020</v>
      </c>
      <c r="AN8838" s="54" t="s">
        <v>183</v>
      </c>
      <c r="AO8838" s="54">
        <v>4</v>
      </c>
      <c r="AP8838" s="54">
        <v>4</v>
      </c>
      <c r="AQ8838" s="54">
        <v>0</v>
      </c>
      <c r="AR8838" s="55">
        <v>28500</v>
      </c>
      <c r="AS8838" s="78">
        <f t="shared" si="142"/>
        <v>0</v>
      </c>
    </row>
    <row r="8839" spans="39:45">
      <c r="AM8839" s="55">
        <v>2020</v>
      </c>
      <c r="AN8839" s="55" t="s">
        <v>183</v>
      </c>
      <c r="AO8839" s="55">
        <v>4</v>
      </c>
      <c r="AP8839" s="55">
        <v>5</v>
      </c>
      <c r="AQ8839" s="55">
        <v>0</v>
      </c>
      <c r="AR8839" s="55">
        <v>28500</v>
      </c>
      <c r="AS8839" s="78">
        <f t="shared" si="142"/>
        <v>0</v>
      </c>
    </row>
    <row r="8840" spans="39:45">
      <c r="AM8840" s="54">
        <v>2020</v>
      </c>
      <c r="AN8840" s="54" t="s">
        <v>183</v>
      </c>
      <c r="AO8840" s="54">
        <v>4</v>
      </c>
      <c r="AP8840" s="54">
        <v>6</v>
      </c>
      <c r="AQ8840" s="54">
        <v>0</v>
      </c>
      <c r="AR8840" s="55">
        <v>28500</v>
      </c>
      <c r="AS8840" s="78">
        <f t="shared" si="142"/>
        <v>0</v>
      </c>
    </row>
    <row r="8841" spans="39:45">
      <c r="AM8841" s="55">
        <v>2020</v>
      </c>
      <c r="AN8841" s="55" t="s">
        <v>183</v>
      </c>
      <c r="AO8841" s="55">
        <v>4</v>
      </c>
      <c r="AP8841" s="55">
        <v>7</v>
      </c>
      <c r="AQ8841" s="55">
        <v>0</v>
      </c>
      <c r="AR8841" s="55">
        <v>28500</v>
      </c>
      <c r="AS8841" s="78">
        <f t="shared" si="142"/>
        <v>0</v>
      </c>
    </row>
    <row r="8842" spans="39:45">
      <c r="AM8842" s="54">
        <v>2020</v>
      </c>
      <c r="AN8842" s="54" t="s">
        <v>183</v>
      </c>
      <c r="AO8842" s="54">
        <v>4</v>
      </c>
      <c r="AP8842" s="54">
        <v>8</v>
      </c>
      <c r="AQ8842" s="54">
        <v>0</v>
      </c>
      <c r="AR8842" s="55">
        <v>28500</v>
      </c>
      <c r="AS8842" s="78">
        <f t="shared" si="142"/>
        <v>0</v>
      </c>
    </row>
    <row r="8843" spans="39:45">
      <c r="AM8843" s="55">
        <v>2020</v>
      </c>
      <c r="AN8843" s="55" t="s">
        <v>183</v>
      </c>
      <c r="AO8843" s="55">
        <v>4</v>
      </c>
      <c r="AP8843" s="55">
        <v>9</v>
      </c>
      <c r="AQ8843" s="55">
        <v>13567.5</v>
      </c>
      <c r="AR8843" s="55">
        <v>28500</v>
      </c>
      <c r="AS8843" s="78">
        <f t="shared" si="142"/>
        <v>0.47605263157894739</v>
      </c>
    </row>
    <row r="8844" spans="39:45">
      <c r="AM8844" s="54">
        <v>2020</v>
      </c>
      <c r="AN8844" s="54" t="s">
        <v>183</v>
      </c>
      <c r="AO8844" s="54">
        <v>4</v>
      </c>
      <c r="AP8844" s="54">
        <v>10</v>
      </c>
      <c r="AQ8844" s="54">
        <v>14822</v>
      </c>
      <c r="AR8844" s="55">
        <v>28500</v>
      </c>
      <c r="AS8844" s="78">
        <f t="shared" si="142"/>
        <v>0.52007017543859646</v>
      </c>
    </row>
    <row r="8845" spans="39:45">
      <c r="AM8845" s="55">
        <v>2020</v>
      </c>
      <c r="AN8845" s="55" t="s">
        <v>183</v>
      </c>
      <c r="AO8845" s="55">
        <v>4</v>
      </c>
      <c r="AP8845" s="55">
        <v>11</v>
      </c>
      <c r="AQ8845" s="55">
        <v>4113.5</v>
      </c>
      <c r="AR8845" s="55">
        <v>28500</v>
      </c>
      <c r="AS8845" s="78">
        <f t="shared" si="142"/>
        <v>0.14433333333333334</v>
      </c>
    </row>
    <row r="8846" spans="39:45">
      <c r="AM8846" s="54">
        <v>2020</v>
      </c>
      <c r="AN8846" s="54" t="s">
        <v>183</v>
      </c>
      <c r="AO8846" s="54">
        <v>4</v>
      </c>
      <c r="AP8846" s="54">
        <v>12</v>
      </c>
      <c r="AQ8846" s="54">
        <v>12737.5</v>
      </c>
      <c r="AR8846" s="55">
        <v>28500</v>
      </c>
      <c r="AS8846" s="78">
        <f t="shared" si="142"/>
        <v>0.44692982456140351</v>
      </c>
    </row>
    <row r="8847" spans="39:45">
      <c r="AM8847" s="55">
        <v>2020</v>
      </c>
      <c r="AN8847" s="55" t="s">
        <v>183</v>
      </c>
      <c r="AO8847" s="55">
        <v>4</v>
      </c>
      <c r="AP8847" s="55">
        <v>13</v>
      </c>
      <c r="AQ8847" s="55">
        <v>27087.5</v>
      </c>
      <c r="AR8847" s="55">
        <v>28500</v>
      </c>
      <c r="AS8847" s="78">
        <f t="shared" si="142"/>
        <v>0.95043859649122808</v>
      </c>
    </row>
    <row r="8848" spans="39:45">
      <c r="AM8848" s="54">
        <v>2020</v>
      </c>
      <c r="AN8848" s="54" t="s">
        <v>183</v>
      </c>
      <c r="AO8848" s="54">
        <v>4</v>
      </c>
      <c r="AP8848" s="54">
        <v>14</v>
      </c>
      <c r="AQ8848" s="54">
        <v>21759</v>
      </c>
      <c r="AR8848" s="55">
        <v>28500</v>
      </c>
      <c r="AS8848" s="78">
        <f t="shared" si="142"/>
        <v>0.7634736842105263</v>
      </c>
    </row>
    <row r="8849" spans="39:45">
      <c r="AM8849" s="55">
        <v>2020</v>
      </c>
      <c r="AN8849" s="55" t="s">
        <v>183</v>
      </c>
      <c r="AO8849" s="55">
        <v>4</v>
      </c>
      <c r="AP8849" s="55">
        <v>15</v>
      </c>
      <c r="AQ8849" s="55">
        <v>10070</v>
      </c>
      <c r="AR8849" s="55">
        <v>28500</v>
      </c>
      <c r="AS8849" s="78">
        <f t="shared" si="142"/>
        <v>0.35333333333333333</v>
      </c>
    </row>
    <row r="8850" spans="39:45">
      <c r="AM8850" s="54">
        <v>2020</v>
      </c>
      <c r="AN8850" s="54" t="s">
        <v>183</v>
      </c>
      <c r="AO8850" s="54">
        <v>4</v>
      </c>
      <c r="AP8850" s="54">
        <v>16</v>
      </c>
      <c r="AQ8850" s="54">
        <v>0</v>
      </c>
      <c r="AR8850" s="55">
        <v>28500</v>
      </c>
      <c r="AS8850" s="78">
        <f t="shared" si="142"/>
        <v>0</v>
      </c>
    </row>
    <row r="8851" spans="39:45">
      <c r="AM8851" s="55">
        <v>2020</v>
      </c>
      <c r="AN8851" s="55" t="s">
        <v>183</v>
      </c>
      <c r="AO8851" s="55">
        <v>4</v>
      </c>
      <c r="AP8851" s="55">
        <v>17</v>
      </c>
      <c r="AQ8851" s="55">
        <v>0</v>
      </c>
      <c r="AR8851" s="55">
        <v>28500</v>
      </c>
      <c r="AS8851" s="78">
        <f t="shared" si="142"/>
        <v>0</v>
      </c>
    </row>
    <row r="8852" spans="39:45">
      <c r="AM8852" s="54">
        <v>2020</v>
      </c>
      <c r="AN8852" s="54" t="s">
        <v>183</v>
      </c>
      <c r="AO8852" s="54">
        <v>4</v>
      </c>
      <c r="AP8852" s="54">
        <v>18</v>
      </c>
      <c r="AQ8852" s="54">
        <v>0</v>
      </c>
      <c r="AR8852" s="55">
        <v>28500</v>
      </c>
      <c r="AS8852" s="78">
        <f t="shared" si="142"/>
        <v>0</v>
      </c>
    </row>
    <row r="8853" spans="39:45">
      <c r="AM8853" s="55">
        <v>2020</v>
      </c>
      <c r="AN8853" s="55" t="s">
        <v>183</v>
      </c>
      <c r="AO8853" s="55">
        <v>4</v>
      </c>
      <c r="AP8853" s="55">
        <v>19</v>
      </c>
      <c r="AQ8853" s="55">
        <v>0</v>
      </c>
      <c r="AR8853" s="55">
        <v>28500</v>
      </c>
      <c r="AS8853" s="78">
        <f t="shared" si="142"/>
        <v>0</v>
      </c>
    </row>
    <row r="8854" spans="39:45">
      <c r="AM8854" s="54">
        <v>2020</v>
      </c>
      <c r="AN8854" s="54" t="s">
        <v>183</v>
      </c>
      <c r="AO8854" s="54">
        <v>4</v>
      </c>
      <c r="AP8854" s="54">
        <v>20</v>
      </c>
      <c r="AQ8854" s="54">
        <v>0</v>
      </c>
      <c r="AR8854" s="55">
        <v>28500</v>
      </c>
      <c r="AS8854" s="78">
        <f t="shared" si="142"/>
        <v>0</v>
      </c>
    </row>
    <row r="8855" spans="39:45">
      <c r="AM8855" s="55">
        <v>2020</v>
      </c>
      <c r="AN8855" s="55" t="s">
        <v>183</v>
      </c>
      <c r="AO8855" s="55">
        <v>4</v>
      </c>
      <c r="AP8855" s="55">
        <v>21</v>
      </c>
      <c r="AQ8855" s="55">
        <v>0</v>
      </c>
      <c r="AR8855" s="55">
        <v>28500</v>
      </c>
      <c r="AS8855" s="78">
        <f t="shared" si="142"/>
        <v>0</v>
      </c>
    </row>
    <row r="8856" spans="39:45">
      <c r="AM8856" s="54">
        <v>2020</v>
      </c>
      <c r="AN8856" s="54" t="s">
        <v>183</v>
      </c>
      <c r="AO8856" s="54">
        <v>4</v>
      </c>
      <c r="AP8856" s="54">
        <v>22</v>
      </c>
      <c r="AQ8856" s="54">
        <v>0</v>
      </c>
      <c r="AR8856" s="55">
        <v>28500</v>
      </c>
      <c r="AS8856" s="78">
        <f t="shared" si="142"/>
        <v>0</v>
      </c>
    </row>
    <row r="8857" spans="39:45">
      <c r="AM8857" s="55">
        <v>2020</v>
      </c>
      <c r="AN8857" s="55" t="s">
        <v>183</v>
      </c>
      <c r="AO8857" s="55">
        <v>4</v>
      </c>
      <c r="AP8857" s="55">
        <v>23</v>
      </c>
      <c r="AQ8857" s="55">
        <v>0</v>
      </c>
      <c r="AR8857" s="55">
        <v>28500</v>
      </c>
      <c r="AS8857" s="78">
        <f t="shared" si="142"/>
        <v>0</v>
      </c>
    </row>
    <row r="8858" spans="39:45">
      <c r="AM8858" s="54">
        <v>2020</v>
      </c>
      <c r="AN8858" s="54" t="s">
        <v>183</v>
      </c>
      <c r="AO8858" s="54">
        <v>5</v>
      </c>
      <c r="AP8858" s="54">
        <v>24</v>
      </c>
      <c r="AQ8858" s="54">
        <v>0</v>
      </c>
      <c r="AR8858" s="55">
        <v>28500</v>
      </c>
      <c r="AS8858" s="78">
        <f t="shared" si="142"/>
        <v>0</v>
      </c>
    </row>
    <row r="8859" spans="39:45">
      <c r="AM8859" s="55">
        <v>2020</v>
      </c>
      <c r="AN8859" s="55" t="s">
        <v>183</v>
      </c>
      <c r="AO8859" s="55">
        <v>5</v>
      </c>
      <c r="AP8859" s="55">
        <v>1</v>
      </c>
      <c r="AQ8859" s="55">
        <v>0</v>
      </c>
      <c r="AR8859" s="55">
        <v>28500</v>
      </c>
      <c r="AS8859" s="78">
        <f t="shared" si="142"/>
        <v>0</v>
      </c>
    </row>
    <row r="8860" spans="39:45">
      <c r="AM8860" s="54">
        <v>2020</v>
      </c>
      <c r="AN8860" s="54" t="s">
        <v>183</v>
      </c>
      <c r="AO8860" s="54">
        <v>5</v>
      </c>
      <c r="AP8860" s="54">
        <v>2</v>
      </c>
      <c r="AQ8860" s="54">
        <v>0</v>
      </c>
      <c r="AR8860" s="55">
        <v>28500</v>
      </c>
      <c r="AS8860" s="78">
        <f t="shared" si="142"/>
        <v>0</v>
      </c>
    </row>
    <row r="8861" spans="39:45">
      <c r="AM8861" s="55">
        <v>2020</v>
      </c>
      <c r="AN8861" s="55" t="s">
        <v>183</v>
      </c>
      <c r="AO8861" s="55">
        <v>5</v>
      </c>
      <c r="AP8861" s="55">
        <v>3</v>
      </c>
      <c r="AQ8861" s="55">
        <v>0</v>
      </c>
      <c r="AR8861" s="55">
        <v>28500</v>
      </c>
      <c r="AS8861" s="78">
        <f t="shared" si="142"/>
        <v>0</v>
      </c>
    </row>
    <row r="8862" spans="39:45">
      <c r="AM8862" s="54">
        <v>2020</v>
      </c>
      <c r="AN8862" s="54" t="s">
        <v>183</v>
      </c>
      <c r="AO8862" s="54">
        <v>5</v>
      </c>
      <c r="AP8862" s="54">
        <v>4</v>
      </c>
      <c r="AQ8862" s="54">
        <v>0</v>
      </c>
      <c r="AR8862" s="55">
        <v>28500</v>
      </c>
      <c r="AS8862" s="78">
        <f t="shared" si="142"/>
        <v>0</v>
      </c>
    </row>
    <row r="8863" spans="39:45">
      <c r="AM8863" s="55">
        <v>2020</v>
      </c>
      <c r="AN8863" s="55" t="s">
        <v>183</v>
      </c>
      <c r="AO8863" s="55">
        <v>5</v>
      </c>
      <c r="AP8863" s="55">
        <v>5</v>
      </c>
      <c r="AQ8863" s="55">
        <v>0</v>
      </c>
      <c r="AR8863" s="55">
        <v>28500</v>
      </c>
      <c r="AS8863" s="78">
        <f t="shared" si="142"/>
        <v>0</v>
      </c>
    </row>
    <row r="8864" spans="39:45">
      <c r="AM8864" s="54">
        <v>2020</v>
      </c>
      <c r="AN8864" s="54" t="s">
        <v>183</v>
      </c>
      <c r="AO8864" s="54">
        <v>5</v>
      </c>
      <c r="AP8864" s="54">
        <v>6</v>
      </c>
      <c r="AQ8864" s="54">
        <v>0</v>
      </c>
      <c r="AR8864" s="55">
        <v>28500</v>
      </c>
      <c r="AS8864" s="78">
        <f t="shared" si="142"/>
        <v>0</v>
      </c>
    </row>
    <row r="8865" spans="39:45">
      <c r="AM8865" s="55">
        <v>2020</v>
      </c>
      <c r="AN8865" s="55" t="s">
        <v>183</v>
      </c>
      <c r="AO8865" s="55">
        <v>5</v>
      </c>
      <c r="AP8865" s="55">
        <v>7</v>
      </c>
      <c r="AQ8865" s="55">
        <v>0</v>
      </c>
      <c r="AR8865" s="55">
        <v>28500</v>
      </c>
      <c r="AS8865" s="78">
        <f t="shared" si="142"/>
        <v>0</v>
      </c>
    </row>
    <row r="8866" spans="39:45">
      <c r="AM8866" s="54">
        <v>2020</v>
      </c>
      <c r="AN8866" s="54" t="s">
        <v>183</v>
      </c>
      <c r="AO8866" s="54">
        <v>5</v>
      </c>
      <c r="AP8866" s="54">
        <v>8</v>
      </c>
      <c r="AQ8866" s="54">
        <v>0</v>
      </c>
      <c r="AR8866" s="55">
        <v>28500</v>
      </c>
      <c r="AS8866" s="78">
        <f t="shared" si="142"/>
        <v>0</v>
      </c>
    </row>
    <row r="8867" spans="39:45">
      <c r="AM8867" s="55">
        <v>2020</v>
      </c>
      <c r="AN8867" s="55" t="s">
        <v>183</v>
      </c>
      <c r="AO8867" s="55">
        <v>5</v>
      </c>
      <c r="AP8867" s="55">
        <v>9</v>
      </c>
      <c r="AQ8867" s="55">
        <v>2062.5</v>
      </c>
      <c r="AR8867" s="55">
        <v>28500</v>
      </c>
      <c r="AS8867" s="78">
        <f t="shared" si="142"/>
        <v>7.2368421052631582E-2</v>
      </c>
    </row>
    <row r="8868" spans="39:45">
      <c r="AM8868" s="54">
        <v>2020</v>
      </c>
      <c r="AN8868" s="54" t="s">
        <v>183</v>
      </c>
      <c r="AO8868" s="54">
        <v>5</v>
      </c>
      <c r="AP8868" s="54">
        <v>10</v>
      </c>
      <c r="AQ8868" s="54">
        <v>2795.5</v>
      </c>
      <c r="AR8868" s="55">
        <v>28500</v>
      </c>
      <c r="AS8868" s="78">
        <f t="shared" si="142"/>
        <v>9.8087719298245613E-2</v>
      </c>
    </row>
    <row r="8869" spans="39:45">
      <c r="AM8869" s="55">
        <v>2020</v>
      </c>
      <c r="AN8869" s="55" t="s">
        <v>183</v>
      </c>
      <c r="AO8869" s="55">
        <v>5</v>
      </c>
      <c r="AP8869" s="55">
        <v>11</v>
      </c>
      <c r="AQ8869" s="55">
        <v>6430</v>
      </c>
      <c r="AR8869" s="55">
        <v>28500</v>
      </c>
      <c r="AS8869" s="78">
        <f t="shared" si="142"/>
        <v>0.22561403508771929</v>
      </c>
    </row>
    <row r="8870" spans="39:45">
      <c r="AM8870" s="54">
        <v>2020</v>
      </c>
      <c r="AN8870" s="54" t="s">
        <v>183</v>
      </c>
      <c r="AO8870" s="54">
        <v>5</v>
      </c>
      <c r="AP8870" s="54">
        <v>12</v>
      </c>
      <c r="AQ8870" s="54">
        <v>1773.5</v>
      </c>
      <c r="AR8870" s="55">
        <v>28500</v>
      </c>
      <c r="AS8870" s="78">
        <f t="shared" si="142"/>
        <v>6.2228070175438598E-2</v>
      </c>
    </row>
    <row r="8871" spans="39:45">
      <c r="AM8871" s="55">
        <v>2020</v>
      </c>
      <c r="AN8871" s="55" t="s">
        <v>183</v>
      </c>
      <c r="AO8871" s="55">
        <v>5</v>
      </c>
      <c r="AP8871" s="55">
        <v>13</v>
      </c>
      <c r="AQ8871" s="55">
        <v>1476</v>
      </c>
      <c r="AR8871" s="55">
        <v>28500</v>
      </c>
      <c r="AS8871" s="78">
        <f t="shared" si="142"/>
        <v>5.1789473684210524E-2</v>
      </c>
    </row>
    <row r="8872" spans="39:45">
      <c r="AM8872" s="54">
        <v>2020</v>
      </c>
      <c r="AN8872" s="54" t="s">
        <v>183</v>
      </c>
      <c r="AO8872" s="54">
        <v>5</v>
      </c>
      <c r="AP8872" s="54">
        <v>14</v>
      </c>
      <c r="AQ8872" s="54">
        <v>1329.5</v>
      </c>
      <c r="AR8872" s="55">
        <v>28500</v>
      </c>
      <c r="AS8872" s="78">
        <f t="shared" si="142"/>
        <v>4.6649122807017544E-2</v>
      </c>
    </row>
    <row r="8873" spans="39:45">
      <c r="AM8873" s="55">
        <v>2020</v>
      </c>
      <c r="AN8873" s="55" t="s">
        <v>183</v>
      </c>
      <c r="AO8873" s="55">
        <v>5</v>
      </c>
      <c r="AP8873" s="55">
        <v>15</v>
      </c>
      <c r="AQ8873" s="55">
        <v>856</v>
      </c>
      <c r="AR8873" s="55">
        <v>28500</v>
      </c>
      <c r="AS8873" s="78">
        <f t="shared" si="142"/>
        <v>3.0035087719298244E-2</v>
      </c>
    </row>
    <row r="8874" spans="39:45">
      <c r="AM8874" s="54">
        <v>2020</v>
      </c>
      <c r="AN8874" s="54" t="s">
        <v>183</v>
      </c>
      <c r="AO8874" s="54">
        <v>5</v>
      </c>
      <c r="AP8874" s="54">
        <v>16</v>
      </c>
      <c r="AQ8874" s="54">
        <v>0</v>
      </c>
      <c r="AR8874" s="55">
        <v>28500</v>
      </c>
      <c r="AS8874" s="78">
        <f t="shared" si="142"/>
        <v>0</v>
      </c>
    </row>
    <row r="8875" spans="39:45">
      <c r="AM8875" s="55">
        <v>2020</v>
      </c>
      <c r="AN8875" s="55" t="s">
        <v>183</v>
      </c>
      <c r="AO8875" s="55">
        <v>5</v>
      </c>
      <c r="AP8875" s="55">
        <v>17</v>
      </c>
      <c r="AQ8875" s="55">
        <v>0</v>
      </c>
      <c r="AR8875" s="55">
        <v>28500</v>
      </c>
      <c r="AS8875" s="78">
        <f t="shared" si="142"/>
        <v>0</v>
      </c>
    </row>
    <row r="8876" spans="39:45">
      <c r="AM8876" s="54">
        <v>2020</v>
      </c>
      <c r="AN8876" s="54" t="s">
        <v>183</v>
      </c>
      <c r="AO8876" s="54">
        <v>5</v>
      </c>
      <c r="AP8876" s="54">
        <v>18</v>
      </c>
      <c r="AQ8876" s="54">
        <v>0</v>
      </c>
      <c r="AR8876" s="55">
        <v>28500</v>
      </c>
      <c r="AS8876" s="78">
        <f t="shared" si="142"/>
        <v>0</v>
      </c>
    </row>
    <row r="8877" spans="39:45">
      <c r="AM8877" s="55">
        <v>2020</v>
      </c>
      <c r="AN8877" s="55" t="s">
        <v>183</v>
      </c>
      <c r="AO8877" s="55">
        <v>5</v>
      </c>
      <c r="AP8877" s="55">
        <v>19</v>
      </c>
      <c r="AQ8877" s="55">
        <v>0</v>
      </c>
      <c r="AR8877" s="55">
        <v>28500</v>
      </c>
      <c r="AS8877" s="78">
        <f t="shared" si="142"/>
        <v>0</v>
      </c>
    </row>
    <row r="8878" spans="39:45">
      <c r="AM8878" s="54">
        <v>2020</v>
      </c>
      <c r="AN8878" s="54" t="s">
        <v>183</v>
      </c>
      <c r="AO8878" s="54">
        <v>5</v>
      </c>
      <c r="AP8878" s="54">
        <v>20</v>
      </c>
      <c r="AQ8878" s="54">
        <v>0</v>
      </c>
      <c r="AR8878" s="55">
        <v>28500</v>
      </c>
      <c r="AS8878" s="78">
        <f t="shared" si="142"/>
        <v>0</v>
      </c>
    </row>
    <row r="8879" spans="39:45">
      <c r="AM8879" s="55">
        <v>2020</v>
      </c>
      <c r="AN8879" s="55" t="s">
        <v>183</v>
      </c>
      <c r="AO8879" s="55">
        <v>5</v>
      </c>
      <c r="AP8879" s="55">
        <v>21</v>
      </c>
      <c r="AQ8879" s="55">
        <v>0</v>
      </c>
      <c r="AR8879" s="55">
        <v>28500</v>
      </c>
      <c r="AS8879" s="78">
        <f t="shared" si="142"/>
        <v>0</v>
      </c>
    </row>
    <row r="8880" spans="39:45">
      <c r="AM8880" s="54">
        <v>2020</v>
      </c>
      <c r="AN8880" s="54" t="s">
        <v>183</v>
      </c>
      <c r="AO8880" s="54">
        <v>5</v>
      </c>
      <c r="AP8880" s="54">
        <v>22</v>
      </c>
      <c r="AQ8880" s="54">
        <v>0</v>
      </c>
      <c r="AR8880" s="55">
        <v>28500</v>
      </c>
      <c r="AS8880" s="78">
        <f t="shared" si="142"/>
        <v>0</v>
      </c>
    </row>
    <row r="8881" spans="39:45">
      <c r="AM8881" s="55">
        <v>2020</v>
      </c>
      <c r="AN8881" s="55" t="s">
        <v>183</v>
      </c>
      <c r="AO8881" s="55">
        <v>5</v>
      </c>
      <c r="AP8881" s="55">
        <v>23</v>
      </c>
      <c r="AQ8881" s="55">
        <v>0</v>
      </c>
      <c r="AR8881" s="55">
        <v>28500</v>
      </c>
      <c r="AS8881" s="78">
        <f t="shared" si="142"/>
        <v>0</v>
      </c>
    </row>
    <row r="8882" spans="39:45">
      <c r="AM8882" s="54">
        <v>2020</v>
      </c>
      <c r="AN8882" s="54" t="s">
        <v>183</v>
      </c>
      <c r="AO8882" s="54">
        <v>6</v>
      </c>
      <c r="AP8882" s="54">
        <v>24</v>
      </c>
      <c r="AQ8882" s="54">
        <v>0</v>
      </c>
      <c r="AR8882" s="55">
        <v>28500</v>
      </c>
      <c r="AS8882" s="78">
        <f t="shared" si="142"/>
        <v>0</v>
      </c>
    </row>
    <row r="8883" spans="39:45">
      <c r="AM8883" s="55">
        <v>2020</v>
      </c>
      <c r="AN8883" s="55" t="s">
        <v>183</v>
      </c>
      <c r="AO8883" s="55">
        <v>6</v>
      </c>
      <c r="AP8883" s="55">
        <v>1</v>
      </c>
      <c r="AQ8883" s="55">
        <v>0</v>
      </c>
      <c r="AR8883" s="55">
        <v>28500</v>
      </c>
      <c r="AS8883" s="78">
        <f t="shared" si="142"/>
        <v>0</v>
      </c>
    </row>
    <row r="8884" spans="39:45">
      <c r="AM8884" s="54">
        <v>2020</v>
      </c>
      <c r="AN8884" s="54" t="s">
        <v>183</v>
      </c>
      <c r="AO8884" s="54">
        <v>6</v>
      </c>
      <c r="AP8884" s="54">
        <v>2</v>
      </c>
      <c r="AQ8884" s="54">
        <v>0</v>
      </c>
      <c r="AR8884" s="55">
        <v>28500</v>
      </c>
      <c r="AS8884" s="78">
        <f t="shared" si="142"/>
        <v>0</v>
      </c>
    </row>
    <row r="8885" spans="39:45">
      <c r="AM8885" s="55">
        <v>2020</v>
      </c>
      <c r="AN8885" s="55" t="s">
        <v>183</v>
      </c>
      <c r="AO8885" s="55">
        <v>6</v>
      </c>
      <c r="AP8885" s="55">
        <v>3</v>
      </c>
      <c r="AQ8885" s="55">
        <v>0</v>
      </c>
      <c r="AR8885" s="55">
        <v>28500</v>
      </c>
      <c r="AS8885" s="78">
        <f t="shared" si="142"/>
        <v>0</v>
      </c>
    </row>
    <row r="8886" spans="39:45">
      <c r="AM8886" s="54">
        <v>2020</v>
      </c>
      <c r="AN8886" s="54" t="s">
        <v>183</v>
      </c>
      <c r="AO8886" s="54">
        <v>6</v>
      </c>
      <c r="AP8886" s="54">
        <v>4</v>
      </c>
      <c r="AQ8886" s="54">
        <v>0</v>
      </c>
      <c r="AR8886" s="55">
        <v>28500</v>
      </c>
      <c r="AS8886" s="78">
        <f t="shared" si="142"/>
        <v>0</v>
      </c>
    </row>
    <row r="8887" spans="39:45">
      <c r="AM8887" s="55">
        <v>2020</v>
      </c>
      <c r="AN8887" s="55" t="s">
        <v>183</v>
      </c>
      <c r="AO8887" s="55">
        <v>6</v>
      </c>
      <c r="AP8887" s="55">
        <v>5</v>
      </c>
      <c r="AQ8887" s="55">
        <v>0</v>
      </c>
      <c r="AR8887" s="55">
        <v>28500</v>
      </c>
      <c r="AS8887" s="78">
        <f t="shared" si="142"/>
        <v>0</v>
      </c>
    </row>
    <row r="8888" spans="39:45">
      <c r="AM8888" s="54">
        <v>2020</v>
      </c>
      <c r="AN8888" s="54" t="s">
        <v>183</v>
      </c>
      <c r="AO8888" s="54">
        <v>6</v>
      </c>
      <c r="AP8888" s="54">
        <v>6</v>
      </c>
      <c r="AQ8888" s="54">
        <v>0</v>
      </c>
      <c r="AR8888" s="55">
        <v>28500</v>
      </c>
      <c r="AS8888" s="78">
        <f t="shared" si="142"/>
        <v>0</v>
      </c>
    </row>
    <row r="8889" spans="39:45">
      <c r="AM8889" s="55">
        <v>2020</v>
      </c>
      <c r="AN8889" s="55" t="s">
        <v>183</v>
      </c>
      <c r="AO8889" s="55">
        <v>6</v>
      </c>
      <c r="AP8889" s="55">
        <v>7</v>
      </c>
      <c r="AQ8889" s="55">
        <v>0</v>
      </c>
      <c r="AR8889" s="55">
        <v>28500</v>
      </c>
      <c r="AS8889" s="78">
        <f t="shared" si="142"/>
        <v>0</v>
      </c>
    </row>
    <row r="8890" spans="39:45">
      <c r="AM8890" s="54">
        <v>2020</v>
      </c>
      <c r="AN8890" s="54" t="s">
        <v>183</v>
      </c>
      <c r="AO8890" s="54">
        <v>6</v>
      </c>
      <c r="AP8890" s="54">
        <v>8</v>
      </c>
      <c r="AQ8890" s="54">
        <v>0</v>
      </c>
      <c r="AR8890" s="55">
        <v>28500</v>
      </c>
      <c r="AS8890" s="78">
        <f t="shared" si="142"/>
        <v>0</v>
      </c>
    </row>
    <row r="8891" spans="39:45">
      <c r="AM8891" s="55">
        <v>2020</v>
      </c>
      <c r="AN8891" s="55" t="s">
        <v>183</v>
      </c>
      <c r="AO8891" s="55">
        <v>6</v>
      </c>
      <c r="AP8891" s="55">
        <v>9</v>
      </c>
      <c r="AQ8891" s="55">
        <v>1112.5</v>
      </c>
      <c r="AR8891" s="55">
        <v>28500</v>
      </c>
      <c r="AS8891" s="78">
        <f t="shared" si="142"/>
        <v>3.9035087719298249E-2</v>
      </c>
    </row>
    <row r="8892" spans="39:45">
      <c r="AM8892" s="54">
        <v>2020</v>
      </c>
      <c r="AN8892" s="54" t="s">
        <v>183</v>
      </c>
      <c r="AO8892" s="54">
        <v>6</v>
      </c>
      <c r="AP8892" s="54">
        <v>10</v>
      </c>
      <c r="AQ8892" s="54">
        <v>9304</v>
      </c>
      <c r="AR8892" s="55">
        <v>28500</v>
      </c>
      <c r="AS8892" s="78">
        <f t="shared" si="142"/>
        <v>0.32645614035087717</v>
      </c>
    </row>
    <row r="8893" spans="39:45">
      <c r="AM8893" s="55">
        <v>2020</v>
      </c>
      <c r="AN8893" s="55" t="s">
        <v>183</v>
      </c>
      <c r="AO8893" s="55">
        <v>6</v>
      </c>
      <c r="AP8893" s="55">
        <v>11</v>
      </c>
      <c r="AQ8893" s="55">
        <v>16963.5</v>
      </c>
      <c r="AR8893" s="55">
        <v>28500</v>
      </c>
      <c r="AS8893" s="78">
        <f t="shared" si="142"/>
        <v>0.59521052631578952</v>
      </c>
    </row>
    <row r="8894" spans="39:45">
      <c r="AM8894" s="54">
        <v>2020</v>
      </c>
      <c r="AN8894" s="54" t="s">
        <v>183</v>
      </c>
      <c r="AO8894" s="54">
        <v>6</v>
      </c>
      <c r="AP8894" s="54">
        <v>12</v>
      </c>
      <c r="AQ8894" s="54">
        <v>28007.5</v>
      </c>
      <c r="AR8894" s="55">
        <v>28500</v>
      </c>
      <c r="AS8894" s="78">
        <f t="shared" si="142"/>
        <v>0.98271929824561399</v>
      </c>
    </row>
    <row r="8895" spans="39:45">
      <c r="AM8895" s="55">
        <v>2020</v>
      </c>
      <c r="AN8895" s="55" t="s">
        <v>183</v>
      </c>
      <c r="AO8895" s="55">
        <v>6</v>
      </c>
      <c r="AP8895" s="55">
        <v>13</v>
      </c>
      <c r="AQ8895" s="55">
        <v>2616</v>
      </c>
      <c r="AR8895" s="55">
        <v>28500</v>
      </c>
      <c r="AS8895" s="78">
        <f t="shared" si="142"/>
        <v>9.1789473684210532E-2</v>
      </c>
    </row>
    <row r="8896" spans="39:45">
      <c r="AM8896" s="54">
        <v>2020</v>
      </c>
      <c r="AN8896" s="54" t="s">
        <v>183</v>
      </c>
      <c r="AO8896" s="54">
        <v>6</v>
      </c>
      <c r="AP8896" s="54">
        <v>14</v>
      </c>
      <c r="AQ8896" s="54">
        <v>24321</v>
      </c>
      <c r="AR8896" s="55">
        <v>28500</v>
      </c>
      <c r="AS8896" s="78">
        <f t="shared" si="142"/>
        <v>0.85336842105263155</v>
      </c>
    </row>
    <row r="8897" spans="39:45">
      <c r="AM8897" s="55">
        <v>2020</v>
      </c>
      <c r="AN8897" s="55" t="s">
        <v>183</v>
      </c>
      <c r="AO8897" s="55">
        <v>6</v>
      </c>
      <c r="AP8897" s="55">
        <v>15</v>
      </c>
      <c r="AQ8897" s="55">
        <v>1521</v>
      </c>
      <c r="AR8897" s="55">
        <v>28500</v>
      </c>
      <c r="AS8897" s="78">
        <f t="shared" si="142"/>
        <v>5.3368421052631579E-2</v>
      </c>
    </row>
    <row r="8898" spans="39:45">
      <c r="AM8898" s="54">
        <v>2020</v>
      </c>
      <c r="AN8898" s="54" t="s">
        <v>183</v>
      </c>
      <c r="AO8898" s="54">
        <v>6</v>
      </c>
      <c r="AP8898" s="54">
        <v>16</v>
      </c>
      <c r="AQ8898" s="54">
        <v>0</v>
      </c>
      <c r="AR8898" s="55">
        <v>28500</v>
      </c>
      <c r="AS8898" s="78">
        <f t="shared" ref="AS8898:AS8961" si="143">AQ8898/AR8898</f>
        <v>0</v>
      </c>
    </row>
    <row r="8899" spans="39:45">
      <c r="AM8899" s="55">
        <v>2020</v>
      </c>
      <c r="AN8899" s="55" t="s">
        <v>183</v>
      </c>
      <c r="AO8899" s="55">
        <v>6</v>
      </c>
      <c r="AP8899" s="55">
        <v>17</v>
      </c>
      <c r="AQ8899" s="55">
        <v>0</v>
      </c>
      <c r="AR8899" s="55">
        <v>28500</v>
      </c>
      <c r="AS8899" s="78">
        <f t="shared" si="143"/>
        <v>0</v>
      </c>
    </row>
    <row r="8900" spans="39:45">
      <c r="AM8900" s="54">
        <v>2020</v>
      </c>
      <c r="AN8900" s="54" t="s">
        <v>183</v>
      </c>
      <c r="AO8900" s="54">
        <v>6</v>
      </c>
      <c r="AP8900" s="54">
        <v>18</v>
      </c>
      <c r="AQ8900" s="54">
        <v>0</v>
      </c>
      <c r="AR8900" s="55">
        <v>28500</v>
      </c>
      <c r="AS8900" s="78">
        <f t="shared" si="143"/>
        <v>0</v>
      </c>
    </row>
    <row r="8901" spans="39:45">
      <c r="AM8901" s="55">
        <v>2020</v>
      </c>
      <c r="AN8901" s="55" t="s">
        <v>183</v>
      </c>
      <c r="AO8901" s="55">
        <v>6</v>
      </c>
      <c r="AP8901" s="55">
        <v>19</v>
      </c>
      <c r="AQ8901" s="55">
        <v>0</v>
      </c>
      <c r="AR8901" s="55">
        <v>28500</v>
      </c>
      <c r="AS8901" s="78">
        <f t="shared" si="143"/>
        <v>0</v>
      </c>
    </row>
    <row r="8902" spans="39:45">
      <c r="AM8902" s="54">
        <v>2020</v>
      </c>
      <c r="AN8902" s="54" t="s">
        <v>183</v>
      </c>
      <c r="AO8902" s="54">
        <v>6</v>
      </c>
      <c r="AP8902" s="54">
        <v>20</v>
      </c>
      <c r="AQ8902" s="54">
        <v>0</v>
      </c>
      <c r="AR8902" s="55">
        <v>28500</v>
      </c>
      <c r="AS8902" s="78">
        <f t="shared" si="143"/>
        <v>0</v>
      </c>
    </row>
    <row r="8903" spans="39:45">
      <c r="AM8903" s="55">
        <v>2020</v>
      </c>
      <c r="AN8903" s="55" t="s">
        <v>183</v>
      </c>
      <c r="AO8903" s="55">
        <v>6</v>
      </c>
      <c r="AP8903" s="55">
        <v>21</v>
      </c>
      <c r="AQ8903" s="55">
        <v>0</v>
      </c>
      <c r="AR8903" s="55">
        <v>28500</v>
      </c>
      <c r="AS8903" s="78">
        <f t="shared" si="143"/>
        <v>0</v>
      </c>
    </row>
    <row r="8904" spans="39:45">
      <c r="AM8904" s="54">
        <v>2020</v>
      </c>
      <c r="AN8904" s="54" t="s">
        <v>183</v>
      </c>
      <c r="AO8904" s="54">
        <v>6</v>
      </c>
      <c r="AP8904" s="54">
        <v>22</v>
      </c>
      <c r="AQ8904" s="54">
        <v>0</v>
      </c>
      <c r="AR8904" s="55">
        <v>28500</v>
      </c>
      <c r="AS8904" s="78">
        <f t="shared" si="143"/>
        <v>0</v>
      </c>
    </row>
    <row r="8905" spans="39:45">
      <c r="AM8905" s="55">
        <v>2020</v>
      </c>
      <c r="AN8905" s="55" t="s">
        <v>183</v>
      </c>
      <c r="AO8905" s="55">
        <v>6</v>
      </c>
      <c r="AP8905" s="55">
        <v>23</v>
      </c>
      <c r="AQ8905" s="55">
        <v>0</v>
      </c>
      <c r="AR8905" s="55">
        <v>28500</v>
      </c>
      <c r="AS8905" s="78">
        <f t="shared" si="143"/>
        <v>0</v>
      </c>
    </row>
    <row r="8906" spans="39:45">
      <c r="AM8906" s="54">
        <v>2020</v>
      </c>
      <c r="AN8906" s="54" t="s">
        <v>183</v>
      </c>
      <c r="AO8906" s="54">
        <v>7</v>
      </c>
      <c r="AP8906" s="54">
        <v>24</v>
      </c>
      <c r="AQ8906" s="54">
        <v>0</v>
      </c>
      <c r="AR8906" s="55">
        <v>28500</v>
      </c>
      <c r="AS8906" s="78">
        <f t="shared" si="143"/>
        <v>0</v>
      </c>
    </row>
    <row r="8907" spans="39:45">
      <c r="AM8907" s="55">
        <v>2020</v>
      </c>
      <c r="AN8907" s="55" t="s">
        <v>183</v>
      </c>
      <c r="AO8907" s="55">
        <v>7</v>
      </c>
      <c r="AP8907" s="55">
        <v>1</v>
      </c>
      <c r="AQ8907" s="55">
        <v>0</v>
      </c>
      <c r="AR8907" s="55">
        <v>28500</v>
      </c>
      <c r="AS8907" s="78">
        <f t="shared" si="143"/>
        <v>0</v>
      </c>
    </row>
    <row r="8908" spans="39:45">
      <c r="AM8908" s="54">
        <v>2020</v>
      </c>
      <c r="AN8908" s="54" t="s">
        <v>183</v>
      </c>
      <c r="AO8908" s="54">
        <v>7</v>
      </c>
      <c r="AP8908" s="54">
        <v>2</v>
      </c>
      <c r="AQ8908" s="54">
        <v>0</v>
      </c>
      <c r="AR8908" s="55">
        <v>28500</v>
      </c>
      <c r="AS8908" s="78">
        <f t="shared" si="143"/>
        <v>0</v>
      </c>
    </row>
    <row r="8909" spans="39:45">
      <c r="AM8909" s="55">
        <v>2020</v>
      </c>
      <c r="AN8909" s="55" t="s">
        <v>183</v>
      </c>
      <c r="AO8909" s="55">
        <v>7</v>
      </c>
      <c r="AP8909" s="55">
        <v>3</v>
      </c>
      <c r="AQ8909" s="55">
        <v>0</v>
      </c>
      <c r="AR8909" s="55">
        <v>28500</v>
      </c>
      <c r="AS8909" s="78">
        <f t="shared" si="143"/>
        <v>0</v>
      </c>
    </row>
    <row r="8910" spans="39:45">
      <c r="AM8910" s="54">
        <v>2020</v>
      </c>
      <c r="AN8910" s="54" t="s">
        <v>183</v>
      </c>
      <c r="AO8910" s="54">
        <v>7</v>
      </c>
      <c r="AP8910" s="54">
        <v>4</v>
      </c>
      <c r="AQ8910" s="54">
        <v>0</v>
      </c>
      <c r="AR8910" s="55">
        <v>28500</v>
      </c>
      <c r="AS8910" s="78">
        <f t="shared" si="143"/>
        <v>0</v>
      </c>
    </row>
    <row r="8911" spans="39:45">
      <c r="AM8911" s="55">
        <v>2020</v>
      </c>
      <c r="AN8911" s="55" t="s">
        <v>183</v>
      </c>
      <c r="AO8911" s="55">
        <v>7</v>
      </c>
      <c r="AP8911" s="55">
        <v>5</v>
      </c>
      <c r="AQ8911" s="55">
        <v>0</v>
      </c>
      <c r="AR8911" s="55">
        <v>28500</v>
      </c>
      <c r="AS8911" s="78">
        <f t="shared" si="143"/>
        <v>0</v>
      </c>
    </row>
    <row r="8912" spans="39:45">
      <c r="AM8912" s="54">
        <v>2020</v>
      </c>
      <c r="AN8912" s="54" t="s">
        <v>183</v>
      </c>
      <c r="AO8912" s="54">
        <v>7</v>
      </c>
      <c r="AP8912" s="54">
        <v>6</v>
      </c>
      <c r="AQ8912" s="54">
        <v>0</v>
      </c>
      <c r="AR8912" s="55">
        <v>28500</v>
      </c>
      <c r="AS8912" s="78">
        <f t="shared" si="143"/>
        <v>0</v>
      </c>
    </row>
    <row r="8913" spans="39:45">
      <c r="AM8913" s="55">
        <v>2020</v>
      </c>
      <c r="AN8913" s="55" t="s">
        <v>183</v>
      </c>
      <c r="AO8913" s="55">
        <v>7</v>
      </c>
      <c r="AP8913" s="55">
        <v>7</v>
      </c>
      <c r="AQ8913" s="55">
        <v>0</v>
      </c>
      <c r="AR8913" s="55">
        <v>28500</v>
      </c>
      <c r="AS8913" s="78">
        <f t="shared" si="143"/>
        <v>0</v>
      </c>
    </row>
    <row r="8914" spans="39:45">
      <c r="AM8914" s="54">
        <v>2020</v>
      </c>
      <c r="AN8914" s="54" t="s">
        <v>183</v>
      </c>
      <c r="AO8914" s="54">
        <v>7</v>
      </c>
      <c r="AP8914" s="54">
        <v>8</v>
      </c>
      <c r="AQ8914" s="54">
        <v>0</v>
      </c>
      <c r="AR8914" s="55">
        <v>28500</v>
      </c>
      <c r="AS8914" s="78">
        <f t="shared" si="143"/>
        <v>0</v>
      </c>
    </row>
    <row r="8915" spans="39:45">
      <c r="AM8915" s="55">
        <v>2020</v>
      </c>
      <c r="AN8915" s="55" t="s">
        <v>183</v>
      </c>
      <c r="AO8915" s="55">
        <v>7</v>
      </c>
      <c r="AP8915" s="55">
        <v>9</v>
      </c>
      <c r="AQ8915" s="55">
        <v>485.5</v>
      </c>
      <c r="AR8915" s="55">
        <v>28500</v>
      </c>
      <c r="AS8915" s="78">
        <f t="shared" si="143"/>
        <v>1.7035087719298247E-2</v>
      </c>
    </row>
    <row r="8916" spans="39:45">
      <c r="AM8916" s="54">
        <v>2020</v>
      </c>
      <c r="AN8916" s="54" t="s">
        <v>183</v>
      </c>
      <c r="AO8916" s="54">
        <v>7</v>
      </c>
      <c r="AP8916" s="54">
        <v>10</v>
      </c>
      <c r="AQ8916" s="54">
        <v>2714.5</v>
      </c>
      <c r="AR8916" s="55">
        <v>28500</v>
      </c>
      <c r="AS8916" s="78">
        <f t="shared" si="143"/>
        <v>9.5245614035087717E-2</v>
      </c>
    </row>
    <row r="8917" spans="39:45">
      <c r="AM8917" s="55">
        <v>2020</v>
      </c>
      <c r="AN8917" s="55" t="s">
        <v>183</v>
      </c>
      <c r="AO8917" s="55">
        <v>7</v>
      </c>
      <c r="AP8917" s="55">
        <v>11</v>
      </c>
      <c r="AQ8917" s="55">
        <v>972</v>
      </c>
      <c r="AR8917" s="55">
        <v>28500</v>
      </c>
      <c r="AS8917" s="78">
        <f t="shared" si="143"/>
        <v>3.4105263157894736E-2</v>
      </c>
    </row>
    <row r="8918" spans="39:45">
      <c r="AM8918" s="54">
        <v>2020</v>
      </c>
      <c r="AN8918" s="54" t="s">
        <v>183</v>
      </c>
      <c r="AO8918" s="54">
        <v>7</v>
      </c>
      <c r="AP8918" s="54">
        <v>12</v>
      </c>
      <c r="AQ8918" s="54">
        <v>25551</v>
      </c>
      <c r="AR8918" s="55">
        <v>28500</v>
      </c>
      <c r="AS8918" s="78">
        <f t="shared" si="143"/>
        <v>0.89652631578947373</v>
      </c>
    </row>
    <row r="8919" spans="39:45">
      <c r="AM8919" s="55">
        <v>2020</v>
      </c>
      <c r="AN8919" s="55" t="s">
        <v>183</v>
      </c>
      <c r="AO8919" s="55">
        <v>7</v>
      </c>
      <c r="AP8919" s="55">
        <v>13</v>
      </c>
      <c r="AQ8919" s="55">
        <v>23396.5</v>
      </c>
      <c r="AR8919" s="55">
        <v>28500</v>
      </c>
      <c r="AS8919" s="78">
        <f t="shared" si="143"/>
        <v>0.82092982456140351</v>
      </c>
    </row>
    <row r="8920" spans="39:45">
      <c r="AM8920" s="54">
        <v>2020</v>
      </c>
      <c r="AN8920" s="54" t="s">
        <v>183</v>
      </c>
      <c r="AO8920" s="54">
        <v>7</v>
      </c>
      <c r="AP8920" s="54">
        <v>14</v>
      </c>
      <c r="AQ8920" s="54">
        <v>13681</v>
      </c>
      <c r="AR8920" s="55">
        <v>28500</v>
      </c>
      <c r="AS8920" s="78">
        <f t="shared" si="143"/>
        <v>0.48003508771929826</v>
      </c>
    </row>
    <row r="8921" spans="39:45">
      <c r="AM8921" s="55">
        <v>2020</v>
      </c>
      <c r="AN8921" s="55" t="s">
        <v>183</v>
      </c>
      <c r="AO8921" s="55">
        <v>7</v>
      </c>
      <c r="AP8921" s="55">
        <v>15</v>
      </c>
      <c r="AQ8921" s="55">
        <v>2695</v>
      </c>
      <c r="AR8921" s="55">
        <v>28500</v>
      </c>
      <c r="AS8921" s="78">
        <f t="shared" si="143"/>
        <v>9.456140350877193E-2</v>
      </c>
    </row>
    <row r="8922" spans="39:45">
      <c r="AM8922" s="54">
        <v>2020</v>
      </c>
      <c r="AN8922" s="54" t="s">
        <v>183</v>
      </c>
      <c r="AO8922" s="54">
        <v>7</v>
      </c>
      <c r="AP8922" s="54">
        <v>16</v>
      </c>
      <c r="AQ8922" s="54">
        <v>0</v>
      </c>
      <c r="AR8922" s="55">
        <v>28500</v>
      </c>
      <c r="AS8922" s="78">
        <f t="shared" si="143"/>
        <v>0</v>
      </c>
    </row>
    <row r="8923" spans="39:45">
      <c r="AM8923" s="55">
        <v>2020</v>
      </c>
      <c r="AN8923" s="55" t="s">
        <v>183</v>
      </c>
      <c r="AO8923" s="55">
        <v>7</v>
      </c>
      <c r="AP8923" s="55">
        <v>17</v>
      </c>
      <c r="AQ8923" s="55">
        <v>0</v>
      </c>
      <c r="AR8923" s="55">
        <v>28500</v>
      </c>
      <c r="AS8923" s="78">
        <f t="shared" si="143"/>
        <v>0</v>
      </c>
    </row>
    <row r="8924" spans="39:45">
      <c r="AM8924" s="54">
        <v>2020</v>
      </c>
      <c r="AN8924" s="54" t="s">
        <v>183</v>
      </c>
      <c r="AO8924" s="54">
        <v>7</v>
      </c>
      <c r="AP8924" s="54">
        <v>18</v>
      </c>
      <c r="AQ8924" s="54">
        <v>0</v>
      </c>
      <c r="AR8924" s="55">
        <v>28500</v>
      </c>
      <c r="AS8924" s="78">
        <f t="shared" si="143"/>
        <v>0</v>
      </c>
    </row>
    <row r="8925" spans="39:45">
      <c r="AM8925" s="55">
        <v>2020</v>
      </c>
      <c r="AN8925" s="55" t="s">
        <v>183</v>
      </c>
      <c r="AO8925" s="55">
        <v>7</v>
      </c>
      <c r="AP8925" s="55">
        <v>19</v>
      </c>
      <c r="AQ8925" s="55">
        <v>0</v>
      </c>
      <c r="AR8925" s="55">
        <v>28500</v>
      </c>
      <c r="AS8925" s="78">
        <f t="shared" si="143"/>
        <v>0</v>
      </c>
    </row>
    <row r="8926" spans="39:45">
      <c r="AM8926" s="54">
        <v>2020</v>
      </c>
      <c r="AN8926" s="54" t="s">
        <v>183</v>
      </c>
      <c r="AO8926" s="54">
        <v>7</v>
      </c>
      <c r="AP8926" s="54">
        <v>20</v>
      </c>
      <c r="AQ8926" s="54">
        <v>0</v>
      </c>
      <c r="AR8926" s="55">
        <v>28500</v>
      </c>
      <c r="AS8926" s="78">
        <f t="shared" si="143"/>
        <v>0</v>
      </c>
    </row>
    <row r="8927" spans="39:45">
      <c r="AM8927" s="55">
        <v>2020</v>
      </c>
      <c r="AN8927" s="55" t="s">
        <v>183</v>
      </c>
      <c r="AO8927" s="55">
        <v>7</v>
      </c>
      <c r="AP8927" s="55">
        <v>21</v>
      </c>
      <c r="AQ8927" s="55">
        <v>0</v>
      </c>
      <c r="AR8927" s="55">
        <v>28500</v>
      </c>
      <c r="AS8927" s="78">
        <f t="shared" si="143"/>
        <v>0</v>
      </c>
    </row>
    <row r="8928" spans="39:45">
      <c r="AM8928" s="54">
        <v>2020</v>
      </c>
      <c r="AN8928" s="54" t="s">
        <v>183</v>
      </c>
      <c r="AO8928" s="54">
        <v>7</v>
      </c>
      <c r="AP8928" s="54">
        <v>22</v>
      </c>
      <c r="AQ8928" s="54">
        <v>0</v>
      </c>
      <c r="AR8928" s="55">
        <v>28500</v>
      </c>
      <c r="AS8928" s="78">
        <f t="shared" si="143"/>
        <v>0</v>
      </c>
    </row>
    <row r="8929" spans="39:45">
      <c r="AM8929" s="55">
        <v>2020</v>
      </c>
      <c r="AN8929" s="55" t="s">
        <v>183</v>
      </c>
      <c r="AO8929" s="55">
        <v>7</v>
      </c>
      <c r="AP8929" s="55">
        <v>23</v>
      </c>
      <c r="AQ8929" s="55">
        <v>0</v>
      </c>
      <c r="AR8929" s="55">
        <v>28500</v>
      </c>
      <c r="AS8929" s="78">
        <f t="shared" si="143"/>
        <v>0</v>
      </c>
    </row>
    <row r="8930" spans="39:45">
      <c r="AM8930" s="54">
        <v>2020</v>
      </c>
      <c r="AN8930" s="54" t="s">
        <v>183</v>
      </c>
      <c r="AO8930" s="54">
        <v>8</v>
      </c>
      <c r="AP8930" s="54">
        <v>24</v>
      </c>
      <c r="AQ8930" s="54">
        <v>0</v>
      </c>
      <c r="AR8930" s="55">
        <v>28500</v>
      </c>
      <c r="AS8930" s="78">
        <f t="shared" si="143"/>
        <v>0</v>
      </c>
    </row>
    <row r="8931" spans="39:45">
      <c r="AM8931" s="55">
        <v>2020</v>
      </c>
      <c r="AN8931" s="55" t="s">
        <v>183</v>
      </c>
      <c r="AO8931" s="55">
        <v>8</v>
      </c>
      <c r="AP8931" s="55">
        <v>1</v>
      </c>
      <c r="AQ8931" s="55">
        <v>0</v>
      </c>
      <c r="AR8931" s="55">
        <v>28500</v>
      </c>
      <c r="AS8931" s="78">
        <f t="shared" si="143"/>
        <v>0</v>
      </c>
    </row>
    <row r="8932" spans="39:45">
      <c r="AM8932" s="54">
        <v>2020</v>
      </c>
      <c r="AN8932" s="54" t="s">
        <v>183</v>
      </c>
      <c r="AO8932" s="54">
        <v>8</v>
      </c>
      <c r="AP8932" s="54">
        <v>2</v>
      </c>
      <c r="AQ8932" s="54">
        <v>0</v>
      </c>
      <c r="AR8932" s="55">
        <v>28500</v>
      </c>
      <c r="AS8932" s="78">
        <f t="shared" si="143"/>
        <v>0</v>
      </c>
    </row>
    <row r="8933" spans="39:45">
      <c r="AM8933" s="55">
        <v>2020</v>
      </c>
      <c r="AN8933" s="55" t="s">
        <v>183</v>
      </c>
      <c r="AO8933" s="55">
        <v>8</v>
      </c>
      <c r="AP8933" s="55">
        <v>3</v>
      </c>
      <c r="AQ8933" s="55">
        <v>0</v>
      </c>
      <c r="AR8933" s="55">
        <v>28500</v>
      </c>
      <c r="AS8933" s="78">
        <f t="shared" si="143"/>
        <v>0</v>
      </c>
    </row>
    <row r="8934" spans="39:45">
      <c r="AM8934" s="54">
        <v>2020</v>
      </c>
      <c r="AN8934" s="54" t="s">
        <v>183</v>
      </c>
      <c r="AO8934" s="54">
        <v>8</v>
      </c>
      <c r="AP8934" s="54">
        <v>4</v>
      </c>
      <c r="AQ8934" s="54">
        <v>0</v>
      </c>
      <c r="AR8934" s="55">
        <v>28500</v>
      </c>
      <c r="AS8934" s="78">
        <f t="shared" si="143"/>
        <v>0</v>
      </c>
    </row>
    <row r="8935" spans="39:45">
      <c r="AM8935" s="55">
        <v>2020</v>
      </c>
      <c r="AN8935" s="55" t="s">
        <v>183</v>
      </c>
      <c r="AO8935" s="55">
        <v>8</v>
      </c>
      <c r="AP8935" s="55">
        <v>5</v>
      </c>
      <c r="AQ8935" s="55">
        <v>0</v>
      </c>
      <c r="AR8935" s="55">
        <v>28500</v>
      </c>
      <c r="AS8935" s="78">
        <f t="shared" si="143"/>
        <v>0</v>
      </c>
    </row>
    <row r="8936" spans="39:45">
      <c r="AM8936" s="54">
        <v>2020</v>
      </c>
      <c r="AN8936" s="54" t="s">
        <v>183</v>
      </c>
      <c r="AO8936" s="54">
        <v>8</v>
      </c>
      <c r="AP8936" s="54">
        <v>6</v>
      </c>
      <c r="AQ8936" s="54">
        <v>0</v>
      </c>
      <c r="AR8936" s="55">
        <v>28500</v>
      </c>
      <c r="AS8936" s="78">
        <f t="shared" si="143"/>
        <v>0</v>
      </c>
    </row>
    <row r="8937" spans="39:45">
      <c r="AM8937" s="55">
        <v>2020</v>
      </c>
      <c r="AN8937" s="55" t="s">
        <v>183</v>
      </c>
      <c r="AO8937" s="55">
        <v>8</v>
      </c>
      <c r="AP8937" s="55">
        <v>7</v>
      </c>
      <c r="AQ8937" s="55">
        <v>0</v>
      </c>
      <c r="AR8937" s="55">
        <v>28500</v>
      </c>
      <c r="AS8937" s="78">
        <f t="shared" si="143"/>
        <v>0</v>
      </c>
    </row>
    <row r="8938" spans="39:45">
      <c r="AM8938" s="54">
        <v>2020</v>
      </c>
      <c r="AN8938" s="54" t="s">
        <v>183</v>
      </c>
      <c r="AO8938" s="54">
        <v>8</v>
      </c>
      <c r="AP8938" s="54">
        <v>8</v>
      </c>
      <c r="AQ8938" s="54">
        <v>0</v>
      </c>
      <c r="AR8938" s="55">
        <v>28500</v>
      </c>
      <c r="AS8938" s="78">
        <f t="shared" si="143"/>
        <v>0</v>
      </c>
    </row>
    <row r="8939" spans="39:45">
      <c r="AM8939" s="55">
        <v>2020</v>
      </c>
      <c r="AN8939" s="55" t="s">
        <v>183</v>
      </c>
      <c r="AO8939" s="55">
        <v>8</v>
      </c>
      <c r="AP8939" s="55">
        <v>9</v>
      </c>
      <c r="AQ8939" s="55">
        <v>1081.5</v>
      </c>
      <c r="AR8939" s="55">
        <v>28500</v>
      </c>
      <c r="AS8939" s="78">
        <f t="shared" si="143"/>
        <v>3.7947368421052632E-2</v>
      </c>
    </row>
    <row r="8940" spans="39:45">
      <c r="AM8940" s="54">
        <v>2020</v>
      </c>
      <c r="AN8940" s="54" t="s">
        <v>183</v>
      </c>
      <c r="AO8940" s="54">
        <v>8</v>
      </c>
      <c r="AP8940" s="54">
        <v>10</v>
      </c>
      <c r="AQ8940" s="54">
        <v>2425.5</v>
      </c>
      <c r="AR8940" s="55">
        <v>28500</v>
      </c>
      <c r="AS8940" s="78">
        <f t="shared" si="143"/>
        <v>8.5105263157894739E-2</v>
      </c>
    </row>
    <row r="8941" spans="39:45">
      <c r="AM8941" s="55">
        <v>2020</v>
      </c>
      <c r="AN8941" s="55" t="s">
        <v>183</v>
      </c>
      <c r="AO8941" s="55">
        <v>8</v>
      </c>
      <c r="AP8941" s="55">
        <v>11</v>
      </c>
      <c r="AQ8941" s="55">
        <v>5998.5</v>
      </c>
      <c r="AR8941" s="55">
        <v>28500</v>
      </c>
      <c r="AS8941" s="78">
        <f t="shared" si="143"/>
        <v>0.21047368421052631</v>
      </c>
    </row>
    <row r="8942" spans="39:45">
      <c r="AM8942" s="54">
        <v>2020</v>
      </c>
      <c r="AN8942" s="54" t="s">
        <v>183</v>
      </c>
      <c r="AO8942" s="54">
        <v>8</v>
      </c>
      <c r="AP8942" s="54">
        <v>12</v>
      </c>
      <c r="AQ8942" s="54">
        <v>10266.5</v>
      </c>
      <c r="AR8942" s="55">
        <v>28500</v>
      </c>
      <c r="AS8942" s="78">
        <f t="shared" si="143"/>
        <v>0.36022807017543862</v>
      </c>
    </row>
    <row r="8943" spans="39:45">
      <c r="AM8943" s="55">
        <v>2020</v>
      </c>
      <c r="AN8943" s="55" t="s">
        <v>183</v>
      </c>
      <c r="AO8943" s="55">
        <v>8</v>
      </c>
      <c r="AP8943" s="55">
        <v>13</v>
      </c>
      <c r="AQ8943" s="55">
        <v>6110</v>
      </c>
      <c r="AR8943" s="55">
        <v>28500</v>
      </c>
      <c r="AS8943" s="78">
        <f t="shared" si="143"/>
        <v>0.21438596491228071</v>
      </c>
    </row>
    <row r="8944" spans="39:45">
      <c r="AM8944" s="54">
        <v>2020</v>
      </c>
      <c r="AN8944" s="54" t="s">
        <v>183</v>
      </c>
      <c r="AO8944" s="54">
        <v>8</v>
      </c>
      <c r="AP8944" s="54">
        <v>14</v>
      </c>
      <c r="AQ8944" s="54">
        <v>1310</v>
      </c>
      <c r="AR8944" s="55">
        <v>28500</v>
      </c>
      <c r="AS8944" s="78">
        <f t="shared" si="143"/>
        <v>4.5964912280701757E-2</v>
      </c>
    </row>
    <row r="8945" spans="39:45">
      <c r="AM8945" s="55">
        <v>2020</v>
      </c>
      <c r="AN8945" s="55" t="s">
        <v>183</v>
      </c>
      <c r="AO8945" s="55">
        <v>8</v>
      </c>
      <c r="AP8945" s="55">
        <v>15</v>
      </c>
      <c r="AQ8945" s="55">
        <v>796.5</v>
      </c>
      <c r="AR8945" s="55">
        <v>28500</v>
      </c>
      <c r="AS8945" s="78">
        <f t="shared" si="143"/>
        <v>2.794736842105263E-2</v>
      </c>
    </row>
    <row r="8946" spans="39:45">
      <c r="AM8946" s="54">
        <v>2020</v>
      </c>
      <c r="AN8946" s="54" t="s">
        <v>183</v>
      </c>
      <c r="AO8946" s="54">
        <v>8</v>
      </c>
      <c r="AP8946" s="54">
        <v>16</v>
      </c>
      <c r="AQ8946" s="54">
        <v>0</v>
      </c>
      <c r="AR8946" s="55">
        <v>28500</v>
      </c>
      <c r="AS8946" s="78">
        <f t="shared" si="143"/>
        <v>0</v>
      </c>
    </row>
    <row r="8947" spans="39:45">
      <c r="AM8947" s="55">
        <v>2020</v>
      </c>
      <c r="AN8947" s="55" t="s">
        <v>183</v>
      </c>
      <c r="AO8947" s="55">
        <v>8</v>
      </c>
      <c r="AP8947" s="55">
        <v>17</v>
      </c>
      <c r="AQ8947" s="55">
        <v>0</v>
      </c>
      <c r="AR8947" s="55">
        <v>28500</v>
      </c>
      <c r="AS8947" s="78">
        <f t="shared" si="143"/>
        <v>0</v>
      </c>
    </row>
    <row r="8948" spans="39:45">
      <c r="AM8948" s="54">
        <v>2020</v>
      </c>
      <c r="AN8948" s="54" t="s">
        <v>183</v>
      </c>
      <c r="AO8948" s="54">
        <v>8</v>
      </c>
      <c r="AP8948" s="54">
        <v>18</v>
      </c>
      <c r="AQ8948" s="54">
        <v>0</v>
      </c>
      <c r="AR8948" s="55">
        <v>28500</v>
      </c>
      <c r="AS8948" s="78">
        <f t="shared" si="143"/>
        <v>0</v>
      </c>
    </row>
    <row r="8949" spans="39:45">
      <c r="AM8949" s="55">
        <v>2020</v>
      </c>
      <c r="AN8949" s="55" t="s">
        <v>183</v>
      </c>
      <c r="AO8949" s="55">
        <v>8</v>
      </c>
      <c r="AP8949" s="55">
        <v>19</v>
      </c>
      <c r="AQ8949" s="55">
        <v>0</v>
      </c>
      <c r="AR8949" s="55">
        <v>28500</v>
      </c>
      <c r="AS8949" s="78">
        <f t="shared" si="143"/>
        <v>0</v>
      </c>
    </row>
    <row r="8950" spans="39:45">
      <c r="AM8950" s="54">
        <v>2020</v>
      </c>
      <c r="AN8950" s="54" t="s">
        <v>183</v>
      </c>
      <c r="AO8950" s="54">
        <v>8</v>
      </c>
      <c r="AP8950" s="54">
        <v>20</v>
      </c>
      <c r="AQ8950" s="54">
        <v>0</v>
      </c>
      <c r="AR8950" s="55">
        <v>28500</v>
      </c>
      <c r="AS8950" s="78">
        <f t="shared" si="143"/>
        <v>0</v>
      </c>
    </row>
    <row r="8951" spans="39:45">
      <c r="AM8951" s="55">
        <v>2020</v>
      </c>
      <c r="AN8951" s="55" t="s">
        <v>183</v>
      </c>
      <c r="AO8951" s="55">
        <v>8</v>
      </c>
      <c r="AP8951" s="55">
        <v>21</v>
      </c>
      <c r="AQ8951" s="55">
        <v>0</v>
      </c>
      <c r="AR8951" s="55">
        <v>28500</v>
      </c>
      <c r="AS8951" s="78">
        <f t="shared" si="143"/>
        <v>0</v>
      </c>
    </row>
    <row r="8952" spans="39:45">
      <c r="AM8952" s="54">
        <v>2020</v>
      </c>
      <c r="AN8952" s="54" t="s">
        <v>183</v>
      </c>
      <c r="AO8952" s="54">
        <v>8</v>
      </c>
      <c r="AP8952" s="54">
        <v>22</v>
      </c>
      <c r="AQ8952" s="54">
        <v>0</v>
      </c>
      <c r="AR8952" s="55">
        <v>28500</v>
      </c>
      <c r="AS8952" s="78">
        <f t="shared" si="143"/>
        <v>0</v>
      </c>
    </row>
    <row r="8953" spans="39:45">
      <c r="AM8953" s="55">
        <v>2020</v>
      </c>
      <c r="AN8953" s="55" t="s">
        <v>183</v>
      </c>
      <c r="AO8953" s="55">
        <v>8</v>
      </c>
      <c r="AP8953" s="55">
        <v>23</v>
      </c>
      <c r="AQ8953" s="55">
        <v>0</v>
      </c>
      <c r="AR8953" s="55">
        <v>28500</v>
      </c>
      <c r="AS8953" s="78">
        <f t="shared" si="143"/>
        <v>0</v>
      </c>
    </row>
    <row r="8954" spans="39:45">
      <c r="AM8954" s="54">
        <v>2020</v>
      </c>
      <c r="AN8954" s="54" t="s">
        <v>183</v>
      </c>
      <c r="AO8954" s="54">
        <v>9</v>
      </c>
      <c r="AP8954" s="54">
        <v>24</v>
      </c>
      <c r="AQ8954" s="54">
        <v>0</v>
      </c>
      <c r="AR8954" s="55">
        <v>28500</v>
      </c>
      <c r="AS8954" s="78">
        <f t="shared" si="143"/>
        <v>0</v>
      </c>
    </row>
    <row r="8955" spans="39:45">
      <c r="AM8955" s="55">
        <v>2020</v>
      </c>
      <c r="AN8955" s="55" t="s">
        <v>183</v>
      </c>
      <c r="AO8955" s="55">
        <v>9</v>
      </c>
      <c r="AP8955" s="55">
        <v>1</v>
      </c>
      <c r="AQ8955" s="55">
        <v>0</v>
      </c>
      <c r="AR8955" s="55">
        <v>28500</v>
      </c>
      <c r="AS8955" s="78">
        <f t="shared" si="143"/>
        <v>0</v>
      </c>
    </row>
    <row r="8956" spans="39:45">
      <c r="AM8956" s="54">
        <v>2020</v>
      </c>
      <c r="AN8956" s="54" t="s">
        <v>183</v>
      </c>
      <c r="AO8956" s="54">
        <v>9</v>
      </c>
      <c r="AP8956" s="54">
        <v>2</v>
      </c>
      <c r="AQ8956" s="54">
        <v>0</v>
      </c>
      <c r="AR8956" s="55">
        <v>28500</v>
      </c>
      <c r="AS8956" s="78">
        <f t="shared" si="143"/>
        <v>0</v>
      </c>
    </row>
    <row r="8957" spans="39:45">
      <c r="AM8957" s="55">
        <v>2020</v>
      </c>
      <c r="AN8957" s="55" t="s">
        <v>183</v>
      </c>
      <c r="AO8957" s="55">
        <v>9</v>
      </c>
      <c r="AP8957" s="55">
        <v>3</v>
      </c>
      <c r="AQ8957" s="55">
        <v>0</v>
      </c>
      <c r="AR8957" s="55">
        <v>28500</v>
      </c>
      <c r="AS8957" s="78">
        <f t="shared" si="143"/>
        <v>0</v>
      </c>
    </row>
    <row r="8958" spans="39:45">
      <c r="AM8958" s="54">
        <v>2020</v>
      </c>
      <c r="AN8958" s="54" t="s">
        <v>183</v>
      </c>
      <c r="AO8958" s="54">
        <v>9</v>
      </c>
      <c r="AP8958" s="54">
        <v>4</v>
      </c>
      <c r="AQ8958" s="54">
        <v>0</v>
      </c>
      <c r="AR8958" s="55">
        <v>28500</v>
      </c>
      <c r="AS8958" s="78">
        <f t="shared" si="143"/>
        <v>0</v>
      </c>
    </row>
    <row r="8959" spans="39:45">
      <c r="AM8959" s="55">
        <v>2020</v>
      </c>
      <c r="AN8959" s="55" t="s">
        <v>183</v>
      </c>
      <c r="AO8959" s="55">
        <v>9</v>
      </c>
      <c r="AP8959" s="55">
        <v>5</v>
      </c>
      <c r="AQ8959" s="55">
        <v>0</v>
      </c>
      <c r="AR8959" s="55">
        <v>28500</v>
      </c>
      <c r="AS8959" s="78">
        <f t="shared" si="143"/>
        <v>0</v>
      </c>
    </row>
    <row r="8960" spans="39:45">
      <c r="AM8960" s="54">
        <v>2020</v>
      </c>
      <c r="AN8960" s="54" t="s">
        <v>183</v>
      </c>
      <c r="AO8960" s="54">
        <v>9</v>
      </c>
      <c r="AP8960" s="54">
        <v>6</v>
      </c>
      <c r="AQ8960" s="54">
        <v>0</v>
      </c>
      <c r="AR8960" s="55">
        <v>28500</v>
      </c>
      <c r="AS8960" s="78">
        <f t="shared" si="143"/>
        <v>0</v>
      </c>
    </row>
    <row r="8961" spans="39:45">
      <c r="AM8961" s="55">
        <v>2020</v>
      </c>
      <c r="AN8961" s="55" t="s">
        <v>183</v>
      </c>
      <c r="AO8961" s="55">
        <v>9</v>
      </c>
      <c r="AP8961" s="55">
        <v>7</v>
      </c>
      <c r="AQ8961" s="55">
        <v>0</v>
      </c>
      <c r="AR8961" s="55">
        <v>28500</v>
      </c>
      <c r="AS8961" s="78">
        <f t="shared" si="143"/>
        <v>0</v>
      </c>
    </row>
    <row r="8962" spans="39:45">
      <c r="AM8962" s="54">
        <v>2020</v>
      </c>
      <c r="AN8962" s="54" t="s">
        <v>183</v>
      </c>
      <c r="AO8962" s="54">
        <v>9</v>
      </c>
      <c r="AP8962" s="54">
        <v>8</v>
      </c>
      <c r="AQ8962" s="54">
        <v>0</v>
      </c>
      <c r="AR8962" s="55">
        <v>28500</v>
      </c>
      <c r="AS8962" s="78">
        <f t="shared" ref="AS8962:AS9025" si="144">AQ8962/AR8962</f>
        <v>0</v>
      </c>
    </row>
    <row r="8963" spans="39:45">
      <c r="AM8963" s="55">
        <v>2020</v>
      </c>
      <c r="AN8963" s="55" t="s">
        <v>183</v>
      </c>
      <c r="AO8963" s="55">
        <v>9</v>
      </c>
      <c r="AP8963" s="55">
        <v>9</v>
      </c>
      <c r="AQ8963" s="55">
        <v>15148.5</v>
      </c>
      <c r="AR8963" s="55">
        <v>28500</v>
      </c>
      <c r="AS8963" s="78">
        <f t="shared" si="144"/>
        <v>0.53152631578947374</v>
      </c>
    </row>
    <row r="8964" spans="39:45">
      <c r="AM8964" s="54">
        <v>2020</v>
      </c>
      <c r="AN8964" s="54" t="s">
        <v>183</v>
      </c>
      <c r="AO8964" s="54">
        <v>9</v>
      </c>
      <c r="AP8964" s="54">
        <v>10</v>
      </c>
      <c r="AQ8964" s="54">
        <v>12768.5</v>
      </c>
      <c r="AR8964" s="55">
        <v>28500</v>
      </c>
      <c r="AS8964" s="78">
        <f t="shared" si="144"/>
        <v>0.44801754385964915</v>
      </c>
    </row>
    <row r="8965" spans="39:45">
      <c r="AM8965" s="55">
        <v>2020</v>
      </c>
      <c r="AN8965" s="55" t="s">
        <v>183</v>
      </c>
      <c r="AO8965" s="55">
        <v>9</v>
      </c>
      <c r="AP8965" s="55">
        <v>11</v>
      </c>
      <c r="AQ8965" s="55">
        <v>22628</v>
      </c>
      <c r="AR8965" s="55">
        <v>28500</v>
      </c>
      <c r="AS8965" s="78">
        <f t="shared" si="144"/>
        <v>0.79396491228070176</v>
      </c>
    </row>
    <row r="8966" spans="39:45">
      <c r="AM8966" s="54">
        <v>2020</v>
      </c>
      <c r="AN8966" s="54" t="s">
        <v>183</v>
      </c>
      <c r="AO8966" s="54">
        <v>9</v>
      </c>
      <c r="AP8966" s="54">
        <v>12</v>
      </c>
      <c r="AQ8966" s="54">
        <v>25744</v>
      </c>
      <c r="AR8966" s="55">
        <v>28500</v>
      </c>
      <c r="AS8966" s="78">
        <f t="shared" si="144"/>
        <v>0.90329824561403504</v>
      </c>
    </row>
    <row r="8967" spans="39:45">
      <c r="AM8967" s="55">
        <v>2020</v>
      </c>
      <c r="AN8967" s="55" t="s">
        <v>183</v>
      </c>
      <c r="AO8967" s="55">
        <v>9</v>
      </c>
      <c r="AP8967" s="55">
        <v>13</v>
      </c>
      <c r="AQ8967" s="55">
        <v>10530.5</v>
      </c>
      <c r="AR8967" s="55">
        <v>28500</v>
      </c>
      <c r="AS8967" s="78">
        <f t="shared" si="144"/>
        <v>0.36949122807017543</v>
      </c>
    </row>
    <row r="8968" spans="39:45">
      <c r="AM8968" s="54">
        <v>2020</v>
      </c>
      <c r="AN8968" s="54" t="s">
        <v>183</v>
      </c>
      <c r="AO8968" s="54">
        <v>9</v>
      </c>
      <c r="AP8968" s="54">
        <v>14</v>
      </c>
      <c r="AQ8968" s="54">
        <v>4194</v>
      </c>
      <c r="AR8968" s="55">
        <v>28500</v>
      </c>
      <c r="AS8968" s="78">
        <f t="shared" si="144"/>
        <v>0.1471578947368421</v>
      </c>
    </row>
    <row r="8969" spans="39:45">
      <c r="AM8969" s="55">
        <v>2020</v>
      </c>
      <c r="AN8969" s="55" t="s">
        <v>183</v>
      </c>
      <c r="AO8969" s="55">
        <v>9</v>
      </c>
      <c r="AP8969" s="55">
        <v>15</v>
      </c>
      <c r="AQ8969" s="55">
        <v>0</v>
      </c>
      <c r="AR8969" s="55">
        <v>28500</v>
      </c>
      <c r="AS8969" s="78">
        <f t="shared" si="144"/>
        <v>0</v>
      </c>
    </row>
    <row r="8970" spans="39:45">
      <c r="AM8970" s="54">
        <v>2020</v>
      </c>
      <c r="AN8970" s="54" t="s">
        <v>183</v>
      </c>
      <c r="AO8970" s="54">
        <v>9</v>
      </c>
      <c r="AP8970" s="54">
        <v>16</v>
      </c>
      <c r="AQ8970" s="54">
        <v>0</v>
      </c>
      <c r="AR8970" s="55">
        <v>28500</v>
      </c>
      <c r="AS8970" s="78">
        <f t="shared" si="144"/>
        <v>0</v>
      </c>
    </row>
    <row r="8971" spans="39:45">
      <c r="AM8971" s="55">
        <v>2020</v>
      </c>
      <c r="AN8971" s="55" t="s">
        <v>183</v>
      </c>
      <c r="AO8971" s="55">
        <v>9</v>
      </c>
      <c r="AP8971" s="55">
        <v>17</v>
      </c>
      <c r="AQ8971" s="55">
        <v>0</v>
      </c>
      <c r="AR8971" s="55">
        <v>28500</v>
      </c>
      <c r="AS8971" s="78">
        <f t="shared" si="144"/>
        <v>0</v>
      </c>
    </row>
    <row r="8972" spans="39:45">
      <c r="AM8972" s="54">
        <v>2020</v>
      </c>
      <c r="AN8972" s="54" t="s">
        <v>183</v>
      </c>
      <c r="AO8972" s="54">
        <v>9</v>
      </c>
      <c r="AP8972" s="54">
        <v>18</v>
      </c>
      <c r="AQ8972" s="54">
        <v>0</v>
      </c>
      <c r="AR8972" s="55">
        <v>28500</v>
      </c>
      <c r="AS8972" s="78">
        <f t="shared" si="144"/>
        <v>0</v>
      </c>
    </row>
    <row r="8973" spans="39:45">
      <c r="AM8973" s="55">
        <v>2020</v>
      </c>
      <c r="AN8973" s="55" t="s">
        <v>183</v>
      </c>
      <c r="AO8973" s="55">
        <v>9</v>
      </c>
      <c r="AP8973" s="55">
        <v>19</v>
      </c>
      <c r="AQ8973" s="55">
        <v>0</v>
      </c>
      <c r="AR8973" s="55">
        <v>28500</v>
      </c>
      <c r="AS8973" s="78">
        <f t="shared" si="144"/>
        <v>0</v>
      </c>
    </row>
    <row r="8974" spans="39:45">
      <c r="AM8974" s="54">
        <v>2020</v>
      </c>
      <c r="AN8974" s="54" t="s">
        <v>183</v>
      </c>
      <c r="AO8974" s="54">
        <v>9</v>
      </c>
      <c r="AP8974" s="54">
        <v>20</v>
      </c>
      <c r="AQ8974" s="54">
        <v>0</v>
      </c>
      <c r="AR8974" s="55">
        <v>28500</v>
      </c>
      <c r="AS8974" s="78">
        <f t="shared" si="144"/>
        <v>0</v>
      </c>
    </row>
    <row r="8975" spans="39:45">
      <c r="AM8975" s="55">
        <v>2020</v>
      </c>
      <c r="AN8975" s="55" t="s">
        <v>183</v>
      </c>
      <c r="AO8975" s="55">
        <v>9</v>
      </c>
      <c r="AP8975" s="55">
        <v>21</v>
      </c>
      <c r="AQ8975" s="55">
        <v>0</v>
      </c>
      <c r="AR8975" s="55">
        <v>28500</v>
      </c>
      <c r="AS8975" s="78">
        <f t="shared" si="144"/>
        <v>0</v>
      </c>
    </row>
    <row r="8976" spans="39:45">
      <c r="AM8976" s="54">
        <v>2020</v>
      </c>
      <c r="AN8976" s="54" t="s">
        <v>183</v>
      </c>
      <c r="AO8976" s="54">
        <v>9</v>
      </c>
      <c r="AP8976" s="54">
        <v>22</v>
      </c>
      <c r="AQ8976" s="54">
        <v>0</v>
      </c>
      <c r="AR8976" s="55">
        <v>28500</v>
      </c>
      <c r="AS8976" s="78">
        <f t="shared" si="144"/>
        <v>0</v>
      </c>
    </row>
    <row r="8977" spans="39:45">
      <c r="AM8977" s="55">
        <v>2020</v>
      </c>
      <c r="AN8977" s="55" t="s">
        <v>183</v>
      </c>
      <c r="AO8977" s="55">
        <v>9</v>
      </c>
      <c r="AP8977" s="55">
        <v>23</v>
      </c>
      <c r="AQ8977" s="55">
        <v>0</v>
      </c>
      <c r="AR8977" s="55">
        <v>28500</v>
      </c>
      <c r="AS8977" s="78">
        <f t="shared" si="144"/>
        <v>0</v>
      </c>
    </row>
    <row r="8978" spans="39:45">
      <c r="AM8978" s="54">
        <v>2020</v>
      </c>
      <c r="AN8978" s="54" t="s">
        <v>183</v>
      </c>
      <c r="AO8978" s="54">
        <v>10</v>
      </c>
      <c r="AP8978" s="54">
        <v>24</v>
      </c>
      <c r="AQ8978" s="54">
        <v>0</v>
      </c>
      <c r="AR8978" s="55">
        <v>28500</v>
      </c>
      <c r="AS8978" s="78">
        <f t="shared" si="144"/>
        <v>0</v>
      </c>
    </row>
    <row r="8979" spans="39:45">
      <c r="AM8979" s="55">
        <v>2020</v>
      </c>
      <c r="AN8979" s="55" t="s">
        <v>183</v>
      </c>
      <c r="AO8979" s="55">
        <v>10</v>
      </c>
      <c r="AP8979" s="55">
        <v>1</v>
      </c>
      <c r="AQ8979" s="55">
        <v>0</v>
      </c>
      <c r="AR8979" s="55">
        <v>28500</v>
      </c>
      <c r="AS8979" s="78">
        <f t="shared" si="144"/>
        <v>0</v>
      </c>
    </row>
    <row r="8980" spans="39:45">
      <c r="AM8980" s="54">
        <v>2020</v>
      </c>
      <c r="AN8980" s="54" t="s">
        <v>183</v>
      </c>
      <c r="AO8980" s="54">
        <v>10</v>
      </c>
      <c r="AP8980" s="54">
        <v>2</v>
      </c>
      <c r="AQ8980" s="54">
        <v>0</v>
      </c>
      <c r="AR8980" s="55">
        <v>28500</v>
      </c>
      <c r="AS8980" s="78">
        <f t="shared" si="144"/>
        <v>0</v>
      </c>
    </row>
    <row r="8981" spans="39:45">
      <c r="AM8981" s="55">
        <v>2020</v>
      </c>
      <c r="AN8981" s="55" t="s">
        <v>183</v>
      </c>
      <c r="AO8981" s="55">
        <v>10</v>
      </c>
      <c r="AP8981" s="55">
        <v>3</v>
      </c>
      <c r="AQ8981" s="55">
        <v>0</v>
      </c>
      <c r="AR8981" s="55">
        <v>28500</v>
      </c>
      <c r="AS8981" s="78">
        <f t="shared" si="144"/>
        <v>0</v>
      </c>
    </row>
    <row r="8982" spans="39:45">
      <c r="AM8982" s="54">
        <v>2020</v>
      </c>
      <c r="AN8982" s="54" t="s">
        <v>183</v>
      </c>
      <c r="AO8982" s="54">
        <v>10</v>
      </c>
      <c r="AP8982" s="54">
        <v>4</v>
      </c>
      <c r="AQ8982" s="54">
        <v>0</v>
      </c>
      <c r="AR8982" s="55">
        <v>28500</v>
      </c>
      <c r="AS8982" s="78">
        <f t="shared" si="144"/>
        <v>0</v>
      </c>
    </row>
    <row r="8983" spans="39:45">
      <c r="AM8983" s="55">
        <v>2020</v>
      </c>
      <c r="AN8983" s="55" t="s">
        <v>183</v>
      </c>
      <c r="AO8983" s="55">
        <v>10</v>
      </c>
      <c r="AP8983" s="55">
        <v>5</v>
      </c>
      <c r="AQ8983" s="55">
        <v>0</v>
      </c>
      <c r="AR8983" s="55">
        <v>28500</v>
      </c>
      <c r="AS8983" s="78">
        <f t="shared" si="144"/>
        <v>0</v>
      </c>
    </row>
    <row r="8984" spans="39:45">
      <c r="AM8984" s="54">
        <v>2020</v>
      </c>
      <c r="AN8984" s="54" t="s">
        <v>183</v>
      </c>
      <c r="AO8984" s="54">
        <v>10</v>
      </c>
      <c r="AP8984" s="54">
        <v>6</v>
      </c>
      <c r="AQ8984" s="54">
        <v>0</v>
      </c>
      <c r="AR8984" s="55">
        <v>28500</v>
      </c>
      <c r="AS8984" s="78">
        <f t="shared" si="144"/>
        <v>0</v>
      </c>
    </row>
    <row r="8985" spans="39:45">
      <c r="AM8985" s="55">
        <v>2020</v>
      </c>
      <c r="AN8985" s="55" t="s">
        <v>183</v>
      </c>
      <c r="AO8985" s="55">
        <v>10</v>
      </c>
      <c r="AP8985" s="55">
        <v>7</v>
      </c>
      <c r="AQ8985" s="55">
        <v>0</v>
      </c>
      <c r="AR8985" s="55">
        <v>28500</v>
      </c>
      <c r="AS8985" s="78">
        <f t="shared" si="144"/>
        <v>0</v>
      </c>
    </row>
    <row r="8986" spans="39:45">
      <c r="AM8986" s="54">
        <v>2020</v>
      </c>
      <c r="AN8986" s="54" t="s">
        <v>183</v>
      </c>
      <c r="AO8986" s="54">
        <v>10</v>
      </c>
      <c r="AP8986" s="54">
        <v>8</v>
      </c>
      <c r="AQ8986" s="54">
        <v>0</v>
      </c>
      <c r="AR8986" s="55">
        <v>28500</v>
      </c>
      <c r="AS8986" s="78">
        <f t="shared" si="144"/>
        <v>0</v>
      </c>
    </row>
    <row r="8987" spans="39:45">
      <c r="AM8987" s="55">
        <v>2020</v>
      </c>
      <c r="AN8987" s="55" t="s">
        <v>183</v>
      </c>
      <c r="AO8987" s="55">
        <v>10</v>
      </c>
      <c r="AP8987" s="55">
        <v>9</v>
      </c>
      <c r="AQ8987" s="55">
        <v>1480</v>
      </c>
      <c r="AR8987" s="55">
        <v>28500</v>
      </c>
      <c r="AS8987" s="78">
        <f t="shared" si="144"/>
        <v>5.1929824561403506E-2</v>
      </c>
    </row>
    <row r="8988" spans="39:45">
      <c r="AM8988" s="54">
        <v>2020</v>
      </c>
      <c r="AN8988" s="54" t="s">
        <v>183</v>
      </c>
      <c r="AO8988" s="54">
        <v>10</v>
      </c>
      <c r="AP8988" s="54">
        <v>10</v>
      </c>
      <c r="AQ8988" s="54">
        <v>3201</v>
      </c>
      <c r="AR8988" s="55">
        <v>28500</v>
      </c>
      <c r="AS8988" s="78">
        <f t="shared" si="144"/>
        <v>0.11231578947368422</v>
      </c>
    </row>
    <row r="8989" spans="39:45">
      <c r="AM8989" s="55">
        <v>2020</v>
      </c>
      <c r="AN8989" s="55" t="s">
        <v>183</v>
      </c>
      <c r="AO8989" s="55">
        <v>10</v>
      </c>
      <c r="AP8989" s="55">
        <v>11</v>
      </c>
      <c r="AQ8989" s="55">
        <v>4193</v>
      </c>
      <c r="AR8989" s="55">
        <v>28500</v>
      </c>
      <c r="AS8989" s="78">
        <f t="shared" si="144"/>
        <v>0.14712280701754385</v>
      </c>
    </row>
    <row r="8990" spans="39:45">
      <c r="AM8990" s="54">
        <v>2020</v>
      </c>
      <c r="AN8990" s="54" t="s">
        <v>183</v>
      </c>
      <c r="AO8990" s="54">
        <v>10</v>
      </c>
      <c r="AP8990" s="54">
        <v>12</v>
      </c>
      <c r="AQ8990" s="54">
        <v>3952.5</v>
      </c>
      <c r="AR8990" s="55">
        <v>28500</v>
      </c>
      <c r="AS8990" s="78">
        <f t="shared" si="144"/>
        <v>0.1386842105263158</v>
      </c>
    </row>
    <row r="8991" spans="39:45">
      <c r="AM8991" s="55">
        <v>2020</v>
      </c>
      <c r="AN8991" s="55" t="s">
        <v>183</v>
      </c>
      <c r="AO8991" s="55">
        <v>10</v>
      </c>
      <c r="AP8991" s="55">
        <v>13</v>
      </c>
      <c r="AQ8991" s="55">
        <v>18958.5</v>
      </c>
      <c r="AR8991" s="55">
        <v>28500</v>
      </c>
      <c r="AS8991" s="78">
        <f t="shared" si="144"/>
        <v>0.66521052631578947</v>
      </c>
    </row>
    <row r="8992" spans="39:45">
      <c r="AM8992" s="54">
        <v>2020</v>
      </c>
      <c r="AN8992" s="54" t="s">
        <v>183</v>
      </c>
      <c r="AO8992" s="54">
        <v>10</v>
      </c>
      <c r="AP8992" s="54">
        <v>14</v>
      </c>
      <c r="AQ8992" s="54">
        <v>23900</v>
      </c>
      <c r="AR8992" s="55">
        <v>28500</v>
      </c>
      <c r="AS8992" s="78">
        <f t="shared" si="144"/>
        <v>0.83859649122807023</v>
      </c>
    </row>
    <row r="8993" spans="39:45">
      <c r="AM8993" s="55">
        <v>2020</v>
      </c>
      <c r="AN8993" s="55" t="s">
        <v>183</v>
      </c>
      <c r="AO8993" s="55">
        <v>10</v>
      </c>
      <c r="AP8993" s="55">
        <v>15</v>
      </c>
      <c r="AQ8993" s="55">
        <v>11712</v>
      </c>
      <c r="AR8993" s="55">
        <v>28500</v>
      </c>
      <c r="AS8993" s="78">
        <f t="shared" si="144"/>
        <v>0.41094736842105262</v>
      </c>
    </row>
    <row r="8994" spans="39:45">
      <c r="AM8994" s="54">
        <v>2020</v>
      </c>
      <c r="AN8994" s="54" t="s">
        <v>183</v>
      </c>
      <c r="AO8994" s="54">
        <v>10</v>
      </c>
      <c r="AP8994" s="54">
        <v>16</v>
      </c>
      <c r="AQ8994" s="54">
        <v>0</v>
      </c>
      <c r="AR8994" s="55">
        <v>28500</v>
      </c>
      <c r="AS8994" s="78">
        <f t="shared" si="144"/>
        <v>0</v>
      </c>
    </row>
    <row r="8995" spans="39:45">
      <c r="AM8995" s="55">
        <v>2020</v>
      </c>
      <c r="AN8995" s="55" t="s">
        <v>183</v>
      </c>
      <c r="AO8995" s="55">
        <v>10</v>
      </c>
      <c r="AP8995" s="55">
        <v>17</v>
      </c>
      <c r="AQ8995" s="55">
        <v>0</v>
      </c>
      <c r="AR8995" s="55">
        <v>28500</v>
      </c>
      <c r="AS8995" s="78">
        <f t="shared" si="144"/>
        <v>0</v>
      </c>
    </row>
    <row r="8996" spans="39:45">
      <c r="AM8996" s="54">
        <v>2020</v>
      </c>
      <c r="AN8996" s="54" t="s">
        <v>183</v>
      </c>
      <c r="AO8996" s="54">
        <v>10</v>
      </c>
      <c r="AP8996" s="54">
        <v>18</v>
      </c>
      <c r="AQ8996" s="54">
        <v>0</v>
      </c>
      <c r="AR8996" s="55">
        <v>28500</v>
      </c>
      <c r="AS8996" s="78">
        <f t="shared" si="144"/>
        <v>0</v>
      </c>
    </row>
    <row r="8997" spans="39:45">
      <c r="AM8997" s="55">
        <v>2020</v>
      </c>
      <c r="AN8997" s="55" t="s">
        <v>183</v>
      </c>
      <c r="AO8997" s="55">
        <v>10</v>
      </c>
      <c r="AP8997" s="55">
        <v>19</v>
      </c>
      <c r="AQ8997" s="55">
        <v>0</v>
      </c>
      <c r="AR8997" s="55">
        <v>28500</v>
      </c>
      <c r="AS8997" s="78">
        <f t="shared" si="144"/>
        <v>0</v>
      </c>
    </row>
    <row r="8998" spans="39:45">
      <c r="AM8998" s="54">
        <v>2020</v>
      </c>
      <c r="AN8998" s="54" t="s">
        <v>183</v>
      </c>
      <c r="AO8998" s="54">
        <v>10</v>
      </c>
      <c r="AP8998" s="54">
        <v>20</v>
      </c>
      <c r="AQ8998" s="54">
        <v>0</v>
      </c>
      <c r="AR8998" s="55">
        <v>28500</v>
      </c>
      <c r="AS8998" s="78">
        <f t="shared" si="144"/>
        <v>0</v>
      </c>
    </row>
    <row r="8999" spans="39:45">
      <c r="AM8999" s="55">
        <v>2020</v>
      </c>
      <c r="AN8999" s="55" t="s">
        <v>183</v>
      </c>
      <c r="AO8999" s="55">
        <v>10</v>
      </c>
      <c r="AP8999" s="55">
        <v>21</v>
      </c>
      <c r="AQ8999" s="55">
        <v>0</v>
      </c>
      <c r="AR8999" s="55">
        <v>28500</v>
      </c>
      <c r="AS8999" s="78">
        <f t="shared" si="144"/>
        <v>0</v>
      </c>
    </row>
    <row r="9000" spans="39:45">
      <c r="AM9000" s="54">
        <v>2020</v>
      </c>
      <c r="AN9000" s="54" t="s">
        <v>183</v>
      </c>
      <c r="AO9000" s="54">
        <v>10</v>
      </c>
      <c r="AP9000" s="54">
        <v>22</v>
      </c>
      <c r="AQ9000" s="54">
        <v>0</v>
      </c>
      <c r="AR9000" s="55">
        <v>28500</v>
      </c>
      <c r="AS9000" s="78">
        <f t="shared" si="144"/>
        <v>0</v>
      </c>
    </row>
    <row r="9001" spans="39:45">
      <c r="AM9001" s="55">
        <v>2020</v>
      </c>
      <c r="AN9001" s="55" t="s">
        <v>183</v>
      </c>
      <c r="AO9001" s="55">
        <v>10</v>
      </c>
      <c r="AP9001" s="55">
        <v>23</v>
      </c>
      <c r="AQ9001" s="55">
        <v>0</v>
      </c>
      <c r="AR9001" s="55">
        <v>28500</v>
      </c>
      <c r="AS9001" s="78">
        <f t="shared" si="144"/>
        <v>0</v>
      </c>
    </row>
    <row r="9002" spans="39:45">
      <c r="AM9002" s="54">
        <v>2020</v>
      </c>
      <c r="AN9002" s="54" t="s">
        <v>183</v>
      </c>
      <c r="AO9002" s="54">
        <v>11</v>
      </c>
      <c r="AP9002" s="54">
        <v>24</v>
      </c>
      <c r="AQ9002" s="54">
        <v>0</v>
      </c>
      <c r="AR9002" s="55">
        <v>28500</v>
      </c>
      <c r="AS9002" s="78">
        <f t="shared" si="144"/>
        <v>0</v>
      </c>
    </row>
    <row r="9003" spans="39:45">
      <c r="AM9003" s="55">
        <v>2020</v>
      </c>
      <c r="AN9003" s="55" t="s">
        <v>183</v>
      </c>
      <c r="AO9003" s="55">
        <v>11</v>
      </c>
      <c r="AP9003" s="55">
        <v>1</v>
      </c>
      <c r="AQ9003" s="55">
        <v>0</v>
      </c>
      <c r="AR9003" s="55">
        <v>28500</v>
      </c>
      <c r="AS9003" s="78">
        <f t="shared" si="144"/>
        <v>0</v>
      </c>
    </row>
    <row r="9004" spans="39:45">
      <c r="AM9004" s="54">
        <v>2020</v>
      </c>
      <c r="AN9004" s="54" t="s">
        <v>183</v>
      </c>
      <c r="AO9004" s="54">
        <v>11</v>
      </c>
      <c r="AP9004" s="54">
        <v>2</v>
      </c>
      <c r="AQ9004" s="54">
        <v>0</v>
      </c>
      <c r="AR9004" s="55">
        <v>28500</v>
      </c>
      <c r="AS9004" s="78">
        <f t="shared" si="144"/>
        <v>0</v>
      </c>
    </row>
    <row r="9005" spans="39:45">
      <c r="AM9005" s="55">
        <v>2020</v>
      </c>
      <c r="AN9005" s="55" t="s">
        <v>183</v>
      </c>
      <c r="AO9005" s="55">
        <v>11</v>
      </c>
      <c r="AP9005" s="55">
        <v>3</v>
      </c>
      <c r="AQ9005" s="55">
        <v>0</v>
      </c>
      <c r="AR9005" s="55">
        <v>28500</v>
      </c>
      <c r="AS9005" s="78">
        <f t="shared" si="144"/>
        <v>0</v>
      </c>
    </row>
    <row r="9006" spans="39:45">
      <c r="AM9006" s="54">
        <v>2020</v>
      </c>
      <c r="AN9006" s="54" t="s">
        <v>183</v>
      </c>
      <c r="AO9006" s="54">
        <v>11</v>
      </c>
      <c r="AP9006" s="54">
        <v>4</v>
      </c>
      <c r="AQ9006" s="54">
        <v>0</v>
      </c>
      <c r="AR9006" s="55">
        <v>28500</v>
      </c>
      <c r="AS9006" s="78">
        <f t="shared" si="144"/>
        <v>0</v>
      </c>
    </row>
    <row r="9007" spans="39:45">
      <c r="AM9007" s="55">
        <v>2020</v>
      </c>
      <c r="AN9007" s="55" t="s">
        <v>183</v>
      </c>
      <c r="AO9007" s="55">
        <v>11</v>
      </c>
      <c r="AP9007" s="55">
        <v>5</v>
      </c>
      <c r="AQ9007" s="55">
        <v>0</v>
      </c>
      <c r="AR9007" s="55">
        <v>28500</v>
      </c>
      <c r="AS9007" s="78">
        <f t="shared" si="144"/>
        <v>0</v>
      </c>
    </row>
    <row r="9008" spans="39:45">
      <c r="AM9008" s="54">
        <v>2020</v>
      </c>
      <c r="AN9008" s="54" t="s">
        <v>183</v>
      </c>
      <c r="AO9008" s="54">
        <v>11</v>
      </c>
      <c r="AP9008" s="54">
        <v>6</v>
      </c>
      <c r="AQ9008" s="54">
        <v>0</v>
      </c>
      <c r="AR9008" s="55">
        <v>28500</v>
      </c>
      <c r="AS9008" s="78">
        <f t="shared" si="144"/>
        <v>0</v>
      </c>
    </row>
    <row r="9009" spans="39:45">
      <c r="AM9009" s="55">
        <v>2020</v>
      </c>
      <c r="AN9009" s="55" t="s">
        <v>183</v>
      </c>
      <c r="AO9009" s="55">
        <v>11</v>
      </c>
      <c r="AP9009" s="55">
        <v>7</v>
      </c>
      <c r="AQ9009" s="55">
        <v>0</v>
      </c>
      <c r="AR9009" s="55">
        <v>28500</v>
      </c>
      <c r="AS9009" s="78">
        <f t="shared" si="144"/>
        <v>0</v>
      </c>
    </row>
    <row r="9010" spans="39:45">
      <c r="AM9010" s="54">
        <v>2020</v>
      </c>
      <c r="AN9010" s="54" t="s">
        <v>183</v>
      </c>
      <c r="AO9010" s="54">
        <v>11</v>
      </c>
      <c r="AP9010" s="54">
        <v>8</v>
      </c>
      <c r="AQ9010" s="54">
        <v>0</v>
      </c>
      <c r="AR9010" s="55">
        <v>28500</v>
      </c>
      <c r="AS9010" s="78">
        <f t="shared" si="144"/>
        <v>0</v>
      </c>
    </row>
    <row r="9011" spans="39:45">
      <c r="AM9011" s="55">
        <v>2020</v>
      </c>
      <c r="AN9011" s="55" t="s">
        <v>183</v>
      </c>
      <c r="AO9011" s="55">
        <v>11</v>
      </c>
      <c r="AP9011" s="55">
        <v>9</v>
      </c>
      <c r="AQ9011" s="55">
        <v>1493</v>
      </c>
      <c r="AR9011" s="55">
        <v>28500</v>
      </c>
      <c r="AS9011" s="78">
        <f t="shared" si="144"/>
        <v>5.2385964912280703E-2</v>
      </c>
    </row>
    <row r="9012" spans="39:45">
      <c r="AM9012" s="54">
        <v>2020</v>
      </c>
      <c r="AN9012" s="54" t="s">
        <v>183</v>
      </c>
      <c r="AO9012" s="54">
        <v>11</v>
      </c>
      <c r="AP9012" s="54">
        <v>10</v>
      </c>
      <c r="AQ9012" s="54">
        <v>2081.5</v>
      </c>
      <c r="AR9012" s="55">
        <v>28500</v>
      </c>
      <c r="AS9012" s="78">
        <f t="shared" si="144"/>
        <v>7.3035087719298245E-2</v>
      </c>
    </row>
    <row r="9013" spans="39:45">
      <c r="AM9013" s="55">
        <v>2020</v>
      </c>
      <c r="AN9013" s="55" t="s">
        <v>183</v>
      </c>
      <c r="AO9013" s="55">
        <v>11</v>
      </c>
      <c r="AP9013" s="55">
        <v>11</v>
      </c>
      <c r="AQ9013" s="55">
        <v>5592.5</v>
      </c>
      <c r="AR9013" s="55">
        <v>28500</v>
      </c>
      <c r="AS9013" s="78">
        <f t="shared" si="144"/>
        <v>0.19622807017543858</v>
      </c>
    </row>
    <row r="9014" spans="39:45">
      <c r="AM9014" s="54">
        <v>2020</v>
      </c>
      <c r="AN9014" s="54" t="s">
        <v>183</v>
      </c>
      <c r="AO9014" s="54">
        <v>11</v>
      </c>
      <c r="AP9014" s="54">
        <v>12</v>
      </c>
      <c r="AQ9014" s="54">
        <v>13050</v>
      </c>
      <c r="AR9014" s="55">
        <v>28500</v>
      </c>
      <c r="AS9014" s="78">
        <f t="shared" si="144"/>
        <v>0.45789473684210524</v>
      </c>
    </row>
    <row r="9015" spans="39:45">
      <c r="AM9015" s="55">
        <v>2020</v>
      </c>
      <c r="AN9015" s="55" t="s">
        <v>183</v>
      </c>
      <c r="AO9015" s="55">
        <v>11</v>
      </c>
      <c r="AP9015" s="55">
        <v>13</v>
      </c>
      <c r="AQ9015" s="55">
        <v>5945.5</v>
      </c>
      <c r="AR9015" s="55">
        <v>28500</v>
      </c>
      <c r="AS9015" s="78">
        <f t="shared" si="144"/>
        <v>0.20861403508771931</v>
      </c>
    </row>
    <row r="9016" spans="39:45">
      <c r="AM9016" s="54">
        <v>2020</v>
      </c>
      <c r="AN9016" s="54" t="s">
        <v>183</v>
      </c>
      <c r="AO9016" s="54">
        <v>11</v>
      </c>
      <c r="AP9016" s="54">
        <v>14</v>
      </c>
      <c r="AQ9016" s="54">
        <v>702.5</v>
      </c>
      <c r="AR9016" s="55">
        <v>28500</v>
      </c>
      <c r="AS9016" s="78">
        <f t="shared" si="144"/>
        <v>2.4649122807017546E-2</v>
      </c>
    </row>
    <row r="9017" spans="39:45">
      <c r="AM9017" s="55">
        <v>2020</v>
      </c>
      <c r="AN9017" s="55" t="s">
        <v>183</v>
      </c>
      <c r="AO9017" s="55">
        <v>11</v>
      </c>
      <c r="AP9017" s="55">
        <v>15</v>
      </c>
      <c r="AQ9017" s="55">
        <v>2160</v>
      </c>
      <c r="AR9017" s="55">
        <v>28500</v>
      </c>
      <c r="AS9017" s="78">
        <f t="shared" si="144"/>
        <v>7.5789473684210532E-2</v>
      </c>
    </row>
    <row r="9018" spans="39:45">
      <c r="AM9018" s="54">
        <v>2020</v>
      </c>
      <c r="AN9018" s="54" t="s">
        <v>183</v>
      </c>
      <c r="AO9018" s="54">
        <v>11</v>
      </c>
      <c r="AP9018" s="54">
        <v>16</v>
      </c>
      <c r="AQ9018" s="54">
        <v>0</v>
      </c>
      <c r="AR9018" s="55">
        <v>28500</v>
      </c>
      <c r="AS9018" s="78">
        <f t="shared" si="144"/>
        <v>0</v>
      </c>
    </row>
    <row r="9019" spans="39:45">
      <c r="AM9019" s="55">
        <v>2020</v>
      </c>
      <c r="AN9019" s="55" t="s">
        <v>183</v>
      </c>
      <c r="AO9019" s="55">
        <v>11</v>
      </c>
      <c r="AP9019" s="55">
        <v>17</v>
      </c>
      <c r="AQ9019" s="55">
        <v>0</v>
      </c>
      <c r="AR9019" s="55">
        <v>28500</v>
      </c>
      <c r="AS9019" s="78">
        <f t="shared" si="144"/>
        <v>0</v>
      </c>
    </row>
    <row r="9020" spans="39:45">
      <c r="AM9020" s="54">
        <v>2020</v>
      </c>
      <c r="AN9020" s="54" t="s">
        <v>183</v>
      </c>
      <c r="AO9020" s="54">
        <v>11</v>
      </c>
      <c r="AP9020" s="54">
        <v>18</v>
      </c>
      <c r="AQ9020" s="54">
        <v>0</v>
      </c>
      <c r="AR9020" s="55">
        <v>28500</v>
      </c>
      <c r="AS9020" s="78">
        <f t="shared" si="144"/>
        <v>0</v>
      </c>
    </row>
    <row r="9021" spans="39:45">
      <c r="AM9021" s="55">
        <v>2020</v>
      </c>
      <c r="AN9021" s="55" t="s">
        <v>183</v>
      </c>
      <c r="AO9021" s="55">
        <v>11</v>
      </c>
      <c r="AP9021" s="55">
        <v>19</v>
      </c>
      <c r="AQ9021" s="55">
        <v>0</v>
      </c>
      <c r="AR9021" s="55">
        <v>28500</v>
      </c>
      <c r="AS9021" s="78">
        <f t="shared" si="144"/>
        <v>0</v>
      </c>
    </row>
    <row r="9022" spans="39:45">
      <c r="AM9022" s="54">
        <v>2020</v>
      </c>
      <c r="AN9022" s="54" t="s">
        <v>183</v>
      </c>
      <c r="AO9022" s="54">
        <v>11</v>
      </c>
      <c r="AP9022" s="54">
        <v>20</v>
      </c>
      <c r="AQ9022" s="54">
        <v>0</v>
      </c>
      <c r="AR9022" s="55">
        <v>28500</v>
      </c>
      <c r="AS9022" s="78">
        <f t="shared" si="144"/>
        <v>0</v>
      </c>
    </row>
    <row r="9023" spans="39:45">
      <c r="AM9023" s="55">
        <v>2020</v>
      </c>
      <c r="AN9023" s="55" t="s">
        <v>183</v>
      </c>
      <c r="AO9023" s="55">
        <v>11</v>
      </c>
      <c r="AP9023" s="55">
        <v>21</v>
      </c>
      <c r="AQ9023" s="55">
        <v>0</v>
      </c>
      <c r="AR9023" s="55">
        <v>28500</v>
      </c>
      <c r="AS9023" s="78">
        <f t="shared" si="144"/>
        <v>0</v>
      </c>
    </row>
    <row r="9024" spans="39:45">
      <c r="AM9024" s="54">
        <v>2020</v>
      </c>
      <c r="AN9024" s="54" t="s">
        <v>183</v>
      </c>
      <c r="AO9024" s="54">
        <v>11</v>
      </c>
      <c r="AP9024" s="54">
        <v>22</v>
      </c>
      <c r="AQ9024" s="54">
        <v>0</v>
      </c>
      <c r="AR9024" s="55">
        <v>28500</v>
      </c>
      <c r="AS9024" s="78">
        <f t="shared" si="144"/>
        <v>0</v>
      </c>
    </row>
    <row r="9025" spans="39:45">
      <c r="AM9025" s="55">
        <v>2020</v>
      </c>
      <c r="AN9025" s="55" t="s">
        <v>183</v>
      </c>
      <c r="AO9025" s="55">
        <v>11</v>
      </c>
      <c r="AP9025" s="55">
        <v>23</v>
      </c>
      <c r="AQ9025" s="55">
        <v>0</v>
      </c>
      <c r="AR9025" s="55">
        <v>28500</v>
      </c>
      <c r="AS9025" s="78">
        <f t="shared" si="144"/>
        <v>0</v>
      </c>
    </row>
    <row r="9026" spans="39:45">
      <c r="AM9026" s="54">
        <v>2020</v>
      </c>
      <c r="AN9026" s="54" t="s">
        <v>183</v>
      </c>
      <c r="AO9026" s="54">
        <v>12</v>
      </c>
      <c r="AP9026" s="54">
        <v>24</v>
      </c>
      <c r="AQ9026" s="54">
        <v>0</v>
      </c>
      <c r="AR9026" s="55">
        <v>28500</v>
      </c>
      <c r="AS9026" s="78">
        <f t="shared" ref="AS9026:AS9089" si="145">AQ9026/AR9026</f>
        <v>0</v>
      </c>
    </row>
    <row r="9027" spans="39:45">
      <c r="AM9027" s="55">
        <v>2020</v>
      </c>
      <c r="AN9027" s="55" t="s">
        <v>183</v>
      </c>
      <c r="AO9027" s="55">
        <v>12</v>
      </c>
      <c r="AP9027" s="55">
        <v>1</v>
      </c>
      <c r="AQ9027" s="55">
        <v>0</v>
      </c>
      <c r="AR9027" s="55">
        <v>28500</v>
      </c>
      <c r="AS9027" s="78">
        <f t="shared" si="145"/>
        <v>0</v>
      </c>
    </row>
    <row r="9028" spans="39:45">
      <c r="AM9028" s="54">
        <v>2020</v>
      </c>
      <c r="AN9028" s="54" t="s">
        <v>183</v>
      </c>
      <c r="AO9028" s="54">
        <v>12</v>
      </c>
      <c r="AP9028" s="54">
        <v>2</v>
      </c>
      <c r="AQ9028" s="54">
        <v>0</v>
      </c>
      <c r="AR9028" s="55">
        <v>28500</v>
      </c>
      <c r="AS9028" s="78">
        <f t="shared" si="145"/>
        <v>0</v>
      </c>
    </row>
    <row r="9029" spans="39:45">
      <c r="AM9029" s="55">
        <v>2020</v>
      </c>
      <c r="AN9029" s="55" t="s">
        <v>183</v>
      </c>
      <c r="AO9029" s="55">
        <v>12</v>
      </c>
      <c r="AP9029" s="55">
        <v>3</v>
      </c>
      <c r="AQ9029" s="55">
        <v>0</v>
      </c>
      <c r="AR9029" s="55">
        <v>28500</v>
      </c>
      <c r="AS9029" s="78">
        <f t="shared" si="145"/>
        <v>0</v>
      </c>
    </row>
    <row r="9030" spans="39:45">
      <c r="AM9030" s="54">
        <v>2020</v>
      </c>
      <c r="AN9030" s="54" t="s">
        <v>183</v>
      </c>
      <c r="AO9030" s="54">
        <v>12</v>
      </c>
      <c r="AP9030" s="54">
        <v>4</v>
      </c>
      <c r="AQ9030" s="54">
        <v>0</v>
      </c>
      <c r="AR9030" s="55">
        <v>28500</v>
      </c>
      <c r="AS9030" s="78">
        <f t="shared" si="145"/>
        <v>0</v>
      </c>
    </row>
    <row r="9031" spans="39:45">
      <c r="AM9031" s="55">
        <v>2020</v>
      </c>
      <c r="AN9031" s="55" t="s">
        <v>183</v>
      </c>
      <c r="AO9031" s="55">
        <v>12</v>
      </c>
      <c r="AP9031" s="55">
        <v>5</v>
      </c>
      <c r="AQ9031" s="55">
        <v>0</v>
      </c>
      <c r="AR9031" s="55">
        <v>28500</v>
      </c>
      <c r="AS9031" s="78">
        <f t="shared" si="145"/>
        <v>0</v>
      </c>
    </row>
    <row r="9032" spans="39:45">
      <c r="AM9032" s="54">
        <v>2020</v>
      </c>
      <c r="AN9032" s="54" t="s">
        <v>183</v>
      </c>
      <c r="AO9032" s="54">
        <v>12</v>
      </c>
      <c r="AP9032" s="54">
        <v>6</v>
      </c>
      <c r="AQ9032" s="54">
        <v>0</v>
      </c>
      <c r="AR9032" s="55">
        <v>28500</v>
      </c>
      <c r="AS9032" s="78">
        <f t="shared" si="145"/>
        <v>0</v>
      </c>
    </row>
    <row r="9033" spans="39:45">
      <c r="AM9033" s="55">
        <v>2020</v>
      </c>
      <c r="AN9033" s="55" t="s">
        <v>183</v>
      </c>
      <c r="AO9033" s="55">
        <v>12</v>
      </c>
      <c r="AP9033" s="55">
        <v>7</v>
      </c>
      <c r="AQ9033" s="55">
        <v>0</v>
      </c>
      <c r="AR9033" s="55">
        <v>28500</v>
      </c>
      <c r="AS9033" s="78">
        <f t="shared" si="145"/>
        <v>0</v>
      </c>
    </row>
    <row r="9034" spans="39:45">
      <c r="AM9034" s="54">
        <v>2020</v>
      </c>
      <c r="AN9034" s="54" t="s">
        <v>183</v>
      </c>
      <c r="AO9034" s="54">
        <v>12</v>
      </c>
      <c r="AP9034" s="54">
        <v>8</v>
      </c>
      <c r="AQ9034" s="54">
        <v>0</v>
      </c>
      <c r="AR9034" s="55">
        <v>28500</v>
      </c>
      <c r="AS9034" s="78">
        <f t="shared" si="145"/>
        <v>0</v>
      </c>
    </row>
    <row r="9035" spans="39:45">
      <c r="AM9035" s="55">
        <v>2020</v>
      </c>
      <c r="AN9035" s="55" t="s">
        <v>183</v>
      </c>
      <c r="AO9035" s="55">
        <v>12</v>
      </c>
      <c r="AP9035" s="55">
        <v>9</v>
      </c>
      <c r="AQ9035" s="55">
        <v>3765.5</v>
      </c>
      <c r="AR9035" s="55">
        <v>28500</v>
      </c>
      <c r="AS9035" s="78">
        <f t="shared" si="145"/>
        <v>0.13212280701754386</v>
      </c>
    </row>
    <row r="9036" spans="39:45">
      <c r="AM9036" s="54">
        <v>2020</v>
      </c>
      <c r="AN9036" s="54" t="s">
        <v>183</v>
      </c>
      <c r="AO9036" s="54">
        <v>12</v>
      </c>
      <c r="AP9036" s="54">
        <v>10</v>
      </c>
      <c r="AQ9036" s="54">
        <v>7219</v>
      </c>
      <c r="AR9036" s="55">
        <v>28500</v>
      </c>
      <c r="AS9036" s="78">
        <f t="shared" si="145"/>
        <v>0.25329824561403508</v>
      </c>
    </row>
    <row r="9037" spans="39:45">
      <c r="AM9037" s="55">
        <v>2020</v>
      </c>
      <c r="AN9037" s="55" t="s">
        <v>183</v>
      </c>
      <c r="AO9037" s="55">
        <v>12</v>
      </c>
      <c r="AP9037" s="55">
        <v>11</v>
      </c>
      <c r="AQ9037" s="55">
        <v>16864</v>
      </c>
      <c r="AR9037" s="55">
        <v>28500</v>
      </c>
      <c r="AS9037" s="78">
        <f t="shared" si="145"/>
        <v>0.59171929824561409</v>
      </c>
    </row>
    <row r="9038" spans="39:45">
      <c r="AM9038" s="54">
        <v>2020</v>
      </c>
      <c r="AN9038" s="54" t="s">
        <v>183</v>
      </c>
      <c r="AO9038" s="54">
        <v>12</v>
      </c>
      <c r="AP9038" s="54">
        <v>12</v>
      </c>
      <c r="AQ9038" s="54">
        <v>10234</v>
      </c>
      <c r="AR9038" s="55">
        <v>28500</v>
      </c>
      <c r="AS9038" s="78">
        <f t="shared" si="145"/>
        <v>0.35908771929824562</v>
      </c>
    </row>
    <row r="9039" spans="39:45">
      <c r="AM9039" s="55">
        <v>2020</v>
      </c>
      <c r="AN9039" s="55" t="s">
        <v>183</v>
      </c>
      <c r="AO9039" s="55">
        <v>12</v>
      </c>
      <c r="AP9039" s="55">
        <v>13</v>
      </c>
      <c r="AQ9039" s="55">
        <v>20289.5</v>
      </c>
      <c r="AR9039" s="55">
        <v>28500</v>
      </c>
      <c r="AS9039" s="78">
        <f t="shared" si="145"/>
        <v>0.71191228070175439</v>
      </c>
    </row>
    <row r="9040" spans="39:45">
      <c r="AM9040" s="54">
        <v>2020</v>
      </c>
      <c r="AN9040" s="54" t="s">
        <v>183</v>
      </c>
      <c r="AO9040" s="54">
        <v>12</v>
      </c>
      <c r="AP9040" s="54">
        <v>14</v>
      </c>
      <c r="AQ9040" s="54">
        <v>13183.5</v>
      </c>
      <c r="AR9040" s="55">
        <v>28500</v>
      </c>
      <c r="AS9040" s="78">
        <f t="shared" si="145"/>
        <v>0.46257894736842103</v>
      </c>
    </row>
    <row r="9041" spans="39:45">
      <c r="AM9041" s="55">
        <v>2020</v>
      </c>
      <c r="AN9041" s="55" t="s">
        <v>183</v>
      </c>
      <c r="AO9041" s="55">
        <v>12</v>
      </c>
      <c r="AP9041" s="55">
        <v>15</v>
      </c>
      <c r="AQ9041" s="55">
        <v>11616</v>
      </c>
      <c r="AR9041" s="55">
        <v>28500</v>
      </c>
      <c r="AS9041" s="78">
        <f t="shared" si="145"/>
        <v>0.40757894736842104</v>
      </c>
    </row>
    <row r="9042" spans="39:45">
      <c r="AM9042" s="54">
        <v>2020</v>
      </c>
      <c r="AN9042" s="54" t="s">
        <v>183</v>
      </c>
      <c r="AO9042" s="54">
        <v>12</v>
      </c>
      <c r="AP9042" s="54">
        <v>16</v>
      </c>
      <c r="AQ9042" s="54">
        <v>0</v>
      </c>
      <c r="AR9042" s="55">
        <v>28500</v>
      </c>
      <c r="AS9042" s="78">
        <f t="shared" si="145"/>
        <v>0</v>
      </c>
    </row>
    <row r="9043" spans="39:45">
      <c r="AM9043" s="55">
        <v>2020</v>
      </c>
      <c r="AN9043" s="55" t="s">
        <v>183</v>
      </c>
      <c r="AO9043" s="55">
        <v>12</v>
      </c>
      <c r="AP9043" s="55">
        <v>17</v>
      </c>
      <c r="AQ9043" s="55">
        <v>0</v>
      </c>
      <c r="AR9043" s="55">
        <v>28500</v>
      </c>
      <c r="AS9043" s="78">
        <f t="shared" si="145"/>
        <v>0</v>
      </c>
    </row>
    <row r="9044" spans="39:45">
      <c r="AM9044" s="54">
        <v>2020</v>
      </c>
      <c r="AN9044" s="54" t="s">
        <v>183</v>
      </c>
      <c r="AO9044" s="54">
        <v>12</v>
      </c>
      <c r="AP9044" s="54">
        <v>18</v>
      </c>
      <c r="AQ9044" s="54">
        <v>0</v>
      </c>
      <c r="AR9044" s="55">
        <v>28500</v>
      </c>
      <c r="AS9044" s="78">
        <f t="shared" si="145"/>
        <v>0</v>
      </c>
    </row>
    <row r="9045" spans="39:45">
      <c r="AM9045" s="55">
        <v>2020</v>
      </c>
      <c r="AN9045" s="55" t="s">
        <v>183</v>
      </c>
      <c r="AO9045" s="55">
        <v>12</v>
      </c>
      <c r="AP9045" s="55">
        <v>19</v>
      </c>
      <c r="AQ9045" s="55">
        <v>0</v>
      </c>
      <c r="AR9045" s="55">
        <v>28500</v>
      </c>
      <c r="AS9045" s="78">
        <f t="shared" si="145"/>
        <v>0</v>
      </c>
    </row>
    <row r="9046" spans="39:45">
      <c r="AM9046" s="54">
        <v>2020</v>
      </c>
      <c r="AN9046" s="54" t="s">
        <v>183</v>
      </c>
      <c r="AO9046" s="54">
        <v>12</v>
      </c>
      <c r="AP9046" s="54">
        <v>20</v>
      </c>
      <c r="AQ9046" s="54">
        <v>0</v>
      </c>
      <c r="AR9046" s="55">
        <v>28500</v>
      </c>
      <c r="AS9046" s="78">
        <f t="shared" si="145"/>
        <v>0</v>
      </c>
    </row>
    <row r="9047" spans="39:45">
      <c r="AM9047" s="55">
        <v>2020</v>
      </c>
      <c r="AN9047" s="55" t="s">
        <v>183</v>
      </c>
      <c r="AO9047" s="55">
        <v>12</v>
      </c>
      <c r="AP9047" s="55">
        <v>21</v>
      </c>
      <c r="AQ9047" s="55">
        <v>0</v>
      </c>
      <c r="AR9047" s="55">
        <v>28500</v>
      </c>
      <c r="AS9047" s="78">
        <f t="shared" si="145"/>
        <v>0</v>
      </c>
    </row>
    <row r="9048" spans="39:45">
      <c r="AM9048" s="54">
        <v>2020</v>
      </c>
      <c r="AN9048" s="54" t="s">
        <v>183</v>
      </c>
      <c r="AO9048" s="54">
        <v>12</v>
      </c>
      <c r="AP9048" s="54">
        <v>22</v>
      </c>
      <c r="AQ9048" s="54">
        <v>0</v>
      </c>
      <c r="AR9048" s="55">
        <v>28500</v>
      </c>
      <c r="AS9048" s="78">
        <f t="shared" si="145"/>
        <v>0</v>
      </c>
    </row>
    <row r="9049" spans="39:45">
      <c r="AM9049" s="55">
        <v>2020</v>
      </c>
      <c r="AN9049" s="55" t="s">
        <v>183</v>
      </c>
      <c r="AO9049" s="55">
        <v>12</v>
      </c>
      <c r="AP9049" s="55">
        <v>23</v>
      </c>
      <c r="AQ9049" s="55">
        <v>0</v>
      </c>
      <c r="AR9049" s="55">
        <v>28500</v>
      </c>
      <c r="AS9049" s="78">
        <f t="shared" si="145"/>
        <v>0</v>
      </c>
    </row>
    <row r="9050" spans="39:45">
      <c r="AM9050" s="54">
        <v>2020</v>
      </c>
      <c r="AN9050" s="54" t="s">
        <v>183</v>
      </c>
      <c r="AO9050" s="54">
        <v>13</v>
      </c>
      <c r="AP9050" s="54">
        <v>24</v>
      </c>
      <c r="AQ9050" s="54">
        <v>0</v>
      </c>
      <c r="AR9050" s="55">
        <v>28500</v>
      </c>
      <c r="AS9050" s="78">
        <f t="shared" si="145"/>
        <v>0</v>
      </c>
    </row>
    <row r="9051" spans="39:45">
      <c r="AM9051" s="55">
        <v>2020</v>
      </c>
      <c r="AN9051" s="55" t="s">
        <v>183</v>
      </c>
      <c r="AO9051" s="55">
        <v>13</v>
      </c>
      <c r="AP9051" s="55">
        <v>1</v>
      </c>
      <c r="AQ9051" s="55">
        <v>0</v>
      </c>
      <c r="AR9051" s="55">
        <v>28500</v>
      </c>
      <c r="AS9051" s="78">
        <f t="shared" si="145"/>
        <v>0</v>
      </c>
    </row>
    <row r="9052" spans="39:45">
      <c r="AM9052" s="54">
        <v>2020</v>
      </c>
      <c r="AN9052" s="54" t="s">
        <v>183</v>
      </c>
      <c r="AO9052" s="54">
        <v>13</v>
      </c>
      <c r="AP9052" s="54">
        <v>2</v>
      </c>
      <c r="AQ9052" s="54">
        <v>0</v>
      </c>
      <c r="AR9052" s="55">
        <v>28500</v>
      </c>
      <c r="AS9052" s="78">
        <f t="shared" si="145"/>
        <v>0</v>
      </c>
    </row>
    <row r="9053" spans="39:45">
      <c r="AM9053" s="55">
        <v>2020</v>
      </c>
      <c r="AN9053" s="55" t="s">
        <v>183</v>
      </c>
      <c r="AO9053" s="55">
        <v>13</v>
      </c>
      <c r="AP9053" s="55">
        <v>3</v>
      </c>
      <c r="AQ9053" s="55">
        <v>0</v>
      </c>
      <c r="AR9053" s="55">
        <v>28500</v>
      </c>
      <c r="AS9053" s="78">
        <f t="shared" si="145"/>
        <v>0</v>
      </c>
    </row>
    <row r="9054" spans="39:45">
      <c r="AM9054" s="54">
        <v>2020</v>
      </c>
      <c r="AN9054" s="54" t="s">
        <v>183</v>
      </c>
      <c r="AO9054" s="54">
        <v>13</v>
      </c>
      <c r="AP9054" s="54">
        <v>4</v>
      </c>
      <c r="AQ9054" s="54">
        <v>0</v>
      </c>
      <c r="AR9054" s="55">
        <v>28500</v>
      </c>
      <c r="AS9054" s="78">
        <f t="shared" si="145"/>
        <v>0</v>
      </c>
    </row>
    <row r="9055" spans="39:45">
      <c r="AM9055" s="55">
        <v>2020</v>
      </c>
      <c r="AN9055" s="55" t="s">
        <v>183</v>
      </c>
      <c r="AO9055" s="55">
        <v>13</v>
      </c>
      <c r="AP9055" s="55">
        <v>5</v>
      </c>
      <c r="AQ9055" s="55">
        <v>0</v>
      </c>
      <c r="AR9055" s="55">
        <v>28500</v>
      </c>
      <c r="AS9055" s="78">
        <f t="shared" si="145"/>
        <v>0</v>
      </c>
    </row>
    <row r="9056" spans="39:45">
      <c r="AM9056" s="54">
        <v>2020</v>
      </c>
      <c r="AN9056" s="54" t="s">
        <v>183</v>
      </c>
      <c r="AO9056" s="54">
        <v>13</v>
      </c>
      <c r="AP9056" s="54">
        <v>6</v>
      </c>
      <c r="AQ9056" s="54">
        <v>0</v>
      </c>
      <c r="AR9056" s="55">
        <v>28500</v>
      </c>
      <c r="AS9056" s="78">
        <f t="shared" si="145"/>
        <v>0</v>
      </c>
    </row>
    <row r="9057" spans="39:45">
      <c r="AM9057" s="55">
        <v>2020</v>
      </c>
      <c r="AN9057" s="55" t="s">
        <v>183</v>
      </c>
      <c r="AO9057" s="55">
        <v>13</v>
      </c>
      <c r="AP9057" s="55">
        <v>7</v>
      </c>
      <c r="AQ9057" s="55">
        <v>0</v>
      </c>
      <c r="AR9057" s="55">
        <v>28500</v>
      </c>
      <c r="AS9057" s="78">
        <f t="shared" si="145"/>
        <v>0</v>
      </c>
    </row>
    <row r="9058" spans="39:45">
      <c r="AM9058" s="54">
        <v>2020</v>
      </c>
      <c r="AN9058" s="54" t="s">
        <v>183</v>
      </c>
      <c r="AO9058" s="54">
        <v>13</v>
      </c>
      <c r="AP9058" s="54">
        <v>8</v>
      </c>
      <c r="AQ9058" s="54">
        <v>0</v>
      </c>
      <c r="AR9058" s="55">
        <v>28500</v>
      </c>
      <c r="AS9058" s="78">
        <f t="shared" si="145"/>
        <v>0</v>
      </c>
    </row>
    <row r="9059" spans="39:45">
      <c r="AM9059" s="55">
        <v>2020</v>
      </c>
      <c r="AN9059" s="55" t="s">
        <v>183</v>
      </c>
      <c r="AO9059" s="55">
        <v>13</v>
      </c>
      <c r="AP9059" s="55">
        <v>9</v>
      </c>
      <c r="AQ9059" s="55">
        <v>3772.5</v>
      </c>
      <c r="AR9059" s="55">
        <v>28500</v>
      </c>
      <c r="AS9059" s="78">
        <f t="shared" si="145"/>
        <v>0.13236842105263158</v>
      </c>
    </row>
    <row r="9060" spans="39:45">
      <c r="AM9060" s="54">
        <v>2020</v>
      </c>
      <c r="AN9060" s="54" t="s">
        <v>183</v>
      </c>
      <c r="AO9060" s="54">
        <v>13</v>
      </c>
      <c r="AP9060" s="54">
        <v>10</v>
      </c>
      <c r="AQ9060" s="54">
        <v>12374.5</v>
      </c>
      <c r="AR9060" s="55">
        <v>28500</v>
      </c>
      <c r="AS9060" s="78">
        <f t="shared" si="145"/>
        <v>0.43419298245614035</v>
      </c>
    </row>
    <row r="9061" spans="39:45">
      <c r="AM9061" s="55">
        <v>2020</v>
      </c>
      <c r="AN9061" s="55" t="s">
        <v>183</v>
      </c>
      <c r="AO9061" s="55">
        <v>13</v>
      </c>
      <c r="AP9061" s="55">
        <v>11</v>
      </c>
      <c r="AQ9061" s="55">
        <v>13371</v>
      </c>
      <c r="AR9061" s="55">
        <v>28500</v>
      </c>
      <c r="AS9061" s="78">
        <f t="shared" si="145"/>
        <v>0.46915789473684211</v>
      </c>
    </row>
    <row r="9062" spans="39:45">
      <c r="AM9062" s="54">
        <v>2020</v>
      </c>
      <c r="AN9062" s="54" t="s">
        <v>183</v>
      </c>
      <c r="AO9062" s="54">
        <v>13</v>
      </c>
      <c r="AP9062" s="54">
        <v>12</v>
      </c>
      <c r="AQ9062" s="54">
        <v>6536.5</v>
      </c>
      <c r="AR9062" s="55">
        <v>28500</v>
      </c>
      <c r="AS9062" s="78">
        <f t="shared" si="145"/>
        <v>0.22935087719298244</v>
      </c>
    </row>
    <row r="9063" spans="39:45">
      <c r="AM9063" s="55">
        <v>2020</v>
      </c>
      <c r="AN9063" s="55" t="s">
        <v>183</v>
      </c>
      <c r="AO9063" s="55">
        <v>13</v>
      </c>
      <c r="AP9063" s="55">
        <v>13</v>
      </c>
      <c r="AQ9063" s="55">
        <v>1009.5</v>
      </c>
      <c r="AR9063" s="55">
        <v>28500</v>
      </c>
      <c r="AS9063" s="78">
        <f t="shared" si="145"/>
        <v>3.542105263157895E-2</v>
      </c>
    </row>
    <row r="9064" spans="39:45">
      <c r="AM9064" s="54">
        <v>2020</v>
      </c>
      <c r="AN9064" s="54" t="s">
        <v>183</v>
      </c>
      <c r="AO9064" s="54">
        <v>13</v>
      </c>
      <c r="AP9064" s="54">
        <v>14</v>
      </c>
      <c r="AQ9064" s="54">
        <v>2118.5</v>
      </c>
      <c r="AR9064" s="55">
        <v>28500</v>
      </c>
      <c r="AS9064" s="78">
        <f t="shared" si="145"/>
        <v>7.4333333333333335E-2</v>
      </c>
    </row>
    <row r="9065" spans="39:45">
      <c r="AM9065" s="55">
        <v>2020</v>
      </c>
      <c r="AN9065" s="55" t="s">
        <v>183</v>
      </c>
      <c r="AO9065" s="55">
        <v>13</v>
      </c>
      <c r="AP9065" s="55">
        <v>15</v>
      </c>
      <c r="AQ9065" s="55">
        <v>362</v>
      </c>
      <c r="AR9065" s="55">
        <v>28500</v>
      </c>
      <c r="AS9065" s="78">
        <f t="shared" si="145"/>
        <v>1.2701754385964912E-2</v>
      </c>
    </row>
    <row r="9066" spans="39:45">
      <c r="AM9066" s="54">
        <v>2020</v>
      </c>
      <c r="AN9066" s="54" t="s">
        <v>183</v>
      </c>
      <c r="AO9066" s="54">
        <v>13</v>
      </c>
      <c r="AP9066" s="54">
        <v>16</v>
      </c>
      <c r="AQ9066" s="54">
        <v>0</v>
      </c>
      <c r="AR9066" s="55">
        <v>28500</v>
      </c>
      <c r="AS9066" s="78">
        <f t="shared" si="145"/>
        <v>0</v>
      </c>
    </row>
    <row r="9067" spans="39:45">
      <c r="AM9067" s="55">
        <v>2020</v>
      </c>
      <c r="AN9067" s="55" t="s">
        <v>183</v>
      </c>
      <c r="AO9067" s="55">
        <v>13</v>
      </c>
      <c r="AP9067" s="55">
        <v>17</v>
      </c>
      <c r="AQ9067" s="55">
        <v>0</v>
      </c>
      <c r="AR9067" s="55">
        <v>28500</v>
      </c>
      <c r="AS9067" s="78">
        <f t="shared" si="145"/>
        <v>0</v>
      </c>
    </row>
    <row r="9068" spans="39:45">
      <c r="AM9068" s="54">
        <v>2020</v>
      </c>
      <c r="AN9068" s="54" t="s">
        <v>183</v>
      </c>
      <c r="AO9068" s="54">
        <v>13</v>
      </c>
      <c r="AP9068" s="54">
        <v>18</v>
      </c>
      <c r="AQ9068" s="54">
        <v>0</v>
      </c>
      <c r="AR9068" s="55">
        <v>28500</v>
      </c>
      <c r="AS9068" s="78">
        <f t="shared" si="145"/>
        <v>0</v>
      </c>
    </row>
    <row r="9069" spans="39:45">
      <c r="AM9069" s="55">
        <v>2020</v>
      </c>
      <c r="AN9069" s="55" t="s">
        <v>183</v>
      </c>
      <c r="AO9069" s="55">
        <v>13</v>
      </c>
      <c r="AP9069" s="55">
        <v>19</v>
      </c>
      <c r="AQ9069" s="55">
        <v>0</v>
      </c>
      <c r="AR9069" s="55">
        <v>28500</v>
      </c>
      <c r="AS9069" s="78">
        <f t="shared" si="145"/>
        <v>0</v>
      </c>
    </row>
    <row r="9070" spans="39:45">
      <c r="AM9070" s="54">
        <v>2020</v>
      </c>
      <c r="AN9070" s="54" t="s">
        <v>183</v>
      </c>
      <c r="AO9070" s="54">
        <v>13</v>
      </c>
      <c r="AP9070" s="54">
        <v>20</v>
      </c>
      <c r="AQ9070" s="54">
        <v>0</v>
      </c>
      <c r="AR9070" s="55">
        <v>28500</v>
      </c>
      <c r="AS9070" s="78">
        <f t="shared" si="145"/>
        <v>0</v>
      </c>
    </row>
    <row r="9071" spans="39:45">
      <c r="AM9071" s="55">
        <v>2020</v>
      </c>
      <c r="AN9071" s="55" t="s">
        <v>183</v>
      </c>
      <c r="AO9071" s="55">
        <v>13</v>
      </c>
      <c r="AP9071" s="55">
        <v>21</v>
      </c>
      <c r="AQ9071" s="55">
        <v>0</v>
      </c>
      <c r="AR9071" s="55">
        <v>28500</v>
      </c>
      <c r="AS9071" s="78">
        <f t="shared" si="145"/>
        <v>0</v>
      </c>
    </row>
    <row r="9072" spans="39:45">
      <c r="AM9072" s="54">
        <v>2020</v>
      </c>
      <c r="AN9072" s="54" t="s">
        <v>183</v>
      </c>
      <c r="AO9072" s="54">
        <v>13</v>
      </c>
      <c r="AP9072" s="54">
        <v>22</v>
      </c>
      <c r="AQ9072" s="54">
        <v>0</v>
      </c>
      <c r="AR9072" s="55">
        <v>28500</v>
      </c>
      <c r="AS9072" s="78">
        <f t="shared" si="145"/>
        <v>0</v>
      </c>
    </row>
    <row r="9073" spans="39:45">
      <c r="AM9073" s="55">
        <v>2020</v>
      </c>
      <c r="AN9073" s="55" t="s">
        <v>183</v>
      </c>
      <c r="AO9073" s="55">
        <v>13</v>
      </c>
      <c r="AP9073" s="55">
        <v>23</v>
      </c>
      <c r="AQ9073" s="55">
        <v>0</v>
      </c>
      <c r="AR9073" s="55">
        <v>28500</v>
      </c>
      <c r="AS9073" s="78">
        <f t="shared" si="145"/>
        <v>0</v>
      </c>
    </row>
    <row r="9074" spans="39:45">
      <c r="AM9074" s="54">
        <v>2020</v>
      </c>
      <c r="AN9074" s="54" t="s">
        <v>183</v>
      </c>
      <c r="AO9074" s="54">
        <v>14</v>
      </c>
      <c r="AP9074" s="54">
        <v>24</v>
      </c>
      <c r="AQ9074" s="54">
        <v>0</v>
      </c>
      <c r="AR9074" s="55">
        <v>28500</v>
      </c>
      <c r="AS9074" s="78">
        <f t="shared" si="145"/>
        <v>0</v>
      </c>
    </row>
    <row r="9075" spans="39:45">
      <c r="AM9075" s="55">
        <v>2020</v>
      </c>
      <c r="AN9075" s="55" t="s">
        <v>183</v>
      </c>
      <c r="AO9075" s="55">
        <v>14</v>
      </c>
      <c r="AP9075" s="55">
        <v>1</v>
      </c>
      <c r="AQ9075" s="55">
        <v>0</v>
      </c>
      <c r="AR9075" s="55">
        <v>28500</v>
      </c>
      <c r="AS9075" s="78">
        <f t="shared" si="145"/>
        <v>0</v>
      </c>
    </row>
    <row r="9076" spans="39:45">
      <c r="AM9076" s="54">
        <v>2020</v>
      </c>
      <c r="AN9076" s="54" t="s">
        <v>183</v>
      </c>
      <c r="AO9076" s="54">
        <v>14</v>
      </c>
      <c r="AP9076" s="54">
        <v>2</v>
      </c>
      <c r="AQ9076" s="54">
        <v>0</v>
      </c>
      <c r="AR9076" s="55">
        <v>28500</v>
      </c>
      <c r="AS9076" s="78">
        <f t="shared" si="145"/>
        <v>0</v>
      </c>
    </row>
    <row r="9077" spans="39:45">
      <c r="AM9077" s="55">
        <v>2020</v>
      </c>
      <c r="AN9077" s="55" t="s">
        <v>183</v>
      </c>
      <c r="AO9077" s="55">
        <v>14</v>
      </c>
      <c r="AP9077" s="55">
        <v>3</v>
      </c>
      <c r="AQ9077" s="55">
        <v>0</v>
      </c>
      <c r="AR9077" s="55">
        <v>28500</v>
      </c>
      <c r="AS9077" s="78">
        <f t="shared" si="145"/>
        <v>0</v>
      </c>
    </row>
    <row r="9078" spans="39:45">
      <c r="AM9078" s="54">
        <v>2020</v>
      </c>
      <c r="AN9078" s="54" t="s">
        <v>183</v>
      </c>
      <c r="AO9078" s="54">
        <v>14</v>
      </c>
      <c r="AP9078" s="54">
        <v>4</v>
      </c>
      <c r="AQ9078" s="54">
        <v>0</v>
      </c>
      <c r="AR9078" s="55">
        <v>28500</v>
      </c>
      <c r="AS9078" s="78">
        <f t="shared" si="145"/>
        <v>0</v>
      </c>
    </row>
    <row r="9079" spans="39:45">
      <c r="AM9079" s="55">
        <v>2020</v>
      </c>
      <c r="AN9079" s="55" t="s">
        <v>183</v>
      </c>
      <c r="AO9079" s="55">
        <v>14</v>
      </c>
      <c r="AP9079" s="55">
        <v>5</v>
      </c>
      <c r="AQ9079" s="55">
        <v>0</v>
      </c>
      <c r="AR9079" s="55">
        <v>28500</v>
      </c>
      <c r="AS9079" s="78">
        <f t="shared" si="145"/>
        <v>0</v>
      </c>
    </row>
    <row r="9080" spans="39:45">
      <c r="AM9080" s="54">
        <v>2020</v>
      </c>
      <c r="AN9080" s="54" t="s">
        <v>183</v>
      </c>
      <c r="AO9080" s="54">
        <v>14</v>
      </c>
      <c r="AP9080" s="54">
        <v>6</v>
      </c>
      <c r="AQ9080" s="54">
        <v>0</v>
      </c>
      <c r="AR9080" s="55">
        <v>28500</v>
      </c>
      <c r="AS9080" s="78">
        <f t="shared" si="145"/>
        <v>0</v>
      </c>
    </row>
    <row r="9081" spans="39:45">
      <c r="AM9081" s="55">
        <v>2020</v>
      </c>
      <c r="AN9081" s="55" t="s">
        <v>183</v>
      </c>
      <c r="AO9081" s="55">
        <v>14</v>
      </c>
      <c r="AP9081" s="55">
        <v>7</v>
      </c>
      <c r="AQ9081" s="55">
        <v>0</v>
      </c>
      <c r="AR9081" s="55">
        <v>28500</v>
      </c>
      <c r="AS9081" s="78">
        <f t="shared" si="145"/>
        <v>0</v>
      </c>
    </row>
    <row r="9082" spans="39:45">
      <c r="AM9082" s="54">
        <v>2020</v>
      </c>
      <c r="AN9082" s="54" t="s">
        <v>183</v>
      </c>
      <c r="AO9082" s="54">
        <v>14</v>
      </c>
      <c r="AP9082" s="54">
        <v>8</v>
      </c>
      <c r="AQ9082" s="54">
        <v>0</v>
      </c>
      <c r="AR9082" s="55">
        <v>28500</v>
      </c>
      <c r="AS9082" s="78">
        <f t="shared" si="145"/>
        <v>0</v>
      </c>
    </row>
    <row r="9083" spans="39:45">
      <c r="AM9083" s="55">
        <v>2020</v>
      </c>
      <c r="AN9083" s="55" t="s">
        <v>183</v>
      </c>
      <c r="AO9083" s="55">
        <v>14</v>
      </c>
      <c r="AP9083" s="55">
        <v>9</v>
      </c>
      <c r="AQ9083" s="55">
        <v>423</v>
      </c>
      <c r="AR9083" s="55">
        <v>28500</v>
      </c>
      <c r="AS9083" s="78">
        <f t="shared" si="145"/>
        <v>1.4842105263157894E-2</v>
      </c>
    </row>
    <row r="9084" spans="39:45">
      <c r="AM9084" s="54">
        <v>2020</v>
      </c>
      <c r="AN9084" s="54" t="s">
        <v>183</v>
      </c>
      <c r="AO9084" s="54">
        <v>14</v>
      </c>
      <c r="AP9084" s="54">
        <v>10</v>
      </c>
      <c r="AQ9084" s="54">
        <v>1112</v>
      </c>
      <c r="AR9084" s="55">
        <v>28500</v>
      </c>
      <c r="AS9084" s="78">
        <f t="shared" si="145"/>
        <v>3.9017543859649124E-2</v>
      </c>
    </row>
    <row r="9085" spans="39:45">
      <c r="AM9085" s="55">
        <v>2020</v>
      </c>
      <c r="AN9085" s="55" t="s">
        <v>183</v>
      </c>
      <c r="AO9085" s="55">
        <v>14</v>
      </c>
      <c r="AP9085" s="55">
        <v>11</v>
      </c>
      <c r="AQ9085" s="55">
        <v>4913</v>
      </c>
      <c r="AR9085" s="55">
        <v>28500</v>
      </c>
      <c r="AS9085" s="78">
        <f t="shared" si="145"/>
        <v>0.1723859649122807</v>
      </c>
    </row>
    <row r="9086" spans="39:45">
      <c r="AM9086" s="54">
        <v>2020</v>
      </c>
      <c r="AN9086" s="54" t="s">
        <v>183</v>
      </c>
      <c r="AO9086" s="54">
        <v>14</v>
      </c>
      <c r="AP9086" s="54">
        <v>12</v>
      </c>
      <c r="AQ9086" s="54">
        <v>2614.5</v>
      </c>
      <c r="AR9086" s="55">
        <v>28500</v>
      </c>
      <c r="AS9086" s="78">
        <f t="shared" si="145"/>
        <v>9.1736842105263158E-2</v>
      </c>
    </row>
    <row r="9087" spans="39:45">
      <c r="AM9087" s="55">
        <v>2020</v>
      </c>
      <c r="AN9087" s="55" t="s">
        <v>183</v>
      </c>
      <c r="AO9087" s="55">
        <v>14</v>
      </c>
      <c r="AP9087" s="55">
        <v>13</v>
      </c>
      <c r="AQ9087" s="55">
        <v>2642.5</v>
      </c>
      <c r="AR9087" s="55">
        <v>28500</v>
      </c>
      <c r="AS9087" s="78">
        <f t="shared" si="145"/>
        <v>9.2719298245614035E-2</v>
      </c>
    </row>
    <row r="9088" spans="39:45">
      <c r="AM9088" s="54">
        <v>2020</v>
      </c>
      <c r="AN9088" s="54" t="s">
        <v>183</v>
      </c>
      <c r="AO9088" s="54">
        <v>14</v>
      </c>
      <c r="AP9088" s="54">
        <v>14</v>
      </c>
      <c r="AQ9088" s="54">
        <v>2444.5</v>
      </c>
      <c r="AR9088" s="55">
        <v>28500</v>
      </c>
      <c r="AS9088" s="78">
        <f t="shared" si="145"/>
        <v>8.5771929824561402E-2</v>
      </c>
    </row>
    <row r="9089" spans="39:45">
      <c r="AM9089" s="55">
        <v>2020</v>
      </c>
      <c r="AN9089" s="55" t="s">
        <v>183</v>
      </c>
      <c r="AO9089" s="55">
        <v>14</v>
      </c>
      <c r="AP9089" s="55">
        <v>15</v>
      </c>
      <c r="AQ9089" s="55">
        <v>243</v>
      </c>
      <c r="AR9089" s="55">
        <v>28500</v>
      </c>
      <c r="AS9089" s="78">
        <f t="shared" si="145"/>
        <v>8.5263157894736839E-3</v>
      </c>
    </row>
    <row r="9090" spans="39:45">
      <c r="AM9090" s="54">
        <v>2020</v>
      </c>
      <c r="AN9090" s="54" t="s">
        <v>183</v>
      </c>
      <c r="AO9090" s="54">
        <v>14</v>
      </c>
      <c r="AP9090" s="54">
        <v>16</v>
      </c>
      <c r="AQ9090" s="54">
        <v>0</v>
      </c>
      <c r="AR9090" s="55">
        <v>28500</v>
      </c>
      <c r="AS9090" s="78">
        <f t="shared" ref="AS9090:AS9153" si="146">AQ9090/AR9090</f>
        <v>0</v>
      </c>
    </row>
    <row r="9091" spans="39:45">
      <c r="AM9091" s="55">
        <v>2020</v>
      </c>
      <c r="AN9091" s="55" t="s">
        <v>183</v>
      </c>
      <c r="AO9091" s="55">
        <v>14</v>
      </c>
      <c r="AP9091" s="55">
        <v>17</v>
      </c>
      <c r="AQ9091" s="55">
        <v>0</v>
      </c>
      <c r="AR9091" s="55">
        <v>28500</v>
      </c>
      <c r="AS9091" s="78">
        <f t="shared" si="146"/>
        <v>0</v>
      </c>
    </row>
    <row r="9092" spans="39:45">
      <c r="AM9092" s="54">
        <v>2020</v>
      </c>
      <c r="AN9092" s="54" t="s">
        <v>183</v>
      </c>
      <c r="AO9092" s="54">
        <v>14</v>
      </c>
      <c r="AP9092" s="54">
        <v>18</v>
      </c>
      <c r="AQ9092" s="54">
        <v>0</v>
      </c>
      <c r="AR9092" s="55">
        <v>28500</v>
      </c>
      <c r="AS9092" s="78">
        <f t="shared" si="146"/>
        <v>0</v>
      </c>
    </row>
    <row r="9093" spans="39:45">
      <c r="AM9093" s="55">
        <v>2020</v>
      </c>
      <c r="AN9093" s="55" t="s">
        <v>183</v>
      </c>
      <c r="AO9093" s="55">
        <v>14</v>
      </c>
      <c r="AP9093" s="55">
        <v>19</v>
      </c>
      <c r="AQ9093" s="55">
        <v>0</v>
      </c>
      <c r="AR9093" s="55">
        <v>28500</v>
      </c>
      <c r="AS9093" s="78">
        <f t="shared" si="146"/>
        <v>0</v>
      </c>
    </row>
    <row r="9094" spans="39:45">
      <c r="AM9094" s="54">
        <v>2020</v>
      </c>
      <c r="AN9094" s="54" t="s">
        <v>183</v>
      </c>
      <c r="AO9094" s="54">
        <v>14</v>
      </c>
      <c r="AP9094" s="54">
        <v>20</v>
      </c>
      <c r="AQ9094" s="54">
        <v>0</v>
      </c>
      <c r="AR9094" s="55">
        <v>28500</v>
      </c>
      <c r="AS9094" s="78">
        <f t="shared" si="146"/>
        <v>0</v>
      </c>
    </row>
    <row r="9095" spans="39:45">
      <c r="AM9095" s="55">
        <v>2020</v>
      </c>
      <c r="AN9095" s="55" t="s">
        <v>183</v>
      </c>
      <c r="AO9095" s="55">
        <v>14</v>
      </c>
      <c r="AP9095" s="55">
        <v>21</v>
      </c>
      <c r="AQ9095" s="55">
        <v>0</v>
      </c>
      <c r="AR9095" s="55">
        <v>28500</v>
      </c>
      <c r="AS9095" s="78">
        <f t="shared" si="146"/>
        <v>0</v>
      </c>
    </row>
    <row r="9096" spans="39:45">
      <c r="AM9096" s="54">
        <v>2020</v>
      </c>
      <c r="AN9096" s="54" t="s">
        <v>183</v>
      </c>
      <c r="AO9096" s="54">
        <v>14</v>
      </c>
      <c r="AP9096" s="54">
        <v>22</v>
      </c>
      <c r="AQ9096" s="54">
        <v>0</v>
      </c>
      <c r="AR9096" s="55">
        <v>28500</v>
      </c>
      <c r="AS9096" s="78">
        <f t="shared" si="146"/>
        <v>0</v>
      </c>
    </row>
    <row r="9097" spans="39:45">
      <c r="AM9097" s="55">
        <v>2020</v>
      </c>
      <c r="AN9097" s="55" t="s">
        <v>183</v>
      </c>
      <c r="AO9097" s="55">
        <v>14</v>
      </c>
      <c r="AP9097" s="55">
        <v>23</v>
      </c>
      <c r="AQ9097" s="55">
        <v>0</v>
      </c>
      <c r="AR9097" s="55">
        <v>28500</v>
      </c>
      <c r="AS9097" s="78">
        <f t="shared" si="146"/>
        <v>0</v>
      </c>
    </row>
    <row r="9098" spans="39:45">
      <c r="AM9098" s="54">
        <v>2020</v>
      </c>
      <c r="AN9098" s="54" t="s">
        <v>183</v>
      </c>
      <c r="AO9098" s="54">
        <v>15</v>
      </c>
      <c r="AP9098" s="54">
        <v>24</v>
      </c>
      <c r="AQ9098" s="54">
        <v>0</v>
      </c>
      <c r="AR9098" s="55">
        <v>28500</v>
      </c>
      <c r="AS9098" s="78">
        <f t="shared" si="146"/>
        <v>0</v>
      </c>
    </row>
    <row r="9099" spans="39:45">
      <c r="AM9099" s="55">
        <v>2020</v>
      </c>
      <c r="AN9099" s="55" t="s">
        <v>183</v>
      </c>
      <c r="AO9099" s="55">
        <v>15</v>
      </c>
      <c r="AP9099" s="55">
        <v>1</v>
      </c>
      <c r="AQ9099" s="55">
        <v>0</v>
      </c>
      <c r="AR9099" s="55">
        <v>28500</v>
      </c>
      <c r="AS9099" s="78">
        <f t="shared" si="146"/>
        <v>0</v>
      </c>
    </row>
    <row r="9100" spans="39:45">
      <c r="AM9100" s="54">
        <v>2020</v>
      </c>
      <c r="AN9100" s="54" t="s">
        <v>183</v>
      </c>
      <c r="AO9100" s="54">
        <v>15</v>
      </c>
      <c r="AP9100" s="54">
        <v>2</v>
      </c>
      <c r="AQ9100" s="54">
        <v>0</v>
      </c>
      <c r="AR9100" s="55">
        <v>28500</v>
      </c>
      <c r="AS9100" s="78">
        <f t="shared" si="146"/>
        <v>0</v>
      </c>
    </row>
    <row r="9101" spans="39:45">
      <c r="AM9101" s="55">
        <v>2020</v>
      </c>
      <c r="AN9101" s="55" t="s">
        <v>183</v>
      </c>
      <c r="AO9101" s="55">
        <v>15</v>
      </c>
      <c r="AP9101" s="55">
        <v>3</v>
      </c>
      <c r="AQ9101" s="55">
        <v>0</v>
      </c>
      <c r="AR9101" s="55">
        <v>28500</v>
      </c>
      <c r="AS9101" s="78">
        <f t="shared" si="146"/>
        <v>0</v>
      </c>
    </row>
    <row r="9102" spans="39:45">
      <c r="AM9102" s="54">
        <v>2020</v>
      </c>
      <c r="AN9102" s="54" t="s">
        <v>183</v>
      </c>
      <c r="AO9102" s="54">
        <v>15</v>
      </c>
      <c r="AP9102" s="54">
        <v>4</v>
      </c>
      <c r="AQ9102" s="54">
        <v>0</v>
      </c>
      <c r="AR9102" s="55">
        <v>28500</v>
      </c>
      <c r="AS9102" s="78">
        <f t="shared" si="146"/>
        <v>0</v>
      </c>
    </row>
    <row r="9103" spans="39:45">
      <c r="AM9103" s="55">
        <v>2020</v>
      </c>
      <c r="AN9103" s="55" t="s">
        <v>183</v>
      </c>
      <c r="AO9103" s="55">
        <v>15</v>
      </c>
      <c r="AP9103" s="55">
        <v>5</v>
      </c>
      <c r="AQ9103" s="55">
        <v>0</v>
      </c>
      <c r="AR9103" s="55">
        <v>28500</v>
      </c>
      <c r="AS9103" s="78">
        <f t="shared" si="146"/>
        <v>0</v>
      </c>
    </row>
    <row r="9104" spans="39:45">
      <c r="AM9104" s="54">
        <v>2020</v>
      </c>
      <c r="AN9104" s="54" t="s">
        <v>183</v>
      </c>
      <c r="AO9104" s="54">
        <v>15</v>
      </c>
      <c r="AP9104" s="54">
        <v>6</v>
      </c>
      <c r="AQ9104" s="54">
        <v>0</v>
      </c>
      <c r="AR9104" s="55">
        <v>28500</v>
      </c>
      <c r="AS9104" s="78">
        <f t="shared" si="146"/>
        <v>0</v>
      </c>
    </row>
    <row r="9105" spans="39:45">
      <c r="AM9105" s="55">
        <v>2020</v>
      </c>
      <c r="AN9105" s="55" t="s">
        <v>183</v>
      </c>
      <c r="AO9105" s="55">
        <v>15</v>
      </c>
      <c r="AP9105" s="55">
        <v>7</v>
      </c>
      <c r="AQ9105" s="55">
        <v>0</v>
      </c>
      <c r="AR9105" s="55">
        <v>28500</v>
      </c>
      <c r="AS9105" s="78">
        <f t="shared" si="146"/>
        <v>0</v>
      </c>
    </row>
    <row r="9106" spans="39:45">
      <c r="AM9106" s="54">
        <v>2020</v>
      </c>
      <c r="AN9106" s="54" t="s">
        <v>183</v>
      </c>
      <c r="AO9106" s="54">
        <v>15</v>
      </c>
      <c r="AP9106" s="54">
        <v>8</v>
      </c>
      <c r="AQ9106" s="54">
        <v>0</v>
      </c>
      <c r="AR9106" s="55">
        <v>28500</v>
      </c>
      <c r="AS9106" s="78">
        <f t="shared" si="146"/>
        <v>0</v>
      </c>
    </row>
    <row r="9107" spans="39:45">
      <c r="AM9107" s="55">
        <v>2020</v>
      </c>
      <c r="AN9107" s="55" t="s">
        <v>183</v>
      </c>
      <c r="AO9107" s="55">
        <v>15</v>
      </c>
      <c r="AP9107" s="55">
        <v>9</v>
      </c>
      <c r="AQ9107" s="55">
        <v>1180</v>
      </c>
      <c r="AR9107" s="55">
        <v>28500</v>
      </c>
      <c r="AS9107" s="78">
        <f t="shared" si="146"/>
        <v>4.1403508771929824E-2</v>
      </c>
    </row>
    <row r="9108" spans="39:45">
      <c r="AM9108" s="54">
        <v>2020</v>
      </c>
      <c r="AN9108" s="54" t="s">
        <v>183</v>
      </c>
      <c r="AO9108" s="54">
        <v>15</v>
      </c>
      <c r="AP9108" s="54">
        <v>10</v>
      </c>
      <c r="AQ9108" s="54">
        <v>250.5</v>
      </c>
      <c r="AR9108" s="55">
        <v>28500</v>
      </c>
      <c r="AS9108" s="78">
        <f t="shared" si="146"/>
        <v>8.7894736842105258E-3</v>
      </c>
    </row>
    <row r="9109" spans="39:45">
      <c r="AM9109" s="55">
        <v>2020</v>
      </c>
      <c r="AN9109" s="55" t="s">
        <v>183</v>
      </c>
      <c r="AO9109" s="55">
        <v>15</v>
      </c>
      <c r="AP9109" s="55">
        <v>11</v>
      </c>
      <c r="AQ9109" s="55">
        <v>4061</v>
      </c>
      <c r="AR9109" s="55">
        <v>28500</v>
      </c>
      <c r="AS9109" s="78">
        <f t="shared" si="146"/>
        <v>0.14249122807017545</v>
      </c>
    </row>
    <row r="9110" spans="39:45">
      <c r="AM9110" s="54">
        <v>2020</v>
      </c>
      <c r="AN9110" s="54" t="s">
        <v>183</v>
      </c>
      <c r="AO9110" s="54">
        <v>15</v>
      </c>
      <c r="AP9110" s="54">
        <v>12</v>
      </c>
      <c r="AQ9110" s="54">
        <v>4919.5</v>
      </c>
      <c r="AR9110" s="55">
        <v>28500</v>
      </c>
      <c r="AS9110" s="78">
        <f t="shared" si="146"/>
        <v>0.1726140350877193</v>
      </c>
    </row>
    <row r="9111" spans="39:45">
      <c r="AM9111" s="55">
        <v>2020</v>
      </c>
      <c r="AN9111" s="55" t="s">
        <v>183</v>
      </c>
      <c r="AO9111" s="55">
        <v>15</v>
      </c>
      <c r="AP9111" s="55">
        <v>13</v>
      </c>
      <c r="AQ9111" s="55">
        <v>24865.5</v>
      </c>
      <c r="AR9111" s="55">
        <v>28500</v>
      </c>
      <c r="AS9111" s="78">
        <f t="shared" si="146"/>
        <v>0.87247368421052629</v>
      </c>
    </row>
    <row r="9112" spans="39:45">
      <c r="AM9112" s="54">
        <v>2020</v>
      </c>
      <c r="AN9112" s="54" t="s">
        <v>183</v>
      </c>
      <c r="AO9112" s="54">
        <v>15</v>
      </c>
      <c r="AP9112" s="54">
        <v>14</v>
      </c>
      <c r="AQ9112" s="54">
        <v>17682.5</v>
      </c>
      <c r="AR9112" s="55">
        <v>28500</v>
      </c>
      <c r="AS9112" s="78">
        <f t="shared" si="146"/>
        <v>0.62043859649122812</v>
      </c>
    </row>
    <row r="9113" spans="39:45">
      <c r="AM9113" s="55">
        <v>2020</v>
      </c>
      <c r="AN9113" s="55" t="s">
        <v>183</v>
      </c>
      <c r="AO9113" s="55">
        <v>15</v>
      </c>
      <c r="AP9113" s="55">
        <v>15</v>
      </c>
      <c r="AQ9113" s="55">
        <v>12226</v>
      </c>
      <c r="AR9113" s="55">
        <v>28500</v>
      </c>
      <c r="AS9113" s="78">
        <f t="shared" si="146"/>
        <v>0.42898245614035085</v>
      </c>
    </row>
    <row r="9114" spans="39:45">
      <c r="AM9114" s="54">
        <v>2020</v>
      </c>
      <c r="AN9114" s="54" t="s">
        <v>183</v>
      </c>
      <c r="AO9114" s="54">
        <v>15</v>
      </c>
      <c r="AP9114" s="54">
        <v>16</v>
      </c>
      <c r="AQ9114" s="54">
        <v>0</v>
      </c>
      <c r="AR9114" s="55">
        <v>28500</v>
      </c>
      <c r="AS9114" s="78">
        <f t="shared" si="146"/>
        <v>0</v>
      </c>
    </row>
    <row r="9115" spans="39:45">
      <c r="AM9115" s="55">
        <v>2020</v>
      </c>
      <c r="AN9115" s="55" t="s">
        <v>183</v>
      </c>
      <c r="AO9115" s="55">
        <v>15</v>
      </c>
      <c r="AP9115" s="55">
        <v>17</v>
      </c>
      <c r="AQ9115" s="55">
        <v>0</v>
      </c>
      <c r="AR9115" s="55">
        <v>28500</v>
      </c>
      <c r="AS9115" s="78">
        <f t="shared" si="146"/>
        <v>0</v>
      </c>
    </row>
    <row r="9116" spans="39:45">
      <c r="AM9116" s="54">
        <v>2020</v>
      </c>
      <c r="AN9116" s="54" t="s">
        <v>183</v>
      </c>
      <c r="AO9116" s="54">
        <v>15</v>
      </c>
      <c r="AP9116" s="54">
        <v>18</v>
      </c>
      <c r="AQ9116" s="54">
        <v>0</v>
      </c>
      <c r="AR9116" s="55">
        <v>28500</v>
      </c>
      <c r="AS9116" s="78">
        <f t="shared" si="146"/>
        <v>0</v>
      </c>
    </row>
    <row r="9117" spans="39:45">
      <c r="AM9117" s="55">
        <v>2020</v>
      </c>
      <c r="AN9117" s="55" t="s">
        <v>183</v>
      </c>
      <c r="AO9117" s="55">
        <v>15</v>
      </c>
      <c r="AP9117" s="55">
        <v>19</v>
      </c>
      <c r="AQ9117" s="55">
        <v>0</v>
      </c>
      <c r="AR9117" s="55">
        <v>28500</v>
      </c>
      <c r="AS9117" s="78">
        <f t="shared" si="146"/>
        <v>0</v>
      </c>
    </row>
    <row r="9118" spans="39:45">
      <c r="AM9118" s="54">
        <v>2020</v>
      </c>
      <c r="AN9118" s="54" t="s">
        <v>183</v>
      </c>
      <c r="AO9118" s="54">
        <v>15</v>
      </c>
      <c r="AP9118" s="54">
        <v>20</v>
      </c>
      <c r="AQ9118" s="54">
        <v>0</v>
      </c>
      <c r="AR9118" s="55">
        <v>28500</v>
      </c>
      <c r="AS9118" s="78">
        <f t="shared" si="146"/>
        <v>0</v>
      </c>
    </row>
    <row r="9119" spans="39:45">
      <c r="AM9119" s="55">
        <v>2020</v>
      </c>
      <c r="AN9119" s="55" t="s">
        <v>183</v>
      </c>
      <c r="AO9119" s="55">
        <v>15</v>
      </c>
      <c r="AP9119" s="55">
        <v>21</v>
      </c>
      <c r="AQ9119" s="55">
        <v>0</v>
      </c>
      <c r="AR9119" s="55">
        <v>28500</v>
      </c>
      <c r="AS9119" s="78">
        <f t="shared" si="146"/>
        <v>0</v>
      </c>
    </row>
    <row r="9120" spans="39:45">
      <c r="AM9120" s="54">
        <v>2020</v>
      </c>
      <c r="AN9120" s="54" t="s">
        <v>183</v>
      </c>
      <c r="AO9120" s="54">
        <v>15</v>
      </c>
      <c r="AP9120" s="54">
        <v>22</v>
      </c>
      <c r="AQ9120" s="54">
        <v>0</v>
      </c>
      <c r="AR9120" s="55">
        <v>28500</v>
      </c>
      <c r="AS9120" s="78">
        <f t="shared" si="146"/>
        <v>0</v>
      </c>
    </row>
    <row r="9121" spans="39:45">
      <c r="AM9121" s="55">
        <v>2020</v>
      </c>
      <c r="AN9121" s="55" t="s">
        <v>183</v>
      </c>
      <c r="AO9121" s="55">
        <v>15</v>
      </c>
      <c r="AP9121" s="55">
        <v>23</v>
      </c>
      <c r="AQ9121" s="55">
        <v>0</v>
      </c>
      <c r="AR9121" s="55">
        <v>28500</v>
      </c>
      <c r="AS9121" s="78">
        <f t="shared" si="146"/>
        <v>0</v>
      </c>
    </row>
    <row r="9122" spans="39:45">
      <c r="AM9122" s="54">
        <v>2020</v>
      </c>
      <c r="AN9122" s="54" t="s">
        <v>183</v>
      </c>
      <c r="AO9122" s="54">
        <v>16</v>
      </c>
      <c r="AP9122" s="54">
        <v>24</v>
      </c>
      <c r="AQ9122" s="54">
        <v>0</v>
      </c>
      <c r="AR9122" s="55">
        <v>28500</v>
      </c>
      <c r="AS9122" s="78">
        <f t="shared" si="146"/>
        <v>0</v>
      </c>
    </row>
    <row r="9123" spans="39:45">
      <c r="AM9123" s="55">
        <v>2020</v>
      </c>
      <c r="AN9123" s="55" t="s">
        <v>183</v>
      </c>
      <c r="AO9123" s="55">
        <v>16</v>
      </c>
      <c r="AP9123" s="55">
        <v>1</v>
      </c>
      <c r="AQ9123" s="55">
        <v>0</v>
      </c>
      <c r="AR9123" s="55">
        <v>28500</v>
      </c>
      <c r="AS9123" s="78">
        <f t="shared" si="146"/>
        <v>0</v>
      </c>
    </row>
    <row r="9124" spans="39:45">
      <c r="AM9124" s="54">
        <v>2020</v>
      </c>
      <c r="AN9124" s="54" t="s">
        <v>183</v>
      </c>
      <c r="AO9124" s="54">
        <v>16</v>
      </c>
      <c r="AP9124" s="54">
        <v>2</v>
      </c>
      <c r="AQ9124" s="54">
        <v>0</v>
      </c>
      <c r="AR9124" s="55">
        <v>28500</v>
      </c>
      <c r="AS9124" s="78">
        <f t="shared" si="146"/>
        <v>0</v>
      </c>
    </row>
    <row r="9125" spans="39:45">
      <c r="AM9125" s="55">
        <v>2020</v>
      </c>
      <c r="AN9125" s="55" t="s">
        <v>183</v>
      </c>
      <c r="AO9125" s="55">
        <v>16</v>
      </c>
      <c r="AP9125" s="55">
        <v>3</v>
      </c>
      <c r="AQ9125" s="55">
        <v>0</v>
      </c>
      <c r="AR9125" s="55">
        <v>28500</v>
      </c>
      <c r="AS9125" s="78">
        <f t="shared" si="146"/>
        <v>0</v>
      </c>
    </row>
    <row r="9126" spans="39:45">
      <c r="AM9126" s="54">
        <v>2020</v>
      </c>
      <c r="AN9126" s="54" t="s">
        <v>183</v>
      </c>
      <c r="AO9126" s="54">
        <v>16</v>
      </c>
      <c r="AP9126" s="54">
        <v>4</v>
      </c>
      <c r="AQ9126" s="54">
        <v>0</v>
      </c>
      <c r="AR9126" s="55">
        <v>28500</v>
      </c>
      <c r="AS9126" s="78">
        <f t="shared" si="146"/>
        <v>0</v>
      </c>
    </row>
    <row r="9127" spans="39:45">
      <c r="AM9127" s="55">
        <v>2020</v>
      </c>
      <c r="AN9127" s="55" t="s">
        <v>183</v>
      </c>
      <c r="AO9127" s="55">
        <v>16</v>
      </c>
      <c r="AP9127" s="55">
        <v>5</v>
      </c>
      <c r="AQ9127" s="55">
        <v>0</v>
      </c>
      <c r="AR9127" s="55">
        <v>28500</v>
      </c>
      <c r="AS9127" s="78">
        <f t="shared" si="146"/>
        <v>0</v>
      </c>
    </row>
    <row r="9128" spans="39:45">
      <c r="AM9128" s="54">
        <v>2020</v>
      </c>
      <c r="AN9128" s="54" t="s">
        <v>183</v>
      </c>
      <c r="AO9128" s="54">
        <v>16</v>
      </c>
      <c r="AP9128" s="54">
        <v>6</v>
      </c>
      <c r="AQ9128" s="54">
        <v>0</v>
      </c>
      <c r="AR9128" s="55">
        <v>28500</v>
      </c>
      <c r="AS9128" s="78">
        <f t="shared" si="146"/>
        <v>0</v>
      </c>
    </row>
    <row r="9129" spans="39:45">
      <c r="AM9129" s="55">
        <v>2020</v>
      </c>
      <c r="AN9129" s="55" t="s">
        <v>183</v>
      </c>
      <c r="AO9129" s="55">
        <v>16</v>
      </c>
      <c r="AP9129" s="55">
        <v>7</v>
      </c>
      <c r="AQ9129" s="55">
        <v>0</v>
      </c>
      <c r="AR9129" s="55">
        <v>28500</v>
      </c>
      <c r="AS9129" s="78">
        <f t="shared" si="146"/>
        <v>0</v>
      </c>
    </row>
    <row r="9130" spans="39:45">
      <c r="AM9130" s="54">
        <v>2020</v>
      </c>
      <c r="AN9130" s="54" t="s">
        <v>183</v>
      </c>
      <c r="AO9130" s="54">
        <v>16</v>
      </c>
      <c r="AP9130" s="54">
        <v>8</v>
      </c>
      <c r="AQ9130" s="54">
        <v>0</v>
      </c>
      <c r="AR9130" s="55">
        <v>28500</v>
      </c>
      <c r="AS9130" s="78">
        <f t="shared" si="146"/>
        <v>0</v>
      </c>
    </row>
    <row r="9131" spans="39:45">
      <c r="AM9131" s="55">
        <v>2020</v>
      </c>
      <c r="AN9131" s="55" t="s">
        <v>183</v>
      </c>
      <c r="AO9131" s="55">
        <v>16</v>
      </c>
      <c r="AP9131" s="55">
        <v>9</v>
      </c>
      <c r="AQ9131" s="55">
        <v>2622.5</v>
      </c>
      <c r="AR9131" s="55">
        <v>28500</v>
      </c>
      <c r="AS9131" s="78">
        <f t="shared" si="146"/>
        <v>9.2017543859649123E-2</v>
      </c>
    </row>
    <row r="9132" spans="39:45">
      <c r="AM9132" s="54">
        <v>2020</v>
      </c>
      <c r="AN9132" s="54" t="s">
        <v>183</v>
      </c>
      <c r="AO9132" s="54">
        <v>16</v>
      </c>
      <c r="AP9132" s="54">
        <v>10</v>
      </c>
      <c r="AQ9132" s="54">
        <v>2312.5</v>
      </c>
      <c r="AR9132" s="55">
        <v>28500</v>
      </c>
      <c r="AS9132" s="78">
        <f t="shared" si="146"/>
        <v>8.1140350877192985E-2</v>
      </c>
    </row>
    <row r="9133" spans="39:45">
      <c r="AM9133" s="55">
        <v>2020</v>
      </c>
      <c r="AN9133" s="55" t="s">
        <v>183</v>
      </c>
      <c r="AO9133" s="55">
        <v>16</v>
      </c>
      <c r="AP9133" s="55">
        <v>11</v>
      </c>
      <c r="AQ9133" s="55">
        <v>1658.5</v>
      </c>
      <c r="AR9133" s="55">
        <v>28500</v>
      </c>
      <c r="AS9133" s="78">
        <f t="shared" si="146"/>
        <v>5.8192982456140352E-2</v>
      </c>
    </row>
    <row r="9134" spans="39:45">
      <c r="AM9134" s="54">
        <v>2020</v>
      </c>
      <c r="AN9134" s="54" t="s">
        <v>183</v>
      </c>
      <c r="AO9134" s="54">
        <v>16</v>
      </c>
      <c r="AP9134" s="54">
        <v>12</v>
      </c>
      <c r="AQ9134" s="54">
        <v>24130</v>
      </c>
      <c r="AR9134" s="55">
        <v>28500</v>
      </c>
      <c r="AS9134" s="78">
        <f t="shared" si="146"/>
        <v>0.84666666666666668</v>
      </c>
    </row>
    <row r="9135" spans="39:45">
      <c r="AM9135" s="55">
        <v>2020</v>
      </c>
      <c r="AN9135" s="55" t="s">
        <v>183</v>
      </c>
      <c r="AO9135" s="55">
        <v>16</v>
      </c>
      <c r="AP9135" s="55">
        <v>13</v>
      </c>
      <c r="AQ9135" s="55">
        <v>20344.5</v>
      </c>
      <c r="AR9135" s="55">
        <v>28500</v>
      </c>
      <c r="AS9135" s="78">
        <f t="shared" si="146"/>
        <v>0.71384210526315794</v>
      </c>
    </row>
    <row r="9136" spans="39:45">
      <c r="AM9136" s="54">
        <v>2020</v>
      </c>
      <c r="AN9136" s="54" t="s">
        <v>183</v>
      </c>
      <c r="AO9136" s="54">
        <v>16</v>
      </c>
      <c r="AP9136" s="54">
        <v>14</v>
      </c>
      <c r="AQ9136" s="54">
        <v>9637</v>
      </c>
      <c r="AR9136" s="55">
        <v>28500</v>
      </c>
      <c r="AS9136" s="78">
        <f t="shared" si="146"/>
        <v>0.33814035087719296</v>
      </c>
    </row>
    <row r="9137" spans="39:45">
      <c r="AM9137" s="55">
        <v>2020</v>
      </c>
      <c r="AN9137" s="55" t="s">
        <v>183</v>
      </c>
      <c r="AO9137" s="55">
        <v>16</v>
      </c>
      <c r="AP9137" s="55">
        <v>15</v>
      </c>
      <c r="AQ9137" s="55">
        <v>7212.5</v>
      </c>
      <c r="AR9137" s="55">
        <v>28500</v>
      </c>
      <c r="AS9137" s="78">
        <f t="shared" si="146"/>
        <v>0.2530701754385965</v>
      </c>
    </row>
    <row r="9138" spans="39:45">
      <c r="AM9138" s="54">
        <v>2020</v>
      </c>
      <c r="AN9138" s="54" t="s">
        <v>183</v>
      </c>
      <c r="AO9138" s="54">
        <v>16</v>
      </c>
      <c r="AP9138" s="54">
        <v>16</v>
      </c>
      <c r="AQ9138" s="54">
        <v>0</v>
      </c>
      <c r="AR9138" s="55">
        <v>28500</v>
      </c>
      <c r="AS9138" s="78">
        <f t="shared" si="146"/>
        <v>0</v>
      </c>
    </row>
    <row r="9139" spans="39:45">
      <c r="AM9139" s="55">
        <v>2020</v>
      </c>
      <c r="AN9139" s="55" t="s">
        <v>183</v>
      </c>
      <c r="AO9139" s="55">
        <v>16</v>
      </c>
      <c r="AP9139" s="55">
        <v>17</v>
      </c>
      <c r="AQ9139" s="55">
        <v>0</v>
      </c>
      <c r="AR9139" s="55">
        <v>28500</v>
      </c>
      <c r="AS9139" s="78">
        <f t="shared" si="146"/>
        <v>0</v>
      </c>
    </row>
    <row r="9140" spans="39:45">
      <c r="AM9140" s="54">
        <v>2020</v>
      </c>
      <c r="AN9140" s="54" t="s">
        <v>183</v>
      </c>
      <c r="AO9140" s="54">
        <v>16</v>
      </c>
      <c r="AP9140" s="54">
        <v>18</v>
      </c>
      <c r="AQ9140" s="54">
        <v>0</v>
      </c>
      <c r="AR9140" s="55">
        <v>28500</v>
      </c>
      <c r="AS9140" s="78">
        <f t="shared" si="146"/>
        <v>0</v>
      </c>
    </row>
    <row r="9141" spans="39:45">
      <c r="AM9141" s="55">
        <v>2020</v>
      </c>
      <c r="AN9141" s="55" t="s">
        <v>183</v>
      </c>
      <c r="AO9141" s="55">
        <v>16</v>
      </c>
      <c r="AP9141" s="55">
        <v>19</v>
      </c>
      <c r="AQ9141" s="55">
        <v>0</v>
      </c>
      <c r="AR9141" s="55">
        <v>28500</v>
      </c>
      <c r="AS9141" s="78">
        <f t="shared" si="146"/>
        <v>0</v>
      </c>
    </row>
    <row r="9142" spans="39:45">
      <c r="AM9142" s="54">
        <v>2020</v>
      </c>
      <c r="AN9142" s="54" t="s">
        <v>183</v>
      </c>
      <c r="AO9142" s="54">
        <v>16</v>
      </c>
      <c r="AP9142" s="54">
        <v>20</v>
      </c>
      <c r="AQ9142" s="54">
        <v>0</v>
      </c>
      <c r="AR9142" s="55">
        <v>28500</v>
      </c>
      <c r="AS9142" s="78">
        <f t="shared" si="146"/>
        <v>0</v>
      </c>
    </row>
    <row r="9143" spans="39:45">
      <c r="AM9143" s="55">
        <v>2020</v>
      </c>
      <c r="AN9143" s="55" t="s">
        <v>183</v>
      </c>
      <c r="AO9143" s="55">
        <v>16</v>
      </c>
      <c r="AP9143" s="55">
        <v>21</v>
      </c>
      <c r="AQ9143" s="55">
        <v>0</v>
      </c>
      <c r="AR9143" s="55">
        <v>28500</v>
      </c>
      <c r="AS9143" s="78">
        <f t="shared" si="146"/>
        <v>0</v>
      </c>
    </row>
    <row r="9144" spans="39:45">
      <c r="AM9144" s="54">
        <v>2020</v>
      </c>
      <c r="AN9144" s="54" t="s">
        <v>183</v>
      </c>
      <c r="AO9144" s="54">
        <v>16</v>
      </c>
      <c r="AP9144" s="54">
        <v>22</v>
      </c>
      <c r="AQ9144" s="54">
        <v>0</v>
      </c>
      <c r="AR9144" s="55">
        <v>28500</v>
      </c>
      <c r="AS9144" s="78">
        <f t="shared" si="146"/>
        <v>0</v>
      </c>
    </row>
    <row r="9145" spans="39:45">
      <c r="AM9145" s="55">
        <v>2020</v>
      </c>
      <c r="AN9145" s="55" t="s">
        <v>183</v>
      </c>
      <c r="AO9145" s="55">
        <v>16</v>
      </c>
      <c r="AP9145" s="55">
        <v>23</v>
      </c>
      <c r="AQ9145" s="55">
        <v>0</v>
      </c>
      <c r="AR9145" s="55">
        <v>28500</v>
      </c>
      <c r="AS9145" s="78">
        <f t="shared" si="146"/>
        <v>0</v>
      </c>
    </row>
    <row r="9146" spans="39:45">
      <c r="AM9146" s="54">
        <v>2020</v>
      </c>
      <c r="AN9146" s="54" t="s">
        <v>183</v>
      </c>
      <c r="AO9146" s="54">
        <v>17</v>
      </c>
      <c r="AP9146" s="54">
        <v>24</v>
      </c>
      <c r="AQ9146" s="54">
        <v>0</v>
      </c>
      <c r="AR9146" s="55">
        <v>28500</v>
      </c>
      <c r="AS9146" s="78">
        <f t="shared" si="146"/>
        <v>0</v>
      </c>
    </row>
    <row r="9147" spans="39:45">
      <c r="AM9147" s="55">
        <v>2020</v>
      </c>
      <c r="AN9147" s="55" t="s">
        <v>183</v>
      </c>
      <c r="AO9147" s="55">
        <v>17</v>
      </c>
      <c r="AP9147" s="55">
        <v>1</v>
      </c>
      <c r="AQ9147" s="55">
        <v>0</v>
      </c>
      <c r="AR9147" s="55">
        <v>28500</v>
      </c>
      <c r="AS9147" s="78">
        <f t="shared" si="146"/>
        <v>0</v>
      </c>
    </row>
    <row r="9148" spans="39:45">
      <c r="AM9148" s="54">
        <v>2020</v>
      </c>
      <c r="AN9148" s="54" t="s">
        <v>183</v>
      </c>
      <c r="AO9148" s="54">
        <v>17</v>
      </c>
      <c r="AP9148" s="54">
        <v>2</v>
      </c>
      <c r="AQ9148" s="54">
        <v>0</v>
      </c>
      <c r="AR9148" s="55">
        <v>28500</v>
      </c>
      <c r="AS9148" s="78">
        <f t="shared" si="146"/>
        <v>0</v>
      </c>
    </row>
    <row r="9149" spans="39:45">
      <c r="AM9149" s="55">
        <v>2020</v>
      </c>
      <c r="AN9149" s="55" t="s">
        <v>183</v>
      </c>
      <c r="AO9149" s="55">
        <v>17</v>
      </c>
      <c r="AP9149" s="55">
        <v>3</v>
      </c>
      <c r="AQ9149" s="55">
        <v>0</v>
      </c>
      <c r="AR9149" s="55">
        <v>28500</v>
      </c>
      <c r="AS9149" s="78">
        <f t="shared" si="146"/>
        <v>0</v>
      </c>
    </row>
    <row r="9150" spans="39:45">
      <c r="AM9150" s="54">
        <v>2020</v>
      </c>
      <c r="AN9150" s="54" t="s">
        <v>183</v>
      </c>
      <c r="AO9150" s="54">
        <v>17</v>
      </c>
      <c r="AP9150" s="54">
        <v>4</v>
      </c>
      <c r="AQ9150" s="54">
        <v>0</v>
      </c>
      <c r="AR9150" s="55">
        <v>28500</v>
      </c>
      <c r="AS9150" s="78">
        <f t="shared" si="146"/>
        <v>0</v>
      </c>
    </row>
    <row r="9151" spans="39:45">
      <c r="AM9151" s="55">
        <v>2020</v>
      </c>
      <c r="AN9151" s="55" t="s">
        <v>183</v>
      </c>
      <c r="AO9151" s="55">
        <v>17</v>
      </c>
      <c r="AP9151" s="55">
        <v>5</v>
      </c>
      <c r="AQ9151" s="55">
        <v>0</v>
      </c>
      <c r="AR9151" s="55">
        <v>28500</v>
      </c>
      <c r="AS9151" s="78">
        <f t="shared" si="146"/>
        <v>0</v>
      </c>
    </row>
    <row r="9152" spans="39:45">
      <c r="AM9152" s="54">
        <v>2020</v>
      </c>
      <c r="AN9152" s="54" t="s">
        <v>183</v>
      </c>
      <c r="AO9152" s="54">
        <v>17</v>
      </c>
      <c r="AP9152" s="54">
        <v>6</v>
      </c>
      <c r="AQ9152" s="54">
        <v>0</v>
      </c>
      <c r="AR9152" s="55">
        <v>28500</v>
      </c>
      <c r="AS9152" s="78">
        <f t="shared" si="146"/>
        <v>0</v>
      </c>
    </row>
    <row r="9153" spans="39:45">
      <c r="AM9153" s="55">
        <v>2020</v>
      </c>
      <c r="AN9153" s="55" t="s">
        <v>183</v>
      </c>
      <c r="AO9153" s="55">
        <v>17</v>
      </c>
      <c r="AP9153" s="55">
        <v>7</v>
      </c>
      <c r="AQ9153" s="55">
        <v>0</v>
      </c>
      <c r="AR9153" s="55">
        <v>28500</v>
      </c>
      <c r="AS9153" s="78">
        <f t="shared" si="146"/>
        <v>0</v>
      </c>
    </row>
    <row r="9154" spans="39:45">
      <c r="AM9154" s="54">
        <v>2020</v>
      </c>
      <c r="AN9154" s="54" t="s">
        <v>183</v>
      </c>
      <c r="AO9154" s="54">
        <v>17</v>
      </c>
      <c r="AP9154" s="54">
        <v>8</v>
      </c>
      <c r="AQ9154" s="54">
        <v>0</v>
      </c>
      <c r="AR9154" s="55">
        <v>28500</v>
      </c>
      <c r="AS9154" s="78">
        <f t="shared" ref="AS9154:AS9217" si="147">AQ9154/AR9154</f>
        <v>0</v>
      </c>
    </row>
    <row r="9155" spans="39:45">
      <c r="AM9155" s="55">
        <v>2020</v>
      </c>
      <c r="AN9155" s="55" t="s">
        <v>183</v>
      </c>
      <c r="AO9155" s="55">
        <v>17</v>
      </c>
      <c r="AP9155" s="55">
        <v>9</v>
      </c>
      <c r="AQ9155" s="55">
        <v>775.5</v>
      </c>
      <c r="AR9155" s="55">
        <v>28500</v>
      </c>
      <c r="AS9155" s="78">
        <f t="shared" si="147"/>
        <v>2.7210526315789473E-2</v>
      </c>
    </row>
    <row r="9156" spans="39:45">
      <c r="AM9156" s="54">
        <v>2020</v>
      </c>
      <c r="AN9156" s="54" t="s">
        <v>183</v>
      </c>
      <c r="AO9156" s="54">
        <v>17</v>
      </c>
      <c r="AP9156" s="54">
        <v>10</v>
      </c>
      <c r="AQ9156" s="54">
        <v>16824</v>
      </c>
      <c r="AR9156" s="55">
        <v>28500</v>
      </c>
      <c r="AS9156" s="78">
        <f t="shared" si="147"/>
        <v>0.59031578947368424</v>
      </c>
    </row>
    <row r="9157" spans="39:45">
      <c r="AM9157" s="55">
        <v>2020</v>
      </c>
      <c r="AN9157" s="55" t="s">
        <v>183</v>
      </c>
      <c r="AO9157" s="55">
        <v>17</v>
      </c>
      <c r="AP9157" s="55">
        <v>11</v>
      </c>
      <c r="AQ9157" s="55">
        <v>1400</v>
      </c>
      <c r="AR9157" s="55">
        <v>28500</v>
      </c>
      <c r="AS9157" s="78">
        <f t="shared" si="147"/>
        <v>4.912280701754386E-2</v>
      </c>
    </row>
    <row r="9158" spans="39:45">
      <c r="AM9158" s="54">
        <v>2020</v>
      </c>
      <c r="AN9158" s="54" t="s">
        <v>183</v>
      </c>
      <c r="AO9158" s="54">
        <v>17</v>
      </c>
      <c r="AP9158" s="54">
        <v>12</v>
      </c>
      <c r="AQ9158" s="54">
        <v>21723</v>
      </c>
      <c r="AR9158" s="55">
        <v>28500</v>
      </c>
      <c r="AS9158" s="78">
        <f t="shared" si="147"/>
        <v>0.76221052631578945</v>
      </c>
    </row>
    <row r="9159" spans="39:45">
      <c r="AM9159" s="55">
        <v>2020</v>
      </c>
      <c r="AN9159" s="55" t="s">
        <v>183</v>
      </c>
      <c r="AO9159" s="55">
        <v>17</v>
      </c>
      <c r="AP9159" s="55">
        <v>13</v>
      </c>
      <c r="AQ9159" s="55">
        <v>5630</v>
      </c>
      <c r="AR9159" s="55">
        <v>28500</v>
      </c>
      <c r="AS9159" s="78">
        <f t="shared" si="147"/>
        <v>0.1975438596491228</v>
      </c>
    </row>
    <row r="9160" spans="39:45">
      <c r="AM9160" s="54">
        <v>2020</v>
      </c>
      <c r="AN9160" s="54" t="s">
        <v>183</v>
      </c>
      <c r="AO9160" s="54">
        <v>17</v>
      </c>
      <c r="AP9160" s="54">
        <v>14</v>
      </c>
      <c r="AQ9160" s="54">
        <v>10418</v>
      </c>
      <c r="AR9160" s="55">
        <v>28500</v>
      </c>
      <c r="AS9160" s="78">
        <f t="shared" si="147"/>
        <v>0.36554385964912278</v>
      </c>
    </row>
    <row r="9161" spans="39:45">
      <c r="AM9161" s="55">
        <v>2020</v>
      </c>
      <c r="AN9161" s="55" t="s">
        <v>183</v>
      </c>
      <c r="AO9161" s="55">
        <v>17</v>
      </c>
      <c r="AP9161" s="55">
        <v>15</v>
      </c>
      <c r="AQ9161" s="55">
        <v>847.5</v>
      </c>
      <c r="AR9161" s="55">
        <v>28500</v>
      </c>
      <c r="AS9161" s="78">
        <f t="shared" si="147"/>
        <v>2.9736842105263159E-2</v>
      </c>
    </row>
    <row r="9162" spans="39:45">
      <c r="AM9162" s="54">
        <v>2020</v>
      </c>
      <c r="AN9162" s="54" t="s">
        <v>183</v>
      </c>
      <c r="AO9162" s="54">
        <v>17</v>
      </c>
      <c r="AP9162" s="54">
        <v>16</v>
      </c>
      <c r="AQ9162" s="54">
        <v>0</v>
      </c>
      <c r="AR9162" s="55">
        <v>28500</v>
      </c>
      <c r="AS9162" s="78">
        <f t="shared" si="147"/>
        <v>0</v>
      </c>
    </row>
    <row r="9163" spans="39:45">
      <c r="AM9163" s="55">
        <v>2020</v>
      </c>
      <c r="AN9163" s="55" t="s">
        <v>183</v>
      </c>
      <c r="AO9163" s="55">
        <v>17</v>
      </c>
      <c r="AP9163" s="55">
        <v>17</v>
      </c>
      <c r="AQ9163" s="55">
        <v>0</v>
      </c>
      <c r="AR9163" s="55">
        <v>28500</v>
      </c>
      <c r="AS9163" s="78">
        <f t="shared" si="147"/>
        <v>0</v>
      </c>
    </row>
    <row r="9164" spans="39:45">
      <c r="AM9164" s="54">
        <v>2020</v>
      </c>
      <c r="AN9164" s="54" t="s">
        <v>183</v>
      </c>
      <c r="AO9164" s="54">
        <v>17</v>
      </c>
      <c r="AP9164" s="54">
        <v>18</v>
      </c>
      <c r="AQ9164" s="54">
        <v>0</v>
      </c>
      <c r="AR9164" s="55">
        <v>28500</v>
      </c>
      <c r="AS9164" s="78">
        <f t="shared" si="147"/>
        <v>0</v>
      </c>
    </row>
    <row r="9165" spans="39:45">
      <c r="AM9165" s="55">
        <v>2020</v>
      </c>
      <c r="AN9165" s="55" t="s">
        <v>183</v>
      </c>
      <c r="AO9165" s="55">
        <v>17</v>
      </c>
      <c r="AP9165" s="55">
        <v>19</v>
      </c>
      <c r="AQ9165" s="55">
        <v>0</v>
      </c>
      <c r="AR9165" s="55">
        <v>28500</v>
      </c>
      <c r="AS9165" s="78">
        <f t="shared" si="147"/>
        <v>0</v>
      </c>
    </row>
    <row r="9166" spans="39:45">
      <c r="AM9166" s="54">
        <v>2020</v>
      </c>
      <c r="AN9166" s="54" t="s">
        <v>183</v>
      </c>
      <c r="AO9166" s="54">
        <v>17</v>
      </c>
      <c r="AP9166" s="54">
        <v>20</v>
      </c>
      <c r="AQ9166" s="54">
        <v>0</v>
      </c>
      <c r="AR9166" s="55">
        <v>28500</v>
      </c>
      <c r="AS9166" s="78">
        <f t="shared" si="147"/>
        <v>0</v>
      </c>
    </row>
    <row r="9167" spans="39:45">
      <c r="AM9167" s="55">
        <v>2020</v>
      </c>
      <c r="AN9167" s="55" t="s">
        <v>183</v>
      </c>
      <c r="AO9167" s="55">
        <v>17</v>
      </c>
      <c r="AP9167" s="55">
        <v>21</v>
      </c>
      <c r="AQ9167" s="55">
        <v>0</v>
      </c>
      <c r="AR9167" s="55">
        <v>28500</v>
      </c>
      <c r="AS9167" s="78">
        <f t="shared" si="147"/>
        <v>0</v>
      </c>
    </row>
    <row r="9168" spans="39:45">
      <c r="AM9168" s="54">
        <v>2020</v>
      </c>
      <c r="AN9168" s="54" t="s">
        <v>183</v>
      </c>
      <c r="AO9168" s="54">
        <v>17</v>
      </c>
      <c r="AP9168" s="54">
        <v>22</v>
      </c>
      <c r="AQ9168" s="54">
        <v>0</v>
      </c>
      <c r="AR9168" s="55">
        <v>28500</v>
      </c>
      <c r="AS9168" s="78">
        <f t="shared" si="147"/>
        <v>0</v>
      </c>
    </row>
    <row r="9169" spans="39:45">
      <c r="AM9169" s="55">
        <v>2020</v>
      </c>
      <c r="AN9169" s="55" t="s">
        <v>183</v>
      </c>
      <c r="AO9169" s="55">
        <v>17</v>
      </c>
      <c r="AP9169" s="55">
        <v>23</v>
      </c>
      <c r="AQ9169" s="55">
        <v>0</v>
      </c>
      <c r="AR9169" s="55">
        <v>28500</v>
      </c>
      <c r="AS9169" s="78">
        <f t="shared" si="147"/>
        <v>0</v>
      </c>
    </row>
    <row r="9170" spans="39:45">
      <c r="AM9170" s="54">
        <v>2020</v>
      </c>
      <c r="AN9170" s="54" t="s">
        <v>183</v>
      </c>
      <c r="AO9170" s="54">
        <v>18</v>
      </c>
      <c r="AP9170" s="54">
        <v>24</v>
      </c>
      <c r="AQ9170" s="54">
        <v>0</v>
      </c>
      <c r="AR9170" s="55">
        <v>28500</v>
      </c>
      <c r="AS9170" s="78">
        <f t="shared" si="147"/>
        <v>0</v>
      </c>
    </row>
    <row r="9171" spans="39:45">
      <c r="AM9171" s="55">
        <v>2020</v>
      </c>
      <c r="AN9171" s="55" t="s">
        <v>183</v>
      </c>
      <c r="AO9171" s="55">
        <v>18</v>
      </c>
      <c r="AP9171" s="55">
        <v>1</v>
      </c>
      <c r="AQ9171" s="55">
        <v>0</v>
      </c>
      <c r="AR9171" s="55">
        <v>28500</v>
      </c>
      <c r="AS9171" s="78">
        <f t="shared" si="147"/>
        <v>0</v>
      </c>
    </row>
    <row r="9172" spans="39:45">
      <c r="AM9172" s="54">
        <v>2020</v>
      </c>
      <c r="AN9172" s="54" t="s">
        <v>183</v>
      </c>
      <c r="AO9172" s="54">
        <v>18</v>
      </c>
      <c r="AP9172" s="54">
        <v>2</v>
      </c>
      <c r="AQ9172" s="54">
        <v>0</v>
      </c>
      <c r="AR9172" s="55">
        <v>28500</v>
      </c>
      <c r="AS9172" s="78">
        <f t="shared" si="147"/>
        <v>0</v>
      </c>
    </row>
    <row r="9173" spans="39:45">
      <c r="AM9173" s="55">
        <v>2020</v>
      </c>
      <c r="AN9173" s="55" t="s">
        <v>183</v>
      </c>
      <c r="AO9173" s="55">
        <v>18</v>
      </c>
      <c r="AP9173" s="55">
        <v>3</v>
      </c>
      <c r="AQ9173" s="55">
        <v>0</v>
      </c>
      <c r="AR9173" s="55">
        <v>28500</v>
      </c>
      <c r="AS9173" s="78">
        <f t="shared" si="147"/>
        <v>0</v>
      </c>
    </row>
    <row r="9174" spans="39:45">
      <c r="AM9174" s="54">
        <v>2020</v>
      </c>
      <c r="AN9174" s="54" t="s">
        <v>183</v>
      </c>
      <c r="AO9174" s="54">
        <v>18</v>
      </c>
      <c r="AP9174" s="54">
        <v>4</v>
      </c>
      <c r="AQ9174" s="54">
        <v>0</v>
      </c>
      <c r="AR9174" s="55">
        <v>28500</v>
      </c>
      <c r="AS9174" s="78">
        <f t="shared" si="147"/>
        <v>0</v>
      </c>
    </row>
    <row r="9175" spans="39:45">
      <c r="AM9175" s="55">
        <v>2020</v>
      </c>
      <c r="AN9175" s="55" t="s">
        <v>183</v>
      </c>
      <c r="AO9175" s="55">
        <v>18</v>
      </c>
      <c r="AP9175" s="55">
        <v>5</v>
      </c>
      <c r="AQ9175" s="55">
        <v>0</v>
      </c>
      <c r="AR9175" s="55">
        <v>28500</v>
      </c>
      <c r="AS9175" s="78">
        <f t="shared" si="147"/>
        <v>0</v>
      </c>
    </row>
    <row r="9176" spans="39:45">
      <c r="AM9176" s="54">
        <v>2020</v>
      </c>
      <c r="AN9176" s="54" t="s">
        <v>183</v>
      </c>
      <c r="AO9176" s="54">
        <v>18</v>
      </c>
      <c r="AP9176" s="54">
        <v>6</v>
      </c>
      <c r="AQ9176" s="54">
        <v>0</v>
      </c>
      <c r="AR9176" s="55">
        <v>28500</v>
      </c>
      <c r="AS9176" s="78">
        <f t="shared" si="147"/>
        <v>0</v>
      </c>
    </row>
    <row r="9177" spans="39:45">
      <c r="AM9177" s="55">
        <v>2020</v>
      </c>
      <c r="AN9177" s="55" t="s">
        <v>183</v>
      </c>
      <c r="AO9177" s="55">
        <v>18</v>
      </c>
      <c r="AP9177" s="55">
        <v>7</v>
      </c>
      <c r="AQ9177" s="55">
        <v>0</v>
      </c>
      <c r="AR9177" s="55">
        <v>28500</v>
      </c>
      <c r="AS9177" s="78">
        <f t="shared" si="147"/>
        <v>0</v>
      </c>
    </row>
    <row r="9178" spans="39:45">
      <c r="AM9178" s="54">
        <v>2020</v>
      </c>
      <c r="AN9178" s="54" t="s">
        <v>183</v>
      </c>
      <c r="AO9178" s="54">
        <v>18</v>
      </c>
      <c r="AP9178" s="54">
        <v>8</v>
      </c>
      <c r="AQ9178" s="54">
        <v>0</v>
      </c>
      <c r="AR9178" s="55">
        <v>28500</v>
      </c>
      <c r="AS9178" s="78">
        <f t="shared" si="147"/>
        <v>0</v>
      </c>
    </row>
    <row r="9179" spans="39:45">
      <c r="AM9179" s="55">
        <v>2020</v>
      </c>
      <c r="AN9179" s="55" t="s">
        <v>183</v>
      </c>
      <c r="AO9179" s="55">
        <v>18</v>
      </c>
      <c r="AP9179" s="55">
        <v>9</v>
      </c>
      <c r="AQ9179" s="55">
        <v>10412.5</v>
      </c>
      <c r="AR9179" s="55">
        <v>28500</v>
      </c>
      <c r="AS9179" s="78">
        <f t="shared" si="147"/>
        <v>0.36535087719298248</v>
      </c>
    </row>
    <row r="9180" spans="39:45">
      <c r="AM9180" s="54">
        <v>2020</v>
      </c>
      <c r="AN9180" s="54" t="s">
        <v>183</v>
      </c>
      <c r="AO9180" s="54">
        <v>18</v>
      </c>
      <c r="AP9180" s="54">
        <v>10</v>
      </c>
      <c r="AQ9180" s="54">
        <v>25527</v>
      </c>
      <c r="AR9180" s="55">
        <v>28500</v>
      </c>
      <c r="AS9180" s="78">
        <f t="shared" si="147"/>
        <v>0.89568421052631575</v>
      </c>
    </row>
    <row r="9181" spans="39:45">
      <c r="AM9181" s="55">
        <v>2020</v>
      </c>
      <c r="AN9181" s="55" t="s">
        <v>183</v>
      </c>
      <c r="AO9181" s="55">
        <v>18</v>
      </c>
      <c r="AP9181" s="55">
        <v>11</v>
      </c>
      <c r="AQ9181" s="55">
        <v>30909.5</v>
      </c>
      <c r="AR9181" s="55">
        <v>28500</v>
      </c>
      <c r="AS9181" s="78">
        <f t="shared" si="147"/>
        <v>1.0845438596491228</v>
      </c>
    </row>
    <row r="9182" spans="39:45">
      <c r="AM9182" s="54">
        <v>2020</v>
      </c>
      <c r="AN9182" s="54" t="s">
        <v>183</v>
      </c>
      <c r="AO9182" s="54">
        <v>18</v>
      </c>
      <c r="AP9182" s="54">
        <v>12</v>
      </c>
      <c r="AQ9182" s="54">
        <v>33521</v>
      </c>
      <c r="AR9182" s="55">
        <v>28500</v>
      </c>
      <c r="AS9182" s="78">
        <f t="shared" si="147"/>
        <v>1.1761754385964913</v>
      </c>
    </row>
    <row r="9183" spans="39:45">
      <c r="AM9183" s="55">
        <v>2020</v>
      </c>
      <c r="AN9183" s="55" t="s">
        <v>183</v>
      </c>
      <c r="AO9183" s="55">
        <v>18</v>
      </c>
      <c r="AP9183" s="55">
        <v>13</v>
      </c>
      <c r="AQ9183" s="55">
        <v>31578</v>
      </c>
      <c r="AR9183" s="55">
        <v>28500</v>
      </c>
      <c r="AS9183" s="78">
        <f t="shared" si="147"/>
        <v>1.1080000000000001</v>
      </c>
    </row>
    <row r="9184" spans="39:45">
      <c r="AM9184" s="54">
        <v>2020</v>
      </c>
      <c r="AN9184" s="54" t="s">
        <v>183</v>
      </c>
      <c r="AO9184" s="54">
        <v>18</v>
      </c>
      <c r="AP9184" s="54">
        <v>14</v>
      </c>
      <c r="AQ9184" s="54">
        <v>26266.5</v>
      </c>
      <c r="AR9184" s="55">
        <v>28500</v>
      </c>
      <c r="AS9184" s="78">
        <f t="shared" si="147"/>
        <v>0.92163157894736847</v>
      </c>
    </row>
    <row r="9185" spans="39:45">
      <c r="AM9185" s="55">
        <v>2020</v>
      </c>
      <c r="AN9185" s="55" t="s">
        <v>183</v>
      </c>
      <c r="AO9185" s="55">
        <v>18</v>
      </c>
      <c r="AP9185" s="55">
        <v>15</v>
      </c>
      <c r="AQ9185" s="55">
        <v>15325.5</v>
      </c>
      <c r="AR9185" s="55">
        <v>28500</v>
      </c>
      <c r="AS9185" s="78">
        <f t="shared" si="147"/>
        <v>0.53773684210526318</v>
      </c>
    </row>
    <row r="9186" spans="39:45">
      <c r="AM9186" s="54">
        <v>2020</v>
      </c>
      <c r="AN9186" s="54" t="s">
        <v>183</v>
      </c>
      <c r="AO9186" s="54">
        <v>18</v>
      </c>
      <c r="AP9186" s="54">
        <v>16</v>
      </c>
      <c r="AQ9186" s="54">
        <v>0</v>
      </c>
      <c r="AR9186" s="55">
        <v>28500</v>
      </c>
      <c r="AS9186" s="78">
        <f t="shared" si="147"/>
        <v>0</v>
      </c>
    </row>
    <row r="9187" spans="39:45">
      <c r="AM9187" s="55">
        <v>2020</v>
      </c>
      <c r="AN9187" s="55" t="s">
        <v>183</v>
      </c>
      <c r="AO9187" s="55">
        <v>18</v>
      </c>
      <c r="AP9187" s="55">
        <v>17</v>
      </c>
      <c r="AQ9187" s="55">
        <v>0</v>
      </c>
      <c r="AR9187" s="55">
        <v>28500</v>
      </c>
      <c r="AS9187" s="78">
        <f t="shared" si="147"/>
        <v>0</v>
      </c>
    </row>
    <row r="9188" spans="39:45">
      <c r="AM9188" s="54">
        <v>2020</v>
      </c>
      <c r="AN9188" s="54" t="s">
        <v>183</v>
      </c>
      <c r="AO9188" s="54">
        <v>18</v>
      </c>
      <c r="AP9188" s="54">
        <v>18</v>
      </c>
      <c r="AQ9188" s="54">
        <v>0</v>
      </c>
      <c r="AR9188" s="55">
        <v>28500</v>
      </c>
      <c r="AS9188" s="78">
        <f t="shared" si="147"/>
        <v>0</v>
      </c>
    </row>
    <row r="9189" spans="39:45">
      <c r="AM9189" s="55">
        <v>2020</v>
      </c>
      <c r="AN9189" s="55" t="s">
        <v>183</v>
      </c>
      <c r="AO9189" s="55">
        <v>18</v>
      </c>
      <c r="AP9189" s="55">
        <v>19</v>
      </c>
      <c r="AQ9189" s="55">
        <v>0</v>
      </c>
      <c r="AR9189" s="55">
        <v>28500</v>
      </c>
      <c r="AS9189" s="78">
        <f t="shared" si="147"/>
        <v>0</v>
      </c>
    </row>
    <row r="9190" spans="39:45">
      <c r="AM9190" s="54">
        <v>2020</v>
      </c>
      <c r="AN9190" s="54" t="s">
        <v>183</v>
      </c>
      <c r="AO9190" s="54">
        <v>18</v>
      </c>
      <c r="AP9190" s="54">
        <v>20</v>
      </c>
      <c r="AQ9190" s="54">
        <v>0</v>
      </c>
      <c r="AR9190" s="55">
        <v>28500</v>
      </c>
      <c r="AS9190" s="78">
        <f t="shared" si="147"/>
        <v>0</v>
      </c>
    </row>
    <row r="9191" spans="39:45">
      <c r="AM9191" s="55">
        <v>2020</v>
      </c>
      <c r="AN9191" s="55" t="s">
        <v>183</v>
      </c>
      <c r="AO9191" s="55">
        <v>18</v>
      </c>
      <c r="AP9191" s="55">
        <v>21</v>
      </c>
      <c r="AQ9191" s="55">
        <v>0</v>
      </c>
      <c r="AR9191" s="55">
        <v>28500</v>
      </c>
      <c r="AS9191" s="78">
        <f t="shared" si="147"/>
        <v>0</v>
      </c>
    </row>
    <row r="9192" spans="39:45">
      <c r="AM9192" s="54">
        <v>2020</v>
      </c>
      <c r="AN9192" s="54" t="s">
        <v>183</v>
      </c>
      <c r="AO9192" s="54">
        <v>18</v>
      </c>
      <c r="AP9192" s="54">
        <v>22</v>
      </c>
      <c r="AQ9192" s="54">
        <v>0</v>
      </c>
      <c r="AR9192" s="55">
        <v>28500</v>
      </c>
      <c r="AS9192" s="78">
        <f t="shared" si="147"/>
        <v>0</v>
      </c>
    </row>
    <row r="9193" spans="39:45">
      <c r="AM9193" s="55">
        <v>2020</v>
      </c>
      <c r="AN9193" s="55" t="s">
        <v>183</v>
      </c>
      <c r="AO9193" s="55">
        <v>18</v>
      </c>
      <c r="AP9193" s="55">
        <v>23</v>
      </c>
      <c r="AQ9193" s="55">
        <v>0</v>
      </c>
      <c r="AR9193" s="55">
        <v>28500</v>
      </c>
      <c r="AS9193" s="78">
        <f t="shared" si="147"/>
        <v>0</v>
      </c>
    </row>
    <row r="9194" spans="39:45">
      <c r="AM9194" s="54">
        <v>2020</v>
      </c>
      <c r="AN9194" s="54" t="s">
        <v>183</v>
      </c>
      <c r="AO9194" s="54">
        <v>19</v>
      </c>
      <c r="AP9194" s="54">
        <v>24</v>
      </c>
      <c r="AQ9194" s="54">
        <v>0</v>
      </c>
      <c r="AR9194" s="55">
        <v>28500</v>
      </c>
      <c r="AS9194" s="78">
        <f t="shared" si="147"/>
        <v>0</v>
      </c>
    </row>
    <row r="9195" spans="39:45">
      <c r="AM9195" s="55">
        <v>2020</v>
      </c>
      <c r="AN9195" s="55" t="s">
        <v>183</v>
      </c>
      <c r="AO9195" s="55">
        <v>19</v>
      </c>
      <c r="AP9195" s="55">
        <v>1</v>
      </c>
      <c r="AQ9195" s="55">
        <v>0</v>
      </c>
      <c r="AR9195" s="55">
        <v>28500</v>
      </c>
      <c r="AS9195" s="78">
        <f t="shared" si="147"/>
        <v>0</v>
      </c>
    </row>
    <row r="9196" spans="39:45">
      <c r="AM9196" s="54">
        <v>2020</v>
      </c>
      <c r="AN9196" s="54" t="s">
        <v>183</v>
      </c>
      <c r="AO9196" s="54">
        <v>19</v>
      </c>
      <c r="AP9196" s="54">
        <v>2</v>
      </c>
      <c r="AQ9196" s="54">
        <v>0</v>
      </c>
      <c r="AR9196" s="55">
        <v>28500</v>
      </c>
      <c r="AS9196" s="78">
        <f t="shared" si="147"/>
        <v>0</v>
      </c>
    </row>
    <row r="9197" spans="39:45">
      <c r="AM9197" s="55">
        <v>2020</v>
      </c>
      <c r="AN9197" s="55" t="s">
        <v>183</v>
      </c>
      <c r="AO9197" s="55">
        <v>19</v>
      </c>
      <c r="AP9197" s="55">
        <v>3</v>
      </c>
      <c r="AQ9197" s="55">
        <v>0</v>
      </c>
      <c r="AR9197" s="55">
        <v>28500</v>
      </c>
      <c r="AS9197" s="78">
        <f t="shared" si="147"/>
        <v>0</v>
      </c>
    </row>
    <row r="9198" spans="39:45">
      <c r="AM9198" s="54">
        <v>2020</v>
      </c>
      <c r="AN9198" s="54" t="s">
        <v>183</v>
      </c>
      <c r="AO9198" s="54">
        <v>19</v>
      </c>
      <c r="AP9198" s="54">
        <v>4</v>
      </c>
      <c r="AQ9198" s="54">
        <v>0</v>
      </c>
      <c r="AR9198" s="55">
        <v>28500</v>
      </c>
      <c r="AS9198" s="78">
        <f t="shared" si="147"/>
        <v>0</v>
      </c>
    </row>
    <row r="9199" spans="39:45">
      <c r="AM9199" s="55">
        <v>2020</v>
      </c>
      <c r="AN9199" s="55" t="s">
        <v>183</v>
      </c>
      <c r="AO9199" s="55">
        <v>19</v>
      </c>
      <c r="AP9199" s="55">
        <v>5</v>
      </c>
      <c r="AQ9199" s="55">
        <v>0</v>
      </c>
      <c r="AR9199" s="55">
        <v>28500</v>
      </c>
      <c r="AS9199" s="78">
        <f t="shared" si="147"/>
        <v>0</v>
      </c>
    </row>
    <row r="9200" spans="39:45">
      <c r="AM9200" s="54">
        <v>2020</v>
      </c>
      <c r="AN9200" s="54" t="s">
        <v>183</v>
      </c>
      <c r="AO9200" s="54">
        <v>19</v>
      </c>
      <c r="AP9200" s="54">
        <v>6</v>
      </c>
      <c r="AQ9200" s="54">
        <v>0</v>
      </c>
      <c r="AR9200" s="55">
        <v>28500</v>
      </c>
      <c r="AS9200" s="78">
        <f t="shared" si="147"/>
        <v>0</v>
      </c>
    </row>
    <row r="9201" spans="39:45">
      <c r="AM9201" s="55">
        <v>2020</v>
      </c>
      <c r="AN9201" s="55" t="s">
        <v>183</v>
      </c>
      <c r="AO9201" s="55">
        <v>19</v>
      </c>
      <c r="AP9201" s="55">
        <v>7</v>
      </c>
      <c r="AQ9201" s="55">
        <v>0</v>
      </c>
      <c r="AR9201" s="55">
        <v>28500</v>
      </c>
      <c r="AS9201" s="78">
        <f t="shared" si="147"/>
        <v>0</v>
      </c>
    </row>
    <row r="9202" spans="39:45">
      <c r="AM9202" s="54">
        <v>2020</v>
      </c>
      <c r="AN9202" s="54" t="s">
        <v>183</v>
      </c>
      <c r="AO9202" s="54">
        <v>19</v>
      </c>
      <c r="AP9202" s="54">
        <v>8</v>
      </c>
      <c r="AQ9202" s="54">
        <v>0</v>
      </c>
      <c r="AR9202" s="55">
        <v>28500</v>
      </c>
      <c r="AS9202" s="78">
        <f t="shared" si="147"/>
        <v>0</v>
      </c>
    </row>
    <row r="9203" spans="39:45">
      <c r="AM9203" s="55">
        <v>2020</v>
      </c>
      <c r="AN9203" s="55" t="s">
        <v>183</v>
      </c>
      <c r="AO9203" s="55">
        <v>19</v>
      </c>
      <c r="AP9203" s="55">
        <v>9</v>
      </c>
      <c r="AQ9203" s="55">
        <v>9481.5</v>
      </c>
      <c r="AR9203" s="55">
        <v>28500</v>
      </c>
      <c r="AS9203" s="78">
        <f t="shared" si="147"/>
        <v>0.3326842105263158</v>
      </c>
    </row>
    <row r="9204" spans="39:45">
      <c r="AM9204" s="54">
        <v>2020</v>
      </c>
      <c r="AN9204" s="54" t="s">
        <v>183</v>
      </c>
      <c r="AO9204" s="54">
        <v>19</v>
      </c>
      <c r="AP9204" s="54">
        <v>10</v>
      </c>
      <c r="AQ9204" s="54">
        <v>24696</v>
      </c>
      <c r="AR9204" s="55">
        <v>28500</v>
      </c>
      <c r="AS9204" s="78">
        <f t="shared" si="147"/>
        <v>0.8665263157894737</v>
      </c>
    </row>
    <row r="9205" spans="39:45">
      <c r="AM9205" s="55">
        <v>2020</v>
      </c>
      <c r="AN9205" s="55" t="s">
        <v>183</v>
      </c>
      <c r="AO9205" s="55">
        <v>19</v>
      </c>
      <c r="AP9205" s="55">
        <v>11</v>
      </c>
      <c r="AQ9205" s="55">
        <v>30292.5</v>
      </c>
      <c r="AR9205" s="55">
        <v>28500</v>
      </c>
      <c r="AS9205" s="78">
        <f t="shared" si="147"/>
        <v>1.0628947368421053</v>
      </c>
    </row>
    <row r="9206" spans="39:45">
      <c r="AM9206" s="54">
        <v>2020</v>
      </c>
      <c r="AN9206" s="54" t="s">
        <v>183</v>
      </c>
      <c r="AO9206" s="54">
        <v>19</v>
      </c>
      <c r="AP9206" s="54">
        <v>12</v>
      </c>
      <c r="AQ9206" s="54">
        <v>33117</v>
      </c>
      <c r="AR9206" s="55">
        <v>28500</v>
      </c>
      <c r="AS9206" s="78">
        <f t="shared" si="147"/>
        <v>1.1619999999999999</v>
      </c>
    </row>
    <row r="9207" spans="39:45">
      <c r="AM9207" s="55">
        <v>2020</v>
      </c>
      <c r="AN9207" s="55" t="s">
        <v>183</v>
      </c>
      <c r="AO9207" s="55">
        <v>19</v>
      </c>
      <c r="AP9207" s="55">
        <v>13</v>
      </c>
      <c r="AQ9207" s="55">
        <v>29740</v>
      </c>
      <c r="AR9207" s="55">
        <v>28500</v>
      </c>
      <c r="AS9207" s="78">
        <f t="shared" si="147"/>
        <v>1.0435087719298246</v>
      </c>
    </row>
    <row r="9208" spans="39:45">
      <c r="AM9208" s="54">
        <v>2020</v>
      </c>
      <c r="AN9208" s="54" t="s">
        <v>183</v>
      </c>
      <c r="AO9208" s="54">
        <v>19</v>
      </c>
      <c r="AP9208" s="54">
        <v>14</v>
      </c>
      <c r="AQ9208" s="54">
        <v>25202</v>
      </c>
      <c r="AR9208" s="55">
        <v>28500</v>
      </c>
      <c r="AS9208" s="78">
        <f t="shared" si="147"/>
        <v>0.884280701754386</v>
      </c>
    </row>
    <row r="9209" spans="39:45">
      <c r="AM9209" s="55">
        <v>2020</v>
      </c>
      <c r="AN9209" s="55" t="s">
        <v>183</v>
      </c>
      <c r="AO9209" s="55">
        <v>19</v>
      </c>
      <c r="AP9209" s="55">
        <v>15</v>
      </c>
      <c r="AQ9209" s="55">
        <v>15929.5</v>
      </c>
      <c r="AR9209" s="55">
        <v>28500</v>
      </c>
      <c r="AS9209" s="78">
        <f t="shared" si="147"/>
        <v>0.5589298245614035</v>
      </c>
    </row>
    <row r="9210" spans="39:45">
      <c r="AM9210" s="54">
        <v>2020</v>
      </c>
      <c r="AN9210" s="54" t="s">
        <v>183</v>
      </c>
      <c r="AO9210" s="54">
        <v>19</v>
      </c>
      <c r="AP9210" s="54">
        <v>16</v>
      </c>
      <c r="AQ9210" s="54">
        <v>0</v>
      </c>
      <c r="AR9210" s="55">
        <v>28500</v>
      </c>
      <c r="AS9210" s="78">
        <f t="shared" si="147"/>
        <v>0</v>
      </c>
    </row>
    <row r="9211" spans="39:45">
      <c r="AM9211" s="55">
        <v>2020</v>
      </c>
      <c r="AN9211" s="55" t="s">
        <v>183</v>
      </c>
      <c r="AO9211" s="55">
        <v>19</v>
      </c>
      <c r="AP9211" s="55">
        <v>17</v>
      </c>
      <c r="AQ9211" s="55">
        <v>0</v>
      </c>
      <c r="AR9211" s="55">
        <v>28500</v>
      </c>
      <c r="AS9211" s="78">
        <f t="shared" si="147"/>
        <v>0</v>
      </c>
    </row>
    <row r="9212" spans="39:45">
      <c r="AM9212" s="54">
        <v>2020</v>
      </c>
      <c r="AN9212" s="54" t="s">
        <v>183</v>
      </c>
      <c r="AO9212" s="54">
        <v>19</v>
      </c>
      <c r="AP9212" s="54">
        <v>18</v>
      </c>
      <c r="AQ9212" s="54">
        <v>0</v>
      </c>
      <c r="AR9212" s="55">
        <v>28500</v>
      </c>
      <c r="AS9212" s="78">
        <f t="shared" si="147"/>
        <v>0</v>
      </c>
    </row>
    <row r="9213" spans="39:45">
      <c r="AM9213" s="55">
        <v>2020</v>
      </c>
      <c r="AN9213" s="55" t="s">
        <v>183</v>
      </c>
      <c r="AO9213" s="55">
        <v>19</v>
      </c>
      <c r="AP9213" s="55">
        <v>19</v>
      </c>
      <c r="AQ9213" s="55">
        <v>0</v>
      </c>
      <c r="AR9213" s="55">
        <v>28500</v>
      </c>
      <c r="AS9213" s="78">
        <f t="shared" si="147"/>
        <v>0</v>
      </c>
    </row>
    <row r="9214" spans="39:45">
      <c r="AM9214" s="54">
        <v>2020</v>
      </c>
      <c r="AN9214" s="54" t="s">
        <v>183</v>
      </c>
      <c r="AO9214" s="54">
        <v>19</v>
      </c>
      <c r="AP9214" s="54">
        <v>20</v>
      </c>
      <c r="AQ9214" s="54">
        <v>0</v>
      </c>
      <c r="AR9214" s="55">
        <v>28500</v>
      </c>
      <c r="AS9214" s="78">
        <f t="shared" si="147"/>
        <v>0</v>
      </c>
    </row>
    <row r="9215" spans="39:45">
      <c r="AM9215" s="55">
        <v>2020</v>
      </c>
      <c r="AN9215" s="55" t="s">
        <v>183</v>
      </c>
      <c r="AO9215" s="55">
        <v>19</v>
      </c>
      <c r="AP9215" s="55">
        <v>21</v>
      </c>
      <c r="AQ9215" s="55">
        <v>0</v>
      </c>
      <c r="AR9215" s="55">
        <v>28500</v>
      </c>
      <c r="AS9215" s="78">
        <f t="shared" si="147"/>
        <v>0</v>
      </c>
    </row>
    <row r="9216" spans="39:45">
      <c r="AM9216" s="54">
        <v>2020</v>
      </c>
      <c r="AN9216" s="54" t="s">
        <v>183</v>
      </c>
      <c r="AO9216" s="54">
        <v>19</v>
      </c>
      <c r="AP9216" s="54">
        <v>22</v>
      </c>
      <c r="AQ9216" s="54">
        <v>0</v>
      </c>
      <c r="AR9216" s="55">
        <v>28500</v>
      </c>
      <c r="AS9216" s="78">
        <f t="shared" si="147"/>
        <v>0</v>
      </c>
    </row>
    <row r="9217" spans="39:45">
      <c r="AM9217" s="55">
        <v>2020</v>
      </c>
      <c r="AN9217" s="55" t="s">
        <v>183</v>
      </c>
      <c r="AO9217" s="55">
        <v>19</v>
      </c>
      <c r="AP9217" s="55">
        <v>23</v>
      </c>
      <c r="AQ9217" s="55">
        <v>0</v>
      </c>
      <c r="AR9217" s="55">
        <v>28500</v>
      </c>
      <c r="AS9217" s="78">
        <f t="shared" si="147"/>
        <v>0</v>
      </c>
    </row>
    <row r="9218" spans="39:45">
      <c r="AM9218" s="54">
        <v>2020</v>
      </c>
      <c r="AN9218" s="54" t="s">
        <v>183</v>
      </c>
      <c r="AO9218" s="54">
        <v>20</v>
      </c>
      <c r="AP9218" s="54">
        <v>24</v>
      </c>
      <c r="AQ9218" s="54">
        <v>0</v>
      </c>
      <c r="AR9218" s="55">
        <v>28500</v>
      </c>
      <c r="AS9218" s="78">
        <f t="shared" ref="AS9218:AS9281" si="148">AQ9218/AR9218</f>
        <v>0</v>
      </c>
    </row>
    <row r="9219" spans="39:45">
      <c r="AM9219" s="55">
        <v>2020</v>
      </c>
      <c r="AN9219" s="55" t="s">
        <v>183</v>
      </c>
      <c r="AO9219" s="55">
        <v>20</v>
      </c>
      <c r="AP9219" s="55">
        <v>1</v>
      </c>
      <c r="AQ9219" s="55">
        <v>0</v>
      </c>
      <c r="AR9219" s="55">
        <v>28500</v>
      </c>
      <c r="AS9219" s="78">
        <f t="shared" si="148"/>
        <v>0</v>
      </c>
    </row>
    <row r="9220" spans="39:45">
      <c r="AM9220" s="54">
        <v>2020</v>
      </c>
      <c r="AN9220" s="54" t="s">
        <v>183</v>
      </c>
      <c r="AO9220" s="54">
        <v>20</v>
      </c>
      <c r="AP9220" s="54">
        <v>2</v>
      </c>
      <c r="AQ9220" s="54">
        <v>0</v>
      </c>
      <c r="AR9220" s="55">
        <v>28500</v>
      </c>
      <c r="AS9220" s="78">
        <f t="shared" si="148"/>
        <v>0</v>
      </c>
    </row>
    <row r="9221" spans="39:45">
      <c r="AM9221" s="55">
        <v>2020</v>
      </c>
      <c r="AN9221" s="55" t="s">
        <v>183</v>
      </c>
      <c r="AO9221" s="55">
        <v>20</v>
      </c>
      <c r="AP9221" s="55">
        <v>3</v>
      </c>
      <c r="AQ9221" s="55">
        <v>0</v>
      </c>
      <c r="AR9221" s="55">
        <v>28500</v>
      </c>
      <c r="AS9221" s="78">
        <f t="shared" si="148"/>
        <v>0</v>
      </c>
    </row>
    <row r="9222" spans="39:45">
      <c r="AM9222" s="54">
        <v>2020</v>
      </c>
      <c r="AN9222" s="54" t="s">
        <v>183</v>
      </c>
      <c r="AO9222" s="54">
        <v>20</v>
      </c>
      <c r="AP9222" s="54">
        <v>4</v>
      </c>
      <c r="AQ9222" s="54">
        <v>0</v>
      </c>
      <c r="AR9222" s="55">
        <v>28500</v>
      </c>
      <c r="AS9222" s="78">
        <f t="shared" si="148"/>
        <v>0</v>
      </c>
    </row>
    <row r="9223" spans="39:45">
      <c r="AM9223" s="55">
        <v>2020</v>
      </c>
      <c r="AN9223" s="55" t="s">
        <v>183</v>
      </c>
      <c r="AO9223" s="55">
        <v>20</v>
      </c>
      <c r="AP9223" s="55">
        <v>5</v>
      </c>
      <c r="AQ9223" s="55">
        <v>0</v>
      </c>
      <c r="AR9223" s="55">
        <v>28500</v>
      </c>
      <c r="AS9223" s="78">
        <f t="shared" si="148"/>
        <v>0</v>
      </c>
    </row>
    <row r="9224" spans="39:45">
      <c r="AM9224" s="54">
        <v>2020</v>
      </c>
      <c r="AN9224" s="54" t="s">
        <v>183</v>
      </c>
      <c r="AO9224" s="54">
        <v>20</v>
      </c>
      <c r="AP9224" s="54">
        <v>6</v>
      </c>
      <c r="AQ9224" s="54">
        <v>0</v>
      </c>
      <c r="AR9224" s="55">
        <v>28500</v>
      </c>
      <c r="AS9224" s="78">
        <f t="shared" si="148"/>
        <v>0</v>
      </c>
    </row>
    <row r="9225" spans="39:45">
      <c r="AM9225" s="55">
        <v>2020</v>
      </c>
      <c r="AN9225" s="55" t="s">
        <v>183</v>
      </c>
      <c r="AO9225" s="55">
        <v>20</v>
      </c>
      <c r="AP9225" s="55">
        <v>7</v>
      </c>
      <c r="AQ9225" s="55">
        <v>0</v>
      </c>
      <c r="AR9225" s="55">
        <v>28500</v>
      </c>
      <c r="AS9225" s="78">
        <f t="shared" si="148"/>
        <v>0</v>
      </c>
    </row>
    <row r="9226" spans="39:45">
      <c r="AM9226" s="54">
        <v>2020</v>
      </c>
      <c r="AN9226" s="54" t="s">
        <v>183</v>
      </c>
      <c r="AO9226" s="54">
        <v>20</v>
      </c>
      <c r="AP9226" s="54">
        <v>8</v>
      </c>
      <c r="AQ9226" s="54">
        <v>0</v>
      </c>
      <c r="AR9226" s="55">
        <v>28500</v>
      </c>
      <c r="AS9226" s="78">
        <f t="shared" si="148"/>
        <v>0</v>
      </c>
    </row>
    <row r="9227" spans="39:45">
      <c r="AM9227" s="55">
        <v>2020</v>
      </c>
      <c r="AN9227" s="55" t="s">
        <v>183</v>
      </c>
      <c r="AO9227" s="55">
        <v>20</v>
      </c>
      <c r="AP9227" s="55">
        <v>9</v>
      </c>
      <c r="AQ9227" s="55">
        <v>8722</v>
      </c>
      <c r="AR9227" s="55">
        <v>28500</v>
      </c>
      <c r="AS9227" s="78">
        <f t="shared" si="148"/>
        <v>0.30603508771929827</v>
      </c>
    </row>
    <row r="9228" spans="39:45">
      <c r="AM9228" s="54">
        <v>2020</v>
      </c>
      <c r="AN9228" s="54" t="s">
        <v>183</v>
      </c>
      <c r="AO9228" s="54">
        <v>20</v>
      </c>
      <c r="AP9228" s="54">
        <v>10</v>
      </c>
      <c r="AQ9228" s="54">
        <v>4311</v>
      </c>
      <c r="AR9228" s="55">
        <v>28500</v>
      </c>
      <c r="AS9228" s="78">
        <f t="shared" si="148"/>
        <v>0.15126315789473685</v>
      </c>
    </row>
    <row r="9229" spans="39:45">
      <c r="AM9229" s="55">
        <v>2020</v>
      </c>
      <c r="AN9229" s="55" t="s">
        <v>183</v>
      </c>
      <c r="AO9229" s="55">
        <v>20</v>
      </c>
      <c r="AP9229" s="55">
        <v>11</v>
      </c>
      <c r="AQ9229" s="55">
        <v>7369.5</v>
      </c>
      <c r="AR9229" s="55">
        <v>28500</v>
      </c>
      <c r="AS9229" s="78">
        <f t="shared" si="148"/>
        <v>0.25857894736842107</v>
      </c>
    </row>
    <row r="9230" spans="39:45">
      <c r="AM9230" s="54">
        <v>2020</v>
      </c>
      <c r="AN9230" s="54" t="s">
        <v>183</v>
      </c>
      <c r="AO9230" s="54">
        <v>20</v>
      </c>
      <c r="AP9230" s="54">
        <v>12</v>
      </c>
      <c r="AQ9230" s="54">
        <v>8344</v>
      </c>
      <c r="AR9230" s="55">
        <v>28500</v>
      </c>
      <c r="AS9230" s="78">
        <f t="shared" si="148"/>
        <v>0.29277192982456141</v>
      </c>
    </row>
    <row r="9231" spans="39:45">
      <c r="AM9231" s="55">
        <v>2020</v>
      </c>
      <c r="AN9231" s="55" t="s">
        <v>183</v>
      </c>
      <c r="AO9231" s="55">
        <v>20</v>
      </c>
      <c r="AP9231" s="55">
        <v>13</v>
      </c>
      <c r="AQ9231" s="55">
        <v>4594</v>
      </c>
      <c r="AR9231" s="55">
        <v>28500</v>
      </c>
      <c r="AS9231" s="78">
        <f t="shared" si="148"/>
        <v>0.16119298245614036</v>
      </c>
    </row>
    <row r="9232" spans="39:45">
      <c r="AM9232" s="54">
        <v>2020</v>
      </c>
      <c r="AN9232" s="54" t="s">
        <v>183</v>
      </c>
      <c r="AO9232" s="54">
        <v>20</v>
      </c>
      <c r="AP9232" s="54">
        <v>14</v>
      </c>
      <c r="AQ9232" s="54">
        <v>23135.5</v>
      </c>
      <c r="AR9232" s="55">
        <v>28500</v>
      </c>
      <c r="AS9232" s="78">
        <f t="shared" si="148"/>
        <v>0.81177192982456137</v>
      </c>
    </row>
    <row r="9233" spans="39:45">
      <c r="AM9233" s="55">
        <v>2020</v>
      </c>
      <c r="AN9233" s="55" t="s">
        <v>183</v>
      </c>
      <c r="AO9233" s="55">
        <v>20</v>
      </c>
      <c r="AP9233" s="55">
        <v>15</v>
      </c>
      <c r="AQ9233" s="55">
        <v>15375</v>
      </c>
      <c r="AR9233" s="55">
        <v>28500</v>
      </c>
      <c r="AS9233" s="78">
        <f t="shared" si="148"/>
        <v>0.53947368421052633</v>
      </c>
    </row>
    <row r="9234" spans="39:45">
      <c r="AM9234" s="54">
        <v>2020</v>
      </c>
      <c r="AN9234" s="54" t="s">
        <v>183</v>
      </c>
      <c r="AO9234" s="54">
        <v>20</v>
      </c>
      <c r="AP9234" s="54">
        <v>16</v>
      </c>
      <c r="AQ9234" s="54">
        <v>0</v>
      </c>
      <c r="AR9234" s="55">
        <v>28500</v>
      </c>
      <c r="AS9234" s="78">
        <f t="shared" si="148"/>
        <v>0</v>
      </c>
    </row>
    <row r="9235" spans="39:45">
      <c r="AM9235" s="55">
        <v>2020</v>
      </c>
      <c r="AN9235" s="55" t="s">
        <v>183</v>
      </c>
      <c r="AO9235" s="55">
        <v>20</v>
      </c>
      <c r="AP9235" s="55">
        <v>17</v>
      </c>
      <c r="AQ9235" s="55">
        <v>0</v>
      </c>
      <c r="AR9235" s="55">
        <v>28500</v>
      </c>
      <c r="AS9235" s="78">
        <f t="shared" si="148"/>
        <v>0</v>
      </c>
    </row>
    <row r="9236" spans="39:45">
      <c r="AM9236" s="54">
        <v>2020</v>
      </c>
      <c r="AN9236" s="54" t="s">
        <v>183</v>
      </c>
      <c r="AO9236" s="54">
        <v>20</v>
      </c>
      <c r="AP9236" s="54">
        <v>18</v>
      </c>
      <c r="AQ9236" s="54">
        <v>0</v>
      </c>
      <c r="AR9236" s="55">
        <v>28500</v>
      </c>
      <c r="AS9236" s="78">
        <f t="shared" si="148"/>
        <v>0</v>
      </c>
    </row>
    <row r="9237" spans="39:45">
      <c r="AM9237" s="55">
        <v>2020</v>
      </c>
      <c r="AN9237" s="55" t="s">
        <v>183</v>
      </c>
      <c r="AO9237" s="55">
        <v>20</v>
      </c>
      <c r="AP9237" s="55">
        <v>19</v>
      </c>
      <c r="AQ9237" s="55">
        <v>0</v>
      </c>
      <c r="AR9237" s="55">
        <v>28500</v>
      </c>
      <c r="AS9237" s="78">
        <f t="shared" si="148"/>
        <v>0</v>
      </c>
    </row>
    <row r="9238" spans="39:45">
      <c r="AM9238" s="54">
        <v>2020</v>
      </c>
      <c r="AN9238" s="54" t="s">
        <v>183</v>
      </c>
      <c r="AO9238" s="54">
        <v>20</v>
      </c>
      <c r="AP9238" s="54">
        <v>20</v>
      </c>
      <c r="AQ9238" s="54">
        <v>0</v>
      </c>
      <c r="AR9238" s="55">
        <v>28500</v>
      </c>
      <c r="AS9238" s="78">
        <f t="shared" si="148"/>
        <v>0</v>
      </c>
    </row>
    <row r="9239" spans="39:45">
      <c r="AM9239" s="55">
        <v>2020</v>
      </c>
      <c r="AN9239" s="55" t="s">
        <v>183</v>
      </c>
      <c r="AO9239" s="55">
        <v>20</v>
      </c>
      <c r="AP9239" s="55">
        <v>21</v>
      </c>
      <c r="AQ9239" s="55">
        <v>0</v>
      </c>
      <c r="AR9239" s="55">
        <v>28500</v>
      </c>
      <c r="AS9239" s="78">
        <f t="shared" si="148"/>
        <v>0</v>
      </c>
    </row>
    <row r="9240" spans="39:45">
      <c r="AM9240" s="54">
        <v>2020</v>
      </c>
      <c r="AN9240" s="54" t="s">
        <v>183</v>
      </c>
      <c r="AO9240" s="54">
        <v>20</v>
      </c>
      <c r="AP9240" s="54">
        <v>22</v>
      </c>
      <c r="AQ9240" s="54">
        <v>0</v>
      </c>
      <c r="AR9240" s="55">
        <v>28500</v>
      </c>
      <c r="AS9240" s="78">
        <f t="shared" si="148"/>
        <v>0</v>
      </c>
    </row>
    <row r="9241" spans="39:45">
      <c r="AM9241" s="55">
        <v>2020</v>
      </c>
      <c r="AN9241" s="55" t="s">
        <v>183</v>
      </c>
      <c r="AO9241" s="55">
        <v>20</v>
      </c>
      <c r="AP9241" s="55">
        <v>23</v>
      </c>
      <c r="AQ9241" s="55">
        <v>0</v>
      </c>
      <c r="AR9241" s="55">
        <v>28500</v>
      </c>
      <c r="AS9241" s="78">
        <f t="shared" si="148"/>
        <v>0</v>
      </c>
    </row>
    <row r="9242" spans="39:45">
      <c r="AM9242" s="54">
        <v>2020</v>
      </c>
      <c r="AN9242" s="54" t="s">
        <v>183</v>
      </c>
      <c r="AO9242" s="54">
        <v>21</v>
      </c>
      <c r="AP9242" s="54">
        <v>24</v>
      </c>
      <c r="AQ9242" s="54">
        <v>0</v>
      </c>
      <c r="AR9242" s="55">
        <v>28500</v>
      </c>
      <c r="AS9242" s="78">
        <f t="shared" si="148"/>
        <v>0</v>
      </c>
    </row>
    <row r="9243" spans="39:45">
      <c r="AM9243" s="55">
        <v>2020</v>
      </c>
      <c r="AN9243" s="55" t="s">
        <v>183</v>
      </c>
      <c r="AO9243" s="55">
        <v>21</v>
      </c>
      <c r="AP9243" s="55">
        <v>1</v>
      </c>
      <c r="AQ9243" s="55">
        <v>0</v>
      </c>
      <c r="AR9243" s="55">
        <v>28500</v>
      </c>
      <c r="AS9243" s="78">
        <f t="shared" si="148"/>
        <v>0</v>
      </c>
    </row>
    <row r="9244" spans="39:45">
      <c r="AM9244" s="54">
        <v>2020</v>
      </c>
      <c r="AN9244" s="54" t="s">
        <v>183</v>
      </c>
      <c r="AO9244" s="54">
        <v>21</v>
      </c>
      <c r="AP9244" s="54">
        <v>2</v>
      </c>
      <c r="AQ9244" s="54">
        <v>0</v>
      </c>
      <c r="AR9244" s="55">
        <v>28500</v>
      </c>
      <c r="AS9244" s="78">
        <f t="shared" si="148"/>
        <v>0</v>
      </c>
    </row>
    <row r="9245" spans="39:45">
      <c r="AM9245" s="55">
        <v>2020</v>
      </c>
      <c r="AN9245" s="55" t="s">
        <v>183</v>
      </c>
      <c r="AO9245" s="55">
        <v>21</v>
      </c>
      <c r="AP9245" s="55">
        <v>3</v>
      </c>
      <c r="AQ9245" s="55">
        <v>0</v>
      </c>
      <c r="AR9245" s="55">
        <v>28500</v>
      </c>
      <c r="AS9245" s="78">
        <f t="shared" si="148"/>
        <v>0</v>
      </c>
    </row>
    <row r="9246" spans="39:45">
      <c r="AM9246" s="54">
        <v>2020</v>
      </c>
      <c r="AN9246" s="54" t="s">
        <v>183</v>
      </c>
      <c r="AO9246" s="54">
        <v>21</v>
      </c>
      <c r="AP9246" s="54">
        <v>4</v>
      </c>
      <c r="AQ9246" s="54">
        <v>0</v>
      </c>
      <c r="AR9246" s="55">
        <v>28500</v>
      </c>
      <c r="AS9246" s="78">
        <f t="shared" si="148"/>
        <v>0</v>
      </c>
    </row>
    <row r="9247" spans="39:45">
      <c r="AM9247" s="55">
        <v>2020</v>
      </c>
      <c r="AN9247" s="55" t="s">
        <v>183</v>
      </c>
      <c r="AO9247" s="55">
        <v>21</v>
      </c>
      <c r="AP9247" s="55">
        <v>5</v>
      </c>
      <c r="AQ9247" s="55">
        <v>0</v>
      </c>
      <c r="AR9247" s="55">
        <v>28500</v>
      </c>
      <c r="AS9247" s="78">
        <f t="shared" si="148"/>
        <v>0</v>
      </c>
    </row>
    <row r="9248" spans="39:45">
      <c r="AM9248" s="54">
        <v>2020</v>
      </c>
      <c r="AN9248" s="54" t="s">
        <v>183</v>
      </c>
      <c r="AO9248" s="54">
        <v>21</v>
      </c>
      <c r="AP9248" s="54">
        <v>6</v>
      </c>
      <c r="AQ9248" s="54">
        <v>0</v>
      </c>
      <c r="AR9248" s="55">
        <v>28500</v>
      </c>
      <c r="AS9248" s="78">
        <f t="shared" si="148"/>
        <v>0</v>
      </c>
    </row>
    <row r="9249" spans="39:45">
      <c r="AM9249" s="55">
        <v>2020</v>
      </c>
      <c r="AN9249" s="55" t="s">
        <v>183</v>
      </c>
      <c r="AO9249" s="55">
        <v>21</v>
      </c>
      <c r="AP9249" s="55">
        <v>7</v>
      </c>
      <c r="AQ9249" s="55">
        <v>0</v>
      </c>
      <c r="AR9249" s="55">
        <v>28500</v>
      </c>
      <c r="AS9249" s="78">
        <f t="shared" si="148"/>
        <v>0</v>
      </c>
    </row>
    <row r="9250" spans="39:45">
      <c r="AM9250" s="54">
        <v>2020</v>
      </c>
      <c r="AN9250" s="54" t="s">
        <v>183</v>
      </c>
      <c r="AO9250" s="54">
        <v>21</v>
      </c>
      <c r="AP9250" s="54">
        <v>8</v>
      </c>
      <c r="AQ9250" s="54">
        <v>0</v>
      </c>
      <c r="AR9250" s="55">
        <v>28500</v>
      </c>
      <c r="AS9250" s="78">
        <f t="shared" si="148"/>
        <v>0</v>
      </c>
    </row>
    <row r="9251" spans="39:45">
      <c r="AM9251" s="55">
        <v>2020</v>
      </c>
      <c r="AN9251" s="55" t="s">
        <v>183</v>
      </c>
      <c r="AO9251" s="55">
        <v>21</v>
      </c>
      <c r="AP9251" s="55">
        <v>9</v>
      </c>
      <c r="AQ9251" s="55">
        <v>9287</v>
      </c>
      <c r="AR9251" s="55">
        <v>28500</v>
      </c>
      <c r="AS9251" s="78">
        <f t="shared" si="148"/>
        <v>0.32585964912280702</v>
      </c>
    </row>
    <row r="9252" spans="39:45">
      <c r="AM9252" s="54">
        <v>2020</v>
      </c>
      <c r="AN9252" s="54" t="s">
        <v>183</v>
      </c>
      <c r="AO9252" s="54">
        <v>21</v>
      </c>
      <c r="AP9252" s="54">
        <v>10</v>
      </c>
      <c r="AQ9252" s="54">
        <v>5903.5</v>
      </c>
      <c r="AR9252" s="55">
        <v>28500</v>
      </c>
      <c r="AS9252" s="78">
        <f t="shared" si="148"/>
        <v>0.20714035087719299</v>
      </c>
    </row>
    <row r="9253" spans="39:45">
      <c r="AM9253" s="55">
        <v>2020</v>
      </c>
      <c r="AN9253" s="55" t="s">
        <v>183</v>
      </c>
      <c r="AO9253" s="55">
        <v>21</v>
      </c>
      <c r="AP9253" s="55">
        <v>11</v>
      </c>
      <c r="AQ9253" s="55">
        <v>13277</v>
      </c>
      <c r="AR9253" s="55">
        <v>28500</v>
      </c>
      <c r="AS9253" s="78">
        <f t="shared" si="148"/>
        <v>0.46585964912280703</v>
      </c>
    </row>
    <row r="9254" spans="39:45">
      <c r="AM9254" s="54">
        <v>2020</v>
      </c>
      <c r="AN9254" s="54" t="s">
        <v>183</v>
      </c>
      <c r="AO9254" s="54">
        <v>21</v>
      </c>
      <c r="AP9254" s="54">
        <v>12</v>
      </c>
      <c r="AQ9254" s="54">
        <v>31860.5</v>
      </c>
      <c r="AR9254" s="55">
        <v>28500</v>
      </c>
      <c r="AS9254" s="78">
        <f t="shared" si="148"/>
        <v>1.1179122807017543</v>
      </c>
    </row>
    <row r="9255" spans="39:45">
      <c r="AM9255" s="55">
        <v>2020</v>
      </c>
      <c r="AN9255" s="55" t="s">
        <v>183</v>
      </c>
      <c r="AO9255" s="55">
        <v>21</v>
      </c>
      <c r="AP9255" s="55">
        <v>13</v>
      </c>
      <c r="AQ9255" s="55">
        <v>29491.5</v>
      </c>
      <c r="AR9255" s="55">
        <v>28500</v>
      </c>
      <c r="AS9255" s="78">
        <f t="shared" si="148"/>
        <v>1.0347894736842105</v>
      </c>
    </row>
    <row r="9256" spans="39:45">
      <c r="AM9256" s="54">
        <v>2020</v>
      </c>
      <c r="AN9256" s="54" t="s">
        <v>183</v>
      </c>
      <c r="AO9256" s="54">
        <v>21</v>
      </c>
      <c r="AP9256" s="54">
        <v>14</v>
      </c>
      <c r="AQ9256" s="54">
        <v>24473</v>
      </c>
      <c r="AR9256" s="55">
        <v>28500</v>
      </c>
      <c r="AS9256" s="78">
        <f t="shared" si="148"/>
        <v>0.85870175438596497</v>
      </c>
    </row>
    <row r="9257" spans="39:45">
      <c r="AM9257" s="55">
        <v>2020</v>
      </c>
      <c r="AN9257" s="55" t="s">
        <v>183</v>
      </c>
      <c r="AO9257" s="55">
        <v>21</v>
      </c>
      <c r="AP9257" s="55">
        <v>15</v>
      </c>
      <c r="AQ9257" s="55">
        <v>15387</v>
      </c>
      <c r="AR9257" s="55">
        <v>28500</v>
      </c>
      <c r="AS9257" s="78">
        <f t="shared" si="148"/>
        <v>0.53989473684210532</v>
      </c>
    </row>
    <row r="9258" spans="39:45">
      <c r="AM9258" s="54">
        <v>2020</v>
      </c>
      <c r="AN9258" s="54" t="s">
        <v>183</v>
      </c>
      <c r="AO9258" s="54">
        <v>21</v>
      </c>
      <c r="AP9258" s="54">
        <v>16</v>
      </c>
      <c r="AQ9258" s="54">
        <v>0</v>
      </c>
      <c r="AR9258" s="55">
        <v>28500</v>
      </c>
      <c r="AS9258" s="78">
        <f t="shared" si="148"/>
        <v>0</v>
      </c>
    </row>
    <row r="9259" spans="39:45">
      <c r="AM9259" s="55">
        <v>2020</v>
      </c>
      <c r="AN9259" s="55" t="s">
        <v>183</v>
      </c>
      <c r="AO9259" s="55">
        <v>21</v>
      </c>
      <c r="AP9259" s="55">
        <v>17</v>
      </c>
      <c r="AQ9259" s="55">
        <v>0</v>
      </c>
      <c r="AR9259" s="55">
        <v>28500</v>
      </c>
      <c r="AS9259" s="78">
        <f t="shared" si="148"/>
        <v>0</v>
      </c>
    </row>
    <row r="9260" spans="39:45">
      <c r="AM9260" s="54">
        <v>2020</v>
      </c>
      <c r="AN9260" s="54" t="s">
        <v>183</v>
      </c>
      <c r="AO9260" s="54">
        <v>21</v>
      </c>
      <c r="AP9260" s="54">
        <v>18</v>
      </c>
      <c r="AQ9260" s="54">
        <v>0</v>
      </c>
      <c r="AR9260" s="55">
        <v>28500</v>
      </c>
      <c r="AS9260" s="78">
        <f t="shared" si="148"/>
        <v>0</v>
      </c>
    </row>
    <row r="9261" spans="39:45">
      <c r="AM9261" s="55">
        <v>2020</v>
      </c>
      <c r="AN9261" s="55" t="s">
        <v>183</v>
      </c>
      <c r="AO9261" s="55">
        <v>21</v>
      </c>
      <c r="AP9261" s="55">
        <v>19</v>
      </c>
      <c r="AQ9261" s="55">
        <v>0</v>
      </c>
      <c r="AR9261" s="55">
        <v>28500</v>
      </c>
      <c r="AS9261" s="78">
        <f t="shared" si="148"/>
        <v>0</v>
      </c>
    </row>
    <row r="9262" spans="39:45">
      <c r="AM9262" s="54">
        <v>2020</v>
      </c>
      <c r="AN9262" s="54" t="s">
        <v>183</v>
      </c>
      <c r="AO9262" s="54">
        <v>21</v>
      </c>
      <c r="AP9262" s="54">
        <v>20</v>
      </c>
      <c r="AQ9262" s="54">
        <v>0</v>
      </c>
      <c r="AR9262" s="55">
        <v>28500</v>
      </c>
      <c r="AS9262" s="78">
        <f t="shared" si="148"/>
        <v>0</v>
      </c>
    </row>
    <row r="9263" spans="39:45">
      <c r="AM9263" s="55">
        <v>2020</v>
      </c>
      <c r="AN9263" s="55" t="s">
        <v>183</v>
      </c>
      <c r="AO9263" s="55">
        <v>21</v>
      </c>
      <c r="AP9263" s="55">
        <v>21</v>
      </c>
      <c r="AQ9263" s="55">
        <v>0</v>
      </c>
      <c r="AR9263" s="55">
        <v>28500</v>
      </c>
      <c r="AS9263" s="78">
        <f t="shared" si="148"/>
        <v>0</v>
      </c>
    </row>
    <row r="9264" spans="39:45">
      <c r="AM9264" s="54">
        <v>2020</v>
      </c>
      <c r="AN9264" s="54" t="s">
        <v>183</v>
      </c>
      <c r="AO9264" s="54">
        <v>21</v>
      </c>
      <c r="AP9264" s="54">
        <v>22</v>
      </c>
      <c r="AQ9264" s="54">
        <v>0</v>
      </c>
      <c r="AR9264" s="55">
        <v>28500</v>
      </c>
      <c r="AS9264" s="78">
        <f t="shared" si="148"/>
        <v>0</v>
      </c>
    </row>
    <row r="9265" spans="39:45">
      <c r="AM9265" s="55">
        <v>2020</v>
      </c>
      <c r="AN9265" s="55" t="s">
        <v>183</v>
      </c>
      <c r="AO9265" s="55">
        <v>21</v>
      </c>
      <c r="AP9265" s="55">
        <v>23</v>
      </c>
      <c r="AQ9265" s="55">
        <v>0</v>
      </c>
      <c r="AR9265" s="55">
        <v>28500</v>
      </c>
      <c r="AS9265" s="78">
        <f t="shared" si="148"/>
        <v>0</v>
      </c>
    </row>
    <row r="9266" spans="39:45">
      <c r="AM9266" s="54">
        <v>2020</v>
      </c>
      <c r="AN9266" s="54" t="s">
        <v>183</v>
      </c>
      <c r="AO9266" s="54">
        <v>22</v>
      </c>
      <c r="AP9266" s="54">
        <v>24</v>
      </c>
      <c r="AQ9266" s="54">
        <v>0</v>
      </c>
      <c r="AR9266" s="55">
        <v>28500</v>
      </c>
      <c r="AS9266" s="78">
        <f t="shared" si="148"/>
        <v>0</v>
      </c>
    </row>
    <row r="9267" spans="39:45">
      <c r="AM9267" s="55">
        <v>2020</v>
      </c>
      <c r="AN9267" s="55" t="s">
        <v>183</v>
      </c>
      <c r="AO9267" s="55">
        <v>22</v>
      </c>
      <c r="AP9267" s="55">
        <v>1</v>
      </c>
      <c r="AQ9267" s="55">
        <v>0</v>
      </c>
      <c r="AR9267" s="55">
        <v>28500</v>
      </c>
      <c r="AS9267" s="78">
        <f t="shared" si="148"/>
        <v>0</v>
      </c>
    </row>
    <row r="9268" spans="39:45">
      <c r="AM9268" s="54">
        <v>2020</v>
      </c>
      <c r="AN9268" s="54" t="s">
        <v>183</v>
      </c>
      <c r="AO9268" s="54">
        <v>22</v>
      </c>
      <c r="AP9268" s="54">
        <v>2</v>
      </c>
      <c r="AQ9268" s="54">
        <v>0</v>
      </c>
      <c r="AR9268" s="55">
        <v>28500</v>
      </c>
      <c r="AS9268" s="78">
        <f t="shared" si="148"/>
        <v>0</v>
      </c>
    </row>
    <row r="9269" spans="39:45">
      <c r="AM9269" s="55">
        <v>2020</v>
      </c>
      <c r="AN9269" s="55" t="s">
        <v>183</v>
      </c>
      <c r="AO9269" s="55">
        <v>22</v>
      </c>
      <c r="AP9269" s="55">
        <v>3</v>
      </c>
      <c r="AQ9269" s="55">
        <v>0</v>
      </c>
      <c r="AR9269" s="55">
        <v>28500</v>
      </c>
      <c r="AS9269" s="78">
        <f t="shared" si="148"/>
        <v>0</v>
      </c>
    </row>
    <row r="9270" spans="39:45">
      <c r="AM9270" s="54">
        <v>2020</v>
      </c>
      <c r="AN9270" s="54" t="s">
        <v>183</v>
      </c>
      <c r="AO9270" s="54">
        <v>22</v>
      </c>
      <c r="AP9270" s="54">
        <v>4</v>
      </c>
      <c r="AQ9270" s="54">
        <v>0</v>
      </c>
      <c r="AR9270" s="55">
        <v>28500</v>
      </c>
      <c r="AS9270" s="78">
        <f t="shared" si="148"/>
        <v>0</v>
      </c>
    </row>
    <row r="9271" spans="39:45">
      <c r="AM9271" s="55">
        <v>2020</v>
      </c>
      <c r="AN9271" s="55" t="s">
        <v>183</v>
      </c>
      <c r="AO9271" s="55">
        <v>22</v>
      </c>
      <c r="AP9271" s="55">
        <v>5</v>
      </c>
      <c r="AQ9271" s="55">
        <v>0</v>
      </c>
      <c r="AR9271" s="55">
        <v>28500</v>
      </c>
      <c r="AS9271" s="78">
        <f t="shared" si="148"/>
        <v>0</v>
      </c>
    </row>
    <row r="9272" spans="39:45">
      <c r="AM9272" s="54">
        <v>2020</v>
      </c>
      <c r="AN9272" s="54" t="s">
        <v>183</v>
      </c>
      <c r="AO9272" s="54">
        <v>22</v>
      </c>
      <c r="AP9272" s="54">
        <v>6</v>
      </c>
      <c r="AQ9272" s="54">
        <v>0</v>
      </c>
      <c r="AR9272" s="55">
        <v>28500</v>
      </c>
      <c r="AS9272" s="78">
        <f t="shared" si="148"/>
        <v>0</v>
      </c>
    </row>
    <row r="9273" spans="39:45">
      <c r="AM9273" s="55">
        <v>2020</v>
      </c>
      <c r="AN9273" s="55" t="s">
        <v>183</v>
      </c>
      <c r="AO9273" s="55">
        <v>22</v>
      </c>
      <c r="AP9273" s="55">
        <v>7</v>
      </c>
      <c r="AQ9273" s="55">
        <v>0</v>
      </c>
      <c r="AR9273" s="55">
        <v>28500</v>
      </c>
      <c r="AS9273" s="78">
        <f t="shared" si="148"/>
        <v>0</v>
      </c>
    </row>
    <row r="9274" spans="39:45">
      <c r="AM9274" s="54">
        <v>2020</v>
      </c>
      <c r="AN9274" s="54" t="s">
        <v>183</v>
      </c>
      <c r="AO9274" s="54">
        <v>22</v>
      </c>
      <c r="AP9274" s="54">
        <v>8</v>
      </c>
      <c r="AQ9274" s="54">
        <v>0</v>
      </c>
      <c r="AR9274" s="55">
        <v>28500</v>
      </c>
      <c r="AS9274" s="78">
        <f t="shared" si="148"/>
        <v>0</v>
      </c>
    </row>
    <row r="9275" spans="39:45">
      <c r="AM9275" s="55">
        <v>2020</v>
      </c>
      <c r="AN9275" s="55" t="s">
        <v>183</v>
      </c>
      <c r="AO9275" s="55">
        <v>22</v>
      </c>
      <c r="AP9275" s="55">
        <v>9</v>
      </c>
      <c r="AQ9275" s="55">
        <v>625.5</v>
      </c>
      <c r="AR9275" s="55">
        <v>28500</v>
      </c>
      <c r="AS9275" s="78">
        <f t="shared" si="148"/>
        <v>2.1947368421052632E-2</v>
      </c>
    </row>
    <row r="9276" spans="39:45">
      <c r="AM9276" s="54">
        <v>2020</v>
      </c>
      <c r="AN9276" s="54" t="s">
        <v>183</v>
      </c>
      <c r="AO9276" s="54">
        <v>22</v>
      </c>
      <c r="AP9276" s="54">
        <v>10</v>
      </c>
      <c r="AQ9276" s="54">
        <v>1351</v>
      </c>
      <c r="AR9276" s="55">
        <v>28500</v>
      </c>
      <c r="AS9276" s="78">
        <f t="shared" si="148"/>
        <v>4.7403508771929823E-2</v>
      </c>
    </row>
    <row r="9277" spans="39:45">
      <c r="AM9277" s="55">
        <v>2020</v>
      </c>
      <c r="AN9277" s="55" t="s">
        <v>183</v>
      </c>
      <c r="AO9277" s="55">
        <v>22</v>
      </c>
      <c r="AP9277" s="55">
        <v>11</v>
      </c>
      <c r="AQ9277" s="55">
        <v>1417.5</v>
      </c>
      <c r="AR9277" s="55">
        <v>28500</v>
      </c>
      <c r="AS9277" s="78">
        <f t="shared" si="148"/>
        <v>4.9736842105263156E-2</v>
      </c>
    </row>
    <row r="9278" spans="39:45">
      <c r="AM9278" s="54">
        <v>2020</v>
      </c>
      <c r="AN9278" s="54" t="s">
        <v>183</v>
      </c>
      <c r="AO9278" s="54">
        <v>22</v>
      </c>
      <c r="AP9278" s="54">
        <v>12</v>
      </c>
      <c r="AQ9278" s="54">
        <v>1671</v>
      </c>
      <c r="AR9278" s="55">
        <v>28500</v>
      </c>
      <c r="AS9278" s="78">
        <f t="shared" si="148"/>
        <v>5.8631578947368423E-2</v>
      </c>
    </row>
    <row r="9279" spans="39:45">
      <c r="AM9279" s="55">
        <v>2020</v>
      </c>
      <c r="AN9279" s="55" t="s">
        <v>183</v>
      </c>
      <c r="AO9279" s="55">
        <v>22</v>
      </c>
      <c r="AP9279" s="55">
        <v>13</v>
      </c>
      <c r="AQ9279" s="55">
        <v>1374.5</v>
      </c>
      <c r="AR9279" s="55">
        <v>28500</v>
      </c>
      <c r="AS9279" s="78">
        <f t="shared" si="148"/>
        <v>4.8228070175438599E-2</v>
      </c>
    </row>
    <row r="9280" spans="39:45">
      <c r="AM9280" s="54">
        <v>2020</v>
      </c>
      <c r="AN9280" s="54" t="s">
        <v>183</v>
      </c>
      <c r="AO9280" s="54">
        <v>22</v>
      </c>
      <c r="AP9280" s="54">
        <v>14</v>
      </c>
      <c r="AQ9280" s="54">
        <v>519</v>
      </c>
      <c r="AR9280" s="55">
        <v>28500</v>
      </c>
      <c r="AS9280" s="78">
        <f t="shared" si="148"/>
        <v>1.8210526315789472E-2</v>
      </c>
    </row>
    <row r="9281" spans="39:45">
      <c r="AM9281" s="55">
        <v>2020</v>
      </c>
      <c r="AN9281" s="55" t="s">
        <v>183</v>
      </c>
      <c r="AO9281" s="55">
        <v>22</v>
      </c>
      <c r="AP9281" s="55">
        <v>15</v>
      </c>
      <c r="AQ9281" s="55">
        <v>279</v>
      </c>
      <c r="AR9281" s="55">
        <v>28500</v>
      </c>
      <c r="AS9281" s="78">
        <f t="shared" si="148"/>
        <v>9.7894736842105267E-3</v>
      </c>
    </row>
    <row r="9282" spans="39:45">
      <c r="AM9282" s="54">
        <v>2020</v>
      </c>
      <c r="AN9282" s="54" t="s">
        <v>183</v>
      </c>
      <c r="AO9282" s="54">
        <v>22</v>
      </c>
      <c r="AP9282" s="54">
        <v>16</v>
      </c>
      <c r="AQ9282" s="54">
        <v>0</v>
      </c>
      <c r="AR9282" s="55">
        <v>28500</v>
      </c>
      <c r="AS9282" s="78">
        <f t="shared" ref="AS9282:AS9345" si="149">AQ9282/AR9282</f>
        <v>0</v>
      </c>
    </row>
    <row r="9283" spans="39:45">
      <c r="AM9283" s="55">
        <v>2020</v>
      </c>
      <c r="AN9283" s="55" t="s">
        <v>183</v>
      </c>
      <c r="AO9283" s="55">
        <v>22</v>
      </c>
      <c r="AP9283" s="55">
        <v>17</v>
      </c>
      <c r="AQ9283" s="55">
        <v>0</v>
      </c>
      <c r="AR9283" s="55">
        <v>28500</v>
      </c>
      <c r="AS9283" s="78">
        <f t="shared" si="149"/>
        <v>0</v>
      </c>
    </row>
    <row r="9284" spans="39:45">
      <c r="AM9284" s="54">
        <v>2020</v>
      </c>
      <c r="AN9284" s="54" t="s">
        <v>183</v>
      </c>
      <c r="AO9284" s="54">
        <v>22</v>
      </c>
      <c r="AP9284" s="54">
        <v>18</v>
      </c>
      <c r="AQ9284" s="54">
        <v>0</v>
      </c>
      <c r="AR9284" s="55">
        <v>28500</v>
      </c>
      <c r="AS9284" s="78">
        <f t="shared" si="149"/>
        <v>0</v>
      </c>
    </row>
    <row r="9285" spans="39:45">
      <c r="AM9285" s="55">
        <v>2020</v>
      </c>
      <c r="AN9285" s="55" t="s">
        <v>183</v>
      </c>
      <c r="AO9285" s="55">
        <v>22</v>
      </c>
      <c r="AP9285" s="55">
        <v>19</v>
      </c>
      <c r="AQ9285" s="55">
        <v>0</v>
      </c>
      <c r="AR9285" s="55">
        <v>28500</v>
      </c>
      <c r="AS9285" s="78">
        <f t="shared" si="149"/>
        <v>0</v>
      </c>
    </row>
    <row r="9286" spans="39:45">
      <c r="AM9286" s="54">
        <v>2020</v>
      </c>
      <c r="AN9286" s="54" t="s">
        <v>183</v>
      </c>
      <c r="AO9286" s="54">
        <v>22</v>
      </c>
      <c r="AP9286" s="54">
        <v>20</v>
      </c>
      <c r="AQ9286" s="54">
        <v>0</v>
      </c>
      <c r="AR9286" s="55">
        <v>28500</v>
      </c>
      <c r="AS9286" s="78">
        <f t="shared" si="149"/>
        <v>0</v>
      </c>
    </row>
    <row r="9287" spans="39:45">
      <c r="AM9287" s="55">
        <v>2020</v>
      </c>
      <c r="AN9287" s="55" t="s">
        <v>183</v>
      </c>
      <c r="AO9287" s="55">
        <v>22</v>
      </c>
      <c r="AP9287" s="55">
        <v>21</v>
      </c>
      <c r="AQ9287" s="55">
        <v>0</v>
      </c>
      <c r="AR9287" s="55">
        <v>28500</v>
      </c>
      <c r="AS9287" s="78">
        <f t="shared" si="149"/>
        <v>0</v>
      </c>
    </row>
    <row r="9288" spans="39:45">
      <c r="AM9288" s="54">
        <v>2020</v>
      </c>
      <c r="AN9288" s="54" t="s">
        <v>183</v>
      </c>
      <c r="AO9288" s="54">
        <v>22</v>
      </c>
      <c r="AP9288" s="54">
        <v>22</v>
      </c>
      <c r="AQ9288" s="54">
        <v>0</v>
      </c>
      <c r="AR9288" s="55">
        <v>28500</v>
      </c>
      <c r="AS9288" s="78">
        <f t="shared" si="149"/>
        <v>0</v>
      </c>
    </row>
    <row r="9289" spans="39:45">
      <c r="AM9289" s="55">
        <v>2020</v>
      </c>
      <c r="AN9289" s="55" t="s">
        <v>183</v>
      </c>
      <c r="AO9289" s="55">
        <v>22</v>
      </c>
      <c r="AP9289" s="55">
        <v>23</v>
      </c>
      <c r="AQ9289" s="55">
        <v>0</v>
      </c>
      <c r="AR9289" s="55">
        <v>28500</v>
      </c>
      <c r="AS9289" s="78">
        <f t="shared" si="149"/>
        <v>0</v>
      </c>
    </row>
    <row r="9290" spans="39:45">
      <c r="AM9290" s="54">
        <v>2020</v>
      </c>
      <c r="AN9290" s="54" t="s">
        <v>183</v>
      </c>
      <c r="AO9290" s="54">
        <v>23</v>
      </c>
      <c r="AP9290" s="54">
        <v>24</v>
      </c>
      <c r="AQ9290" s="54">
        <v>0</v>
      </c>
      <c r="AR9290" s="55">
        <v>28500</v>
      </c>
      <c r="AS9290" s="78">
        <f t="shared" si="149"/>
        <v>0</v>
      </c>
    </row>
    <row r="9291" spans="39:45">
      <c r="AM9291" s="55">
        <v>2020</v>
      </c>
      <c r="AN9291" s="55" t="s">
        <v>183</v>
      </c>
      <c r="AO9291" s="55">
        <v>23</v>
      </c>
      <c r="AP9291" s="55">
        <v>1</v>
      </c>
      <c r="AQ9291" s="55">
        <v>0</v>
      </c>
      <c r="AR9291" s="55">
        <v>28500</v>
      </c>
      <c r="AS9291" s="78">
        <f t="shared" si="149"/>
        <v>0</v>
      </c>
    </row>
    <row r="9292" spans="39:45">
      <c r="AM9292" s="54">
        <v>2020</v>
      </c>
      <c r="AN9292" s="54" t="s">
        <v>183</v>
      </c>
      <c r="AO9292" s="54">
        <v>23</v>
      </c>
      <c r="AP9292" s="54">
        <v>2</v>
      </c>
      <c r="AQ9292" s="54">
        <v>0</v>
      </c>
      <c r="AR9292" s="55">
        <v>28500</v>
      </c>
      <c r="AS9292" s="78">
        <f t="shared" si="149"/>
        <v>0</v>
      </c>
    </row>
    <row r="9293" spans="39:45">
      <c r="AM9293" s="55">
        <v>2020</v>
      </c>
      <c r="AN9293" s="55" t="s">
        <v>183</v>
      </c>
      <c r="AO9293" s="55">
        <v>23</v>
      </c>
      <c r="AP9293" s="55">
        <v>3</v>
      </c>
      <c r="AQ9293" s="55">
        <v>0</v>
      </c>
      <c r="AR9293" s="55">
        <v>28500</v>
      </c>
      <c r="AS9293" s="78">
        <f t="shared" si="149"/>
        <v>0</v>
      </c>
    </row>
    <row r="9294" spans="39:45">
      <c r="AM9294" s="54">
        <v>2020</v>
      </c>
      <c r="AN9294" s="54" t="s">
        <v>183</v>
      </c>
      <c r="AO9294" s="54">
        <v>23</v>
      </c>
      <c r="AP9294" s="54">
        <v>4</v>
      </c>
      <c r="AQ9294" s="54">
        <v>0</v>
      </c>
      <c r="AR9294" s="55">
        <v>28500</v>
      </c>
      <c r="AS9294" s="78">
        <f t="shared" si="149"/>
        <v>0</v>
      </c>
    </row>
    <row r="9295" spans="39:45">
      <c r="AM9295" s="55">
        <v>2020</v>
      </c>
      <c r="AN9295" s="55" t="s">
        <v>183</v>
      </c>
      <c r="AO9295" s="55">
        <v>23</v>
      </c>
      <c r="AP9295" s="55">
        <v>5</v>
      </c>
      <c r="AQ9295" s="55">
        <v>0</v>
      </c>
      <c r="AR9295" s="55">
        <v>28500</v>
      </c>
      <c r="AS9295" s="78">
        <f t="shared" si="149"/>
        <v>0</v>
      </c>
    </row>
    <row r="9296" spans="39:45">
      <c r="AM9296" s="54">
        <v>2020</v>
      </c>
      <c r="AN9296" s="54" t="s">
        <v>183</v>
      </c>
      <c r="AO9296" s="54">
        <v>23</v>
      </c>
      <c r="AP9296" s="54">
        <v>6</v>
      </c>
      <c r="AQ9296" s="54">
        <v>0</v>
      </c>
      <c r="AR9296" s="55">
        <v>28500</v>
      </c>
      <c r="AS9296" s="78">
        <f t="shared" si="149"/>
        <v>0</v>
      </c>
    </row>
    <row r="9297" spans="39:45">
      <c r="AM9297" s="55">
        <v>2020</v>
      </c>
      <c r="AN9297" s="55" t="s">
        <v>183</v>
      </c>
      <c r="AO9297" s="55">
        <v>23</v>
      </c>
      <c r="AP9297" s="55">
        <v>7</v>
      </c>
      <c r="AQ9297" s="55">
        <v>0</v>
      </c>
      <c r="AR9297" s="55">
        <v>28500</v>
      </c>
      <c r="AS9297" s="78">
        <f t="shared" si="149"/>
        <v>0</v>
      </c>
    </row>
    <row r="9298" spans="39:45">
      <c r="AM9298" s="54">
        <v>2020</v>
      </c>
      <c r="AN9298" s="54" t="s">
        <v>183</v>
      </c>
      <c r="AO9298" s="54">
        <v>23</v>
      </c>
      <c r="AP9298" s="54">
        <v>8</v>
      </c>
      <c r="AQ9298" s="54">
        <v>0</v>
      </c>
      <c r="AR9298" s="55">
        <v>28500</v>
      </c>
      <c r="AS9298" s="78">
        <f t="shared" si="149"/>
        <v>0</v>
      </c>
    </row>
    <row r="9299" spans="39:45">
      <c r="AM9299" s="55">
        <v>2020</v>
      </c>
      <c r="AN9299" s="55" t="s">
        <v>183</v>
      </c>
      <c r="AO9299" s="55">
        <v>23</v>
      </c>
      <c r="AP9299" s="55">
        <v>9</v>
      </c>
      <c r="AQ9299" s="55">
        <v>521.5</v>
      </c>
      <c r="AR9299" s="55">
        <v>28500</v>
      </c>
      <c r="AS9299" s="78">
        <f t="shared" si="149"/>
        <v>1.8298245614035088E-2</v>
      </c>
    </row>
    <row r="9300" spans="39:45">
      <c r="AM9300" s="54">
        <v>2020</v>
      </c>
      <c r="AN9300" s="54" t="s">
        <v>183</v>
      </c>
      <c r="AO9300" s="54">
        <v>23</v>
      </c>
      <c r="AP9300" s="54">
        <v>10</v>
      </c>
      <c r="AQ9300" s="54">
        <v>1412.5</v>
      </c>
      <c r="AR9300" s="55">
        <v>28500</v>
      </c>
      <c r="AS9300" s="78">
        <f t="shared" si="149"/>
        <v>4.9561403508771931E-2</v>
      </c>
    </row>
    <row r="9301" spans="39:45">
      <c r="AM9301" s="55">
        <v>2020</v>
      </c>
      <c r="AN9301" s="55" t="s">
        <v>183</v>
      </c>
      <c r="AO9301" s="55">
        <v>23</v>
      </c>
      <c r="AP9301" s="55">
        <v>11</v>
      </c>
      <c r="AQ9301" s="55">
        <v>1814</v>
      </c>
      <c r="AR9301" s="55">
        <v>28500</v>
      </c>
      <c r="AS9301" s="78">
        <f t="shared" si="149"/>
        <v>6.3649122807017539E-2</v>
      </c>
    </row>
    <row r="9302" spans="39:45">
      <c r="AM9302" s="54">
        <v>2020</v>
      </c>
      <c r="AN9302" s="54" t="s">
        <v>183</v>
      </c>
      <c r="AO9302" s="54">
        <v>23</v>
      </c>
      <c r="AP9302" s="54">
        <v>12</v>
      </c>
      <c r="AQ9302" s="54">
        <v>2226</v>
      </c>
      <c r="AR9302" s="55">
        <v>28500</v>
      </c>
      <c r="AS9302" s="78">
        <f t="shared" si="149"/>
        <v>7.8105263157894733E-2</v>
      </c>
    </row>
    <row r="9303" spans="39:45">
      <c r="AM9303" s="55">
        <v>2020</v>
      </c>
      <c r="AN9303" s="55" t="s">
        <v>183</v>
      </c>
      <c r="AO9303" s="55">
        <v>23</v>
      </c>
      <c r="AP9303" s="55">
        <v>13</v>
      </c>
      <c r="AQ9303" s="55">
        <v>1552</v>
      </c>
      <c r="AR9303" s="55">
        <v>28500</v>
      </c>
      <c r="AS9303" s="78">
        <f t="shared" si="149"/>
        <v>5.4456140350877195E-2</v>
      </c>
    </row>
    <row r="9304" spans="39:45">
      <c r="AM9304" s="54">
        <v>2020</v>
      </c>
      <c r="AN9304" s="54" t="s">
        <v>183</v>
      </c>
      <c r="AO9304" s="54">
        <v>23</v>
      </c>
      <c r="AP9304" s="54">
        <v>14</v>
      </c>
      <c r="AQ9304" s="54">
        <v>1050.5</v>
      </c>
      <c r="AR9304" s="55">
        <v>28500</v>
      </c>
      <c r="AS9304" s="78">
        <f t="shared" si="149"/>
        <v>3.6859649122807016E-2</v>
      </c>
    </row>
    <row r="9305" spans="39:45">
      <c r="AM9305" s="55">
        <v>2020</v>
      </c>
      <c r="AN9305" s="55" t="s">
        <v>183</v>
      </c>
      <c r="AO9305" s="55">
        <v>23</v>
      </c>
      <c r="AP9305" s="55">
        <v>15</v>
      </c>
      <c r="AQ9305" s="55">
        <v>947</v>
      </c>
      <c r="AR9305" s="55">
        <v>28500</v>
      </c>
      <c r="AS9305" s="78">
        <f t="shared" si="149"/>
        <v>3.32280701754386E-2</v>
      </c>
    </row>
    <row r="9306" spans="39:45">
      <c r="AM9306" s="54">
        <v>2020</v>
      </c>
      <c r="AN9306" s="54" t="s">
        <v>183</v>
      </c>
      <c r="AO9306" s="54">
        <v>23</v>
      </c>
      <c r="AP9306" s="54">
        <v>16</v>
      </c>
      <c r="AQ9306" s="54">
        <v>0</v>
      </c>
      <c r="AR9306" s="55">
        <v>28500</v>
      </c>
      <c r="AS9306" s="78">
        <f t="shared" si="149"/>
        <v>0</v>
      </c>
    </row>
    <row r="9307" spans="39:45">
      <c r="AM9307" s="55">
        <v>2020</v>
      </c>
      <c r="AN9307" s="55" t="s">
        <v>183</v>
      </c>
      <c r="AO9307" s="55">
        <v>23</v>
      </c>
      <c r="AP9307" s="55">
        <v>17</v>
      </c>
      <c r="AQ9307" s="55">
        <v>0</v>
      </c>
      <c r="AR9307" s="55">
        <v>28500</v>
      </c>
      <c r="AS9307" s="78">
        <f t="shared" si="149"/>
        <v>0</v>
      </c>
    </row>
    <row r="9308" spans="39:45">
      <c r="AM9308" s="54">
        <v>2020</v>
      </c>
      <c r="AN9308" s="54" t="s">
        <v>183</v>
      </c>
      <c r="AO9308" s="54">
        <v>23</v>
      </c>
      <c r="AP9308" s="54">
        <v>18</v>
      </c>
      <c r="AQ9308" s="54">
        <v>0</v>
      </c>
      <c r="AR9308" s="55">
        <v>28500</v>
      </c>
      <c r="AS9308" s="78">
        <f t="shared" si="149"/>
        <v>0</v>
      </c>
    </row>
    <row r="9309" spans="39:45">
      <c r="AM9309" s="55">
        <v>2020</v>
      </c>
      <c r="AN9309" s="55" t="s">
        <v>183</v>
      </c>
      <c r="AO9309" s="55">
        <v>23</v>
      </c>
      <c r="AP9309" s="55">
        <v>19</v>
      </c>
      <c r="AQ9309" s="55">
        <v>0</v>
      </c>
      <c r="AR9309" s="55">
        <v>28500</v>
      </c>
      <c r="AS9309" s="78">
        <f t="shared" si="149"/>
        <v>0</v>
      </c>
    </row>
    <row r="9310" spans="39:45">
      <c r="AM9310" s="54">
        <v>2020</v>
      </c>
      <c r="AN9310" s="54" t="s">
        <v>183</v>
      </c>
      <c r="AO9310" s="54">
        <v>23</v>
      </c>
      <c r="AP9310" s="54">
        <v>20</v>
      </c>
      <c r="AQ9310" s="54">
        <v>0</v>
      </c>
      <c r="AR9310" s="55">
        <v>28500</v>
      </c>
      <c r="AS9310" s="78">
        <f t="shared" si="149"/>
        <v>0</v>
      </c>
    </row>
    <row r="9311" spans="39:45">
      <c r="AM9311" s="55">
        <v>2020</v>
      </c>
      <c r="AN9311" s="55" t="s">
        <v>183</v>
      </c>
      <c r="AO9311" s="55">
        <v>23</v>
      </c>
      <c r="AP9311" s="55">
        <v>21</v>
      </c>
      <c r="AQ9311" s="55">
        <v>0</v>
      </c>
      <c r="AR9311" s="55">
        <v>28500</v>
      </c>
      <c r="AS9311" s="78">
        <f t="shared" si="149"/>
        <v>0</v>
      </c>
    </row>
    <row r="9312" spans="39:45">
      <c r="AM9312" s="54">
        <v>2020</v>
      </c>
      <c r="AN9312" s="54" t="s">
        <v>183</v>
      </c>
      <c r="AO9312" s="54">
        <v>23</v>
      </c>
      <c r="AP9312" s="54">
        <v>22</v>
      </c>
      <c r="AQ9312" s="54">
        <v>0</v>
      </c>
      <c r="AR9312" s="55">
        <v>28500</v>
      </c>
      <c r="AS9312" s="78">
        <f t="shared" si="149"/>
        <v>0</v>
      </c>
    </row>
    <row r="9313" spans="39:45">
      <c r="AM9313" s="55">
        <v>2020</v>
      </c>
      <c r="AN9313" s="55" t="s">
        <v>183</v>
      </c>
      <c r="AO9313" s="55">
        <v>23</v>
      </c>
      <c r="AP9313" s="55">
        <v>23</v>
      </c>
      <c r="AQ9313" s="55">
        <v>0</v>
      </c>
      <c r="AR9313" s="55">
        <v>28500</v>
      </c>
      <c r="AS9313" s="78">
        <f t="shared" si="149"/>
        <v>0</v>
      </c>
    </row>
    <row r="9314" spans="39:45">
      <c r="AM9314" s="54">
        <v>2020</v>
      </c>
      <c r="AN9314" s="54" t="s">
        <v>183</v>
      </c>
      <c r="AO9314" s="54">
        <v>24</v>
      </c>
      <c r="AP9314" s="54">
        <v>24</v>
      </c>
      <c r="AQ9314" s="54">
        <v>0</v>
      </c>
      <c r="AR9314" s="55">
        <v>28500</v>
      </c>
      <c r="AS9314" s="78">
        <f t="shared" si="149"/>
        <v>0</v>
      </c>
    </row>
    <row r="9315" spans="39:45">
      <c r="AM9315" s="55">
        <v>2020</v>
      </c>
      <c r="AN9315" s="55" t="s">
        <v>183</v>
      </c>
      <c r="AO9315" s="55">
        <v>24</v>
      </c>
      <c r="AP9315" s="55">
        <v>1</v>
      </c>
      <c r="AQ9315" s="55">
        <v>0</v>
      </c>
      <c r="AR9315" s="55">
        <v>28500</v>
      </c>
      <c r="AS9315" s="78">
        <f t="shared" si="149"/>
        <v>0</v>
      </c>
    </row>
    <row r="9316" spans="39:45">
      <c r="AM9316" s="54">
        <v>2020</v>
      </c>
      <c r="AN9316" s="54" t="s">
        <v>183</v>
      </c>
      <c r="AO9316" s="54">
        <v>24</v>
      </c>
      <c r="AP9316" s="54">
        <v>2</v>
      </c>
      <c r="AQ9316" s="54">
        <v>0</v>
      </c>
      <c r="AR9316" s="55">
        <v>28500</v>
      </c>
      <c r="AS9316" s="78">
        <f t="shared" si="149"/>
        <v>0</v>
      </c>
    </row>
    <row r="9317" spans="39:45">
      <c r="AM9317" s="55">
        <v>2020</v>
      </c>
      <c r="AN9317" s="55" t="s">
        <v>183</v>
      </c>
      <c r="AO9317" s="55">
        <v>24</v>
      </c>
      <c r="AP9317" s="55">
        <v>3</v>
      </c>
      <c r="AQ9317" s="55">
        <v>0</v>
      </c>
      <c r="AR9317" s="55">
        <v>28500</v>
      </c>
      <c r="AS9317" s="78">
        <f t="shared" si="149"/>
        <v>0</v>
      </c>
    </row>
    <row r="9318" spans="39:45">
      <c r="AM9318" s="54">
        <v>2020</v>
      </c>
      <c r="AN9318" s="54" t="s">
        <v>183</v>
      </c>
      <c r="AO9318" s="54">
        <v>24</v>
      </c>
      <c r="AP9318" s="54">
        <v>4</v>
      </c>
      <c r="AQ9318" s="54">
        <v>0</v>
      </c>
      <c r="AR9318" s="55">
        <v>28500</v>
      </c>
      <c r="AS9318" s="78">
        <f t="shared" si="149"/>
        <v>0</v>
      </c>
    </row>
    <row r="9319" spans="39:45">
      <c r="AM9319" s="55">
        <v>2020</v>
      </c>
      <c r="AN9319" s="55" t="s">
        <v>183</v>
      </c>
      <c r="AO9319" s="55">
        <v>24</v>
      </c>
      <c r="AP9319" s="55">
        <v>5</v>
      </c>
      <c r="AQ9319" s="55">
        <v>0</v>
      </c>
      <c r="AR9319" s="55">
        <v>28500</v>
      </c>
      <c r="AS9319" s="78">
        <f t="shared" si="149"/>
        <v>0</v>
      </c>
    </row>
    <row r="9320" spans="39:45">
      <c r="AM9320" s="54">
        <v>2020</v>
      </c>
      <c r="AN9320" s="54" t="s">
        <v>183</v>
      </c>
      <c r="AO9320" s="54">
        <v>24</v>
      </c>
      <c r="AP9320" s="54">
        <v>6</v>
      </c>
      <c r="AQ9320" s="54">
        <v>0</v>
      </c>
      <c r="AR9320" s="55">
        <v>28500</v>
      </c>
      <c r="AS9320" s="78">
        <f t="shared" si="149"/>
        <v>0</v>
      </c>
    </row>
    <row r="9321" spans="39:45">
      <c r="AM9321" s="55">
        <v>2020</v>
      </c>
      <c r="AN9321" s="55" t="s">
        <v>183</v>
      </c>
      <c r="AO9321" s="55">
        <v>24</v>
      </c>
      <c r="AP9321" s="55">
        <v>7</v>
      </c>
      <c r="AQ9321" s="55">
        <v>0</v>
      </c>
      <c r="AR9321" s="55">
        <v>28500</v>
      </c>
      <c r="AS9321" s="78">
        <f t="shared" si="149"/>
        <v>0</v>
      </c>
    </row>
    <row r="9322" spans="39:45">
      <c r="AM9322" s="54">
        <v>2020</v>
      </c>
      <c r="AN9322" s="54" t="s">
        <v>183</v>
      </c>
      <c r="AO9322" s="54">
        <v>24</v>
      </c>
      <c r="AP9322" s="54">
        <v>8</v>
      </c>
      <c r="AQ9322" s="54">
        <v>0</v>
      </c>
      <c r="AR9322" s="55">
        <v>28500</v>
      </c>
      <c r="AS9322" s="78">
        <f t="shared" si="149"/>
        <v>0</v>
      </c>
    </row>
    <row r="9323" spans="39:45">
      <c r="AM9323" s="55">
        <v>2020</v>
      </c>
      <c r="AN9323" s="55" t="s">
        <v>183</v>
      </c>
      <c r="AO9323" s="55">
        <v>24</v>
      </c>
      <c r="AP9323" s="55">
        <v>9</v>
      </c>
      <c r="AQ9323" s="55">
        <v>461.5</v>
      </c>
      <c r="AR9323" s="55">
        <v>28500</v>
      </c>
      <c r="AS9323" s="78">
        <f t="shared" si="149"/>
        <v>1.6192982456140349E-2</v>
      </c>
    </row>
    <row r="9324" spans="39:45">
      <c r="AM9324" s="54">
        <v>2020</v>
      </c>
      <c r="AN9324" s="54" t="s">
        <v>183</v>
      </c>
      <c r="AO9324" s="54">
        <v>24</v>
      </c>
      <c r="AP9324" s="54">
        <v>10</v>
      </c>
      <c r="AQ9324" s="54">
        <v>1308.5</v>
      </c>
      <c r="AR9324" s="55">
        <v>28500</v>
      </c>
      <c r="AS9324" s="78">
        <f t="shared" si="149"/>
        <v>4.5912280701754384E-2</v>
      </c>
    </row>
    <row r="9325" spans="39:45">
      <c r="AM9325" s="55">
        <v>2020</v>
      </c>
      <c r="AN9325" s="55" t="s">
        <v>183</v>
      </c>
      <c r="AO9325" s="55">
        <v>24</v>
      </c>
      <c r="AP9325" s="55">
        <v>11</v>
      </c>
      <c r="AQ9325" s="55">
        <v>1413</v>
      </c>
      <c r="AR9325" s="55">
        <v>28500</v>
      </c>
      <c r="AS9325" s="78">
        <f t="shared" si="149"/>
        <v>4.9578947368421056E-2</v>
      </c>
    </row>
    <row r="9326" spans="39:45">
      <c r="AM9326" s="54">
        <v>2020</v>
      </c>
      <c r="AN9326" s="54" t="s">
        <v>183</v>
      </c>
      <c r="AO9326" s="54">
        <v>24</v>
      </c>
      <c r="AP9326" s="54">
        <v>12</v>
      </c>
      <c r="AQ9326" s="54">
        <v>1850.5</v>
      </c>
      <c r="AR9326" s="55">
        <v>28500</v>
      </c>
      <c r="AS9326" s="78">
        <f t="shared" si="149"/>
        <v>6.4929824561403504E-2</v>
      </c>
    </row>
    <row r="9327" spans="39:45">
      <c r="AM9327" s="55">
        <v>2020</v>
      </c>
      <c r="AN9327" s="55" t="s">
        <v>183</v>
      </c>
      <c r="AO9327" s="55">
        <v>24</v>
      </c>
      <c r="AP9327" s="55">
        <v>13</v>
      </c>
      <c r="AQ9327" s="55">
        <v>2186.5</v>
      </c>
      <c r="AR9327" s="55">
        <v>28500</v>
      </c>
      <c r="AS9327" s="78">
        <f t="shared" si="149"/>
        <v>7.6719298245614034E-2</v>
      </c>
    </row>
    <row r="9328" spans="39:45">
      <c r="AM9328" s="54">
        <v>2020</v>
      </c>
      <c r="AN9328" s="54" t="s">
        <v>183</v>
      </c>
      <c r="AO9328" s="54">
        <v>24</v>
      </c>
      <c r="AP9328" s="54">
        <v>14</v>
      </c>
      <c r="AQ9328" s="54">
        <v>914</v>
      </c>
      <c r="AR9328" s="55">
        <v>28500</v>
      </c>
      <c r="AS9328" s="78">
        <f t="shared" si="149"/>
        <v>3.2070175438596492E-2</v>
      </c>
    </row>
    <row r="9329" spans="39:45">
      <c r="AM9329" s="55">
        <v>2020</v>
      </c>
      <c r="AN9329" s="55" t="s">
        <v>183</v>
      </c>
      <c r="AO9329" s="55">
        <v>24</v>
      </c>
      <c r="AP9329" s="55">
        <v>15</v>
      </c>
      <c r="AQ9329" s="55">
        <v>550</v>
      </c>
      <c r="AR9329" s="55">
        <v>28500</v>
      </c>
      <c r="AS9329" s="78">
        <f t="shared" si="149"/>
        <v>1.9298245614035089E-2</v>
      </c>
    </row>
    <row r="9330" spans="39:45">
      <c r="AM9330" s="54">
        <v>2020</v>
      </c>
      <c r="AN9330" s="54" t="s">
        <v>183</v>
      </c>
      <c r="AO9330" s="54">
        <v>24</v>
      </c>
      <c r="AP9330" s="54">
        <v>16</v>
      </c>
      <c r="AQ9330" s="54">
        <v>0</v>
      </c>
      <c r="AR9330" s="55">
        <v>28500</v>
      </c>
      <c r="AS9330" s="78">
        <f t="shared" si="149"/>
        <v>0</v>
      </c>
    </row>
    <row r="9331" spans="39:45">
      <c r="AM9331" s="55">
        <v>2020</v>
      </c>
      <c r="AN9331" s="55" t="s">
        <v>183</v>
      </c>
      <c r="AO9331" s="55">
        <v>24</v>
      </c>
      <c r="AP9331" s="55">
        <v>17</v>
      </c>
      <c r="AQ9331" s="55">
        <v>0</v>
      </c>
      <c r="AR9331" s="55">
        <v>28500</v>
      </c>
      <c r="AS9331" s="78">
        <f t="shared" si="149"/>
        <v>0</v>
      </c>
    </row>
    <row r="9332" spans="39:45">
      <c r="AM9332" s="54">
        <v>2020</v>
      </c>
      <c r="AN9332" s="54" t="s">
        <v>183</v>
      </c>
      <c r="AO9332" s="54">
        <v>24</v>
      </c>
      <c r="AP9332" s="54">
        <v>18</v>
      </c>
      <c r="AQ9332" s="54">
        <v>0</v>
      </c>
      <c r="AR9332" s="55">
        <v>28500</v>
      </c>
      <c r="AS9332" s="78">
        <f t="shared" si="149"/>
        <v>0</v>
      </c>
    </row>
    <row r="9333" spans="39:45">
      <c r="AM9333" s="55">
        <v>2020</v>
      </c>
      <c r="AN9333" s="55" t="s">
        <v>183</v>
      </c>
      <c r="AO9333" s="55">
        <v>24</v>
      </c>
      <c r="AP9333" s="55">
        <v>19</v>
      </c>
      <c r="AQ9333" s="55">
        <v>0</v>
      </c>
      <c r="AR9333" s="55">
        <v>28500</v>
      </c>
      <c r="AS9333" s="78">
        <f t="shared" si="149"/>
        <v>0</v>
      </c>
    </row>
    <row r="9334" spans="39:45">
      <c r="AM9334" s="54">
        <v>2020</v>
      </c>
      <c r="AN9334" s="54" t="s">
        <v>183</v>
      </c>
      <c r="AO9334" s="54">
        <v>24</v>
      </c>
      <c r="AP9334" s="54">
        <v>20</v>
      </c>
      <c r="AQ9334" s="54">
        <v>0</v>
      </c>
      <c r="AR9334" s="55">
        <v>28500</v>
      </c>
      <c r="AS9334" s="78">
        <f t="shared" si="149"/>
        <v>0</v>
      </c>
    </row>
    <row r="9335" spans="39:45">
      <c r="AM9335" s="55">
        <v>2020</v>
      </c>
      <c r="AN9335" s="55" t="s">
        <v>183</v>
      </c>
      <c r="AO9335" s="55">
        <v>24</v>
      </c>
      <c r="AP9335" s="55">
        <v>21</v>
      </c>
      <c r="AQ9335" s="55">
        <v>0</v>
      </c>
      <c r="AR9335" s="55">
        <v>28500</v>
      </c>
      <c r="AS9335" s="78">
        <f t="shared" si="149"/>
        <v>0</v>
      </c>
    </row>
    <row r="9336" spans="39:45">
      <c r="AM9336" s="54">
        <v>2020</v>
      </c>
      <c r="AN9336" s="54" t="s">
        <v>183</v>
      </c>
      <c r="AO9336" s="54">
        <v>24</v>
      </c>
      <c r="AP9336" s="54">
        <v>22</v>
      </c>
      <c r="AQ9336" s="54">
        <v>0</v>
      </c>
      <c r="AR9336" s="55">
        <v>28500</v>
      </c>
      <c r="AS9336" s="78">
        <f t="shared" si="149"/>
        <v>0</v>
      </c>
    </row>
    <row r="9337" spans="39:45">
      <c r="AM9337" s="55">
        <v>2020</v>
      </c>
      <c r="AN9337" s="55" t="s">
        <v>183</v>
      </c>
      <c r="AO9337" s="55">
        <v>24</v>
      </c>
      <c r="AP9337" s="55">
        <v>23</v>
      </c>
      <c r="AQ9337" s="55">
        <v>0</v>
      </c>
      <c r="AR9337" s="55">
        <v>28500</v>
      </c>
      <c r="AS9337" s="78">
        <f t="shared" si="149"/>
        <v>0</v>
      </c>
    </row>
    <row r="9338" spans="39:45">
      <c r="AM9338" s="54">
        <v>2020</v>
      </c>
      <c r="AN9338" s="54" t="s">
        <v>183</v>
      </c>
      <c r="AO9338" s="54">
        <v>25</v>
      </c>
      <c r="AP9338" s="54">
        <v>24</v>
      </c>
      <c r="AQ9338" s="54">
        <v>0</v>
      </c>
      <c r="AR9338" s="55">
        <v>28500</v>
      </c>
      <c r="AS9338" s="78">
        <f t="shared" si="149"/>
        <v>0</v>
      </c>
    </row>
    <row r="9339" spans="39:45">
      <c r="AM9339" s="55">
        <v>2020</v>
      </c>
      <c r="AN9339" s="55" t="s">
        <v>183</v>
      </c>
      <c r="AO9339" s="55">
        <v>25</v>
      </c>
      <c r="AP9339" s="55">
        <v>1</v>
      </c>
      <c r="AQ9339" s="55">
        <v>0</v>
      </c>
      <c r="AR9339" s="55">
        <v>28500</v>
      </c>
      <c r="AS9339" s="78">
        <f t="shared" si="149"/>
        <v>0</v>
      </c>
    </row>
    <row r="9340" spans="39:45">
      <c r="AM9340" s="54">
        <v>2020</v>
      </c>
      <c r="AN9340" s="54" t="s">
        <v>183</v>
      </c>
      <c r="AO9340" s="54">
        <v>25</v>
      </c>
      <c r="AP9340" s="54">
        <v>2</v>
      </c>
      <c r="AQ9340" s="54">
        <v>0</v>
      </c>
      <c r="AR9340" s="55">
        <v>28500</v>
      </c>
      <c r="AS9340" s="78">
        <f t="shared" si="149"/>
        <v>0</v>
      </c>
    </row>
    <row r="9341" spans="39:45">
      <c r="AM9341" s="55">
        <v>2020</v>
      </c>
      <c r="AN9341" s="55" t="s">
        <v>183</v>
      </c>
      <c r="AO9341" s="55">
        <v>25</v>
      </c>
      <c r="AP9341" s="55">
        <v>3</v>
      </c>
      <c r="AQ9341" s="55">
        <v>0</v>
      </c>
      <c r="AR9341" s="55">
        <v>28500</v>
      </c>
      <c r="AS9341" s="78">
        <f t="shared" si="149"/>
        <v>0</v>
      </c>
    </row>
    <row r="9342" spans="39:45">
      <c r="AM9342" s="54">
        <v>2020</v>
      </c>
      <c r="AN9342" s="54" t="s">
        <v>183</v>
      </c>
      <c r="AO9342" s="54">
        <v>25</v>
      </c>
      <c r="AP9342" s="54">
        <v>4</v>
      </c>
      <c r="AQ9342" s="54">
        <v>0</v>
      </c>
      <c r="AR9342" s="55">
        <v>28500</v>
      </c>
      <c r="AS9342" s="78">
        <f t="shared" si="149"/>
        <v>0</v>
      </c>
    </row>
    <row r="9343" spans="39:45">
      <c r="AM9343" s="55">
        <v>2020</v>
      </c>
      <c r="AN9343" s="55" t="s">
        <v>183</v>
      </c>
      <c r="AO9343" s="55">
        <v>25</v>
      </c>
      <c r="AP9343" s="55">
        <v>5</v>
      </c>
      <c r="AQ9343" s="55">
        <v>0</v>
      </c>
      <c r="AR9343" s="55">
        <v>28500</v>
      </c>
      <c r="AS9343" s="78">
        <f t="shared" si="149"/>
        <v>0</v>
      </c>
    </row>
    <row r="9344" spans="39:45">
      <c r="AM9344" s="54">
        <v>2020</v>
      </c>
      <c r="AN9344" s="54" t="s">
        <v>183</v>
      </c>
      <c r="AO9344" s="54">
        <v>25</v>
      </c>
      <c r="AP9344" s="54">
        <v>6</v>
      </c>
      <c r="AQ9344" s="54">
        <v>0</v>
      </c>
      <c r="AR9344" s="55">
        <v>28500</v>
      </c>
      <c r="AS9344" s="78">
        <f t="shared" si="149"/>
        <v>0</v>
      </c>
    </row>
    <row r="9345" spans="39:45">
      <c r="AM9345" s="55">
        <v>2020</v>
      </c>
      <c r="AN9345" s="55" t="s">
        <v>183</v>
      </c>
      <c r="AO9345" s="55">
        <v>25</v>
      </c>
      <c r="AP9345" s="55">
        <v>7</v>
      </c>
      <c r="AQ9345" s="55">
        <v>0</v>
      </c>
      <c r="AR9345" s="55">
        <v>28500</v>
      </c>
      <c r="AS9345" s="78">
        <f t="shared" si="149"/>
        <v>0</v>
      </c>
    </row>
    <row r="9346" spans="39:45">
      <c r="AM9346" s="54">
        <v>2020</v>
      </c>
      <c r="AN9346" s="54" t="s">
        <v>183</v>
      </c>
      <c r="AO9346" s="54">
        <v>25</v>
      </c>
      <c r="AP9346" s="54">
        <v>8</v>
      </c>
      <c r="AQ9346" s="54">
        <v>0</v>
      </c>
      <c r="AR9346" s="55">
        <v>28500</v>
      </c>
      <c r="AS9346" s="78">
        <f t="shared" ref="AS9346:AS9409" si="150">AQ9346/AR9346</f>
        <v>0</v>
      </c>
    </row>
    <row r="9347" spans="39:45">
      <c r="AM9347" s="55">
        <v>2020</v>
      </c>
      <c r="AN9347" s="55" t="s">
        <v>183</v>
      </c>
      <c r="AO9347" s="55">
        <v>25</v>
      </c>
      <c r="AP9347" s="55">
        <v>9</v>
      </c>
      <c r="AQ9347" s="55">
        <v>722.5</v>
      </c>
      <c r="AR9347" s="55">
        <v>28500</v>
      </c>
      <c r="AS9347" s="78">
        <f t="shared" si="150"/>
        <v>2.5350877192982457E-2</v>
      </c>
    </row>
    <row r="9348" spans="39:45">
      <c r="AM9348" s="54">
        <v>2020</v>
      </c>
      <c r="AN9348" s="54" t="s">
        <v>183</v>
      </c>
      <c r="AO9348" s="54">
        <v>25</v>
      </c>
      <c r="AP9348" s="54">
        <v>10</v>
      </c>
      <c r="AQ9348" s="54">
        <v>1458.5</v>
      </c>
      <c r="AR9348" s="55">
        <v>28500</v>
      </c>
      <c r="AS9348" s="78">
        <f t="shared" si="150"/>
        <v>5.1175438596491228E-2</v>
      </c>
    </row>
    <row r="9349" spans="39:45">
      <c r="AM9349" s="55">
        <v>2020</v>
      </c>
      <c r="AN9349" s="55" t="s">
        <v>183</v>
      </c>
      <c r="AO9349" s="55">
        <v>25</v>
      </c>
      <c r="AP9349" s="55">
        <v>11</v>
      </c>
      <c r="AQ9349" s="55">
        <v>1974</v>
      </c>
      <c r="AR9349" s="55">
        <v>28500</v>
      </c>
      <c r="AS9349" s="78">
        <f t="shared" si="150"/>
        <v>6.9263157894736846E-2</v>
      </c>
    </row>
    <row r="9350" spans="39:45">
      <c r="AM9350" s="54">
        <v>2020</v>
      </c>
      <c r="AN9350" s="54" t="s">
        <v>183</v>
      </c>
      <c r="AO9350" s="54">
        <v>25</v>
      </c>
      <c r="AP9350" s="54">
        <v>12</v>
      </c>
      <c r="AQ9350" s="54">
        <v>1855.5</v>
      </c>
      <c r="AR9350" s="55">
        <v>28500</v>
      </c>
      <c r="AS9350" s="78">
        <f t="shared" si="150"/>
        <v>6.5105263157894736E-2</v>
      </c>
    </row>
    <row r="9351" spans="39:45">
      <c r="AM9351" s="55">
        <v>2020</v>
      </c>
      <c r="AN9351" s="55" t="s">
        <v>183</v>
      </c>
      <c r="AO9351" s="55">
        <v>25</v>
      </c>
      <c r="AP9351" s="55">
        <v>13</v>
      </c>
      <c r="AQ9351" s="55">
        <v>1928.5</v>
      </c>
      <c r="AR9351" s="55">
        <v>28500</v>
      </c>
      <c r="AS9351" s="78">
        <f t="shared" si="150"/>
        <v>6.7666666666666667E-2</v>
      </c>
    </row>
    <row r="9352" spans="39:45">
      <c r="AM9352" s="54">
        <v>2020</v>
      </c>
      <c r="AN9352" s="54" t="s">
        <v>183</v>
      </c>
      <c r="AO9352" s="54">
        <v>25</v>
      </c>
      <c r="AP9352" s="54">
        <v>14</v>
      </c>
      <c r="AQ9352" s="54">
        <v>1519.5</v>
      </c>
      <c r="AR9352" s="55">
        <v>28500</v>
      </c>
      <c r="AS9352" s="78">
        <f t="shared" si="150"/>
        <v>5.3315789473684212E-2</v>
      </c>
    </row>
    <row r="9353" spans="39:45">
      <c r="AM9353" s="55">
        <v>2020</v>
      </c>
      <c r="AN9353" s="55" t="s">
        <v>183</v>
      </c>
      <c r="AO9353" s="55">
        <v>25</v>
      </c>
      <c r="AP9353" s="55">
        <v>15</v>
      </c>
      <c r="AQ9353" s="55">
        <v>2062</v>
      </c>
      <c r="AR9353" s="55">
        <v>28500</v>
      </c>
      <c r="AS9353" s="78">
        <f t="shared" si="150"/>
        <v>7.2350877192982457E-2</v>
      </c>
    </row>
    <row r="9354" spans="39:45">
      <c r="AM9354" s="54">
        <v>2020</v>
      </c>
      <c r="AN9354" s="54" t="s">
        <v>183</v>
      </c>
      <c r="AO9354" s="54">
        <v>25</v>
      </c>
      <c r="AP9354" s="54">
        <v>16</v>
      </c>
      <c r="AQ9354" s="54">
        <v>0</v>
      </c>
      <c r="AR9354" s="55">
        <v>28500</v>
      </c>
      <c r="AS9354" s="78">
        <f t="shared" si="150"/>
        <v>0</v>
      </c>
    </row>
    <row r="9355" spans="39:45">
      <c r="AM9355" s="55">
        <v>2020</v>
      </c>
      <c r="AN9355" s="55" t="s">
        <v>183</v>
      </c>
      <c r="AO9355" s="55">
        <v>25</v>
      </c>
      <c r="AP9355" s="55">
        <v>17</v>
      </c>
      <c r="AQ9355" s="55">
        <v>0</v>
      </c>
      <c r="AR9355" s="55">
        <v>28500</v>
      </c>
      <c r="AS9355" s="78">
        <f t="shared" si="150"/>
        <v>0</v>
      </c>
    </row>
    <row r="9356" spans="39:45">
      <c r="AM9356" s="54">
        <v>2020</v>
      </c>
      <c r="AN9356" s="54" t="s">
        <v>183</v>
      </c>
      <c r="AO9356" s="54">
        <v>25</v>
      </c>
      <c r="AP9356" s="54">
        <v>18</v>
      </c>
      <c r="AQ9356" s="54">
        <v>0</v>
      </c>
      <c r="AR9356" s="55">
        <v>28500</v>
      </c>
      <c r="AS9356" s="78">
        <f t="shared" si="150"/>
        <v>0</v>
      </c>
    </row>
    <row r="9357" spans="39:45">
      <c r="AM9357" s="55">
        <v>2020</v>
      </c>
      <c r="AN9357" s="55" t="s">
        <v>183</v>
      </c>
      <c r="AO9357" s="55">
        <v>25</v>
      </c>
      <c r="AP9357" s="55">
        <v>19</v>
      </c>
      <c r="AQ9357" s="55">
        <v>0</v>
      </c>
      <c r="AR9357" s="55">
        <v>28500</v>
      </c>
      <c r="AS9357" s="78">
        <f t="shared" si="150"/>
        <v>0</v>
      </c>
    </row>
    <row r="9358" spans="39:45">
      <c r="AM9358" s="54">
        <v>2020</v>
      </c>
      <c r="AN9358" s="54" t="s">
        <v>183</v>
      </c>
      <c r="AO9358" s="54">
        <v>25</v>
      </c>
      <c r="AP9358" s="54">
        <v>20</v>
      </c>
      <c r="AQ9358" s="54">
        <v>0</v>
      </c>
      <c r="AR9358" s="55">
        <v>28500</v>
      </c>
      <c r="AS9358" s="78">
        <f t="shared" si="150"/>
        <v>0</v>
      </c>
    </row>
    <row r="9359" spans="39:45">
      <c r="AM9359" s="55">
        <v>2020</v>
      </c>
      <c r="AN9359" s="55" t="s">
        <v>183</v>
      </c>
      <c r="AO9359" s="55">
        <v>25</v>
      </c>
      <c r="AP9359" s="55">
        <v>21</v>
      </c>
      <c r="AQ9359" s="55">
        <v>0</v>
      </c>
      <c r="AR9359" s="55">
        <v>28500</v>
      </c>
      <c r="AS9359" s="78">
        <f t="shared" si="150"/>
        <v>0</v>
      </c>
    </row>
    <row r="9360" spans="39:45">
      <c r="AM9360" s="54">
        <v>2020</v>
      </c>
      <c r="AN9360" s="54" t="s">
        <v>183</v>
      </c>
      <c r="AO9360" s="54">
        <v>25</v>
      </c>
      <c r="AP9360" s="54">
        <v>22</v>
      </c>
      <c r="AQ9360" s="54">
        <v>0</v>
      </c>
      <c r="AR9360" s="55">
        <v>28500</v>
      </c>
      <c r="AS9360" s="78">
        <f t="shared" si="150"/>
        <v>0</v>
      </c>
    </row>
    <row r="9361" spans="39:45">
      <c r="AM9361" s="55">
        <v>2020</v>
      </c>
      <c r="AN9361" s="55" t="s">
        <v>183</v>
      </c>
      <c r="AO9361" s="55">
        <v>25</v>
      </c>
      <c r="AP9361" s="55">
        <v>23</v>
      </c>
      <c r="AQ9361" s="55">
        <v>0</v>
      </c>
      <c r="AR9361" s="55">
        <v>28500</v>
      </c>
      <c r="AS9361" s="78">
        <f t="shared" si="150"/>
        <v>0</v>
      </c>
    </row>
    <row r="9362" spans="39:45">
      <c r="AM9362" s="54">
        <v>2020</v>
      </c>
      <c r="AN9362" s="54" t="s">
        <v>183</v>
      </c>
      <c r="AO9362" s="54">
        <v>26</v>
      </c>
      <c r="AP9362" s="54">
        <v>24</v>
      </c>
      <c r="AQ9362" s="54">
        <v>0</v>
      </c>
      <c r="AR9362" s="55">
        <v>28500</v>
      </c>
      <c r="AS9362" s="78">
        <f t="shared" si="150"/>
        <v>0</v>
      </c>
    </row>
    <row r="9363" spans="39:45">
      <c r="AM9363" s="55">
        <v>2020</v>
      </c>
      <c r="AN9363" s="55" t="s">
        <v>183</v>
      </c>
      <c r="AO9363" s="55">
        <v>26</v>
      </c>
      <c r="AP9363" s="55">
        <v>1</v>
      </c>
      <c r="AQ9363" s="55">
        <v>0</v>
      </c>
      <c r="AR9363" s="55">
        <v>28500</v>
      </c>
      <c r="AS9363" s="78">
        <f t="shared" si="150"/>
        <v>0</v>
      </c>
    </row>
    <row r="9364" spans="39:45">
      <c r="AM9364" s="54">
        <v>2020</v>
      </c>
      <c r="AN9364" s="54" t="s">
        <v>183</v>
      </c>
      <c r="AO9364" s="54">
        <v>26</v>
      </c>
      <c r="AP9364" s="54">
        <v>2</v>
      </c>
      <c r="AQ9364" s="54">
        <v>0</v>
      </c>
      <c r="AR9364" s="55">
        <v>28500</v>
      </c>
      <c r="AS9364" s="78">
        <f t="shared" si="150"/>
        <v>0</v>
      </c>
    </row>
    <row r="9365" spans="39:45">
      <c r="AM9365" s="55">
        <v>2020</v>
      </c>
      <c r="AN9365" s="55" t="s">
        <v>183</v>
      </c>
      <c r="AO9365" s="55">
        <v>26</v>
      </c>
      <c r="AP9365" s="55">
        <v>3</v>
      </c>
      <c r="AQ9365" s="55">
        <v>0</v>
      </c>
      <c r="AR9365" s="55">
        <v>28500</v>
      </c>
      <c r="AS9365" s="78">
        <f t="shared" si="150"/>
        <v>0</v>
      </c>
    </row>
    <row r="9366" spans="39:45">
      <c r="AM9366" s="54">
        <v>2020</v>
      </c>
      <c r="AN9366" s="54" t="s">
        <v>183</v>
      </c>
      <c r="AO9366" s="54">
        <v>26</v>
      </c>
      <c r="AP9366" s="54">
        <v>4</v>
      </c>
      <c r="AQ9366" s="54">
        <v>0</v>
      </c>
      <c r="AR9366" s="55">
        <v>28500</v>
      </c>
      <c r="AS9366" s="78">
        <f t="shared" si="150"/>
        <v>0</v>
      </c>
    </row>
    <row r="9367" spans="39:45">
      <c r="AM9367" s="55">
        <v>2020</v>
      </c>
      <c r="AN9367" s="55" t="s">
        <v>183</v>
      </c>
      <c r="AO9367" s="55">
        <v>26</v>
      </c>
      <c r="AP9367" s="55">
        <v>5</v>
      </c>
      <c r="AQ9367" s="55">
        <v>0</v>
      </c>
      <c r="AR9367" s="55">
        <v>28500</v>
      </c>
      <c r="AS9367" s="78">
        <f t="shared" si="150"/>
        <v>0</v>
      </c>
    </row>
    <row r="9368" spans="39:45">
      <c r="AM9368" s="54">
        <v>2020</v>
      </c>
      <c r="AN9368" s="54" t="s">
        <v>183</v>
      </c>
      <c r="AO9368" s="54">
        <v>26</v>
      </c>
      <c r="AP9368" s="54">
        <v>6</v>
      </c>
      <c r="AQ9368" s="54">
        <v>0</v>
      </c>
      <c r="AR9368" s="55">
        <v>28500</v>
      </c>
      <c r="AS9368" s="78">
        <f t="shared" si="150"/>
        <v>0</v>
      </c>
    </row>
    <row r="9369" spans="39:45">
      <c r="AM9369" s="55">
        <v>2020</v>
      </c>
      <c r="AN9369" s="55" t="s">
        <v>183</v>
      </c>
      <c r="AO9369" s="55">
        <v>26</v>
      </c>
      <c r="AP9369" s="55">
        <v>7</v>
      </c>
      <c r="AQ9369" s="55">
        <v>0</v>
      </c>
      <c r="AR9369" s="55">
        <v>28500</v>
      </c>
      <c r="AS9369" s="78">
        <f t="shared" si="150"/>
        <v>0</v>
      </c>
    </row>
    <row r="9370" spans="39:45">
      <c r="AM9370" s="54">
        <v>2020</v>
      </c>
      <c r="AN9370" s="54" t="s">
        <v>183</v>
      </c>
      <c r="AO9370" s="54">
        <v>26</v>
      </c>
      <c r="AP9370" s="54">
        <v>8</v>
      </c>
      <c r="AQ9370" s="54">
        <v>0</v>
      </c>
      <c r="AR9370" s="55">
        <v>28500</v>
      </c>
      <c r="AS9370" s="78">
        <f t="shared" si="150"/>
        <v>0</v>
      </c>
    </row>
    <row r="9371" spans="39:45">
      <c r="AM9371" s="55">
        <v>2020</v>
      </c>
      <c r="AN9371" s="55" t="s">
        <v>183</v>
      </c>
      <c r="AO9371" s="55">
        <v>26</v>
      </c>
      <c r="AP9371" s="55">
        <v>9</v>
      </c>
      <c r="AQ9371" s="55">
        <v>1016.5</v>
      </c>
      <c r="AR9371" s="55">
        <v>28500</v>
      </c>
      <c r="AS9371" s="78">
        <f t="shared" si="150"/>
        <v>3.5666666666666666E-2</v>
      </c>
    </row>
    <row r="9372" spans="39:45">
      <c r="AM9372" s="54">
        <v>2020</v>
      </c>
      <c r="AN9372" s="54" t="s">
        <v>183</v>
      </c>
      <c r="AO9372" s="54">
        <v>26</v>
      </c>
      <c r="AP9372" s="54">
        <v>10</v>
      </c>
      <c r="AQ9372" s="54">
        <v>3634</v>
      </c>
      <c r="AR9372" s="55">
        <v>28500</v>
      </c>
      <c r="AS9372" s="78">
        <f t="shared" si="150"/>
        <v>0.12750877192982457</v>
      </c>
    </row>
    <row r="9373" spans="39:45">
      <c r="AM9373" s="55">
        <v>2020</v>
      </c>
      <c r="AN9373" s="55" t="s">
        <v>183</v>
      </c>
      <c r="AO9373" s="55">
        <v>26</v>
      </c>
      <c r="AP9373" s="55">
        <v>11</v>
      </c>
      <c r="AQ9373" s="55">
        <v>5277.5</v>
      </c>
      <c r="AR9373" s="55">
        <v>28500</v>
      </c>
      <c r="AS9373" s="78">
        <f t="shared" si="150"/>
        <v>0.18517543859649122</v>
      </c>
    </row>
    <row r="9374" spans="39:45">
      <c r="AM9374" s="54">
        <v>2020</v>
      </c>
      <c r="AN9374" s="54" t="s">
        <v>183</v>
      </c>
      <c r="AO9374" s="54">
        <v>26</v>
      </c>
      <c r="AP9374" s="54">
        <v>12</v>
      </c>
      <c r="AQ9374" s="54">
        <v>5603</v>
      </c>
      <c r="AR9374" s="55">
        <v>28500</v>
      </c>
      <c r="AS9374" s="78">
        <f t="shared" si="150"/>
        <v>0.19659649122807019</v>
      </c>
    </row>
    <row r="9375" spans="39:45">
      <c r="AM9375" s="55">
        <v>2020</v>
      </c>
      <c r="AN9375" s="55" t="s">
        <v>183</v>
      </c>
      <c r="AO9375" s="55">
        <v>26</v>
      </c>
      <c r="AP9375" s="55">
        <v>13</v>
      </c>
      <c r="AQ9375" s="55">
        <v>5988.5</v>
      </c>
      <c r="AR9375" s="55">
        <v>28500</v>
      </c>
      <c r="AS9375" s="78">
        <f t="shared" si="150"/>
        <v>0.21012280701754385</v>
      </c>
    </row>
    <row r="9376" spans="39:45">
      <c r="AM9376" s="54">
        <v>2020</v>
      </c>
      <c r="AN9376" s="54" t="s">
        <v>183</v>
      </c>
      <c r="AO9376" s="54">
        <v>26</v>
      </c>
      <c r="AP9376" s="54">
        <v>14</v>
      </c>
      <c r="AQ9376" s="54">
        <v>2167</v>
      </c>
      <c r="AR9376" s="55">
        <v>28500</v>
      </c>
      <c r="AS9376" s="78">
        <f t="shared" si="150"/>
        <v>7.6035087719298247E-2</v>
      </c>
    </row>
    <row r="9377" spans="39:45">
      <c r="AM9377" s="55">
        <v>2020</v>
      </c>
      <c r="AN9377" s="55" t="s">
        <v>183</v>
      </c>
      <c r="AO9377" s="55">
        <v>26</v>
      </c>
      <c r="AP9377" s="55">
        <v>15</v>
      </c>
      <c r="AQ9377" s="55">
        <v>974</v>
      </c>
      <c r="AR9377" s="55">
        <v>28500</v>
      </c>
      <c r="AS9377" s="78">
        <f t="shared" si="150"/>
        <v>3.4175438596491227E-2</v>
      </c>
    </row>
    <row r="9378" spans="39:45">
      <c r="AM9378" s="54">
        <v>2020</v>
      </c>
      <c r="AN9378" s="54" t="s">
        <v>183</v>
      </c>
      <c r="AO9378" s="54">
        <v>26</v>
      </c>
      <c r="AP9378" s="54">
        <v>16</v>
      </c>
      <c r="AQ9378" s="54">
        <v>0</v>
      </c>
      <c r="AR9378" s="55">
        <v>28500</v>
      </c>
      <c r="AS9378" s="78">
        <f t="shared" si="150"/>
        <v>0</v>
      </c>
    </row>
    <row r="9379" spans="39:45">
      <c r="AM9379" s="55">
        <v>2020</v>
      </c>
      <c r="AN9379" s="55" t="s">
        <v>183</v>
      </c>
      <c r="AO9379" s="55">
        <v>26</v>
      </c>
      <c r="AP9379" s="55">
        <v>17</v>
      </c>
      <c r="AQ9379" s="55">
        <v>0</v>
      </c>
      <c r="AR9379" s="55">
        <v>28500</v>
      </c>
      <c r="AS9379" s="78">
        <f t="shared" si="150"/>
        <v>0</v>
      </c>
    </row>
    <row r="9380" spans="39:45">
      <c r="AM9380" s="54">
        <v>2020</v>
      </c>
      <c r="AN9380" s="54" t="s">
        <v>183</v>
      </c>
      <c r="AO9380" s="54">
        <v>26</v>
      </c>
      <c r="AP9380" s="54">
        <v>18</v>
      </c>
      <c r="AQ9380" s="54">
        <v>0</v>
      </c>
      <c r="AR9380" s="55">
        <v>28500</v>
      </c>
      <c r="AS9380" s="78">
        <f t="shared" si="150"/>
        <v>0</v>
      </c>
    </row>
    <row r="9381" spans="39:45">
      <c r="AM9381" s="55">
        <v>2020</v>
      </c>
      <c r="AN9381" s="55" t="s">
        <v>183</v>
      </c>
      <c r="AO9381" s="55">
        <v>26</v>
      </c>
      <c r="AP9381" s="55">
        <v>19</v>
      </c>
      <c r="AQ9381" s="55">
        <v>0</v>
      </c>
      <c r="AR9381" s="55">
        <v>28500</v>
      </c>
      <c r="AS9381" s="78">
        <f t="shared" si="150"/>
        <v>0</v>
      </c>
    </row>
    <row r="9382" spans="39:45">
      <c r="AM9382" s="54">
        <v>2020</v>
      </c>
      <c r="AN9382" s="54" t="s">
        <v>183</v>
      </c>
      <c r="AO9382" s="54">
        <v>26</v>
      </c>
      <c r="AP9382" s="54">
        <v>20</v>
      </c>
      <c r="AQ9382" s="54">
        <v>0</v>
      </c>
      <c r="AR9382" s="55">
        <v>28500</v>
      </c>
      <c r="AS9382" s="78">
        <f t="shared" si="150"/>
        <v>0</v>
      </c>
    </row>
    <row r="9383" spans="39:45">
      <c r="AM9383" s="55">
        <v>2020</v>
      </c>
      <c r="AN9383" s="55" t="s">
        <v>183</v>
      </c>
      <c r="AO9383" s="55">
        <v>26</v>
      </c>
      <c r="AP9383" s="55">
        <v>21</v>
      </c>
      <c r="AQ9383" s="55">
        <v>0</v>
      </c>
      <c r="AR9383" s="55">
        <v>28500</v>
      </c>
      <c r="AS9383" s="78">
        <f t="shared" si="150"/>
        <v>0</v>
      </c>
    </row>
    <row r="9384" spans="39:45">
      <c r="AM9384" s="54">
        <v>2020</v>
      </c>
      <c r="AN9384" s="54" t="s">
        <v>183</v>
      </c>
      <c r="AO9384" s="54">
        <v>26</v>
      </c>
      <c r="AP9384" s="54">
        <v>22</v>
      </c>
      <c r="AQ9384" s="54">
        <v>0</v>
      </c>
      <c r="AR9384" s="55">
        <v>28500</v>
      </c>
      <c r="AS9384" s="78">
        <f t="shared" si="150"/>
        <v>0</v>
      </c>
    </row>
    <row r="9385" spans="39:45">
      <c r="AM9385" s="55">
        <v>2020</v>
      </c>
      <c r="AN9385" s="55" t="s">
        <v>183</v>
      </c>
      <c r="AO9385" s="55">
        <v>26</v>
      </c>
      <c r="AP9385" s="55">
        <v>23</v>
      </c>
      <c r="AQ9385" s="55">
        <v>0</v>
      </c>
      <c r="AR9385" s="55">
        <v>28500</v>
      </c>
      <c r="AS9385" s="78">
        <f t="shared" si="150"/>
        <v>0</v>
      </c>
    </row>
    <row r="9386" spans="39:45">
      <c r="AM9386" s="54">
        <v>2020</v>
      </c>
      <c r="AN9386" s="54" t="s">
        <v>183</v>
      </c>
      <c r="AO9386" s="54">
        <v>27</v>
      </c>
      <c r="AP9386" s="54">
        <v>24</v>
      </c>
      <c r="AQ9386" s="54">
        <v>0</v>
      </c>
      <c r="AR9386" s="55">
        <v>28500</v>
      </c>
      <c r="AS9386" s="78">
        <f t="shared" si="150"/>
        <v>0</v>
      </c>
    </row>
    <row r="9387" spans="39:45">
      <c r="AM9387" s="55">
        <v>2020</v>
      </c>
      <c r="AN9387" s="55" t="s">
        <v>183</v>
      </c>
      <c r="AO9387" s="55">
        <v>27</v>
      </c>
      <c r="AP9387" s="55">
        <v>1</v>
      </c>
      <c r="AQ9387" s="55">
        <v>0</v>
      </c>
      <c r="AR9387" s="55">
        <v>28500</v>
      </c>
      <c r="AS9387" s="78">
        <f t="shared" si="150"/>
        <v>0</v>
      </c>
    </row>
    <row r="9388" spans="39:45">
      <c r="AM9388" s="54">
        <v>2020</v>
      </c>
      <c r="AN9388" s="54" t="s">
        <v>183</v>
      </c>
      <c r="AO9388" s="54">
        <v>27</v>
      </c>
      <c r="AP9388" s="54">
        <v>2</v>
      </c>
      <c r="AQ9388" s="54">
        <v>0</v>
      </c>
      <c r="AR9388" s="55">
        <v>28500</v>
      </c>
      <c r="AS9388" s="78">
        <f t="shared" si="150"/>
        <v>0</v>
      </c>
    </row>
    <row r="9389" spans="39:45">
      <c r="AM9389" s="55">
        <v>2020</v>
      </c>
      <c r="AN9389" s="55" t="s">
        <v>183</v>
      </c>
      <c r="AO9389" s="55">
        <v>27</v>
      </c>
      <c r="AP9389" s="55">
        <v>3</v>
      </c>
      <c r="AQ9389" s="55">
        <v>0</v>
      </c>
      <c r="AR9389" s="55">
        <v>28500</v>
      </c>
      <c r="AS9389" s="78">
        <f t="shared" si="150"/>
        <v>0</v>
      </c>
    </row>
    <row r="9390" spans="39:45">
      <c r="AM9390" s="54">
        <v>2020</v>
      </c>
      <c r="AN9390" s="54" t="s">
        <v>183</v>
      </c>
      <c r="AO9390" s="54">
        <v>27</v>
      </c>
      <c r="AP9390" s="54">
        <v>4</v>
      </c>
      <c r="AQ9390" s="54">
        <v>0</v>
      </c>
      <c r="AR9390" s="55">
        <v>28500</v>
      </c>
      <c r="AS9390" s="78">
        <f t="shared" si="150"/>
        <v>0</v>
      </c>
    </row>
    <row r="9391" spans="39:45">
      <c r="AM9391" s="55">
        <v>2020</v>
      </c>
      <c r="AN9391" s="55" t="s">
        <v>183</v>
      </c>
      <c r="AO9391" s="55">
        <v>27</v>
      </c>
      <c r="AP9391" s="55">
        <v>5</v>
      </c>
      <c r="AQ9391" s="55">
        <v>0</v>
      </c>
      <c r="AR9391" s="55">
        <v>28500</v>
      </c>
      <c r="AS9391" s="78">
        <f t="shared" si="150"/>
        <v>0</v>
      </c>
    </row>
    <row r="9392" spans="39:45">
      <c r="AM9392" s="54">
        <v>2020</v>
      </c>
      <c r="AN9392" s="54" t="s">
        <v>183</v>
      </c>
      <c r="AO9392" s="54">
        <v>27</v>
      </c>
      <c r="AP9392" s="54">
        <v>6</v>
      </c>
      <c r="AQ9392" s="54">
        <v>0</v>
      </c>
      <c r="AR9392" s="55">
        <v>28500</v>
      </c>
      <c r="AS9392" s="78">
        <f t="shared" si="150"/>
        <v>0</v>
      </c>
    </row>
    <row r="9393" spans="39:45">
      <c r="AM9393" s="55">
        <v>2020</v>
      </c>
      <c r="AN9393" s="55" t="s">
        <v>183</v>
      </c>
      <c r="AO9393" s="55">
        <v>27</v>
      </c>
      <c r="AP9393" s="55">
        <v>7</v>
      </c>
      <c r="AQ9393" s="55">
        <v>0</v>
      </c>
      <c r="AR9393" s="55">
        <v>28500</v>
      </c>
      <c r="AS9393" s="78">
        <f t="shared" si="150"/>
        <v>0</v>
      </c>
    </row>
    <row r="9394" spans="39:45">
      <c r="AM9394" s="54">
        <v>2020</v>
      </c>
      <c r="AN9394" s="54" t="s">
        <v>183</v>
      </c>
      <c r="AO9394" s="54">
        <v>27</v>
      </c>
      <c r="AP9394" s="54">
        <v>8</v>
      </c>
      <c r="AQ9394" s="54">
        <v>0</v>
      </c>
      <c r="AR9394" s="55">
        <v>28500</v>
      </c>
      <c r="AS9394" s="78">
        <f t="shared" si="150"/>
        <v>0</v>
      </c>
    </row>
    <row r="9395" spans="39:45">
      <c r="AM9395" s="55">
        <v>2020</v>
      </c>
      <c r="AN9395" s="55" t="s">
        <v>183</v>
      </c>
      <c r="AO9395" s="55">
        <v>27</v>
      </c>
      <c r="AP9395" s="55">
        <v>9</v>
      </c>
      <c r="AQ9395" s="55">
        <v>1231.5</v>
      </c>
      <c r="AR9395" s="55">
        <v>28500</v>
      </c>
      <c r="AS9395" s="78">
        <f t="shared" si="150"/>
        <v>4.3210526315789477E-2</v>
      </c>
    </row>
    <row r="9396" spans="39:45">
      <c r="AM9396" s="54">
        <v>2020</v>
      </c>
      <c r="AN9396" s="54" t="s">
        <v>183</v>
      </c>
      <c r="AO9396" s="54">
        <v>27</v>
      </c>
      <c r="AP9396" s="54">
        <v>10</v>
      </c>
      <c r="AQ9396" s="54">
        <v>12086.5</v>
      </c>
      <c r="AR9396" s="55">
        <v>28500</v>
      </c>
      <c r="AS9396" s="78">
        <f t="shared" si="150"/>
        <v>0.42408771929824562</v>
      </c>
    </row>
    <row r="9397" spans="39:45">
      <c r="AM9397" s="55">
        <v>2020</v>
      </c>
      <c r="AN9397" s="55" t="s">
        <v>183</v>
      </c>
      <c r="AO9397" s="55">
        <v>27</v>
      </c>
      <c r="AP9397" s="55">
        <v>11</v>
      </c>
      <c r="AQ9397" s="55">
        <v>33201</v>
      </c>
      <c r="AR9397" s="55">
        <v>28500</v>
      </c>
      <c r="AS9397" s="78">
        <f t="shared" si="150"/>
        <v>1.1649473684210527</v>
      </c>
    </row>
    <row r="9398" spans="39:45">
      <c r="AM9398" s="54">
        <v>2020</v>
      </c>
      <c r="AN9398" s="54" t="s">
        <v>183</v>
      </c>
      <c r="AO9398" s="54">
        <v>27</v>
      </c>
      <c r="AP9398" s="54">
        <v>12</v>
      </c>
      <c r="AQ9398" s="54">
        <v>10169.5</v>
      </c>
      <c r="AR9398" s="55">
        <v>28500</v>
      </c>
      <c r="AS9398" s="78">
        <f t="shared" si="150"/>
        <v>0.35682456140350877</v>
      </c>
    </row>
    <row r="9399" spans="39:45">
      <c r="AM9399" s="55">
        <v>2020</v>
      </c>
      <c r="AN9399" s="55" t="s">
        <v>183</v>
      </c>
      <c r="AO9399" s="55">
        <v>27</v>
      </c>
      <c r="AP9399" s="55">
        <v>13</v>
      </c>
      <c r="AQ9399" s="55">
        <v>3541.5</v>
      </c>
      <c r="AR9399" s="55">
        <v>28500</v>
      </c>
      <c r="AS9399" s="78">
        <f t="shared" si="150"/>
        <v>0.12426315789473684</v>
      </c>
    </row>
    <row r="9400" spans="39:45">
      <c r="AM9400" s="54">
        <v>2020</v>
      </c>
      <c r="AN9400" s="54" t="s">
        <v>183</v>
      </c>
      <c r="AO9400" s="54">
        <v>27</v>
      </c>
      <c r="AP9400" s="54">
        <v>14</v>
      </c>
      <c r="AQ9400" s="54">
        <v>4252</v>
      </c>
      <c r="AR9400" s="55">
        <v>28500</v>
      </c>
      <c r="AS9400" s="78">
        <f t="shared" si="150"/>
        <v>0.14919298245614035</v>
      </c>
    </row>
    <row r="9401" spans="39:45">
      <c r="AM9401" s="55">
        <v>2020</v>
      </c>
      <c r="AN9401" s="55" t="s">
        <v>183</v>
      </c>
      <c r="AO9401" s="55">
        <v>27</v>
      </c>
      <c r="AP9401" s="55">
        <v>15</v>
      </c>
      <c r="AQ9401" s="55">
        <v>1086.5</v>
      </c>
      <c r="AR9401" s="55">
        <v>28500</v>
      </c>
      <c r="AS9401" s="78">
        <f t="shared" si="150"/>
        <v>3.8122807017543857E-2</v>
      </c>
    </row>
    <row r="9402" spans="39:45">
      <c r="AM9402" s="54">
        <v>2020</v>
      </c>
      <c r="AN9402" s="54" t="s">
        <v>183</v>
      </c>
      <c r="AO9402" s="54">
        <v>27</v>
      </c>
      <c r="AP9402" s="54">
        <v>16</v>
      </c>
      <c r="AQ9402" s="54">
        <v>0</v>
      </c>
      <c r="AR9402" s="55">
        <v>28500</v>
      </c>
      <c r="AS9402" s="78">
        <f t="shared" si="150"/>
        <v>0</v>
      </c>
    </row>
    <row r="9403" spans="39:45">
      <c r="AM9403" s="55">
        <v>2020</v>
      </c>
      <c r="AN9403" s="55" t="s">
        <v>183</v>
      </c>
      <c r="AO9403" s="55">
        <v>27</v>
      </c>
      <c r="AP9403" s="55">
        <v>17</v>
      </c>
      <c r="AQ9403" s="55">
        <v>0</v>
      </c>
      <c r="AR9403" s="55">
        <v>28500</v>
      </c>
      <c r="AS9403" s="78">
        <f t="shared" si="150"/>
        <v>0</v>
      </c>
    </row>
    <row r="9404" spans="39:45">
      <c r="AM9404" s="54">
        <v>2020</v>
      </c>
      <c r="AN9404" s="54" t="s">
        <v>183</v>
      </c>
      <c r="AO9404" s="54">
        <v>27</v>
      </c>
      <c r="AP9404" s="54">
        <v>18</v>
      </c>
      <c r="AQ9404" s="54">
        <v>0</v>
      </c>
      <c r="AR9404" s="55">
        <v>28500</v>
      </c>
      <c r="AS9404" s="78">
        <f t="shared" si="150"/>
        <v>0</v>
      </c>
    </row>
    <row r="9405" spans="39:45">
      <c r="AM9405" s="55">
        <v>2020</v>
      </c>
      <c r="AN9405" s="55" t="s">
        <v>183</v>
      </c>
      <c r="AO9405" s="55">
        <v>27</v>
      </c>
      <c r="AP9405" s="55">
        <v>19</v>
      </c>
      <c r="AQ9405" s="55">
        <v>0</v>
      </c>
      <c r="AR9405" s="55">
        <v>28500</v>
      </c>
      <c r="AS9405" s="78">
        <f t="shared" si="150"/>
        <v>0</v>
      </c>
    </row>
    <row r="9406" spans="39:45">
      <c r="AM9406" s="54">
        <v>2020</v>
      </c>
      <c r="AN9406" s="54" t="s">
        <v>183</v>
      </c>
      <c r="AO9406" s="54">
        <v>27</v>
      </c>
      <c r="AP9406" s="54">
        <v>20</v>
      </c>
      <c r="AQ9406" s="54">
        <v>0</v>
      </c>
      <c r="AR9406" s="55">
        <v>28500</v>
      </c>
      <c r="AS9406" s="78">
        <f t="shared" si="150"/>
        <v>0</v>
      </c>
    </row>
    <row r="9407" spans="39:45">
      <c r="AM9407" s="55">
        <v>2020</v>
      </c>
      <c r="AN9407" s="55" t="s">
        <v>183</v>
      </c>
      <c r="AO9407" s="55">
        <v>27</v>
      </c>
      <c r="AP9407" s="55">
        <v>21</v>
      </c>
      <c r="AQ9407" s="55">
        <v>0</v>
      </c>
      <c r="AR9407" s="55">
        <v>28500</v>
      </c>
      <c r="AS9407" s="78">
        <f t="shared" si="150"/>
        <v>0</v>
      </c>
    </row>
    <row r="9408" spans="39:45">
      <c r="AM9408" s="54">
        <v>2020</v>
      </c>
      <c r="AN9408" s="54" t="s">
        <v>183</v>
      </c>
      <c r="AO9408" s="54">
        <v>27</v>
      </c>
      <c r="AP9408" s="54">
        <v>22</v>
      </c>
      <c r="AQ9408" s="54">
        <v>0</v>
      </c>
      <c r="AR9408" s="55">
        <v>28500</v>
      </c>
      <c r="AS9408" s="78">
        <f t="shared" si="150"/>
        <v>0</v>
      </c>
    </row>
    <row r="9409" spans="39:45">
      <c r="AM9409" s="55">
        <v>2020</v>
      </c>
      <c r="AN9409" s="55" t="s">
        <v>183</v>
      </c>
      <c r="AO9409" s="55">
        <v>27</v>
      </c>
      <c r="AP9409" s="55">
        <v>23</v>
      </c>
      <c r="AQ9409" s="55">
        <v>0</v>
      </c>
      <c r="AR9409" s="55">
        <v>28500</v>
      </c>
      <c r="AS9409" s="78">
        <f t="shared" si="150"/>
        <v>0</v>
      </c>
    </row>
    <row r="9410" spans="39:45">
      <c r="AM9410" s="54">
        <v>2020</v>
      </c>
      <c r="AN9410" s="54" t="s">
        <v>183</v>
      </c>
      <c r="AO9410" s="54">
        <v>28</v>
      </c>
      <c r="AP9410" s="54">
        <v>24</v>
      </c>
      <c r="AQ9410" s="54">
        <v>0</v>
      </c>
      <c r="AR9410" s="55">
        <v>28500</v>
      </c>
      <c r="AS9410" s="78">
        <f t="shared" ref="AS9410:AS9473" si="151">AQ9410/AR9410</f>
        <v>0</v>
      </c>
    </row>
    <row r="9411" spans="39:45">
      <c r="AM9411" s="55">
        <v>2020</v>
      </c>
      <c r="AN9411" s="55" t="s">
        <v>183</v>
      </c>
      <c r="AO9411" s="55">
        <v>28</v>
      </c>
      <c r="AP9411" s="55">
        <v>1</v>
      </c>
      <c r="AQ9411" s="55">
        <v>0</v>
      </c>
      <c r="AR9411" s="55">
        <v>28500</v>
      </c>
      <c r="AS9411" s="78">
        <f t="shared" si="151"/>
        <v>0</v>
      </c>
    </row>
    <row r="9412" spans="39:45">
      <c r="AM9412" s="54">
        <v>2020</v>
      </c>
      <c r="AN9412" s="54" t="s">
        <v>183</v>
      </c>
      <c r="AO9412" s="54">
        <v>28</v>
      </c>
      <c r="AP9412" s="54">
        <v>2</v>
      </c>
      <c r="AQ9412" s="54">
        <v>0</v>
      </c>
      <c r="AR9412" s="55">
        <v>28500</v>
      </c>
      <c r="AS9412" s="78">
        <f t="shared" si="151"/>
        <v>0</v>
      </c>
    </row>
    <row r="9413" spans="39:45">
      <c r="AM9413" s="55">
        <v>2020</v>
      </c>
      <c r="AN9413" s="55" t="s">
        <v>183</v>
      </c>
      <c r="AO9413" s="55">
        <v>28</v>
      </c>
      <c r="AP9413" s="55">
        <v>3</v>
      </c>
      <c r="AQ9413" s="55">
        <v>0</v>
      </c>
      <c r="AR9413" s="55">
        <v>28500</v>
      </c>
      <c r="AS9413" s="78">
        <f t="shared" si="151"/>
        <v>0</v>
      </c>
    </row>
    <row r="9414" spans="39:45">
      <c r="AM9414" s="54">
        <v>2020</v>
      </c>
      <c r="AN9414" s="54" t="s">
        <v>183</v>
      </c>
      <c r="AO9414" s="54">
        <v>28</v>
      </c>
      <c r="AP9414" s="54">
        <v>4</v>
      </c>
      <c r="AQ9414" s="54">
        <v>0</v>
      </c>
      <c r="AR9414" s="55">
        <v>28500</v>
      </c>
      <c r="AS9414" s="78">
        <f t="shared" si="151"/>
        <v>0</v>
      </c>
    </row>
    <row r="9415" spans="39:45">
      <c r="AM9415" s="55">
        <v>2020</v>
      </c>
      <c r="AN9415" s="55" t="s">
        <v>183</v>
      </c>
      <c r="AO9415" s="55">
        <v>28</v>
      </c>
      <c r="AP9415" s="55">
        <v>5</v>
      </c>
      <c r="AQ9415" s="55">
        <v>0</v>
      </c>
      <c r="AR9415" s="55">
        <v>28500</v>
      </c>
      <c r="AS9415" s="78">
        <f t="shared" si="151"/>
        <v>0</v>
      </c>
    </row>
    <row r="9416" spans="39:45">
      <c r="AM9416" s="54">
        <v>2020</v>
      </c>
      <c r="AN9416" s="54" t="s">
        <v>183</v>
      </c>
      <c r="AO9416" s="54">
        <v>28</v>
      </c>
      <c r="AP9416" s="54">
        <v>6</v>
      </c>
      <c r="AQ9416" s="54">
        <v>0</v>
      </c>
      <c r="AR9416" s="55">
        <v>28500</v>
      </c>
      <c r="AS9416" s="78">
        <f t="shared" si="151"/>
        <v>0</v>
      </c>
    </row>
    <row r="9417" spans="39:45">
      <c r="AM9417" s="55">
        <v>2020</v>
      </c>
      <c r="AN9417" s="55" t="s">
        <v>183</v>
      </c>
      <c r="AO9417" s="55">
        <v>28</v>
      </c>
      <c r="AP9417" s="55">
        <v>7</v>
      </c>
      <c r="AQ9417" s="55">
        <v>0</v>
      </c>
      <c r="AR9417" s="55">
        <v>28500</v>
      </c>
      <c r="AS9417" s="78">
        <f t="shared" si="151"/>
        <v>0</v>
      </c>
    </row>
    <row r="9418" spans="39:45">
      <c r="AM9418" s="54">
        <v>2020</v>
      </c>
      <c r="AN9418" s="54" t="s">
        <v>183</v>
      </c>
      <c r="AO9418" s="54">
        <v>28</v>
      </c>
      <c r="AP9418" s="54">
        <v>8</v>
      </c>
      <c r="AQ9418" s="54">
        <v>418.5</v>
      </c>
      <c r="AR9418" s="55">
        <v>28500</v>
      </c>
      <c r="AS9418" s="78">
        <f t="shared" si="151"/>
        <v>1.4684210526315789E-2</v>
      </c>
    </row>
    <row r="9419" spans="39:45">
      <c r="AM9419" s="55">
        <v>2020</v>
      </c>
      <c r="AN9419" s="55" t="s">
        <v>183</v>
      </c>
      <c r="AO9419" s="55">
        <v>28</v>
      </c>
      <c r="AP9419" s="55">
        <v>9</v>
      </c>
      <c r="AQ9419" s="55">
        <v>16655</v>
      </c>
      <c r="AR9419" s="55">
        <v>28500</v>
      </c>
      <c r="AS9419" s="78">
        <f t="shared" si="151"/>
        <v>0.58438596491228068</v>
      </c>
    </row>
    <row r="9420" spans="39:45">
      <c r="AM9420" s="54">
        <v>2020</v>
      </c>
      <c r="AN9420" s="54" t="s">
        <v>183</v>
      </c>
      <c r="AO9420" s="54">
        <v>28</v>
      </c>
      <c r="AP9420" s="54">
        <v>10</v>
      </c>
      <c r="AQ9420" s="54">
        <v>18113.5</v>
      </c>
      <c r="AR9420" s="55">
        <v>28500</v>
      </c>
      <c r="AS9420" s="78">
        <f t="shared" si="151"/>
        <v>0.63556140350877188</v>
      </c>
    </row>
    <row r="9421" spans="39:45">
      <c r="AM9421" s="55">
        <v>2020</v>
      </c>
      <c r="AN9421" s="55" t="s">
        <v>183</v>
      </c>
      <c r="AO9421" s="55">
        <v>28</v>
      </c>
      <c r="AP9421" s="55">
        <v>11</v>
      </c>
      <c r="AQ9421" s="55">
        <v>32157.5</v>
      </c>
      <c r="AR9421" s="55">
        <v>28500</v>
      </c>
      <c r="AS9421" s="78">
        <f t="shared" si="151"/>
        <v>1.1283333333333334</v>
      </c>
    </row>
    <row r="9422" spans="39:45">
      <c r="AM9422" s="54">
        <v>2020</v>
      </c>
      <c r="AN9422" s="54" t="s">
        <v>183</v>
      </c>
      <c r="AO9422" s="54">
        <v>28</v>
      </c>
      <c r="AP9422" s="54">
        <v>12</v>
      </c>
      <c r="AQ9422" s="54">
        <v>36426</v>
      </c>
      <c r="AR9422" s="55">
        <v>28500</v>
      </c>
      <c r="AS9422" s="78">
        <f t="shared" si="151"/>
        <v>1.2781052631578946</v>
      </c>
    </row>
    <row r="9423" spans="39:45">
      <c r="AM9423" s="55">
        <v>2020</v>
      </c>
      <c r="AN9423" s="55" t="s">
        <v>183</v>
      </c>
      <c r="AO9423" s="55">
        <v>28</v>
      </c>
      <c r="AP9423" s="55">
        <v>13</v>
      </c>
      <c r="AQ9423" s="55">
        <v>33725</v>
      </c>
      <c r="AR9423" s="55">
        <v>28500</v>
      </c>
      <c r="AS9423" s="78">
        <f t="shared" si="151"/>
        <v>1.1833333333333333</v>
      </c>
    </row>
    <row r="9424" spans="39:45">
      <c r="AM9424" s="54">
        <v>2020</v>
      </c>
      <c r="AN9424" s="54" t="s">
        <v>183</v>
      </c>
      <c r="AO9424" s="54">
        <v>28</v>
      </c>
      <c r="AP9424" s="54">
        <v>14</v>
      </c>
      <c r="AQ9424" s="54">
        <v>27066.5</v>
      </c>
      <c r="AR9424" s="55">
        <v>28500</v>
      </c>
      <c r="AS9424" s="78">
        <f t="shared" si="151"/>
        <v>0.94970175438596494</v>
      </c>
    </row>
    <row r="9425" spans="39:45">
      <c r="AM9425" s="55">
        <v>2020</v>
      </c>
      <c r="AN9425" s="55" t="s">
        <v>183</v>
      </c>
      <c r="AO9425" s="55">
        <v>28</v>
      </c>
      <c r="AP9425" s="55">
        <v>15</v>
      </c>
      <c r="AQ9425" s="55">
        <v>20257.5</v>
      </c>
      <c r="AR9425" s="55">
        <v>28500</v>
      </c>
      <c r="AS9425" s="78">
        <f t="shared" si="151"/>
        <v>0.71078947368421053</v>
      </c>
    </row>
    <row r="9426" spans="39:45">
      <c r="AM9426" s="54">
        <v>2020</v>
      </c>
      <c r="AN9426" s="54" t="s">
        <v>183</v>
      </c>
      <c r="AO9426" s="54">
        <v>28</v>
      </c>
      <c r="AP9426" s="54">
        <v>16</v>
      </c>
      <c r="AQ9426" s="54">
        <v>0</v>
      </c>
      <c r="AR9426" s="55">
        <v>28500</v>
      </c>
      <c r="AS9426" s="78">
        <f t="shared" si="151"/>
        <v>0</v>
      </c>
    </row>
    <row r="9427" spans="39:45">
      <c r="AM9427" s="55">
        <v>2020</v>
      </c>
      <c r="AN9427" s="55" t="s">
        <v>183</v>
      </c>
      <c r="AO9427" s="55">
        <v>28</v>
      </c>
      <c r="AP9427" s="55">
        <v>17</v>
      </c>
      <c r="AQ9427" s="55">
        <v>0</v>
      </c>
      <c r="AR9427" s="55">
        <v>28500</v>
      </c>
      <c r="AS9427" s="78">
        <f t="shared" si="151"/>
        <v>0</v>
      </c>
    </row>
    <row r="9428" spans="39:45">
      <c r="AM9428" s="54">
        <v>2020</v>
      </c>
      <c r="AN9428" s="54" t="s">
        <v>183</v>
      </c>
      <c r="AO9428" s="54">
        <v>28</v>
      </c>
      <c r="AP9428" s="54">
        <v>18</v>
      </c>
      <c r="AQ9428" s="54">
        <v>0</v>
      </c>
      <c r="AR9428" s="55">
        <v>28500</v>
      </c>
      <c r="AS9428" s="78">
        <f t="shared" si="151"/>
        <v>0</v>
      </c>
    </row>
    <row r="9429" spans="39:45">
      <c r="AM9429" s="55">
        <v>2020</v>
      </c>
      <c r="AN9429" s="55" t="s">
        <v>183</v>
      </c>
      <c r="AO9429" s="55">
        <v>28</v>
      </c>
      <c r="AP9429" s="55">
        <v>19</v>
      </c>
      <c r="AQ9429" s="55">
        <v>0</v>
      </c>
      <c r="AR9429" s="55">
        <v>28500</v>
      </c>
      <c r="AS9429" s="78">
        <f t="shared" si="151"/>
        <v>0</v>
      </c>
    </row>
    <row r="9430" spans="39:45">
      <c r="AM9430" s="54">
        <v>2020</v>
      </c>
      <c r="AN9430" s="54" t="s">
        <v>183</v>
      </c>
      <c r="AO9430" s="54">
        <v>28</v>
      </c>
      <c r="AP9430" s="54">
        <v>20</v>
      </c>
      <c r="AQ9430" s="54">
        <v>0</v>
      </c>
      <c r="AR9430" s="55">
        <v>28500</v>
      </c>
      <c r="AS9430" s="78">
        <f t="shared" si="151"/>
        <v>0</v>
      </c>
    </row>
    <row r="9431" spans="39:45">
      <c r="AM9431" s="55">
        <v>2020</v>
      </c>
      <c r="AN9431" s="55" t="s">
        <v>183</v>
      </c>
      <c r="AO9431" s="55">
        <v>28</v>
      </c>
      <c r="AP9431" s="55">
        <v>21</v>
      </c>
      <c r="AQ9431" s="55">
        <v>0</v>
      </c>
      <c r="AR9431" s="55">
        <v>28500</v>
      </c>
      <c r="AS9431" s="78">
        <f t="shared" si="151"/>
        <v>0</v>
      </c>
    </row>
    <row r="9432" spans="39:45">
      <c r="AM9432" s="54">
        <v>2020</v>
      </c>
      <c r="AN9432" s="54" t="s">
        <v>183</v>
      </c>
      <c r="AO9432" s="54">
        <v>28</v>
      </c>
      <c r="AP9432" s="54">
        <v>22</v>
      </c>
      <c r="AQ9432" s="54">
        <v>0</v>
      </c>
      <c r="AR9432" s="55">
        <v>28500</v>
      </c>
      <c r="AS9432" s="78">
        <f t="shared" si="151"/>
        <v>0</v>
      </c>
    </row>
    <row r="9433" spans="39:45">
      <c r="AM9433" s="55">
        <v>2020</v>
      </c>
      <c r="AN9433" s="55" t="s">
        <v>183</v>
      </c>
      <c r="AO9433" s="55">
        <v>28</v>
      </c>
      <c r="AP9433" s="55">
        <v>23</v>
      </c>
      <c r="AQ9433" s="55">
        <v>0</v>
      </c>
      <c r="AR9433" s="55">
        <v>28500</v>
      </c>
      <c r="AS9433" s="78">
        <f t="shared" si="151"/>
        <v>0</v>
      </c>
    </row>
    <row r="9434" spans="39:45">
      <c r="AM9434" s="54">
        <v>2020</v>
      </c>
      <c r="AN9434" s="54" t="s">
        <v>183</v>
      </c>
      <c r="AO9434" s="54">
        <v>29</v>
      </c>
      <c r="AP9434" s="54">
        <v>24</v>
      </c>
      <c r="AQ9434" s="54">
        <v>0</v>
      </c>
      <c r="AR9434" s="55">
        <v>28500</v>
      </c>
      <c r="AS9434" s="78">
        <f t="shared" si="151"/>
        <v>0</v>
      </c>
    </row>
    <row r="9435" spans="39:45">
      <c r="AM9435" s="55">
        <v>2020</v>
      </c>
      <c r="AN9435" s="55" t="s">
        <v>183</v>
      </c>
      <c r="AO9435" s="55">
        <v>29</v>
      </c>
      <c r="AP9435" s="55">
        <v>1</v>
      </c>
      <c r="AQ9435" s="55">
        <v>0</v>
      </c>
      <c r="AR9435" s="55">
        <v>28500</v>
      </c>
      <c r="AS9435" s="78">
        <f t="shared" si="151"/>
        <v>0</v>
      </c>
    </row>
    <row r="9436" spans="39:45">
      <c r="AM9436" s="54">
        <v>2020</v>
      </c>
      <c r="AN9436" s="54" t="s">
        <v>183</v>
      </c>
      <c r="AO9436" s="54">
        <v>29</v>
      </c>
      <c r="AP9436" s="54">
        <v>2</v>
      </c>
      <c r="AQ9436" s="54">
        <v>0</v>
      </c>
      <c r="AR9436" s="55">
        <v>28500</v>
      </c>
      <c r="AS9436" s="78">
        <f t="shared" si="151"/>
        <v>0</v>
      </c>
    </row>
    <row r="9437" spans="39:45">
      <c r="AM9437" s="55">
        <v>2020</v>
      </c>
      <c r="AN9437" s="55" t="s">
        <v>183</v>
      </c>
      <c r="AO9437" s="55">
        <v>29</v>
      </c>
      <c r="AP9437" s="55">
        <v>3</v>
      </c>
      <c r="AQ9437" s="55">
        <v>0</v>
      </c>
      <c r="AR9437" s="55">
        <v>28500</v>
      </c>
      <c r="AS9437" s="78">
        <f t="shared" si="151"/>
        <v>0</v>
      </c>
    </row>
    <row r="9438" spans="39:45">
      <c r="AM9438" s="54">
        <v>2020</v>
      </c>
      <c r="AN9438" s="54" t="s">
        <v>183</v>
      </c>
      <c r="AO9438" s="54">
        <v>29</v>
      </c>
      <c r="AP9438" s="54">
        <v>4</v>
      </c>
      <c r="AQ9438" s="54">
        <v>0</v>
      </c>
      <c r="AR9438" s="55">
        <v>28500</v>
      </c>
      <c r="AS9438" s="78">
        <f t="shared" si="151"/>
        <v>0</v>
      </c>
    </row>
    <row r="9439" spans="39:45">
      <c r="AM9439" s="55">
        <v>2020</v>
      </c>
      <c r="AN9439" s="55" t="s">
        <v>183</v>
      </c>
      <c r="AO9439" s="55">
        <v>29</v>
      </c>
      <c r="AP9439" s="55">
        <v>5</v>
      </c>
      <c r="AQ9439" s="55">
        <v>0</v>
      </c>
      <c r="AR9439" s="55">
        <v>28500</v>
      </c>
      <c r="AS9439" s="78">
        <f t="shared" si="151"/>
        <v>0</v>
      </c>
    </row>
    <row r="9440" spans="39:45">
      <c r="AM9440" s="54">
        <v>2020</v>
      </c>
      <c r="AN9440" s="54" t="s">
        <v>183</v>
      </c>
      <c r="AO9440" s="54">
        <v>29</v>
      </c>
      <c r="AP9440" s="54">
        <v>6</v>
      </c>
      <c r="AQ9440" s="54">
        <v>0</v>
      </c>
      <c r="AR9440" s="55">
        <v>28500</v>
      </c>
      <c r="AS9440" s="78">
        <f t="shared" si="151"/>
        <v>0</v>
      </c>
    </row>
    <row r="9441" spans="39:45">
      <c r="AM9441" s="55">
        <v>2020</v>
      </c>
      <c r="AN9441" s="55" t="s">
        <v>183</v>
      </c>
      <c r="AO9441" s="55">
        <v>29</v>
      </c>
      <c r="AP9441" s="55">
        <v>7</v>
      </c>
      <c r="AQ9441" s="55">
        <v>0</v>
      </c>
      <c r="AR9441" s="55">
        <v>28500</v>
      </c>
      <c r="AS9441" s="78">
        <f t="shared" si="151"/>
        <v>0</v>
      </c>
    </row>
    <row r="9442" spans="39:45">
      <c r="AM9442" s="54">
        <v>2020</v>
      </c>
      <c r="AN9442" s="54" t="s">
        <v>183</v>
      </c>
      <c r="AO9442" s="54">
        <v>29</v>
      </c>
      <c r="AP9442" s="54">
        <v>8</v>
      </c>
      <c r="AQ9442" s="54">
        <v>431</v>
      </c>
      <c r="AR9442" s="55">
        <v>28500</v>
      </c>
      <c r="AS9442" s="78">
        <f t="shared" si="151"/>
        <v>1.5122807017543859E-2</v>
      </c>
    </row>
    <row r="9443" spans="39:45">
      <c r="AM9443" s="55">
        <v>2020</v>
      </c>
      <c r="AN9443" s="55" t="s">
        <v>183</v>
      </c>
      <c r="AO9443" s="55">
        <v>29</v>
      </c>
      <c r="AP9443" s="55">
        <v>9</v>
      </c>
      <c r="AQ9443" s="55">
        <v>6518.5</v>
      </c>
      <c r="AR9443" s="55">
        <v>28500</v>
      </c>
      <c r="AS9443" s="78">
        <f t="shared" si="151"/>
        <v>0.22871929824561404</v>
      </c>
    </row>
    <row r="9444" spans="39:45">
      <c r="AM9444" s="54">
        <v>2020</v>
      </c>
      <c r="AN9444" s="54" t="s">
        <v>183</v>
      </c>
      <c r="AO9444" s="54">
        <v>29</v>
      </c>
      <c r="AP9444" s="54">
        <v>10</v>
      </c>
      <c r="AQ9444" s="54">
        <v>29050.5</v>
      </c>
      <c r="AR9444" s="55">
        <v>28500</v>
      </c>
      <c r="AS9444" s="78">
        <f t="shared" si="151"/>
        <v>1.0193157894736842</v>
      </c>
    </row>
    <row r="9445" spans="39:45">
      <c r="AM9445" s="55">
        <v>2020</v>
      </c>
      <c r="AN9445" s="55" t="s">
        <v>183</v>
      </c>
      <c r="AO9445" s="55">
        <v>29</v>
      </c>
      <c r="AP9445" s="55">
        <v>11</v>
      </c>
      <c r="AQ9445" s="55">
        <v>27875.5</v>
      </c>
      <c r="AR9445" s="55">
        <v>28500</v>
      </c>
      <c r="AS9445" s="78">
        <f t="shared" si="151"/>
        <v>0.97808771929824556</v>
      </c>
    </row>
    <row r="9446" spans="39:45">
      <c r="AM9446" s="54">
        <v>2020</v>
      </c>
      <c r="AN9446" s="54" t="s">
        <v>183</v>
      </c>
      <c r="AO9446" s="54">
        <v>29</v>
      </c>
      <c r="AP9446" s="54">
        <v>12</v>
      </c>
      <c r="AQ9446" s="54">
        <v>36411</v>
      </c>
      <c r="AR9446" s="55">
        <v>28500</v>
      </c>
      <c r="AS9446" s="78">
        <f t="shared" si="151"/>
        <v>1.2775789473684211</v>
      </c>
    </row>
    <row r="9447" spans="39:45">
      <c r="AM9447" s="55">
        <v>2020</v>
      </c>
      <c r="AN9447" s="55" t="s">
        <v>183</v>
      </c>
      <c r="AO9447" s="55">
        <v>29</v>
      </c>
      <c r="AP9447" s="55">
        <v>13</v>
      </c>
      <c r="AQ9447" s="55">
        <v>34174.5</v>
      </c>
      <c r="AR9447" s="55">
        <v>28500</v>
      </c>
      <c r="AS9447" s="78">
        <f t="shared" si="151"/>
        <v>1.1991052631578947</v>
      </c>
    </row>
    <row r="9448" spans="39:45">
      <c r="AM9448" s="54">
        <v>2020</v>
      </c>
      <c r="AN9448" s="54" t="s">
        <v>183</v>
      </c>
      <c r="AO9448" s="54">
        <v>29</v>
      </c>
      <c r="AP9448" s="54">
        <v>14</v>
      </c>
      <c r="AQ9448" s="54">
        <v>14405</v>
      </c>
      <c r="AR9448" s="55">
        <v>28500</v>
      </c>
      <c r="AS9448" s="78">
        <f t="shared" si="151"/>
        <v>0.50543859649122802</v>
      </c>
    </row>
    <row r="9449" spans="39:45">
      <c r="AM9449" s="55">
        <v>2020</v>
      </c>
      <c r="AN9449" s="55" t="s">
        <v>183</v>
      </c>
      <c r="AO9449" s="55">
        <v>29</v>
      </c>
      <c r="AP9449" s="55">
        <v>15</v>
      </c>
      <c r="AQ9449" s="55">
        <v>14034.5</v>
      </c>
      <c r="AR9449" s="55">
        <v>28500</v>
      </c>
      <c r="AS9449" s="78">
        <f t="shared" si="151"/>
        <v>0.49243859649122806</v>
      </c>
    </row>
    <row r="9450" spans="39:45">
      <c r="AM9450" s="54">
        <v>2020</v>
      </c>
      <c r="AN9450" s="54" t="s">
        <v>183</v>
      </c>
      <c r="AO9450" s="54">
        <v>29</v>
      </c>
      <c r="AP9450" s="54">
        <v>16</v>
      </c>
      <c r="AQ9450" s="54">
        <v>1020.5</v>
      </c>
      <c r="AR9450" s="55">
        <v>28500</v>
      </c>
      <c r="AS9450" s="78">
        <f t="shared" si="151"/>
        <v>3.5807017543859648E-2</v>
      </c>
    </row>
    <row r="9451" spans="39:45">
      <c r="AM9451" s="55">
        <v>2020</v>
      </c>
      <c r="AN9451" s="55" t="s">
        <v>183</v>
      </c>
      <c r="AO9451" s="55">
        <v>29</v>
      </c>
      <c r="AP9451" s="55">
        <v>17</v>
      </c>
      <c r="AQ9451" s="55">
        <v>0</v>
      </c>
      <c r="AR9451" s="55">
        <v>28500</v>
      </c>
      <c r="AS9451" s="78">
        <f t="shared" si="151"/>
        <v>0</v>
      </c>
    </row>
    <row r="9452" spans="39:45">
      <c r="AM9452" s="54">
        <v>2020</v>
      </c>
      <c r="AN9452" s="54" t="s">
        <v>183</v>
      </c>
      <c r="AO9452" s="54">
        <v>29</v>
      </c>
      <c r="AP9452" s="54">
        <v>18</v>
      </c>
      <c r="AQ9452" s="54">
        <v>0</v>
      </c>
      <c r="AR9452" s="55">
        <v>28500</v>
      </c>
      <c r="AS9452" s="78">
        <f t="shared" si="151"/>
        <v>0</v>
      </c>
    </row>
    <row r="9453" spans="39:45">
      <c r="AM9453" s="55">
        <v>2020</v>
      </c>
      <c r="AN9453" s="55" t="s">
        <v>183</v>
      </c>
      <c r="AO9453" s="55">
        <v>29</v>
      </c>
      <c r="AP9453" s="55">
        <v>19</v>
      </c>
      <c r="AQ9453" s="55">
        <v>0</v>
      </c>
      <c r="AR9453" s="55">
        <v>28500</v>
      </c>
      <c r="AS9453" s="78">
        <f t="shared" si="151"/>
        <v>0</v>
      </c>
    </row>
    <row r="9454" spans="39:45">
      <c r="AM9454" s="54">
        <v>2020</v>
      </c>
      <c r="AN9454" s="54" t="s">
        <v>183</v>
      </c>
      <c r="AO9454" s="54">
        <v>29</v>
      </c>
      <c r="AP9454" s="54">
        <v>20</v>
      </c>
      <c r="AQ9454" s="54">
        <v>0</v>
      </c>
      <c r="AR9454" s="55">
        <v>28500</v>
      </c>
      <c r="AS9454" s="78">
        <f t="shared" si="151"/>
        <v>0</v>
      </c>
    </row>
    <row r="9455" spans="39:45">
      <c r="AM9455" s="55">
        <v>2020</v>
      </c>
      <c r="AN9455" s="55" t="s">
        <v>183</v>
      </c>
      <c r="AO9455" s="55">
        <v>29</v>
      </c>
      <c r="AP9455" s="55">
        <v>21</v>
      </c>
      <c r="AQ9455" s="55">
        <v>0</v>
      </c>
      <c r="AR9455" s="55">
        <v>28500</v>
      </c>
      <c r="AS9455" s="78">
        <f t="shared" si="151"/>
        <v>0</v>
      </c>
    </row>
    <row r="9456" spans="39:45">
      <c r="AM9456" s="54">
        <v>2020</v>
      </c>
      <c r="AN9456" s="54" t="s">
        <v>183</v>
      </c>
      <c r="AO9456" s="54">
        <v>29</v>
      </c>
      <c r="AP9456" s="54">
        <v>22</v>
      </c>
      <c r="AQ9456" s="54">
        <v>0</v>
      </c>
      <c r="AR9456" s="55">
        <v>28500</v>
      </c>
      <c r="AS9456" s="78">
        <f t="shared" si="151"/>
        <v>0</v>
      </c>
    </row>
    <row r="9457" spans="39:45">
      <c r="AM9457" s="55">
        <v>2020</v>
      </c>
      <c r="AN9457" s="55" t="s">
        <v>183</v>
      </c>
      <c r="AO9457" s="55">
        <v>29</v>
      </c>
      <c r="AP9457" s="55">
        <v>23</v>
      </c>
      <c r="AQ9457" s="55">
        <v>0</v>
      </c>
      <c r="AR9457" s="55">
        <v>28500</v>
      </c>
      <c r="AS9457" s="78">
        <f t="shared" si="151"/>
        <v>0</v>
      </c>
    </row>
    <row r="9458" spans="39:45">
      <c r="AM9458" s="54">
        <v>2020</v>
      </c>
      <c r="AN9458" s="54" t="s">
        <v>183</v>
      </c>
      <c r="AO9458" s="54">
        <v>30</v>
      </c>
      <c r="AP9458" s="54">
        <v>24</v>
      </c>
      <c r="AQ9458" s="54">
        <v>0</v>
      </c>
      <c r="AR9458" s="55">
        <v>28500</v>
      </c>
      <c r="AS9458" s="78">
        <f t="shared" si="151"/>
        <v>0</v>
      </c>
    </row>
    <row r="9459" spans="39:45">
      <c r="AM9459" s="55">
        <v>2020</v>
      </c>
      <c r="AN9459" s="55" t="s">
        <v>183</v>
      </c>
      <c r="AO9459" s="55">
        <v>30</v>
      </c>
      <c r="AP9459" s="55">
        <v>1</v>
      </c>
      <c r="AQ9459" s="55">
        <v>0</v>
      </c>
      <c r="AR9459" s="55">
        <v>28500</v>
      </c>
      <c r="AS9459" s="78">
        <f t="shared" si="151"/>
        <v>0</v>
      </c>
    </row>
    <row r="9460" spans="39:45">
      <c r="AM9460" s="54">
        <v>2020</v>
      </c>
      <c r="AN9460" s="54" t="s">
        <v>183</v>
      </c>
      <c r="AO9460" s="54">
        <v>30</v>
      </c>
      <c r="AP9460" s="54">
        <v>2</v>
      </c>
      <c r="AQ9460" s="54">
        <v>0</v>
      </c>
      <c r="AR9460" s="55">
        <v>28500</v>
      </c>
      <c r="AS9460" s="78">
        <f t="shared" si="151"/>
        <v>0</v>
      </c>
    </row>
    <row r="9461" spans="39:45">
      <c r="AM9461" s="55">
        <v>2020</v>
      </c>
      <c r="AN9461" s="55" t="s">
        <v>183</v>
      </c>
      <c r="AO9461" s="55">
        <v>30</v>
      </c>
      <c r="AP9461" s="55">
        <v>3</v>
      </c>
      <c r="AQ9461" s="55">
        <v>0</v>
      </c>
      <c r="AR9461" s="55">
        <v>28500</v>
      </c>
      <c r="AS9461" s="78">
        <f t="shared" si="151"/>
        <v>0</v>
      </c>
    </row>
    <row r="9462" spans="39:45">
      <c r="AM9462" s="54">
        <v>2020</v>
      </c>
      <c r="AN9462" s="54" t="s">
        <v>183</v>
      </c>
      <c r="AO9462" s="54">
        <v>30</v>
      </c>
      <c r="AP9462" s="54">
        <v>4</v>
      </c>
      <c r="AQ9462" s="54">
        <v>0</v>
      </c>
      <c r="AR9462" s="55">
        <v>28500</v>
      </c>
      <c r="AS9462" s="78">
        <f t="shared" si="151"/>
        <v>0</v>
      </c>
    </row>
    <row r="9463" spans="39:45">
      <c r="AM9463" s="55">
        <v>2020</v>
      </c>
      <c r="AN9463" s="55" t="s">
        <v>183</v>
      </c>
      <c r="AO9463" s="55">
        <v>30</v>
      </c>
      <c r="AP9463" s="55">
        <v>5</v>
      </c>
      <c r="AQ9463" s="55">
        <v>0</v>
      </c>
      <c r="AR9463" s="55">
        <v>28500</v>
      </c>
      <c r="AS9463" s="78">
        <f t="shared" si="151"/>
        <v>0</v>
      </c>
    </row>
    <row r="9464" spans="39:45">
      <c r="AM9464" s="54">
        <v>2020</v>
      </c>
      <c r="AN9464" s="54" t="s">
        <v>183</v>
      </c>
      <c r="AO9464" s="54">
        <v>30</v>
      </c>
      <c r="AP9464" s="54">
        <v>6</v>
      </c>
      <c r="AQ9464" s="54">
        <v>0</v>
      </c>
      <c r="AR9464" s="55">
        <v>28500</v>
      </c>
      <c r="AS9464" s="78">
        <f t="shared" si="151"/>
        <v>0</v>
      </c>
    </row>
    <row r="9465" spans="39:45">
      <c r="AM9465" s="55">
        <v>2020</v>
      </c>
      <c r="AN9465" s="55" t="s">
        <v>183</v>
      </c>
      <c r="AO9465" s="55">
        <v>30</v>
      </c>
      <c r="AP9465" s="55">
        <v>7</v>
      </c>
      <c r="AQ9465" s="55">
        <v>0</v>
      </c>
      <c r="AR9465" s="55">
        <v>28500</v>
      </c>
      <c r="AS9465" s="78">
        <f t="shared" si="151"/>
        <v>0</v>
      </c>
    </row>
    <row r="9466" spans="39:45">
      <c r="AM9466" s="54">
        <v>2020</v>
      </c>
      <c r="AN9466" s="54" t="s">
        <v>183</v>
      </c>
      <c r="AO9466" s="54">
        <v>30</v>
      </c>
      <c r="AP9466" s="54">
        <v>8</v>
      </c>
      <c r="AQ9466" s="54">
        <v>32.5</v>
      </c>
      <c r="AR9466" s="55">
        <v>28500</v>
      </c>
      <c r="AS9466" s="78">
        <f t="shared" si="151"/>
        <v>1.1403508771929824E-3</v>
      </c>
    </row>
    <row r="9467" spans="39:45">
      <c r="AM9467" s="55">
        <v>2020</v>
      </c>
      <c r="AN9467" s="55" t="s">
        <v>183</v>
      </c>
      <c r="AO9467" s="55">
        <v>30</v>
      </c>
      <c r="AP9467" s="55">
        <v>9</v>
      </c>
      <c r="AQ9467" s="55">
        <v>2230</v>
      </c>
      <c r="AR9467" s="55">
        <v>28500</v>
      </c>
      <c r="AS9467" s="78">
        <f t="shared" si="151"/>
        <v>7.8245614035087716E-2</v>
      </c>
    </row>
    <row r="9468" spans="39:45">
      <c r="AM9468" s="54">
        <v>2020</v>
      </c>
      <c r="AN9468" s="54" t="s">
        <v>183</v>
      </c>
      <c r="AO9468" s="54">
        <v>30</v>
      </c>
      <c r="AP9468" s="54">
        <v>10</v>
      </c>
      <c r="AQ9468" s="54">
        <v>1291</v>
      </c>
      <c r="AR9468" s="55">
        <v>28500</v>
      </c>
      <c r="AS9468" s="78">
        <f t="shared" si="151"/>
        <v>4.5298245614035088E-2</v>
      </c>
    </row>
    <row r="9469" spans="39:45">
      <c r="AM9469" s="55">
        <v>2020</v>
      </c>
      <c r="AN9469" s="55" t="s">
        <v>183</v>
      </c>
      <c r="AO9469" s="55">
        <v>30</v>
      </c>
      <c r="AP9469" s="55">
        <v>11</v>
      </c>
      <c r="AQ9469" s="55">
        <v>706</v>
      </c>
      <c r="AR9469" s="55">
        <v>28500</v>
      </c>
      <c r="AS9469" s="78">
        <f t="shared" si="151"/>
        <v>2.4771929824561403E-2</v>
      </c>
    </row>
    <row r="9470" spans="39:45">
      <c r="AM9470" s="54">
        <v>2020</v>
      </c>
      <c r="AN9470" s="54" t="s">
        <v>183</v>
      </c>
      <c r="AO9470" s="54">
        <v>30</v>
      </c>
      <c r="AP9470" s="54">
        <v>12</v>
      </c>
      <c r="AQ9470" s="54">
        <v>7158.5</v>
      </c>
      <c r="AR9470" s="55">
        <v>28500</v>
      </c>
      <c r="AS9470" s="78">
        <f t="shared" si="151"/>
        <v>0.25117543859649122</v>
      </c>
    </row>
    <row r="9471" spans="39:45">
      <c r="AM9471" s="55">
        <v>2020</v>
      </c>
      <c r="AN9471" s="55" t="s">
        <v>183</v>
      </c>
      <c r="AO9471" s="55">
        <v>30</v>
      </c>
      <c r="AP9471" s="55">
        <v>13</v>
      </c>
      <c r="AQ9471" s="55">
        <v>6645.5</v>
      </c>
      <c r="AR9471" s="55">
        <v>28500</v>
      </c>
      <c r="AS9471" s="78">
        <f t="shared" si="151"/>
        <v>0.23317543859649123</v>
      </c>
    </row>
    <row r="9472" spans="39:45">
      <c r="AM9472" s="54">
        <v>2020</v>
      </c>
      <c r="AN9472" s="54" t="s">
        <v>183</v>
      </c>
      <c r="AO9472" s="54">
        <v>30</v>
      </c>
      <c r="AP9472" s="54">
        <v>14</v>
      </c>
      <c r="AQ9472" s="54">
        <v>1494.5</v>
      </c>
      <c r="AR9472" s="55">
        <v>28500</v>
      </c>
      <c r="AS9472" s="78">
        <f t="shared" si="151"/>
        <v>5.2438596491228069E-2</v>
      </c>
    </row>
    <row r="9473" spans="39:45">
      <c r="AM9473" s="55">
        <v>2020</v>
      </c>
      <c r="AN9473" s="55" t="s">
        <v>183</v>
      </c>
      <c r="AO9473" s="55">
        <v>30</v>
      </c>
      <c r="AP9473" s="55">
        <v>15</v>
      </c>
      <c r="AQ9473" s="55">
        <v>667</v>
      </c>
      <c r="AR9473" s="55">
        <v>28500</v>
      </c>
      <c r="AS9473" s="78">
        <f t="shared" si="151"/>
        <v>2.3403508771929826E-2</v>
      </c>
    </row>
    <row r="9474" spans="39:45">
      <c r="AM9474" s="54">
        <v>2020</v>
      </c>
      <c r="AN9474" s="54" t="s">
        <v>183</v>
      </c>
      <c r="AO9474" s="54">
        <v>30</v>
      </c>
      <c r="AP9474" s="54">
        <v>16</v>
      </c>
      <c r="AQ9474" s="54">
        <v>0</v>
      </c>
      <c r="AR9474" s="55">
        <v>28500</v>
      </c>
      <c r="AS9474" s="78">
        <f t="shared" ref="AS9474:AS9537" si="152">AQ9474/AR9474</f>
        <v>0</v>
      </c>
    </row>
    <row r="9475" spans="39:45">
      <c r="AM9475" s="55">
        <v>2020</v>
      </c>
      <c r="AN9475" s="55" t="s">
        <v>183</v>
      </c>
      <c r="AO9475" s="55">
        <v>30</v>
      </c>
      <c r="AP9475" s="55">
        <v>17</v>
      </c>
      <c r="AQ9475" s="55">
        <v>0</v>
      </c>
      <c r="AR9475" s="55">
        <v>28500</v>
      </c>
      <c r="AS9475" s="78">
        <f t="shared" si="152"/>
        <v>0</v>
      </c>
    </row>
    <row r="9476" spans="39:45">
      <c r="AM9476" s="54">
        <v>2020</v>
      </c>
      <c r="AN9476" s="54" t="s">
        <v>183</v>
      </c>
      <c r="AO9476" s="54">
        <v>30</v>
      </c>
      <c r="AP9476" s="54">
        <v>18</v>
      </c>
      <c r="AQ9476" s="54">
        <v>0</v>
      </c>
      <c r="AR9476" s="55">
        <v>28500</v>
      </c>
      <c r="AS9476" s="78">
        <f t="shared" si="152"/>
        <v>0</v>
      </c>
    </row>
    <row r="9477" spans="39:45">
      <c r="AM9477" s="55">
        <v>2020</v>
      </c>
      <c r="AN9477" s="55" t="s">
        <v>183</v>
      </c>
      <c r="AO9477" s="55">
        <v>30</v>
      </c>
      <c r="AP9477" s="55">
        <v>19</v>
      </c>
      <c r="AQ9477" s="55">
        <v>0</v>
      </c>
      <c r="AR9477" s="55">
        <v>28500</v>
      </c>
      <c r="AS9477" s="78">
        <f t="shared" si="152"/>
        <v>0</v>
      </c>
    </row>
    <row r="9478" spans="39:45">
      <c r="AM9478" s="54">
        <v>2020</v>
      </c>
      <c r="AN9478" s="54" t="s">
        <v>183</v>
      </c>
      <c r="AO9478" s="54">
        <v>30</v>
      </c>
      <c r="AP9478" s="54">
        <v>20</v>
      </c>
      <c r="AQ9478" s="54">
        <v>0</v>
      </c>
      <c r="AR9478" s="55">
        <v>28500</v>
      </c>
      <c r="AS9478" s="78">
        <f t="shared" si="152"/>
        <v>0</v>
      </c>
    </row>
    <row r="9479" spans="39:45">
      <c r="AM9479" s="55">
        <v>2020</v>
      </c>
      <c r="AN9479" s="55" t="s">
        <v>183</v>
      </c>
      <c r="AO9479" s="55">
        <v>30</v>
      </c>
      <c r="AP9479" s="55">
        <v>21</v>
      </c>
      <c r="AQ9479" s="55">
        <v>0</v>
      </c>
      <c r="AR9479" s="55">
        <v>28500</v>
      </c>
      <c r="AS9479" s="78">
        <f t="shared" si="152"/>
        <v>0</v>
      </c>
    </row>
    <row r="9480" spans="39:45">
      <c r="AM9480" s="54">
        <v>2020</v>
      </c>
      <c r="AN9480" s="54" t="s">
        <v>183</v>
      </c>
      <c r="AO9480" s="54">
        <v>30</v>
      </c>
      <c r="AP9480" s="54">
        <v>22</v>
      </c>
      <c r="AQ9480" s="54">
        <v>0</v>
      </c>
      <c r="AR9480" s="55">
        <v>28500</v>
      </c>
      <c r="AS9480" s="78">
        <f t="shared" si="152"/>
        <v>0</v>
      </c>
    </row>
    <row r="9481" spans="39:45">
      <c r="AM9481" s="55">
        <v>2020</v>
      </c>
      <c r="AN9481" s="55" t="s">
        <v>183</v>
      </c>
      <c r="AO9481" s="55">
        <v>30</v>
      </c>
      <c r="AP9481" s="55">
        <v>23</v>
      </c>
      <c r="AQ9481" s="55">
        <v>0</v>
      </c>
      <c r="AR9481" s="55">
        <v>28500</v>
      </c>
      <c r="AS9481" s="78">
        <f t="shared" si="152"/>
        <v>0</v>
      </c>
    </row>
    <row r="9482" spans="39:45">
      <c r="AM9482" s="54">
        <v>2020</v>
      </c>
      <c r="AN9482" s="54" t="s">
        <v>183</v>
      </c>
      <c r="AO9482" s="54">
        <v>31</v>
      </c>
      <c r="AP9482" s="54">
        <v>24</v>
      </c>
      <c r="AQ9482" s="54">
        <v>0</v>
      </c>
      <c r="AR9482" s="55">
        <v>28500</v>
      </c>
      <c r="AS9482" s="78">
        <f t="shared" si="152"/>
        <v>0</v>
      </c>
    </row>
    <row r="9483" spans="39:45">
      <c r="AM9483" s="55">
        <v>2020</v>
      </c>
      <c r="AN9483" s="55" t="s">
        <v>183</v>
      </c>
      <c r="AO9483" s="55">
        <v>31</v>
      </c>
      <c r="AP9483" s="55">
        <v>1</v>
      </c>
      <c r="AQ9483" s="55">
        <v>0</v>
      </c>
      <c r="AR9483" s="55">
        <v>28500</v>
      </c>
      <c r="AS9483" s="78">
        <f t="shared" si="152"/>
        <v>0</v>
      </c>
    </row>
    <row r="9484" spans="39:45">
      <c r="AM9484" s="54">
        <v>2020</v>
      </c>
      <c r="AN9484" s="54" t="s">
        <v>183</v>
      </c>
      <c r="AO9484" s="54">
        <v>31</v>
      </c>
      <c r="AP9484" s="54">
        <v>2</v>
      </c>
      <c r="AQ9484" s="54">
        <v>0</v>
      </c>
      <c r="AR9484" s="55">
        <v>28500</v>
      </c>
      <c r="AS9484" s="78">
        <f t="shared" si="152"/>
        <v>0</v>
      </c>
    </row>
    <row r="9485" spans="39:45">
      <c r="AM9485" s="55">
        <v>2020</v>
      </c>
      <c r="AN9485" s="55" t="s">
        <v>183</v>
      </c>
      <c r="AO9485" s="55">
        <v>31</v>
      </c>
      <c r="AP9485" s="55">
        <v>3</v>
      </c>
      <c r="AQ9485" s="55">
        <v>0</v>
      </c>
      <c r="AR9485" s="55">
        <v>28500</v>
      </c>
      <c r="AS9485" s="78">
        <f t="shared" si="152"/>
        <v>0</v>
      </c>
    </row>
    <row r="9486" spans="39:45">
      <c r="AM9486" s="54">
        <v>2020</v>
      </c>
      <c r="AN9486" s="54" t="s">
        <v>183</v>
      </c>
      <c r="AO9486" s="54">
        <v>31</v>
      </c>
      <c r="AP9486" s="54">
        <v>4</v>
      </c>
      <c r="AQ9486" s="54">
        <v>0</v>
      </c>
      <c r="AR9486" s="55">
        <v>28500</v>
      </c>
      <c r="AS9486" s="78">
        <f t="shared" si="152"/>
        <v>0</v>
      </c>
    </row>
    <row r="9487" spans="39:45">
      <c r="AM9487" s="55">
        <v>2020</v>
      </c>
      <c r="AN9487" s="55" t="s">
        <v>183</v>
      </c>
      <c r="AO9487" s="55">
        <v>31</v>
      </c>
      <c r="AP9487" s="55">
        <v>5</v>
      </c>
      <c r="AQ9487" s="55">
        <v>0</v>
      </c>
      <c r="AR9487" s="55">
        <v>28500</v>
      </c>
      <c r="AS9487" s="78">
        <f t="shared" si="152"/>
        <v>0</v>
      </c>
    </row>
    <row r="9488" spans="39:45">
      <c r="AM9488" s="54">
        <v>2020</v>
      </c>
      <c r="AN9488" s="54" t="s">
        <v>183</v>
      </c>
      <c r="AO9488" s="54">
        <v>31</v>
      </c>
      <c r="AP9488" s="54">
        <v>6</v>
      </c>
      <c r="AQ9488" s="54">
        <v>0</v>
      </c>
      <c r="AR9488" s="55">
        <v>28500</v>
      </c>
      <c r="AS9488" s="78">
        <f t="shared" si="152"/>
        <v>0</v>
      </c>
    </row>
    <row r="9489" spans="39:45">
      <c r="AM9489" s="55">
        <v>2020</v>
      </c>
      <c r="AN9489" s="55" t="s">
        <v>183</v>
      </c>
      <c r="AO9489" s="55">
        <v>31</v>
      </c>
      <c r="AP9489" s="55">
        <v>7</v>
      </c>
      <c r="AQ9489" s="55">
        <v>0</v>
      </c>
      <c r="AR9489" s="55">
        <v>28500</v>
      </c>
      <c r="AS9489" s="78">
        <f t="shared" si="152"/>
        <v>0</v>
      </c>
    </row>
    <row r="9490" spans="39:45">
      <c r="AM9490" s="54">
        <v>2020</v>
      </c>
      <c r="AN9490" s="54" t="s">
        <v>183</v>
      </c>
      <c r="AO9490" s="54">
        <v>31</v>
      </c>
      <c r="AP9490" s="54">
        <v>8</v>
      </c>
      <c r="AQ9490" s="54">
        <v>0</v>
      </c>
      <c r="AR9490" s="55">
        <v>28500</v>
      </c>
      <c r="AS9490" s="78">
        <f t="shared" si="152"/>
        <v>0</v>
      </c>
    </row>
    <row r="9491" spans="39:45">
      <c r="AM9491" s="55">
        <v>2020</v>
      </c>
      <c r="AN9491" s="55" t="s">
        <v>183</v>
      </c>
      <c r="AO9491" s="55">
        <v>31</v>
      </c>
      <c r="AP9491" s="55">
        <v>9</v>
      </c>
      <c r="AQ9491" s="55">
        <v>869</v>
      </c>
      <c r="AR9491" s="55">
        <v>28500</v>
      </c>
      <c r="AS9491" s="78">
        <f t="shared" si="152"/>
        <v>3.0491228070175437E-2</v>
      </c>
    </row>
    <row r="9492" spans="39:45">
      <c r="AM9492" s="54">
        <v>2020</v>
      </c>
      <c r="AN9492" s="54" t="s">
        <v>183</v>
      </c>
      <c r="AO9492" s="54">
        <v>31</v>
      </c>
      <c r="AP9492" s="54">
        <v>10</v>
      </c>
      <c r="AQ9492" s="54">
        <v>604.5</v>
      </c>
      <c r="AR9492" s="55">
        <v>28500</v>
      </c>
      <c r="AS9492" s="78">
        <f t="shared" si="152"/>
        <v>2.1210526315789475E-2</v>
      </c>
    </row>
    <row r="9493" spans="39:45">
      <c r="AM9493" s="55">
        <v>2020</v>
      </c>
      <c r="AN9493" s="55" t="s">
        <v>183</v>
      </c>
      <c r="AO9493" s="55">
        <v>31</v>
      </c>
      <c r="AP9493" s="55">
        <v>11</v>
      </c>
      <c r="AQ9493" s="55">
        <v>4703</v>
      </c>
      <c r="AR9493" s="55">
        <v>28500</v>
      </c>
      <c r="AS9493" s="78">
        <f t="shared" si="152"/>
        <v>0.16501754385964912</v>
      </c>
    </row>
    <row r="9494" spans="39:45">
      <c r="AM9494" s="54">
        <v>2020</v>
      </c>
      <c r="AN9494" s="54" t="s">
        <v>183</v>
      </c>
      <c r="AO9494" s="54">
        <v>31</v>
      </c>
      <c r="AP9494" s="54">
        <v>12</v>
      </c>
      <c r="AQ9494" s="54">
        <v>15573</v>
      </c>
      <c r="AR9494" s="55">
        <v>28500</v>
      </c>
      <c r="AS9494" s="78">
        <f t="shared" si="152"/>
        <v>0.54642105263157892</v>
      </c>
    </row>
    <row r="9495" spans="39:45">
      <c r="AM9495" s="55">
        <v>2020</v>
      </c>
      <c r="AN9495" s="55" t="s">
        <v>183</v>
      </c>
      <c r="AO9495" s="55">
        <v>31</v>
      </c>
      <c r="AP9495" s="55">
        <v>13</v>
      </c>
      <c r="AQ9495" s="55">
        <v>4116.5</v>
      </c>
      <c r="AR9495" s="55">
        <v>28500</v>
      </c>
      <c r="AS9495" s="78">
        <f t="shared" si="152"/>
        <v>0.14443859649122806</v>
      </c>
    </row>
    <row r="9496" spans="39:45">
      <c r="AM9496" s="54">
        <v>2020</v>
      </c>
      <c r="AN9496" s="54" t="s">
        <v>183</v>
      </c>
      <c r="AO9496" s="54">
        <v>31</v>
      </c>
      <c r="AP9496" s="54">
        <v>14</v>
      </c>
      <c r="AQ9496" s="54">
        <v>2863.5</v>
      </c>
      <c r="AR9496" s="55">
        <v>28500</v>
      </c>
      <c r="AS9496" s="78">
        <f t="shared" si="152"/>
        <v>0.10047368421052631</v>
      </c>
    </row>
    <row r="9497" spans="39:45">
      <c r="AM9497" s="55">
        <v>2020</v>
      </c>
      <c r="AN9497" s="55" t="s">
        <v>183</v>
      </c>
      <c r="AO9497" s="55">
        <v>31</v>
      </c>
      <c r="AP9497" s="55">
        <v>15</v>
      </c>
      <c r="AQ9497" s="55">
        <v>636</v>
      </c>
      <c r="AR9497" s="55">
        <v>28500</v>
      </c>
      <c r="AS9497" s="78">
        <f t="shared" si="152"/>
        <v>2.2315789473684209E-2</v>
      </c>
    </row>
    <row r="9498" spans="39:45">
      <c r="AM9498" s="54">
        <v>2020</v>
      </c>
      <c r="AN9498" s="54" t="s">
        <v>183</v>
      </c>
      <c r="AO9498" s="54">
        <v>31</v>
      </c>
      <c r="AP9498" s="54">
        <v>16</v>
      </c>
      <c r="AQ9498" s="54">
        <v>0</v>
      </c>
      <c r="AR9498" s="55">
        <v>28500</v>
      </c>
      <c r="AS9498" s="78">
        <f t="shared" si="152"/>
        <v>0</v>
      </c>
    </row>
    <row r="9499" spans="39:45">
      <c r="AM9499" s="55">
        <v>2020</v>
      </c>
      <c r="AN9499" s="55" t="s">
        <v>183</v>
      </c>
      <c r="AO9499" s="55">
        <v>31</v>
      </c>
      <c r="AP9499" s="55">
        <v>17</v>
      </c>
      <c r="AQ9499" s="55">
        <v>0</v>
      </c>
      <c r="AR9499" s="55">
        <v>28500</v>
      </c>
      <c r="AS9499" s="78">
        <f t="shared" si="152"/>
        <v>0</v>
      </c>
    </row>
    <row r="9500" spans="39:45">
      <c r="AM9500" s="54">
        <v>2020</v>
      </c>
      <c r="AN9500" s="54" t="s">
        <v>183</v>
      </c>
      <c r="AO9500" s="54">
        <v>31</v>
      </c>
      <c r="AP9500" s="54">
        <v>18</v>
      </c>
      <c r="AQ9500" s="54">
        <v>0</v>
      </c>
      <c r="AR9500" s="55">
        <v>28500</v>
      </c>
      <c r="AS9500" s="78">
        <f t="shared" si="152"/>
        <v>0</v>
      </c>
    </row>
    <row r="9501" spans="39:45">
      <c r="AM9501" s="55">
        <v>2020</v>
      </c>
      <c r="AN9501" s="55" t="s">
        <v>183</v>
      </c>
      <c r="AO9501" s="55">
        <v>31</v>
      </c>
      <c r="AP9501" s="55">
        <v>19</v>
      </c>
      <c r="AQ9501" s="55">
        <v>0</v>
      </c>
      <c r="AR9501" s="55">
        <v>28500</v>
      </c>
      <c r="AS9501" s="78">
        <f t="shared" si="152"/>
        <v>0</v>
      </c>
    </row>
    <row r="9502" spans="39:45">
      <c r="AM9502" s="54">
        <v>2020</v>
      </c>
      <c r="AN9502" s="54" t="s">
        <v>183</v>
      </c>
      <c r="AO9502" s="54">
        <v>31</v>
      </c>
      <c r="AP9502" s="54">
        <v>20</v>
      </c>
      <c r="AQ9502" s="54">
        <v>0</v>
      </c>
      <c r="AR9502" s="55">
        <v>28500</v>
      </c>
      <c r="AS9502" s="78">
        <f t="shared" si="152"/>
        <v>0</v>
      </c>
    </row>
    <row r="9503" spans="39:45">
      <c r="AM9503" s="55">
        <v>2020</v>
      </c>
      <c r="AN9503" s="55" t="s">
        <v>183</v>
      </c>
      <c r="AO9503" s="55">
        <v>31</v>
      </c>
      <c r="AP9503" s="55">
        <v>21</v>
      </c>
      <c r="AQ9503" s="55">
        <v>0</v>
      </c>
      <c r="AR9503" s="55">
        <v>28500</v>
      </c>
      <c r="AS9503" s="78">
        <f t="shared" si="152"/>
        <v>0</v>
      </c>
    </row>
    <row r="9504" spans="39:45">
      <c r="AM9504" s="54">
        <v>2020</v>
      </c>
      <c r="AN9504" s="54" t="s">
        <v>183</v>
      </c>
      <c r="AO9504" s="54">
        <v>31</v>
      </c>
      <c r="AP9504" s="54">
        <v>22</v>
      </c>
      <c r="AQ9504" s="54">
        <v>0</v>
      </c>
      <c r="AR9504" s="55">
        <v>28500</v>
      </c>
      <c r="AS9504" s="78">
        <f t="shared" si="152"/>
        <v>0</v>
      </c>
    </row>
    <row r="9505" spans="39:45">
      <c r="AM9505" s="55">
        <v>2020</v>
      </c>
      <c r="AN9505" s="55" t="s">
        <v>183</v>
      </c>
      <c r="AO9505" s="55">
        <v>31</v>
      </c>
      <c r="AP9505" s="55">
        <v>23</v>
      </c>
      <c r="AQ9505" s="55">
        <v>0</v>
      </c>
      <c r="AR9505" s="55">
        <v>28500</v>
      </c>
      <c r="AS9505" s="78">
        <f t="shared" si="152"/>
        <v>0</v>
      </c>
    </row>
    <row r="9506" spans="39:45">
      <c r="AM9506" s="54">
        <v>2020</v>
      </c>
      <c r="AN9506" s="54" t="s">
        <v>184</v>
      </c>
      <c r="AO9506" s="54">
        <v>1</v>
      </c>
      <c r="AP9506" s="54">
        <v>24</v>
      </c>
      <c r="AQ9506" s="54">
        <v>0</v>
      </c>
      <c r="AR9506" s="55">
        <v>28500</v>
      </c>
      <c r="AS9506" s="78">
        <f t="shared" si="152"/>
        <v>0</v>
      </c>
    </row>
    <row r="9507" spans="39:45">
      <c r="AM9507" s="55">
        <v>2020</v>
      </c>
      <c r="AN9507" s="55" t="s">
        <v>184</v>
      </c>
      <c r="AO9507" s="55">
        <v>1</v>
      </c>
      <c r="AP9507" s="55">
        <v>1</v>
      </c>
      <c r="AQ9507" s="55">
        <v>0</v>
      </c>
      <c r="AR9507" s="55">
        <v>28500</v>
      </c>
      <c r="AS9507" s="78">
        <f t="shared" si="152"/>
        <v>0</v>
      </c>
    </row>
    <row r="9508" spans="39:45">
      <c r="AM9508" s="54">
        <v>2020</v>
      </c>
      <c r="AN9508" s="54" t="s">
        <v>184</v>
      </c>
      <c r="AO9508" s="54">
        <v>1</v>
      </c>
      <c r="AP9508" s="54">
        <v>2</v>
      </c>
      <c r="AQ9508" s="54">
        <v>0</v>
      </c>
      <c r="AR9508" s="55">
        <v>28500</v>
      </c>
      <c r="AS9508" s="78">
        <f t="shared" si="152"/>
        <v>0</v>
      </c>
    </row>
    <row r="9509" spans="39:45">
      <c r="AM9509" s="55">
        <v>2020</v>
      </c>
      <c r="AN9509" s="55" t="s">
        <v>184</v>
      </c>
      <c r="AO9509" s="55">
        <v>1</v>
      </c>
      <c r="AP9509" s="55">
        <v>3</v>
      </c>
      <c r="AQ9509" s="55">
        <v>0</v>
      </c>
      <c r="AR9509" s="55">
        <v>28500</v>
      </c>
      <c r="AS9509" s="78">
        <f t="shared" si="152"/>
        <v>0</v>
      </c>
    </row>
    <row r="9510" spans="39:45">
      <c r="AM9510" s="54">
        <v>2020</v>
      </c>
      <c r="AN9510" s="54" t="s">
        <v>184</v>
      </c>
      <c r="AO9510" s="54">
        <v>1</v>
      </c>
      <c r="AP9510" s="54">
        <v>4</v>
      </c>
      <c r="AQ9510" s="54">
        <v>0</v>
      </c>
      <c r="AR9510" s="55">
        <v>28500</v>
      </c>
      <c r="AS9510" s="78">
        <f t="shared" si="152"/>
        <v>0</v>
      </c>
    </row>
    <row r="9511" spans="39:45">
      <c r="AM9511" s="55">
        <v>2020</v>
      </c>
      <c r="AN9511" s="55" t="s">
        <v>184</v>
      </c>
      <c r="AO9511" s="55">
        <v>1</v>
      </c>
      <c r="AP9511" s="55">
        <v>5</v>
      </c>
      <c r="AQ9511" s="55">
        <v>0</v>
      </c>
      <c r="AR9511" s="55">
        <v>28500</v>
      </c>
      <c r="AS9511" s="78">
        <f t="shared" si="152"/>
        <v>0</v>
      </c>
    </row>
    <row r="9512" spans="39:45">
      <c r="AM9512" s="54">
        <v>2020</v>
      </c>
      <c r="AN9512" s="54" t="s">
        <v>184</v>
      </c>
      <c r="AO9512" s="54">
        <v>1</v>
      </c>
      <c r="AP9512" s="54">
        <v>6</v>
      </c>
      <c r="AQ9512" s="54">
        <v>0</v>
      </c>
      <c r="AR9512" s="55">
        <v>28500</v>
      </c>
      <c r="AS9512" s="78">
        <f t="shared" si="152"/>
        <v>0</v>
      </c>
    </row>
    <row r="9513" spans="39:45">
      <c r="AM9513" s="55">
        <v>2020</v>
      </c>
      <c r="AN9513" s="55" t="s">
        <v>184</v>
      </c>
      <c r="AO9513" s="55">
        <v>1</v>
      </c>
      <c r="AP9513" s="55">
        <v>7</v>
      </c>
      <c r="AQ9513" s="55">
        <v>0</v>
      </c>
      <c r="AR9513" s="55">
        <v>28500</v>
      </c>
      <c r="AS9513" s="78">
        <f t="shared" si="152"/>
        <v>0</v>
      </c>
    </row>
    <row r="9514" spans="39:45">
      <c r="AM9514" s="54">
        <v>2020</v>
      </c>
      <c r="AN9514" s="54" t="s">
        <v>184</v>
      </c>
      <c r="AO9514" s="54">
        <v>1</v>
      </c>
      <c r="AP9514" s="54">
        <v>8</v>
      </c>
      <c r="AQ9514" s="54">
        <v>733</v>
      </c>
      <c r="AR9514" s="55">
        <v>28500</v>
      </c>
      <c r="AS9514" s="78">
        <f t="shared" si="152"/>
        <v>2.5719298245614034E-2</v>
      </c>
    </row>
    <row r="9515" spans="39:45">
      <c r="AM9515" s="55">
        <v>2020</v>
      </c>
      <c r="AN9515" s="55" t="s">
        <v>184</v>
      </c>
      <c r="AO9515" s="55">
        <v>1</v>
      </c>
      <c r="AP9515" s="55">
        <v>9</v>
      </c>
      <c r="AQ9515" s="55">
        <v>17458.5</v>
      </c>
      <c r="AR9515" s="55">
        <v>28500</v>
      </c>
      <c r="AS9515" s="78">
        <f t="shared" si="152"/>
        <v>0.612578947368421</v>
      </c>
    </row>
    <row r="9516" spans="39:45">
      <c r="AM9516" s="54">
        <v>2020</v>
      </c>
      <c r="AN9516" s="54" t="s">
        <v>184</v>
      </c>
      <c r="AO9516" s="54">
        <v>1</v>
      </c>
      <c r="AP9516" s="54">
        <v>10</v>
      </c>
      <c r="AQ9516" s="54">
        <v>25343</v>
      </c>
      <c r="AR9516" s="55">
        <v>28500</v>
      </c>
      <c r="AS9516" s="78">
        <f t="shared" si="152"/>
        <v>0.88922807017543859</v>
      </c>
    </row>
    <row r="9517" spans="39:45">
      <c r="AM9517" s="55">
        <v>2020</v>
      </c>
      <c r="AN9517" s="55" t="s">
        <v>184</v>
      </c>
      <c r="AO9517" s="55">
        <v>1</v>
      </c>
      <c r="AP9517" s="55">
        <v>11</v>
      </c>
      <c r="AQ9517" s="55">
        <v>14370</v>
      </c>
      <c r="AR9517" s="55">
        <v>28500</v>
      </c>
      <c r="AS9517" s="78">
        <f t="shared" si="152"/>
        <v>0.50421052631578944</v>
      </c>
    </row>
    <row r="9518" spans="39:45">
      <c r="AM9518" s="54">
        <v>2020</v>
      </c>
      <c r="AN9518" s="54" t="s">
        <v>184</v>
      </c>
      <c r="AO9518" s="54">
        <v>1</v>
      </c>
      <c r="AP9518" s="54">
        <v>12</v>
      </c>
      <c r="AQ9518" s="54">
        <v>10001</v>
      </c>
      <c r="AR9518" s="55">
        <v>28500</v>
      </c>
      <c r="AS9518" s="78">
        <f t="shared" si="152"/>
        <v>0.3509122807017544</v>
      </c>
    </row>
    <row r="9519" spans="39:45">
      <c r="AM9519" s="55">
        <v>2020</v>
      </c>
      <c r="AN9519" s="55" t="s">
        <v>184</v>
      </c>
      <c r="AO9519" s="55">
        <v>1</v>
      </c>
      <c r="AP9519" s="55">
        <v>13</v>
      </c>
      <c r="AQ9519" s="55">
        <v>24146</v>
      </c>
      <c r="AR9519" s="55">
        <v>28500</v>
      </c>
      <c r="AS9519" s="78">
        <f t="shared" si="152"/>
        <v>0.84722807017543855</v>
      </c>
    </row>
    <row r="9520" spans="39:45">
      <c r="AM9520" s="54">
        <v>2020</v>
      </c>
      <c r="AN9520" s="54" t="s">
        <v>184</v>
      </c>
      <c r="AO9520" s="54">
        <v>1</v>
      </c>
      <c r="AP9520" s="54">
        <v>14</v>
      </c>
      <c r="AQ9520" s="54">
        <v>24940</v>
      </c>
      <c r="AR9520" s="55">
        <v>28500</v>
      </c>
      <c r="AS9520" s="78">
        <f t="shared" si="152"/>
        <v>0.87508771929824558</v>
      </c>
    </row>
    <row r="9521" spans="39:45">
      <c r="AM9521" s="55">
        <v>2020</v>
      </c>
      <c r="AN9521" s="55" t="s">
        <v>184</v>
      </c>
      <c r="AO9521" s="55">
        <v>1</v>
      </c>
      <c r="AP9521" s="55">
        <v>15</v>
      </c>
      <c r="AQ9521" s="55">
        <v>14726</v>
      </c>
      <c r="AR9521" s="55">
        <v>28500</v>
      </c>
      <c r="AS9521" s="78">
        <f t="shared" si="152"/>
        <v>0.51670175438596488</v>
      </c>
    </row>
    <row r="9522" spans="39:45">
      <c r="AM9522" s="54">
        <v>2020</v>
      </c>
      <c r="AN9522" s="54" t="s">
        <v>184</v>
      </c>
      <c r="AO9522" s="54">
        <v>1</v>
      </c>
      <c r="AP9522" s="54">
        <v>16</v>
      </c>
      <c r="AQ9522" s="54">
        <v>5277</v>
      </c>
      <c r="AR9522" s="55">
        <v>28500</v>
      </c>
      <c r="AS9522" s="78">
        <f t="shared" si="152"/>
        <v>0.1851578947368421</v>
      </c>
    </row>
    <row r="9523" spans="39:45">
      <c r="AM9523" s="55">
        <v>2020</v>
      </c>
      <c r="AN9523" s="55" t="s">
        <v>184</v>
      </c>
      <c r="AO9523" s="55">
        <v>1</v>
      </c>
      <c r="AP9523" s="55">
        <v>17</v>
      </c>
      <c r="AQ9523" s="55">
        <v>0</v>
      </c>
      <c r="AR9523" s="55">
        <v>28500</v>
      </c>
      <c r="AS9523" s="78">
        <f t="shared" si="152"/>
        <v>0</v>
      </c>
    </row>
    <row r="9524" spans="39:45">
      <c r="AM9524" s="54">
        <v>2020</v>
      </c>
      <c r="AN9524" s="54" t="s">
        <v>184</v>
      </c>
      <c r="AO9524" s="54">
        <v>1</v>
      </c>
      <c r="AP9524" s="54">
        <v>18</v>
      </c>
      <c r="AQ9524" s="54">
        <v>0</v>
      </c>
      <c r="AR9524" s="55">
        <v>28500</v>
      </c>
      <c r="AS9524" s="78">
        <f t="shared" si="152"/>
        <v>0</v>
      </c>
    </row>
    <row r="9525" spans="39:45">
      <c r="AM9525" s="55">
        <v>2020</v>
      </c>
      <c r="AN9525" s="55" t="s">
        <v>184</v>
      </c>
      <c r="AO9525" s="55">
        <v>1</v>
      </c>
      <c r="AP9525" s="55">
        <v>19</v>
      </c>
      <c r="AQ9525" s="55">
        <v>0</v>
      </c>
      <c r="AR9525" s="55">
        <v>28500</v>
      </c>
      <c r="AS9525" s="78">
        <f t="shared" si="152"/>
        <v>0</v>
      </c>
    </row>
    <row r="9526" spans="39:45">
      <c r="AM9526" s="54">
        <v>2020</v>
      </c>
      <c r="AN9526" s="54" t="s">
        <v>184</v>
      </c>
      <c r="AO9526" s="54">
        <v>1</v>
      </c>
      <c r="AP9526" s="54">
        <v>20</v>
      </c>
      <c r="AQ9526" s="54">
        <v>0</v>
      </c>
      <c r="AR9526" s="55">
        <v>28500</v>
      </c>
      <c r="AS9526" s="78">
        <f t="shared" si="152"/>
        <v>0</v>
      </c>
    </row>
    <row r="9527" spans="39:45">
      <c r="AM9527" s="55">
        <v>2020</v>
      </c>
      <c r="AN9527" s="55" t="s">
        <v>184</v>
      </c>
      <c r="AO9527" s="55">
        <v>1</v>
      </c>
      <c r="AP9527" s="55">
        <v>21</v>
      </c>
      <c r="AQ9527" s="55">
        <v>0</v>
      </c>
      <c r="AR9527" s="55">
        <v>28500</v>
      </c>
      <c r="AS9527" s="78">
        <f t="shared" si="152"/>
        <v>0</v>
      </c>
    </row>
    <row r="9528" spans="39:45">
      <c r="AM9528" s="54">
        <v>2020</v>
      </c>
      <c r="AN9528" s="54" t="s">
        <v>184</v>
      </c>
      <c r="AO9528" s="54">
        <v>1</v>
      </c>
      <c r="AP9528" s="54">
        <v>22</v>
      </c>
      <c r="AQ9528" s="54">
        <v>0</v>
      </c>
      <c r="AR9528" s="55">
        <v>28500</v>
      </c>
      <c r="AS9528" s="78">
        <f t="shared" si="152"/>
        <v>0</v>
      </c>
    </row>
    <row r="9529" spans="39:45">
      <c r="AM9529" s="55">
        <v>2020</v>
      </c>
      <c r="AN9529" s="55" t="s">
        <v>184</v>
      </c>
      <c r="AO9529" s="55">
        <v>1</v>
      </c>
      <c r="AP9529" s="55">
        <v>23</v>
      </c>
      <c r="AQ9529" s="55">
        <v>0</v>
      </c>
      <c r="AR9529" s="55">
        <v>28500</v>
      </c>
      <c r="AS9529" s="78">
        <f t="shared" si="152"/>
        <v>0</v>
      </c>
    </row>
    <row r="9530" spans="39:45">
      <c r="AM9530" s="54">
        <v>2020</v>
      </c>
      <c r="AN9530" s="54" t="s">
        <v>184</v>
      </c>
      <c r="AO9530" s="54">
        <v>2</v>
      </c>
      <c r="AP9530" s="54">
        <v>24</v>
      </c>
      <c r="AQ9530" s="54">
        <v>0</v>
      </c>
      <c r="AR9530" s="55">
        <v>28500</v>
      </c>
      <c r="AS9530" s="78">
        <f t="shared" si="152"/>
        <v>0</v>
      </c>
    </row>
    <row r="9531" spans="39:45">
      <c r="AM9531" s="55">
        <v>2020</v>
      </c>
      <c r="AN9531" s="55" t="s">
        <v>184</v>
      </c>
      <c r="AO9531" s="55">
        <v>2</v>
      </c>
      <c r="AP9531" s="55">
        <v>1</v>
      </c>
      <c r="AQ9531" s="55">
        <v>0</v>
      </c>
      <c r="AR9531" s="55">
        <v>28500</v>
      </c>
      <c r="AS9531" s="78">
        <f t="shared" si="152"/>
        <v>0</v>
      </c>
    </row>
    <row r="9532" spans="39:45">
      <c r="AM9532" s="54">
        <v>2020</v>
      </c>
      <c r="AN9532" s="54" t="s">
        <v>184</v>
      </c>
      <c r="AO9532" s="54">
        <v>2</v>
      </c>
      <c r="AP9532" s="54">
        <v>2</v>
      </c>
      <c r="AQ9532" s="54">
        <v>0</v>
      </c>
      <c r="AR9532" s="55">
        <v>28500</v>
      </c>
      <c r="AS9532" s="78">
        <f t="shared" si="152"/>
        <v>0</v>
      </c>
    </row>
    <row r="9533" spans="39:45">
      <c r="AM9533" s="55">
        <v>2020</v>
      </c>
      <c r="AN9533" s="55" t="s">
        <v>184</v>
      </c>
      <c r="AO9533" s="55">
        <v>2</v>
      </c>
      <c r="AP9533" s="55">
        <v>3</v>
      </c>
      <c r="AQ9533" s="55">
        <v>0</v>
      </c>
      <c r="AR9533" s="55">
        <v>28500</v>
      </c>
      <c r="AS9533" s="78">
        <f t="shared" si="152"/>
        <v>0</v>
      </c>
    </row>
    <row r="9534" spans="39:45">
      <c r="AM9534" s="54">
        <v>2020</v>
      </c>
      <c r="AN9534" s="54" t="s">
        <v>184</v>
      </c>
      <c r="AO9534" s="54">
        <v>2</v>
      </c>
      <c r="AP9534" s="54">
        <v>4</v>
      </c>
      <c r="AQ9534" s="54">
        <v>0</v>
      </c>
      <c r="AR9534" s="55">
        <v>28500</v>
      </c>
      <c r="AS9534" s="78">
        <f t="shared" si="152"/>
        <v>0</v>
      </c>
    </row>
    <row r="9535" spans="39:45">
      <c r="AM9535" s="55">
        <v>2020</v>
      </c>
      <c r="AN9535" s="55" t="s">
        <v>184</v>
      </c>
      <c r="AO9535" s="55">
        <v>2</v>
      </c>
      <c r="AP9535" s="55">
        <v>5</v>
      </c>
      <c r="AQ9535" s="55">
        <v>0</v>
      </c>
      <c r="AR9535" s="55">
        <v>28500</v>
      </c>
      <c r="AS9535" s="78">
        <f t="shared" si="152"/>
        <v>0</v>
      </c>
    </row>
    <row r="9536" spans="39:45">
      <c r="AM9536" s="54">
        <v>2020</v>
      </c>
      <c r="AN9536" s="54" t="s">
        <v>184</v>
      </c>
      <c r="AO9536" s="54">
        <v>2</v>
      </c>
      <c r="AP9536" s="54">
        <v>6</v>
      </c>
      <c r="AQ9536" s="54">
        <v>0</v>
      </c>
      <c r="AR9536" s="55">
        <v>28500</v>
      </c>
      <c r="AS9536" s="78">
        <f t="shared" si="152"/>
        <v>0</v>
      </c>
    </row>
    <row r="9537" spans="39:45">
      <c r="AM9537" s="55">
        <v>2020</v>
      </c>
      <c r="AN9537" s="55" t="s">
        <v>184</v>
      </c>
      <c r="AO9537" s="55">
        <v>2</v>
      </c>
      <c r="AP9537" s="55">
        <v>7</v>
      </c>
      <c r="AQ9537" s="55">
        <v>0</v>
      </c>
      <c r="AR9537" s="55">
        <v>28500</v>
      </c>
      <c r="AS9537" s="78">
        <f t="shared" si="152"/>
        <v>0</v>
      </c>
    </row>
    <row r="9538" spans="39:45">
      <c r="AM9538" s="54">
        <v>2020</v>
      </c>
      <c r="AN9538" s="54" t="s">
        <v>184</v>
      </c>
      <c r="AO9538" s="54">
        <v>2</v>
      </c>
      <c r="AP9538" s="54">
        <v>8</v>
      </c>
      <c r="AQ9538" s="54">
        <v>479.5</v>
      </c>
      <c r="AR9538" s="55">
        <v>28500</v>
      </c>
      <c r="AS9538" s="78">
        <f t="shared" ref="AS9538:AS9601" si="153">AQ9538/AR9538</f>
        <v>1.6824561403508773E-2</v>
      </c>
    </row>
    <row r="9539" spans="39:45">
      <c r="AM9539" s="55">
        <v>2020</v>
      </c>
      <c r="AN9539" s="55" t="s">
        <v>184</v>
      </c>
      <c r="AO9539" s="55">
        <v>2</v>
      </c>
      <c r="AP9539" s="55">
        <v>9</v>
      </c>
      <c r="AQ9539" s="55">
        <v>2877.5</v>
      </c>
      <c r="AR9539" s="55">
        <v>28500</v>
      </c>
      <c r="AS9539" s="78">
        <f t="shared" si="153"/>
        <v>0.10096491228070176</v>
      </c>
    </row>
    <row r="9540" spans="39:45">
      <c r="AM9540" s="54">
        <v>2020</v>
      </c>
      <c r="AN9540" s="54" t="s">
        <v>184</v>
      </c>
      <c r="AO9540" s="54">
        <v>2</v>
      </c>
      <c r="AP9540" s="54">
        <v>10</v>
      </c>
      <c r="AQ9540" s="54">
        <v>8631.5</v>
      </c>
      <c r="AR9540" s="55">
        <v>28500</v>
      </c>
      <c r="AS9540" s="78">
        <f t="shared" si="153"/>
        <v>0.302859649122807</v>
      </c>
    </row>
    <row r="9541" spans="39:45">
      <c r="AM9541" s="55">
        <v>2020</v>
      </c>
      <c r="AN9541" s="55" t="s">
        <v>184</v>
      </c>
      <c r="AO9541" s="55">
        <v>2</v>
      </c>
      <c r="AP9541" s="55">
        <v>11</v>
      </c>
      <c r="AQ9541" s="55">
        <v>15940</v>
      </c>
      <c r="AR9541" s="55">
        <v>28500</v>
      </c>
      <c r="AS9541" s="78">
        <f t="shared" si="153"/>
        <v>0.55929824561403507</v>
      </c>
    </row>
    <row r="9542" spans="39:45">
      <c r="AM9542" s="54">
        <v>2020</v>
      </c>
      <c r="AN9542" s="54" t="s">
        <v>184</v>
      </c>
      <c r="AO9542" s="54">
        <v>2</v>
      </c>
      <c r="AP9542" s="54">
        <v>12</v>
      </c>
      <c r="AQ9542" s="54">
        <v>14695.5</v>
      </c>
      <c r="AR9542" s="55">
        <v>28500</v>
      </c>
      <c r="AS9542" s="78">
        <f t="shared" si="153"/>
        <v>0.51563157894736844</v>
      </c>
    </row>
    <row r="9543" spans="39:45">
      <c r="AM9543" s="55">
        <v>2020</v>
      </c>
      <c r="AN9543" s="55" t="s">
        <v>184</v>
      </c>
      <c r="AO9543" s="55">
        <v>2</v>
      </c>
      <c r="AP9543" s="55">
        <v>13</v>
      </c>
      <c r="AQ9543" s="55">
        <v>22244.5</v>
      </c>
      <c r="AR9543" s="55">
        <v>28500</v>
      </c>
      <c r="AS9543" s="78">
        <f t="shared" si="153"/>
        <v>0.7805087719298246</v>
      </c>
    </row>
    <row r="9544" spans="39:45">
      <c r="AM9544" s="54">
        <v>2020</v>
      </c>
      <c r="AN9544" s="54" t="s">
        <v>184</v>
      </c>
      <c r="AO9544" s="54">
        <v>2</v>
      </c>
      <c r="AP9544" s="54">
        <v>14</v>
      </c>
      <c r="AQ9544" s="54">
        <v>2362.5</v>
      </c>
      <c r="AR9544" s="55">
        <v>28500</v>
      </c>
      <c r="AS9544" s="78">
        <f t="shared" si="153"/>
        <v>8.2894736842105257E-2</v>
      </c>
    </row>
    <row r="9545" spans="39:45">
      <c r="AM9545" s="55">
        <v>2020</v>
      </c>
      <c r="AN9545" s="55" t="s">
        <v>184</v>
      </c>
      <c r="AO9545" s="55">
        <v>2</v>
      </c>
      <c r="AP9545" s="55">
        <v>15</v>
      </c>
      <c r="AQ9545" s="55">
        <v>2262</v>
      </c>
      <c r="AR9545" s="55">
        <v>28500</v>
      </c>
      <c r="AS9545" s="78">
        <f t="shared" si="153"/>
        <v>7.9368421052631574E-2</v>
      </c>
    </row>
    <row r="9546" spans="39:45">
      <c r="AM9546" s="54">
        <v>2020</v>
      </c>
      <c r="AN9546" s="54" t="s">
        <v>184</v>
      </c>
      <c r="AO9546" s="54">
        <v>2</v>
      </c>
      <c r="AP9546" s="54">
        <v>16</v>
      </c>
      <c r="AQ9546" s="54">
        <v>191.5</v>
      </c>
      <c r="AR9546" s="55">
        <v>28500</v>
      </c>
      <c r="AS9546" s="78">
        <f t="shared" si="153"/>
        <v>6.7192982456140355E-3</v>
      </c>
    </row>
    <row r="9547" spans="39:45">
      <c r="AM9547" s="55">
        <v>2020</v>
      </c>
      <c r="AN9547" s="55" t="s">
        <v>184</v>
      </c>
      <c r="AO9547" s="55">
        <v>2</v>
      </c>
      <c r="AP9547" s="55">
        <v>17</v>
      </c>
      <c r="AQ9547" s="55">
        <v>0</v>
      </c>
      <c r="AR9547" s="55">
        <v>28500</v>
      </c>
      <c r="AS9547" s="78">
        <f t="shared" si="153"/>
        <v>0</v>
      </c>
    </row>
    <row r="9548" spans="39:45">
      <c r="AM9548" s="54">
        <v>2020</v>
      </c>
      <c r="AN9548" s="54" t="s">
        <v>184</v>
      </c>
      <c r="AO9548" s="54">
        <v>2</v>
      </c>
      <c r="AP9548" s="54">
        <v>18</v>
      </c>
      <c r="AQ9548" s="54">
        <v>0</v>
      </c>
      <c r="AR9548" s="55">
        <v>28500</v>
      </c>
      <c r="AS9548" s="78">
        <f t="shared" si="153"/>
        <v>0</v>
      </c>
    </row>
    <row r="9549" spans="39:45">
      <c r="AM9549" s="55">
        <v>2020</v>
      </c>
      <c r="AN9549" s="55" t="s">
        <v>184</v>
      </c>
      <c r="AO9549" s="55">
        <v>2</v>
      </c>
      <c r="AP9549" s="55">
        <v>19</v>
      </c>
      <c r="AQ9549" s="55">
        <v>0</v>
      </c>
      <c r="AR9549" s="55">
        <v>28500</v>
      </c>
      <c r="AS9549" s="78">
        <f t="shared" si="153"/>
        <v>0</v>
      </c>
    </row>
    <row r="9550" spans="39:45">
      <c r="AM9550" s="54">
        <v>2020</v>
      </c>
      <c r="AN9550" s="54" t="s">
        <v>184</v>
      </c>
      <c r="AO9550" s="54">
        <v>2</v>
      </c>
      <c r="AP9550" s="54">
        <v>20</v>
      </c>
      <c r="AQ9550" s="54">
        <v>0</v>
      </c>
      <c r="AR9550" s="55">
        <v>28500</v>
      </c>
      <c r="AS9550" s="78">
        <f t="shared" si="153"/>
        <v>0</v>
      </c>
    </row>
    <row r="9551" spans="39:45">
      <c r="AM9551" s="55">
        <v>2020</v>
      </c>
      <c r="AN9551" s="55" t="s">
        <v>184</v>
      </c>
      <c r="AO9551" s="55">
        <v>2</v>
      </c>
      <c r="AP9551" s="55">
        <v>21</v>
      </c>
      <c r="AQ9551" s="55">
        <v>0</v>
      </c>
      <c r="AR9551" s="55">
        <v>28500</v>
      </c>
      <c r="AS9551" s="78">
        <f t="shared" si="153"/>
        <v>0</v>
      </c>
    </row>
    <row r="9552" spans="39:45">
      <c r="AM9552" s="54">
        <v>2020</v>
      </c>
      <c r="AN9552" s="54" t="s">
        <v>184</v>
      </c>
      <c r="AO9552" s="54">
        <v>2</v>
      </c>
      <c r="AP9552" s="54">
        <v>22</v>
      </c>
      <c r="AQ9552" s="54">
        <v>0</v>
      </c>
      <c r="AR9552" s="55">
        <v>28500</v>
      </c>
      <c r="AS9552" s="78">
        <f t="shared" si="153"/>
        <v>0</v>
      </c>
    </row>
    <row r="9553" spans="39:45">
      <c r="AM9553" s="55">
        <v>2020</v>
      </c>
      <c r="AN9553" s="55" t="s">
        <v>184</v>
      </c>
      <c r="AO9553" s="55">
        <v>2</v>
      </c>
      <c r="AP9553" s="55">
        <v>23</v>
      </c>
      <c r="AQ9553" s="55">
        <v>0</v>
      </c>
      <c r="AR9553" s="55">
        <v>28500</v>
      </c>
      <c r="AS9553" s="78">
        <f t="shared" si="153"/>
        <v>0</v>
      </c>
    </row>
    <row r="9554" spans="39:45">
      <c r="AM9554" s="54">
        <v>2020</v>
      </c>
      <c r="AN9554" s="54" t="s">
        <v>184</v>
      </c>
      <c r="AO9554" s="54">
        <v>3</v>
      </c>
      <c r="AP9554" s="54">
        <v>24</v>
      </c>
      <c r="AQ9554" s="54">
        <v>0</v>
      </c>
      <c r="AR9554" s="55">
        <v>28500</v>
      </c>
      <c r="AS9554" s="78">
        <f t="shared" si="153"/>
        <v>0</v>
      </c>
    </row>
    <row r="9555" spans="39:45">
      <c r="AM9555" s="55">
        <v>2020</v>
      </c>
      <c r="AN9555" s="55" t="s">
        <v>184</v>
      </c>
      <c r="AO9555" s="55">
        <v>3</v>
      </c>
      <c r="AP9555" s="55">
        <v>1</v>
      </c>
      <c r="AQ9555" s="55">
        <v>0</v>
      </c>
      <c r="AR9555" s="55">
        <v>28500</v>
      </c>
      <c r="AS9555" s="78">
        <f t="shared" si="153"/>
        <v>0</v>
      </c>
    </row>
    <row r="9556" spans="39:45">
      <c r="AM9556" s="54">
        <v>2020</v>
      </c>
      <c r="AN9556" s="54" t="s">
        <v>184</v>
      </c>
      <c r="AO9556" s="54">
        <v>3</v>
      </c>
      <c r="AP9556" s="54">
        <v>2</v>
      </c>
      <c r="AQ9556" s="54">
        <v>0</v>
      </c>
      <c r="AR9556" s="55">
        <v>28500</v>
      </c>
      <c r="AS9556" s="78">
        <f t="shared" si="153"/>
        <v>0</v>
      </c>
    </row>
    <row r="9557" spans="39:45">
      <c r="AM9557" s="55">
        <v>2020</v>
      </c>
      <c r="AN9557" s="55" t="s">
        <v>184</v>
      </c>
      <c r="AO9557" s="55">
        <v>3</v>
      </c>
      <c r="AP9557" s="55">
        <v>3</v>
      </c>
      <c r="AQ9557" s="55">
        <v>0</v>
      </c>
      <c r="AR9557" s="55">
        <v>28500</v>
      </c>
      <c r="AS9557" s="78">
        <f t="shared" si="153"/>
        <v>0</v>
      </c>
    </row>
    <row r="9558" spans="39:45">
      <c r="AM9558" s="54">
        <v>2020</v>
      </c>
      <c r="AN9558" s="54" t="s">
        <v>184</v>
      </c>
      <c r="AO9558" s="54">
        <v>3</v>
      </c>
      <c r="AP9558" s="54">
        <v>4</v>
      </c>
      <c r="AQ9558" s="54">
        <v>0</v>
      </c>
      <c r="AR9558" s="55">
        <v>28500</v>
      </c>
      <c r="AS9558" s="78">
        <f t="shared" si="153"/>
        <v>0</v>
      </c>
    </row>
    <row r="9559" spans="39:45">
      <c r="AM9559" s="55">
        <v>2020</v>
      </c>
      <c r="AN9559" s="55" t="s">
        <v>184</v>
      </c>
      <c r="AO9559" s="55">
        <v>3</v>
      </c>
      <c r="AP9559" s="55">
        <v>5</v>
      </c>
      <c r="AQ9559" s="55">
        <v>0</v>
      </c>
      <c r="AR9559" s="55">
        <v>28500</v>
      </c>
      <c r="AS9559" s="78">
        <f t="shared" si="153"/>
        <v>0</v>
      </c>
    </row>
    <row r="9560" spans="39:45">
      <c r="AM9560" s="54">
        <v>2020</v>
      </c>
      <c r="AN9560" s="54" t="s">
        <v>184</v>
      </c>
      <c r="AO9560" s="54">
        <v>3</v>
      </c>
      <c r="AP9560" s="54">
        <v>6</v>
      </c>
      <c r="AQ9560" s="54">
        <v>0</v>
      </c>
      <c r="AR9560" s="55">
        <v>28500</v>
      </c>
      <c r="AS9560" s="78">
        <f t="shared" si="153"/>
        <v>0</v>
      </c>
    </row>
    <row r="9561" spans="39:45">
      <c r="AM9561" s="55">
        <v>2020</v>
      </c>
      <c r="AN9561" s="55" t="s">
        <v>184</v>
      </c>
      <c r="AO9561" s="55">
        <v>3</v>
      </c>
      <c r="AP9561" s="55">
        <v>7</v>
      </c>
      <c r="AQ9561" s="55">
        <v>0</v>
      </c>
      <c r="AR9561" s="55">
        <v>28500</v>
      </c>
      <c r="AS9561" s="78">
        <f t="shared" si="153"/>
        <v>0</v>
      </c>
    </row>
    <row r="9562" spans="39:45">
      <c r="AM9562" s="54">
        <v>2020</v>
      </c>
      <c r="AN9562" s="54" t="s">
        <v>184</v>
      </c>
      <c r="AO9562" s="54">
        <v>3</v>
      </c>
      <c r="AP9562" s="54">
        <v>8</v>
      </c>
      <c r="AQ9562" s="54">
        <v>5672.5</v>
      </c>
      <c r="AR9562" s="55">
        <v>28500</v>
      </c>
      <c r="AS9562" s="78">
        <f t="shared" si="153"/>
        <v>0.19903508771929826</v>
      </c>
    </row>
    <row r="9563" spans="39:45">
      <c r="AM9563" s="55">
        <v>2020</v>
      </c>
      <c r="AN9563" s="55" t="s">
        <v>184</v>
      </c>
      <c r="AO9563" s="55">
        <v>3</v>
      </c>
      <c r="AP9563" s="55">
        <v>9</v>
      </c>
      <c r="AQ9563" s="55">
        <v>16099.5</v>
      </c>
      <c r="AR9563" s="55">
        <v>28500</v>
      </c>
      <c r="AS9563" s="78">
        <f t="shared" si="153"/>
        <v>0.56489473684210523</v>
      </c>
    </row>
    <row r="9564" spans="39:45">
      <c r="AM9564" s="54">
        <v>2020</v>
      </c>
      <c r="AN9564" s="54" t="s">
        <v>184</v>
      </c>
      <c r="AO9564" s="54">
        <v>3</v>
      </c>
      <c r="AP9564" s="54">
        <v>10</v>
      </c>
      <c r="AQ9564" s="54">
        <v>17427</v>
      </c>
      <c r="AR9564" s="55">
        <v>28500</v>
      </c>
      <c r="AS9564" s="78">
        <f t="shared" si="153"/>
        <v>0.61147368421052628</v>
      </c>
    </row>
    <row r="9565" spans="39:45">
      <c r="AM9565" s="55">
        <v>2020</v>
      </c>
      <c r="AN9565" s="55" t="s">
        <v>184</v>
      </c>
      <c r="AO9565" s="55">
        <v>3</v>
      </c>
      <c r="AP9565" s="55">
        <v>11</v>
      </c>
      <c r="AQ9565" s="55">
        <v>14276.5</v>
      </c>
      <c r="AR9565" s="55">
        <v>28500</v>
      </c>
      <c r="AS9565" s="78">
        <f t="shared" si="153"/>
        <v>0.50092982456140356</v>
      </c>
    </row>
    <row r="9566" spans="39:45">
      <c r="AM9566" s="54">
        <v>2020</v>
      </c>
      <c r="AN9566" s="54" t="s">
        <v>184</v>
      </c>
      <c r="AO9566" s="54">
        <v>3</v>
      </c>
      <c r="AP9566" s="54">
        <v>12</v>
      </c>
      <c r="AQ9566" s="54">
        <v>23154.5</v>
      </c>
      <c r="AR9566" s="55">
        <v>28500</v>
      </c>
      <c r="AS9566" s="78">
        <f t="shared" si="153"/>
        <v>0.81243859649122807</v>
      </c>
    </row>
    <row r="9567" spans="39:45">
      <c r="AM9567" s="55">
        <v>2020</v>
      </c>
      <c r="AN9567" s="55" t="s">
        <v>184</v>
      </c>
      <c r="AO9567" s="55">
        <v>3</v>
      </c>
      <c r="AP9567" s="55">
        <v>13</v>
      </c>
      <c r="AQ9567" s="55">
        <v>2084</v>
      </c>
      <c r="AR9567" s="55">
        <v>28500</v>
      </c>
      <c r="AS9567" s="78">
        <f t="shared" si="153"/>
        <v>7.3122807017543853E-2</v>
      </c>
    </row>
    <row r="9568" spans="39:45">
      <c r="AM9568" s="54">
        <v>2020</v>
      </c>
      <c r="AN9568" s="54" t="s">
        <v>184</v>
      </c>
      <c r="AO9568" s="54">
        <v>3</v>
      </c>
      <c r="AP9568" s="54">
        <v>14</v>
      </c>
      <c r="AQ9568" s="54">
        <v>6419</v>
      </c>
      <c r="AR9568" s="55">
        <v>28500</v>
      </c>
      <c r="AS9568" s="78">
        <f t="shared" si="153"/>
        <v>0.22522807017543858</v>
      </c>
    </row>
    <row r="9569" spans="39:45">
      <c r="AM9569" s="55">
        <v>2020</v>
      </c>
      <c r="AN9569" s="55" t="s">
        <v>184</v>
      </c>
      <c r="AO9569" s="55">
        <v>3</v>
      </c>
      <c r="AP9569" s="55">
        <v>15</v>
      </c>
      <c r="AQ9569" s="55">
        <v>3422</v>
      </c>
      <c r="AR9569" s="55">
        <v>28500</v>
      </c>
      <c r="AS9569" s="78">
        <f t="shared" si="153"/>
        <v>0.12007017543859649</v>
      </c>
    </row>
    <row r="9570" spans="39:45">
      <c r="AM9570" s="54">
        <v>2020</v>
      </c>
      <c r="AN9570" s="54" t="s">
        <v>184</v>
      </c>
      <c r="AO9570" s="54">
        <v>3</v>
      </c>
      <c r="AP9570" s="54">
        <v>16</v>
      </c>
      <c r="AQ9570" s="54">
        <v>276.5</v>
      </c>
      <c r="AR9570" s="55">
        <v>28500</v>
      </c>
      <c r="AS9570" s="78">
        <f t="shared" si="153"/>
        <v>9.7017543859649127E-3</v>
      </c>
    </row>
    <row r="9571" spans="39:45">
      <c r="AM9571" s="55">
        <v>2020</v>
      </c>
      <c r="AN9571" s="55" t="s">
        <v>184</v>
      </c>
      <c r="AO9571" s="55">
        <v>3</v>
      </c>
      <c r="AP9571" s="55">
        <v>17</v>
      </c>
      <c r="AQ9571" s="55">
        <v>0</v>
      </c>
      <c r="AR9571" s="55">
        <v>28500</v>
      </c>
      <c r="AS9571" s="78">
        <f t="shared" si="153"/>
        <v>0</v>
      </c>
    </row>
    <row r="9572" spans="39:45">
      <c r="AM9572" s="54">
        <v>2020</v>
      </c>
      <c r="AN9572" s="54" t="s">
        <v>184</v>
      </c>
      <c r="AO9572" s="54">
        <v>3</v>
      </c>
      <c r="AP9572" s="54">
        <v>18</v>
      </c>
      <c r="AQ9572" s="54">
        <v>0</v>
      </c>
      <c r="AR9572" s="55">
        <v>28500</v>
      </c>
      <c r="AS9572" s="78">
        <f t="shared" si="153"/>
        <v>0</v>
      </c>
    </row>
    <row r="9573" spans="39:45">
      <c r="AM9573" s="55">
        <v>2020</v>
      </c>
      <c r="AN9573" s="55" t="s">
        <v>184</v>
      </c>
      <c r="AO9573" s="55">
        <v>3</v>
      </c>
      <c r="AP9573" s="55">
        <v>19</v>
      </c>
      <c r="AQ9573" s="55">
        <v>0</v>
      </c>
      <c r="AR9573" s="55">
        <v>28500</v>
      </c>
      <c r="AS9573" s="78">
        <f t="shared" si="153"/>
        <v>0</v>
      </c>
    </row>
    <row r="9574" spans="39:45">
      <c r="AM9574" s="54">
        <v>2020</v>
      </c>
      <c r="AN9574" s="54" t="s">
        <v>184</v>
      </c>
      <c r="AO9574" s="54">
        <v>3</v>
      </c>
      <c r="AP9574" s="54">
        <v>20</v>
      </c>
      <c r="AQ9574" s="54">
        <v>0</v>
      </c>
      <c r="AR9574" s="55">
        <v>28500</v>
      </c>
      <c r="AS9574" s="78">
        <f t="shared" si="153"/>
        <v>0</v>
      </c>
    </row>
    <row r="9575" spans="39:45">
      <c r="AM9575" s="55">
        <v>2020</v>
      </c>
      <c r="AN9575" s="55" t="s">
        <v>184</v>
      </c>
      <c r="AO9575" s="55">
        <v>3</v>
      </c>
      <c r="AP9575" s="55">
        <v>21</v>
      </c>
      <c r="AQ9575" s="55">
        <v>0</v>
      </c>
      <c r="AR9575" s="55">
        <v>28500</v>
      </c>
      <c r="AS9575" s="78">
        <f t="shared" si="153"/>
        <v>0</v>
      </c>
    </row>
    <row r="9576" spans="39:45">
      <c r="AM9576" s="54">
        <v>2020</v>
      </c>
      <c r="AN9576" s="54" t="s">
        <v>184</v>
      </c>
      <c r="AO9576" s="54">
        <v>3</v>
      </c>
      <c r="AP9576" s="54">
        <v>22</v>
      </c>
      <c r="AQ9576" s="54">
        <v>0</v>
      </c>
      <c r="AR9576" s="55">
        <v>28500</v>
      </c>
      <c r="AS9576" s="78">
        <f t="shared" si="153"/>
        <v>0</v>
      </c>
    </row>
    <row r="9577" spans="39:45">
      <c r="AM9577" s="55">
        <v>2020</v>
      </c>
      <c r="AN9577" s="55" t="s">
        <v>184</v>
      </c>
      <c r="AO9577" s="55">
        <v>3</v>
      </c>
      <c r="AP9577" s="55">
        <v>23</v>
      </c>
      <c r="AQ9577" s="55">
        <v>0</v>
      </c>
      <c r="AR9577" s="55">
        <v>28500</v>
      </c>
      <c r="AS9577" s="78">
        <f t="shared" si="153"/>
        <v>0</v>
      </c>
    </row>
    <row r="9578" spans="39:45">
      <c r="AM9578" s="54">
        <v>2020</v>
      </c>
      <c r="AN9578" s="54" t="s">
        <v>184</v>
      </c>
      <c r="AO9578" s="54">
        <v>4</v>
      </c>
      <c r="AP9578" s="54">
        <v>24</v>
      </c>
      <c r="AQ9578" s="54">
        <v>0</v>
      </c>
      <c r="AR9578" s="55">
        <v>28500</v>
      </c>
      <c r="AS9578" s="78">
        <f t="shared" si="153"/>
        <v>0</v>
      </c>
    </row>
    <row r="9579" spans="39:45">
      <c r="AM9579" s="55">
        <v>2020</v>
      </c>
      <c r="AN9579" s="55" t="s">
        <v>184</v>
      </c>
      <c r="AO9579" s="55">
        <v>4</v>
      </c>
      <c r="AP9579" s="55">
        <v>1</v>
      </c>
      <c r="AQ9579" s="55">
        <v>0</v>
      </c>
      <c r="AR9579" s="55">
        <v>28500</v>
      </c>
      <c r="AS9579" s="78">
        <f t="shared" si="153"/>
        <v>0</v>
      </c>
    </row>
    <row r="9580" spans="39:45">
      <c r="AM9580" s="54">
        <v>2020</v>
      </c>
      <c r="AN9580" s="54" t="s">
        <v>184</v>
      </c>
      <c r="AO9580" s="54">
        <v>4</v>
      </c>
      <c r="AP9580" s="54">
        <v>2</v>
      </c>
      <c r="AQ9580" s="54">
        <v>0</v>
      </c>
      <c r="AR9580" s="55">
        <v>28500</v>
      </c>
      <c r="AS9580" s="78">
        <f t="shared" si="153"/>
        <v>0</v>
      </c>
    </row>
    <row r="9581" spans="39:45">
      <c r="AM9581" s="55">
        <v>2020</v>
      </c>
      <c r="AN9581" s="55" t="s">
        <v>184</v>
      </c>
      <c r="AO9581" s="55">
        <v>4</v>
      </c>
      <c r="AP9581" s="55">
        <v>3</v>
      </c>
      <c r="AQ9581" s="55">
        <v>0</v>
      </c>
      <c r="AR9581" s="55">
        <v>28500</v>
      </c>
      <c r="AS9581" s="78">
        <f t="shared" si="153"/>
        <v>0</v>
      </c>
    </row>
    <row r="9582" spans="39:45">
      <c r="AM9582" s="54">
        <v>2020</v>
      </c>
      <c r="AN9582" s="54" t="s">
        <v>184</v>
      </c>
      <c r="AO9582" s="54">
        <v>4</v>
      </c>
      <c r="AP9582" s="54">
        <v>4</v>
      </c>
      <c r="AQ9582" s="54">
        <v>0</v>
      </c>
      <c r="AR9582" s="55">
        <v>28500</v>
      </c>
      <c r="AS9582" s="78">
        <f t="shared" si="153"/>
        <v>0</v>
      </c>
    </row>
    <row r="9583" spans="39:45">
      <c r="AM9583" s="55">
        <v>2020</v>
      </c>
      <c r="AN9583" s="55" t="s">
        <v>184</v>
      </c>
      <c r="AO9583" s="55">
        <v>4</v>
      </c>
      <c r="AP9583" s="55">
        <v>5</v>
      </c>
      <c r="AQ9583" s="55">
        <v>0</v>
      </c>
      <c r="AR9583" s="55">
        <v>28500</v>
      </c>
      <c r="AS9583" s="78">
        <f t="shared" si="153"/>
        <v>0</v>
      </c>
    </row>
    <row r="9584" spans="39:45">
      <c r="AM9584" s="54">
        <v>2020</v>
      </c>
      <c r="AN9584" s="54" t="s">
        <v>184</v>
      </c>
      <c r="AO9584" s="54">
        <v>4</v>
      </c>
      <c r="AP9584" s="54">
        <v>6</v>
      </c>
      <c r="AQ9584" s="54">
        <v>0</v>
      </c>
      <c r="AR9584" s="55">
        <v>28500</v>
      </c>
      <c r="AS9584" s="78">
        <f t="shared" si="153"/>
        <v>0</v>
      </c>
    </row>
    <row r="9585" spans="39:45">
      <c r="AM9585" s="55">
        <v>2020</v>
      </c>
      <c r="AN9585" s="55" t="s">
        <v>184</v>
      </c>
      <c r="AO9585" s="55">
        <v>4</v>
      </c>
      <c r="AP9585" s="55">
        <v>7</v>
      </c>
      <c r="AQ9585" s="55">
        <v>0</v>
      </c>
      <c r="AR9585" s="55">
        <v>28500</v>
      </c>
      <c r="AS9585" s="78">
        <f t="shared" si="153"/>
        <v>0</v>
      </c>
    </row>
    <row r="9586" spans="39:45">
      <c r="AM9586" s="54">
        <v>2020</v>
      </c>
      <c r="AN9586" s="54" t="s">
        <v>184</v>
      </c>
      <c r="AO9586" s="54">
        <v>4</v>
      </c>
      <c r="AP9586" s="54">
        <v>8</v>
      </c>
      <c r="AQ9586" s="54">
        <v>6796</v>
      </c>
      <c r="AR9586" s="55">
        <v>28500</v>
      </c>
      <c r="AS9586" s="78">
        <f t="shared" si="153"/>
        <v>0.2384561403508772</v>
      </c>
    </row>
    <row r="9587" spans="39:45">
      <c r="AM9587" s="55">
        <v>2020</v>
      </c>
      <c r="AN9587" s="55" t="s">
        <v>184</v>
      </c>
      <c r="AO9587" s="55">
        <v>4</v>
      </c>
      <c r="AP9587" s="55">
        <v>9</v>
      </c>
      <c r="AQ9587" s="55">
        <v>14495</v>
      </c>
      <c r="AR9587" s="55">
        <v>28500</v>
      </c>
      <c r="AS9587" s="78">
        <f t="shared" si="153"/>
        <v>0.50859649122807016</v>
      </c>
    </row>
    <row r="9588" spans="39:45">
      <c r="AM9588" s="54">
        <v>2020</v>
      </c>
      <c r="AN9588" s="54" t="s">
        <v>184</v>
      </c>
      <c r="AO9588" s="54">
        <v>4</v>
      </c>
      <c r="AP9588" s="54">
        <v>10</v>
      </c>
      <c r="AQ9588" s="54">
        <v>21135</v>
      </c>
      <c r="AR9588" s="55">
        <v>28500</v>
      </c>
      <c r="AS9588" s="78">
        <f t="shared" si="153"/>
        <v>0.741578947368421</v>
      </c>
    </row>
    <row r="9589" spans="39:45">
      <c r="AM9589" s="55">
        <v>2020</v>
      </c>
      <c r="AN9589" s="55" t="s">
        <v>184</v>
      </c>
      <c r="AO9589" s="55">
        <v>4</v>
      </c>
      <c r="AP9589" s="55">
        <v>11</v>
      </c>
      <c r="AQ9589" s="55">
        <v>8434.5</v>
      </c>
      <c r="AR9589" s="55">
        <v>28500</v>
      </c>
      <c r="AS9589" s="78">
        <f t="shared" si="153"/>
        <v>0.29594736842105263</v>
      </c>
    </row>
    <row r="9590" spans="39:45">
      <c r="AM9590" s="54">
        <v>2020</v>
      </c>
      <c r="AN9590" s="54" t="s">
        <v>184</v>
      </c>
      <c r="AO9590" s="54">
        <v>4</v>
      </c>
      <c r="AP9590" s="54">
        <v>12</v>
      </c>
      <c r="AQ9590" s="54">
        <v>7140</v>
      </c>
      <c r="AR9590" s="55">
        <v>28500</v>
      </c>
      <c r="AS9590" s="78">
        <f t="shared" si="153"/>
        <v>0.25052631578947371</v>
      </c>
    </row>
    <row r="9591" spans="39:45">
      <c r="AM9591" s="55">
        <v>2020</v>
      </c>
      <c r="AN9591" s="55" t="s">
        <v>184</v>
      </c>
      <c r="AO9591" s="55">
        <v>4</v>
      </c>
      <c r="AP9591" s="55">
        <v>13</v>
      </c>
      <c r="AQ9591" s="55">
        <v>2420.5</v>
      </c>
      <c r="AR9591" s="55">
        <v>28500</v>
      </c>
      <c r="AS9591" s="78">
        <f t="shared" si="153"/>
        <v>8.4929824561403508E-2</v>
      </c>
    </row>
    <row r="9592" spans="39:45">
      <c r="AM9592" s="54">
        <v>2020</v>
      </c>
      <c r="AN9592" s="54" t="s">
        <v>184</v>
      </c>
      <c r="AO9592" s="54">
        <v>4</v>
      </c>
      <c r="AP9592" s="54">
        <v>14</v>
      </c>
      <c r="AQ9592" s="54">
        <v>1659.5</v>
      </c>
      <c r="AR9592" s="55">
        <v>28500</v>
      </c>
      <c r="AS9592" s="78">
        <f t="shared" si="153"/>
        <v>5.8228070175438594E-2</v>
      </c>
    </row>
    <row r="9593" spans="39:45">
      <c r="AM9593" s="55">
        <v>2020</v>
      </c>
      <c r="AN9593" s="55" t="s">
        <v>184</v>
      </c>
      <c r="AO9593" s="55">
        <v>4</v>
      </c>
      <c r="AP9593" s="55">
        <v>15</v>
      </c>
      <c r="AQ9593" s="55">
        <v>1655</v>
      </c>
      <c r="AR9593" s="55">
        <v>28500</v>
      </c>
      <c r="AS9593" s="78">
        <f t="shared" si="153"/>
        <v>5.8070175438596494E-2</v>
      </c>
    </row>
    <row r="9594" spans="39:45">
      <c r="AM9594" s="54">
        <v>2020</v>
      </c>
      <c r="AN9594" s="54" t="s">
        <v>184</v>
      </c>
      <c r="AO9594" s="54">
        <v>4</v>
      </c>
      <c r="AP9594" s="54">
        <v>16</v>
      </c>
      <c r="AQ9594" s="54">
        <v>195</v>
      </c>
      <c r="AR9594" s="55">
        <v>28500</v>
      </c>
      <c r="AS9594" s="78">
        <f t="shared" si="153"/>
        <v>6.842105263157895E-3</v>
      </c>
    </row>
    <row r="9595" spans="39:45">
      <c r="AM9595" s="55">
        <v>2020</v>
      </c>
      <c r="AN9595" s="55" t="s">
        <v>184</v>
      </c>
      <c r="AO9595" s="55">
        <v>4</v>
      </c>
      <c r="AP9595" s="55">
        <v>17</v>
      </c>
      <c r="AQ9595" s="55">
        <v>0</v>
      </c>
      <c r="AR9595" s="55">
        <v>28500</v>
      </c>
      <c r="AS9595" s="78">
        <f t="shared" si="153"/>
        <v>0</v>
      </c>
    </row>
    <row r="9596" spans="39:45">
      <c r="AM9596" s="54">
        <v>2020</v>
      </c>
      <c r="AN9596" s="54" t="s">
        <v>184</v>
      </c>
      <c r="AO9596" s="54">
        <v>4</v>
      </c>
      <c r="AP9596" s="54">
        <v>18</v>
      </c>
      <c r="AQ9596" s="54">
        <v>0</v>
      </c>
      <c r="AR9596" s="55">
        <v>28500</v>
      </c>
      <c r="AS9596" s="78">
        <f t="shared" si="153"/>
        <v>0</v>
      </c>
    </row>
    <row r="9597" spans="39:45">
      <c r="AM9597" s="55">
        <v>2020</v>
      </c>
      <c r="AN9597" s="55" t="s">
        <v>184</v>
      </c>
      <c r="AO9597" s="55">
        <v>4</v>
      </c>
      <c r="AP9597" s="55">
        <v>19</v>
      </c>
      <c r="AQ9597" s="55">
        <v>0</v>
      </c>
      <c r="AR9597" s="55">
        <v>28500</v>
      </c>
      <c r="AS9597" s="78">
        <f t="shared" si="153"/>
        <v>0</v>
      </c>
    </row>
    <row r="9598" spans="39:45">
      <c r="AM9598" s="54">
        <v>2020</v>
      </c>
      <c r="AN9598" s="54" t="s">
        <v>184</v>
      </c>
      <c r="AO9598" s="54">
        <v>4</v>
      </c>
      <c r="AP9598" s="54">
        <v>20</v>
      </c>
      <c r="AQ9598" s="54">
        <v>0</v>
      </c>
      <c r="AR9598" s="55">
        <v>28500</v>
      </c>
      <c r="AS9598" s="78">
        <f t="shared" si="153"/>
        <v>0</v>
      </c>
    </row>
    <row r="9599" spans="39:45">
      <c r="AM9599" s="55">
        <v>2020</v>
      </c>
      <c r="AN9599" s="55" t="s">
        <v>184</v>
      </c>
      <c r="AO9599" s="55">
        <v>4</v>
      </c>
      <c r="AP9599" s="55">
        <v>21</v>
      </c>
      <c r="AQ9599" s="55">
        <v>0</v>
      </c>
      <c r="AR9599" s="55">
        <v>28500</v>
      </c>
      <c r="AS9599" s="78">
        <f t="shared" si="153"/>
        <v>0</v>
      </c>
    </row>
    <row r="9600" spans="39:45">
      <c r="AM9600" s="54">
        <v>2020</v>
      </c>
      <c r="AN9600" s="54" t="s">
        <v>184</v>
      </c>
      <c r="AO9600" s="54">
        <v>4</v>
      </c>
      <c r="AP9600" s="54">
        <v>22</v>
      </c>
      <c r="AQ9600" s="54">
        <v>0</v>
      </c>
      <c r="AR9600" s="55">
        <v>28500</v>
      </c>
      <c r="AS9600" s="78">
        <f t="shared" si="153"/>
        <v>0</v>
      </c>
    </row>
    <row r="9601" spans="39:45">
      <c r="AM9601" s="55">
        <v>2020</v>
      </c>
      <c r="AN9601" s="55" t="s">
        <v>184</v>
      </c>
      <c r="AO9601" s="55">
        <v>4</v>
      </c>
      <c r="AP9601" s="55">
        <v>23</v>
      </c>
      <c r="AQ9601" s="55">
        <v>0</v>
      </c>
      <c r="AR9601" s="55">
        <v>28500</v>
      </c>
      <c r="AS9601" s="78">
        <f t="shared" si="153"/>
        <v>0</v>
      </c>
    </row>
    <row r="9602" spans="39:45">
      <c r="AM9602" s="54">
        <v>2020</v>
      </c>
      <c r="AN9602" s="54" t="s">
        <v>184</v>
      </c>
      <c r="AO9602" s="54">
        <v>5</v>
      </c>
      <c r="AP9602" s="54">
        <v>24</v>
      </c>
      <c r="AQ9602" s="54">
        <v>0</v>
      </c>
      <c r="AR9602" s="55">
        <v>28500</v>
      </c>
      <c r="AS9602" s="78">
        <f t="shared" ref="AS9602:AS9665" si="154">AQ9602/AR9602</f>
        <v>0</v>
      </c>
    </row>
    <row r="9603" spans="39:45">
      <c r="AM9603" s="55">
        <v>2020</v>
      </c>
      <c r="AN9603" s="55" t="s">
        <v>184</v>
      </c>
      <c r="AO9603" s="55">
        <v>5</v>
      </c>
      <c r="AP9603" s="55">
        <v>1</v>
      </c>
      <c r="AQ9603" s="55">
        <v>0</v>
      </c>
      <c r="AR9603" s="55">
        <v>28500</v>
      </c>
      <c r="AS9603" s="78">
        <f t="shared" si="154"/>
        <v>0</v>
      </c>
    </row>
    <row r="9604" spans="39:45">
      <c r="AM9604" s="54">
        <v>2020</v>
      </c>
      <c r="AN9604" s="54" t="s">
        <v>184</v>
      </c>
      <c r="AO9604" s="54">
        <v>5</v>
      </c>
      <c r="AP9604" s="54">
        <v>2</v>
      </c>
      <c r="AQ9604" s="54">
        <v>0</v>
      </c>
      <c r="AR9604" s="55">
        <v>28500</v>
      </c>
      <c r="AS9604" s="78">
        <f t="shared" si="154"/>
        <v>0</v>
      </c>
    </row>
    <row r="9605" spans="39:45">
      <c r="AM9605" s="55">
        <v>2020</v>
      </c>
      <c r="AN9605" s="55" t="s">
        <v>184</v>
      </c>
      <c r="AO9605" s="55">
        <v>5</v>
      </c>
      <c r="AP9605" s="55">
        <v>3</v>
      </c>
      <c r="AQ9605" s="55">
        <v>0</v>
      </c>
      <c r="AR9605" s="55">
        <v>28500</v>
      </c>
      <c r="AS9605" s="78">
        <f t="shared" si="154"/>
        <v>0</v>
      </c>
    </row>
    <row r="9606" spans="39:45">
      <c r="AM9606" s="54">
        <v>2020</v>
      </c>
      <c r="AN9606" s="54" t="s">
        <v>184</v>
      </c>
      <c r="AO9606" s="54">
        <v>5</v>
      </c>
      <c r="AP9606" s="54">
        <v>4</v>
      </c>
      <c r="AQ9606" s="54">
        <v>0</v>
      </c>
      <c r="AR9606" s="55">
        <v>28500</v>
      </c>
      <c r="AS9606" s="78">
        <f t="shared" si="154"/>
        <v>0</v>
      </c>
    </row>
    <row r="9607" spans="39:45">
      <c r="AM9607" s="55">
        <v>2020</v>
      </c>
      <c r="AN9607" s="55" t="s">
        <v>184</v>
      </c>
      <c r="AO9607" s="55">
        <v>5</v>
      </c>
      <c r="AP9607" s="55">
        <v>5</v>
      </c>
      <c r="AQ9607" s="55">
        <v>0</v>
      </c>
      <c r="AR9607" s="55">
        <v>28500</v>
      </c>
      <c r="AS9607" s="78">
        <f t="shared" si="154"/>
        <v>0</v>
      </c>
    </row>
    <row r="9608" spans="39:45">
      <c r="AM9608" s="54">
        <v>2020</v>
      </c>
      <c r="AN9608" s="54" t="s">
        <v>184</v>
      </c>
      <c r="AO9608" s="54">
        <v>5</v>
      </c>
      <c r="AP9608" s="54">
        <v>6</v>
      </c>
      <c r="AQ9608" s="54">
        <v>0</v>
      </c>
      <c r="AR9608" s="55">
        <v>28500</v>
      </c>
      <c r="AS9608" s="78">
        <f t="shared" si="154"/>
        <v>0</v>
      </c>
    </row>
    <row r="9609" spans="39:45">
      <c r="AM9609" s="55">
        <v>2020</v>
      </c>
      <c r="AN9609" s="55" t="s">
        <v>184</v>
      </c>
      <c r="AO9609" s="55">
        <v>5</v>
      </c>
      <c r="AP9609" s="55">
        <v>7</v>
      </c>
      <c r="AQ9609" s="55">
        <v>0</v>
      </c>
      <c r="AR9609" s="55">
        <v>28500</v>
      </c>
      <c r="AS9609" s="78">
        <f t="shared" si="154"/>
        <v>0</v>
      </c>
    </row>
    <row r="9610" spans="39:45">
      <c r="AM9610" s="54">
        <v>2020</v>
      </c>
      <c r="AN9610" s="54" t="s">
        <v>184</v>
      </c>
      <c r="AO9610" s="54">
        <v>5</v>
      </c>
      <c r="AP9610" s="54">
        <v>8</v>
      </c>
      <c r="AQ9610" s="54">
        <v>1638.5</v>
      </c>
      <c r="AR9610" s="55">
        <v>28500</v>
      </c>
      <c r="AS9610" s="78">
        <f t="shared" si="154"/>
        <v>5.749122807017544E-2</v>
      </c>
    </row>
    <row r="9611" spans="39:45">
      <c r="AM9611" s="55">
        <v>2020</v>
      </c>
      <c r="AN9611" s="55" t="s">
        <v>184</v>
      </c>
      <c r="AO9611" s="55">
        <v>5</v>
      </c>
      <c r="AP9611" s="55">
        <v>9</v>
      </c>
      <c r="AQ9611" s="55">
        <v>11058</v>
      </c>
      <c r="AR9611" s="55">
        <v>28500</v>
      </c>
      <c r="AS9611" s="78">
        <f t="shared" si="154"/>
        <v>0.38800000000000001</v>
      </c>
    </row>
    <row r="9612" spans="39:45">
      <c r="AM9612" s="54">
        <v>2020</v>
      </c>
      <c r="AN9612" s="54" t="s">
        <v>184</v>
      </c>
      <c r="AO9612" s="54">
        <v>5</v>
      </c>
      <c r="AP9612" s="54">
        <v>10</v>
      </c>
      <c r="AQ9612" s="54">
        <v>23052</v>
      </c>
      <c r="AR9612" s="55">
        <v>28500</v>
      </c>
      <c r="AS9612" s="78">
        <f t="shared" si="154"/>
        <v>0.80884210526315792</v>
      </c>
    </row>
    <row r="9613" spans="39:45">
      <c r="AM9613" s="55">
        <v>2020</v>
      </c>
      <c r="AN9613" s="55" t="s">
        <v>184</v>
      </c>
      <c r="AO9613" s="55">
        <v>5</v>
      </c>
      <c r="AP9613" s="55">
        <v>11</v>
      </c>
      <c r="AQ9613" s="55">
        <v>30249.5</v>
      </c>
      <c r="AR9613" s="55">
        <v>28500</v>
      </c>
      <c r="AS9613" s="78">
        <f t="shared" si="154"/>
        <v>1.0613859649122808</v>
      </c>
    </row>
    <row r="9614" spans="39:45">
      <c r="AM9614" s="54">
        <v>2020</v>
      </c>
      <c r="AN9614" s="54" t="s">
        <v>184</v>
      </c>
      <c r="AO9614" s="54">
        <v>5</v>
      </c>
      <c r="AP9614" s="54">
        <v>12</v>
      </c>
      <c r="AQ9614" s="54">
        <v>35425</v>
      </c>
      <c r="AR9614" s="55">
        <v>28500</v>
      </c>
      <c r="AS9614" s="78">
        <f t="shared" si="154"/>
        <v>1.2429824561403509</v>
      </c>
    </row>
    <row r="9615" spans="39:45">
      <c r="AM9615" s="55">
        <v>2020</v>
      </c>
      <c r="AN9615" s="55" t="s">
        <v>184</v>
      </c>
      <c r="AO9615" s="55">
        <v>5</v>
      </c>
      <c r="AP9615" s="55">
        <v>13</v>
      </c>
      <c r="AQ9615" s="55">
        <v>28544</v>
      </c>
      <c r="AR9615" s="55">
        <v>28500</v>
      </c>
      <c r="AS9615" s="78">
        <f t="shared" si="154"/>
        <v>1.0015438596491228</v>
      </c>
    </row>
    <row r="9616" spans="39:45">
      <c r="AM9616" s="54">
        <v>2020</v>
      </c>
      <c r="AN9616" s="54" t="s">
        <v>184</v>
      </c>
      <c r="AO9616" s="54">
        <v>5</v>
      </c>
      <c r="AP9616" s="54">
        <v>14</v>
      </c>
      <c r="AQ9616" s="54">
        <v>15444.5</v>
      </c>
      <c r="AR9616" s="55">
        <v>28500</v>
      </c>
      <c r="AS9616" s="78">
        <f t="shared" si="154"/>
        <v>0.54191228070175435</v>
      </c>
    </row>
    <row r="9617" spans="39:45">
      <c r="AM9617" s="55">
        <v>2020</v>
      </c>
      <c r="AN9617" s="55" t="s">
        <v>184</v>
      </c>
      <c r="AO9617" s="55">
        <v>5</v>
      </c>
      <c r="AP9617" s="55">
        <v>15</v>
      </c>
      <c r="AQ9617" s="55">
        <v>17701.5</v>
      </c>
      <c r="AR9617" s="55">
        <v>28500</v>
      </c>
      <c r="AS9617" s="78">
        <f t="shared" si="154"/>
        <v>0.62110526315789472</v>
      </c>
    </row>
    <row r="9618" spans="39:45">
      <c r="AM9618" s="54">
        <v>2020</v>
      </c>
      <c r="AN9618" s="54" t="s">
        <v>184</v>
      </c>
      <c r="AO9618" s="54">
        <v>5</v>
      </c>
      <c r="AP9618" s="54">
        <v>16</v>
      </c>
      <c r="AQ9618" s="54">
        <v>8273</v>
      </c>
      <c r="AR9618" s="55">
        <v>28500</v>
      </c>
      <c r="AS9618" s="78">
        <f t="shared" si="154"/>
        <v>0.29028070175438597</v>
      </c>
    </row>
    <row r="9619" spans="39:45">
      <c r="AM9619" s="55">
        <v>2020</v>
      </c>
      <c r="AN9619" s="55" t="s">
        <v>184</v>
      </c>
      <c r="AO9619" s="55">
        <v>5</v>
      </c>
      <c r="AP9619" s="55">
        <v>17</v>
      </c>
      <c r="AQ9619" s="55">
        <v>0</v>
      </c>
      <c r="AR9619" s="55">
        <v>28500</v>
      </c>
      <c r="AS9619" s="78">
        <f t="shared" si="154"/>
        <v>0</v>
      </c>
    </row>
    <row r="9620" spans="39:45">
      <c r="AM9620" s="54">
        <v>2020</v>
      </c>
      <c r="AN9620" s="54" t="s">
        <v>184</v>
      </c>
      <c r="AO9620" s="54">
        <v>5</v>
      </c>
      <c r="AP9620" s="54">
        <v>18</v>
      </c>
      <c r="AQ9620" s="54">
        <v>0</v>
      </c>
      <c r="AR9620" s="55">
        <v>28500</v>
      </c>
      <c r="AS9620" s="78">
        <f t="shared" si="154"/>
        <v>0</v>
      </c>
    </row>
    <row r="9621" spans="39:45">
      <c r="AM9621" s="55">
        <v>2020</v>
      </c>
      <c r="AN9621" s="55" t="s">
        <v>184</v>
      </c>
      <c r="AO9621" s="55">
        <v>5</v>
      </c>
      <c r="AP9621" s="55">
        <v>19</v>
      </c>
      <c r="AQ9621" s="55">
        <v>0</v>
      </c>
      <c r="AR9621" s="55">
        <v>28500</v>
      </c>
      <c r="AS9621" s="78">
        <f t="shared" si="154"/>
        <v>0</v>
      </c>
    </row>
    <row r="9622" spans="39:45">
      <c r="AM9622" s="54">
        <v>2020</v>
      </c>
      <c r="AN9622" s="54" t="s">
        <v>184</v>
      </c>
      <c r="AO9622" s="54">
        <v>5</v>
      </c>
      <c r="AP9622" s="54">
        <v>20</v>
      </c>
      <c r="AQ9622" s="54">
        <v>0</v>
      </c>
      <c r="AR9622" s="55">
        <v>28500</v>
      </c>
      <c r="AS9622" s="78">
        <f t="shared" si="154"/>
        <v>0</v>
      </c>
    </row>
    <row r="9623" spans="39:45">
      <c r="AM9623" s="55">
        <v>2020</v>
      </c>
      <c r="AN9623" s="55" t="s">
        <v>184</v>
      </c>
      <c r="AO9623" s="55">
        <v>5</v>
      </c>
      <c r="AP9623" s="55">
        <v>21</v>
      </c>
      <c r="AQ9623" s="55">
        <v>0</v>
      </c>
      <c r="AR9623" s="55">
        <v>28500</v>
      </c>
      <c r="AS9623" s="78">
        <f t="shared" si="154"/>
        <v>0</v>
      </c>
    </row>
    <row r="9624" spans="39:45">
      <c r="AM9624" s="54">
        <v>2020</v>
      </c>
      <c r="AN9624" s="54" t="s">
        <v>184</v>
      </c>
      <c r="AO9624" s="54">
        <v>5</v>
      </c>
      <c r="AP9624" s="54">
        <v>22</v>
      </c>
      <c r="AQ9624" s="54">
        <v>0</v>
      </c>
      <c r="AR9624" s="55">
        <v>28500</v>
      </c>
      <c r="AS9624" s="78">
        <f t="shared" si="154"/>
        <v>0</v>
      </c>
    </row>
    <row r="9625" spans="39:45">
      <c r="AM9625" s="55">
        <v>2020</v>
      </c>
      <c r="AN9625" s="55" t="s">
        <v>184</v>
      </c>
      <c r="AO9625" s="55">
        <v>5</v>
      </c>
      <c r="AP9625" s="55">
        <v>23</v>
      </c>
      <c r="AQ9625" s="55">
        <v>0</v>
      </c>
      <c r="AR9625" s="55">
        <v>28500</v>
      </c>
      <c r="AS9625" s="78">
        <f t="shared" si="154"/>
        <v>0</v>
      </c>
    </row>
    <row r="9626" spans="39:45">
      <c r="AM9626" s="54">
        <v>2020</v>
      </c>
      <c r="AN9626" s="54" t="s">
        <v>184</v>
      </c>
      <c r="AO9626" s="54">
        <v>6</v>
      </c>
      <c r="AP9626" s="54">
        <v>24</v>
      </c>
      <c r="AQ9626" s="54">
        <v>0</v>
      </c>
      <c r="AR9626" s="55">
        <v>28500</v>
      </c>
      <c r="AS9626" s="78">
        <f t="shared" si="154"/>
        <v>0</v>
      </c>
    </row>
    <row r="9627" spans="39:45">
      <c r="AM9627" s="55">
        <v>2020</v>
      </c>
      <c r="AN9627" s="55" t="s">
        <v>184</v>
      </c>
      <c r="AO9627" s="55">
        <v>6</v>
      </c>
      <c r="AP9627" s="55">
        <v>1</v>
      </c>
      <c r="AQ9627" s="55">
        <v>0</v>
      </c>
      <c r="AR9627" s="55">
        <v>28500</v>
      </c>
      <c r="AS9627" s="78">
        <f t="shared" si="154"/>
        <v>0</v>
      </c>
    </row>
    <row r="9628" spans="39:45">
      <c r="AM9628" s="54">
        <v>2020</v>
      </c>
      <c r="AN9628" s="54" t="s">
        <v>184</v>
      </c>
      <c r="AO9628" s="54">
        <v>6</v>
      </c>
      <c r="AP9628" s="54">
        <v>2</v>
      </c>
      <c r="AQ9628" s="54">
        <v>0</v>
      </c>
      <c r="AR9628" s="55">
        <v>28500</v>
      </c>
      <c r="AS9628" s="78">
        <f t="shared" si="154"/>
        <v>0</v>
      </c>
    </row>
    <row r="9629" spans="39:45">
      <c r="AM9629" s="55">
        <v>2020</v>
      </c>
      <c r="AN9629" s="55" t="s">
        <v>184</v>
      </c>
      <c r="AO9629" s="55">
        <v>6</v>
      </c>
      <c r="AP9629" s="55">
        <v>3</v>
      </c>
      <c r="AQ9629" s="55">
        <v>0</v>
      </c>
      <c r="AR9629" s="55">
        <v>28500</v>
      </c>
      <c r="AS9629" s="78">
        <f t="shared" si="154"/>
        <v>0</v>
      </c>
    </row>
    <row r="9630" spans="39:45">
      <c r="AM9630" s="54">
        <v>2020</v>
      </c>
      <c r="AN9630" s="54" t="s">
        <v>184</v>
      </c>
      <c r="AO9630" s="54">
        <v>6</v>
      </c>
      <c r="AP9630" s="54">
        <v>4</v>
      </c>
      <c r="AQ9630" s="54">
        <v>0</v>
      </c>
      <c r="AR9630" s="55">
        <v>28500</v>
      </c>
      <c r="AS9630" s="78">
        <f t="shared" si="154"/>
        <v>0</v>
      </c>
    </row>
    <row r="9631" spans="39:45">
      <c r="AM9631" s="55">
        <v>2020</v>
      </c>
      <c r="AN9631" s="55" t="s">
        <v>184</v>
      </c>
      <c r="AO9631" s="55">
        <v>6</v>
      </c>
      <c r="AP9631" s="55">
        <v>5</v>
      </c>
      <c r="AQ9631" s="55">
        <v>0</v>
      </c>
      <c r="AR9631" s="55">
        <v>28500</v>
      </c>
      <c r="AS9631" s="78">
        <f t="shared" si="154"/>
        <v>0</v>
      </c>
    </row>
    <row r="9632" spans="39:45">
      <c r="AM9632" s="54">
        <v>2020</v>
      </c>
      <c r="AN9632" s="54" t="s">
        <v>184</v>
      </c>
      <c r="AO9632" s="54">
        <v>6</v>
      </c>
      <c r="AP9632" s="54">
        <v>6</v>
      </c>
      <c r="AQ9632" s="54">
        <v>0</v>
      </c>
      <c r="AR9632" s="55">
        <v>28500</v>
      </c>
      <c r="AS9632" s="78">
        <f t="shared" si="154"/>
        <v>0</v>
      </c>
    </row>
    <row r="9633" spans="39:45">
      <c r="AM9633" s="55">
        <v>2020</v>
      </c>
      <c r="AN9633" s="55" t="s">
        <v>184</v>
      </c>
      <c r="AO9633" s="55">
        <v>6</v>
      </c>
      <c r="AP9633" s="55">
        <v>7</v>
      </c>
      <c r="AQ9633" s="55">
        <v>0</v>
      </c>
      <c r="AR9633" s="55">
        <v>28500</v>
      </c>
      <c r="AS9633" s="78">
        <f t="shared" si="154"/>
        <v>0</v>
      </c>
    </row>
    <row r="9634" spans="39:45">
      <c r="AM9634" s="54">
        <v>2020</v>
      </c>
      <c r="AN9634" s="54" t="s">
        <v>184</v>
      </c>
      <c r="AO9634" s="54">
        <v>6</v>
      </c>
      <c r="AP9634" s="54">
        <v>8</v>
      </c>
      <c r="AQ9634" s="54">
        <v>6786</v>
      </c>
      <c r="AR9634" s="55">
        <v>28500</v>
      </c>
      <c r="AS9634" s="78">
        <f t="shared" si="154"/>
        <v>0.23810526315789474</v>
      </c>
    </row>
    <row r="9635" spans="39:45">
      <c r="AM9635" s="55">
        <v>2020</v>
      </c>
      <c r="AN9635" s="55" t="s">
        <v>184</v>
      </c>
      <c r="AO9635" s="55">
        <v>6</v>
      </c>
      <c r="AP9635" s="55">
        <v>9</v>
      </c>
      <c r="AQ9635" s="55">
        <v>15384</v>
      </c>
      <c r="AR9635" s="55">
        <v>28500</v>
      </c>
      <c r="AS9635" s="78">
        <f t="shared" si="154"/>
        <v>0.53978947368421049</v>
      </c>
    </row>
    <row r="9636" spans="39:45">
      <c r="AM9636" s="54">
        <v>2020</v>
      </c>
      <c r="AN9636" s="54" t="s">
        <v>184</v>
      </c>
      <c r="AO9636" s="54">
        <v>6</v>
      </c>
      <c r="AP9636" s="54">
        <v>10</v>
      </c>
      <c r="AQ9636" s="54">
        <v>29208.5</v>
      </c>
      <c r="AR9636" s="55">
        <v>28500</v>
      </c>
      <c r="AS9636" s="78">
        <f t="shared" si="154"/>
        <v>1.024859649122807</v>
      </c>
    </row>
    <row r="9637" spans="39:45">
      <c r="AM9637" s="55">
        <v>2020</v>
      </c>
      <c r="AN9637" s="55" t="s">
        <v>184</v>
      </c>
      <c r="AO9637" s="55">
        <v>6</v>
      </c>
      <c r="AP9637" s="55">
        <v>11</v>
      </c>
      <c r="AQ9637" s="55">
        <v>29294</v>
      </c>
      <c r="AR9637" s="55">
        <v>28500</v>
      </c>
      <c r="AS9637" s="78">
        <f t="shared" si="154"/>
        <v>1.0278596491228069</v>
      </c>
    </row>
    <row r="9638" spans="39:45">
      <c r="AM9638" s="54">
        <v>2020</v>
      </c>
      <c r="AN9638" s="54" t="s">
        <v>184</v>
      </c>
      <c r="AO9638" s="54">
        <v>6</v>
      </c>
      <c r="AP9638" s="54">
        <v>12</v>
      </c>
      <c r="AQ9638" s="54">
        <v>35287.5</v>
      </c>
      <c r="AR9638" s="55">
        <v>28500</v>
      </c>
      <c r="AS9638" s="78">
        <f t="shared" si="154"/>
        <v>1.2381578947368421</v>
      </c>
    </row>
    <row r="9639" spans="39:45">
      <c r="AM9639" s="55">
        <v>2020</v>
      </c>
      <c r="AN9639" s="55" t="s">
        <v>184</v>
      </c>
      <c r="AO9639" s="55">
        <v>6</v>
      </c>
      <c r="AP9639" s="55">
        <v>13</v>
      </c>
      <c r="AQ9639" s="55">
        <v>34194.5</v>
      </c>
      <c r="AR9639" s="55">
        <v>28500</v>
      </c>
      <c r="AS9639" s="78">
        <f t="shared" si="154"/>
        <v>1.1998070175438595</v>
      </c>
    </row>
    <row r="9640" spans="39:45">
      <c r="AM9640" s="54">
        <v>2020</v>
      </c>
      <c r="AN9640" s="54" t="s">
        <v>184</v>
      </c>
      <c r="AO9640" s="54">
        <v>6</v>
      </c>
      <c r="AP9640" s="54">
        <v>14</v>
      </c>
      <c r="AQ9640" s="54">
        <v>29813</v>
      </c>
      <c r="AR9640" s="55">
        <v>28500</v>
      </c>
      <c r="AS9640" s="78">
        <f t="shared" si="154"/>
        <v>1.0460701754385966</v>
      </c>
    </row>
    <row r="9641" spans="39:45">
      <c r="AM9641" s="55">
        <v>2020</v>
      </c>
      <c r="AN9641" s="55" t="s">
        <v>184</v>
      </c>
      <c r="AO9641" s="55">
        <v>6</v>
      </c>
      <c r="AP9641" s="55">
        <v>15</v>
      </c>
      <c r="AQ9641" s="55">
        <v>19308</v>
      </c>
      <c r="AR9641" s="55">
        <v>28500</v>
      </c>
      <c r="AS9641" s="78">
        <f t="shared" si="154"/>
        <v>0.67747368421052634</v>
      </c>
    </row>
    <row r="9642" spans="39:45">
      <c r="AM9642" s="54">
        <v>2020</v>
      </c>
      <c r="AN9642" s="54" t="s">
        <v>184</v>
      </c>
      <c r="AO9642" s="54">
        <v>6</v>
      </c>
      <c r="AP9642" s="54">
        <v>16</v>
      </c>
      <c r="AQ9642" s="54">
        <v>7996</v>
      </c>
      <c r="AR9642" s="55">
        <v>28500</v>
      </c>
      <c r="AS9642" s="78">
        <f t="shared" si="154"/>
        <v>0.28056140350877196</v>
      </c>
    </row>
    <row r="9643" spans="39:45">
      <c r="AM9643" s="55">
        <v>2020</v>
      </c>
      <c r="AN9643" s="55" t="s">
        <v>184</v>
      </c>
      <c r="AO9643" s="55">
        <v>6</v>
      </c>
      <c r="AP9643" s="55">
        <v>17</v>
      </c>
      <c r="AQ9643" s="55">
        <v>0</v>
      </c>
      <c r="AR9643" s="55">
        <v>28500</v>
      </c>
      <c r="AS9643" s="78">
        <f t="shared" si="154"/>
        <v>0</v>
      </c>
    </row>
    <row r="9644" spans="39:45">
      <c r="AM9644" s="54">
        <v>2020</v>
      </c>
      <c r="AN9644" s="54" t="s">
        <v>184</v>
      </c>
      <c r="AO9644" s="54">
        <v>6</v>
      </c>
      <c r="AP9644" s="54">
        <v>18</v>
      </c>
      <c r="AQ9644" s="54">
        <v>0</v>
      </c>
      <c r="AR9644" s="55">
        <v>28500</v>
      </c>
      <c r="AS9644" s="78">
        <f t="shared" si="154"/>
        <v>0</v>
      </c>
    </row>
    <row r="9645" spans="39:45">
      <c r="AM9645" s="55">
        <v>2020</v>
      </c>
      <c r="AN9645" s="55" t="s">
        <v>184</v>
      </c>
      <c r="AO9645" s="55">
        <v>6</v>
      </c>
      <c r="AP9645" s="55">
        <v>19</v>
      </c>
      <c r="AQ9645" s="55">
        <v>0</v>
      </c>
      <c r="AR9645" s="55">
        <v>28500</v>
      </c>
      <c r="AS9645" s="78">
        <f t="shared" si="154"/>
        <v>0</v>
      </c>
    </row>
    <row r="9646" spans="39:45">
      <c r="AM9646" s="54">
        <v>2020</v>
      </c>
      <c r="AN9646" s="54" t="s">
        <v>184</v>
      </c>
      <c r="AO9646" s="54">
        <v>6</v>
      </c>
      <c r="AP9646" s="54">
        <v>20</v>
      </c>
      <c r="AQ9646" s="54">
        <v>0</v>
      </c>
      <c r="AR9646" s="55">
        <v>28500</v>
      </c>
      <c r="AS9646" s="78">
        <f t="shared" si="154"/>
        <v>0</v>
      </c>
    </row>
    <row r="9647" spans="39:45">
      <c r="AM9647" s="55">
        <v>2020</v>
      </c>
      <c r="AN9647" s="55" t="s">
        <v>184</v>
      </c>
      <c r="AO9647" s="55">
        <v>6</v>
      </c>
      <c r="AP9647" s="55">
        <v>21</v>
      </c>
      <c r="AQ9647" s="55">
        <v>0</v>
      </c>
      <c r="AR9647" s="55">
        <v>28500</v>
      </c>
      <c r="AS9647" s="78">
        <f t="shared" si="154"/>
        <v>0</v>
      </c>
    </row>
    <row r="9648" spans="39:45">
      <c r="AM9648" s="54">
        <v>2020</v>
      </c>
      <c r="AN9648" s="54" t="s">
        <v>184</v>
      </c>
      <c r="AO9648" s="54">
        <v>6</v>
      </c>
      <c r="AP9648" s="54">
        <v>22</v>
      </c>
      <c r="AQ9648" s="54">
        <v>0</v>
      </c>
      <c r="AR9648" s="55">
        <v>28500</v>
      </c>
      <c r="AS9648" s="78">
        <f t="shared" si="154"/>
        <v>0</v>
      </c>
    </row>
    <row r="9649" spans="39:45">
      <c r="AM9649" s="55">
        <v>2020</v>
      </c>
      <c r="AN9649" s="55" t="s">
        <v>184</v>
      </c>
      <c r="AO9649" s="55">
        <v>6</v>
      </c>
      <c r="AP9649" s="55">
        <v>23</v>
      </c>
      <c r="AQ9649" s="55">
        <v>0</v>
      </c>
      <c r="AR9649" s="55">
        <v>28500</v>
      </c>
      <c r="AS9649" s="78">
        <f t="shared" si="154"/>
        <v>0</v>
      </c>
    </row>
    <row r="9650" spans="39:45">
      <c r="AM9650" s="54">
        <v>2020</v>
      </c>
      <c r="AN9650" s="54" t="s">
        <v>184</v>
      </c>
      <c r="AO9650" s="54">
        <v>7</v>
      </c>
      <c r="AP9650" s="54">
        <v>24</v>
      </c>
      <c r="AQ9650" s="54">
        <v>0</v>
      </c>
      <c r="AR9650" s="55">
        <v>28500</v>
      </c>
      <c r="AS9650" s="78">
        <f t="shared" si="154"/>
        <v>0</v>
      </c>
    </row>
    <row r="9651" spans="39:45">
      <c r="AM9651" s="55">
        <v>2020</v>
      </c>
      <c r="AN9651" s="55" t="s">
        <v>184</v>
      </c>
      <c r="AO9651" s="55">
        <v>7</v>
      </c>
      <c r="AP9651" s="55">
        <v>1</v>
      </c>
      <c r="AQ9651" s="55">
        <v>0</v>
      </c>
      <c r="AR9651" s="55">
        <v>28500</v>
      </c>
      <c r="AS9651" s="78">
        <f t="shared" si="154"/>
        <v>0</v>
      </c>
    </row>
    <row r="9652" spans="39:45">
      <c r="AM9652" s="54">
        <v>2020</v>
      </c>
      <c r="AN9652" s="54" t="s">
        <v>184</v>
      </c>
      <c r="AO9652" s="54">
        <v>7</v>
      </c>
      <c r="AP9652" s="54">
        <v>2</v>
      </c>
      <c r="AQ9652" s="54">
        <v>0</v>
      </c>
      <c r="AR9652" s="55">
        <v>28500</v>
      </c>
      <c r="AS9652" s="78">
        <f t="shared" si="154"/>
        <v>0</v>
      </c>
    </row>
    <row r="9653" spans="39:45">
      <c r="AM9653" s="55">
        <v>2020</v>
      </c>
      <c r="AN9653" s="55" t="s">
        <v>184</v>
      </c>
      <c r="AO9653" s="55">
        <v>7</v>
      </c>
      <c r="AP9653" s="55">
        <v>3</v>
      </c>
      <c r="AQ9653" s="55">
        <v>0</v>
      </c>
      <c r="AR9653" s="55">
        <v>28500</v>
      </c>
      <c r="AS9653" s="78">
        <f t="shared" si="154"/>
        <v>0</v>
      </c>
    </row>
    <row r="9654" spans="39:45">
      <c r="AM9654" s="54">
        <v>2020</v>
      </c>
      <c r="AN9654" s="54" t="s">
        <v>184</v>
      </c>
      <c r="AO9654" s="54">
        <v>7</v>
      </c>
      <c r="AP9654" s="54">
        <v>4</v>
      </c>
      <c r="AQ9654" s="54">
        <v>0</v>
      </c>
      <c r="AR9654" s="55">
        <v>28500</v>
      </c>
      <c r="AS9654" s="78">
        <f t="shared" si="154"/>
        <v>0</v>
      </c>
    </row>
    <row r="9655" spans="39:45">
      <c r="AM9655" s="55">
        <v>2020</v>
      </c>
      <c r="AN9655" s="55" t="s">
        <v>184</v>
      </c>
      <c r="AO9655" s="55">
        <v>7</v>
      </c>
      <c r="AP9655" s="55">
        <v>5</v>
      </c>
      <c r="AQ9655" s="55">
        <v>0</v>
      </c>
      <c r="AR9655" s="55">
        <v>28500</v>
      </c>
      <c r="AS9655" s="78">
        <f t="shared" si="154"/>
        <v>0</v>
      </c>
    </row>
    <row r="9656" spans="39:45">
      <c r="AM9656" s="54">
        <v>2020</v>
      </c>
      <c r="AN9656" s="54" t="s">
        <v>184</v>
      </c>
      <c r="AO9656" s="54">
        <v>7</v>
      </c>
      <c r="AP9656" s="54">
        <v>6</v>
      </c>
      <c r="AQ9656" s="54">
        <v>0</v>
      </c>
      <c r="AR9656" s="55">
        <v>28500</v>
      </c>
      <c r="AS9656" s="78">
        <f t="shared" si="154"/>
        <v>0</v>
      </c>
    </row>
    <row r="9657" spans="39:45">
      <c r="AM9657" s="55">
        <v>2020</v>
      </c>
      <c r="AN9657" s="55" t="s">
        <v>184</v>
      </c>
      <c r="AO9657" s="55">
        <v>7</v>
      </c>
      <c r="AP9657" s="55">
        <v>7</v>
      </c>
      <c r="AQ9657" s="55">
        <v>0</v>
      </c>
      <c r="AR9657" s="55">
        <v>28500</v>
      </c>
      <c r="AS9657" s="78">
        <f t="shared" si="154"/>
        <v>0</v>
      </c>
    </row>
    <row r="9658" spans="39:45">
      <c r="AM9658" s="54">
        <v>2020</v>
      </c>
      <c r="AN9658" s="54" t="s">
        <v>184</v>
      </c>
      <c r="AO9658" s="54">
        <v>7</v>
      </c>
      <c r="AP9658" s="54">
        <v>8</v>
      </c>
      <c r="AQ9658" s="54">
        <v>6853</v>
      </c>
      <c r="AR9658" s="55">
        <v>28500</v>
      </c>
      <c r="AS9658" s="78">
        <f t="shared" si="154"/>
        <v>0.2404561403508772</v>
      </c>
    </row>
    <row r="9659" spans="39:45">
      <c r="AM9659" s="55">
        <v>2020</v>
      </c>
      <c r="AN9659" s="55" t="s">
        <v>184</v>
      </c>
      <c r="AO9659" s="55">
        <v>7</v>
      </c>
      <c r="AP9659" s="55">
        <v>9</v>
      </c>
      <c r="AQ9659" s="55">
        <v>16016.5</v>
      </c>
      <c r="AR9659" s="55">
        <v>28500</v>
      </c>
      <c r="AS9659" s="78">
        <f t="shared" si="154"/>
        <v>0.56198245614035092</v>
      </c>
    </row>
    <row r="9660" spans="39:45">
      <c r="AM9660" s="54">
        <v>2020</v>
      </c>
      <c r="AN9660" s="54" t="s">
        <v>184</v>
      </c>
      <c r="AO9660" s="54">
        <v>7</v>
      </c>
      <c r="AP9660" s="54">
        <v>10</v>
      </c>
      <c r="AQ9660" s="54">
        <v>30308.5</v>
      </c>
      <c r="AR9660" s="55">
        <v>28500</v>
      </c>
      <c r="AS9660" s="78">
        <f t="shared" si="154"/>
        <v>1.0634561403508771</v>
      </c>
    </row>
    <row r="9661" spans="39:45">
      <c r="AM9661" s="55">
        <v>2020</v>
      </c>
      <c r="AN9661" s="55" t="s">
        <v>184</v>
      </c>
      <c r="AO9661" s="55">
        <v>7</v>
      </c>
      <c r="AP9661" s="55">
        <v>11</v>
      </c>
      <c r="AQ9661" s="55">
        <v>32619</v>
      </c>
      <c r="AR9661" s="55">
        <v>28500</v>
      </c>
      <c r="AS9661" s="78">
        <f t="shared" si="154"/>
        <v>1.1445263157894736</v>
      </c>
    </row>
    <row r="9662" spans="39:45">
      <c r="AM9662" s="54">
        <v>2020</v>
      </c>
      <c r="AN9662" s="54" t="s">
        <v>184</v>
      </c>
      <c r="AO9662" s="54">
        <v>7</v>
      </c>
      <c r="AP9662" s="54">
        <v>12</v>
      </c>
      <c r="AQ9662" s="54">
        <v>36983.5</v>
      </c>
      <c r="AR9662" s="55">
        <v>28500</v>
      </c>
      <c r="AS9662" s="78">
        <f t="shared" si="154"/>
        <v>1.2976666666666667</v>
      </c>
    </row>
    <row r="9663" spans="39:45">
      <c r="AM9663" s="55">
        <v>2020</v>
      </c>
      <c r="AN9663" s="55" t="s">
        <v>184</v>
      </c>
      <c r="AO9663" s="55">
        <v>7</v>
      </c>
      <c r="AP9663" s="55">
        <v>13</v>
      </c>
      <c r="AQ9663" s="55">
        <v>19666</v>
      </c>
      <c r="AR9663" s="55">
        <v>28500</v>
      </c>
      <c r="AS9663" s="78">
        <f t="shared" si="154"/>
        <v>0.69003508771929822</v>
      </c>
    </row>
    <row r="9664" spans="39:45">
      <c r="AM9664" s="54">
        <v>2020</v>
      </c>
      <c r="AN9664" s="54" t="s">
        <v>184</v>
      </c>
      <c r="AO9664" s="54">
        <v>7</v>
      </c>
      <c r="AP9664" s="54">
        <v>14</v>
      </c>
      <c r="AQ9664" s="54">
        <v>19535.5</v>
      </c>
      <c r="AR9664" s="55">
        <v>28500</v>
      </c>
      <c r="AS9664" s="78">
        <f t="shared" si="154"/>
        <v>0.68545614035087721</v>
      </c>
    </row>
    <row r="9665" spans="39:45">
      <c r="AM9665" s="55">
        <v>2020</v>
      </c>
      <c r="AN9665" s="55" t="s">
        <v>184</v>
      </c>
      <c r="AO9665" s="55">
        <v>7</v>
      </c>
      <c r="AP9665" s="55">
        <v>15</v>
      </c>
      <c r="AQ9665" s="55">
        <v>8802.5</v>
      </c>
      <c r="AR9665" s="55">
        <v>28500</v>
      </c>
      <c r="AS9665" s="78">
        <f t="shared" si="154"/>
        <v>0.308859649122807</v>
      </c>
    </row>
    <row r="9666" spans="39:45">
      <c r="AM9666" s="54">
        <v>2020</v>
      </c>
      <c r="AN9666" s="54" t="s">
        <v>184</v>
      </c>
      <c r="AO9666" s="54">
        <v>7</v>
      </c>
      <c r="AP9666" s="54">
        <v>16</v>
      </c>
      <c r="AQ9666" s="54">
        <v>33</v>
      </c>
      <c r="AR9666" s="55">
        <v>28500</v>
      </c>
      <c r="AS9666" s="78">
        <f t="shared" ref="AS9666:AS9729" si="155">AQ9666/AR9666</f>
        <v>1.1578947368421054E-3</v>
      </c>
    </row>
    <row r="9667" spans="39:45">
      <c r="AM9667" s="55">
        <v>2020</v>
      </c>
      <c r="AN9667" s="55" t="s">
        <v>184</v>
      </c>
      <c r="AO9667" s="55">
        <v>7</v>
      </c>
      <c r="AP9667" s="55">
        <v>17</v>
      </c>
      <c r="AQ9667" s="55">
        <v>0</v>
      </c>
      <c r="AR9667" s="55">
        <v>28500</v>
      </c>
      <c r="AS9667" s="78">
        <f t="shared" si="155"/>
        <v>0</v>
      </c>
    </row>
    <row r="9668" spans="39:45">
      <c r="AM9668" s="54">
        <v>2020</v>
      </c>
      <c r="AN9668" s="54" t="s">
        <v>184</v>
      </c>
      <c r="AO9668" s="54">
        <v>7</v>
      </c>
      <c r="AP9668" s="54">
        <v>18</v>
      </c>
      <c r="AQ9668" s="54">
        <v>0</v>
      </c>
      <c r="AR9668" s="55">
        <v>28500</v>
      </c>
      <c r="AS9668" s="78">
        <f t="shared" si="155"/>
        <v>0</v>
      </c>
    </row>
    <row r="9669" spans="39:45">
      <c r="AM9669" s="55">
        <v>2020</v>
      </c>
      <c r="AN9669" s="55" t="s">
        <v>184</v>
      </c>
      <c r="AO9669" s="55">
        <v>7</v>
      </c>
      <c r="AP9669" s="55">
        <v>19</v>
      </c>
      <c r="AQ9669" s="55">
        <v>0</v>
      </c>
      <c r="AR9669" s="55">
        <v>28500</v>
      </c>
      <c r="AS9669" s="78">
        <f t="shared" si="155"/>
        <v>0</v>
      </c>
    </row>
    <row r="9670" spans="39:45">
      <c r="AM9670" s="54">
        <v>2020</v>
      </c>
      <c r="AN9670" s="54" t="s">
        <v>184</v>
      </c>
      <c r="AO9670" s="54">
        <v>7</v>
      </c>
      <c r="AP9670" s="54">
        <v>20</v>
      </c>
      <c r="AQ9670" s="54">
        <v>0</v>
      </c>
      <c r="AR9670" s="55">
        <v>28500</v>
      </c>
      <c r="AS9670" s="78">
        <f t="shared" si="155"/>
        <v>0</v>
      </c>
    </row>
    <row r="9671" spans="39:45">
      <c r="AM9671" s="55">
        <v>2020</v>
      </c>
      <c r="AN9671" s="55" t="s">
        <v>184</v>
      </c>
      <c r="AO9671" s="55">
        <v>7</v>
      </c>
      <c r="AP9671" s="55">
        <v>21</v>
      </c>
      <c r="AQ9671" s="55">
        <v>0</v>
      </c>
      <c r="AR9671" s="55">
        <v>28500</v>
      </c>
      <c r="AS9671" s="78">
        <f t="shared" si="155"/>
        <v>0</v>
      </c>
    </row>
    <row r="9672" spans="39:45">
      <c r="AM9672" s="54">
        <v>2020</v>
      </c>
      <c r="AN9672" s="54" t="s">
        <v>184</v>
      </c>
      <c r="AO9672" s="54">
        <v>7</v>
      </c>
      <c r="AP9672" s="54">
        <v>22</v>
      </c>
      <c r="AQ9672" s="54">
        <v>0</v>
      </c>
      <c r="AR9672" s="55">
        <v>28500</v>
      </c>
      <c r="AS9672" s="78">
        <f t="shared" si="155"/>
        <v>0</v>
      </c>
    </row>
    <row r="9673" spans="39:45">
      <c r="AM9673" s="55">
        <v>2020</v>
      </c>
      <c r="AN9673" s="55" t="s">
        <v>184</v>
      </c>
      <c r="AO9673" s="55">
        <v>7</v>
      </c>
      <c r="AP9673" s="55">
        <v>23</v>
      </c>
      <c r="AQ9673" s="55">
        <v>0</v>
      </c>
      <c r="AR9673" s="55">
        <v>28500</v>
      </c>
      <c r="AS9673" s="78">
        <f t="shared" si="155"/>
        <v>0</v>
      </c>
    </row>
    <row r="9674" spans="39:45">
      <c r="AM9674" s="54">
        <v>2020</v>
      </c>
      <c r="AN9674" s="54" t="s">
        <v>184</v>
      </c>
      <c r="AO9674" s="54">
        <v>8</v>
      </c>
      <c r="AP9674" s="54">
        <v>24</v>
      </c>
      <c r="AQ9674" s="54">
        <v>0</v>
      </c>
      <c r="AR9674" s="55">
        <v>28500</v>
      </c>
      <c r="AS9674" s="78">
        <f t="shared" si="155"/>
        <v>0</v>
      </c>
    </row>
    <row r="9675" spans="39:45">
      <c r="AM9675" s="55">
        <v>2020</v>
      </c>
      <c r="AN9675" s="55" t="s">
        <v>184</v>
      </c>
      <c r="AO9675" s="55">
        <v>8</v>
      </c>
      <c r="AP9675" s="55">
        <v>1</v>
      </c>
      <c r="AQ9675" s="55">
        <v>0</v>
      </c>
      <c r="AR9675" s="55">
        <v>28500</v>
      </c>
      <c r="AS9675" s="78">
        <f t="shared" si="155"/>
        <v>0</v>
      </c>
    </row>
    <row r="9676" spans="39:45">
      <c r="AM9676" s="54">
        <v>2020</v>
      </c>
      <c r="AN9676" s="54" t="s">
        <v>184</v>
      </c>
      <c r="AO9676" s="54">
        <v>8</v>
      </c>
      <c r="AP9676" s="54">
        <v>2</v>
      </c>
      <c r="AQ9676" s="54">
        <v>0</v>
      </c>
      <c r="AR9676" s="55">
        <v>28500</v>
      </c>
      <c r="AS9676" s="78">
        <f t="shared" si="155"/>
        <v>0</v>
      </c>
    </row>
    <row r="9677" spans="39:45">
      <c r="AM9677" s="55">
        <v>2020</v>
      </c>
      <c r="AN9677" s="55" t="s">
        <v>184</v>
      </c>
      <c r="AO9677" s="55">
        <v>8</v>
      </c>
      <c r="AP9677" s="55">
        <v>3</v>
      </c>
      <c r="AQ9677" s="55">
        <v>0</v>
      </c>
      <c r="AR9677" s="55">
        <v>28500</v>
      </c>
      <c r="AS9677" s="78">
        <f t="shared" si="155"/>
        <v>0</v>
      </c>
    </row>
    <row r="9678" spans="39:45">
      <c r="AM9678" s="54">
        <v>2020</v>
      </c>
      <c r="AN9678" s="54" t="s">
        <v>184</v>
      </c>
      <c r="AO9678" s="54">
        <v>8</v>
      </c>
      <c r="AP9678" s="54">
        <v>4</v>
      </c>
      <c r="AQ9678" s="54">
        <v>0</v>
      </c>
      <c r="AR9678" s="55">
        <v>28500</v>
      </c>
      <c r="AS9678" s="78">
        <f t="shared" si="155"/>
        <v>0</v>
      </c>
    </row>
    <row r="9679" spans="39:45">
      <c r="AM9679" s="55">
        <v>2020</v>
      </c>
      <c r="AN9679" s="55" t="s">
        <v>184</v>
      </c>
      <c r="AO9679" s="55">
        <v>8</v>
      </c>
      <c r="AP9679" s="55">
        <v>5</v>
      </c>
      <c r="AQ9679" s="55">
        <v>0</v>
      </c>
      <c r="AR9679" s="55">
        <v>28500</v>
      </c>
      <c r="AS9679" s="78">
        <f t="shared" si="155"/>
        <v>0</v>
      </c>
    </row>
    <row r="9680" spans="39:45">
      <c r="AM9680" s="54">
        <v>2020</v>
      </c>
      <c r="AN9680" s="54" t="s">
        <v>184</v>
      </c>
      <c r="AO9680" s="54">
        <v>8</v>
      </c>
      <c r="AP9680" s="54">
        <v>6</v>
      </c>
      <c r="AQ9680" s="54">
        <v>0</v>
      </c>
      <c r="AR9680" s="55">
        <v>28500</v>
      </c>
      <c r="AS9680" s="78">
        <f t="shared" si="155"/>
        <v>0</v>
      </c>
    </row>
    <row r="9681" spans="39:45">
      <c r="AM9681" s="55">
        <v>2020</v>
      </c>
      <c r="AN9681" s="55" t="s">
        <v>184</v>
      </c>
      <c r="AO9681" s="55">
        <v>8</v>
      </c>
      <c r="AP9681" s="55">
        <v>7</v>
      </c>
      <c r="AQ9681" s="55">
        <v>0</v>
      </c>
      <c r="AR9681" s="55">
        <v>28500</v>
      </c>
      <c r="AS9681" s="78">
        <f t="shared" si="155"/>
        <v>0</v>
      </c>
    </row>
    <row r="9682" spans="39:45">
      <c r="AM9682" s="54">
        <v>2020</v>
      </c>
      <c r="AN9682" s="54" t="s">
        <v>184</v>
      </c>
      <c r="AO9682" s="54">
        <v>8</v>
      </c>
      <c r="AP9682" s="54">
        <v>8</v>
      </c>
      <c r="AQ9682" s="54">
        <v>1169.5</v>
      </c>
      <c r="AR9682" s="55">
        <v>28500</v>
      </c>
      <c r="AS9682" s="78">
        <f t="shared" si="155"/>
        <v>4.1035087719298244E-2</v>
      </c>
    </row>
    <row r="9683" spans="39:45">
      <c r="AM9683" s="55">
        <v>2020</v>
      </c>
      <c r="AN9683" s="55" t="s">
        <v>184</v>
      </c>
      <c r="AO9683" s="55">
        <v>8</v>
      </c>
      <c r="AP9683" s="55">
        <v>9</v>
      </c>
      <c r="AQ9683" s="55">
        <v>2134</v>
      </c>
      <c r="AR9683" s="55">
        <v>28500</v>
      </c>
      <c r="AS9683" s="78">
        <f t="shared" si="155"/>
        <v>7.4877192982456139E-2</v>
      </c>
    </row>
    <row r="9684" spans="39:45">
      <c r="AM9684" s="54">
        <v>2020</v>
      </c>
      <c r="AN9684" s="54" t="s">
        <v>184</v>
      </c>
      <c r="AO9684" s="54">
        <v>8</v>
      </c>
      <c r="AP9684" s="54">
        <v>10</v>
      </c>
      <c r="AQ9684" s="54">
        <v>12011</v>
      </c>
      <c r="AR9684" s="55">
        <v>28500</v>
      </c>
      <c r="AS9684" s="78">
        <f t="shared" si="155"/>
        <v>0.42143859649122806</v>
      </c>
    </row>
    <row r="9685" spans="39:45">
      <c r="AM9685" s="55">
        <v>2020</v>
      </c>
      <c r="AN9685" s="55" t="s">
        <v>184</v>
      </c>
      <c r="AO9685" s="55">
        <v>8</v>
      </c>
      <c r="AP9685" s="55">
        <v>11</v>
      </c>
      <c r="AQ9685" s="55">
        <v>15060.5</v>
      </c>
      <c r="AR9685" s="55">
        <v>28500</v>
      </c>
      <c r="AS9685" s="78">
        <f t="shared" si="155"/>
        <v>0.52843859649122804</v>
      </c>
    </row>
    <row r="9686" spans="39:45">
      <c r="AM9686" s="54">
        <v>2020</v>
      </c>
      <c r="AN9686" s="54" t="s">
        <v>184</v>
      </c>
      <c r="AO9686" s="54">
        <v>8</v>
      </c>
      <c r="AP9686" s="54">
        <v>12</v>
      </c>
      <c r="AQ9686" s="54">
        <v>22014</v>
      </c>
      <c r="AR9686" s="55">
        <v>28500</v>
      </c>
      <c r="AS9686" s="78">
        <f t="shared" si="155"/>
        <v>0.7724210526315789</v>
      </c>
    </row>
    <row r="9687" spans="39:45">
      <c r="AM9687" s="55">
        <v>2020</v>
      </c>
      <c r="AN9687" s="55" t="s">
        <v>184</v>
      </c>
      <c r="AO9687" s="55">
        <v>8</v>
      </c>
      <c r="AP9687" s="55">
        <v>13</v>
      </c>
      <c r="AQ9687" s="55">
        <v>36163</v>
      </c>
      <c r="AR9687" s="55">
        <v>28500</v>
      </c>
      <c r="AS9687" s="78">
        <f t="shared" si="155"/>
        <v>1.268877192982456</v>
      </c>
    </row>
    <row r="9688" spans="39:45">
      <c r="AM9688" s="54">
        <v>2020</v>
      </c>
      <c r="AN9688" s="54" t="s">
        <v>184</v>
      </c>
      <c r="AO9688" s="54">
        <v>8</v>
      </c>
      <c r="AP9688" s="54">
        <v>14</v>
      </c>
      <c r="AQ9688" s="54">
        <v>31178.5</v>
      </c>
      <c r="AR9688" s="55">
        <v>28500</v>
      </c>
      <c r="AS9688" s="78">
        <f t="shared" si="155"/>
        <v>1.0939824561403508</v>
      </c>
    </row>
    <row r="9689" spans="39:45">
      <c r="AM9689" s="55">
        <v>2020</v>
      </c>
      <c r="AN9689" s="55" t="s">
        <v>184</v>
      </c>
      <c r="AO9689" s="55">
        <v>8</v>
      </c>
      <c r="AP9689" s="55">
        <v>15</v>
      </c>
      <c r="AQ9689" s="55">
        <v>20402.5</v>
      </c>
      <c r="AR9689" s="55">
        <v>28500</v>
      </c>
      <c r="AS9689" s="78">
        <f t="shared" si="155"/>
        <v>0.71587719298245611</v>
      </c>
    </row>
    <row r="9690" spans="39:45">
      <c r="AM9690" s="54">
        <v>2020</v>
      </c>
      <c r="AN9690" s="54" t="s">
        <v>184</v>
      </c>
      <c r="AO9690" s="54">
        <v>8</v>
      </c>
      <c r="AP9690" s="54">
        <v>16</v>
      </c>
      <c r="AQ9690" s="54">
        <v>9800</v>
      </c>
      <c r="AR9690" s="55">
        <v>28500</v>
      </c>
      <c r="AS9690" s="78">
        <f t="shared" si="155"/>
        <v>0.34385964912280703</v>
      </c>
    </row>
    <row r="9691" spans="39:45">
      <c r="AM9691" s="55">
        <v>2020</v>
      </c>
      <c r="AN9691" s="55" t="s">
        <v>184</v>
      </c>
      <c r="AO9691" s="55">
        <v>8</v>
      </c>
      <c r="AP9691" s="55">
        <v>17</v>
      </c>
      <c r="AQ9691" s="55">
        <v>0</v>
      </c>
      <c r="AR9691" s="55">
        <v>28500</v>
      </c>
      <c r="AS9691" s="78">
        <f t="shared" si="155"/>
        <v>0</v>
      </c>
    </row>
    <row r="9692" spans="39:45">
      <c r="AM9692" s="54">
        <v>2020</v>
      </c>
      <c r="AN9692" s="54" t="s">
        <v>184</v>
      </c>
      <c r="AO9692" s="54">
        <v>8</v>
      </c>
      <c r="AP9692" s="54">
        <v>18</v>
      </c>
      <c r="AQ9692" s="54">
        <v>0</v>
      </c>
      <c r="AR9692" s="55">
        <v>28500</v>
      </c>
      <c r="AS9692" s="78">
        <f t="shared" si="155"/>
        <v>0</v>
      </c>
    </row>
    <row r="9693" spans="39:45">
      <c r="AM9693" s="55">
        <v>2020</v>
      </c>
      <c r="AN9693" s="55" t="s">
        <v>184</v>
      </c>
      <c r="AO9693" s="55">
        <v>8</v>
      </c>
      <c r="AP9693" s="55">
        <v>19</v>
      </c>
      <c r="AQ9693" s="55">
        <v>0</v>
      </c>
      <c r="AR9693" s="55">
        <v>28500</v>
      </c>
      <c r="AS9693" s="78">
        <f t="shared" si="155"/>
        <v>0</v>
      </c>
    </row>
    <row r="9694" spans="39:45">
      <c r="AM9694" s="54">
        <v>2020</v>
      </c>
      <c r="AN9694" s="54" t="s">
        <v>184</v>
      </c>
      <c r="AO9694" s="54">
        <v>8</v>
      </c>
      <c r="AP9694" s="54">
        <v>20</v>
      </c>
      <c r="AQ9694" s="54">
        <v>0</v>
      </c>
      <c r="AR9694" s="55">
        <v>28500</v>
      </c>
      <c r="AS9694" s="78">
        <f t="shared" si="155"/>
        <v>0</v>
      </c>
    </row>
    <row r="9695" spans="39:45">
      <c r="AM9695" s="55">
        <v>2020</v>
      </c>
      <c r="AN9695" s="55" t="s">
        <v>184</v>
      </c>
      <c r="AO9695" s="55">
        <v>8</v>
      </c>
      <c r="AP9695" s="55">
        <v>21</v>
      </c>
      <c r="AQ9695" s="55">
        <v>0</v>
      </c>
      <c r="AR9695" s="55">
        <v>28500</v>
      </c>
      <c r="AS9695" s="78">
        <f t="shared" si="155"/>
        <v>0</v>
      </c>
    </row>
    <row r="9696" spans="39:45">
      <c r="AM9696" s="54">
        <v>2020</v>
      </c>
      <c r="AN9696" s="54" t="s">
        <v>184</v>
      </c>
      <c r="AO9696" s="54">
        <v>8</v>
      </c>
      <c r="AP9696" s="54">
        <v>22</v>
      </c>
      <c r="AQ9696" s="54">
        <v>0</v>
      </c>
      <c r="AR9696" s="55">
        <v>28500</v>
      </c>
      <c r="AS9696" s="78">
        <f t="shared" si="155"/>
        <v>0</v>
      </c>
    </row>
    <row r="9697" spans="39:45">
      <c r="AM9697" s="55">
        <v>2020</v>
      </c>
      <c r="AN9697" s="55" t="s">
        <v>184</v>
      </c>
      <c r="AO9697" s="55">
        <v>8</v>
      </c>
      <c r="AP9697" s="55">
        <v>23</v>
      </c>
      <c r="AQ9697" s="55">
        <v>0</v>
      </c>
      <c r="AR9697" s="55">
        <v>28500</v>
      </c>
      <c r="AS9697" s="78">
        <f t="shared" si="155"/>
        <v>0</v>
      </c>
    </row>
    <row r="9698" spans="39:45">
      <c r="AM9698" s="54">
        <v>2020</v>
      </c>
      <c r="AN9698" s="54" t="s">
        <v>184</v>
      </c>
      <c r="AO9698" s="54">
        <v>9</v>
      </c>
      <c r="AP9698" s="54">
        <v>24</v>
      </c>
      <c r="AQ9698" s="54">
        <v>0</v>
      </c>
      <c r="AR9698" s="55">
        <v>28500</v>
      </c>
      <c r="AS9698" s="78">
        <f t="shared" si="155"/>
        <v>0</v>
      </c>
    </row>
    <row r="9699" spans="39:45">
      <c r="AM9699" s="55">
        <v>2020</v>
      </c>
      <c r="AN9699" s="55" t="s">
        <v>184</v>
      </c>
      <c r="AO9699" s="55">
        <v>9</v>
      </c>
      <c r="AP9699" s="55">
        <v>1</v>
      </c>
      <c r="AQ9699" s="55">
        <v>0</v>
      </c>
      <c r="AR9699" s="55">
        <v>28500</v>
      </c>
      <c r="AS9699" s="78">
        <f t="shared" si="155"/>
        <v>0</v>
      </c>
    </row>
    <row r="9700" spans="39:45">
      <c r="AM9700" s="54">
        <v>2020</v>
      </c>
      <c r="AN9700" s="54" t="s">
        <v>184</v>
      </c>
      <c r="AO9700" s="54">
        <v>9</v>
      </c>
      <c r="AP9700" s="54">
        <v>2</v>
      </c>
      <c r="AQ9700" s="54">
        <v>0</v>
      </c>
      <c r="AR9700" s="55">
        <v>28500</v>
      </c>
      <c r="AS9700" s="78">
        <f t="shared" si="155"/>
        <v>0</v>
      </c>
    </row>
    <row r="9701" spans="39:45">
      <c r="AM9701" s="55">
        <v>2020</v>
      </c>
      <c r="AN9701" s="55" t="s">
        <v>184</v>
      </c>
      <c r="AO9701" s="55">
        <v>9</v>
      </c>
      <c r="AP9701" s="55">
        <v>3</v>
      </c>
      <c r="AQ9701" s="55">
        <v>0</v>
      </c>
      <c r="AR9701" s="55">
        <v>28500</v>
      </c>
      <c r="AS9701" s="78">
        <f t="shared" si="155"/>
        <v>0</v>
      </c>
    </row>
    <row r="9702" spans="39:45">
      <c r="AM9702" s="54">
        <v>2020</v>
      </c>
      <c r="AN9702" s="54" t="s">
        <v>184</v>
      </c>
      <c r="AO9702" s="54">
        <v>9</v>
      </c>
      <c r="AP9702" s="54">
        <v>4</v>
      </c>
      <c r="AQ9702" s="54">
        <v>0</v>
      </c>
      <c r="AR9702" s="55">
        <v>28500</v>
      </c>
      <c r="AS9702" s="78">
        <f t="shared" si="155"/>
        <v>0</v>
      </c>
    </row>
    <row r="9703" spans="39:45">
      <c r="AM9703" s="55">
        <v>2020</v>
      </c>
      <c r="AN9703" s="55" t="s">
        <v>184</v>
      </c>
      <c r="AO9703" s="55">
        <v>9</v>
      </c>
      <c r="AP9703" s="55">
        <v>5</v>
      </c>
      <c r="AQ9703" s="55">
        <v>0</v>
      </c>
      <c r="AR9703" s="55">
        <v>28500</v>
      </c>
      <c r="AS9703" s="78">
        <f t="shared" si="155"/>
        <v>0</v>
      </c>
    </row>
    <row r="9704" spans="39:45">
      <c r="AM9704" s="54">
        <v>2020</v>
      </c>
      <c r="AN9704" s="54" t="s">
        <v>184</v>
      </c>
      <c r="AO9704" s="54">
        <v>9</v>
      </c>
      <c r="AP9704" s="54">
        <v>6</v>
      </c>
      <c r="AQ9704" s="54">
        <v>0</v>
      </c>
      <c r="AR9704" s="55">
        <v>28500</v>
      </c>
      <c r="AS9704" s="78">
        <f t="shared" si="155"/>
        <v>0</v>
      </c>
    </row>
    <row r="9705" spans="39:45">
      <c r="AM9705" s="55">
        <v>2020</v>
      </c>
      <c r="AN9705" s="55" t="s">
        <v>184</v>
      </c>
      <c r="AO9705" s="55">
        <v>9</v>
      </c>
      <c r="AP9705" s="55">
        <v>7</v>
      </c>
      <c r="AQ9705" s="55">
        <v>0</v>
      </c>
      <c r="AR9705" s="55">
        <v>28500</v>
      </c>
      <c r="AS9705" s="78">
        <f t="shared" si="155"/>
        <v>0</v>
      </c>
    </row>
    <row r="9706" spans="39:45">
      <c r="AM9706" s="54">
        <v>2020</v>
      </c>
      <c r="AN9706" s="54" t="s">
        <v>184</v>
      </c>
      <c r="AO9706" s="54">
        <v>9</v>
      </c>
      <c r="AP9706" s="54">
        <v>8</v>
      </c>
      <c r="AQ9706" s="54">
        <v>168</v>
      </c>
      <c r="AR9706" s="55">
        <v>28500</v>
      </c>
      <c r="AS9706" s="78">
        <f t="shared" si="155"/>
        <v>5.8947368421052634E-3</v>
      </c>
    </row>
    <row r="9707" spans="39:45">
      <c r="AM9707" s="55">
        <v>2020</v>
      </c>
      <c r="AN9707" s="55" t="s">
        <v>184</v>
      </c>
      <c r="AO9707" s="55">
        <v>9</v>
      </c>
      <c r="AP9707" s="55">
        <v>9</v>
      </c>
      <c r="AQ9707" s="55">
        <v>1003.5</v>
      </c>
      <c r="AR9707" s="55">
        <v>28500</v>
      </c>
      <c r="AS9707" s="78">
        <f t="shared" si="155"/>
        <v>3.5210526315789477E-2</v>
      </c>
    </row>
    <row r="9708" spans="39:45">
      <c r="AM9708" s="54">
        <v>2020</v>
      </c>
      <c r="AN9708" s="54" t="s">
        <v>184</v>
      </c>
      <c r="AO9708" s="54">
        <v>9</v>
      </c>
      <c r="AP9708" s="54">
        <v>10</v>
      </c>
      <c r="AQ9708" s="54">
        <v>3156.5</v>
      </c>
      <c r="AR9708" s="55">
        <v>28500</v>
      </c>
      <c r="AS9708" s="78">
        <f t="shared" si="155"/>
        <v>0.11075438596491229</v>
      </c>
    </row>
    <row r="9709" spans="39:45">
      <c r="AM9709" s="55">
        <v>2020</v>
      </c>
      <c r="AN9709" s="55" t="s">
        <v>184</v>
      </c>
      <c r="AO9709" s="55">
        <v>9</v>
      </c>
      <c r="AP9709" s="55">
        <v>11</v>
      </c>
      <c r="AQ9709" s="55">
        <v>2415.5</v>
      </c>
      <c r="AR9709" s="55">
        <v>28500</v>
      </c>
      <c r="AS9709" s="78">
        <f t="shared" si="155"/>
        <v>8.4754385964912277E-2</v>
      </c>
    </row>
    <row r="9710" spans="39:45">
      <c r="AM9710" s="54">
        <v>2020</v>
      </c>
      <c r="AN9710" s="54" t="s">
        <v>184</v>
      </c>
      <c r="AO9710" s="54">
        <v>9</v>
      </c>
      <c r="AP9710" s="54">
        <v>12</v>
      </c>
      <c r="AQ9710" s="54">
        <v>2370.5</v>
      </c>
      <c r="AR9710" s="55">
        <v>28500</v>
      </c>
      <c r="AS9710" s="78">
        <f t="shared" si="155"/>
        <v>8.3175438596491222E-2</v>
      </c>
    </row>
    <row r="9711" spans="39:45">
      <c r="AM9711" s="55">
        <v>2020</v>
      </c>
      <c r="AN9711" s="55" t="s">
        <v>184</v>
      </c>
      <c r="AO9711" s="55">
        <v>9</v>
      </c>
      <c r="AP9711" s="55">
        <v>13</v>
      </c>
      <c r="AQ9711" s="55">
        <v>1339.5</v>
      </c>
      <c r="AR9711" s="55">
        <v>28500</v>
      </c>
      <c r="AS9711" s="78">
        <f t="shared" si="155"/>
        <v>4.7E-2</v>
      </c>
    </row>
    <row r="9712" spans="39:45">
      <c r="AM9712" s="54">
        <v>2020</v>
      </c>
      <c r="AN9712" s="54" t="s">
        <v>184</v>
      </c>
      <c r="AO9712" s="54">
        <v>9</v>
      </c>
      <c r="AP9712" s="54">
        <v>14</v>
      </c>
      <c r="AQ9712" s="54">
        <v>1376.5</v>
      </c>
      <c r="AR9712" s="55">
        <v>28500</v>
      </c>
      <c r="AS9712" s="78">
        <f t="shared" si="155"/>
        <v>4.829824561403509E-2</v>
      </c>
    </row>
    <row r="9713" spans="39:45">
      <c r="AM9713" s="55">
        <v>2020</v>
      </c>
      <c r="AN9713" s="55" t="s">
        <v>184</v>
      </c>
      <c r="AO9713" s="55">
        <v>9</v>
      </c>
      <c r="AP9713" s="55">
        <v>15</v>
      </c>
      <c r="AQ9713" s="55">
        <v>629.5</v>
      </c>
      <c r="AR9713" s="55">
        <v>28500</v>
      </c>
      <c r="AS9713" s="78">
        <f t="shared" si="155"/>
        <v>2.2087719298245614E-2</v>
      </c>
    </row>
    <row r="9714" spans="39:45">
      <c r="AM9714" s="54">
        <v>2020</v>
      </c>
      <c r="AN9714" s="54" t="s">
        <v>184</v>
      </c>
      <c r="AO9714" s="54">
        <v>9</v>
      </c>
      <c r="AP9714" s="54">
        <v>16</v>
      </c>
      <c r="AQ9714" s="54">
        <v>858.5</v>
      </c>
      <c r="AR9714" s="55">
        <v>28500</v>
      </c>
      <c r="AS9714" s="78">
        <f t="shared" si="155"/>
        <v>3.012280701754386E-2</v>
      </c>
    </row>
    <row r="9715" spans="39:45">
      <c r="AM9715" s="55">
        <v>2020</v>
      </c>
      <c r="AN9715" s="55" t="s">
        <v>184</v>
      </c>
      <c r="AO9715" s="55">
        <v>9</v>
      </c>
      <c r="AP9715" s="55">
        <v>17</v>
      </c>
      <c r="AQ9715" s="55">
        <v>0</v>
      </c>
      <c r="AR9715" s="55">
        <v>28500</v>
      </c>
      <c r="AS9715" s="78">
        <f t="shared" si="155"/>
        <v>0</v>
      </c>
    </row>
    <row r="9716" spans="39:45">
      <c r="AM9716" s="54">
        <v>2020</v>
      </c>
      <c r="AN9716" s="54" t="s">
        <v>184</v>
      </c>
      <c r="AO9716" s="54">
        <v>9</v>
      </c>
      <c r="AP9716" s="54">
        <v>18</v>
      </c>
      <c r="AQ9716" s="54">
        <v>0</v>
      </c>
      <c r="AR9716" s="55">
        <v>28500</v>
      </c>
      <c r="AS9716" s="78">
        <f t="shared" si="155"/>
        <v>0</v>
      </c>
    </row>
    <row r="9717" spans="39:45">
      <c r="AM9717" s="55">
        <v>2020</v>
      </c>
      <c r="AN9717" s="55" t="s">
        <v>184</v>
      </c>
      <c r="AO9717" s="55">
        <v>9</v>
      </c>
      <c r="AP9717" s="55">
        <v>19</v>
      </c>
      <c r="AQ9717" s="55">
        <v>0</v>
      </c>
      <c r="AR9717" s="55">
        <v>28500</v>
      </c>
      <c r="AS9717" s="78">
        <f t="shared" si="155"/>
        <v>0</v>
      </c>
    </row>
    <row r="9718" spans="39:45">
      <c r="AM9718" s="54">
        <v>2020</v>
      </c>
      <c r="AN9718" s="54" t="s">
        <v>184</v>
      </c>
      <c r="AO9718" s="54">
        <v>9</v>
      </c>
      <c r="AP9718" s="54">
        <v>20</v>
      </c>
      <c r="AQ9718" s="54">
        <v>0</v>
      </c>
      <c r="AR9718" s="55">
        <v>28500</v>
      </c>
      <c r="AS9718" s="78">
        <f t="shared" si="155"/>
        <v>0</v>
      </c>
    </row>
    <row r="9719" spans="39:45">
      <c r="AM9719" s="55">
        <v>2020</v>
      </c>
      <c r="AN9719" s="55" t="s">
        <v>184</v>
      </c>
      <c r="AO9719" s="55">
        <v>9</v>
      </c>
      <c r="AP9719" s="55">
        <v>21</v>
      </c>
      <c r="AQ9719" s="55">
        <v>0</v>
      </c>
      <c r="AR9719" s="55">
        <v>28500</v>
      </c>
      <c r="AS9719" s="78">
        <f t="shared" si="155"/>
        <v>0</v>
      </c>
    </row>
    <row r="9720" spans="39:45">
      <c r="AM9720" s="54">
        <v>2020</v>
      </c>
      <c r="AN9720" s="54" t="s">
        <v>184</v>
      </c>
      <c r="AO9720" s="54">
        <v>9</v>
      </c>
      <c r="AP9720" s="54">
        <v>22</v>
      </c>
      <c r="AQ9720" s="54">
        <v>0</v>
      </c>
      <c r="AR9720" s="55">
        <v>28500</v>
      </c>
      <c r="AS9720" s="78">
        <f t="shared" si="155"/>
        <v>0</v>
      </c>
    </row>
    <row r="9721" spans="39:45">
      <c r="AM9721" s="55">
        <v>2020</v>
      </c>
      <c r="AN9721" s="55" t="s">
        <v>184</v>
      </c>
      <c r="AO9721" s="55">
        <v>9</v>
      </c>
      <c r="AP9721" s="55">
        <v>23</v>
      </c>
      <c r="AQ9721" s="55">
        <v>0</v>
      </c>
      <c r="AR9721" s="55">
        <v>28500</v>
      </c>
      <c r="AS9721" s="78">
        <f t="shared" si="155"/>
        <v>0</v>
      </c>
    </row>
    <row r="9722" spans="39:45">
      <c r="AM9722" s="54">
        <v>2020</v>
      </c>
      <c r="AN9722" s="54" t="s">
        <v>184</v>
      </c>
      <c r="AO9722" s="54">
        <v>10</v>
      </c>
      <c r="AP9722" s="54">
        <v>24</v>
      </c>
      <c r="AQ9722" s="54">
        <v>0</v>
      </c>
      <c r="AR9722" s="55">
        <v>28500</v>
      </c>
      <c r="AS9722" s="78">
        <f t="shared" si="155"/>
        <v>0</v>
      </c>
    </row>
    <row r="9723" spans="39:45">
      <c r="AM9723" s="55">
        <v>2020</v>
      </c>
      <c r="AN9723" s="55" t="s">
        <v>184</v>
      </c>
      <c r="AO9723" s="55">
        <v>10</v>
      </c>
      <c r="AP9723" s="55">
        <v>1</v>
      </c>
      <c r="AQ9723" s="55">
        <v>0</v>
      </c>
      <c r="AR9723" s="55">
        <v>28500</v>
      </c>
      <c r="AS9723" s="78">
        <f t="shared" si="155"/>
        <v>0</v>
      </c>
    </row>
    <row r="9724" spans="39:45">
      <c r="AM9724" s="54">
        <v>2020</v>
      </c>
      <c r="AN9724" s="54" t="s">
        <v>184</v>
      </c>
      <c r="AO9724" s="54">
        <v>10</v>
      </c>
      <c r="AP9724" s="54">
        <v>2</v>
      </c>
      <c r="AQ9724" s="54">
        <v>0</v>
      </c>
      <c r="AR9724" s="55">
        <v>28500</v>
      </c>
      <c r="AS9724" s="78">
        <f t="shared" si="155"/>
        <v>0</v>
      </c>
    </row>
    <row r="9725" spans="39:45">
      <c r="AM9725" s="55">
        <v>2020</v>
      </c>
      <c r="AN9725" s="55" t="s">
        <v>184</v>
      </c>
      <c r="AO9725" s="55">
        <v>10</v>
      </c>
      <c r="AP9725" s="55">
        <v>3</v>
      </c>
      <c r="AQ9725" s="55">
        <v>0</v>
      </c>
      <c r="AR9725" s="55">
        <v>28500</v>
      </c>
      <c r="AS9725" s="78">
        <f t="shared" si="155"/>
        <v>0</v>
      </c>
    </row>
    <row r="9726" spans="39:45">
      <c r="AM9726" s="54">
        <v>2020</v>
      </c>
      <c r="AN9726" s="54" t="s">
        <v>184</v>
      </c>
      <c r="AO9726" s="54">
        <v>10</v>
      </c>
      <c r="AP9726" s="54">
        <v>4</v>
      </c>
      <c r="AQ9726" s="54">
        <v>0</v>
      </c>
      <c r="AR9726" s="55">
        <v>28500</v>
      </c>
      <c r="AS9726" s="78">
        <f t="shared" si="155"/>
        <v>0</v>
      </c>
    </row>
    <row r="9727" spans="39:45">
      <c r="AM9727" s="55">
        <v>2020</v>
      </c>
      <c r="AN9727" s="55" t="s">
        <v>184</v>
      </c>
      <c r="AO9727" s="55">
        <v>10</v>
      </c>
      <c r="AP9727" s="55">
        <v>5</v>
      </c>
      <c r="AQ9727" s="55">
        <v>0</v>
      </c>
      <c r="AR9727" s="55">
        <v>28500</v>
      </c>
      <c r="AS9727" s="78">
        <f t="shared" si="155"/>
        <v>0</v>
      </c>
    </row>
    <row r="9728" spans="39:45">
      <c r="AM9728" s="54">
        <v>2020</v>
      </c>
      <c r="AN9728" s="54" t="s">
        <v>184</v>
      </c>
      <c r="AO9728" s="54">
        <v>10</v>
      </c>
      <c r="AP9728" s="54">
        <v>6</v>
      </c>
      <c r="AQ9728" s="54">
        <v>0</v>
      </c>
      <c r="AR9728" s="55">
        <v>28500</v>
      </c>
      <c r="AS9728" s="78">
        <f t="shared" si="155"/>
        <v>0</v>
      </c>
    </row>
    <row r="9729" spans="39:45">
      <c r="AM9729" s="55">
        <v>2020</v>
      </c>
      <c r="AN9729" s="55" t="s">
        <v>184</v>
      </c>
      <c r="AO9729" s="55">
        <v>10</v>
      </c>
      <c r="AP9729" s="55">
        <v>7</v>
      </c>
      <c r="AQ9729" s="55">
        <v>0</v>
      </c>
      <c r="AR9729" s="55">
        <v>28500</v>
      </c>
      <c r="AS9729" s="78">
        <f t="shared" si="155"/>
        <v>0</v>
      </c>
    </row>
    <row r="9730" spans="39:45">
      <c r="AM9730" s="54">
        <v>2020</v>
      </c>
      <c r="AN9730" s="54" t="s">
        <v>184</v>
      </c>
      <c r="AO9730" s="54">
        <v>10</v>
      </c>
      <c r="AP9730" s="54">
        <v>8</v>
      </c>
      <c r="AQ9730" s="54">
        <v>9156.5</v>
      </c>
      <c r="AR9730" s="55">
        <v>28500</v>
      </c>
      <c r="AS9730" s="78">
        <f t="shared" ref="AS9730:AS9793" si="156">AQ9730/AR9730</f>
        <v>0.32128070175438594</v>
      </c>
    </row>
    <row r="9731" spans="39:45">
      <c r="AM9731" s="55">
        <v>2020</v>
      </c>
      <c r="AN9731" s="55" t="s">
        <v>184</v>
      </c>
      <c r="AO9731" s="55">
        <v>10</v>
      </c>
      <c r="AP9731" s="55">
        <v>9</v>
      </c>
      <c r="AQ9731" s="55">
        <v>12463</v>
      </c>
      <c r="AR9731" s="55">
        <v>28500</v>
      </c>
      <c r="AS9731" s="78">
        <f t="shared" si="156"/>
        <v>0.43729824561403507</v>
      </c>
    </row>
    <row r="9732" spans="39:45">
      <c r="AM9732" s="54">
        <v>2020</v>
      </c>
      <c r="AN9732" s="54" t="s">
        <v>184</v>
      </c>
      <c r="AO9732" s="54">
        <v>10</v>
      </c>
      <c r="AP9732" s="54">
        <v>10</v>
      </c>
      <c r="AQ9732" s="54">
        <v>28988</v>
      </c>
      <c r="AR9732" s="55">
        <v>28500</v>
      </c>
      <c r="AS9732" s="78">
        <f t="shared" si="156"/>
        <v>1.0171228070175438</v>
      </c>
    </row>
    <row r="9733" spans="39:45">
      <c r="AM9733" s="55">
        <v>2020</v>
      </c>
      <c r="AN9733" s="55" t="s">
        <v>184</v>
      </c>
      <c r="AO9733" s="55">
        <v>10</v>
      </c>
      <c r="AP9733" s="55">
        <v>11</v>
      </c>
      <c r="AQ9733" s="55">
        <v>19462</v>
      </c>
      <c r="AR9733" s="55">
        <v>28500</v>
      </c>
      <c r="AS9733" s="78">
        <f t="shared" si="156"/>
        <v>0.68287719298245619</v>
      </c>
    </row>
    <row r="9734" spans="39:45">
      <c r="AM9734" s="54">
        <v>2020</v>
      </c>
      <c r="AN9734" s="54" t="s">
        <v>184</v>
      </c>
      <c r="AO9734" s="54">
        <v>10</v>
      </c>
      <c r="AP9734" s="54">
        <v>12</v>
      </c>
      <c r="AQ9734" s="54">
        <v>25024</v>
      </c>
      <c r="AR9734" s="55">
        <v>28500</v>
      </c>
      <c r="AS9734" s="78">
        <f t="shared" si="156"/>
        <v>0.87803508771929828</v>
      </c>
    </row>
    <row r="9735" spans="39:45">
      <c r="AM9735" s="55">
        <v>2020</v>
      </c>
      <c r="AN9735" s="55" t="s">
        <v>184</v>
      </c>
      <c r="AO9735" s="55">
        <v>10</v>
      </c>
      <c r="AP9735" s="55">
        <v>13</v>
      </c>
      <c r="AQ9735" s="55">
        <v>3531</v>
      </c>
      <c r="AR9735" s="55">
        <v>28500</v>
      </c>
      <c r="AS9735" s="78">
        <f t="shared" si="156"/>
        <v>0.12389473684210527</v>
      </c>
    </row>
    <row r="9736" spans="39:45">
      <c r="AM9736" s="54">
        <v>2020</v>
      </c>
      <c r="AN9736" s="54" t="s">
        <v>184</v>
      </c>
      <c r="AO9736" s="54">
        <v>10</v>
      </c>
      <c r="AP9736" s="54">
        <v>14</v>
      </c>
      <c r="AQ9736" s="54">
        <v>13206.5</v>
      </c>
      <c r="AR9736" s="55">
        <v>28500</v>
      </c>
      <c r="AS9736" s="78">
        <f t="shared" si="156"/>
        <v>0.46338596491228068</v>
      </c>
    </row>
    <row r="9737" spans="39:45">
      <c r="AM9737" s="55">
        <v>2020</v>
      </c>
      <c r="AN9737" s="55" t="s">
        <v>184</v>
      </c>
      <c r="AO9737" s="55">
        <v>10</v>
      </c>
      <c r="AP9737" s="55">
        <v>15</v>
      </c>
      <c r="AQ9737" s="55">
        <v>2988</v>
      </c>
      <c r="AR9737" s="55">
        <v>28500</v>
      </c>
      <c r="AS9737" s="78">
        <f t="shared" si="156"/>
        <v>0.10484210526315789</v>
      </c>
    </row>
    <row r="9738" spans="39:45">
      <c r="AM9738" s="54">
        <v>2020</v>
      </c>
      <c r="AN9738" s="54" t="s">
        <v>184</v>
      </c>
      <c r="AO9738" s="54">
        <v>10</v>
      </c>
      <c r="AP9738" s="54">
        <v>16</v>
      </c>
      <c r="AQ9738" s="54">
        <v>75</v>
      </c>
      <c r="AR9738" s="55">
        <v>28500</v>
      </c>
      <c r="AS9738" s="78">
        <f t="shared" si="156"/>
        <v>2.631578947368421E-3</v>
      </c>
    </row>
    <row r="9739" spans="39:45">
      <c r="AM9739" s="55">
        <v>2020</v>
      </c>
      <c r="AN9739" s="55" t="s">
        <v>184</v>
      </c>
      <c r="AO9739" s="55">
        <v>10</v>
      </c>
      <c r="AP9739" s="55">
        <v>17</v>
      </c>
      <c r="AQ9739" s="55">
        <v>0</v>
      </c>
      <c r="AR9739" s="55">
        <v>28500</v>
      </c>
      <c r="AS9739" s="78">
        <f t="shared" si="156"/>
        <v>0</v>
      </c>
    </row>
    <row r="9740" spans="39:45">
      <c r="AM9740" s="54">
        <v>2020</v>
      </c>
      <c r="AN9740" s="54" t="s">
        <v>184</v>
      </c>
      <c r="AO9740" s="54">
        <v>10</v>
      </c>
      <c r="AP9740" s="54">
        <v>18</v>
      </c>
      <c r="AQ9740" s="54">
        <v>0</v>
      </c>
      <c r="AR9740" s="55">
        <v>28500</v>
      </c>
      <c r="AS9740" s="78">
        <f t="shared" si="156"/>
        <v>0</v>
      </c>
    </row>
    <row r="9741" spans="39:45">
      <c r="AM9741" s="55">
        <v>2020</v>
      </c>
      <c r="AN9741" s="55" t="s">
        <v>184</v>
      </c>
      <c r="AO9741" s="55">
        <v>10</v>
      </c>
      <c r="AP9741" s="55">
        <v>19</v>
      </c>
      <c r="AQ9741" s="55">
        <v>0</v>
      </c>
      <c r="AR9741" s="55">
        <v>28500</v>
      </c>
      <c r="AS9741" s="78">
        <f t="shared" si="156"/>
        <v>0</v>
      </c>
    </row>
    <row r="9742" spans="39:45">
      <c r="AM9742" s="54">
        <v>2020</v>
      </c>
      <c r="AN9742" s="54" t="s">
        <v>184</v>
      </c>
      <c r="AO9742" s="54">
        <v>10</v>
      </c>
      <c r="AP9742" s="54">
        <v>20</v>
      </c>
      <c r="AQ9742" s="54">
        <v>0</v>
      </c>
      <c r="AR9742" s="55">
        <v>28500</v>
      </c>
      <c r="AS9742" s="78">
        <f t="shared" si="156"/>
        <v>0</v>
      </c>
    </row>
    <row r="9743" spans="39:45">
      <c r="AM9743" s="55">
        <v>2020</v>
      </c>
      <c r="AN9743" s="55" t="s">
        <v>184</v>
      </c>
      <c r="AO9743" s="55">
        <v>10</v>
      </c>
      <c r="AP9743" s="55">
        <v>21</v>
      </c>
      <c r="AQ9743" s="55">
        <v>0</v>
      </c>
      <c r="AR9743" s="55">
        <v>28500</v>
      </c>
      <c r="AS9743" s="78">
        <f t="shared" si="156"/>
        <v>0</v>
      </c>
    </row>
    <row r="9744" spans="39:45">
      <c r="AM9744" s="54">
        <v>2020</v>
      </c>
      <c r="AN9744" s="54" t="s">
        <v>184</v>
      </c>
      <c r="AO9744" s="54">
        <v>10</v>
      </c>
      <c r="AP9744" s="54">
        <v>22</v>
      </c>
      <c r="AQ9744" s="54">
        <v>0</v>
      </c>
      <c r="AR9744" s="55">
        <v>28500</v>
      </c>
      <c r="AS9744" s="78">
        <f t="shared" si="156"/>
        <v>0</v>
      </c>
    </row>
    <row r="9745" spans="39:45">
      <c r="AM9745" s="55">
        <v>2020</v>
      </c>
      <c r="AN9745" s="55" t="s">
        <v>184</v>
      </c>
      <c r="AO9745" s="55">
        <v>10</v>
      </c>
      <c r="AP9745" s="55">
        <v>23</v>
      </c>
      <c r="AQ9745" s="55">
        <v>0</v>
      </c>
      <c r="AR9745" s="55">
        <v>28500</v>
      </c>
      <c r="AS9745" s="78">
        <f t="shared" si="156"/>
        <v>0</v>
      </c>
    </row>
    <row r="9746" spans="39:45">
      <c r="AM9746" s="54">
        <v>2020</v>
      </c>
      <c r="AN9746" s="54" t="s">
        <v>184</v>
      </c>
      <c r="AO9746" s="54">
        <v>11</v>
      </c>
      <c r="AP9746" s="54">
        <v>24</v>
      </c>
      <c r="AQ9746" s="54">
        <v>0</v>
      </c>
      <c r="AR9746" s="55">
        <v>28500</v>
      </c>
      <c r="AS9746" s="78">
        <f t="shared" si="156"/>
        <v>0</v>
      </c>
    </row>
    <row r="9747" spans="39:45">
      <c r="AM9747" s="55">
        <v>2020</v>
      </c>
      <c r="AN9747" s="55" t="s">
        <v>184</v>
      </c>
      <c r="AO9747" s="55">
        <v>11</v>
      </c>
      <c r="AP9747" s="55">
        <v>1</v>
      </c>
      <c r="AQ9747" s="55">
        <v>0</v>
      </c>
      <c r="AR9747" s="55">
        <v>28500</v>
      </c>
      <c r="AS9747" s="78">
        <f t="shared" si="156"/>
        <v>0</v>
      </c>
    </row>
    <row r="9748" spans="39:45">
      <c r="AM9748" s="54">
        <v>2020</v>
      </c>
      <c r="AN9748" s="54" t="s">
        <v>184</v>
      </c>
      <c r="AO9748" s="54">
        <v>11</v>
      </c>
      <c r="AP9748" s="54">
        <v>2</v>
      </c>
      <c r="AQ9748" s="54">
        <v>0</v>
      </c>
      <c r="AR9748" s="55">
        <v>28500</v>
      </c>
      <c r="AS9748" s="78">
        <f t="shared" si="156"/>
        <v>0</v>
      </c>
    </row>
    <row r="9749" spans="39:45">
      <c r="AM9749" s="55">
        <v>2020</v>
      </c>
      <c r="AN9749" s="55" t="s">
        <v>184</v>
      </c>
      <c r="AO9749" s="55">
        <v>11</v>
      </c>
      <c r="AP9749" s="55">
        <v>3</v>
      </c>
      <c r="AQ9749" s="55">
        <v>0</v>
      </c>
      <c r="AR9749" s="55">
        <v>28500</v>
      </c>
      <c r="AS9749" s="78">
        <f t="shared" si="156"/>
        <v>0</v>
      </c>
    </row>
    <row r="9750" spans="39:45">
      <c r="AM9750" s="54">
        <v>2020</v>
      </c>
      <c r="AN9750" s="54" t="s">
        <v>184</v>
      </c>
      <c r="AO9750" s="54">
        <v>11</v>
      </c>
      <c r="AP9750" s="54">
        <v>4</v>
      </c>
      <c r="AQ9750" s="54">
        <v>0</v>
      </c>
      <c r="AR9750" s="55">
        <v>28500</v>
      </c>
      <c r="AS9750" s="78">
        <f t="shared" si="156"/>
        <v>0</v>
      </c>
    </row>
    <row r="9751" spans="39:45">
      <c r="AM9751" s="55">
        <v>2020</v>
      </c>
      <c r="AN9751" s="55" t="s">
        <v>184</v>
      </c>
      <c r="AO9751" s="55">
        <v>11</v>
      </c>
      <c r="AP9751" s="55">
        <v>5</v>
      </c>
      <c r="AQ9751" s="55">
        <v>0</v>
      </c>
      <c r="AR9751" s="55">
        <v>28500</v>
      </c>
      <c r="AS9751" s="78">
        <f t="shared" si="156"/>
        <v>0</v>
      </c>
    </row>
    <row r="9752" spans="39:45">
      <c r="AM9752" s="54">
        <v>2020</v>
      </c>
      <c r="AN9752" s="54" t="s">
        <v>184</v>
      </c>
      <c r="AO9752" s="54">
        <v>11</v>
      </c>
      <c r="AP9752" s="54">
        <v>6</v>
      </c>
      <c r="AQ9752" s="54">
        <v>0</v>
      </c>
      <c r="AR9752" s="55">
        <v>28500</v>
      </c>
      <c r="AS9752" s="78">
        <f t="shared" si="156"/>
        <v>0</v>
      </c>
    </row>
    <row r="9753" spans="39:45">
      <c r="AM9753" s="55">
        <v>2020</v>
      </c>
      <c r="AN9753" s="55" t="s">
        <v>184</v>
      </c>
      <c r="AO9753" s="55">
        <v>11</v>
      </c>
      <c r="AP9753" s="55">
        <v>7</v>
      </c>
      <c r="AQ9753" s="55">
        <v>0</v>
      </c>
      <c r="AR9753" s="55">
        <v>28500</v>
      </c>
      <c r="AS9753" s="78">
        <f t="shared" si="156"/>
        <v>0</v>
      </c>
    </row>
    <row r="9754" spans="39:45">
      <c r="AM9754" s="54">
        <v>2020</v>
      </c>
      <c r="AN9754" s="54" t="s">
        <v>184</v>
      </c>
      <c r="AO9754" s="54">
        <v>11</v>
      </c>
      <c r="AP9754" s="54">
        <v>8</v>
      </c>
      <c r="AQ9754" s="54">
        <v>9937</v>
      </c>
      <c r="AR9754" s="55">
        <v>28500</v>
      </c>
      <c r="AS9754" s="78">
        <f t="shared" si="156"/>
        <v>0.34866666666666668</v>
      </c>
    </row>
    <row r="9755" spans="39:45">
      <c r="AM9755" s="55">
        <v>2020</v>
      </c>
      <c r="AN9755" s="55" t="s">
        <v>184</v>
      </c>
      <c r="AO9755" s="55">
        <v>11</v>
      </c>
      <c r="AP9755" s="55">
        <v>9</v>
      </c>
      <c r="AQ9755" s="55">
        <v>20487.5</v>
      </c>
      <c r="AR9755" s="55">
        <v>28500</v>
      </c>
      <c r="AS9755" s="78">
        <f t="shared" si="156"/>
        <v>0.71885964912280698</v>
      </c>
    </row>
    <row r="9756" spans="39:45">
      <c r="AM9756" s="54">
        <v>2020</v>
      </c>
      <c r="AN9756" s="54" t="s">
        <v>184</v>
      </c>
      <c r="AO9756" s="54">
        <v>11</v>
      </c>
      <c r="AP9756" s="54">
        <v>10</v>
      </c>
      <c r="AQ9756" s="54">
        <v>31351.5</v>
      </c>
      <c r="AR9756" s="55">
        <v>28500</v>
      </c>
      <c r="AS9756" s="78">
        <f t="shared" si="156"/>
        <v>1.1000526315789474</v>
      </c>
    </row>
    <row r="9757" spans="39:45">
      <c r="AM9757" s="55">
        <v>2020</v>
      </c>
      <c r="AN9757" s="55" t="s">
        <v>184</v>
      </c>
      <c r="AO9757" s="55">
        <v>11</v>
      </c>
      <c r="AP9757" s="55">
        <v>11</v>
      </c>
      <c r="AQ9757" s="55">
        <v>30064.5</v>
      </c>
      <c r="AR9757" s="55">
        <v>28500</v>
      </c>
      <c r="AS9757" s="78">
        <f t="shared" si="156"/>
        <v>1.0548947368421053</v>
      </c>
    </row>
    <row r="9758" spans="39:45">
      <c r="AM9758" s="54">
        <v>2020</v>
      </c>
      <c r="AN9758" s="54" t="s">
        <v>184</v>
      </c>
      <c r="AO9758" s="54">
        <v>11</v>
      </c>
      <c r="AP9758" s="54">
        <v>12</v>
      </c>
      <c r="AQ9758" s="54">
        <v>21633.5</v>
      </c>
      <c r="AR9758" s="55">
        <v>28500</v>
      </c>
      <c r="AS9758" s="78">
        <f t="shared" si="156"/>
        <v>0.75907017543859645</v>
      </c>
    </row>
    <row r="9759" spans="39:45">
      <c r="AM9759" s="55">
        <v>2020</v>
      </c>
      <c r="AN9759" s="55" t="s">
        <v>184</v>
      </c>
      <c r="AO9759" s="55">
        <v>11</v>
      </c>
      <c r="AP9759" s="55">
        <v>13</v>
      </c>
      <c r="AQ9759" s="55">
        <v>17288</v>
      </c>
      <c r="AR9759" s="55">
        <v>28500</v>
      </c>
      <c r="AS9759" s="78">
        <f t="shared" si="156"/>
        <v>0.60659649122807013</v>
      </c>
    </row>
    <row r="9760" spans="39:45">
      <c r="AM9760" s="54">
        <v>2020</v>
      </c>
      <c r="AN9760" s="54" t="s">
        <v>184</v>
      </c>
      <c r="AO9760" s="54">
        <v>11</v>
      </c>
      <c r="AP9760" s="54">
        <v>14</v>
      </c>
      <c r="AQ9760" s="54">
        <v>25464.5</v>
      </c>
      <c r="AR9760" s="55">
        <v>28500</v>
      </c>
      <c r="AS9760" s="78">
        <f t="shared" si="156"/>
        <v>0.89349122807017545</v>
      </c>
    </row>
    <row r="9761" spans="39:45">
      <c r="AM9761" s="55">
        <v>2020</v>
      </c>
      <c r="AN9761" s="55" t="s">
        <v>184</v>
      </c>
      <c r="AO9761" s="55">
        <v>11</v>
      </c>
      <c r="AP9761" s="55">
        <v>15</v>
      </c>
      <c r="AQ9761" s="55">
        <v>7011</v>
      </c>
      <c r="AR9761" s="55">
        <v>28500</v>
      </c>
      <c r="AS9761" s="78">
        <f t="shared" si="156"/>
        <v>0.246</v>
      </c>
    </row>
    <row r="9762" spans="39:45">
      <c r="AM9762" s="54">
        <v>2020</v>
      </c>
      <c r="AN9762" s="54" t="s">
        <v>184</v>
      </c>
      <c r="AO9762" s="54">
        <v>11</v>
      </c>
      <c r="AP9762" s="54">
        <v>16</v>
      </c>
      <c r="AQ9762" s="54">
        <v>5943</v>
      </c>
      <c r="AR9762" s="55">
        <v>28500</v>
      </c>
      <c r="AS9762" s="78">
        <f t="shared" si="156"/>
        <v>0.20852631578947367</v>
      </c>
    </row>
    <row r="9763" spans="39:45">
      <c r="AM9763" s="55">
        <v>2020</v>
      </c>
      <c r="AN9763" s="55" t="s">
        <v>184</v>
      </c>
      <c r="AO9763" s="55">
        <v>11</v>
      </c>
      <c r="AP9763" s="55">
        <v>17</v>
      </c>
      <c r="AQ9763" s="55">
        <v>0</v>
      </c>
      <c r="AR9763" s="55">
        <v>28500</v>
      </c>
      <c r="AS9763" s="78">
        <f t="shared" si="156"/>
        <v>0</v>
      </c>
    </row>
    <row r="9764" spans="39:45">
      <c r="AM9764" s="54">
        <v>2020</v>
      </c>
      <c r="AN9764" s="54" t="s">
        <v>184</v>
      </c>
      <c r="AO9764" s="54">
        <v>11</v>
      </c>
      <c r="AP9764" s="54">
        <v>18</v>
      </c>
      <c r="AQ9764" s="54">
        <v>0</v>
      </c>
      <c r="AR9764" s="55">
        <v>28500</v>
      </c>
      <c r="AS9764" s="78">
        <f t="shared" si="156"/>
        <v>0</v>
      </c>
    </row>
    <row r="9765" spans="39:45">
      <c r="AM9765" s="55">
        <v>2020</v>
      </c>
      <c r="AN9765" s="55" t="s">
        <v>184</v>
      </c>
      <c r="AO9765" s="55">
        <v>11</v>
      </c>
      <c r="AP9765" s="55">
        <v>19</v>
      </c>
      <c r="AQ9765" s="55">
        <v>0</v>
      </c>
      <c r="AR9765" s="55">
        <v>28500</v>
      </c>
      <c r="AS9765" s="78">
        <f t="shared" si="156"/>
        <v>0</v>
      </c>
    </row>
    <row r="9766" spans="39:45">
      <c r="AM9766" s="54">
        <v>2020</v>
      </c>
      <c r="AN9766" s="54" t="s">
        <v>184</v>
      </c>
      <c r="AO9766" s="54">
        <v>11</v>
      </c>
      <c r="AP9766" s="54">
        <v>20</v>
      </c>
      <c r="AQ9766" s="54">
        <v>0</v>
      </c>
      <c r="AR9766" s="55">
        <v>28500</v>
      </c>
      <c r="AS9766" s="78">
        <f t="shared" si="156"/>
        <v>0</v>
      </c>
    </row>
    <row r="9767" spans="39:45">
      <c r="AM9767" s="55">
        <v>2020</v>
      </c>
      <c r="AN9767" s="55" t="s">
        <v>184</v>
      </c>
      <c r="AO9767" s="55">
        <v>11</v>
      </c>
      <c r="AP9767" s="55">
        <v>21</v>
      </c>
      <c r="AQ9767" s="55">
        <v>0</v>
      </c>
      <c r="AR9767" s="55">
        <v>28500</v>
      </c>
      <c r="AS9767" s="78">
        <f t="shared" si="156"/>
        <v>0</v>
      </c>
    </row>
    <row r="9768" spans="39:45">
      <c r="AM9768" s="54">
        <v>2020</v>
      </c>
      <c r="AN9768" s="54" t="s">
        <v>184</v>
      </c>
      <c r="AO9768" s="54">
        <v>11</v>
      </c>
      <c r="AP9768" s="54">
        <v>22</v>
      </c>
      <c r="AQ9768" s="54">
        <v>0</v>
      </c>
      <c r="AR9768" s="55">
        <v>28500</v>
      </c>
      <c r="AS9768" s="78">
        <f t="shared" si="156"/>
        <v>0</v>
      </c>
    </row>
    <row r="9769" spans="39:45">
      <c r="AM9769" s="55">
        <v>2020</v>
      </c>
      <c r="AN9769" s="55" t="s">
        <v>184</v>
      </c>
      <c r="AO9769" s="55">
        <v>11</v>
      </c>
      <c r="AP9769" s="55">
        <v>23</v>
      </c>
      <c r="AQ9769" s="55">
        <v>0</v>
      </c>
      <c r="AR9769" s="55">
        <v>28500</v>
      </c>
      <c r="AS9769" s="78">
        <f t="shared" si="156"/>
        <v>0</v>
      </c>
    </row>
    <row r="9770" spans="39:45">
      <c r="AM9770" s="54">
        <v>2020</v>
      </c>
      <c r="AN9770" s="54" t="s">
        <v>184</v>
      </c>
      <c r="AO9770" s="54">
        <v>12</v>
      </c>
      <c r="AP9770" s="54">
        <v>24</v>
      </c>
      <c r="AQ9770" s="54">
        <v>0</v>
      </c>
      <c r="AR9770" s="55">
        <v>28500</v>
      </c>
      <c r="AS9770" s="78">
        <f t="shared" si="156"/>
        <v>0</v>
      </c>
    </row>
    <row r="9771" spans="39:45">
      <c r="AM9771" s="55">
        <v>2020</v>
      </c>
      <c r="AN9771" s="55" t="s">
        <v>184</v>
      </c>
      <c r="AO9771" s="55">
        <v>12</v>
      </c>
      <c r="AP9771" s="55">
        <v>1</v>
      </c>
      <c r="AQ9771" s="55">
        <v>0</v>
      </c>
      <c r="AR9771" s="55">
        <v>28500</v>
      </c>
      <c r="AS9771" s="78">
        <f t="shared" si="156"/>
        <v>0</v>
      </c>
    </row>
    <row r="9772" spans="39:45">
      <c r="AM9772" s="54">
        <v>2020</v>
      </c>
      <c r="AN9772" s="54" t="s">
        <v>184</v>
      </c>
      <c r="AO9772" s="54">
        <v>12</v>
      </c>
      <c r="AP9772" s="54">
        <v>2</v>
      </c>
      <c r="AQ9772" s="54">
        <v>0</v>
      </c>
      <c r="AR9772" s="55">
        <v>28500</v>
      </c>
      <c r="AS9772" s="78">
        <f t="shared" si="156"/>
        <v>0</v>
      </c>
    </row>
    <row r="9773" spans="39:45">
      <c r="AM9773" s="55">
        <v>2020</v>
      </c>
      <c r="AN9773" s="55" t="s">
        <v>184</v>
      </c>
      <c r="AO9773" s="55">
        <v>12</v>
      </c>
      <c r="AP9773" s="55">
        <v>3</v>
      </c>
      <c r="AQ9773" s="55">
        <v>0</v>
      </c>
      <c r="AR9773" s="55">
        <v>28500</v>
      </c>
      <c r="AS9773" s="78">
        <f t="shared" si="156"/>
        <v>0</v>
      </c>
    </row>
    <row r="9774" spans="39:45">
      <c r="AM9774" s="54">
        <v>2020</v>
      </c>
      <c r="AN9774" s="54" t="s">
        <v>184</v>
      </c>
      <c r="AO9774" s="54">
        <v>12</v>
      </c>
      <c r="AP9774" s="54">
        <v>4</v>
      </c>
      <c r="AQ9774" s="54">
        <v>0</v>
      </c>
      <c r="AR9774" s="55">
        <v>28500</v>
      </c>
      <c r="AS9774" s="78">
        <f t="shared" si="156"/>
        <v>0</v>
      </c>
    </row>
    <row r="9775" spans="39:45">
      <c r="AM9775" s="55">
        <v>2020</v>
      </c>
      <c r="AN9775" s="55" t="s">
        <v>184</v>
      </c>
      <c r="AO9775" s="55">
        <v>12</v>
      </c>
      <c r="AP9775" s="55">
        <v>5</v>
      </c>
      <c r="AQ9775" s="55">
        <v>0</v>
      </c>
      <c r="AR9775" s="55">
        <v>28500</v>
      </c>
      <c r="AS9775" s="78">
        <f t="shared" si="156"/>
        <v>0</v>
      </c>
    </row>
    <row r="9776" spans="39:45">
      <c r="AM9776" s="54">
        <v>2020</v>
      </c>
      <c r="AN9776" s="54" t="s">
        <v>184</v>
      </c>
      <c r="AO9776" s="54">
        <v>12</v>
      </c>
      <c r="AP9776" s="54">
        <v>6</v>
      </c>
      <c r="AQ9776" s="54">
        <v>0</v>
      </c>
      <c r="AR9776" s="55">
        <v>28500</v>
      </c>
      <c r="AS9776" s="78">
        <f t="shared" si="156"/>
        <v>0</v>
      </c>
    </row>
    <row r="9777" spans="39:45">
      <c r="AM9777" s="55">
        <v>2020</v>
      </c>
      <c r="AN9777" s="55" t="s">
        <v>184</v>
      </c>
      <c r="AO9777" s="55">
        <v>12</v>
      </c>
      <c r="AP9777" s="55">
        <v>7</v>
      </c>
      <c r="AQ9777" s="55">
        <v>0</v>
      </c>
      <c r="AR9777" s="55">
        <v>28500</v>
      </c>
      <c r="AS9777" s="78">
        <f t="shared" si="156"/>
        <v>0</v>
      </c>
    </row>
    <row r="9778" spans="39:45">
      <c r="AM9778" s="54">
        <v>2020</v>
      </c>
      <c r="AN9778" s="54" t="s">
        <v>184</v>
      </c>
      <c r="AO9778" s="54">
        <v>12</v>
      </c>
      <c r="AP9778" s="54">
        <v>8</v>
      </c>
      <c r="AQ9778" s="54">
        <v>10500.5</v>
      </c>
      <c r="AR9778" s="55">
        <v>28500</v>
      </c>
      <c r="AS9778" s="78">
        <f t="shared" si="156"/>
        <v>0.36843859649122807</v>
      </c>
    </row>
    <row r="9779" spans="39:45">
      <c r="AM9779" s="55">
        <v>2020</v>
      </c>
      <c r="AN9779" s="55" t="s">
        <v>184</v>
      </c>
      <c r="AO9779" s="55">
        <v>12</v>
      </c>
      <c r="AP9779" s="55">
        <v>9</v>
      </c>
      <c r="AQ9779" s="55">
        <v>20896.5</v>
      </c>
      <c r="AR9779" s="55">
        <v>28500</v>
      </c>
      <c r="AS9779" s="78">
        <f t="shared" si="156"/>
        <v>0.73321052631578942</v>
      </c>
    </row>
    <row r="9780" spans="39:45">
      <c r="AM9780" s="54">
        <v>2020</v>
      </c>
      <c r="AN9780" s="54" t="s">
        <v>184</v>
      </c>
      <c r="AO9780" s="54">
        <v>12</v>
      </c>
      <c r="AP9780" s="54">
        <v>10</v>
      </c>
      <c r="AQ9780" s="54">
        <v>32153.5</v>
      </c>
      <c r="AR9780" s="55">
        <v>28500</v>
      </c>
      <c r="AS9780" s="78">
        <f t="shared" si="156"/>
        <v>1.1281929824561403</v>
      </c>
    </row>
    <row r="9781" spans="39:45">
      <c r="AM9781" s="55">
        <v>2020</v>
      </c>
      <c r="AN9781" s="55" t="s">
        <v>184</v>
      </c>
      <c r="AO9781" s="55">
        <v>12</v>
      </c>
      <c r="AP9781" s="55">
        <v>11</v>
      </c>
      <c r="AQ9781" s="55">
        <v>34465</v>
      </c>
      <c r="AR9781" s="55">
        <v>28500</v>
      </c>
      <c r="AS9781" s="78">
        <f t="shared" si="156"/>
        <v>1.2092982456140351</v>
      </c>
    </row>
    <row r="9782" spans="39:45">
      <c r="AM9782" s="54">
        <v>2020</v>
      </c>
      <c r="AN9782" s="54" t="s">
        <v>184</v>
      </c>
      <c r="AO9782" s="54">
        <v>12</v>
      </c>
      <c r="AP9782" s="54">
        <v>12</v>
      </c>
      <c r="AQ9782" s="54">
        <v>38669</v>
      </c>
      <c r="AR9782" s="55">
        <v>28500</v>
      </c>
      <c r="AS9782" s="78">
        <f t="shared" si="156"/>
        <v>1.3568070175438596</v>
      </c>
    </row>
    <row r="9783" spans="39:45">
      <c r="AM9783" s="55">
        <v>2020</v>
      </c>
      <c r="AN9783" s="55" t="s">
        <v>184</v>
      </c>
      <c r="AO9783" s="55">
        <v>12</v>
      </c>
      <c r="AP9783" s="55">
        <v>13</v>
      </c>
      <c r="AQ9783" s="55">
        <v>26268.5</v>
      </c>
      <c r="AR9783" s="55">
        <v>28500</v>
      </c>
      <c r="AS9783" s="78">
        <f t="shared" si="156"/>
        <v>0.92170175438596491</v>
      </c>
    </row>
    <row r="9784" spans="39:45">
      <c r="AM9784" s="54">
        <v>2020</v>
      </c>
      <c r="AN9784" s="54" t="s">
        <v>184</v>
      </c>
      <c r="AO9784" s="54">
        <v>12</v>
      </c>
      <c r="AP9784" s="54">
        <v>14</v>
      </c>
      <c r="AQ9784" s="54">
        <v>21856.5</v>
      </c>
      <c r="AR9784" s="55">
        <v>28500</v>
      </c>
      <c r="AS9784" s="78">
        <f t="shared" si="156"/>
        <v>0.7668947368421053</v>
      </c>
    </row>
    <row r="9785" spans="39:45">
      <c r="AM9785" s="55">
        <v>2020</v>
      </c>
      <c r="AN9785" s="55" t="s">
        <v>184</v>
      </c>
      <c r="AO9785" s="55">
        <v>12</v>
      </c>
      <c r="AP9785" s="55">
        <v>15</v>
      </c>
      <c r="AQ9785" s="55">
        <v>18688.5</v>
      </c>
      <c r="AR9785" s="55">
        <v>28500</v>
      </c>
      <c r="AS9785" s="78">
        <f t="shared" si="156"/>
        <v>0.65573684210526317</v>
      </c>
    </row>
    <row r="9786" spans="39:45">
      <c r="AM9786" s="54">
        <v>2020</v>
      </c>
      <c r="AN9786" s="54" t="s">
        <v>184</v>
      </c>
      <c r="AO9786" s="54">
        <v>12</v>
      </c>
      <c r="AP9786" s="54">
        <v>16</v>
      </c>
      <c r="AQ9786" s="54">
        <v>9438</v>
      </c>
      <c r="AR9786" s="55">
        <v>28500</v>
      </c>
      <c r="AS9786" s="78">
        <f t="shared" si="156"/>
        <v>0.3311578947368421</v>
      </c>
    </row>
    <row r="9787" spans="39:45">
      <c r="AM9787" s="55">
        <v>2020</v>
      </c>
      <c r="AN9787" s="55" t="s">
        <v>184</v>
      </c>
      <c r="AO9787" s="55">
        <v>12</v>
      </c>
      <c r="AP9787" s="55">
        <v>17</v>
      </c>
      <c r="AQ9787" s="55">
        <v>0</v>
      </c>
      <c r="AR9787" s="55">
        <v>28500</v>
      </c>
      <c r="AS9787" s="78">
        <f t="shared" si="156"/>
        <v>0</v>
      </c>
    </row>
    <row r="9788" spans="39:45">
      <c r="AM9788" s="54">
        <v>2020</v>
      </c>
      <c r="AN9788" s="54" t="s">
        <v>184</v>
      </c>
      <c r="AO9788" s="54">
        <v>12</v>
      </c>
      <c r="AP9788" s="54">
        <v>18</v>
      </c>
      <c r="AQ9788" s="54">
        <v>0</v>
      </c>
      <c r="AR9788" s="55">
        <v>28500</v>
      </c>
      <c r="AS9788" s="78">
        <f t="shared" si="156"/>
        <v>0</v>
      </c>
    </row>
    <row r="9789" spans="39:45">
      <c r="AM9789" s="55">
        <v>2020</v>
      </c>
      <c r="AN9789" s="55" t="s">
        <v>184</v>
      </c>
      <c r="AO9789" s="55">
        <v>12</v>
      </c>
      <c r="AP9789" s="55">
        <v>19</v>
      </c>
      <c r="AQ9789" s="55">
        <v>0</v>
      </c>
      <c r="AR9789" s="55">
        <v>28500</v>
      </c>
      <c r="AS9789" s="78">
        <f t="shared" si="156"/>
        <v>0</v>
      </c>
    </row>
    <row r="9790" spans="39:45">
      <c r="AM9790" s="54">
        <v>2020</v>
      </c>
      <c r="AN9790" s="54" t="s">
        <v>184</v>
      </c>
      <c r="AO9790" s="54">
        <v>12</v>
      </c>
      <c r="AP9790" s="54">
        <v>20</v>
      </c>
      <c r="AQ9790" s="54">
        <v>0</v>
      </c>
      <c r="AR9790" s="55">
        <v>28500</v>
      </c>
      <c r="AS9790" s="78">
        <f t="shared" si="156"/>
        <v>0</v>
      </c>
    </row>
    <row r="9791" spans="39:45">
      <c r="AM9791" s="55">
        <v>2020</v>
      </c>
      <c r="AN9791" s="55" t="s">
        <v>184</v>
      </c>
      <c r="AO9791" s="55">
        <v>12</v>
      </c>
      <c r="AP9791" s="55">
        <v>21</v>
      </c>
      <c r="AQ9791" s="55">
        <v>0</v>
      </c>
      <c r="AR9791" s="55">
        <v>28500</v>
      </c>
      <c r="AS9791" s="78">
        <f t="shared" si="156"/>
        <v>0</v>
      </c>
    </row>
    <row r="9792" spans="39:45">
      <c r="AM9792" s="54">
        <v>2020</v>
      </c>
      <c r="AN9792" s="54" t="s">
        <v>184</v>
      </c>
      <c r="AO9792" s="54">
        <v>12</v>
      </c>
      <c r="AP9792" s="54">
        <v>22</v>
      </c>
      <c r="AQ9792" s="54">
        <v>0</v>
      </c>
      <c r="AR9792" s="55">
        <v>28500</v>
      </c>
      <c r="AS9792" s="78">
        <f t="shared" si="156"/>
        <v>0</v>
      </c>
    </row>
    <row r="9793" spans="39:45">
      <c r="AM9793" s="55">
        <v>2020</v>
      </c>
      <c r="AN9793" s="55" t="s">
        <v>184</v>
      </c>
      <c r="AO9793" s="55">
        <v>12</v>
      </c>
      <c r="AP9793" s="55">
        <v>23</v>
      </c>
      <c r="AQ9793" s="55">
        <v>0</v>
      </c>
      <c r="AR9793" s="55">
        <v>28500</v>
      </c>
      <c r="AS9793" s="78">
        <f t="shared" si="156"/>
        <v>0</v>
      </c>
    </row>
    <row r="9794" spans="39:45">
      <c r="AM9794" s="54">
        <v>2020</v>
      </c>
      <c r="AN9794" s="54" t="s">
        <v>184</v>
      </c>
      <c r="AO9794" s="54">
        <v>13</v>
      </c>
      <c r="AP9794" s="54">
        <v>24</v>
      </c>
      <c r="AQ9794" s="54">
        <v>0</v>
      </c>
      <c r="AR9794" s="55">
        <v>28500</v>
      </c>
      <c r="AS9794" s="78">
        <f t="shared" ref="AS9794:AS9857" si="157">AQ9794/AR9794</f>
        <v>0</v>
      </c>
    </row>
    <row r="9795" spans="39:45">
      <c r="AM9795" s="55">
        <v>2020</v>
      </c>
      <c r="AN9795" s="55" t="s">
        <v>184</v>
      </c>
      <c r="AO9795" s="55">
        <v>13</v>
      </c>
      <c r="AP9795" s="55">
        <v>1</v>
      </c>
      <c r="AQ9795" s="55">
        <v>0</v>
      </c>
      <c r="AR9795" s="55">
        <v>28500</v>
      </c>
      <c r="AS9795" s="78">
        <f t="shared" si="157"/>
        <v>0</v>
      </c>
    </row>
    <row r="9796" spans="39:45">
      <c r="AM9796" s="54">
        <v>2020</v>
      </c>
      <c r="AN9796" s="54" t="s">
        <v>184</v>
      </c>
      <c r="AO9796" s="54">
        <v>13</v>
      </c>
      <c r="AP9796" s="54">
        <v>2</v>
      </c>
      <c r="AQ9796" s="54">
        <v>0</v>
      </c>
      <c r="AR9796" s="55">
        <v>28500</v>
      </c>
      <c r="AS9796" s="78">
        <f t="shared" si="157"/>
        <v>0</v>
      </c>
    </row>
    <row r="9797" spans="39:45">
      <c r="AM9797" s="55">
        <v>2020</v>
      </c>
      <c r="AN9797" s="55" t="s">
        <v>184</v>
      </c>
      <c r="AO9797" s="55">
        <v>13</v>
      </c>
      <c r="AP9797" s="55">
        <v>3</v>
      </c>
      <c r="AQ9797" s="55">
        <v>0</v>
      </c>
      <c r="AR9797" s="55">
        <v>28500</v>
      </c>
      <c r="AS9797" s="78">
        <f t="shared" si="157"/>
        <v>0</v>
      </c>
    </row>
    <row r="9798" spans="39:45">
      <c r="AM9798" s="54">
        <v>2020</v>
      </c>
      <c r="AN9798" s="54" t="s">
        <v>184</v>
      </c>
      <c r="AO9798" s="54">
        <v>13</v>
      </c>
      <c r="AP9798" s="54">
        <v>4</v>
      </c>
      <c r="AQ9798" s="54">
        <v>0</v>
      </c>
      <c r="AR9798" s="55">
        <v>28500</v>
      </c>
      <c r="AS9798" s="78">
        <f t="shared" si="157"/>
        <v>0</v>
      </c>
    </row>
    <row r="9799" spans="39:45">
      <c r="AM9799" s="55">
        <v>2020</v>
      </c>
      <c r="AN9799" s="55" t="s">
        <v>184</v>
      </c>
      <c r="AO9799" s="55">
        <v>13</v>
      </c>
      <c r="AP9799" s="55">
        <v>5</v>
      </c>
      <c r="AQ9799" s="55">
        <v>0</v>
      </c>
      <c r="AR9799" s="55">
        <v>28500</v>
      </c>
      <c r="AS9799" s="78">
        <f t="shared" si="157"/>
        <v>0</v>
      </c>
    </row>
    <row r="9800" spans="39:45">
      <c r="AM9800" s="54">
        <v>2020</v>
      </c>
      <c r="AN9800" s="54" t="s">
        <v>184</v>
      </c>
      <c r="AO9800" s="54">
        <v>13</v>
      </c>
      <c r="AP9800" s="54">
        <v>6</v>
      </c>
      <c r="AQ9800" s="54">
        <v>0</v>
      </c>
      <c r="AR9800" s="55">
        <v>28500</v>
      </c>
      <c r="AS9800" s="78">
        <f t="shared" si="157"/>
        <v>0</v>
      </c>
    </row>
    <row r="9801" spans="39:45">
      <c r="AM9801" s="55">
        <v>2020</v>
      </c>
      <c r="AN9801" s="55" t="s">
        <v>184</v>
      </c>
      <c r="AO9801" s="55">
        <v>13</v>
      </c>
      <c r="AP9801" s="55">
        <v>7</v>
      </c>
      <c r="AQ9801" s="55">
        <v>0</v>
      </c>
      <c r="AR9801" s="55">
        <v>28500</v>
      </c>
      <c r="AS9801" s="78">
        <f t="shared" si="157"/>
        <v>0</v>
      </c>
    </row>
    <row r="9802" spans="39:45">
      <c r="AM9802" s="54">
        <v>2020</v>
      </c>
      <c r="AN9802" s="54" t="s">
        <v>184</v>
      </c>
      <c r="AO9802" s="54">
        <v>13</v>
      </c>
      <c r="AP9802" s="54">
        <v>8</v>
      </c>
      <c r="AQ9802" s="54">
        <v>9545.5</v>
      </c>
      <c r="AR9802" s="55">
        <v>28500</v>
      </c>
      <c r="AS9802" s="78">
        <f t="shared" si="157"/>
        <v>0.33492982456140352</v>
      </c>
    </row>
    <row r="9803" spans="39:45">
      <c r="AM9803" s="55">
        <v>2020</v>
      </c>
      <c r="AN9803" s="55" t="s">
        <v>184</v>
      </c>
      <c r="AO9803" s="55">
        <v>13</v>
      </c>
      <c r="AP9803" s="55">
        <v>9</v>
      </c>
      <c r="AQ9803" s="55">
        <v>19943</v>
      </c>
      <c r="AR9803" s="55">
        <v>28500</v>
      </c>
      <c r="AS9803" s="78">
        <f t="shared" si="157"/>
        <v>0.69975438596491224</v>
      </c>
    </row>
    <row r="9804" spans="39:45">
      <c r="AM9804" s="54">
        <v>2020</v>
      </c>
      <c r="AN9804" s="54" t="s">
        <v>184</v>
      </c>
      <c r="AO9804" s="54">
        <v>13</v>
      </c>
      <c r="AP9804" s="54">
        <v>10</v>
      </c>
      <c r="AQ9804" s="54">
        <v>11028.5</v>
      </c>
      <c r="AR9804" s="55">
        <v>28500</v>
      </c>
      <c r="AS9804" s="78">
        <f t="shared" si="157"/>
        <v>0.38696491228070173</v>
      </c>
    </row>
    <row r="9805" spans="39:45">
      <c r="AM9805" s="55">
        <v>2020</v>
      </c>
      <c r="AN9805" s="55" t="s">
        <v>184</v>
      </c>
      <c r="AO9805" s="55">
        <v>13</v>
      </c>
      <c r="AP9805" s="55">
        <v>11</v>
      </c>
      <c r="AQ9805" s="55">
        <v>6938</v>
      </c>
      <c r="AR9805" s="55">
        <v>28500</v>
      </c>
      <c r="AS9805" s="78">
        <f t="shared" si="157"/>
        <v>0.24343859649122807</v>
      </c>
    </row>
    <row r="9806" spans="39:45">
      <c r="AM9806" s="54">
        <v>2020</v>
      </c>
      <c r="AN9806" s="54" t="s">
        <v>184</v>
      </c>
      <c r="AO9806" s="54">
        <v>13</v>
      </c>
      <c r="AP9806" s="54">
        <v>12</v>
      </c>
      <c r="AQ9806" s="54">
        <v>2335.5</v>
      </c>
      <c r="AR9806" s="55">
        <v>28500</v>
      </c>
      <c r="AS9806" s="78">
        <f t="shared" si="157"/>
        <v>8.194736842105263E-2</v>
      </c>
    </row>
    <row r="9807" spans="39:45">
      <c r="AM9807" s="55">
        <v>2020</v>
      </c>
      <c r="AN9807" s="55" t="s">
        <v>184</v>
      </c>
      <c r="AO9807" s="55">
        <v>13</v>
      </c>
      <c r="AP9807" s="55">
        <v>13</v>
      </c>
      <c r="AQ9807" s="55">
        <v>1193</v>
      </c>
      <c r="AR9807" s="55">
        <v>28500</v>
      </c>
      <c r="AS9807" s="78">
        <f t="shared" si="157"/>
        <v>4.185964912280702E-2</v>
      </c>
    </row>
    <row r="9808" spans="39:45">
      <c r="AM9808" s="54">
        <v>2020</v>
      </c>
      <c r="AN9808" s="54" t="s">
        <v>184</v>
      </c>
      <c r="AO9808" s="54">
        <v>13</v>
      </c>
      <c r="AP9808" s="54">
        <v>14</v>
      </c>
      <c r="AQ9808" s="54">
        <v>6771.5</v>
      </c>
      <c r="AR9808" s="55">
        <v>28500</v>
      </c>
      <c r="AS9808" s="78">
        <f t="shared" si="157"/>
        <v>0.23759649122807017</v>
      </c>
    </row>
    <row r="9809" spans="39:45">
      <c r="AM9809" s="55">
        <v>2020</v>
      </c>
      <c r="AN9809" s="55" t="s">
        <v>184</v>
      </c>
      <c r="AO9809" s="55">
        <v>13</v>
      </c>
      <c r="AP9809" s="55">
        <v>15</v>
      </c>
      <c r="AQ9809" s="55">
        <v>11587</v>
      </c>
      <c r="AR9809" s="55">
        <v>28500</v>
      </c>
      <c r="AS9809" s="78">
        <f t="shared" si="157"/>
        <v>0.40656140350877196</v>
      </c>
    </row>
    <row r="9810" spans="39:45">
      <c r="AM9810" s="54">
        <v>2020</v>
      </c>
      <c r="AN9810" s="54" t="s">
        <v>184</v>
      </c>
      <c r="AO9810" s="54">
        <v>13</v>
      </c>
      <c r="AP9810" s="54">
        <v>16</v>
      </c>
      <c r="AQ9810" s="54">
        <v>7976.5</v>
      </c>
      <c r="AR9810" s="55">
        <v>28500</v>
      </c>
      <c r="AS9810" s="78">
        <f t="shared" si="157"/>
        <v>0.27987719298245611</v>
      </c>
    </row>
    <row r="9811" spans="39:45">
      <c r="AM9811" s="55">
        <v>2020</v>
      </c>
      <c r="AN9811" s="55" t="s">
        <v>184</v>
      </c>
      <c r="AO9811" s="55">
        <v>13</v>
      </c>
      <c r="AP9811" s="55">
        <v>17</v>
      </c>
      <c r="AQ9811" s="55">
        <v>0</v>
      </c>
      <c r="AR9811" s="55">
        <v>28500</v>
      </c>
      <c r="AS9811" s="78">
        <f t="shared" si="157"/>
        <v>0</v>
      </c>
    </row>
    <row r="9812" spans="39:45">
      <c r="AM9812" s="54">
        <v>2020</v>
      </c>
      <c r="AN9812" s="54" t="s">
        <v>184</v>
      </c>
      <c r="AO9812" s="54">
        <v>13</v>
      </c>
      <c r="AP9812" s="54">
        <v>18</v>
      </c>
      <c r="AQ9812" s="54">
        <v>0</v>
      </c>
      <c r="AR9812" s="55">
        <v>28500</v>
      </c>
      <c r="AS9812" s="78">
        <f t="shared" si="157"/>
        <v>0</v>
      </c>
    </row>
    <row r="9813" spans="39:45">
      <c r="AM9813" s="55">
        <v>2020</v>
      </c>
      <c r="AN9813" s="55" t="s">
        <v>184</v>
      </c>
      <c r="AO9813" s="55">
        <v>13</v>
      </c>
      <c r="AP9813" s="55">
        <v>19</v>
      </c>
      <c r="AQ9813" s="55">
        <v>0</v>
      </c>
      <c r="AR9813" s="55">
        <v>28500</v>
      </c>
      <c r="AS9813" s="78">
        <f t="shared" si="157"/>
        <v>0</v>
      </c>
    </row>
    <row r="9814" spans="39:45">
      <c r="AM9814" s="54">
        <v>2020</v>
      </c>
      <c r="AN9814" s="54" t="s">
        <v>184</v>
      </c>
      <c r="AO9814" s="54">
        <v>13</v>
      </c>
      <c r="AP9814" s="54">
        <v>20</v>
      </c>
      <c r="AQ9814" s="54">
        <v>0</v>
      </c>
      <c r="AR9814" s="55">
        <v>28500</v>
      </c>
      <c r="AS9814" s="78">
        <f t="shared" si="157"/>
        <v>0</v>
      </c>
    </row>
    <row r="9815" spans="39:45">
      <c r="AM9815" s="55">
        <v>2020</v>
      </c>
      <c r="AN9815" s="55" t="s">
        <v>184</v>
      </c>
      <c r="AO9815" s="55">
        <v>13</v>
      </c>
      <c r="AP9815" s="55">
        <v>21</v>
      </c>
      <c r="AQ9815" s="55">
        <v>0</v>
      </c>
      <c r="AR9815" s="55">
        <v>28500</v>
      </c>
      <c r="AS9815" s="78">
        <f t="shared" si="157"/>
        <v>0</v>
      </c>
    </row>
    <row r="9816" spans="39:45">
      <c r="AM9816" s="54">
        <v>2020</v>
      </c>
      <c r="AN9816" s="54" t="s">
        <v>184</v>
      </c>
      <c r="AO9816" s="54">
        <v>13</v>
      </c>
      <c r="AP9816" s="54">
        <v>22</v>
      </c>
      <c r="AQ9816" s="54">
        <v>0</v>
      </c>
      <c r="AR9816" s="55">
        <v>28500</v>
      </c>
      <c r="AS9816" s="78">
        <f t="shared" si="157"/>
        <v>0</v>
      </c>
    </row>
    <row r="9817" spans="39:45">
      <c r="AM9817" s="55">
        <v>2020</v>
      </c>
      <c r="AN9817" s="55" t="s">
        <v>184</v>
      </c>
      <c r="AO9817" s="55">
        <v>13</v>
      </c>
      <c r="AP9817" s="55">
        <v>23</v>
      </c>
      <c r="AQ9817" s="55">
        <v>0</v>
      </c>
      <c r="AR9817" s="55">
        <v>28500</v>
      </c>
      <c r="AS9817" s="78">
        <f t="shared" si="157"/>
        <v>0</v>
      </c>
    </row>
    <row r="9818" spans="39:45">
      <c r="AM9818" s="54">
        <v>2020</v>
      </c>
      <c r="AN9818" s="54" t="s">
        <v>184</v>
      </c>
      <c r="AO9818" s="54">
        <v>14</v>
      </c>
      <c r="AP9818" s="54">
        <v>24</v>
      </c>
      <c r="AQ9818" s="54">
        <v>0</v>
      </c>
      <c r="AR9818" s="55">
        <v>28500</v>
      </c>
      <c r="AS9818" s="78">
        <f t="shared" si="157"/>
        <v>0</v>
      </c>
    </row>
    <row r="9819" spans="39:45">
      <c r="AM9819" s="55">
        <v>2020</v>
      </c>
      <c r="AN9819" s="55" t="s">
        <v>184</v>
      </c>
      <c r="AO9819" s="55">
        <v>14</v>
      </c>
      <c r="AP9819" s="55">
        <v>1</v>
      </c>
      <c r="AQ9819" s="55">
        <v>0</v>
      </c>
      <c r="AR9819" s="55">
        <v>28500</v>
      </c>
      <c r="AS9819" s="78">
        <f t="shared" si="157"/>
        <v>0</v>
      </c>
    </row>
    <row r="9820" spans="39:45">
      <c r="AM9820" s="54">
        <v>2020</v>
      </c>
      <c r="AN9820" s="54" t="s">
        <v>184</v>
      </c>
      <c r="AO9820" s="54">
        <v>14</v>
      </c>
      <c r="AP9820" s="54">
        <v>2</v>
      </c>
      <c r="AQ9820" s="54">
        <v>0</v>
      </c>
      <c r="AR9820" s="55">
        <v>28500</v>
      </c>
      <c r="AS9820" s="78">
        <f t="shared" si="157"/>
        <v>0</v>
      </c>
    </row>
    <row r="9821" spans="39:45">
      <c r="AM9821" s="55">
        <v>2020</v>
      </c>
      <c r="AN9821" s="55" t="s">
        <v>184</v>
      </c>
      <c r="AO9821" s="55">
        <v>14</v>
      </c>
      <c r="AP9821" s="55">
        <v>3</v>
      </c>
      <c r="AQ9821" s="55">
        <v>0</v>
      </c>
      <c r="AR9821" s="55">
        <v>28500</v>
      </c>
      <c r="AS9821" s="78">
        <f t="shared" si="157"/>
        <v>0</v>
      </c>
    </row>
    <row r="9822" spans="39:45">
      <c r="AM9822" s="54">
        <v>2020</v>
      </c>
      <c r="AN9822" s="54" t="s">
        <v>184</v>
      </c>
      <c r="AO9822" s="54">
        <v>14</v>
      </c>
      <c r="AP9822" s="54">
        <v>4</v>
      </c>
      <c r="AQ9822" s="54">
        <v>0</v>
      </c>
      <c r="AR9822" s="55">
        <v>28500</v>
      </c>
      <c r="AS9822" s="78">
        <f t="shared" si="157"/>
        <v>0</v>
      </c>
    </row>
    <row r="9823" spans="39:45">
      <c r="AM9823" s="55">
        <v>2020</v>
      </c>
      <c r="AN9823" s="55" t="s">
        <v>184</v>
      </c>
      <c r="AO9823" s="55">
        <v>14</v>
      </c>
      <c r="AP9823" s="55">
        <v>5</v>
      </c>
      <c r="AQ9823" s="55">
        <v>0</v>
      </c>
      <c r="AR9823" s="55">
        <v>28500</v>
      </c>
      <c r="AS9823" s="78">
        <f t="shared" si="157"/>
        <v>0</v>
      </c>
    </row>
    <row r="9824" spans="39:45">
      <c r="AM9824" s="54">
        <v>2020</v>
      </c>
      <c r="AN9824" s="54" t="s">
        <v>184</v>
      </c>
      <c r="AO9824" s="54">
        <v>14</v>
      </c>
      <c r="AP9824" s="54">
        <v>6</v>
      </c>
      <c r="AQ9824" s="54">
        <v>0</v>
      </c>
      <c r="AR9824" s="55">
        <v>28500</v>
      </c>
      <c r="AS9824" s="78">
        <f t="shared" si="157"/>
        <v>0</v>
      </c>
    </row>
    <row r="9825" spans="39:45">
      <c r="AM9825" s="55">
        <v>2020</v>
      </c>
      <c r="AN9825" s="55" t="s">
        <v>184</v>
      </c>
      <c r="AO9825" s="55">
        <v>14</v>
      </c>
      <c r="AP9825" s="55">
        <v>7</v>
      </c>
      <c r="AQ9825" s="55">
        <v>0</v>
      </c>
      <c r="AR9825" s="55">
        <v>28500</v>
      </c>
      <c r="AS9825" s="78">
        <f t="shared" si="157"/>
        <v>0</v>
      </c>
    </row>
    <row r="9826" spans="39:45">
      <c r="AM9826" s="54">
        <v>2020</v>
      </c>
      <c r="AN9826" s="54" t="s">
        <v>184</v>
      </c>
      <c r="AO9826" s="54">
        <v>14</v>
      </c>
      <c r="AP9826" s="54">
        <v>8</v>
      </c>
      <c r="AQ9826" s="54">
        <v>6906.5</v>
      </c>
      <c r="AR9826" s="55">
        <v>28500</v>
      </c>
      <c r="AS9826" s="78">
        <f t="shared" si="157"/>
        <v>0.24233333333333335</v>
      </c>
    </row>
    <row r="9827" spans="39:45">
      <c r="AM9827" s="55">
        <v>2020</v>
      </c>
      <c r="AN9827" s="55" t="s">
        <v>184</v>
      </c>
      <c r="AO9827" s="55">
        <v>14</v>
      </c>
      <c r="AP9827" s="55">
        <v>9</v>
      </c>
      <c r="AQ9827" s="55">
        <v>19568</v>
      </c>
      <c r="AR9827" s="55">
        <v>28500</v>
      </c>
      <c r="AS9827" s="78">
        <f t="shared" si="157"/>
        <v>0.6865964912280702</v>
      </c>
    </row>
    <row r="9828" spans="39:45">
      <c r="AM9828" s="54">
        <v>2020</v>
      </c>
      <c r="AN9828" s="54" t="s">
        <v>184</v>
      </c>
      <c r="AO9828" s="54">
        <v>14</v>
      </c>
      <c r="AP9828" s="54">
        <v>10</v>
      </c>
      <c r="AQ9828" s="54">
        <v>28694</v>
      </c>
      <c r="AR9828" s="55">
        <v>28500</v>
      </c>
      <c r="AS9828" s="78">
        <f t="shared" si="157"/>
        <v>1.0068070175438597</v>
      </c>
    </row>
    <row r="9829" spans="39:45">
      <c r="AM9829" s="55">
        <v>2020</v>
      </c>
      <c r="AN9829" s="55" t="s">
        <v>184</v>
      </c>
      <c r="AO9829" s="55">
        <v>14</v>
      </c>
      <c r="AP9829" s="55">
        <v>11</v>
      </c>
      <c r="AQ9829" s="55">
        <v>28431</v>
      </c>
      <c r="AR9829" s="55">
        <v>28500</v>
      </c>
      <c r="AS9829" s="78">
        <f t="shared" si="157"/>
        <v>0.99757894736842101</v>
      </c>
    </row>
    <row r="9830" spans="39:45">
      <c r="AM9830" s="54">
        <v>2020</v>
      </c>
      <c r="AN9830" s="54" t="s">
        <v>184</v>
      </c>
      <c r="AO9830" s="54">
        <v>14</v>
      </c>
      <c r="AP9830" s="54">
        <v>12</v>
      </c>
      <c r="AQ9830" s="54">
        <v>20408</v>
      </c>
      <c r="AR9830" s="55">
        <v>28500</v>
      </c>
      <c r="AS9830" s="78">
        <f t="shared" si="157"/>
        <v>0.71607017543859652</v>
      </c>
    </row>
    <row r="9831" spans="39:45">
      <c r="AM9831" s="55">
        <v>2020</v>
      </c>
      <c r="AN9831" s="55" t="s">
        <v>184</v>
      </c>
      <c r="AO9831" s="55">
        <v>14</v>
      </c>
      <c r="AP9831" s="55">
        <v>13</v>
      </c>
      <c r="AQ9831" s="55">
        <v>22774.5</v>
      </c>
      <c r="AR9831" s="55">
        <v>28500</v>
      </c>
      <c r="AS9831" s="78">
        <f t="shared" si="157"/>
        <v>0.79910526315789476</v>
      </c>
    </row>
    <row r="9832" spans="39:45">
      <c r="AM9832" s="54">
        <v>2020</v>
      </c>
      <c r="AN9832" s="54" t="s">
        <v>184</v>
      </c>
      <c r="AO9832" s="54">
        <v>14</v>
      </c>
      <c r="AP9832" s="54">
        <v>14</v>
      </c>
      <c r="AQ9832" s="54">
        <v>15791.5</v>
      </c>
      <c r="AR9832" s="55">
        <v>28500</v>
      </c>
      <c r="AS9832" s="78">
        <f t="shared" si="157"/>
        <v>0.55408771929824563</v>
      </c>
    </row>
    <row r="9833" spans="39:45">
      <c r="AM9833" s="55">
        <v>2020</v>
      </c>
      <c r="AN9833" s="55" t="s">
        <v>184</v>
      </c>
      <c r="AO9833" s="55">
        <v>14</v>
      </c>
      <c r="AP9833" s="55">
        <v>15</v>
      </c>
      <c r="AQ9833" s="55">
        <v>2471</v>
      </c>
      <c r="AR9833" s="55">
        <v>28500</v>
      </c>
      <c r="AS9833" s="78">
        <f t="shared" si="157"/>
        <v>8.6701754385964919E-2</v>
      </c>
    </row>
    <row r="9834" spans="39:45">
      <c r="AM9834" s="54">
        <v>2020</v>
      </c>
      <c r="AN9834" s="54" t="s">
        <v>184</v>
      </c>
      <c r="AO9834" s="54">
        <v>14</v>
      </c>
      <c r="AP9834" s="54">
        <v>16</v>
      </c>
      <c r="AQ9834" s="54">
        <v>118.5</v>
      </c>
      <c r="AR9834" s="55">
        <v>28500</v>
      </c>
      <c r="AS9834" s="78">
        <f t="shared" si="157"/>
        <v>4.1578947368421052E-3</v>
      </c>
    </row>
    <row r="9835" spans="39:45">
      <c r="AM9835" s="55">
        <v>2020</v>
      </c>
      <c r="AN9835" s="55" t="s">
        <v>184</v>
      </c>
      <c r="AO9835" s="55">
        <v>14</v>
      </c>
      <c r="AP9835" s="55">
        <v>17</v>
      </c>
      <c r="AQ9835" s="55">
        <v>0</v>
      </c>
      <c r="AR9835" s="55">
        <v>28500</v>
      </c>
      <c r="AS9835" s="78">
        <f t="shared" si="157"/>
        <v>0</v>
      </c>
    </row>
    <row r="9836" spans="39:45">
      <c r="AM9836" s="54">
        <v>2020</v>
      </c>
      <c r="AN9836" s="54" t="s">
        <v>184</v>
      </c>
      <c r="AO9836" s="54">
        <v>14</v>
      </c>
      <c r="AP9836" s="54">
        <v>18</v>
      </c>
      <c r="AQ9836" s="54">
        <v>0</v>
      </c>
      <c r="AR9836" s="55">
        <v>28500</v>
      </c>
      <c r="AS9836" s="78">
        <f t="shared" si="157"/>
        <v>0</v>
      </c>
    </row>
    <row r="9837" spans="39:45">
      <c r="AM9837" s="55">
        <v>2020</v>
      </c>
      <c r="AN9837" s="55" t="s">
        <v>184</v>
      </c>
      <c r="AO9837" s="55">
        <v>14</v>
      </c>
      <c r="AP9837" s="55">
        <v>19</v>
      </c>
      <c r="AQ9837" s="55">
        <v>0</v>
      </c>
      <c r="AR9837" s="55">
        <v>28500</v>
      </c>
      <c r="AS9837" s="78">
        <f t="shared" si="157"/>
        <v>0</v>
      </c>
    </row>
    <row r="9838" spans="39:45">
      <c r="AM9838" s="54">
        <v>2020</v>
      </c>
      <c r="AN9838" s="54" t="s">
        <v>184</v>
      </c>
      <c r="AO9838" s="54">
        <v>14</v>
      </c>
      <c r="AP9838" s="54">
        <v>20</v>
      </c>
      <c r="AQ9838" s="54">
        <v>0</v>
      </c>
      <c r="AR9838" s="55">
        <v>28500</v>
      </c>
      <c r="AS9838" s="78">
        <f t="shared" si="157"/>
        <v>0</v>
      </c>
    </row>
    <row r="9839" spans="39:45">
      <c r="AM9839" s="55">
        <v>2020</v>
      </c>
      <c r="AN9839" s="55" t="s">
        <v>184</v>
      </c>
      <c r="AO9839" s="55">
        <v>14</v>
      </c>
      <c r="AP9839" s="55">
        <v>21</v>
      </c>
      <c r="AQ9839" s="55">
        <v>0</v>
      </c>
      <c r="AR9839" s="55">
        <v>28500</v>
      </c>
      <c r="AS9839" s="78">
        <f t="shared" si="157"/>
        <v>0</v>
      </c>
    </row>
    <row r="9840" spans="39:45">
      <c r="AM9840" s="54">
        <v>2020</v>
      </c>
      <c r="AN9840" s="54" t="s">
        <v>184</v>
      </c>
      <c r="AO9840" s="54">
        <v>14</v>
      </c>
      <c r="AP9840" s="54">
        <v>22</v>
      </c>
      <c r="AQ9840" s="54">
        <v>0</v>
      </c>
      <c r="AR9840" s="55">
        <v>28500</v>
      </c>
      <c r="AS9840" s="78">
        <f t="shared" si="157"/>
        <v>0</v>
      </c>
    </row>
    <row r="9841" spans="39:45">
      <c r="AM9841" s="55">
        <v>2020</v>
      </c>
      <c r="AN9841" s="55" t="s">
        <v>184</v>
      </c>
      <c r="AO9841" s="55">
        <v>14</v>
      </c>
      <c r="AP9841" s="55">
        <v>23</v>
      </c>
      <c r="AQ9841" s="55">
        <v>0</v>
      </c>
      <c r="AR9841" s="55">
        <v>28500</v>
      </c>
      <c r="AS9841" s="78">
        <f t="shared" si="157"/>
        <v>0</v>
      </c>
    </row>
    <row r="9842" spans="39:45">
      <c r="AM9842" s="54">
        <v>2020</v>
      </c>
      <c r="AN9842" s="54" t="s">
        <v>184</v>
      </c>
      <c r="AO9842" s="54">
        <v>15</v>
      </c>
      <c r="AP9842" s="54">
        <v>24</v>
      </c>
      <c r="AQ9842" s="54">
        <v>0</v>
      </c>
      <c r="AR9842" s="55">
        <v>28500</v>
      </c>
      <c r="AS9842" s="78">
        <f t="shared" si="157"/>
        <v>0</v>
      </c>
    </row>
    <row r="9843" spans="39:45">
      <c r="AM9843" s="55">
        <v>2020</v>
      </c>
      <c r="AN9843" s="55" t="s">
        <v>184</v>
      </c>
      <c r="AO9843" s="55">
        <v>15</v>
      </c>
      <c r="AP9843" s="55">
        <v>1</v>
      </c>
      <c r="AQ9843" s="55">
        <v>0</v>
      </c>
      <c r="AR9843" s="55">
        <v>28500</v>
      </c>
      <c r="AS9843" s="78">
        <f t="shared" si="157"/>
        <v>0</v>
      </c>
    </row>
    <row r="9844" spans="39:45">
      <c r="AM9844" s="54">
        <v>2020</v>
      </c>
      <c r="AN9844" s="54" t="s">
        <v>184</v>
      </c>
      <c r="AO9844" s="54">
        <v>15</v>
      </c>
      <c r="AP9844" s="54">
        <v>2</v>
      </c>
      <c r="AQ9844" s="54">
        <v>0</v>
      </c>
      <c r="AR9844" s="55">
        <v>28500</v>
      </c>
      <c r="AS9844" s="78">
        <f t="shared" si="157"/>
        <v>0</v>
      </c>
    </row>
    <row r="9845" spans="39:45">
      <c r="AM9845" s="55">
        <v>2020</v>
      </c>
      <c r="AN9845" s="55" t="s">
        <v>184</v>
      </c>
      <c r="AO9845" s="55">
        <v>15</v>
      </c>
      <c r="AP9845" s="55">
        <v>3</v>
      </c>
      <c r="AQ9845" s="55">
        <v>0</v>
      </c>
      <c r="AR9845" s="55">
        <v>28500</v>
      </c>
      <c r="AS9845" s="78">
        <f t="shared" si="157"/>
        <v>0</v>
      </c>
    </row>
    <row r="9846" spans="39:45">
      <c r="AM9846" s="54">
        <v>2020</v>
      </c>
      <c r="AN9846" s="54" t="s">
        <v>184</v>
      </c>
      <c r="AO9846" s="54">
        <v>15</v>
      </c>
      <c r="AP9846" s="54">
        <v>4</v>
      </c>
      <c r="AQ9846" s="54">
        <v>0</v>
      </c>
      <c r="AR9846" s="55">
        <v>28500</v>
      </c>
      <c r="AS9846" s="78">
        <f t="shared" si="157"/>
        <v>0</v>
      </c>
    </row>
    <row r="9847" spans="39:45">
      <c r="AM9847" s="55">
        <v>2020</v>
      </c>
      <c r="AN9847" s="55" t="s">
        <v>184</v>
      </c>
      <c r="AO9847" s="55">
        <v>15</v>
      </c>
      <c r="AP9847" s="55">
        <v>5</v>
      </c>
      <c r="AQ9847" s="55">
        <v>0</v>
      </c>
      <c r="AR9847" s="55">
        <v>28500</v>
      </c>
      <c r="AS9847" s="78">
        <f t="shared" si="157"/>
        <v>0</v>
      </c>
    </row>
    <row r="9848" spans="39:45">
      <c r="AM9848" s="54">
        <v>2020</v>
      </c>
      <c r="AN9848" s="54" t="s">
        <v>184</v>
      </c>
      <c r="AO9848" s="54">
        <v>15</v>
      </c>
      <c r="AP9848" s="54">
        <v>6</v>
      </c>
      <c r="AQ9848" s="54">
        <v>0</v>
      </c>
      <c r="AR9848" s="55">
        <v>28500</v>
      </c>
      <c r="AS9848" s="78">
        <f t="shared" si="157"/>
        <v>0</v>
      </c>
    </row>
    <row r="9849" spans="39:45">
      <c r="AM9849" s="55">
        <v>2020</v>
      </c>
      <c r="AN9849" s="55" t="s">
        <v>184</v>
      </c>
      <c r="AO9849" s="55">
        <v>15</v>
      </c>
      <c r="AP9849" s="55">
        <v>7</v>
      </c>
      <c r="AQ9849" s="55">
        <v>0</v>
      </c>
      <c r="AR9849" s="55">
        <v>28500</v>
      </c>
      <c r="AS9849" s="78">
        <f t="shared" si="157"/>
        <v>0</v>
      </c>
    </row>
    <row r="9850" spans="39:45">
      <c r="AM9850" s="54">
        <v>2020</v>
      </c>
      <c r="AN9850" s="54" t="s">
        <v>184</v>
      </c>
      <c r="AO9850" s="54">
        <v>15</v>
      </c>
      <c r="AP9850" s="54">
        <v>8</v>
      </c>
      <c r="AQ9850" s="54">
        <v>13</v>
      </c>
      <c r="AR9850" s="55">
        <v>28500</v>
      </c>
      <c r="AS9850" s="78">
        <f t="shared" si="157"/>
        <v>4.5614035087719298E-4</v>
      </c>
    </row>
    <row r="9851" spans="39:45">
      <c r="AM9851" s="55">
        <v>2020</v>
      </c>
      <c r="AN9851" s="55" t="s">
        <v>184</v>
      </c>
      <c r="AO9851" s="55">
        <v>15</v>
      </c>
      <c r="AP9851" s="55">
        <v>9</v>
      </c>
      <c r="AQ9851" s="55">
        <v>1750.5</v>
      </c>
      <c r="AR9851" s="55">
        <v>28500</v>
      </c>
      <c r="AS9851" s="78">
        <f t="shared" si="157"/>
        <v>6.1421052631578946E-2</v>
      </c>
    </row>
    <row r="9852" spans="39:45">
      <c r="AM9852" s="54">
        <v>2020</v>
      </c>
      <c r="AN9852" s="54" t="s">
        <v>184</v>
      </c>
      <c r="AO9852" s="54">
        <v>15</v>
      </c>
      <c r="AP9852" s="54">
        <v>10</v>
      </c>
      <c r="AQ9852" s="54">
        <v>2688</v>
      </c>
      <c r="AR9852" s="55">
        <v>28500</v>
      </c>
      <c r="AS9852" s="78">
        <f t="shared" si="157"/>
        <v>9.4315789473684214E-2</v>
      </c>
    </row>
    <row r="9853" spans="39:45">
      <c r="AM9853" s="55">
        <v>2020</v>
      </c>
      <c r="AN9853" s="55" t="s">
        <v>184</v>
      </c>
      <c r="AO9853" s="55">
        <v>15</v>
      </c>
      <c r="AP9853" s="55">
        <v>11</v>
      </c>
      <c r="AQ9853" s="55">
        <v>2571</v>
      </c>
      <c r="AR9853" s="55">
        <v>28500</v>
      </c>
      <c r="AS9853" s="78">
        <f t="shared" si="157"/>
        <v>9.0210526315789477E-2</v>
      </c>
    </row>
    <row r="9854" spans="39:45">
      <c r="AM9854" s="54">
        <v>2020</v>
      </c>
      <c r="AN9854" s="54" t="s">
        <v>184</v>
      </c>
      <c r="AO9854" s="54">
        <v>15</v>
      </c>
      <c r="AP9854" s="54">
        <v>12</v>
      </c>
      <c r="AQ9854" s="54">
        <v>1930.5</v>
      </c>
      <c r="AR9854" s="55">
        <v>28500</v>
      </c>
      <c r="AS9854" s="78">
        <f t="shared" si="157"/>
        <v>6.7736842105263165E-2</v>
      </c>
    </row>
    <row r="9855" spans="39:45">
      <c r="AM9855" s="55">
        <v>2020</v>
      </c>
      <c r="AN9855" s="55" t="s">
        <v>184</v>
      </c>
      <c r="AO9855" s="55">
        <v>15</v>
      </c>
      <c r="AP9855" s="55">
        <v>13</v>
      </c>
      <c r="AQ9855" s="55">
        <v>1241.5</v>
      </c>
      <c r="AR9855" s="55">
        <v>28500</v>
      </c>
      <c r="AS9855" s="78">
        <f t="shared" si="157"/>
        <v>4.3561403508771933E-2</v>
      </c>
    </row>
    <row r="9856" spans="39:45">
      <c r="AM9856" s="54">
        <v>2020</v>
      </c>
      <c r="AN9856" s="54" t="s">
        <v>184</v>
      </c>
      <c r="AO9856" s="54">
        <v>15</v>
      </c>
      <c r="AP9856" s="54">
        <v>14</v>
      </c>
      <c r="AQ9856" s="54">
        <v>2873</v>
      </c>
      <c r="AR9856" s="55">
        <v>28500</v>
      </c>
      <c r="AS9856" s="78">
        <f t="shared" si="157"/>
        <v>0.10080701754385965</v>
      </c>
    </row>
    <row r="9857" spans="39:45">
      <c r="AM9857" s="55">
        <v>2020</v>
      </c>
      <c r="AN9857" s="55" t="s">
        <v>184</v>
      </c>
      <c r="AO9857" s="55">
        <v>15</v>
      </c>
      <c r="AP9857" s="55">
        <v>15</v>
      </c>
      <c r="AQ9857" s="55">
        <v>632.5</v>
      </c>
      <c r="AR9857" s="55">
        <v>28500</v>
      </c>
      <c r="AS9857" s="78">
        <f t="shared" si="157"/>
        <v>2.2192982456140351E-2</v>
      </c>
    </row>
    <row r="9858" spans="39:45">
      <c r="AM9858" s="54">
        <v>2020</v>
      </c>
      <c r="AN9858" s="54" t="s">
        <v>184</v>
      </c>
      <c r="AO9858" s="54">
        <v>15</v>
      </c>
      <c r="AP9858" s="54">
        <v>16</v>
      </c>
      <c r="AQ9858" s="54">
        <v>665.5</v>
      </c>
      <c r="AR9858" s="55">
        <v>28500</v>
      </c>
      <c r="AS9858" s="78">
        <f t="shared" ref="AS9858:AS9921" si="158">AQ9858/AR9858</f>
        <v>2.3350877192982455E-2</v>
      </c>
    </row>
    <row r="9859" spans="39:45">
      <c r="AM9859" s="55">
        <v>2020</v>
      </c>
      <c r="AN9859" s="55" t="s">
        <v>184</v>
      </c>
      <c r="AO9859" s="55">
        <v>15</v>
      </c>
      <c r="AP9859" s="55">
        <v>17</v>
      </c>
      <c r="AQ9859" s="55">
        <v>0</v>
      </c>
      <c r="AR9859" s="55">
        <v>28500</v>
      </c>
      <c r="AS9859" s="78">
        <f t="shared" si="158"/>
        <v>0</v>
      </c>
    </row>
    <row r="9860" spans="39:45">
      <c r="AM9860" s="54">
        <v>2020</v>
      </c>
      <c r="AN9860" s="54" t="s">
        <v>184</v>
      </c>
      <c r="AO9860" s="54">
        <v>15</v>
      </c>
      <c r="AP9860" s="54">
        <v>18</v>
      </c>
      <c r="AQ9860" s="54">
        <v>0</v>
      </c>
      <c r="AR9860" s="55">
        <v>28500</v>
      </c>
      <c r="AS9860" s="78">
        <f t="shared" si="158"/>
        <v>0</v>
      </c>
    </row>
    <row r="9861" spans="39:45">
      <c r="AM9861" s="55">
        <v>2020</v>
      </c>
      <c r="AN9861" s="55" t="s">
        <v>184</v>
      </c>
      <c r="AO9861" s="55">
        <v>15</v>
      </c>
      <c r="AP9861" s="55">
        <v>19</v>
      </c>
      <c r="AQ9861" s="55">
        <v>0</v>
      </c>
      <c r="AR9861" s="55">
        <v>28500</v>
      </c>
      <c r="AS9861" s="78">
        <f t="shared" si="158"/>
        <v>0</v>
      </c>
    </row>
    <row r="9862" spans="39:45">
      <c r="AM9862" s="54">
        <v>2020</v>
      </c>
      <c r="AN9862" s="54" t="s">
        <v>184</v>
      </c>
      <c r="AO9862" s="54">
        <v>15</v>
      </c>
      <c r="AP9862" s="54">
        <v>20</v>
      </c>
      <c r="AQ9862" s="54">
        <v>0</v>
      </c>
      <c r="AR9862" s="55">
        <v>28500</v>
      </c>
      <c r="AS9862" s="78">
        <f t="shared" si="158"/>
        <v>0</v>
      </c>
    </row>
    <row r="9863" spans="39:45">
      <c r="AM9863" s="55">
        <v>2020</v>
      </c>
      <c r="AN9863" s="55" t="s">
        <v>184</v>
      </c>
      <c r="AO9863" s="55">
        <v>15</v>
      </c>
      <c r="AP9863" s="55">
        <v>21</v>
      </c>
      <c r="AQ9863" s="55">
        <v>0</v>
      </c>
      <c r="AR9863" s="55">
        <v>28500</v>
      </c>
      <c r="AS9863" s="78">
        <f t="shared" si="158"/>
        <v>0</v>
      </c>
    </row>
    <row r="9864" spans="39:45">
      <c r="AM9864" s="54">
        <v>2020</v>
      </c>
      <c r="AN9864" s="54" t="s">
        <v>184</v>
      </c>
      <c r="AO9864" s="54">
        <v>15</v>
      </c>
      <c r="AP9864" s="54">
        <v>22</v>
      </c>
      <c r="AQ9864" s="54">
        <v>0</v>
      </c>
      <c r="AR9864" s="55">
        <v>28500</v>
      </c>
      <c r="AS9864" s="78">
        <f t="shared" si="158"/>
        <v>0</v>
      </c>
    </row>
    <row r="9865" spans="39:45">
      <c r="AM9865" s="55">
        <v>2020</v>
      </c>
      <c r="AN9865" s="55" t="s">
        <v>184</v>
      </c>
      <c r="AO9865" s="55">
        <v>15</v>
      </c>
      <c r="AP9865" s="55">
        <v>23</v>
      </c>
      <c r="AQ9865" s="55">
        <v>0</v>
      </c>
      <c r="AR9865" s="55">
        <v>28500</v>
      </c>
      <c r="AS9865" s="78">
        <f t="shared" si="158"/>
        <v>0</v>
      </c>
    </row>
    <row r="9866" spans="39:45">
      <c r="AM9866" s="54">
        <v>2020</v>
      </c>
      <c r="AN9866" s="54" t="s">
        <v>184</v>
      </c>
      <c r="AO9866" s="54">
        <v>16</v>
      </c>
      <c r="AP9866" s="54">
        <v>24</v>
      </c>
      <c r="AQ9866" s="54">
        <v>0</v>
      </c>
      <c r="AR9866" s="55">
        <v>28500</v>
      </c>
      <c r="AS9866" s="78">
        <f t="shared" si="158"/>
        <v>0</v>
      </c>
    </row>
    <row r="9867" spans="39:45">
      <c r="AM9867" s="55">
        <v>2020</v>
      </c>
      <c r="AN9867" s="55" t="s">
        <v>184</v>
      </c>
      <c r="AO9867" s="55">
        <v>16</v>
      </c>
      <c r="AP9867" s="55">
        <v>1</v>
      </c>
      <c r="AQ9867" s="55">
        <v>0</v>
      </c>
      <c r="AR9867" s="55">
        <v>28500</v>
      </c>
      <c r="AS9867" s="78">
        <f t="shared" si="158"/>
        <v>0</v>
      </c>
    </row>
    <row r="9868" spans="39:45">
      <c r="AM9868" s="54">
        <v>2020</v>
      </c>
      <c r="AN9868" s="54" t="s">
        <v>184</v>
      </c>
      <c r="AO9868" s="54">
        <v>16</v>
      </c>
      <c r="AP9868" s="54">
        <v>2</v>
      </c>
      <c r="AQ9868" s="54">
        <v>0</v>
      </c>
      <c r="AR9868" s="55">
        <v>28500</v>
      </c>
      <c r="AS9868" s="78">
        <f t="shared" si="158"/>
        <v>0</v>
      </c>
    </row>
    <row r="9869" spans="39:45">
      <c r="AM9869" s="55">
        <v>2020</v>
      </c>
      <c r="AN9869" s="55" t="s">
        <v>184</v>
      </c>
      <c r="AO9869" s="55">
        <v>16</v>
      </c>
      <c r="AP9869" s="55">
        <v>3</v>
      </c>
      <c r="AQ9869" s="55">
        <v>0</v>
      </c>
      <c r="AR9869" s="55">
        <v>28500</v>
      </c>
      <c r="AS9869" s="78">
        <f t="shared" si="158"/>
        <v>0</v>
      </c>
    </row>
    <row r="9870" spans="39:45">
      <c r="AM9870" s="54">
        <v>2020</v>
      </c>
      <c r="AN9870" s="54" t="s">
        <v>184</v>
      </c>
      <c r="AO9870" s="54">
        <v>16</v>
      </c>
      <c r="AP9870" s="54">
        <v>4</v>
      </c>
      <c r="AQ9870" s="54">
        <v>0</v>
      </c>
      <c r="AR9870" s="55">
        <v>28500</v>
      </c>
      <c r="AS9870" s="78">
        <f t="shared" si="158"/>
        <v>0</v>
      </c>
    </row>
    <row r="9871" spans="39:45">
      <c r="AM9871" s="55">
        <v>2020</v>
      </c>
      <c r="AN9871" s="55" t="s">
        <v>184</v>
      </c>
      <c r="AO9871" s="55">
        <v>16</v>
      </c>
      <c r="AP9871" s="55">
        <v>5</v>
      </c>
      <c r="AQ9871" s="55">
        <v>0</v>
      </c>
      <c r="AR9871" s="55">
        <v>28500</v>
      </c>
      <c r="AS9871" s="78">
        <f t="shared" si="158"/>
        <v>0</v>
      </c>
    </row>
    <row r="9872" spans="39:45">
      <c r="AM9872" s="54">
        <v>2020</v>
      </c>
      <c r="AN9872" s="54" t="s">
        <v>184</v>
      </c>
      <c r="AO9872" s="54">
        <v>16</v>
      </c>
      <c r="AP9872" s="54">
        <v>6</v>
      </c>
      <c r="AQ9872" s="54">
        <v>0</v>
      </c>
      <c r="AR9872" s="55">
        <v>28500</v>
      </c>
      <c r="AS9872" s="78">
        <f t="shared" si="158"/>
        <v>0</v>
      </c>
    </row>
    <row r="9873" spans="39:45">
      <c r="AM9873" s="55">
        <v>2020</v>
      </c>
      <c r="AN9873" s="55" t="s">
        <v>184</v>
      </c>
      <c r="AO9873" s="55">
        <v>16</v>
      </c>
      <c r="AP9873" s="55">
        <v>7</v>
      </c>
      <c r="AQ9873" s="55">
        <v>0</v>
      </c>
      <c r="AR9873" s="55">
        <v>28500</v>
      </c>
      <c r="AS9873" s="78">
        <f t="shared" si="158"/>
        <v>0</v>
      </c>
    </row>
    <row r="9874" spans="39:45">
      <c r="AM9874" s="54">
        <v>2020</v>
      </c>
      <c r="AN9874" s="54" t="s">
        <v>184</v>
      </c>
      <c r="AO9874" s="54">
        <v>16</v>
      </c>
      <c r="AP9874" s="54">
        <v>8</v>
      </c>
      <c r="AQ9874" s="54">
        <v>566</v>
      </c>
      <c r="AR9874" s="55">
        <v>28500</v>
      </c>
      <c r="AS9874" s="78">
        <f t="shared" si="158"/>
        <v>1.9859649122807018E-2</v>
      </c>
    </row>
    <row r="9875" spans="39:45">
      <c r="AM9875" s="55">
        <v>2020</v>
      </c>
      <c r="AN9875" s="55" t="s">
        <v>184</v>
      </c>
      <c r="AO9875" s="55">
        <v>16</v>
      </c>
      <c r="AP9875" s="55">
        <v>9</v>
      </c>
      <c r="AQ9875" s="55">
        <v>1735</v>
      </c>
      <c r="AR9875" s="55">
        <v>28500</v>
      </c>
      <c r="AS9875" s="78">
        <f t="shared" si="158"/>
        <v>6.0877192982456141E-2</v>
      </c>
    </row>
    <row r="9876" spans="39:45">
      <c r="AM9876" s="54">
        <v>2020</v>
      </c>
      <c r="AN9876" s="54" t="s">
        <v>184</v>
      </c>
      <c r="AO9876" s="54">
        <v>16</v>
      </c>
      <c r="AP9876" s="54">
        <v>10</v>
      </c>
      <c r="AQ9876" s="54">
        <v>1307.5</v>
      </c>
      <c r="AR9876" s="55">
        <v>28500</v>
      </c>
      <c r="AS9876" s="78">
        <f t="shared" si="158"/>
        <v>4.5877192982456141E-2</v>
      </c>
    </row>
    <row r="9877" spans="39:45">
      <c r="AM9877" s="55">
        <v>2020</v>
      </c>
      <c r="AN9877" s="55" t="s">
        <v>184</v>
      </c>
      <c r="AO9877" s="55">
        <v>16</v>
      </c>
      <c r="AP9877" s="55">
        <v>11</v>
      </c>
      <c r="AQ9877" s="55">
        <v>2450.5</v>
      </c>
      <c r="AR9877" s="55">
        <v>28500</v>
      </c>
      <c r="AS9877" s="78">
        <f t="shared" si="158"/>
        <v>8.5982456140350882E-2</v>
      </c>
    </row>
    <row r="9878" spans="39:45">
      <c r="AM9878" s="54">
        <v>2020</v>
      </c>
      <c r="AN9878" s="54" t="s">
        <v>184</v>
      </c>
      <c r="AO9878" s="54">
        <v>16</v>
      </c>
      <c r="AP9878" s="54">
        <v>12</v>
      </c>
      <c r="AQ9878" s="54">
        <v>1711.5</v>
      </c>
      <c r="AR9878" s="55">
        <v>28500</v>
      </c>
      <c r="AS9878" s="78">
        <f t="shared" si="158"/>
        <v>6.0052631578947371E-2</v>
      </c>
    </row>
    <row r="9879" spans="39:45">
      <c r="AM9879" s="55">
        <v>2020</v>
      </c>
      <c r="AN9879" s="55" t="s">
        <v>184</v>
      </c>
      <c r="AO9879" s="55">
        <v>16</v>
      </c>
      <c r="AP9879" s="55">
        <v>13</v>
      </c>
      <c r="AQ9879" s="55">
        <v>3393.5</v>
      </c>
      <c r="AR9879" s="55">
        <v>28500</v>
      </c>
      <c r="AS9879" s="78">
        <f t="shared" si="158"/>
        <v>0.11907017543859649</v>
      </c>
    </row>
    <row r="9880" spans="39:45">
      <c r="AM9880" s="54">
        <v>2020</v>
      </c>
      <c r="AN9880" s="54" t="s">
        <v>184</v>
      </c>
      <c r="AO9880" s="54">
        <v>16</v>
      </c>
      <c r="AP9880" s="54">
        <v>14</v>
      </c>
      <c r="AQ9880" s="54">
        <v>1767.5</v>
      </c>
      <c r="AR9880" s="55">
        <v>28500</v>
      </c>
      <c r="AS9880" s="78">
        <f t="shared" si="158"/>
        <v>6.2017543859649124E-2</v>
      </c>
    </row>
    <row r="9881" spans="39:45">
      <c r="AM9881" s="55">
        <v>2020</v>
      </c>
      <c r="AN9881" s="55" t="s">
        <v>184</v>
      </c>
      <c r="AO9881" s="55">
        <v>16</v>
      </c>
      <c r="AP9881" s="55">
        <v>15</v>
      </c>
      <c r="AQ9881" s="55">
        <v>1263.5</v>
      </c>
      <c r="AR9881" s="55">
        <v>28500</v>
      </c>
      <c r="AS9881" s="78">
        <f t="shared" si="158"/>
        <v>4.4333333333333336E-2</v>
      </c>
    </row>
    <row r="9882" spans="39:45">
      <c r="AM9882" s="54">
        <v>2020</v>
      </c>
      <c r="AN9882" s="54" t="s">
        <v>184</v>
      </c>
      <c r="AO9882" s="54">
        <v>16</v>
      </c>
      <c r="AP9882" s="54">
        <v>16</v>
      </c>
      <c r="AQ9882" s="54">
        <v>251.5</v>
      </c>
      <c r="AR9882" s="55">
        <v>28500</v>
      </c>
      <c r="AS9882" s="78">
        <f t="shared" si="158"/>
        <v>8.8245614035087714E-3</v>
      </c>
    </row>
    <row r="9883" spans="39:45">
      <c r="AM9883" s="55">
        <v>2020</v>
      </c>
      <c r="AN9883" s="55" t="s">
        <v>184</v>
      </c>
      <c r="AO9883" s="55">
        <v>16</v>
      </c>
      <c r="AP9883" s="55">
        <v>17</v>
      </c>
      <c r="AQ9883" s="55">
        <v>0</v>
      </c>
      <c r="AR9883" s="55">
        <v>28500</v>
      </c>
      <c r="AS9883" s="78">
        <f t="shared" si="158"/>
        <v>0</v>
      </c>
    </row>
    <row r="9884" spans="39:45">
      <c r="AM9884" s="54">
        <v>2020</v>
      </c>
      <c r="AN9884" s="54" t="s">
        <v>184</v>
      </c>
      <c r="AO9884" s="54">
        <v>16</v>
      </c>
      <c r="AP9884" s="54">
        <v>18</v>
      </c>
      <c r="AQ9884" s="54">
        <v>0</v>
      </c>
      <c r="AR9884" s="55">
        <v>28500</v>
      </c>
      <c r="AS9884" s="78">
        <f t="shared" si="158"/>
        <v>0</v>
      </c>
    </row>
    <row r="9885" spans="39:45">
      <c r="AM9885" s="55">
        <v>2020</v>
      </c>
      <c r="AN9885" s="55" t="s">
        <v>184</v>
      </c>
      <c r="AO9885" s="55">
        <v>16</v>
      </c>
      <c r="AP9885" s="55">
        <v>19</v>
      </c>
      <c r="AQ9885" s="55">
        <v>0</v>
      </c>
      <c r="AR9885" s="55">
        <v>28500</v>
      </c>
      <c r="AS9885" s="78">
        <f t="shared" si="158"/>
        <v>0</v>
      </c>
    </row>
    <row r="9886" spans="39:45">
      <c r="AM9886" s="54">
        <v>2020</v>
      </c>
      <c r="AN9886" s="54" t="s">
        <v>184</v>
      </c>
      <c r="AO9886" s="54">
        <v>16</v>
      </c>
      <c r="AP9886" s="54">
        <v>20</v>
      </c>
      <c r="AQ9886" s="54">
        <v>0</v>
      </c>
      <c r="AR9886" s="55">
        <v>28500</v>
      </c>
      <c r="AS9886" s="78">
        <f t="shared" si="158"/>
        <v>0</v>
      </c>
    </row>
    <row r="9887" spans="39:45">
      <c r="AM9887" s="55">
        <v>2020</v>
      </c>
      <c r="AN9887" s="55" t="s">
        <v>184</v>
      </c>
      <c r="AO9887" s="55">
        <v>16</v>
      </c>
      <c r="AP9887" s="55">
        <v>21</v>
      </c>
      <c r="AQ9887" s="55">
        <v>0</v>
      </c>
      <c r="AR9887" s="55">
        <v>28500</v>
      </c>
      <c r="AS9887" s="78">
        <f t="shared" si="158"/>
        <v>0</v>
      </c>
    </row>
    <row r="9888" spans="39:45">
      <c r="AM9888" s="54">
        <v>2020</v>
      </c>
      <c r="AN9888" s="54" t="s">
        <v>184</v>
      </c>
      <c r="AO9888" s="54">
        <v>16</v>
      </c>
      <c r="AP9888" s="54">
        <v>22</v>
      </c>
      <c r="AQ9888" s="54">
        <v>0</v>
      </c>
      <c r="AR9888" s="55">
        <v>28500</v>
      </c>
      <c r="AS9888" s="78">
        <f t="shared" si="158"/>
        <v>0</v>
      </c>
    </row>
    <row r="9889" spans="39:45">
      <c r="AM9889" s="55">
        <v>2020</v>
      </c>
      <c r="AN9889" s="55" t="s">
        <v>184</v>
      </c>
      <c r="AO9889" s="55">
        <v>16</v>
      </c>
      <c r="AP9889" s="55">
        <v>23</v>
      </c>
      <c r="AQ9889" s="55">
        <v>0</v>
      </c>
      <c r="AR9889" s="55">
        <v>28500</v>
      </c>
      <c r="AS9889" s="78">
        <f t="shared" si="158"/>
        <v>0</v>
      </c>
    </row>
    <row r="9890" spans="39:45">
      <c r="AM9890" s="54">
        <v>2020</v>
      </c>
      <c r="AN9890" s="54" t="s">
        <v>184</v>
      </c>
      <c r="AO9890" s="54">
        <v>17</v>
      </c>
      <c r="AP9890" s="54">
        <v>24</v>
      </c>
      <c r="AQ9890" s="54">
        <v>0</v>
      </c>
      <c r="AR9890" s="55">
        <v>28500</v>
      </c>
      <c r="AS9890" s="78">
        <f t="shared" si="158"/>
        <v>0</v>
      </c>
    </row>
    <row r="9891" spans="39:45">
      <c r="AM9891" s="55">
        <v>2020</v>
      </c>
      <c r="AN9891" s="55" t="s">
        <v>184</v>
      </c>
      <c r="AO9891" s="55">
        <v>17</v>
      </c>
      <c r="AP9891" s="55">
        <v>1</v>
      </c>
      <c r="AQ9891" s="55">
        <v>0</v>
      </c>
      <c r="AR9891" s="55">
        <v>28500</v>
      </c>
      <c r="AS9891" s="78">
        <f t="shared" si="158"/>
        <v>0</v>
      </c>
    </row>
    <row r="9892" spans="39:45">
      <c r="AM9892" s="54">
        <v>2020</v>
      </c>
      <c r="AN9892" s="54" t="s">
        <v>184</v>
      </c>
      <c r="AO9892" s="54">
        <v>17</v>
      </c>
      <c r="AP9892" s="54">
        <v>2</v>
      </c>
      <c r="AQ9892" s="54">
        <v>0</v>
      </c>
      <c r="AR9892" s="55">
        <v>28500</v>
      </c>
      <c r="AS9892" s="78">
        <f t="shared" si="158"/>
        <v>0</v>
      </c>
    </row>
    <row r="9893" spans="39:45">
      <c r="AM9893" s="55">
        <v>2020</v>
      </c>
      <c r="AN9893" s="55" t="s">
        <v>184</v>
      </c>
      <c r="AO9893" s="55">
        <v>17</v>
      </c>
      <c r="AP9893" s="55">
        <v>3</v>
      </c>
      <c r="AQ9893" s="55">
        <v>0</v>
      </c>
      <c r="AR9893" s="55">
        <v>28500</v>
      </c>
      <c r="AS9893" s="78">
        <f t="shared" si="158"/>
        <v>0</v>
      </c>
    </row>
    <row r="9894" spans="39:45">
      <c r="AM9894" s="54">
        <v>2020</v>
      </c>
      <c r="AN9894" s="54" t="s">
        <v>184</v>
      </c>
      <c r="AO9894" s="54">
        <v>17</v>
      </c>
      <c r="AP9894" s="54">
        <v>4</v>
      </c>
      <c r="AQ9894" s="54">
        <v>0</v>
      </c>
      <c r="AR9894" s="55">
        <v>28500</v>
      </c>
      <c r="AS9894" s="78">
        <f t="shared" si="158"/>
        <v>0</v>
      </c>
    </row>
    <row r="9895" spans="39:45">
      <c r="AM9895" s="55">
        <v>2020</v>
      </c>
      <c r="AN9895" s="55" t="s">
        <v>184</v>
      </c>
      <c r="AO9895" s="55">
        <v>17</v>
      </c>
      <c r="AP9895" s="55">
        <v>5</v>
      </c>
      <c r="AQ9895" s="55">
        <v>0</v>
      </c>
      <c r="AR9895" s="55">
        <v>28500</v>
      </c>
      <c r="AS9895" s="78">
        <f t="shared" si="158"/>
        <v>0</v>
      </c>
    </row>
    <row r="9896" spans="39:45">
      <c r="AM9896" s="54">
        <v>2020</v>
      </c>
      <c r="AN9896" s="54" t="s">
        <v>184</v>
      </c>
      <c r="AO9896" s="54">
        <v>17</v>
      </c>
      <c r="AP9896" s="54">
        <v>6</v>
      </c>
      <c r="AQ9896" s="54">
        <v>0</v>
      </c>
      <c r="AR9896" s="55">
        <v>28500</v>
      </c>
      <c r="AS9896" s="78">
        <f t="shared" si="158"/>
        <v>0</v>
      </c>
    </row>
    <row r="9897" spans="39:45">
      <c r="AM9897" s="55">
        <v>2020</v>
      </c>
      <c r="AN9897" s="55" t="s">
        <v>184</v>
      </c>
      <c r="AO9897" s="55">
        <v>17</v>
      </c>
      <c r="AP9897" s="55">
        <v>7</v>
      </c>
      <c r="AQ9897" s="55">
        <v>0</v>
      </c>
      <c r="AR9897" s="55">
        <v>28500</v>
      </c>
      <c r="AS9897" s="78">
        <f t="shared" si="158"/>
        <v>0</v>
      </c>
    </row>
    <row r="9898" spans="39:45">
      <c r="AM9898" s="54">
        <v>2020</v>
      </c>
      <c r="AN9898" s="54" t="s">
        <v>184</v>
      </c>
      <c r="AO9898" s="54">
        <v>17</v>
      </c>
      <c r="AP9898" s="54">
        <v>8</v>
      </c>
      <c r="AQ9898" s="54">
        <v>9701</v>
      </c>
      <c r="AR9898" s="55">
        <v>28500</v>
      </c>
      <c r="AS9898" s="78">
        <f t="shared" si="158"/>
        <v>0.34038596491228068</v>
      </c>
    </row>
    <row r="9899" spans="39:45">
      <c r="AM9899" s="55">
        <v>2020</v>
      </c>
      <c r="AN9899" s="55" t="s">
        <v>184</v>
      </c>
      <c r="AO9899" s="55">
        <v>17</v>
      </c>
      <c r="AP9899" s="55">
        <v>9</v>
      </c>
      <c r="AQ9899" s="55">
        <v>22178</v>
      </c>
      <c r="AR9899" s="55">
        <v>28500</v>
      </c>
      <c r="AS9899" s="78">
        <f t="shared" si="158"/>
        <v>0.77817543859649119</v>
      </c>
    </row>
    <row r="9900" spans="39:45">
      <c r="AM9900" s="54">
        <v>2020</v>
      </c>
      <c r="AN9900" s="54" t="s">
        <v>184</v>
      </c>
      <c r="AO9900" s="54">
        <v>17</v>
      </c>
      <c r="AP9900" s="54">
        <v>10</v>
      </c>
      <c r="AQ9900" s="54">
        <v>30980.5</v>
      </c>
      <c r="AR9900" s="55">
        <v>28500</v>
      </c>
      <c r="AS9900" s="78">
        <f t="shared" si="158"/>
        <v>1.0870350877192982</v>
      </c>
    </row>
    <row r="9901" spans="39:45">
      <c r="AM9901" s="55">
        <v>2020</v>
      </c>
      <c r="AN9901" s="55" t="s">
        <v>184</v>
      </c>
      <c r="AO9901" s="55">
        <v>17</v>
      </c>
      <c r="AP9901" s="55">
        <v>11</v>
      </c>
      <c r="AQ9901" s="55">
        <v>33178.5</v>
      </c>
      <c r="AR9901" s="55">
        <v>28500</v>
      </c>
      <c r="AS9901" s="78">
        <f t="shared" si="158"/>
        <v>1.1641578947368421</v>
      </c>
    </row>
    <row r="9902" spans="39:45">
      <c r="AM9902" s="54">
        <v>2020</v>
      </c>
      <c r="AN9902" s="54" t="s">
        <v>184</v>
      </c>
      <c r="AO9902" s="54">
        <v>17</v>
      </c>
      <c r="AP9902" s="54">
        <v>12</v>
      </c>
      <c r="AQ9902" s="54">
        <v>16379</v>
      </c>
      <c r="AR9902" s="55">
        <v>28500</v>
      </c>
      <c r="AS9902" s="78">
        <f t="shared" si="158"/>
        <v>0.57470175438596494</v>
      </c>
    </row>
    <row r="9903" spans="39:45">
      <c r="AM9903" s="55">
        <v>2020</v>
      </c>
      <c r="AN9903" s="55" t="s">
        <v>184</v>
      </c>
      <c r="AO9903" s="55">
        <v>17</v>
      </c>
      <c r="AP9903" s="55">
        <v>13</v>
      </c>
      <c r="AQ9903" s="55">
        <v>4038.5</v>
      </c>
      <c r="AR9903" s="55">
        <v>28500</v>
      </c>
      <c r="AS9903" s="78">
        <f t="shared" si="158"/>
        <v>0.14170175438596491</v>
      </c>
    </row>
    <row r="9904" spans="39:45">
      <c r="AM9904" s="54">
        <v>2020</v>
      </c>
      <c r="AN9904" s="54" t="s">
        <v>184</v>
      </c>
      <c r="AO9904" s="54">
        <v>17</v>
      </c>
      <c r="AP9904" s="54">
        <v>14</v>
      </c>
      <c r="AQ9904" s="54">
        <v>8364.5</v>
      </c>
      <c r="AR9904" s="55">
        <v>28500</v>
      </c>
      <c r="AS9904" s="78">
        <f t="shared" si="158"/>
        <v>0.29349122807017541</v>
      </c>
    </row>
    <row r="9905" spans="39:45">
      <c r="AM9905" s="55">
        <v>2020</v>
      </c>
      <c r="AN9905" s="55" t="s">
        <v>184</v>
      </c>
      <c r="AO9905" s="55">
        <v>17</v>
      </c>
      <c r="AP9905" s="55">
        <v>15</v>
      </c>
      <c r="AQ9905" s="55">
        <v>3776.5</v>
      </c>
      <c r="AR9905" s="55">
        <v>28500</v>
      </c>
      <c r="AS9905" s="78">
        <f t="shared" si="158"/>
        <v>0.13250877192982455</v>
      </c>
    </row>
    <row r="9906" spans="39:45">
      <c r="AM9906" s="54">
        <v>2020</v>
      </c>
      <c r="AN9906" s="54" t="s">
        <v>184</v>
      </c>
      <c r="AO9906" s="54">
        <v>17</v>
      </c>
      <c r="AP9906" s="54">
        <v>16</v>
      </c>
      <c r="AQ9906" s="54">
        <v>11125.5</v>
      </c>
      <c r="AR9906" s="55">
        <v>28500</v>
      </c>
      <c r="AS9906" s="78">
        <f t="shared" si="158"/>
        <v>0.39036842105263159</v>
      </c>
    </row>
    <row r="9907" spans="39:45">
      <c r="AM9907" s="55">
        <v>2020</v>
      </c>
      <c r="AN9907" s="55" t="s">
        <v>184</v>
      </c>
      <c r="AO9907" s="55">
        <v>17</v>
      </c>
      <c r="AP9907" s="55">
        <v>17</v>
      </c>
      <c r="AQ9907" s="55">
        <v>0</v>
      </c>
      <c r="AR9907" s="55">
        <v>28500</v>
      </c>
      <c r="AS9907" s="78">
        <f t="shared" si="158"/>
        <v>0</v>
      </c>
    </row>
    <row r="9908" spans="39:45">
      <c r="AM9908" s="54">
        <v>2020</v>
      </c>
      <c r="AN9908" s="54" t="s">
        <v>184</v>
      </c>
      <c r="AO9908" s="54">
        <v>17</v>
      </c>
      <c r="AP9908" s="54">
        <v>18</v>
      </c>
      <c r="AQ9908" s="54">
        <v>0</v>
      </c>
      <c r="AR9908" s="55">
        <v>28500</v>
      </c>
      <c r="AS9908" s="78">
        <f t="shared" si="158"/>
        <v>0</v>
      </c>
    </row>
    <row r="9909" spans="39:45">
      <c r="AM9909" s="55">
        <v>2020</v>
      </c>
      <c r="AN9909" s="55" t="s">
        <v>184</v>
      </c>
      <c r="AO9909" s="55">
        <v>17</v>
      </c>
      <c r="AP9909" s="55">
        <v>19</v>
      </c>
      <c r="AQ9909" s="55">
        <v>0</v>
      </c>
      <c r="AR9909" s="55">
        <v>28500</v>
      </c>
      <c r="AS9909" s="78">
        <f t="shared" si="158"/>
        <v>0</v>
      </c>
    </row>
    <row r="9910" spans="39:45">
      <c r="AM9910" s="54">
        <v>2020</v>
      </c>
      <c r="AN9910" s="54" t="s">
        <v>184</v>
      </c>
      <c r="AO9910" s="54">
        <v>17</v>
      </c>
      <c r="AP9910" s="54">
        <v>20</v>
      </c>
      <c r="AQ9910" s="54">
        <v>0</v>
      </c>
      <c r="AR9910" s="55">
        <v>28500</v>
      </c>
      <c r="AS9910" s="78">
        <f t="shared" si="158"/>
        <v>0</v>
      </c>
    </row>
    <row r="9911" spans="39:45">
      <c r="AM9911" s="55">
        <v>2020</v>
      </c>
      <c r="AN9911" s="55" t="s">
        <v>184</v>
      </c>
      <c r="AO9911" s="55">
        <v>17</v>
      </c>
      <c r="AP9911" s="55">
        <v>21</v>
      </c>
      <c r="AQ9911" s="55">
        <v>0</v>
      </c>
      <c r="AR9911" s="55">
        <v>28500</v>
      </c>
      <c r="AS9911" s="78">
        <f t="shared" si="158"/>
        <v>0</v>
      </c>
    </row>
    <row r="9912" spans="39:45">
      <c r="AM9912" s="54">
        <v>2020</v>
      </c>
      <c r="AN9912" s="54" t="s">
        <v>184</v>
      </c>
      <c r="AO9912" s="54">
        <v>17</v>
      </c>
      <c r="AP9912" s="54">
        <v>22</v>
      </c>
      <c r="AQ9912" s="54">
        <v>0</v>
      </c>
      <c r="AR9912" s="55">
        <v>28500</v>
      </c>
      <c r="AS9912" s="78">
        <f t="shared" si="158"/>
        <v>0</v>
      </c>
    </row>
    <row r="9913" spans="39:45">
      <c r="AM9913" s="55">
        <v>2020</v>
      </c>
      <c r="AN9913" s="55" t="s">
        <v>184</v>
      </c>
      <c r="AO9913" s="55">
        <v>17</v>
      </c>
      <c r="AP9913" s="55">
        <v>23</v>
      </c>
      <c r="AQ9913" s="55">
        <v>0</v>
      </c>
      <c r="AR9913" s="55">
        <v>28500</v>
      </c>
      <c r="AS9913" s="78">
        <f t="shared" si="158"/>
        <v>0</v>
      </c>
    </row>
    <row r="9914" spans="39:45">
      <c r="AM9914" s="54">
        <v>2020</v>
      </c>
      <c r="AN9914" s="54" t="s">
        <v>184</v>
      </c>
      <c r="AO9914" s="54">
        <v>18</v>
      </c>
      <c r="AP9914" s="54">
        <v>24</v>
      </c>
      <c r="AQ9914" s="54">
        <v>0</v>
      </c>
      <c r="AR9914" s="55">
        <v>28500</v>
      </c>
      <c r="AS9914" s="78">
        <f t="shared" si="158"/>
        <v>0</v>
      </c>
    </row>
    <row r="9915" spans="39:45">
      <c r="AM9915" s="55">
        <v>2020</v>
      </c>
      <c r="AN9915" s="55" t="s">
        <v>184</v>
      </c>
      <c r="AO9915" s="55">
        <v>18</v>
      </c>
      <c r="AP9915" s="55">
        <v>1</v>
      </c>
      <c r="AQ9915" s="55">
        <v>0</v>
      </c>
      <c r="AR9915" s="55">
        <v>28500</v>
      </c>
      <c r="AS9915" s="78">
        <f t="shared" si="158"/>
        <v>0</v>
      </c>
    </row>
    <row r="9916" spans="39:45">
      <c r="AM9916" s="54">
        <v>2020</v>
      </c>
      <c r="AN9916" s="54" t="s">
        <v>184</v>
      </c>
      <c r="AO9916" s="54">
        <v>18</v>
      </c>
      <c r="AP9916" s="54">
        <v>2</v>
      </c>
      <c r="AQ9916" s="54">
        <v>0</v>
      </c>
      <c r="AR9916" s="55">
        <v>28500</v>
      </c>
      <c r="AS9916" s="78">
        <f t="shared" si="158"/>
        <v>0</v>
      </c>
    </row>
    <row r="9917" spans="39:45">
      <c r="AM9917" s="55">
        <v>2020</v>
      </c>
      <c r="AN9917" s="55" t="s">
        <v>184</v>
      </c>
      <c r="AO9917" s="55">
        <v>18</v>
      </c>
      <c r="AP9917" s="55">
        <v>3</v>
      </c>
      <c r="AQ9917" s="55">
        <v>0</v>
      </c>
      <c r="AR9917" s="55">
        <v>28500</v>
      </c>
      <c r="AS9917" s="78">
        <f t="shared" si="158"/>
        <v>0</v>
      </c>
    </row>
    <row r="9918" spans="39:45">
      <c r="AM9918" s="54">
        <v>2020</v>
      </c>
      <c r="AN9918" s="54" t="s">
        <v>184</v>
      </c>
      <c r="AO9918" s="54">
        <v>18</v>
      </c>
      <c r="AP9918" s="54">
        <v>4</v>
      </c>
      <c r="AQ9918" s="54">
        <v>0</v>
      </c>
      <c r="AR9918" s="55">
        <v>28500</v>
      </c>
      <c r="AS9918" s="78">
        <f t="shared" si="158"/>
        <v>0</v>
      </c>
    </row>
    <row r="9919" spans="39:45">
      <c r="AM9919" s="55">
        <v>2020</v>
      </c>
      <c r="AN9919" s="55" t="s">
        <v>184</v>
      </c>
      <c r="AO9919" s="55">
        <v>18</v>
      </c>
      <c r="AP9919" s="55">
        <v>5</v>
      </c>
      <c r="AQ9919" s="55">
        <v>0</v>
      </c>
      <c r="AR9919" s="55">
        <v>28500</v>
      </c>
      <c r="AS9919" s="78">
        <f t="shared" si="158"/>
        <v>0</v>
      </c>
    </row>
    <row r="9920" spans="39:45">
      <c r="AM9920" s="54">
        <v>2020</v>
      </c>
      <c r="AN9920" s="54" t="s">
        <v>184</v>
      </c>
      <c r="AO9920" s="54">
        <v>18</v>
      </c>
      <c r="AP9920" s="54">
        <v>6</v>
      </c>
      <c r="AQ9920" s="54">
        <v>0</v>
      </c>
      <c r="AR9920" s="55">
        <v>28500</v>
      </c>
      <c r="AS9920" s="78">
        <f t="shared" si="158"/>
        <v>0</v>
      </c>
    </row>
    <row r="9921" spans="39:45">
      <c r="AM9921" s="55">
        <v>2020</v>
      </c>
      <c r="AN9921" s="55" t="s">
        <v>184</v>
      </c>
      <c r="AO9921" s="55">
        <v>18</v>
      </c>
      <c r="AP9921" s="55">
        <v>7</v>
      </c>
      <c r="AQ9921" s="55">
        <v>0</v>
      </c>
      <c r="AR9921" s="55">
        <v>28500</v>
      </c>
      <c r="AS9921" s="78">
        <f t="shared" si="158"/>
        <v>0</v>
      </c>
    </row>
    <row r="9922" spans="39:45">
      <c r="AM9922" s="54">
        <v>2020</v>
      </c>
      <c r="AN9922" s="54" t="s">
        <v>184</v>
      </c>
      <c r="AO9922" s="54">
        <v>18</v>
      </c>
      <c r="AP9922" s="54">
        <v>8</v>
      </c>
      <c r="AQ9922" s="54">
        <v>8465.5</v>
      </c>
      <c r="AR9922" s="55">
        <v>28500</v>
      </c>
      <c r="AS9922" s="78">
        <f t="shared" ref="AS9922:AS9985" si="159">AQ9922/AR9922</f>
        <v>0.29703508771929826</v>
      </c>
    </row>
    <row r="9923" spans="39:45">
      <c r="AM9923" s="55">
        <v>2020</v>
      </c>
      <c r="AN9923" s="55" t="s">
        <v>184</v>
      </c>
      <c r="AO9923" s="55">
        <v>18</v>
      </c>
      <c r="AP9923" s="55">
        <v>9</v>
      </c>
      <c r="AQ9923" s="55">
        <v>20431</v>
      </c>
      <c r="AR9923" s="55">
        <v>28500</v>
      </c>
      <c r="AS9923" s="78">
        <f t="shared" si="159"/>
        <v>0.71687719298245611</v>
      </c>
    </row>
    <row r="9924" spans="39:45">
      <c r="AM9924" s="54">
        <v>2020</v>
      </c>
      <c r="AN9924" s="54" t="s">
        <v>184</v>
      </c>
      <c r="AO9924" s="54">
        <v>18</v>
      </c>
      <c r="AP9924" s="54">
        <v>10</v>
      </c>
      <c r="AQ9924" s="54">
        <v>30275.5</v>
      </c>
      <c r="AR9924" s="55">
        <v>28500</v>
      </c>
      <c r="AS9924" s="78">
        <f t="shared" si="159"/>
        <v>1.0622982456140351</v>
      </c>
    </row>
    <row r="9925" spans="39:45">
      <c r="AM9925" s="55">
        <v>2020</v>
      </c>
      <c r="AN9925" s="55" t="s">
        <v>184</v>
      </c>
      <c r="AO9925" s="55">
        <v>18</v>
      </c>
      <c r="AP9925" s="55">
        <v>11</v>
      </c>
      <c r="AQ9925" s="55">
        <v>27410.5</v>
      </c>
      <c r="AR9925" s="55">
        <v>28500</v>
      </c>
      <c r="AS9925" s="78">
        <f t="shared" si="159"/>
        <v>0.96177192982456139</v>
      </c>
    </row>
    <row r="9926" spans="39:45">
      <c r="AM9926" s="54">
        <v>2020</v>
      </c>
      <c r="AN9926" s="54" t="s">
        <v>184</v>
      </c>
      <c r="AO9926" s="54">
        <v>18</v>
      </c>
      <c r="AP9926" s="54">
        <v>12</v>
      </c>
      <c r="AQ9926" s="54">
        <v>17417.5</v>
      </c>
      <c r="AR9926" s="55">
        <v>28500</v>
      </c>
      <c r="AS9926" s="78">
        <f t="shared" si="159"/>
        <v>0.61114035087719298</v>
      </c>
    </row>
    <row r="9927" spans="39:45">
      <c r="AM9927" s="55">
        <v>2020</v>
      </c>
      <c r="AN9927" s="55" t="s">
        <v>184</v>
      </c>
      <c r="AO9927" s="55">
        <v>18</v>
      </c>
      <c r="AP9927" s="55">
        <v>13</v>
      </c>
      <c r="AQ9927" s="55">
        <v>34535.5</v>
      </c>
      <c r="AR9927" s="55">
        <v>28500</v>
      </c>
      <c r="AS9927" s="78">
        <f t="shared" si="159"/>
        <v>1.2117719298245615</v>
      </c>
    </row>
    <row r="9928" spans="39:45">
      <c r="AM9928" s="54">
        <v>2020</v>
      </c>
      <c r="AN9928" s="54" t="s">
        <v>184</v>
      </c>
      <c r="AO9928" s="54">
        <v>18</v>
      </c>
      <c r="AP9928" s="54">
        <v>14</v>
      </c>
      <c r="AQ9928" s="54">
        <v>8578</v>
      </c>
      <c r="AR9928" s="55">
        <v>28500</v>
      </c>
      <c r="AS9928" s="78">
        <f t="shared" si="159"/>
        <v>0.30098245614035085</v>
      </c>
    </row>
    <row r="9929" spans="39:45">
      <c r="AM9929" s="55">
        <v>2020</v>
      </c>
      <c r="AN9929" s="55" t="s">
        <v>184</v>
      </c>
      <c r="AO9929" s="55">
        <v>18</v>
      </c>
      <c r="AP9929" s="55">
        <v>15</v>
      </c>
      <c r="AQ9929" s="55">
        <v>9603</v>
      </c>
      <c r="AR9929" s="55">
        <v>28500</v>
      </c>
      <c r="AS9929" s="78">
        <f t="shared" si="159"/>
        <v>0.33694736842105261</v>
      </c>
    </row>
    <row r="9930" spans="39:45">
      <c r="AM9930" s="54">
        <v>2020</v>
      </c>
      <c r="AN9930" s="54" t="s">
        <v>184</v>
      </c>
      <c r="AO9930" s="54">
        <v>18</v>
      </c>
      <c r="AP9930" s="54">
        <v>16</v>
      </c>
      <c r="AQ9930" s="54">
        <v>1638.5</v>
      </c>
      <c r="AR9930" s="55">
        <v>28500</v>
      </c>
      <c r="AS9930" s="78">
        <f t="shared" si="159"/>
        <v>5.749122807017544E-2</v>
      </c>
    </row>
    <row r="9931" spans="39:45">
      <c r="AM9931" s="55">
        <v>2020</v>
      </c>
      <c r="AN9931" s="55" t="s">
        <v>184</v>
      </c>
      <c r="AO9931" s="55">
        <v>18</v>
      </c>
      <c r="AP9931" s="55">
        <v>17</v>
      </c>
      <c r="AQ9931" s="55">
        <v>0</v>
      </c>
      <c r="AR9931" s="55">
        <v>28500</v>
      </c>
      <c r="AS9931" s="78">
        <f t="shared" si="159"/>
        <v>0</v>
      </c>
    </row>
    <row r="9932" spans="39:45">
      <c r="AM9932" s="54">
        <v>2020</v>
      </c>
      <c r="AN9932" s="54" t="s">
        <v>184</v>
      </c>
      <c r="AO9932" s="54">
        <v>18</v>
      </c>
      <c r="AP9932" s="54">
        <v>18</v>
      </c>
      <c r="AQ9932" s="54">
        <v>0</v>
      </c>
      <c r="AR9932" s="55">
        <v>28500</v>
      </c>
      <c r="AS9932" s="78">
        <f t="shared" si="159"/>
        <v>0</v>
      </c>
    </row>
    <row r="9933" spans="39:45">
      <c r="AM9933" s="55">
        <v>2020</v>
      </c>
      <c r="AN9933" s="55" t="s">
        <v>184</v>
      </c>
      <c r="AO9933" s="55">
        <v>18</v>
      </c>
      <c r="AP9933" s="55">
        <v>19</v>
      </c>
      <c r="AQ9933" s="55">
        <v>0</v>
      </c>
      <c r="AR9933" s="55">
        <v>28500</v>
      </c>
      <c r="AS9933" s="78">
        <f t="shared" si="159"/>
        <v>0</v>
      </c>
    </row>
    <row r="9934" spans="39:45">
      <c r="AM9934" s="54">
        <v>2020</v>
      </c>
      <c r="AN9934" s="54" t="s">
        <v>184</v>
      </c>
      <c r="AO9934" s="54">
        <v>18</v>
      </c>
      <c r="AP9934" s="54">
        <v>20</v>
      </c>
      <c r="AQ9934" s="54">
        <v>0</v>
      </c>
      <c r="AR9934" s="55">
        <v>28500</v>
      </c>
      <c r="AS9934" s="78">
        <f t="shared" si="159"/>
        <v>0</v>
      </c>
    </row>
    <row r="9935" spans="39:45">
      <c r="AM9935" s="55">
        <v>2020</v>
      </c>
      <c r="AN9935" s="55" t="s">
        <v>184</v>
      </c>
      <c r="AO9935" s="55">
        <v>18</v>
      </c>
      <c r="AP9935" s="55">
        <v>21</v>
      </c>
      <c r="AQ9935" s="55">
        <v>0</v>
      </c>
      <c r="AR9935" s="55">
        <v>28500</v>
      </c>
      <c r="AS9935" s="78">
        <f t="shared" si="159"/>
        <v>0</v>
      </c>
    </row>
    <row r="9936" spans="39:45">
      <c r="AM9936" s="54">
        <v>2020</v>
      </c>
      <c r="AN9936" s="54" t="s">
        <v>184</v>
      </c>
      <c r="AO9936" s="54">
        <v>18</v>
      </c>
      <c r="AP9936" s="54">
        <v>22</v>
      </c>
      <c r="AQ9936" s="54">
        <v>0</v>
      </c>
      <c r="AR9936" s="55">
        <v>28500</v>
      </c>
      <c r="AS9936" s="78">
        <f t="shared" si="159"/>
        <v>0</v>
      </c>
    </row>
    <row r="9937" spans="39:45">
      <c r="AM9937" s="55">
        <v>2020</v>
      </c>
      <c r="AN9937" s="55" t="s">
        <v>184</v>
      </c>
      <c r="AO9937" s="55">
        <v>18</v>
      </c>
      <c r="AP9937" s="55">
        <v>23</v>
      </c>
      <c r="AQ9937" s="55">
        <v>0</v>
      </c>
      <c r="AR9937" s="55">
        <v>28500</v>
      </c>
      <c r="AS9937" s="78">
        <f t="shared" si="159"/>
        <v>0</v>
      </c>
    </row>
    <row r="9938" spans="39:45">
      <c r="AM9938" s="54">
        <v>2020</v>
      </c>
      <c r="AN9938" s="54" t="s">
        <v>184</v>
      </c>
      <c r="AO9938" s="54">
        <v>19</v>
      </c>
      <c r="AP9938" s="54">
        <v>24</v>
      </c>
      <c r="AQ9938" s="54">
        <v>0</v>
      </c>
      <c r="AR9938" s="55">
        <v>28500</v>
      </c>
      <c r="AS9938" s="78">
        <f t="shared" si="159"/>
        <v>0</v>
      </c>
    </row>
    <row r="9939" spans="39:45">
      <c r="AM9939" s="55">
        <v>2020</v>
      </c>
      <c r="AN9939" s="55" t="s">
        <v>184</v>
      </c>
      <c r="AO9939" s="55">
        <v>19</v>
      </c>
      <c r="AP9939" s="55">
        <v>1</v>
      </c>
      <c r="AQ9939" s="55">
        <v>0</v>
      </c>
      <c r="AR9939" s="55">
        <v>28500</v>
      </c>
      <c r="AS9939" s="78">
        <f t="shared" si="159"/>
        <v>0</v>
      </c>
    </row>
    <row r="9940" spans="39:45">
      <c r="AM9940" s="54">
        <v>2020</v>
      </c>
      <c r="AN9940" s="54" t="s">
        <v>184</v>
      </c>
      <c r="AO9940" s="54">
        <v>19</v>
      </c>
      <c r="AP9940" s="54">
        <v>2</v>
      </c>
      <c r="AQ9940" s="54">
        <v>0</v>
      </c>
      <c r="AR9940" s="55">
        <v>28500</v>
      </c>
      <c r="AS9940" s="78">
        <f t="shared" si="159"/>
        <v>0</v>
      </c>
    </row>
    <row r="9941" spans="39:45">
      <c r="AM9941" s="55">
        <v>2020</v>
      </c>
      <c r="AN9941" s="55" t="s">
        <v>184</v>
      </c>
      <c r="AO9941" s="55">
        <v>19</v>
      </c>
      <c r="AP9941" s="55">
        <v>3</v>
      </c>
      <c r="AQ9941" s="55">
        <v>0</v>
      </c>
      <c r="AR9941" s="55">
        <v>28500</v>
      </c>
      <c r="AS9941" s="78">
        <f t="shared" si="159"/>
        <v>0</v>
      </c>
    </row>
    <row r="9942" spans="39:45">
      <c r="AM9942" s="54">
        <v>2020</v>
      </c>
      <c r="AN9942" s="54" t="s">
        <v>184</v>
      </c>
      <c r="AO9942" s="54">
        <v>19</v>
      </c>
      <c r="AP9942" s="54">
        <v>4</v>
      </c>
      <c r="AQ9942" s="54">
        <v>0</v>
      </c>
      <c r="AR9942" s="55">
        <v>28500</v>
      </c>
      <c r="AS9942" s="78">
        <f t="shared" si="159"/>
        <v>0</v>
      </c>
    </row>
    <row r="9943" spans="39:45">
      <c r="AM9943" s="55">
        <v>2020</v>
      </c>
      <c r="AN9943" s="55" t="s">
        <v>184</v>
      </c>
      <c r="AO9943" s="55">
        <v>19</v>
      </c>
      <c r="AP9943" s="55">
        <v>5</v>
      </c>
      <c r="AQ9943" s="55">
        <v>0</v>
      </c>
      <c r="AR9943" s="55">
        <v>28500</v>
      </c>
      <c r="AS9943" s="78">
        <f t="shared" si="159"/>
        <v>0</v>
      </c>
    </row>
    <row r="9944" spans="39:45">
      <c r="AM9944" s="54">
        <v>2020</v>
      </c>
      <c r="AN9944" s="54" t="s">
        <v>184</v>
      </c>
      <c r="AO9944" s="54">
        <v>19</v>
      </c>
      <c r="AP9944" s="54">
        <v>6</v>
      </c>
      <c r="AQ9944" s="54">
        <v>0</v>
      </c>
      <c r="AR9944" s="55">
        <v>28500</v>
      </c>
      <c r="AS9944" s="78">
        <f t="shared" si="159"/>
        <v>0</v>
      </c>
    </row>
    <row r="9945" spans="39:45">
      <c r="AM9945" s="55">
        <v>2020</v>
      </c>
      <c r="AN9945" s="55" t="s">
        <v>184</v>
      </c>
      <c r="AO9945" s="55">
        <v>19</v>
      </c>
      <c r="AP9945" s="55">
        <v>7</v>
      </c>
      <c r="AQ9945" s="55">
        <v>0</v>
      </c>
      <c r="AR9945" s="55">
        <v>28500</v>
      </c>
      <c r="AS9945" s="78">
        <f t="shared" si="159"/>
        <v>0</v>
      </c>
    </row>
    <row r="9946" spans="39:45">
      <c r="AM9946" s="54">
        <v>2020</v>
      </c>
      <c r="AN9946" s="54" t="s">
        <v>184</v>
      </c>
      <c r="AO9946" s="54">
        <v>19</v>
      </c>
      <c r="AP9946" s="54">
        <v>8</v>
      </c>
      <c r="AQ9946" s="54">
        <v>6115.5</v>
      </c>
      <c r="AR9946" s="55">
        <v>28500</v>
      </c>
      <c r="AS9946" s="78">
        <f t="shared" si="159"/>
        <v>0.21457894736842106</v>
      </c>
    </row>
    <row r="9947" spans="39:45">
      <c r="AM9947" s="55">
        <v>2020</v>
      </c>
      <c r="AN9947" s="55" t="s">
        <v>184</v>
      </c>
      <c r="AO9947" s="55">
        <v>19</v>
      </c>
      <c r="AP9947" s="55">
        <v>9</v>
      </c>
      <c r="AQ9947" s="55">
        <v>6336</v>
      </c>
      <c r="AR9947" s="55">
        <v>28500</v>
      </c>
      <c r="AS9947" s="78">
        <f t="shared" si="159"/>
        <v>0.22231578947368422</v>
      </c>
    </row>
    <row r="9948" spans="39:45">
      <c r="AM9948" s="54">
        <v>2020</v>
      </c>
      <c r="AN9948" s="54" t="s">
        <v>184</v>
      </c>
      <c r="AO9948" s="54">
        <v>19</v>
      </c>
      <c r="AP9948" s="54">
        <v>10</v>
      </c>
      <c r="AQ9948" s="54">
        <v>7513.5</v>
      </c>
      <c r="AR9948" s="55">
        <v>28500</v>
      </c>
      <c r="AS9948" s="78">
        <f t="shared" si="159"/>
        <v>0.26363157894736844</v>
      </c>
    </row>
    <row r="9949" spans="39:45">
      <c r="AM9949" s="55">
        <v>2020</v>
      </c>
      <c r="AN9949" s="55" t="s">
        <v>184</v>
      </c>
      <c r="AO9949" s="55">
        <v>19</v>
      </c>
      <c r="AP9949" s="55">
        <v>11</v>
      </c>
      <c r="AQ9949" s="55">
        <v>7962</v>
      </c>
      <c r="AR9949" s="55">
        <v>28500</v>
      </c>
      <c r="AS9949" s="78">
        <f t="shared" si="159"/>
        <v>0.2793684210526316</v>
      </c>
    </row>
    <row r="9950" spans="39:45">
      <c r="AM9950" s="54">
        <v>2020</v>
      </c>
      <c r="AN9950" s="54" t="s">
        <v>184</v>
      </c>
      <c r="AO9950" s="54">
        <v>19</v>
      </c>
      <c r="AP9950" s="54">
        <v>12</v>
      </c>
      <c r="AQ9950" s="54">
        <v>3483</v>
      </c>
      <c r="AR9950" s="55">
        <v>28500</v>
      </c>
      <c r="AS9950" s="78">
        <f t="shared" si="159"/>
        <v>0.12221052631578948</v>
      </c>
    </row>
    <row r="9951" spans="39:45">
      <c r="AM9951" s="55">
        <v>2020</v>
      </c>
      <c r="AN9951" s="55" t="s">
        <v>184</v>
      </c>
      <c r="AO9951" s="55">
        <v>19</v>
      </c>
      <c r="AP9951" s="55">
        <v>13</v>
      </c>
      <c r="AQ9951" s="55">
        <v>8616.5</v>
      </c>
      <c r="AR9951" s="55">
        <v>28500</v>
      </c>
      <c r="AS9951" s="78">
        <f t="shared" si="159"/>
        <v>0.30233333333333334</v>
      </c>
    </row>
    <row r="9952" spans="39:45">
      <c r="AM9952" s="54">
        <v>2020</v>
      </c>
      <c r="AN9952" s="54" t="s">
        <v>184</v>
      </c>
      <c r="AO9952" s="54">
        <v>19</v>
      </c>
      <c r="AP9952" s="54">
        <v>14</v>
      </c>
      <c r="AQ9952" s="54">
        <v>5638.5</v>
      </c>
      <c r="AR9952" s="55">
        <v>28500</v>
      </c>
      <c r="AS9952" s="78">
        <f t="shared" si="159"/>
        <v>0.1978421052631579</v>
      </c>
    </row>
    <row r="9953" spans="39:45">
      <c r="AM9953" s="55">
        <v>2020</v>
      </c>
      <c r="AN9953" s="55" t="s">
        <v>184</v>
      </c>
      <c r="AO9953" s="55">
        <v>19</v>
      </c>
      <c r="AP9953" s="55">
        <v>15</v>
      </c>
      <c r="AQ9953" s="55">
        <v>1850</v>
      </c>
      <c r="AR9953" s="55">
        <v>28500</v>
      </c>
      <c r="AS9953" s="78">
        <f t="shared" si="159"/>
        <v>6.491228070175438E-2</v>
      </c>
    </row>
    <row r="9954" spans="39:45">
      <c r="AM9954" s="54">
        <v>2020</v>
      </c>
      <c r="AN9954" s="54" t="s">
        <v>184</v>
      </c>
      <c r="AO9954" s="54">
        <v>19</v>
      </c>
      <c r="AP9954" s="54">
        <v>16</v>
      </c>
      <c r="AQ9954" s="54">
        <v>517</v>
      </c>
      <c r="AR9954" s="55">
        <v>28500</v>
      </c>
      <c r="AS9954" s="78">
        <f t="shared" si="159"/>
        <v>1.8140350877192981E-2</v>
      </c>
    </row>
    <row r="9955" spans="39:45">
      <c r="AM9955" s="55">
        <v>2020</v>
      </c>
      <c r="AN9955" s="55" t="s">
        <v>184</v>
      </c>
      <c r="AO9955" s="55">
        <v>19</v>
      </c>
      <c r="AP9955" s="55">
        <v>17</v>
      </c>
      <c r="AQ9955" s="55">
        <v>0</v>
      </c>
      <c r="AR9955" s="55">
        <v>28500</v>
      </c>
      <c r="AS9955" s="78">
        <f t="shared" si="159"/>
        <v>0</v>
      </c>
    </row>
    <row r="9956" spans="39:45">
      <c r="AM9956" s="54">
        <v>2020</v>
      </c>
      <c r="AN9956" s="54" t="s">
        <v>184</v>
      </c>
      <c r="AO9956" s="54">
        <v>19</v>
      </c>
      <c r="AP9956" s="54">
        <v>18</v>
      </c>
      <c r="AQ9956" s="54">
        <v>0</v>
      </c>
      <c r="AR9956" s="55">
        <v>28500</v>
      </c>
      <c r="AS9956" s="78">
        <f t="shared" si="159"/>
        <v>0</v>
      </c>
    </row>
    <row r="9957" spans="39:45">
      <c r="AM9957" s="55">
        <v>2020</v>
      </c>
      <c r="AN9957" s="55" t="s">
        <v>184</v>
      </c>
      <c r="AO9957" s="55">
        <v>19</v>
      </c>
      <c r="AP9957" s="55">
        <v>19</v>
      </c>
      <c r="AQ9957" s="55">
        <v>0</v>
      </c>
      <c r="AR9957" s="55">
        <v>28500</v>
      </c>
      <c r="AS9957" s="78">
        <f t="shared" si="159"/>
        <v>0</v>
      </c>
    </row>
    <row r="9958" spans="39:45">
      <c r="AM9958" s="54">
        <v>2020</v>
      </c>
      <c r="AN9958" s="54" t="s">
        <v>184</v>
      </c>
      <c r="AO9958" s="54">
        <v>19</v>
      </c>
      <c r="AP9958" s="54">
        <v>20</v>
      </c>
      <c r="AQ9958" s="54">
        <v>0</v>
      </c>
      <c r="AR9958" s="55">
        <v>28500</v>
      </c>
      <c r="AS9958" s="78">
        <f t="shared" si="159"/>
        <v>0</v>
      </c>
    </row>
    <row r="9959" spans="39:45">
      <c r="AM9959" s="55">
        <v>2020</v>
      </c>
      <c r="AN9959" s="55" t="s">
        <v>184</v>
      </c>
      <c r="AO9959" s="55">
        <v>19</v>
      </c>
      <c r="AP9959" s="55">
        <v>21</v>
      </c>
      <c r="AQ9959" s="55">
        <v>0</v>
      </c>
      <c r="AR9959" s="55">
        <v>28500</v>
      </c>
      <c r="AS9959" s="78">
        <f t="shared" si="159"/>
        <v>0</v>
      </c>
    </row>
    <row r="9960" spans="39:45">
      <c r="AM9960" s="54">
        <v>2020</v>
      </c>
      <c r="AN9960" s="54" t="s">
        <v>184</v>
      </c>
      <c r="AO9960" s="54">
        <v>19</v>
      </c>
      <c r="AP9960" s="54">
        <v>22</v>
      </c>
      <c r="AQ9960" s="54">
        <v>0</v>
      </c>
      <c r="AR9960" s="55">
        <v>28500</v>
      </c>
      <c r="AS9960" s="78">
        <f t="shared" si="159"/>
        <v>0</v>
      </c>
    </row>
    <row r="9961" spans="39:45">
      <c r="AM9961" s="55">
        <v>2020</v>
      </c>
      <c r="AN9961" s="55" t="s">
        <v>184</v>
      </c>
      <c r="AO9961" s="55">
        <v>19</v>
      </c>
      <c r="AP9961" s="55">
        <v>23</v>
      </c>
      <c r="AQ9961" s="55">
        <v>0</v>
      </c>
      <c r="AR9961" s="55">
        <v>28500</v>
      </c>
      <c r="AS9961" s="78">
        <f t="shared" si="159"/>
        <v>0</v>
      </c>
    </row>
    <row r="9962" spans="39:45">
      <c r="AM9962" s="54">
        <v>2020</v>
      </c>
      <c r="AN9962" s="54" t="s">
        <v>184</v>
      </c>
      <c r="AO9962" s="54">
        <v>20</v>
      </c>
      <c r="AP9962" s="54">
        <v>24</v>
      </c>
      <c r="AQ9962" s="54">
        <v>0</v>
      </c>
      <c r="AR9962" s="55">
        <v>28500</v>
      </c>
      <c r="AS9962" s="78">
        <f t="shared" si="159"/>
        <v>0</v>
      </c>
    </row>
    <row r="9963" spans="39:45">
      <c r="AM9963" s="55">
        <v>2020</v>
      </c>
      <c r="AN9963" s="55" t="s">
        <v>184</v>
      </c>
      <c r="AO9963" s="55">
        <v>20</v>
      </c>
      <c r="AP9963" s="55">
        <v>1</v>
      </c>
      <c r="AQ9963" s="55">
        <v>0</v>
      </c>
      <c r="AR9963" s="55">
        <v>28500</v>
      </c>
      <c r="AS9963" s="78">
        <f t="shared" si="159"/>
        <v>0</v>
      </c>
    </row>
    <row r="9964" spans="39:45">
      <c r="AM9964" s="54">
        <v>2020</v>
      </c>
      <c r="AN9964" s="54" t="s">
        <v>184</v>
      </c>
      <c r="AO9964" s="54">
        <v>20</v>
      </c>
      <c r="AP9964" s="54">
        <v>2</v>
      </c>
      <c r="AQ9964" s="54">
        <v>0</v>
      </c>
      <c r="AR9964" s="55">
        <v>28500</v>
      </c>
      <c r="AS9964" s="78">
        <f t="shared" si="159"/>
        <v>0</v>
      </c>
    </row>
    <row r="9965" spans="39:45">
      <c r="AM9965" s="55">
        <v>2020</v>
      </c>
      <c r="AN9965" s="55" t="s">
        <v>184</v>
      </c>
      <c r="AO9965" s="55">
        <v>20</v>
      </c>
      <c r="AP9965" s="55">
        <v>3</v>
      </c>
      <c r="AQ9965" s="55">
        <v>0</v>
      </c>
      <c r="AR9965" s="55">
        <v>28500</v>
      </c>
      <c r="AS9965" s="78">
        <f t="shared" si="159"/>
        <v>0</v>
      </c>
    </row>
    <row r="9966" spans="39:45">
      <c r="AM9966" s="54">
        <v>2020</v>
      </c>
      <c r="AN9966" s="54" t="s">
        <v>184</v>
      </c>
      <c r="AO9966" s="54">
        <v>20</v>
      </c>
      <c r="AP9966" s="54">
        <v>4</v>
      </c>
      <c r="AQ9966" s="54">
        <v>0</v>
      </c>
      <c r="AR9966" s="55">
        <v>28500</v>
      </c>
      <c r="AS9966" s="78">
        <f t="shared" si="159"/>
        <v>0</v>
      </c>
    </row>
    <row r="9967" spans="39:45">
      <c r="AM9967" s="55">
        <v>2020</v>
      </c>
      <c r="AN9967" s="55" t="s">
        <v>184</v>
      </c>
      <c r="AO9967" s="55">
        <v>20</v>
      </c>
      <c r="AP9967" s="55">
        <v>5</v>
      </c>
      <c r="AQ9967" s="55">
        <v>0</v>
      </c>
      <c r="AR9967" s="55">
        <v>28500</v>
      </c>
      <c r="AS9967" s="78">
        <f t="shared" si="159"/>
        <v>0</v>
      </c>
    </row>
    <row r="9968" spans="39:45">
      <c r="AM9968" s="54">
        <v>2020</v>
      </c>
      <c r="AN9968" s="54" t="s">
        <v>184</v>
      </c>
      <c r="AO9968" s="54">
        <v>20</v>
      </c>
      <c r="AP9968" s="54">
        <v>6</v>
      </c>
      <c r="AQ9968" s="54">
        <v>0</v>
      </c>
      <c r="AR9968" s="55">
        <v>28500</v>
      </c>
      <c r="AS9968" s="78">
        <f t="shared" si="159"/>
        <v>0</v>
      </c>
    </row>
    <row r="9969" spans="39:45">
      <c r="AM9969" s="55">
        <v>2020</v>
      </c>
      <c r="AN9969" s="55" t="s">
        <v>184</v>
      </c>
      <c r="AO9969" s="55">
        <v>20</v>
      </c>
      <c r="AP9969" s="55">
        <v>7</v>
      </c>
      <c r="AQ9969" s="55">
        <v>0</v>
      </c>
      <c r="AR9969" s="55">
        <v>28500</v>
      </c>
      <c r="AS9969" s="78">
        <f t="shared" si="159"/>
        <v>0</v>
      </c>
    </row>
    <row r="9970" spans="39:45">
      <c r="AM9970" s="54">
        <v>2020</v>
      </c>
      <c r="AN9970" s="54" t="s">
        <v>184</v>
      </c>
      <c r="AO9970" s="54">
        <v>20</v>
      </c>
      <c r="AP9970" s="54">
        <v>8</v>
      </c>
      <c r="AQ9970" s="54">
        <v>976.5</v>
      </c>
      <c r="AR9970" s="55">
        <v>28500</v>
      </c>
      <c r="AS9970" s="78">
        <f t="shared" si="159"/>
        <v>3.4263157894736843E-2</v>
      </c>
    </row>
    <row r="9971" spans="39:45">
      <c r="AM9971" s="55">
        <v>2020</v>
      </c>
      <c r="AN9971" s="55" t="s">
        <v>184</v>
      </c>
      <c r="AO9971" s="55">
        <v>20</v>
      </c>
      <c r="AP9971" s="55">
        <v>9</v>
      </c>
      <c r="AQ9971" s="55">
        <v>3931.5</v>
      </c>
      <c r="AR9971" s="55">
        <v>28500</v>
      </c>
      <c r="AS9971" s="78">
        <f t="shared" si="159"/>
        <v>0.13794736842105262</v>
      </c>
    </row>
    <row r="9972" spans="39:45">
      <c r="AM9972" s="54">
        <v>2020</v>
      </c>
      <c r="AN9972" s="54" t="s">
        <v>184</v>
      </c>
      <c r="AO9972" s="54">
        <v>20</v>
      </c>
      <c r="AP9972" s="54">
        <v>10</v>
      </c>
      <c r="AQ9972" s="54">
        <v>1833.5</v>
      </c>
      <c r="AR9972" s="55">
        <v>28500</v>
      </c>
      <c r="AS9972" s="78">
        <f t="shared" si="159"/>
        <v>6.433333333333334E-2</v>
      </c>
    </row>
    <row r="9973" spans="39:45">
      <c r="AM9973" s="55">
        <v>2020</v>
      </c>
      <c r="AN9973" s="55" t="s">
        <v>184</v>
      </c>
      <c r="AO9973" s="55">
        <v>20</v>
      </c>
      <c r="AP9973" s="55">
        <v>11</v>
      </c>
      <c r="AQ9973" s="55">
        <v>2281.5</v>
      </c>
      <c r="AR9973" s="55">
        <v>28500</v>
      </c>
      <c r="AS9973" s="78">
        <f t="shared" si="159"/>
        <v>8.0052631578947375E-2</v>
      </c>
    </row>
    <row r="9974" spans="39:45">
      <c r="AM9974" s="54">
        <v>2020</v>
      </c>
      <c r="AN9974" s="54" t="s">
        <v>184</v>
      </c>
      <c r="AO9974" s="54">
        <v>20</v>
      </c>
      <c r="AP9974" s="54">
        <v>12</v>
      </c>
      <c r="AQ9974" s="54">
        <v>7357</v>
      </c>
      <c r="AR9974" s="55">
        <v>28500</v>
      </c>
      <c r="AS9974" s="78">
        <f t="shared" si="159"/>
        <v>0.258140350877193</v>
      </c>
    </row>
    <row r="9975" spans="39:45">
      <c r="AM9975" s="55">
        <v>2020</v>
      </c>
      <c r="AN9975" s="55" t="s">
        <v>184</v>
      </c>
      <c r="AO9975" s="55">
        <v>20</v>
      </c>
      <c r="AP9975" s="55">
        <v>13</v>
      </c>
      <c r="AQ9975" s="55">
        <v>1719.5</v>
      </c>
      <c r="AR9975" s="55">
        <v>28500</v>
      </c>
      <c r="AS9975" s="78">
        <f t="shared" si="159"/>
        <v>6.0333333333333336E-2</v>
      </c>
    </row>
    <row r="9976" spans="39:45">
      <c r="AM9976" s="54">
        <v>2020</v>
      </c>
      <c r="AN9976" s="54" t="s">
        <v>184</v>
      </c>
      <c r="AO9976" s="54">
        <v>20</v>
      </c>
      <c r="AP9976" s="54">
        <v>14</v>
      </c>
      <c r="AQ9976" s="54">
        <v>1510.5</v>
      </c>
      <c r="AR9976" s="55">
        <v>28500</v>
      </c>
      <c r="AS9976" s="78">
        <f t="shared" si="159"/>
        <v>5.2999999999999999E-2</v>
      </c>
    </row>
    <row r="9977" spans="39:45">
      <c r="AM9977" s="55">
        <v>2020</v>
      </c>
      <c r="AN9977" s="55" t="s">
        <v>184</v>
      </c>
      <c r="AO9977" s="55">
        <v>20</v>
      </c>
      <c r="AP9977" s="55">
        <v>15</v>
      </c>
      <c r="AQ9977" s="55">
        <v>2279.5</v>
      </c>
      <c r="AR9977" s="55">
        <v>28500</v>
      </c>
      <c r="AS9977" s="78">
        <f t="shared" si="159"/>
        <v>7.9982456140350877E-2</v>
      </c>
    </row>
    <row r="9978" spans="39:45">
      <c r="AM9978" s="54">
        <v>2020</v>
      </c>
      <c r="AN9978" s="54" t="s">
        <v>184</v>
      </c>
      <c r="AO9978" s="54">
        <v>20</v>
      </c>
      <c r="AP9978" s="54">
        <v>16</v>
      </c>
      <c r="AQ9978" s="54">
        <v>6845</v>
      </c>
      <c r="AR9978" s="55">
        <v>28500</v>
      </c>
      <c r="AS9978" s="78">
        <f t="shared" si="159"/>
        <v>0.24017543859649124</v>
      </c>
    </row>
    <row r="9979" spans="39:45">
      <c r="AM9979" s="55">
        <v>2020</v>
      </c>
      <c r="AN9979" s="55" t="s">
        <v>184</v>
      </c>
      <c r="AO9979" s="55">
        <v>20</v>
      </c>
      <c r="AP9979" s="55">
        <v>17</v>
      </c>
      <c r="AQ9979" s="55">
        <v>0</v>
      </c>
      <c r="AR9979" s="55">
        <v>28500</v>
      </c>
      <c r="AS9979" s="78">
        <f t="shared" si="159"/>
        <v>0</v>
      </c>
    </row>
    <row r="9980" spans="39:45">
      <c r="AM9980" s="54">
        <v>2020</v>
      </c>
      <c r="AN9980" s="54" t="s">
        <v>184</v>
      </c>
      <c r="AO9980" s="54">
        <v>20</v>
      </c>
      <c r="AP9980" s="54">
        <v>18</v>
      </c>
      <c r="AQ9980" s="54">
        <v>0</v>
      </c>
      <c r="AR9980" s="55">
        <v>28500</v>
      </c>
      <c r="AS9980" s="78">
        <f t="shared" si="159"/>
        <v>0</v>
      </c>
    </row>
    <row r="9981" spans="39:45">
      <c r="AM9981" s="55">
        <v>2020</v>
      </c>
      <c r="AN9981" s="55" t="s">
        <v>184</v>
      </c>
      <c r="AO9981" s="55">
        <v>20</v>
      </c>
      <c r="AP9981" s="55">
        <v>19</v>
      </c>
      <c r="AQ9981" s="55">
        <v>0</v>
      </c>
      <c r="AR9981" s="55">
        <v>28500</v>
      </c>
      <c r="AS9981" s="78">
        <f t="shared" si="159"/>
        <v>0</v>
      </c>
    </row>
    <row r="9982" spans="39:45">
      <c r="AM9982" s="54">
        <v>2020</v>
      </c>
      <c r="AN9982" s="54" t="s">
        <v>184</v>
      </c>
      <c r="AO9982" s="54">
        <v>20</v>
      </c>
      <c r="AP9982" s="54">
        <v>20</v>
      </c>
      <c r="AQ9982" s="54">
        <v>0</v>
      </c>
      <c r="AR9982" s="55">
        <v>28500</v>
      </c>
      <c r="AS9982" s="78">
        <f t="shared" si="159"/>
        <v>0</v>
      </c>
    </row>
    <row r="9983" spans="39:45">
      <c r="AM9983" s="55">
        <v>2020</v>
      </c>
      <c r="AN9983" s="55" t="s">
        <v>184</v>
      </c>
      <c r="AO9983" s="55">
        <v>20</v>
      </c>
      <c r="AP9983" s="55">
        <v>21</v>
      </c>
      <c r="AQ9983" s="55">
        <v>0</v>
      </c>
      <c r="AR9983" s="55">
        <v>28500</v>
      </c>
      <c r="AS9983" s="78">
        <f t="shared" si="159"/>
        <v>0</v>
      </c>
    </row>
    <row r="9984" spans="39:45">
      <c r="AM9984" s="54">
        <v>2020</v>
      </c>
      <c r="AN9984" s="54" t="s">
        <v>184</v>
      </c>
      <c r="AO9984" s="54">
        <v>20</v>
      </c>
      <c r="AP9984" s="54">
        <v>22</v>
      </c>
      <c r="AQ9984" s="54">
        <v>0</v>
      </c>
      <c r="AR9984" s="55">
        <v>28500</v>
      </c>
      <c r="AS9984" s="78">
        <f t="shared" si="159"/>
        <v>0</v>
      </c>
    </row>
    <row r="9985" spans="39:45">
      <c r="AM9985" s="55">
        <v>2020</v>
      </c>
      <c r="AN9985" s="55" t="s">
        <v>184</v>
      </c>
      <c r="AO9985" s="55">
        <v>20</v>
      </c>
      <c r="AP9985" s="55">
        <v>23</v>
      </c>
      <c r="AQ9985" s="55">
        <v>0</v>
      </c>
      <c r="AR9985" s="55">
        <v>28500</v>
      </c>
      <c r="AS9985" s="78">
        <f t="shared" si="159"/>
        <v>0</v>
      </c>
    </row>
    <row r="9986" spans="39:45">
      <c r="AM9986" s="54">
        <v>2020</v>
      </c>
      <c r="AN9986" s="54" t="s">
        <v>184</v>
      </c>
      <c r="AO9986" s="54">
        <v>21</v>
      </c>
      <c r="AP9986" s="54">
        <v>24</v>
      </c>
      <c r="AQ9986" s="54">
        <v>0</v>
      </c>
      <c r="AR9986" s="55">
        <v>28500</v>
      </c>
      <c r="AS9986" s="78">
        <f t="shared" ref="AS9986:AS10049" si="160">AQ9986/AR9986</f>
        <v>0</v>
      </c>
    </row>
    <row r="9987" spans="39:45">
      <c r="AM9987" s="55">
        <v>2020</v>
      </c>
      <c r="AN9987" s="55" t="s">
        <v>184</v>
      </c>
      <c r="AO9987" s="55">
        <v>21</v>
      </c>
      <c r="AP9987" s="55">
        <v>1</v>
      </c>
      <c r="AQ9987" s="55">
        <v>0</v>
      </c>
      <c r="AR9987" s="55">
        <v>28500</v>
      </c>
      <c r="AS9987" s="78">
        <f t="shared" si="160"/>
        <v>0</v>
      </c>
    </row>
    <row r="9988" spans="39:45">
      <c r="AM9988" s="54">
        <v>2020</v>
      </c>
      <c r="AN9988" s="54" t="s">
        <v>184</v>
      </c>
      <c r="AO9988" s="54">
        <v>21</v>
      </c>
      <c r="AP9988" s="54">
        <v>2</v>
      </c>
      <c r="AQ9988" s="54">
        <v>0</v>
      </c>
      <c r="AR9988" s="55">
        <v>28500</v>
      </c>
      <c r="AS9988" s="78">
        <f t="shared" si="160"/>
        <v>0</v>
      </c>
    </row>
    <row r="9989" spans="39:45">
      <c r="AM9989" s="55">
        <v>2020</v>
      </c>
      <c r="AN9989" s="55" t="s">
        <v>184</v>
      </c>
      <c r="AO9989" s="55">
        <v>21</v>
      </c>
      <c r="AP9989" s="55">
        <v>3</v>
      </c>
      <c r="AQ9989" s="55">
        <v>0</v>
      </c>
      <c r="AR9989" s="55">
        <v>28500</v>
      </c>
      <c r="AS9989" s="78">
        <f t="shared" si="160"/>
        <v>0</v>
      </c>
    </row>
    <row r="9990" spans="39:45">
      <c r="AM9990" s="54">
        <v>2020</v>
      </c>
      <c r="AN9990" s="54" t="s">
        <v>184</v>
      </c>
      <c r="AO9990" s="54">
        <v>21</v>
      </c>
      <c r="AP9990" s="54">
        <v>4</v>
      </c>
      <c r="AQ9990" s="54">
        <v>0</v>
      </c>
      <c r="AR9990" s="55">
        <v>28500</v>
      </c>
      <c r="AS9990" s="78">
        <f t="shared" si="160"/>
        <v>0</v>
      </c>
    </row>
    <row r="9991" spans="39:45">
      <c r="AM9991" s="55">
        <v>2020</v>
      </c>
      <c r="AN9991" s="55" t="s">
        <v>184</v>
      </c>
      <c r="AO9991" s="55">
        <v>21</v>
      </c>
      <c r="AP9991" s="55">
        <v>5</v>
      </c>
      <c r="AQ9991" s="55">
        <v>0</v>
      </c>
      <c r="AR9991" s="55">
        <v>28500</v>
      </c>
      <c r="AS9991" s="78">
        <f t="shared" si="160"/>
        <v>0</v>
      </c>
    </row>
    <row r="9992" spans="39:45">
      <c r="AM9992" s="54">
        <v>2020</v>
      </c>
      <c r="AN9992" s="54" t="s">
        <v>184</v>
      </c>
      <c r="AO9992" s="54">
        <v>21</v>
      </c>
      <c r="AP9992" s="54">
        <v>6</v>
      </c>
      <c r="AQ9992" s="54">
        <v>0</v>
      </c>
      <c r="AR9992" s="55">
        <v>28500</v>
      </c>
      <c r="AS9992" s="78">
        <f t="shared" si="160"/>
        <v>0</v>
      </c>
    </row>
    <row r="9993" spans="39:45">
      <c r="AM9993" s="55">
        <v>2020</v>
      </c>
      <c r="AN9993" s="55" t="s">
        <v>184</v>
      </c>
      <c r="AO9993" s="55">
        <v>21</v>
      </c>
      <c r="AP9993" s="55">
        <v>7</v>
      </c>
      <c r="AQ9993" s="55">
        <v>0</v>
      </c>
      <c r="AR9993" s="55">
        <v>28500</v>
      </c>
      <c r="AS9993" s="78">
        <f t="shared" si="160"/>
        <v>0</v>
      </c>
    </row>
    <row r="9994" spans="39:45">
      <c r="AM9994" s="54">
        <v>2020</v>
      </c>
      <c r="AN9994" s="54" t="s">
        <v>184</v>
      </c>
      <c r="AO9994" s="54">
        <v>21</v>
      </c>
      <c r="AP9994" s="54">
        <v>8</v>
      </c>
      <c r="AQ9994" s="54">
        <v>2077.5</v>
      </c>
      <c r="AR9994" s="55">
        <v>28500</v>
      </c>
      <c r="AS9994" s="78">
        <f t="shared" si="160"/>
        <v>7.2894736842105262E-2</v>
      </c>
    </row>
    <row r="9995" spans="39:45">
      <c r="AM9995" s="55">
        <v>2020</v>
      </c>
      <c r="AN9995" s="55" t="s">
        <v>184</v>
      </c>
      <c r="AO9995" s="55">
        <v>21</v>
      </c>
      <c r="AP9995" s="55">
        <v>9</v>
      </c>
      <c r="AQ9995" s="55">
        <v>8005</v>
      </c>
      <c r="AR9995" s="55">
        <v>28500</v>
      </c>
      <c r="AS9995" s="78">
        <f t="shared" si="160"/>
        <v>0.28087719298245611</v>
      </c>
    </row>
    <row r="9996" spans="39:45">
      <c r="AM9996" s="54">
        <v>2020</v>
      </c>
      <c r="AN9996" s="54" t="s">
        <v>184</v>
      </c>
      <c r="AO9996" s="54">
        <v>21</v>
      </c>
      <c r="AP9996" s="54">
        <v>10</v>
      </c>
      <c r="AQ9996" s="54">
        <v>14628</v>
      </c>
      <c r="AR9996" s="55">
        <v>28500</v>
      </c>
      <c r="AS9996" s="78">
        <f t="shared" si="160"/>
        <v>0.51326315789473687</v>
      </c>
    </row>
    <row r="9997" spans="39:45">
      <c r="AM9997" s="55">
        <v>2020</v>
      </c>
      <c r="AN9997" s="55" t="s">
        <v>184</v>
      </c>
      <c r="AO9997" s="55">
        <v>21</v>
      </c>
      <c r="AP9997" s="55">
        <v>11</v>
      </c>
      <c r="AQ9997" s="55">
        <v>17534</v>
      </c>
      <c r="AR9997" s="55">
        <v>28500</v>
      </c>
      <c r="AS9997" s="78">
        <f t="shared" si="160"/>
        <v>0.61522807017543857</v>
      </c>
    </row>
    <row r="9998" spans="39:45">
      <c r="AM9998" s="54">
        <v>2020</v>
      </c>
      <c r="AN9998" s="54" t="s">
        <v>184</v>
      </c>
      <c r="AO9998" s="54">
        <v>21</v>
      </c>
      <c r="AP9998" s="54">
        <v>12</v>
      </c>
      <c r="AQ9998" s="54">
        <v>8993</v>
      </c>
      <c r="AR9998" s="55">
        <v>28500</v>
      </c>
      <c r="AS9998" s="78">
        <f t="shared" si="160"/>
        <v>0.31554385964912279</v>
      </c>
    </row>
    <row r="9999" spans="39:45">
      <c r="AM9999" s="55">
        <v>2020</v>
      </c>
      <c r="AN9999" s="55" t="s">
        <v>184</v>
      </c>
      <c r="AO9999" s="55">
        <v>21</v>
      </c>
      <c r="AP9999" s="55">
        <v>13</v>
      </c>
      <c r="AQ9999" s="55">
        <v>9474</v>
      </c>
      <c r="AR9999" s="55">
        <v>28500</v>
      </c>
      <c r="AS9999" s="78">
        <f t="shared" si="160"/>
        <v>0.33242105263157895</v>
      </c>
    </row>
    <row r="10000" spans="39:45">
      <c r="AM10000" s="54">
        <v>2020</v>
      </c>
      <c r="AN10000" s="54" t="s">
        <v>184</v>
      </c>
      <c r="AO10000" s="54">
        <v>21</v>
      </c>
      <c r="AP10000" s="54">
        <v>14</v>
      </c>
      <c r="AQ10000" s="54">
        <v>6528.5</v>
      </c>
      <c r="AR10000" s="55">
        <v>28500</v>
      </c>
      <c r="AS10000" s="78">
        <f t="shared" si="160"/>
        <v>0.22907017543859648</v>
      </c>
    </row>
    <row r="10001" spans="39:45">
      <c r="AM10001" s="55">
        <v>2020</v>
      </c>
      <c r="AN10001" s="55" t="s">
        <v>184</v>
      </c>
      <c r="AO10001" s="55">
        <v>21</v>
      </c>
      <c r="AP10001" s="55">
        <v>15</v>
      </c>
      <c r="AQ10001" s="55">
        <v>7046</v>
      </c>
      <c r="AR10001" s="55">
        <v>28500</v>
      </c>
      <c r="AS10001" s="78">
        <f t="shared" si="160"/>
        <v>0.2472280701754386</v>
      </c>
    </row>
    <row r="10002" spans="39:45">
      <c r="AM10002" s="54">
        <v>2020</v>
      </c>
      <c r="AN10002" s="54" t="s">
        <v>184</v>
      </c>
      <c r="AO10002" s="54">
        <v>21</v>
      </c>
      <c r="AP10002" s="54">
        <v>16</v>
      </c>
      <c r="AQ10002" s="54">
        <v>4090.5</v>
      </c>
      <c r="AR10002" s="55">
        <v>28500</v>
      </c>
      <c r="AS10002" s="78">
        <f t="shared" si="160"/>
        <v>0.1435263157894737</v>
      </c>
    </row>
    <row r="10003" spans="39:45">
      <c r="AM10003" s="55">
        <v>2020</v>
      </c>
      <c r="AN10003" s="55" t="s">
        <v>184</v>
      </c>
      <c r="AO10003" s="55">
        <v>21</v>
      </c>
      <c r="AP10003" s="55">
        <v>17</v>
      </c>
      <c r="AQ10003" s="55">
        <v>0</v>
      </c>
      <c r="AR10003" s="55">
        <v>28500</v>
      </c>
      <c r="AS10003" s="78">
        <f t="shared" si="160"/>
        <v>0</v>
      </c>
    </row>
    <row r="10004" spans="39:45">
      <c r="AM10004" s="54">
        <v>2020</v>
      </c>
      <c r="AN10004" s="54" t="s">
        <v>184</v>
      </c>
      <c r="AO10004" s="54">
        <v>21</v>
      </c>
      <c r="AP10004" s="54">
        <v>18</v>
      </c>
      <c r="AQ10004" s="54">
        <v>0</v>
      </c>
      <c r="AR10004" s="55">
        <v>28500</v>
      </c>
      <c r="AS10004" s="78">
        <f t="shared" si="160"/>
        <v>0</v>
      </c>
    </row>
    <row r="10005" spans="39:45">
      <c r="AM10005" s="55">
        <v>2020</v>
      </c>
      <c r="AN10005" s="55" t="s">
        <v>184</v>
      </c>
      <c r="AO10005" s="55">
        <v>21</v>
      </c>
      <c r="AP10005" s="55">
        <v>19</v>
      </c>
      <c r="AQ10005" s="55">
        <v>0</v>
      </c>
      <c r="AR10005" s="55">
        <v>28500</v>
      </c>
      <c r="AS10005" s="78">
        <f t="shared" si="160"/>
        <v>0</v>
      </c>
    </row>
    <row r="10006" spans="39:45">
      <c r="AM10006" s="54">
        <v>2020</v>
      </c>
      <c r="AN10006" s="54" t="s">
        <v>184</v>
      </c>
      <c r="AO10006" s="54">
        <v>21</v>
      </c>
      <c r="AP10006" s="54">
        <v>20</v>
      </c>
      <c r="AQ10006" s="54">
        <v>0</v>
      </c>
      <c r="AR10006" s="55">
        <v>28500</v>
      </c>
      <c r="AS10006" s="78">
        <f t="shared" si="160"/>
        <v>0</v>
      </c>
    </row>
    <row r="10007" spans="39:45">
      <c r="AM10007" s="55">
        <v>2020</v>
      </c>
      <c r="AN10007" s="55" t="s">
        <v>184</v>
      </c>
      <c r="AO10007" s="55">
        <v>21</v>
      </c>
      <c r="AP10007" s="55">
        <v>21</v>
      </c>
      <c r="AQ10007" s="55">
        <v>0</v>
      </c>
      <c r="AR10007" s="55">
        <v>28500</v>
      </c>
      <c r="AS10007" s="78">
        <f t="shared" si="160"/>
        <v>0</v>
      </c>
    </row>
    <row r="10008" spans="39:45">
      <c r="AM10008" s="54">
        <v>2020</v>
      </c>
      <c r="AN10008" s="54" t="s">
        <v>184</v>
      </c>
      <c r="AO10008" s="54">
        <v>21</v>
      </c>
      <c r="AP10008" s="54">
        <v>22</v>
      </c>
      <c r="AQ10008" s="54">
        <v>0</v>
      </c>
      <c r="AR10008" s="55">
        <v>28500</v>
      </c>
      <c r="AS10008" s="78">
        <f t="shared" si="160"/>
        <v>0</v>
      </c>
    </row>
    <row r="10009" spans="39:45">
      <c r="AM10009" s="55">
        <v>2020</v>
      </c>
      <c r="AN10009" s="55" t="s">
        <v>184</v>
      </c>
      <c r="AO10009" s="55">
        <v>21</v>
      </c>
      <c r="AP10009" s="55">
        <v>23</v>
      </c>
      <c r="AQ10009" s="55">
        <v>0</v>
      </c>
      <c r="AR10009" s="55">
        <v>28500</v>
      </c>
      <c r="AS10009" s="78">
        <f t="shared" si="160"/>
        <v>0</v>
      </c>
    </row>
    <row r="10010" spans="39:45">
      <c r="AM10010" s="54">
        <v>2020</v>
      </c>
      <c r="AN10010" s="54" t="s">
        <v>184</v>
      </c>
      <c r="AO10010" s="54">
        <v>22</v>
      </c>
      <c r="AP10010" s="54">
        <v>24</v>
      </c>
      <c r="AQ10010" s="54">
        <v>0</v>
      </c>
      <c r="AR10010" s="55">
        <v>28500</v>
      </c>
      <c r="AS10010" s="78">
        <f t="shared" si="160"/>
        <v>0</v>
      </c>
    </row>
    <row r="10011" spans="39:45">
      <c r="AM10011" s="55">
        <v>2020</v>
      </c>
      <c r="AN10011" s="55" t="s">
        <v>184</v>
      </c>
      <c r="AO10011" s="55">
        <v>22</v>
      </c>
      <c r="AP10011" s="55">
        <v>1</v>
      </c>
      <c r="AQ10011" s="55">
        <v>0</v>
      </c>
      <c r="AR10011" s="55">
        <v>28500</v>
      </c>
      <c r="AS10011" s="78">
        <f t="shared" si="160"/>
        <v>0</v>
      </c>
    </row>
    <row r="10012" spans="39:45">
      <c r="AM10012" s="54">
        <v>2020</v>
      </c>
      <c r="AN10012" s="54" t="s">
        <v>184</v>
      </c>
      <c r="AO10012" s="54">
        <v>22</v>
      </c>
      <c r="AP10012" s="54">
        <v>2</v>
      </c>
      <c r="AQ10012" s="54">
        <v>0</v>
      </c>
      <c r="AR10012" s="55">
        <v>28500</v>
      </c>
      <c r="AS10012" s="78">
        <f t="shared" si="160"/>
        <v>0</v>
      </c>
    </row>
    <row r="10013" spans="39:45">
      <c r="AM10013" s="55">
        <v>2020</v>
      </c>
      <c r="AN10013" s="55" t="s">
        <v>184</v>
      </c>
      <c r="AO10013" s="55">
        <v>22</v>
      </c>
      <c r="AP10013" s="55">
        <v>3</v>
      </c>
      <c r="AQ10013" s="55">
        <v>0</v>
      </c>
      <c r="AR10013" s="55">
        <v>28500</v>
      </c>
      <c r="AS10013" s="78">
        <f t="shared" si="160"/>
        <v>0</v>
      </c>
    </row>
    <row r="10014" spans="39:45">
      <c r="AM10014" s="54">
        <v>2020</v>
      </c>
      <c r="AN10014" s="54" t="s">
        <v>184</v>
      </c>
      <c r="AO10014" s="54">
        <v>22</v>
      </c>
      <c r="AP10014" s="54">
        <v>4</v>
      </c>
      <c r="AQ10014" s="54">
        <v>0</v>
      </c>
      <c r="AR10014" s="55">
        <v>28500</v>
      </c>
      <c r="AS10014" s="78">
        <f t="shared" si="160"/>
        <v>0</v>
      </c>
    </row>
    <row r="10015" spans="39:45">
      <c r="AM10015" s="55">
        <v>2020</v>
      </c>
      <c r="AN10015" s="55" t="s">
        <v>184</v>
      </c>
      <c r="AO10015" s="55">
        <v>22</v>
      </c>
      <c r="AP10015" s="55">
        <v>5</v>
      </c>
      <c r="AQ10015" s="55">
        <v>0</v>
      </c>
      <c r="AR10015" s="55">
        <v>28500</v>
      </c>
      <c r="AS10015" s="78">
        <f t="shared" si="160"/>
        <v>0</v>
      </c>
    </row>
    <row r="10016" spans="39:45">
      <c r="AM10016" s="54">
        <v>2020</v>
      </c>
      <c r="AN10016" s="54" t="s">
        <v>184</v>
      </c>
      <c r="AO10016" s="54">
        <v>22</v>
      </c>
      <c r="AP10016" s="54">
        <v>6</v>
      </c>
      <c r="AQ10016" s="54">
        <v>0</v>
      </c>
      <c r="AR10016" s="55">
        <v>28500</v>
      </c>
      <c r="AS10016" s="78">
        <f t="shared" si="160"/>
        <v>0</v>
      </c>
    </row>
    <row r="10017" spans="39:45">
      <c r="AM10017" s="55">
        <v>2020</v>
      </c>
      <c r="AN10017" s="55" t="s">
        <v>184</v>
      </c>
      <c r="AO10017" s="55">
        <v>22</v>
      </c>
      <c r="AP10017" s="55">
        <v>7</v>
      </c>
      <c r="AQ10017" s="55">
        <v>0</v>
      </c>
      <c r="AR10017" s="55">
        <v>28500</v>
      </c>
      <c r="AS10017" s="78">
        <f t="shared" si="160"/>
        <v>0</v>
      </c>
    </row>
    <row r="10018" spans="39:45">
      <c r="AM10018" s="54">
        <v>2020</v>
      </c>
      <c r="AN10018" s="54" t="s">
        <v>184</v>
      </c>
      <c r="AO10018" s="54">
        <v>22</v>
      </c>
      <c r="AP10018" s="54">
        <v>8</v>
      </c>
      <c r="AQ10018" s="54">
        <v>1807</v>
      </c>
      <c r="AR10018" s="55">
        <v>28500</v>
      </c>
      <c r="AS10018" s="78">
        <f t="shared" si="160"/>
        <v>6.3403508771929823E-2</v>
      </c>
    </row>
    <row r="10019" spans="39:45">
      <c r="AM10019" s="55">
        <v>2020</v>
      </c>
      <c r="AN10019" s="55" t="s">
        <v>184</v>
      </c>
      <c r="AO10019" s="55">
        <v>22</v>
      </c>
      <c r="AP10019" s="55">
        <v>9</v>
      </c>
      <c r="AQ10019" s="55">
        <v>5243.5</v>
      </c>
      <c r="AR10019" s="55">
        <v>28500</v>
      </c>
      <c r="AS10019" s="78">
        <f t="shared" si="160"/>
        <v>0.18398245614035089</v>
      </c>
    </row>
    <row r="10020" spans="39:45">
      <c r="AM10020" s="54">
        <v>2020</v>
      </c>
      <c r="AN10020" s="54" t="s">
        <v>184</v>
      </c>
      <c r="AO10020" s="54">
        <v>22</v>
      </c>
      <c r="AP10020" s="54">
        <v>10</v>
      </c>
      <c r="AQ10020" s="54">
        <v>3806.5</v>
      </c>
      <c r="AR10020" s="55">
        <v>28500</v>
      </c>
      <c r="AS10020" s="78">
        <f t="shared" si="160"/>
        <v>0.13356140350877194</v>
      </c>
    </row>
    <row r="10021" spans="39:45">
      <c r="AM10021" s="55">
        <v>2020</v>
      </c>
      <c r="AN10021" s="55" t="s">
        <v>184</v>
      </c>
      <c r="AO10021" s="55">
        <v>22</v>
      </c>
      <c r="AP10021" s="55">
        <v>11</v>
      </c>
      <c r="AQ10021" s="55">
        <v>8574</v>
      </c>
      <c r="AR10021" s="55">
        <v>28500</v>
      </c>
      <c r="AS10021" s="78">
        <f t="shared" si="160"/>
        <v>0.30084210526315791</v>
      </c>
    </row>
    <row r="10022" spans="39:45">
      <c r="AM10022" s="54">
        <v>2020</v>
      </c>
      <c r="AN10022" s="54" t="s">
        <v>184</v>
      </c>
      <c r="AO10022" s="54">
        <v>22</v>
      </c>
      <c r="AP10022" s="54">
        <v>12</v>
      </c>
      <c r="AQ10022" s="54">
        <v>24208.5</v>
      </c>
      <c r="AR10022" s="55">
        <v>28500</v>
      </c>
      <c r="AS10022" s="78">
        <f t="shared" si="160"/>
        <v>0.84942105263157897</v>
      </c>
    </row>
    <row r="10023" spans="39:45">
      <c r="AM10023" s="55">
        <v>2020</v>
      </c>
      <c r="AN10023" s="55" t="s">
        <v>184</v>
      </c>
      <c r="AO10023" s="55">
        <v>22</v>
      </c>
      <c r="AP10023" s="55">
        <v>13</v>
      </c>
      <c r="AQ10023" s="55">
        <v>23079.5</v>
      </c>
      <c r="AR10023" s="55">
        <v>28500</v>
      </c>
      <c r="AS10023" s="78">
        <f t="shared" si="160"/>
        <v>0.80980701754385964</v>
      </c>
    </row>
    <row r="10024" spans="39:45">
      <c r="AM10024" s="54">
        <v>2020</v>
      </c>
      <c r="AN10024" s="54" t="s">
        <v>184</v>
      </c>
      <c r="AO10024" s="54">
        <v>22</v>
      </c>
      <c r="AP10024" s="54">
        <v>14</v>
      </c>
      <c r="AQ10024" s="54">
        <v>8534.5</v>
      </c>
      <c r="AR10024" s="55">
        <v>28500</v>
      </c>
      <c r="AS10024" s="78">
        <f t="shared" si="160"/>
        <v>0.2994561403508772</v>
      </c>
    </row>
    <row r="10025" spans="39:45">
      <c r="AM10025" s="55">
        <v>2020</v>
      </c>
      <c r="AN10025" s="55" t="s">
        <v>184</v>
      </c>
      <c r="AO10025" s="55">
        <v>22</v>
      </c>
      <c r="AP10025" s="55">
        <v>15</v>
      </c>
      <c r="AQ10025" s="55">
        <v>1781</v>
      </c>
      <c r="AR10025" s="55">
        <v>28500</v>
      </c>
      <c r="AS10025" s="78">
        <f t="shared" si="160"/>
        <v>6.2491228070175438E-2</v>
      </c>
    </row>
    <row r="10026" spans="39:45">
      <c r="AM10026" s="54">
        <v>2020</v>
      </c>
      <c r="AN10026" s="54" t="s">
        <v>184</v>
      </c>
      <c r="AO10026" s="54">
        <v>22</v>
      </c>
      <c r="AP10026" s="54">
        <v>16</v>
      </c>
      <c r="AQ10026" s="54">
        <v>1701</v>
      </c>
      <c r="AR10026" s="55">
        <v>28500</v>
      </c>
      <c r="AS10026" s="78">
        <f t="shared" si="160"/>
        <v>5.9684210526315791E-2</v>
      </c>
    </row>
    <row r="10027" spans="39:45">
      <c r="AM10027" s="55">
        <v>2020</v>
      </c>
      <c r="AN10027" s="55" t="s">
        <v>184</v>
      </c>
      <c r="AO10027" s="55">
        <v>22</v>
      </c>
      <c r="AP10027" s="55">
        <v>17</v>
      </c>
      <c r="AQ10027" s="55">
        <v>0</v>
      </c>
      <c r="AR10027" s="55">
        <v>28500</v>
      </c>
      <c r="AS10027" s="78">
        <f t="shared" si="160"/>
        <v>0</v>
      </c>
    </row>
    <row r="10028" spans="39:45">
      <c r="AM10028" s="54">
        <v>2020</v>
      </c>
      <c r="AN10028" s="54" t="s">
        <v>184</v>
      </c>
      <c r="AO10028" s="54">
        <v>22</v>
      </c>
      <c r="AP10028" s="54">
        <v>18</v>
      </c>
      <c r="AQ10028" s="54">
        <v>0</v>
      </c>
      <c r="AR10028" s="55">
        <v>28500</v>
      </c>
      <c r="AS10028" s="78">
        <f t="shared" si="160"/>
        <v>0</v>
      </c>
    </row>
    <row r="10029" spans="39:45">
      <c r="AM10029" s="55">
        <v>2020</v>
      </c>
      <c r="AN10029" s="55" t="s">
        <v>184</v>
      </c>
      <c r="AO10029" s="55">
        <v>22</v>
      </c>
      <c r="AP10029" s="55">
        <v>19</v>
      </c>
      <c r="AQ10029" s="55">
        <v>0</v>
      </c>
      <c r="AR10029" s="55">
        <v>28500</v>
      </c>
      <c r="AS10029" s="78">
        <f t="shared" si="160"/>
        <v>0</v>
      </c>
    </row>
    <row r="10030" spans="39:45">
      <c r="AM10030" s="54">
        <v>2020</v>
      </c>
      <c r="AN10030" s="54" t="s">
        <v>184</v>
      </c>
      <c r="AO10030" s="54">
        <v>22</v>
      </c>
      <c r="AP10030" s="54">
        <v>20</v>
      </c>
      <c r="AQ10030" s="54">
        <v>0</v>
      </c>
      <c r="AR10030" s="55">
        <v>28500</v>
      </c>
      <c r="AS10030" s="78">
        <f t="shared" si="160"/>
        <v>0</v>
      </c>
    </row>
    <row r="10031" spans="39:45">
      <c r="AM10031" s="55">
        <v>2020</v>
      </c>
      <c r="AN10031" s="55" t="s">
        <v>184</v>
      </c>
      <c r="AO10031" s="55">
        <v>22</v>
      </c>
      <c r="AP10031" s="55">
        <v>21</v>
      </c>
      <c r="AQ10031" s="55">
        <v>0</v>
      </c>
      <c r="AR10031" s="55">
        <v>28500</v>
      </c>
      <c r="AS10031" s="78">
        <f t="shared" si="160"/>
        <v>0</v>
      </c>
    </row>
    <row r="10032" spans="39:45">
      <c r="AM10032" s="54">
        <v>2020</v>
      </c>
      <c r="AN10032" s="54" t="s">
        <v>184</v>
      </c>
      <c r="AO10032" s="54">
        <v>22</v>
      </c>
      <c r="AP10032" s="54">
        <v>22</v>
      </c>
      <c r="AQ10032" s="54">
        <v>0</v>
      </c>
      <c r="AR10032" s="55">
        <v>28500</v>
      </c>
      <c r="AS10032" s="78">
        <f t="shared" si="160"/>
        <v>0</v>
      </c>
    </row>
    <row r="10033" spans="39:45">
      <c r="AM10033" s="55">
        <v>2020</v>
      </c>
      <c r="AN10033" s="55" t="s">
        <v>184</v>
      </c>
      <c r="AO10033" s="55">
        <v>22</v>
      </c>
      <c r="AP10033" s="55">
        <v>23</v>
      </c>
      <c r="AQ10033" s="55">
        <v>0</v>
      </c>
      <c r="AR10033" s="55">
        <v>28500</v>
      </c>
      <c r="AS10033" s="78">
        <f t="shared" si="160"/>
        <v>0</v>
      </c>
    </row>
    <row r="10034" spans="39:45">
      <c r="AM10034" s="54">
        <v>2020</v>
      </c>
      <c r="AN10034" s="54" t="s">
        <v>184</v>
      </c>
      <c r="AO10034" s="54">
        <v>23</v>
      </c>
      <c r="AP10034" s="54">
        <v>24</v>
      </c>
      <c r="AQ10034" s="54">
        <v>0</v>
      </c>
      <c r="AR10034" s="55">
        <v>28500</v>
      </c>
      <c r="AS10034" s="78">
        <f t="shared" si="160"/>
        <v>0</v>
      </c>
    </row>
    <row r="10035" spans="39:45">
      <c r="AM10035" s="55">
        <v>2020</v>
      </c>
      <c r="AN10035" s="55" t="s">
        <v>184</v>
      </c>
      <c r="AO10035" s="55">
        <v>23</v>
      </c>
      <c r="AP10035" s="55">
        <v>1</v>
      </c>
      <c r="AQ10035" s="55">
        <v>0</v>
      </c>
      <c r="AR10035" s="55">
        <v>28500</v>
      </c>
      <c r="AS10035" s="78">
        <f t="shared" si="160"/>
        <v>0</v>
      </c>
    </row>
    <row r="10036" spans="39:45">
      <c r="AM10036" s="54">
        <v>2020</v>
      </c>
      <c r="AN10036" s="54" t="s">
        <v>184</v>
      </c>
      <c r="AO10036" s="54">
        <v>23</v>
      </c>
      <c r="AP10036" s="54">
        <v>2</v>
      </c>
      <c r="AQ10036" s="54">
        <v>0</v>
      </c>
      <c r="AR10036" s="55">
        <v>28500</v>
      </c>
      <c r="AS10036" s="78">
        <f t="shared" si="160"/>
        <v>0</v>
      </c>
    </row>
    <row r="10037" spans="39:45">
      <c r="AM10037" s="55">
        <v>2020</v>
      </c>
      <c r="AN10037" s="55" t="s">
        <v>184</v>
      </c>
      <c r="AO10037" s="55">
        <v>23</v>
      </c>
      <c r="AP10037" s="55">
        <v>3</v>
      </c>
      <c r="AQ10037" s="55">
        <v>0</v>
      </c>
      <c r="AR10037" s="55">
        <v>28500</v>
      </c>
      <c r="AS10037" s="78">
        <f t="shared" si="160"/>
        <v>0</v>
      </c>
    </row>
    <row r="10038" spans="39:45">
      <c r="AM10038" s="54">
        <v>2020</v>
      </c>
      <c r="AN10038" s="54" t="s">
        <v>184</v>
      </c>
      <c r="AO10038" s="54">
        <v>23</v>
      </c>
      <c r="AP10038" s="54">
        <v>4</v>
      </c>
      <c r="AQ10038" s="54">
        <v>0</v>
      </c>
      <c r="AR10038" s="55">
        <v>28500</v>
      </c>
      <c r="AS10038" s="78">
        <f t="shared" si="160"/>
        <v>0</v>
      </c>
    </row>
    <row r="10039" spans="39:45">
      <c r="AM10039" s="55">
        <v>2020</v>
      </c>
      <c r="AN10039" s="55" t="s">
        <v>184</v>
      </c>
      <c r="AO10039" s="55">
        <v>23</v>
      </c>
      <c r="AP10039" s="55">
        <v>5</v>
      </c>
      <c r="AQ10039" s="55">
        <v>0</v>
      </c>
      <c r="AR10039" s="55">
        <v>28500</v>
      </c>
      <c r="AS10039" s="78">
        <f t="shared" si="160"/>
        <v>0</v>
      </c>
    </row>
    <row r="10040" spans="39:45">
      <c r="AM10040" s="54">
        <v>2020</v>
      </c>
      <c r="AN10040" s="54" t="s">
        <v>184</v>
      </c>
      <c r="AO10040" s="54">
        <v>23</v>
      </c>
      <c r="AP10040" s="54">
        <v>6</v>
      </c>
      <c r="AQ10040" s="54">
        <v>0</v>
      </c>
      <c r="AR10040" s="55">
        <v>28500</v>
      </c>
      <c r="AS10040" s="78">
        <f t="shared" si="160"/>
        <v>0</v>
      </c>
    </row>
    <row r="10041" spans="39:45">
      <c r="AM10041" s="55">
        <v>2020</v>
      </c>
      <c r="AN10041" s="55" t="s">
        <v>184</v>
      </c>
      <c r="AO10041" s="55">
        <v>23</v>
      </c>
      <c r="AP10041" s="55">
        <v>7</v>
      </c>
      <c r="AQ10041" s="55">
        <v>0</v>
      </c>
      <c r="AR10041" s="55">
        <v>28500</v>
      </c>
      <c r="AS10041" s="78">
        <f t="shared" si="160"/>
        <v>0</v>
      </c>
    </row>
    <row r="10042" spans="39:45">
      <c r="AM10042" s="54">
        <v>2020</v>
      </c>
      <c r="AN10042" s="54" t="s">
        <v>184</v>
      </c>
      <c r="AO10042" s="54">
        <v>23</v>
      </c>
      <c r="AP10042" s="54">
        <v>8</v>
      </c>
      <c r="AQ10042" s="54">
        <v>538.5</v>
      </c>
      <c r="AR10042" s="55">
        <v>28500</v>
      </c>
      <c r="AS10042" s="78">
        <f t="shared" si="160"/>
        <v>1.8894736842105263E-2</v>
      </c>
    </row>
    <row r="10043" spans="39:45">
      <c r="AM10043" s="55">
        <v>2020</v>
      </c>
      <c r="AN10043" s="55" t="s">
        <v>184</v>
      </c>
      <c r="AO10043" s="55">
        <v>23</v>
      </c>
      <c r="AP10043" s="55">
        <v>9</v>
      </c>
      <c r="AQ10043" s="55">
        <v>2149.5</v>
      </c>
      <c r="AR10043" s="55">
        <v>28500</v>
      </c>
      <c r="AS10043" s="78">
        <f t="shared" si="160"/>
        <v>7.5421052631578944E-2</v>
      </c>
    </row>
    <row r="10044" spans="39:45">
      <c r="AM10044" s="54">
        <v>2020</v>
      </c>
      <c r="AN10044" s="54" t="s">
        <v>184</v>
      </c>
      <c r="AO10044" s="54">
        <v>23</v>
      </c>
      <c r="AP10044" s="54">
        <v>10</v>
      </c>
      <c r="AQ10044" s="54">
        <v>1994.5</v>
      </c>
      <c r="AR10044" s="55">
        <v>28500</v>
      </c>
      <c r="AS10044" s="78">
        <f t="shared" si="160"/>
        <v>6.9982456140350882E-2</v>
      </c>
    </row>
    <row r="10045" spans="39:45">
      <c r="AM10045" s="55">
        <v>2020</v>
      </c>
      <c r="AN10045" s="55" t="s">
        <v>184</v>
      </c>
      <c r="AO10045" s="55">
        <v>23</v>
      </c>
      <c r="AP10045" s="55">
        <v>11</v>
      </c>
      <c r="AQ10045" s="55">
        <v>9344</v>
      </c>
      <c r="AR10045" s="55">
        <v>28500</v>
      </c>
      <c r="AS10045" s="78">
        <f t="shared" si="160"/>
        <v>0.32785964912280702</v>
      </c>
    </row>
    <row r="10046" spans="39:45">
      <c r="AM10046" s="54">
        <v>2020</v>
      </c>
      <c r="AN10046" s="54" t="s">
        <v>184</v>
      </c>
      <c r="AO10046" s="54">
        <v>23</v>
      </c>
      <c r="AP10046" s="54">
        <v>12</v>
      </c>
      <c r="AQ10046" s="54">
        <v>11421.5</v>
      </c>
      <c r="AR10046" s="55">
        <v>28500</v>
      </c>
      <c r="AS10046" s="78">
        <f t="shared" si="160"/>
        <v>0.40075438596491231</v>
      </c>
    </row>
    <row r="10047" spans="39:45">
      <c r="AM10047" s="55">
        <v>2020</v>
      </c>
      <c r="AN10047" s="55" t="s">
        <v>184</v>
      </c>
      <c r="AO10047" s="55">
        <v>23</v>
      </c>
      <c r="AP10047" s="55">
        <v>13</v>
      </c>
      <c r="AQ10047" s="55">
        <v>2891.5</v>
      </c>
      <c r="AR10047" s="55">
        <v>28500</v>
      </c>
      <c r="AS10047" s="78">
        <f t="shared" si="160"/>
        <v>0.10145614035087719</v>
      </c>
    </row>
    <row r="10048" spans="39:45">
      <c r="AM10048" s="54">
        <v>2020</v>
      </c>
      <c r="AN10048" s="54" t="s">
        <v>184</v>
      </c>
      <c r="AO10048" s="54">
        <v>23</v>
      </c>
      <c r="AP10048" s="54">
        <v>14</v>
      </c>
      <c r="AQ10048" s="54">
        <v>5619.5</v>
      </c>
      <c r="AR10048" s="55">
        <v>28500</v>
      </c>
      <c r="AS10048" s="78">
        <f t="shared" si="160"/>
        <v>0.19717543859649123</v>
      </c>
    </row>
    <row r="10049" spans="39:45">
      <c r="AM10049" s="55">
        <v>2020</v>
      </c>
      <c r="AN10049" s="55" t="s">
        <v>184</v>
      </c>
      <c r="AO10049" s="55">
        <v>23</v>
      </c>
      <c r="AP10049" s="55">
        <v>15</v>
      </c>
      <c r="AQ10049" s="55">
        <v>14426.5</v>
      </c>
      <c r="AR10049" s="55">
        <v>28500</v>
      </c>
      <c r="AS10049" s="78">
        <f t="shared" si="160"/>
        <v>0.50619298245614031</v>
      </c>
    </row>
    <row r="10050" spans="39:45">
      <c r="AM10050" s="54">
        <v>2020</v>
      </c>
      <c r="AN10050" s="54" t="s">
        <v>184</v>
      </c>
      <c r="AO10050" s="54">
        <v>23</v>
      </c>
      <c r="AP10050" s="54">
        <v>16</v>
      </c>
      <c r="AQ10050" s="54">
        <v>6872.5</v>
      </c>
      <c r="AR10050" s="55">
        <v>28500</v>
      </c>
      <c r="AS10050" s="78">
        <f t="shared" ref="AS10050:AS10113" si="161">AQ10050/AR10050</f>
        <v>0.24114035087719299</v>
      </c>
    </row>
    <row r="10051" spans="39:45">
      <c r="AM10051" s="55">
        <v>2020</v>
      </c>
      <c r="AN10051" s="55" t="s">
        <v>184</v>
      </c>
      <c r="AO10051" s="55">
        <v>23</v>
      </c>
      <c r="AP10051" s="55">
        <v>17</v>
      </c>
      <c r="AQ10051" s="55">
        <v>0</v>
      </c>
      <c r="AR10051" s="55">
        <v>28500</v>
      </c>
      <c r="AS10051" s="78">
        <f t="shared" si="161"/>
        <v>0</v>
      </c>
    </row>
    <row r="10052" spans="39:45">
      <c r="AM10052" s="54">
        <v>2020</v>
      </c>
      <c r="AN10052" s="54" t="s">
        <v>184</v>
      </c>
      <c r="AO10052" s="54">
        <v>23</v>
      </c>
      <c r="AP10052" s="54">
        <v>18</v>
      </c>
      <c r="AQ10052" s="54">
        <v>0</v>
      </c>
      <c r="AR10052" s="55">
        <v>28500</v>
      </c>
      <c r="AS10052" s="78">
        <f t="shared" si="161"/>
        <v>0</v>
      </c>
    </row>
    <row r="10053" spans="39:45">
      <c r="AM10053" s="55">
        <v>2020</v>
      </c>
      <c r="AN10053" s="55" t="s">
        <v>184</v>
      </c>
      <c r="AO10053" s="55">
        <v>23</v>
      </c>
      <c r="AP10053" s="55">
        <v>19</v>
      </c>
      <c r="AQ10053" s="55">
        <v>0</v>
      </c>
      <c r="AR10053" s="55">
        <v>28500</v>
      </c>
      <c r="AS10053" s="78">
        <f t="shared" si="161"/>
        <v>0</v>
      </c>
    </row>
    <row r="10054" spans="39:45">
      <c r="AM10054" s="54">
        <v>2020</v>
      </c>
      <c r="AN10054" s="54" t="s">
        <v>184</v>
      </c>
      <c r="AO10054" s="54">
        <v>23</v>
      </c>
      <c r="AP10054" s="54">
        <v>20</v>
      </c>
      <c r="AQ10054" s="54">
        <v>0</v>
      </c>
      <c r="AR10054" s="55">
        <v>28500</v>
      </c>
      <c r="AS10054" s="78">
        <f t="shared" si="161"/>
        <v>0</v>
      </c>
    </row>
    <row r="10055" spans="39:45">
      <c r="AM10055" s="55">
        <v>2020</v>
      </c>
      <c r="AN10055" s="55" t="s">
        <v>184</v>
      </c>
      <c r="AO10055" s="55">
        <v>23</v>
      </c>
      <c r="AP10055" s="55">
        <v>21</v>
      </c>
      <c r="AQ10055" s="55">
        <v>0</v>
      </c>
      <c r="AR10055" s="55">
        <v>28500</v>
      </c>
      <c r="AS10055" s="78">
        <f t="shared" si="161"/>
        <v>0</v>
      </c>
    </row>
    <row r="10056" spans="39:45">
      <c r="AM10056" s="54">
        <v>2020</v>
      </c>
      <c r="AN10056" s="54" t="s">
        <v>184</v>
      </c>
      <c r="AO10056" s="54">
        <v>23</v>
      </c>
      <c r="AP10056" s="54">
        <v>22</v>
      </c>
      <c r="AQ10056" s="54">
        <v>0</v>
      </c>
      <c r="AR10056" s="55">
        <v>28500</v>
      </c>
      <c r="AS10056" s="78">
        <f t="shared" si="161"/>
        <v>0</v>
      </c>
    </row>
    <row r="10057" spans="39:45">
      <c r="AM10057" s="55">
        <v>2020</v>
      </c>
      <c r="AN10057" s="55" t="s">
        <v>184</v>
      </c>
      <c r="AO10057" s="55">
        <v>23</v>
      </c>
      <c r="AP10057" s="55">
        <v>23</v>
      </c>
      <c r="AQ10057" s="55">
        <v>0</v>
      </c>
      <c r="AR10057" s="55">
        <v>28500</v>
      </c>
      <c r="AS10057" s="78">
        <f t="shared" si="161"/>
        <v>0</v>
      </c>
    </row>
    <row r="10058" spans="39:45">
      <c r="AM10058" s="54">
        <v>2020</v>
      </c>
      <c r="AN10058" s="54" t="s">
        <v>184</v>
      </c>
      <c r="AO10058" s="54">
        <v>24</v>
      </c>
      <c r="AP10058" s="54">
        <v>24</v>
      </c>
      <c r="AQ10058" s="54">
        <v>0</v>
      </c>
      <c r="AR10058" s="55">
        <v>28500</v>
      </c>
      <c r="AS10058" s="78">
        <f t="shared" si="161"/>
        <v>0</v>
      </c>
    </row>
    <row r="10059" spans="39:45">
      <c r="AM10059" s="55">
        <v>2020</v>
      </c>
      <c r="AN10059" s="55" t="s">
        <v>184</v>
      </c>
      <c r="AO10059" s="55">
        <v>24</v>
      </c>
      <c r="AP10059" s="55">
        <v>1</v>
      </c>
      <c r="AQ10059" s="55">
        <v>0</v>
      </c>
      <c r="AR10059" s="55">
        <v>28500</v>
      </c>
      <c r="AS10059" s="78">
        <f t="shared" si="161"/>
        <v>0</v>
      </c>
    </row>
    <row r="10060" spans="39:45">
      <c r="AM10060" s="54">
        <v>2020</v>
      </c>
      <c r="AN10060" s="54" t="s">
        <v>184</v>
      </c>
      <c r="AO10060" s="54">
        <v>24</v>
      </c>
      <c r="AP10060" s="54">
        <v>2</v>
      </c>
      <c r="AQ10060" s="54">
        <v>0</v>
      </c>
      <c r="AR10060" s="55">
        <v>28500</v>
      </c>
      <c r="AS10060" s="78">
        <f t="shared" si="161"/>
        <v>0</v>
      </c>
    </row>
    <row r="10061" spans="39:45">
      <c r="AM10061" s="55">
        <v>2020</v>
      </c>
      <c r="AN10061" s="55" t="s">
        <v>184</v>
      </c>
      <c r="AO10061" s="55">
        <v>24</v>
      </c>
      <c r="AP10061" s="55">
        <v>3</v>
      </c>
      <c r="AQ10061" s="55">
        <v>0</v>
      </c>
      <c r="AR10061" s="55">
        <v>28500</v>
      </c>
      <c r="AS10061" s="78">
        <f t="shared" si="161"/>
        <v>0</v>
      </c>
    </row>
    <row r="10062" spans="39:45">
      <c r="AM10062" s="54">
        <v>2020</v>
      </c>
      <c r="AN10062" s="54" t="s">
        <v>184</v>
      </c>
      <c r="AO10062" s="54">
        <v>24</v>
      </c>
      <c r="AP10062" s="54">
        <v>4</v>
      </c>
      <c r="AQ10062" s="54">
        <v>0</v>
      </c>
      <c r="AR10062" s="55">
        <v>28500</v>
      </c>
      <c r="AS10062" s="78">
        <f t="shared" si="161"/>
        <v>0</v>
      </c>
    </row>
    <row r="10063" spans="39:45">
      <c r="AM10063" s="55">
        <v>2020</v>
      </c>
      <c r="AN10063" s="55" t="s">
        <v>184</v>
      </c>
      <c r="AO10063" s="55">
        <v>24</v>
      </c>
      <c r="AP10063" s="55">
        <v>5</v>
      </c>
      <c r="AQ10063" s="55">
        <v>0</v>
      </c>
      <c r="AR10063" s="55">
        <v>28500</v>
      </c>
      <c r="AS10063" s="78">
        <f t="shared" si="161"/>
        <v>0</v>
      </c>
    </row>
    <row r="10064" spans="39:45">
      <c r="AM10064" s="54">
        <v>2020</v>
      </c>
      <c r="AN10064" s="54" t="s">
        <v>184</v>
      </c>
      <c r="AO10064" s="54">
        <v>24</v>
      </c>
      <c r="AP10064" s="54">
        <v>6</v>
      </c>
      <c r="AQ10064" s="54">
        <v>0</v>
      </c>
      <c r="AR10064" s="55">
        <v>28500</v>
      </c>
      <c r="AS10064" s="78">
        <f t="shared" si="161"/>
        <v>0</v>
      </c>
    </row>
    <row r="10065" spans="39:45">
      <c r="AM10065" s="55">
        <v>2020</v>
      </c>
      <c r="AN10065" s="55" t="s">
        <v>184</v>
      </c>
      <c r="AO10065" s="55">
        <v>24</v>
      </c>
      <c r="AP10065" s="55">
        <v>7</v>
      </c>
      <c r="AQ10065" s="55">
        <v>0</v>
      </c>
      <c r="AR10065" s="55">
        <v>28500</v>
      </c>
      <c r="AS10065" s="78">
        <f t="shared" si="161"/>
        <v>0</v>
      </c>
    </row>
    <row r="10066" spans="39:45">
      <c r="AM10066" s="54">
        <v>2020</v>
      </c>
      <c r="AN10066" s="54" t="s">
        <v>184</v>
      </c>
      <c r="AO10066" s="54">
        <v>24</v>
      </c>
      <c r="AP10066" s="54">
        <v>8</v>
      </c>
      <c r="AQ10066" s="54">
        <v>1146.5</v>
      </c>
      <c r="AR10066" s="55">
        <v>28500</v>
      </c>
      <c r="AS10066" s="78">
        <f t="shared" si="161"/>
        <v>4.0228070175438599E-2</v>
      </c>
    </row>
    <row r="10067" spans="39:45">
      <c r="AM10067" s="55">
        <v>2020</v>
      </c>
      <c r="AN10067" s="55" t="s">
        <v>184</v>
      </c>
      <c r="AO10067" s="55">
        <v>24</v>
      </c>
      <c r="AP10067" s="55">
        <v>9</v>
      </c>
      <c r="AQ10067" s="55">
        <v>1945.5</v>
      </c>
      <c r="AR10067" s="55">
        <v>28500</v>
      </c>
      <c r="AS10067" s="78">
        <f t="shared" si="161"/>
        <v>6.8263157894736845E-2</v>
      </c>
    </row>
    <row r="10068" spans="39:45">
      <c r="AM10068" s="54">
        <v>2020</v>
      </c>
      <c r="AN10068" s="54" t="s">
        <v>184</v>
      </c>
      <c r="AO10068" s="54">
        <v>24</v>
      </c>
      <c r="AP10068" s="54">
        <v>10</v>
      </c>
      <c r="AQ10068" s="54">
        <v>2434.5</v>
      </c>
      <c r="AR10068" s="55">
        <v>28500</v>
      </c>
      <c r="AS10068" s="78">
        <f t="shared" si="161"/>
        <v>8.5421052631578953E-2</v>
      </c>
    </row>
    <row r="10069" spans="39:45">
      <c r="AM10069" s="55">
        <v>2020</v>
      </c>
      <c r="AN10069" s="55" t="s">
        <v>184</v>
      </c>
      <c r="AO10069" s="55">
        <v>24</v>
      </c>
      <c r="AP10069" s="55">
        <v>11</v>
      </c>
      <c r="AQ10069" s="55">
        <v>4623</v>
      </c>
      <c r="AR10069" s="55">
        <v>28500</v>
      </c>
      <c r="AS10069" s="78">
        <f t="shared" si="161"/>
        <v>0.16221052631578947</v>
      </c>
    </row>
    <row r="10070" spans="39:45">
      <c r="AM10070" s="54">
        <v>2020</v>
      </c>
      <c r="AN10070" s="54" t="s">
        <v>184</v>
      </c>
      <c r="AO10070" s="54">
        <v>24</v>
      </c>
      <c r="AP10070" s="54">
        <v>12</v>
      </c>
      <c r="AQ10070" s="54">
        <v>3364</v>
      </c>
      <c r="AR10070" s="55">
        <v>28500</v>
      </c>
      <c r="AS10070" s="78">
        <f t="shared" si="161"/>
        <v>0.11803508771929824</v>
      </c>
    </row>
    <row r="10071" spans="39:45">
      <c r="AM10071" s="55">
        <v>2020</v>
      </c>
      <c r="AN10071" s="55" t="s">
        <v>184</v>
      </c>
      <c r="AO10071" s="55">
        <v>24</v>
      </c>
      <c r="AP10071" s="55">
        <v>13</v>
      </c>
      <c r="AQ10071" s="55">
        <v>1467.5</v>
      </c>
      <c r="AR10071" s="55">
        <v>28500</v>
      </c>
      <c r="AS10071" s="78">
        <f t="shared" si="161"/>
        <v>5.1491228070175442E-2</v>
      </c>
    </row>
    <row r="10072" spans="39:45">
      <c r="AM10072" s="54">
        <v>2020</v>
      </c>
      <c r="AN10072" s="54" t="s">
        <v>184</v>
      </c>
      <c r="AO10072" s="54">
        <v>24</v>
      </c>
      <c r="AP10072" s="54">
        <v>14</v>
      </c>
      <c r="AQ10072" s="54">
        <v>2244</v>
      </c>
      <c r="AR10072" s="55">
        <v>28500</v>
      </c>
      <c r="AS10072" s="78">
        <f t="shared" si="161"/>
        <v>7.8736842105263161E-2</v>
      </c>
    </row>
    <row r="10073" spans="39:45">
      <c r="AM10073" s="55">
        <v>2020</v>
      </c>
      <c r="AN10073" s="55" t="s">
        <v>184</v>
      </c>
      <c r="AO10073" s="55">
        <v>24</v>
      </c>
      <c r="AP10073" s="55">
        <v>15</v>
      </c>
      <c r="AQ10073" s="55">
        <v>7380</v>
      </c>
      <c r="AR10073" s="55">
        <v>28500</v>
      </c>
      <c r="AS10073" s="78">
        <f t="shared" si="161"/>
        <v>0.25894736842105265</v>
      </c>
    </row>
    <row r="10074" spans="39:45">
      <c r="AM10074" s="54">
        <v>2020</v>
      </c>
      <c r="AN10074" s="54" t="s">
        <v>184</v>
      </c>
      <c r="AO10074" s="54">
        <v>24</v>
      </c>
      <c r="AP10074" s="54">
        <v>16</v>
      </c>
      <c r="AQ10074" s="54">
        <v>867</v>
      </c>
      <c r="AR10074" s="55">
        <v>28500</v>
      </c>
      <c r="AS10074" s="78">
        <f t="shared" si="161"/>
        <v>3.0421052631578946E-2</v>
      </c>
    </row>
    <row r="10075" spans="39:45">
      <c r="AM10075" s="55">
        <v>2020</v>
      </c>
      <c r="AN10075" s="55" t="s">
        <v>184</v>
      </c>
      <c r="AO10075" s="55">
        <v>24</v>
      </c>
      <c r="AP10075" s="55">
        <v>17</v>
      </c>
      <c r="AQ10075" s="55">
        <v>0</v>
      </c>
      <c r="AR10075" s="55">
        <v>28500</v>
      </c>
      <c r="AS10075" s="78">
        <f t="shared" si="161"/>
        <v>0</v>
      </c>
    </row>
    <row r="10076" spans="39:45">
      <c r="AM10076" s="54">
        <v>2020</v>
      </c>
      <c r="AN10076" s="54" t="s">
        <v>184</v>
      </c>
      <c r="AO10076" s="54">
        <v>24</v>
      </c>
      <c r="AP10076" s="54">
        <v>18</v>
      </c>
      <c r="AQ10076" s="54">
        <v>0</v>
      </c>
      <c r="AR10076" s="55">
        <v>28500</v>
      </c>
      <c r="AS10076" s="78">
        <f t="shared" si="161"/>
        <v>0</v>
      </c>
    </row>
    <row r="10077" spans="39:45">
      <c r="AM10077" s="55">
        <v>2020</v>
      </c>
      <c r="AN10077" s="55" t="s">
        <v>184</v>
      </c>
      <c r="AO10077" s="55">
        <v>24</v>
      </c>
      <c r="AP10077" s="55">
        <v>19</v>
      </c>
      <c r="AQ10077" s="55">
        <v>0</v>
      </c>
      <c r="AR10077" s="55">
        <v>28500</v>
      </c>
      <c r="AS10077" s="78">
        <f t="shared" si="161"/>
        <v>0</v>
      </c>
    </row>
    <row r="10078" spans="39:45">
      <c r="AM10078" s="54">
        <v>2020</v>
      </c>
      <c r="AN10078" s="54" t="s">
        <v>184</v>
      </c>
      <c r="AO10078" s="54">
        <v>24</v>
      </c>
      <c r="AP10078" s="54">
        <v>20</v>
      </c>
      <c r="AQ10078" s="54">
        <v>0</v>
      </c>
      <c r="AR10078" s="55">
        <v>28500</v>
      </c>
      <c r="AS10078" s="78">
        <f t="shared" si="161"/>
        <v>0</v>
      </c>
    </row>
    <row r="10079" spans="39:45">
      <c r="AM10079" s="55">
        <v>2020</v>
      </c>
      <c r="AN10079" s="55" t="s">
        <v>184</v>
      </c>
      <c r="AO10079" s="55">
        <v>24</v>
      </c>
      <c r="AP10079" s="55">
        <v>21</v>
      </c>
      <c r="AQ10079" s="55">
        <v>0</v>
      </c>
      <c r="AR10079" s="55">
        <v>28500</v>
      </c>
      <c r="AS10079" s="78">
        <f t="shared" si="161"/>
        <v>0</v>
      </c>
    </row>
    <row r="10080" spans="39:45">
      <c r="AM10080" s="54">
        <v>2020</v>
      </c>
      <c r="AN10080" s="54" t="s">
        <v>184</v>
      </c>
      <c r="AO10080" s="54">
        <v>24</v>
      </c>
      <c r="AP10080" s="54">
        <v>22</v>
      </c>
      <c r="AQ10080" s="54">
        <v>0</v>
      </c>
      <c r="AR10080" s="55">
        <v>28500</v>
      </c>
      <c r="AS10080" s="78">
        <f t="shared" si="161"/>
        <v>0</v>
      </c>
    </row>
    <row r="10081" spans="39:45">
      <c r="AM10081" s="55">
        <v>2020</v>
      </c>
      <c r="AN10081" s="55" t="s">
        <v>184</v>
      </c>
      <c r="AO10081" s="55">
        <v>24</v>
      </c>
      <c r="AP10081" s="55">
        <v>23</v>
      </c>
      <c r="AQ10081" s="55">
        <v>0</v>
      </c>
      <c r="AR10081" s="55">
        <v>28500</v>
      </c>
      <c r="AS10081" s="78">
        <f t="shared" si="161"/>
        <v>0</v>
      </c>
    </row>
    <row r="10082" spans="39:45">
      <c r="AM10082" s="54">
        <v>2020</v>
      </c>
      <c r="AN10082" s="54" t="s">
        <v>184</v>
      </c>
      <c r="AO10082" s="54">
        <v>25</v>
      </c>
      <c r="AP10082" s="54">
        <v>24</v>
      </c>
      <c r="AQ10082" s="54">
        <v>0</v>
      </c>
      <c r="AR10082" s="55">
        <v>28500</v>
      </c>
      <c r="AS10082" s="78">
        <f t="shared" si="161"/>
        <v>0</v>
      </c>
    </row>
    <row r="10083" spans="39:45">
      <c r="AM10083" s="55">
        <v>2020</v>
      </c>
      <c r="AN10083" s="55" t="s">
        <v>184</v>
      </c>
      <c r="AO10083" s="55">
        <v>25</v>
      </c>
      <c r="AP10083" s="55">
        <v>1</v>
      </c>
      <c r="AQ10083" s="55">
        <v>0</v>
      </c>
      <c r="AR10083" s="55">
        <v>28500</v>
      </c>
      <c r="AS10083" s="78">
        <f t="shared" si="161"/>
        <v>0</v>
      </c>
    </row>
    <row r="10084" spans="39:45">
      <c r="AM10084" s="54">
        <v>2020</v>
      </c>
      <c r="AN10084" s="54" t="s">
        <v>184</v>
      </c>
      <c r="AO10084" s="54">
        <v>25</v>
      </c>
      <c r="AP10084" s="54">
        <v>2</v>
      </c>
      <c r="AQ10084" s="54">
        <v>0</v>
      </c>
      <c r="AR10084" s="55">
        <v>28500</v>
      </c>
      <c r="AS10084" s="78">
        <f t="shared" si="161"/>
        <v>0</v>
      </c>
    </row>
    <row r="10085" spans="39:45">
      <c r="AM10085" s="55">
        <v>2020</v>
      </c>
      <c r="AN10085" s="55" t="s">
        <v>184</v>
      </c>
      <c r="AO10085" s="55">
        <v>25</v>
      </c>
      <c r="AP10085" s="55">
        <v>3</v>
      </c>
      <c r="AQ10085" s="55">
        <v>0</v>
      </c>
      <c r="AR10085" s="55">
        <v>28500</v>
      </c>
      <c r="AS10085" s="78">
        <f t="shared" si="161"/>
        <v>0</v>
      </c>
    </row>
    <row r="10086" spans="39:45">
      <c r="AM10086" s="54">
        <v>2020</v>
      </c>
      <c r="AN10086" s="54" t="s">
        <v>184</v>
      </c>
      <c r="AO10086" s="54">
        <v>25</v>
      </c>
      <c r="AP10086" s="54">
        <v>4</v>
      </c>
      <c r="AQ10086" s="54">
        <v>0</v>
      </c>
      <c r="AR10086" s="55">
        <v>28500</v>
      </c>
      <c r="AS10086" s="78">
        <f t="shared" si="161"/>
        <v>0</v>
      </c>
    </row>
    <row r="10087" spans="39:45">
      <c r="AM10087" s="55">
        <v>2020</v>
      </c>
      <c r="AN10087" s="55" t="s">
        <v>184</v>
      </c>
      <c r="AO10087" s="55">
        <v>25</v>
      </c>
      <c r="AP10087" s="55">
        <v>5</v>
      </c>
      <c r="AQ10087" s="55">
        <v>0</v>
      </c>
      <c r="AR10087" s="55">
        <v>28500</v>
      </c>
      <c r="AS10087" s="78">
        <f t="shared" si="161"/>
        <v>0</v>
      </c>
    </row>
    <row r="10088" spans="39:45">
      <c r="AM10088" s="54">
        <v>2020</v>
      </c>
      <c r="AN10088" s="54" t="s">
        <v>184</v>
      </c>
      <c r="AO10088" s="54">
        <v>25</v>
      </c>
      <c r="AP10088" s="54">
        <v>6</v>
      </c>
      <c r="AQ10088" s="54">
        <v>0</v>
      </c>
      <c r="AR10088" s="55">
        <v>28500</v>
      </c>
      <c r="AS10088" s="78">
        <f t="shared" si="161"/>
        <v>0</v>
      </c>
    </row>
    <row r="10089" spans="39:45">
      <c r="AM10089" s="55">
        <v>2020</v>
      </c>
      <c r="AN10089" s="55" t="s">
        <v>184</v>
      </c>
      <c r="AO10089" s="55">
        <v>25</v>
      </c>
      <c r="AP10089" s="55">
        <v>7</v>
      </c>
      <c r="AQ10089" s="55">
        <v>0</v>
      </c>
      <c r="AR10089" s="55">
        <v>28500</v>
      </c>
      <c r="AS10089" s="78">
        <f t="shared" si="161"/>
        <v>0</v>
      </c>
    </row>
    <row r="10090" spans="39:45">
      <c r="AM10090" s="54">
        <v>2020</v>
      </c>
      <c r="AN10090" s="54" t="s">
        <v>184</v>
      </c>
      <c r="AO10090" s="54">
        <v>25</v>
      </c>
      <c r="AP10090" s="54">
        <v>8</v>
      </c>
      <c r="AQ10090" s="54">
        <v>13011</v>
      </c>
      <c r="AR10090" s="55">
        <v>28500</v>
      </c>
      <c r="AS10090" s="78">
        <f t="shared" si="161"/>
        <v>0.45652631578947367</v>
      </c>
    </row>
    <row r="10091" spans="39:45">
      <c r="AM10091" s="55">
        <v>2020</v>
      </c>
      <c r="AN10091" s="55" t="s">
        <v>184</v>
      </c>
      <c r="AO10091" s="55">
        <v>25</v>
      </c>
      <c r="AP10091" s="55">
        <v>9</v>
      </c>
      <c r="AQ10091" s="55">
        <v>21813</v>
      </c>
      <c r="AR10091" s="55">
        <v>28500</v>
      </c>
      <c r="AS10091" s="78">
        <f t="shared" si="161"/>
        <v>0.76536842105263159</v>
      </c>
    </row>
    <row r="10092" spans="39:45">
      <c r="AM10092" s="54">
        <v>2020</v>
      </c>
      <c r="AN10092" s="54" t="s">
        <v>184</v>
      </c>
      <c r="AO10092" s="54">
        <v>25</v>
      </c>
      <c r="AP10092" s="54">
        <v>10</v>
      </c>
      <c r="AQ10092" s="54">
        <v>13197.5</v>
      </c>
      <c r="AR10092" s="55">
        <v>28500</v>
      </c>
      <c r="AS10092" s="78">
        <f t="shared" si="161"/>
        <v>0.46307017543859647</v>
      </c>
    </row>
    <row r="10093" spans="39:45">
      <c r="AM10093" s="55">
        <v>2020</v>
      </c>
      <c r="AN10093" s="55" t="s">
        <v>184</v>
      </c>
      <c r="AO10093" s="55">
        <v>25</v>
      </c>
      <c r="AP10093" s="55">
        <v>11</v>
      </c>
      <c r="AQ10093" s="55">
        <v>26452.5</v>
      </c>
      <c r="AR10093" s="55">
        <v>28500</v>
      </c>
      <c r="AS10093" s="78">
        <f t="shared" si="161"/>
        <v>0.92815789473684207</v>
      </c>
    </row>
    <row r="10094" spans="39:45">
      <c r="AM10094" s="54">
        <v>2020</v>
      </c>
      <c r="AN10094" s="54" t="s">
        <v>184</v>
      </c>
      <c r="AO10094" s="54">
        <v>25</v>
      </c>
      <c r="AP10094" s="54">
        <v>12</v>
      </c>
      <c r="AQ10094" s="54">
        <v>19667</v>
      </c>
      <c r="AR10094" s="55">
        <v>28500</v>
      </c>
      <c r="AS10094" s="78">
        <f t="shared" si="161"/>
        <v>0.6900701754385965</v>
      </c>
    </row>
    <row r="10095" spans="39:45">
      <c r="AM10095" s="55">
        <v>2020</v>
      </c>
      <c r="AN10095" s="55" t="s">
        <v>184</v>
      </c>
      <c r="AO10095" s="55">
        <v>25</v>
      </c>
      <c r="AP10095" s="55">
        <v>13</v>
      </c>
      <c r="AQ10095" s="55">
        <v>17375</v>
      </c>
      <c r="AR10095" s="55">
        <v>28500</v>
      </c>
      <c r="AS10095" s="78">
        <f t="shared" si="161"/>
        <v>0.60964912280701755</v>
      </c>
    </row>
    <row r="10096" spans="39:45">
      <c r="AM10096" s="54">
        <v>2020</v>
      </c>
      <c r="AN10096" s="54" t="s">
        <v>184</v>
      </c>
      <c r="AO10096" s="54">
        <v>25</v>
      </c>
      <c r="AP10096" s="54">
        <v>14</v>
      </c>
      <c r="AQ10096" s="54">
        <v>7755.5</v>
      </c>
      <c r="AR10096" s="55">
        <v>28500</v>
      </c>
      <c r="AS10096" s="78">
        <f t="shared" si="161"/>
        <v>0.27212280701754388</v>
      </c>
    </row>
    <row r="10097" spans="39:45">
      <c r="AM10097" s="55">
        <v>2020</v>
      </c>
      <c r="AN10097" s="55" t="s">
        <v>184</v>
      </c>
      <c r="AO10097" s="55">
        <v>25</v>
      </c>
      <c r="AP10097" s="55">
        <v>15</v>
      </c>
      <c r="AQ10097" s="55">
        <v>11880.5</v>
      </c>
      <c r="AR10097" s="55">
        <v>28500</v>
      </c>
      <c r="AS10097" s="78">
        <f t="shared" si="161"/>
        <v>0.41685964912280704</v>
      </c>
    </row>
    <row r="10098" spans="39:45">
      <c r="AM10098" s="54">
        <v>2020</v>
      </c>
      <c r="AN10098" s="54" t="s">
        <v>184</v>
      </c>
      <c r="AO10098" s="54">
        <v>25</v>
      </c>
      <c r="AP10098" s="54">
        <v>16</v>
      </c>
      <c r="AQ10098" s="54">
        <v>2417.5</v>
      </c>
      <c r="AR10098" s="55">
        <v>28500</v>
      </c>
      <c r="AS10098" s="78">
        <f t="shared" si="161"/>
        <v>8.4824561403508775E-2</v>
      </c>
    </row>
    <row r="10099" spans="39:45">
      <c r="AM10099" s="55">
        <v>2020</v>
      </c>
      <c r="AN10099" s="55" t="s">
        <v>184</v>
      </c>
      <c r="AO10099" s="55">
        <v>25</v>
      </c>
      <c r="AP10099" s="55">
        <v>17</v>
      </c>
      <c r="AQ10099" s="55">
        <v>0</v>
      </c>
      <c r="AR10099" s="55">
        <v>28500</v>
      </c>
      <c r="AS10099" s="78">
        <f t="shared" si="161"/>
        <v>0</v>
      </c>
    </row>
    <row r="10100" spans="39:45">
      <c r="AM10100" s="54">
        <v>2020</v>
      </c>
      <c r="AN10100" s="54" t="s">
        <v>184</v>
      </c>
      <c r="AO10100" s="54">
        <v>25</v>
      </c>
      <c r="AP10100" s="54">
        <v>18</v>
      </c>
      <c r="AQ10100" s="54">
        <v>0</v>
      </c>
      <c r="AR10100" s="55">
        <v>28500</v>
      </c>
      <c r="AS10100" s="78">
        <f t="shared" si="161"/>
        <v>0</v>
      </c>
    </row>
    <row r="10101" spans="39:45">
      <c r="AM10101" s="55">
        <v>2020</v>
      </c>
      <c r="AN10101" s="55" t="s">
        <v>184</v>
      </c>
      <c r="AO10101" s="55">
        <v>25</v>
      </c>
      <c r="AP10101" s="55">
        <v>19</v>
      </c>
      <c r="AQ10101" s="55">
        <v>0</v>
      </c>
      <c r="AR10101" s="55">
        <v>28500</v>
      </c>
      <c r="AS10101" s="78">
        <f t="shared" si="161"/>
        <v>0</v>
      </c>
    </row>
    <row r="10102" spans="39:45">
      <c r="AM10102" s="54">
        <v>2020</v>
      </c>
      <c r="AN10102" s="54" t="s">
        <v>184</v>
      </c>
      <c r="AO10102" s="54">
        <v>25</v>
      </c>
      <c r="AP10102" s="54">
        <v>20</v>
      </c>
      <c r="AQ10102" s="54">
        <v>0</v>
      </c>
      <c r="AR10102" s="55">
        <v>28500</v>
      </c>
      <c r="AS10102" s="78">
        <f t="shared" si="161"/>
        <v>0</v>
      </c>
    </row>
    <row r="10103" spans="39:45">
      <c r="AM10103" s="55">
        <v>2020</v>
      </c>
      <c r="AN10103" s="55" t="s">
        <v>184</v>
      </c>
      <c r="AO10103" s="55">
        <v>25</v>
      </c>
      <c r="AP10103" s="55">
        <v>21</v>
      </c>
      <c r="AQ10103" s="55">
        <v>0</v>
      </c>
      <c r="AR10103" s="55">
        <v>28500</v>
      </c>
      <c r="AS10103" s="78">
        <f t="shared" si="161"/>
        <v>0</v>
      </c>
    </row>
    <row r="10104" spans="39:45">
      <c r="AM10104" s="54">
        <v>2020</v>
      </c>
      <c r="AN10104" s="54" t="s">
        <v>184</v>
      </c>
      <c r="AO10104" s="54">
        <v>25</v>
      </c>
      <c r="AP10104" s="54">
        <v>22</v>
      </c>
      <c r="AQ10104" s="54">
        <v>0</v>
      </c>
      <c r="AR10104" s="55">
        <v>28500</v>
      </c>
      <c r="AS10104" s="78">
        <f t="shared" si="161"/>
        <v>0</v>
      </c>
    </row>
    <row r="10105" spans="39:45">
      <c r="AM10105" s="55">
        <v>2020</v>
      </c>
      <c r="AN10105" s="55" t="s">
        <v>184</v>
      </c>
      <c r="AO10105" s="55">
        <v>25</v>
      </c>
      <c r="AP10105" s="55">
        <v>23</v>
      </c>
      <c r="AQ10105" s="55">
        <v>0</v>
      </c>
      <c r="AR10105" s="55">
        <v>28500</v>
      </c>
      <c r="AS10105" s="78">
        <f t="shared" si="161"/>
        <v>0</v>
      </c>
    </row>
    <row r="10106" spans="39:45">
      <c r="AM10106" s="54">
        <v>2020</v>
      </c>
      <c r="AN10106" s="54" t="s">
        <v>184</v>
      </c>
      <c r="AO10106" s="54">
        <v>26</v>
      </c>
      <c r="AP10106" s="54">
        <v>24</v>
      </c>
      <c r="AQ10106" s="54">
        <v>0</v>
      </c>
      <c r="AR10106" s="55">
        <v>28500</v>
      </c>
      <c r="AS10106" s="78">
        <f t="shared" si="161"/>
        <v>0</v>
      </c>
    </row>
    <row r="10107" spans="39:45">
      <c r="AM10107" s="55">
        <v>2020</v>
      </c>
      <c r="AN10107" s="55" t="s">
        <v>184</v>
      </c>
      <c r="AO10107" s="55">
        <v>26</v>
      </c>
      <c r="AP10107" s="55">
        <v>1</v>
      </c>
      <c r="AQ10107" s="55">
        <v>0</v>
      </c>
      <c r="AR10107" s="55">
        <v>28500</v>
      </c>
      <c r="AS10107" s="78">
        <f t="shared" si="161"/>
        <v>0</v>
      </c>
    </row>
    <row r="10108" spans="39:45">
      <c r="AM10108" s="54">
        <v>2020</v>
      </c>
      <c r="AN10108" s="54" t="s">
        <v>184</v>
      </c>
      <c r="AO10108" s="54">
        <v>26</v>
      </c>
      <c r="AP10108" s="54">
        <v>2</v>
      </c>
      <c r="AQ10108" s="54">
        <v>0</v>
      </c>
      <c r="AR10108" s="55">
        <v>28500</v>
      </c>
      <c r="AS10108" s="78">
        <f t="shared" si="161"/>
        <v>0</v>
      </c>
    </row>
    <row r="10109" spans="39:45">
      <c r="AM10109" s="55">
        <v>2020</v>
      </c>
      <c r="AN10109" s="55" t="s">
        <v>184</v>
      </c>
      <c r="AO10109" s="55">
        <v>26</v>
      </c>
      <c r="AP10109" s="55">
        <v>3</v>
      </c>
      <c r="AQ10109" s="55">
        <v>0</v>
      </c>
      <c r="AR10109" s="55">
        <v>28500</v>
      </c>
      <c r="AS10109" s="78">
        <f t="shared" si="161"/>
        <v>0</v>
      </c>
    </row>
    <row r="10110" spans="39:45">
      <c r="AM10110" s="54">
        <v>2020</v>
      </c>
      <c r="AN10110" s="54" t="s">
        <v>184</v>
      </c>
      <c r="AO10110" s="54">
        <v>26</v>
      </c>
      <c r="AP10110" s="54">
        <v>4</v>
      </c>
      <c r="AQ10110" s="54">
        <v>0</v>
      </c>
      <c r="AR10110" s="55">
        <v>28500</v>
      </c>
      <c r="AS10110" s="78">
        <f t="shared" si="161"/>
        <v>0</v>
      </c>
    </row>
    <row r="10111" spans="39:45">
      <c r="AM10111" s="55">
        <v>2020</v>
      </c>
      <c r="AN10111" s="55" t="s">
        <v>184</v>
      </c>
      <c r="AO10111" s="55">
        <v>26</v>
      </c>
      <c r="AP10111" s="55">
        <v>5</v>
      </c>
      <c r="AQ10111" s="55">
        <v>0</v>
      </c>
      <c r="AR10111" s="55">
        <v>28500</v>
      </c>
      <c r="AS10111" s="78">
        <f t="shared" si="161"/>
        <v>0</v>
      </c>
    </row>
    <row r="10112" spans="39:45">
      <c r="AM10112" s="54">
        <v>2020</v>
      </c>
      <c r="AN10112" s="54" t="s">
        <v>184</v>
      </c>
      <c r="AO10112" s="54">
        <v>26</v>
      </c>
      <c r="AP10112" s="54">
        <v>6</v>
      </c>
      <c r="AQ10112" s="54">
        <v>0</v>
      </c>
      <c r="AR10112" s="55">
        <v>28500</v>
      </c>
      <c r="AS10112" s="78">
        <f t="shared" si="161"/>
        <v>0</v>
      </c>
    </row>
    <row r="10113" spans="39:45">
      <c r="AM10113" s="55">
        <v>2020</v>
      </c>
      <c r="AN10113" s="55" t="s">
        <v>184</v>
      </c>
      <c r="AO10113" s="55">
        <v>26</v>
      </c>
      <c r="AP10113" s="55">
        <v>7</v>
      </c>
      <c r="AQ10113" s="55">
        <v>0</v>
      </c>
      <c r="AR10113" s="55">
        <v>28500</v>
      </c>
      <c r="AS10113" s="78">
        <f t="shared" si="161"/>
        <v>0</v>
      </c>
    </row>
    <row r="10114" spans="39:45">
      <c r="AM10114" s="54">
        <v>2020</v>
      </c>
      <c r="AN10114" s="54" t="s">
        <v>184</v>
      </c>
      <c r="AO10114" s="54">
        <v>26</v>
      </c>
      <c r="AP10114" s="54">
        <v>8</v>
      </c>
      <c r="AQ10114" s="54">
        <v>14664</v>
      </c>
      <c r="AR10114" s="55">
        <v>28500</v>
      </c>
      <c r="AS10114" s="78">
        <f t="shared" ref="AS10114:AS10177" si="162">AQ10114/AR10114</f>
        <v>0.51452631578947372</v>
      </c>
    </row>
    <row r="10115" spans="39:45">
      <c r="AM10115" s="55">
        <v>2020</v>
      </c>
      <c r="AN10115" s="55" t="s">
        <v>184</v>
      </c>
      <c r="AO10115" s="55">
        <v>26</v>
      </c>
      <c r="AP10115" s="55">
        <v>9</v>
      </c>
      <c r="AQ10115" s="55">
        <v>26344.5</v>
      </c>
      <c r="AR10115" s="55">
        <v>28500</v>
      </c>
      <c r="AS10115" s="78">
        <f t="shared" si="162"/>
        <v>0.92436842105263162</v>
      </c>
    </row>
    <row r="10116" spans="39:45">
      <c r="AM10116" s="54">
        <v>2020</v>
      </c>
      <c r="AN10116" s="54" t="s">
        <v>184</v>
      </c>
      <c r="AO10116" s="54">
        <v>26</v>
      </c>
      <c r="AP10116" s="54">
        <v>10</v>
      </c>
      <c r="AQ10116" s="54">
        <v>25373</v>
      </c>
      <c r="AR10116" s="55">
        <v>28500</v>
      </c>
      <c r="AS10116" s="78">
        <f t="shared" si="162"/>
        <v>0.89028070175438601</v>
      </c>
    </row>
    <row r="10117" spans="39:45">
      <c r="AM10117" s="55">
        <v>2020</v>
      </c>
      <c r="AN10117" s="55" t="s">
        <v>184</v>
      </c>
      <c r="AO10117" s="55">
        <v>26</v>
      </c>
      <c r="AP10117" s="55">
        <v>11</v>
      </c>
      <c r="AQ10117" s="55">
        <v>14426</v>
      </c>
      <c r="AR10117" s="55">
        <v>28500</v>
      </c>
      <c r="AS10117" s="78">
        <f t="shared" si="162"/>
        <v>0.50617543859649128</v>
      </c>
    </row>
    <row r="10118" spans="39:45">
      <c r="AM10118" s="54">
        <v>2020</v>
      </c>
      <c r="AN10118" s="54" t="s">
        <v>184</v>
      </c>
      <c r="AO10118" s="54">
        <v>26</v>
      </c>
      <c r="AP10118" s="54">
        <v>12</v>
      </c>
      <c r="AQ10118" s="54">
        <v>2398</v>
      </c>
      <c r="AR10118" s="55">
        <v>28500</v>
      </c>
      <c r="AS10118" s="78">
        <f t="shared" si="162"/>
        <v>8.4140350877192988E-2</v>
      </c>
    </row>
    <row r="10119" spans="39:45">
      <c r="AM10119" s="55">
        <v>2020</v>
      </c>
      <c r="AN10119" s="55" t="s">
        <v>184</v>
      </c>
      <c r="AO10119" s="55">
        <v>26</v>
      </c>
      <c r="AP10119" s="55">
        <v>13</v>
      </c>
      <c r="AQ10119" s="55">
        <v>24224</v>
      </c>
      <c r="AR10119" s="55">
        <v>28500</v>
      </c>
      <c r="AS10119" s="78">
        <f t="shared" si="162"/>
        <v>0.8499649122807017</v>
      </c>
    </row>
    <row r="10120" spans="39:45">
      <c r="AM10120" s="54">
        <v>2020</v>
      </c>
      <c r="AN10120" s="54" t="s">
        <v>184</v>
      </c>
      <c r="AO10120" s="54">
        <v>26</v>
      </c>
      <c r="AP10120" s="54">
        <v>14</v>
      </c>
      <c r="AQ10120" s="54">
        <v>15392.5</v>
      </c>
      <c r="AR10120" s="55">
        <v>28500</v>
      </c>
      <c r="AS10120" s="78">
        <f t="shared" si="162"/>
        <v>0.54008771929824562</v>
      </c>
    </row>
    <row r="10121" spans="39:45">
      <c r="AM10121" s="55">
        <v>2020</v>
      </c>
      <c r="AN10121" s="55" t="s">
        <v>184</v>
      </c>
      <c r="AO10121" s="55">
        <v>26</v>
      </c>
      <c r="AP10121" s="55">
        <v>15</v>
      </c>
      <c r="AQ10121" s="55">
        <v>10858</v>
      </c>
      <c r="AR10121" s="55">
        <v>28500</v>
      </c>
      <c r="AS10121" s="78">
        <f t="shared" si="162"/>
        <v>0.38098245614035087</v>
      </c>
    </row>
    <row r="10122" spans="39:45">
      <c r="AM10122" s="54">
        <v>2020</v>
      </c>
      <c r="AN10122" s="54" t="s">
        <v>184</v>
      </c>
      <c r="AO10122" s="54">
        <v>26</v>
      </c>
      <c r="AP10122" s="54">
        <v>16</v>
      </c>
      <c r="AQ10122" s="54">
        <v>11131</v>
      </c>
      <c r="AR10122" s="55">
        <v>28500</v>
      </c>
      <c r="AS10122" s="78">
        <f t="shared" si="162"/>
        <v>0.39056140350877194</v>
      </c>
    </row>
    <row r="10123" spans="39:45">
      <c r="AM10123" s="55">
        <v>2020</v>
      </c>
      <c r="AN10123" s="55" t="s">
        <v>184</v>
      </c>
      <c r="AO10123" s="55">
        <v>26</v>
      </c>
      <c r="AP10123" s="55">
        <v>17</v>
      </c>
      <c r="AQ10123" s="55">
        <v>189</v>
      </c>
      <c r="AR10123" s="55">
        <v>28500</v>
      </c>
      <c r="AS10123" s="78">
        <f t="shared" si="162"/>
        <v>6.6315789473684206E-3</v>
      </c>
    </row>
    <row r="10124" spans="39:45">
      <c r="AM10124" s="54">
        <v>2020</v>
      </c>
      <c r="AN10124" s="54" t="s">
        <v>184</v>
      </c>
      <c r="AO10124" s="54">
        <v>26</v>
      </c>
      <c r="AP10124" s="54">
        <v>18</v>
      </c>
      <c r="AQ10124" s="54">
        <v>0</v>
      </c>
      <c r="AR10124" s="55">
        <v>28500</v>
      </c>
      <c r="AS10124" s="78">
        <f t="shared" si="162"/>
        <v>0</v>
      </c>
    </row>
    <row r="10125" spans="39:45">
      <c r="AM10125" s="55">
        <v>2020</v>
      </c>
      <c r="AN10125" s="55" t="s">
        <v>184</v>
      </c>
      <c r="AO10125" s="55">
        <v>26</v>
      </c>
      <c r="AP10125" s="55">
        <v>19</v>
      </c>
      <c r="AQ10125" s="55">
        <v>0</v>
      </c>
      <c r="AR10125" s="55">
        <v>28500</v>
      </c>
      <c r="AS10125" s="78">
        <f t="shared" si="162"/>
        <v>0</v>
      </c>
    </row>
    <row r="10126" spans="39:45">
      <c r="AM10126" s="54">
        <v>2020</v>
      </c>
      <c r="AN10126" s="54" t="s">
        <v>184</v>
      </c>
      <c r="AO10126" s="54">
        <v>26</v>
      </c>
      <c r="AP10126" s="54">
        <v>20</v>
      </c>
      <c r="AQ10126" s="54">
        <v>0</v>
      </c>
      <c r="AR10126" s="55">
        <v>28500</v>
      </c>
      <c r="AS10126" s="78">
        <f t="shared" si="162"/>
        <v>0</v>
      </c>
    </row>
    <row r="10127" spans="39:45">
      <c r="AM10127" s="55">
        <v>2020</v>
      </c>
      <c r="AN10127" s="55" t="s">
        <v>184</v>
      </c>
      <c r="AO10127" s="55">
        <v>26</v>
      </c>
      <c r="AP10127" s="55">
        <v>21</v>
      </c>
      <c r="AQ10127" s="55">
        <v>0</v>
      </c>
      <c r="AR10127" s="55">
        <v>28500</v>
      </c>
      <c r="AS10127" s="78">
        <f t="shared" si="162"/>
        <v>0</v>
      </c>
    </row>
    <row r="10128" spans="39:45">
      <c r="AM10128" s="54">
        <v>2020</v>
      </c>
      <c r="AN10128" s="54" t="s">
        <v>184</v>
      </c>
      <c r="AO10128" s="54">
        <v>26</v>
      </c>
      <c r="AP10128" s="54">
        <v>22</v>
      </c>
      <c r="AQ10128" s="54">
        <v>0</v>
      </c>
      <c r="AR10128" s="55">
        <v>28500</v>
      </c>
      <c r="AS10128" s="78">
        <f t="shared" si="162"/>
        <v>0</v>
      </c>
    </row>
    <row r="10129" spans="39:45">
      <c r="AM10129" s="55">
        <v>2020</v>
      </c>
      <c r="AN10129" s="55" t="s">
        <v>184</v>
      </c>
      <c r="AO10129" s="55">
        <v>26</v>
      </c>
      <c r="AP10129" s="55">
        <v>23</v>
      </c>
      <c r="AQ10129" s="55">
        <v>0</v>
      </c>
      <c r="AR10129" s="55">
        <v>28500</v>
      </c>
      <c r="AS10129" s="78">
        <f t="shared" si="162"/>
        <v>0</v>
      </c>
    </row>
    <row r="10130" spans="39:45">
      <c r="AM10130" s="54">
        <v>2020</v>
      </c>
      <c r="AN10130" s="54" t="s">
        <v>184</v>
      </c>
      <c r="AO10130" s="54">
        <v>27</v>
      </c>
      <c r="AP10130" s="54">
        <v>24</v>
      </c>
      <c r="AQ10130" s="54">
        <v>0</v>
      </c>
      <c r="AR10130" s="55">
        <v>28500</v>
      </c>
      <c r="AS10130" s="78">
        <f t="shared" si="162"/>
        <v>0</v>
      </c>
    </row>
    <row r="10131" spans="39:45">
      <c r="AM10131" s="55">
        <v>2020</v>
      </c>
      <c r="AN10131" s="55" t="s">
        <v>184</v>
      </c>
      <c r="AO10131" s="55">
        <v>27</v>
      </c>
      <c r="AP10131" s="55">
        <v>1</v>
      </c>
      <c r="AQ10131" s="55">
        <v>0</v>
      </c>
      <c r="AR10131" s="55">
        <v>28500</v>
      </c>
      <c r="AS10131" s="78">
        <f t="shared" si="162"/>
        <v>0</v>
      </c>
    </row>
    <row r="10132" spans="39:45">
      <c r="AM10132" s="54">
        <v>2020</v>
      </c>
      <c r="AN10132" s="54" t="s">
        <v>184</v>
      </c>
      <c r="AO10132" s="54">
        <v>27</v>
      </c>
      <c r="AP10132" s="54">
        <v>2</v>
      </c>
      <c r="AQ10132" s="54">
        <v>0</v>
      </c>
      <c r="AR10132" s="55">
        <v>28500</v>
      </c>
      <c r="AS10132" s="78">
        <f t="shared" si="162"/>
        <v>0</v>
      </c>
    </row>
    <row r="10133" spans="39:45">
      <c r="AM10133" s="55">
        <v>2020</v>
      </c>
      <c r="AN10133" s="55" t="s">
        <v>184</v>
      </c>
      <c r="AO10133" s="55">
        <v>27</v>
      </c>
      <c r="AP10133" s="55">
        <v>3</v>
      </c>
      <c r="AQ10133" s="55">
        <v>0</v>
      </c>
      <c r="AR10133" s="55">
        <v>28500</v>
      </c>
      <c r="AS10133" s="78">
        <f t="shared" si="162"/>
        <v>0</v>
      </c>
    </row>
    <row r="10134" spans="39:45">
      <c r="AM10134" s="54">
        <v>2020</v>
      </c>
      <c r="AN10134" s="54" t="s">
        <v>184</v>
      </c>
      <c r="AO10134" s="54">
        <v>27</v>
      </c>
      <c r="AP10134" s="54">
        <v>4</v>
      </c>
      <c r="AQ10134" s="54">
        <v>0</v>
      </c>
      <c r="AR10134" s="55">
        <v>28500</v>
      </c>
      <c r="AS10134" s="78">
        <f t="shared" si="162"/>
        <v>0</v>
      </c>
    </row>
    <row r="10135" spans="39:45">
      <c r="AM10135" s="55">
        <v>2020</v>
      </c>
      <c r="AN10135" s="55" t="s">
        <v>184</v>
      </c>
      <c r="AO10135" s="55">
        <v>27</v>
      </c>
      <c r="AP10135" s="55">
        <v>5</v>
      </c>
      <c r="AQ10135" s="55">
        <v>0</v>
      </c>
      <c r="AR10135" s="55">
        <v>28500</v>
      </c>
      <c r="AS10135" s="78">
        <f t="shared" si="162"/>
        <v>0</v>
      </c>
    </row>
    <row r="10136" spans="39:45">
      <c r="AM10136" s="54">
        <v>2020</v>
      </c>
      <c r="AN10136" s="54" t="s">
        <v>184</v>
      </c>
      <c r="AO10136" s="54">
        <v>27</v>
      </c>
      <c r="AP10136" s="54">
        <v>6</v>
      </c>
      <c r="AQ10136" s="54">
        <v>0</v>
      </c>
      <c r="AR10136" s="55">
        <v>28500</v>
      </c>
      <c r="AS10136" s="78">
        <f t="shared" si="162"/>
        <v>0</v>
      </c>
    </row>
    <row r="10137" spans="39:45">
      <c r="AM10137" s="55">
        <v>2020</v>
      </c>
      <c r="AN10137" s="55" t="s">
        <v>184</v>
      </c>
      <c r="AO10137" s="55">
        <v>27</v>
      </c>
      <c r="AP10137" s="55">
        <v>7</v>
      </c>
      <c r="AQ10137" s="55">
        <v>0</v>
      </c>
      <c r="AR10137" s="55">
        <v>28500</v>
      </c>
      <c r="AS10137" s="78">
        <f t="shared" si="162"/>
        <v>0</v>
      </c>
    </row>
    <row r="10138" spans="39:45">
      <c r="AM10138" s="54">
        <v>2020</v>
      </c>
      <c r="AN10138" s="54" t="s">
        <v>184</v>
      </c>
      <c r="AO10138" s="54">
        <v>27</v>
      </c>
      <c r="AP10138" s="54">
        <v>8</v>
      </c>
      <c r="AQ10138" s="54">
        <v>4070</v>
      </c>
      <c r="AR10138" s="55">
        <v>28500</v>
      </c>
      <c r="AS10138" s="78">
        <f t="shared" si="162"/>
        <v>0.14280701754385966</v>
      </c>
    </row>
    <row r="10139" spans="39:45">
      <c r="AM10139" s="55">
        <v>2020</v>
      </c>
      <c r="AN10139" s="55" t="s">
        <v>184</v>
      </c>
      <c r="AO10139" s="55">
        <v>27</v>
      </c>
      <c r="AP10139" s="55">
        <v>9</v>
      </c>
      <c r="AQ10139" s="55">
        <v>2799</v>
      </c>
      <c r="AR10139" s="55">
        <v>28500</v>
      </c>
      <c r="AS10139" s="78">
        <f t="shared" si="162"/>
        <v>9.821052631578947E-2</v>
      </c>
    </row>
    <row r="10140" spans="39:45">
      <c r="AM10140" s="54">
        <v>2020</v>
      </c>
      <c r="AN10140" s="54" t="s">
        <v>184</v>
      </c>
      <c r="AO10140" s="54">
        <v>27</v>
      </c>
      <c r="AP10140" s="54">
        <v>10</v>
      </c>
      <c r="AQ10140" s="54">
        <v>5720</v>
      </c>
      <c r="AR10140" s="55">
        <v>28500</v>
      </c>
      <c r="AS10140" s="78">
        <f t="shared" si="162"/>
        <v>0.20070175438596491</v>
      </c>
    </row>
    <row r="10141" spans="39:45">
      <c r="AM10141" s="55">
        <v>2020</v>
      </c>
      <c r="AN10141" s="55" t="s">
        <v>184</v>
      </c>
      <c r="AO10141" s="55">
        <v>27</v>
      </c>
      <c r="AP10141" s="55">
        <v>11</v>
      </c>
      <c r="AQ10141" s="55">
        <v>10385.5</v>
      </c>
      <c r="AR10141" s="55">
        <v>28500</v>
      </c>
      <c r="AS10141" s="78">
        <f t="shared" si="162"/>
        <v>0.36440350877192984</v>
      </c>
    </row>
    <row r="10142" spans="39:45">
      <c r="AM10142" s="54">
        <v>2020</v>
      </c>
      <c r="AN10142" s="54" t="s">
        <v>184</v>
      </c>
      <c r="AO10142" s="54">
        <v>27</v>
      </c>
      <c r="AP10142" s="54">
        <v>12</v>
      </c>
      <c r="AQ10142" s="54">
        <v>1290</v>
      </c>
      <c r="AR10142" s="55">
        <v>28500</v>
      </c>
      <c r="AS10142" s="78">
        <f t="shared" si="162"/>
        <v>4.5263157894736845E-2</v>
      </c>
    </row>
    <row r="10143" spans="39:45">
      <c r="AM10143" s="55">
        <v>2020</v>
      </c>
      <c r="AN10143" s="55" t="s">
        <v>184</v>
      </c>
      <c r="AO10143" s="55">
        <v>27</v>
      </c>
      <c r="AP10143" s="55">
        <v>13</v>
      </c>
      <c r="AQ10143" s="55">
        <v>10378</v>
      </c>
      <c r="AR10143" s="55">
        <v>28500</v>
      </c>
      <c r="AS10143" s="78">
        <f t="shared" si="162"/>
        <v>0.36414035087719299</v>
      </c>
    </row>
    <row r="10144" spans="39:45">
      <c r="AM10144" s="54">
        <v>2020</v>
      </c>
      <c r="AN10144" s="54" t="s">
        <v>184</v>
      </c>
      <c r="AO10144" s="54">
        <v>27</v>
      </c>
      <c r="AP10144" s="54">
        <v>14</v>
      </c>
      <c r="AQ10144" s="54">
        <v>3342.5</v>
      </c>
      <c r="AR10144" s="55">
        <v>28500</v>
      </c>
      <c r="AS10144" s="78">
        <f t="shared" si="162"/>
        <v>0.11728070175438597</v>
      </c>
    </row>
    <row r="10145" spans="39:45">
      <c r="AM10145" s="55">
        <v>2020</v>
      </c>
      <c r="AN10145" s="55" t="s">
        <v>184</v>
      </c>
      <c r="AO10145" s="55">
        <v>27</v>
      </c>
      <c r="AP10145" s="55">
        <v>15</v>
      </c>
      <c r="AQ10145" s="55">
        <v>16259.5</v>
      </c>
      <c r="AR10145" s="55">
        <v>28500</v>
      </c>
      <c r="AS10145" s="78">
        <f t="shared" si="162"/>
        <v>0.57050877192982452</v>
      </c>
    </row>
    <row r="10146" spans="39:45">
      <c r="AM10146" s="54">
        <v>2020</v>
      </c>
      <c r="AN10146" s="54" t="s">
        <v>184</v>
      </c>
      <c r="AO10146" s="54">
        <v>27</v>
      </c>
      <c r="AP10146" s="54">
        <v>16</v>
      </c>
      <c r="AQ10146" s="54">
        <v>13762.5</v>
      </c>
      <c r="AR10146" s="55">
        <v>28500</v>
      </c>
      <c r="AS10146" s="78">
        <f t="shared" si="162"/>
        <v>0.48289473684210527</v>
      </c>
    </row>
    <row r="10147" spans="39:45">
      <c r="AM10147" s="55">
        <v>2020</v>
      </c>
      <c r="AN10147" s="55" t="s">
        <v>184</v>
      </c>
      <c r="AO10147" s="55">
        <v>27</v>
      </c>
      <c r="AP10147" s="55">
        <v>17</v>
      </c>
      <c r="AQ10147" s="55">
        <v>205</v>
      </c>
      <c r="AR10147" s="55">
        <v>28500</v>
      </c>
      <c r="AS10147" s="78">
        <f t="shared" si="162"/>
        <v>7.1929824561403509E-3</v>
      </c>
    </row>
    <row r="10148" spans="39:45">
      <c r="AM10148" s="54">
        <v>2020</v>
      </c>
      <c r="AN10148" s="54" t="s">
        <v>184</v>
      </c>
      <c r="AO10148" s="54">
        <v>27</v>
      </c>
      <c r="AP10148" s="54">
        <v>18</v>
      </c>
      <c r="AQ10148" s="54">
        <v>0</v>
      </c>
      <c r="AR10148" s="55">
        <v>28500</v>
      </c>
      <c r="AS10148" s="78">
        <f t="shared" si="162"/>
        <v>0</v>
      </c>
    </row>
    <row r="10149" spans="39:45">
      <c r="AM10149" s="55">
        <v>2020</v>
      </c>
      <c r="AN10149" s="55" t="s">
        <v>184</v>
      </c>
      <c r="AO10149" s="55">
        <v>27</v>
      </c>
      <c r="AP10149" s="55">
        <v>19</v>
      </c>
      <c r="AQ10149" s="55">
        <v>0</v>
      </c>
      <c r="AR10149" s="55">
        <v>28500</v>
      </c>
      <c r="AS10149" s="78">
        <f t="shared" si="162"/>
        <v>0</v>
      </c>
    </row>
    <row r="10150" spans="39:45">
      <c r="AM10150" s="54">
        <v>2020</v>
      </c>
      <c r="AN10150" s="54" t="s">
        <v>184</v>
      </c>
      <c r="AO10150" s="54">
        <v>27</v>
      </c>
      <c r="AP10150" s="54">
        <v>20</v>
      </c>
      <c r="AQ10150" s="54">
        <v>0</v>
      </c>
      <c r="AR10150" s="55">
        <v>28500</v>
      </c>
      <c r="AS10150" s="78">
        <f t="shared" si="162"/>
        <v>0</v>
      </c>
    </row>
    <row r="10151" spans="39:45">
      <c r="AM10151" s="55">
        <v>2020</v>
      </c>
      <c r="AN10151" s="55" t="s">
        <v>184</v>
      </c>
      <c r="AO10151" s="55">
        <v>27</v>
      </c>
      <c r="AP10151" s="55">
        <v>21</v>
      </c>
      <c r="AQ10151" s="55">
        <v>0</v>
      </c>
      <c r="AR10151" s="55">
        <v>28500</v>
      </c>
      <c r="AS10151" s="78">
        <f t="shared" si="162"/>
        <v>0</v>
      </c>
    </row>
    <row r="10152" spans="39:45">
      <c r="AM10152" s="54">
        <v>2020</v>
      </c>
      <c r="AN10152" s="54" t="s">
        <v>184</v>
      </c>
      <c r="AO10152" s="54">
        <v>27</v>
      </c>
      <c r="AP10152" s="54">
        <v>22</v>
      </c>
      <c r="AQ10152" s="54">
        <v>0</v>
      </c>
      <c r="AR10152" s="55">
        <v>28500</v>
      </c>
      <c r="AS10152" s="78">
        <f t="shared" si="162"/>
        <v>0</v>
      </c>
    </row>
    <row r="10153" spans="39:45">
      <c r="AM10153" s="55">
        <v>2020</v>
      </c>
      <c r="AN10153" s="55" t="s">
        <v>184</v>
      </c>
      <c r="AO10153" s="55">
        <v>27</v>
      </c>
      <c r="AP10153" s="55">
        <v>23</v>
      </c>
      <c r="AQ10153" s="55">
        <v>0</v>
      </c>
      <c r="AR10153" s="55">
        <v>28500</v>
      </c>
      <c r="AS10153" s="78">
        <f t="shared" si="162"/>
        <v>0</v>
      </c>
    </row>
    <row r="10154" spans="39:45">
      <c r="AM10154" s="54">
        <v>2020</v>
      </c>
      <c r="AN10154" s="54" t="s">
        <v>184</v>
      </c>
      <c r="AO10154" s="54">
        <v>28</v>
      </c>
      <c r="AP10154" s="54">
        <v>24</v>
      </c>
      <c r="AQ10154" s="54">
        <v>0</v>
      </c>
      <c r="AR10154" s="55">
        <v>28500</v>
      </c>
      <c r="AS10154" s="78">
        <f t="shared" si="162"/>
        <v>0</v>
      </c>
    </row>
    <row r="10155" spans="39:45">
      <c r="AM10155" s="55">
        <v>2020</v>
      </c>
      <c r="AN10155" s="55" t="s">
        <v>184</v>
      </c>
      <c r="AO10155" s="55">
        <v>28</v>
      </c>
      <c r="AP10155" s="55">
        <v>1</v>
      </c>
      <c r="AQ10155" s="55">
        <v>0</v>
      </c>
      <c r="AR10155" s="55">
        <v>28500</v>
      </c>
      <c r="AS10155" s="78">
        <f t="shared" si="162"/>
        <v>0</v>
      </c>
    </row>
    <row r="10156" spans="39:45">
      <c r="AM10156" s="54">
        <v>2020</v>
      </c>
      <c r="AN10156" s="54" t="s">
        <v>184</v>
      </c>
      <c r="AO10156" s="54">
        <v>28</v>
      </c>
      <c r="AP10156" s="54">
        <v>2</v>
      </c>
      <c r="AQ10156" s="54">
        <v>0</v>
      </c>
      <c r="AR10156" s="55">
        <v>28500</v>
      </c>
      <c r="AS10156" s="78">
        <f t="shared" si="162"/>
        <v>0</v>
      </c>
    </row>
    <row r="10157" spans="39:45">
      <c r="AM10157" s="55">
        <v>2020</v>
      </c>
      <c r="AN10157" s="55" t="s">
        <v>184</v>
      </c>
      <c r="AO10157" s="55">
        <v>28</v>
      </c>
      <c r="AP10157" s="55">
        <v>3</v>
      </c>
      <c r="AQ10157" s="55">
        <v>0</v>
      </c>
      <c r="AR10157" s="55">
        <v>28500</v>
      </c>
      <c r="AS10157" s="78">
        <f t="shared" si="162"/>
        <v>0</v>
      </c>
    </row>
    <row r="10158" spans="39:45">
      <c r="AM10158" s="54">
        <v>2020</v>
      </c>
      <c r="AN10158" s="54" t="s">
        <v>184</v>
      </c>
      <c r="AO10158" s="54">
        <v>28</v>
      </c>
      <c r="AP10158" s="54">
        <v>4</v>
      </c>
      <c r="AQ10158" s="54">
        <v>0</v>
      </c>
      <c r="AR10158" s="55">
        <v>28500</v>
      </c>
      <c r="AS10158" s="78">
        <f t="shared" si="162"/>
        <v>0</v>
      </c>
    </row>
    <row r="10159" spans="39:45">
      <c r="AM10159" s="55">
        <v>2020</v>
      </c>
      <c r="AN10159" s="55" t="s">
        <v>184</v>
      </c>
      <c r="AO10159" s="55">
        <v>28</v>
      </c>
      <c r="AP10159" s="55">
        <v>5</v>
      </c>
      <c r="AQ10159" s="55">
        <v>0</v>
      </c>
      <c r="AR10159" s="55">
        <v>28500</v>
      </c>
      <c r="AS10159" s="78">
        <f t="shared" si="162"/>
        <v>0</v>
      </c>
    </row>
    <row r="10160" spans="39:45">
      <c r="AM10160" s="54">
        <v>2020</v>
      </c>
      <c r="AN10160" s="54" t="s">
        <v>184</v>
      </c>
      <c r="AO10160" s="54">
        <v>28</v>
      </c>
      <c r="AP10160" s="54">
        <v>6</v>
      </c>
      <c r="AQ10160" s="54">
        <v>0</v>
      </c>
      <c r="AR10160" s="55">
        <v>28500</v>
      </c>
      <c r="AS10160" s="78">
        <f t="shared" si="162"/>
        <v>0</v>
      </c>
    </row>
    <row r="10161" spans="39:45">
      <c r="AM10161" s="55">
        <v>2020</v>
      </c>
      <c r="AN10161" s="55" t="s">
        <v>184</v>
      </c>
      <c r="AO10161" s="55">
        <v>28</v>
      </c>
      <c r="AP10161" s="55">
        <v>7</v>
      </c>
      <c r="AQ10161" s="55">
        <v>0</v>
      </c>
      <c r="AR10161" s="55">
        <v>28500</v>
      </c>
      <c r="AS10161" s="78">
        <f t="shared" si="162"/>
        <v>0</v>
      </c>
    </row>
    <row r="10162" spans="39:45">
      <c r="AM10162" s="54">
        <v>2020</v>
      </c>
      <c r="AN10162" s="54" t="s">
        <v>184</v>
      </c>
      <c r="AO10162" s="54">
        <v>28</v>
      </c>
      <c r="AP10162" s="54">
        <v>8</v>
      </c>
      <c r="AQ10162" s="54">
        <v>2103.5</v>
      </c>
      <c r="AR10162" s="55">
        <v>28500</v>
      </c>
      <c r="AS10162" s="78">
        <f t="shared" si="162"/>
        <v>7.3807017543859654E-2</v>
      </c>
    </row>
    <row r="10163" spans="39:45">
      <c r="AM10163" s="55">
        <v>2020</v>
      </c>
      <c r="AN10163" s="55" t="s">
        <v>184</v>
      </c>
      <c r="AO10163" s="55">
        <v>28</v>
      </c>
      <c r="AP10163" s="55">
        <v>9</v>
      </c>
      <c r="AQ10163" s="55">
        <v>1795</v>
      </c>
      <c r="AR10163" s="55">
        <v>28500</v>
      </c>
      <c r="AS10163" s="78">
        <f t="shared" si="162"/>
        <v>6.2982456140350876E-2</v>
      </c>
    </row>
    <row r="10164" spans="39:45">
      <c r="AM10164" s="54">
        <v>2020</v>
      </c>
      <c r="AN10164" s="54" t="s">
        <v>184</v>
      </c>
      <c r="AO10164" s="54">
        <v>28</v>
      </c>
      <c r="AP10164" s="54">
        <v>10</v>
      </c>
      <c r="AQ10164" s="54">
        <v>2407.5</v>
      </c>
      <c r="AR10164" s="55">
        <v>28500</v>
      </c>
      <c r="AS10164" s="78">
        <f t="shared" si="162"/>
        <v>8.4473684210526312E-2</v>
      </c>
    </row>
    <row r="10165" spans="39:45">
      <c r="AM10165" s="55">
        <v>2020</v>
      </c>
      <c r="AN10165" s="55" t="s">
        <v>184</v>
      </c>
      <c r="AO10165" s="55">
        <v>28</v>
      </c>
      <c r="AP10165" s="55">
        <v>11</v>
      </c>
      <c r="AQ10165" s="55">
        <v>2602.5</v>
      </c>
      <c r="AR10165" s="55">
        <v>28500</v>
      </c>
      <c r="AS10165" s="78">
        <f t="shared" si="162"/>
        <v>9.1315789473684211E-2</v>
      </c>
    </row>
    <row r="10166" spans="39:45">
      <c r="AM10166" s="54">
        <v>2020</v>
      </c>
      <c r="AN10166" s="54" t="s">
        <v>184</v>
      </c>
      <c r="AO10166" s="54">
        <v>28</v>
      </c>
      <c r="AP10166" s="54">
        <v>12</v>
      </c>
      <c r="AQ10166" s="54">
        <v>5403.5</v>
      </c>
      <c r="AR10166" s="55">
        <v>28500</v>
      </c>
      <c r="AS10166" s="78">
        <f t="shared" si="162"/>
        <v>0.18959649122807018</v>
      </c>
    </row>
    <row r="10167" spans="39:45">
      <c r="AM10167" s="55">
        <v>2020</v>
      </c>
      <c r="AN10167" s="55" t="s">
        <v>184</v>
      </c>
      <c r="AO10167" s="55">
        <v>28</v>
      </c>
      <c r="AP10167" s="55">
        <v>13</v>
      </c>
      <c r="AQ10167" s="55">
        <v>5435.5</v>
      </c>
      <c r="AR10167" s="55">
        <v>28500</v>
      </c>
      <c r="AS10167" s="78">
        <f t="shared" si="162"/>
        <v>0.19071929824561404</v>
      </c>
    </row>
    <row r="10168" spans="39:45">
      <c r="AM10168" s="54">
        <v>2020</v>
      </c>
      <c r="AN10168" s="54" t="s">
        <v>184</v>
      </c>
      <c r="AO10168" s="54">
        <v>28</v>
      </c>
      <c r="AP10168" s="54">
        <v>14</v>
      </c>
      <c r="AQ10168" s="54">
        <v>2084.5</v>
      </c>
      <c r="AR10168" s="55">
        <v>28500</v>
      </c>
      <c r="AS10168" s="78">
        <f t="shared" si="162"/>
        <v>7.3140350877192978E-2</v>
      </c>
    </row>
    <row r="10169" spans="39:45">
      <c r="AM10169" s="55">
        <v>2020</v>
      </c>
      <c r="AN10169" s="55" t="s">
        <v>184</v>
      </c>
      <c r="AO10169" s="55">
        <v>28</v>
      </c>
      <c r="AP10169" s="55">
        <v>15</v>
      </c>
      <c r="AQ10169" s="55">
        <v>1296.5</v>
      </c>
      <c r="AR10169" s="55">
        <v>28500</v>
      </c>
      <c r="AS10169" s="78">
        <f t="shared" si="162"/>
        <v>4.5491228070175437E-2</v>
      </c>
    </row>
    <row r="10170" spans="39:45">
      <c r="AM10170" s="54">
        <v>2020</v>
      </c>
      <c r="AN10170" s="54" t="s">
        <v>184</v>
      </c>
      <c r="AO10170" s="54">
        <v>28</v>
      </c>
      <c r="AP10170" s="54">
        <v>16</v>
      </c>
      <c r="AQ10170" s="54">
        <v>1504.5</v>
      </c>
      <c r="AR10170" s="55">
        <v>28500</v>
      </c>
      <c r="AS10170" s="78">
        <f t="shared" si="162"/>
        <v>5.2789473684210525E-2</v>
      </c>
    </row>
    <row r="10171" spans="39:45">
      <c r="AM10171" s="55">
        <v>2020</v>
      </c>
      <c r="AN10171" s="55" t="s">
        <v>184</v>
      </c>
      <c r="AO10171" s="55">
        <v>28</v>
      </c>
      <c r="AP10171" s="55">
        <v>17</v>
      </c>
      <c r="AQ10171" s="55">
        <v>13.5</v>
      </c>
      <c r="AR10171" s="55">
        <v>28500</v>
      </c>
      <c r="AS10171" s="78">
        <f t="shared" si="162"/>
        <v>4.7368421052631577E-4</v>
      </c>
    </row>
    <row r="10172" spans="39:45">
      <c r="AM10172" s="54">
        <v>2020</v>
      </c>
      <c r="AN10172" s="54" t="s">
        <v>184</v>
      </c>
      <c r="AO10172" s="54">
        <v>28</v>
      </c>
      <c r="AP10172" s="54">
        <v>18</v>
      </c>
      <c r="AQ10172" s="54">
        <v>0</v>
      </c>
      <c r="AR10172" s="55">
        <v>28500</v>
      </c>
      <c r="AS10172" s="78">
        <f t="shared" si="162"/>
        <v>0</v>
      </c>
    </row>
    <row r="10173" spans="39:45">
      <c r="AM10173" s="55">
        <v>2020</v>
      </c>
      <c r="AN10173" s="55" t="s">
        <v>184</v>
      </c>
      <c r="AO10173" s="55">
        <v>28</v>
      </c>
      <c r="AP10173" s="55">
        <v>19</v>
      </c>
      <c r="AQ10173" s="55">
        <v>0</v>
      </c>
      <c r="AR10173" s="55">
        <v>28500</v>
      </c>
      <c r="AS10173" s="78">
        <f t="shared" si="162"/>
        <v>0</v>
      </c>
    </row>
    <row r="10174" spans="39:45">
      <c r="AM10174" s="54">
        <v>2020</v>
      </c>
      <c r="AN10174" s="54" t="s">
        <v>184</v>
      </c>
      <c r="AO10174" s="54">
        <v>28</v>
      </c>
      <c r="AP10174" s="54">
        <v>20</v>
      </c>
      <c r="AQ10174" s="54">
        <v>0</v>
      </c>
      <c r="AR10174" s="55">
        <v>28500</v>
      </c>
      <c r="AS10174" s="78">
        <f t="shared" si="162"/>
        <v>0</v>
      </c>
    </row>
    <row r="10175" spans="39:45">
      <c r="AM10175" s="55">
        <v>2020</v>
      </c>
      <c r="AN10175" s="55" t="s">
        <v>184</v>
      </c>
      <c r="AO10175" s="55">
        <v>28</v>
      </c>
      <c r="AP10175" s="55">
        <v>21</v>
      </c>
      <c r="AQ10175" s="55">
        <v>0</v>
      </c>
      <c r="AR10175" s="55">
        <v>28500</v>
      </c>
      <c r="AS10175" s="78">
        <f t="shared" si="162"/>
        <v>0</v>
      </c>
    </row>
    <row r="10176" spans="39:45">
      <c r="AM10176" s="54">
        <v>2020</v>
      </c>
      <c r="AN10176" s="54" t="s">
        <v>184</v>
      </c>
      <c r="AO10176" s="54">
        <v>28</v>
      </c>
      <c r="AP10176" s="54">
        <v>22</v>
      </c>
      <c r="AQ10176" s="54">
        <v>0</v>
      </c>
      <c r="AR10176" s="55">
        <v>28500</v>
      </c>
      <c r="AS10176" s="78">
        <f t="shared" si="162"/>
        <v>0</v>
      </c>
    </row>
    <row r="10177" spans="39:45">
      <c r="AM10177" s="55">
        <v>2020</v>
      </c>
      <c r="AN10177" s="55" t="s">
        <v>184</v>
      </c>
      <c r="AO10177" s="55">
        <v>28</v>
      </c>
      <c r="AP10177" s="55">
        <v>23</v>
      </c>
      <c r="AQ10177" s="55">
        <v>0</v>
      </c>
      <c r="AR10177" s="55">
        <v>28500</v>
      </c>
      <c r="AS10177" s="78">
        <f t="shared" si="162"/>
        <v>0</v>
      </c>
    </row>
    <row r="10178" spans="39:45">
      <c r="AM10178" s="54">
        <v>2020</v>
      </c>
      <c r="AN10178" s="54" t="s">
        <v>184</v>
      </c>
      <c r="AO10178" s="54">
        <v>29</v>
      </c>
      <c r="AP10178" s="54">
        <v>24</v>
      </c>
      <c r="AQ10178" s="54">
        <v>0</v>
      </c>
      <c r="AR10178" s="55">
        <v>28500</v>
      </c>
      <c r="AS10178" s="78">
        <f t="shared" ref="AS10178:AS10241" si="163">AQ10178/AR10178</f>
        <v>0</v>
      </c>
    </row>
    <row r="10179" spans="39:45">
      <c r="AM10179" s="55">
        <v>2020</v>
      </c>
      <c r="AN10179" s="55" t="s">
        <v>184</v>
      </c>
      <c r="AO10179" s="55">
        <v>29</v>
      </c>
      <c r="AP10179" s="55">
        <v>1</v>
      </c>
      <c r="AQ10179" s="55">
        <v>0</v>
      </c>
      <c r="AR10179" s="55">
        <v>28500</v>
      </c>
      <c r="AS10179" s="78">
        <f t="shared" si="163"/>
        <v>0</v>
      </c>
    </row>
    <row r="10180" spans="39:45">
      <c r="AM10180" s="54">
        <v>2020</v>
      </c>
      <c r="AN10180" s="54" t="s">
        <v>184</v>
      </c>
      <c r="AO10180" s="54">
        <v>29</v>
      </c>
      <c r="AP10180" s="54">
        <v>2</v>
      </c>
      <c r="AQ10180" s="54">
        <v>0</v>
      </c>
      <c r="AR10180" s="55">
        <v>28500</v>
      </c>
      <c r="AS10180" s="78">
        <f t="shared" si="163"/>
        <v>0</v>
      </c>
    </row>
    <row r="10181" spans="39:45">
      <c r="AM10181" s="55">
        <v>2020</v>
      </c>
      <c r="AN10181" s="55" t="s">
        <v>184</v>
      </c>
      <c r="AO10181" s="55">
        <v>29</v>
      </c>
      <c r="AP10181" s="55">
        <v>3</v>
      </c>
      <c r="AQ10181" s="55">
        <v>0</v>
      </c>
      <c r="AR10181" s="55">
        <v>28500</v>
      </c>
      <c r="AS10181" s="78">
        <f t="shared" si="163"/>
        <v>0</v>
      </c>
    </row>
    <row r="10182" spans="39:45">
      <c r="AM10182" s="54">
        <v>2020</v>
      </c>
      <c r="AN10182" s="54" t="s">
        <v>184</v>
      </c>
      <c r="AO10182" s="54">
        <v>29</v>
      </c>
      <c r="AP10182" s="54">
        <v>4</v>
      </c>
      <c r="AQ10182" s="54">
        <v>0</v>
      </c>
      <c r="AR10182" s="55">
        <v>28500</v>
      </c>
      <c r="AS10182" s="78">
        <f t="shared" si="163"/>
        <v>0</v>
      </c>
    </row>
    <row r="10183" spans="39:45">
      <c r="AM10183" s="55">
        <v>2020</v>
      </c>
      <c r="AN10183" s="55" t="s">
        <v>184</v>
      </c>
      <c r="AO10183" s="55">
        <v>29</v>
      </c>
      <c r="AP10183" s="55">
        <v>5</v>
      </c>
      <c r="AQ10183" s="55">
        <v>0</v>
      </c>
      <c r="AR10183" s="55">
        <v>28500</v>
      </c>
      <c r="AS10183" s="78">
        <f t="shared" si="163"/>
        <v>0</v>
      </c>
    </row>
    <row r="10184" spans="39:45">
      <c r="AM10184" s="54">
        <v>2020</v>
      </c>
      <c r="AN10184" s="54" t="s">
        <v>184</v>
      </c>
      <c r="AO10184" s="54">
        <v>29</v>
      </c>
      <c r="AP10184" s="54">
        <v>6</v>
      </c>
      <c r="AQ10184" s="54">
        <v>0</v>
      </c>
      <c r="AR10184" s="55">
        <v>28500</v>
      </c>
      <c r="AS10184" s="78">
        <f t="shared" si="163"/>
        <v>0</v>
      </c>
    </row>
    <row r="10185" spans="39:45">
      <c r="AM10185" s="55">
        <v>2020</v>
      </c>
      <c r="AN10185" s="55" t="s">
        <v>184</v>
      </c>
      <c r="AO10185" s="55">
        <v>29</v>
      </c>
      <c r="AP10185" s="55">
        <v>7</v>
      </c>
      <c r="AQ10185" s="55">
        <v>0</v>
      </c>
      <c r="AR10185" s="55">
        <v>28500</v>
      </c>
      <c r="AS10185" s="78">
        <f t="shared" si="163"/>
        <v>0</v>
      </c>
    </row>
    <row r="10186" spans="39:45">
      <c r="AM10186" s="54">
        <v>2020</v>
      </c>
      <c r="AN10186" s="54" t="s">
        <v>184</v>
      </c>
      <c r="AO10186" s="54">
        <v>29</v>
      </c>
      <c r="AP10186" s="54">
        <v>8</v>
      </c>
      <c r="AQ10186" s="54">
        <v>1013</v>
      </c>
      <c r="AR10186" s="55">
        <v>28500</v>
      </c>
      <c r="AS10186" s="78">
        <f t="shared" si="163"/>
        <v>3.5543859649122808E-2</v>
      </c>
    </row>
    <row r="10187" spans="39:45">
      <c r="AM10187" s="55">
        <v>2020</v>
      </c>
      <c r="AN10187" s="55" t="s">
        <v>184</v>
      </c>
      <c r="AO10187" s="55">
        <v>29</v>
      </c>
      <c r="AP10187" s="55">
        <v>9</v>
      </c>
      <c r="AQ10187" s="55">
        <v>2119.5</v>
      </c>
      <c r="AR10187" s="55">
        <v>28500</v>
      </c>
      <c r="AS10187" s="78">
        <f t="shared" si="163"/>
        <v>7.4368421052631584E-2</v>
      </c>
    </row>
    <row r="10188" spans="39:45">
      <c r="AM10188" s="54">
        <v>2020</v>
      </c>
      <c r="AN10188" s="54" t="s">
        <v>184</v>
      </c>
      <c r="AO10188" s="54">
        <v>29</v>
      </c>
      <c r="AP10188" s="54">
        <v>10</v>
      </c>
      <c r="AQ10188" s="54">
        <v>6919</v>
      </c>
      <c r="AR10188" s="55">
        <v>28500</v>
      </c>
      <c r="AS10188" s="78">
        <f t="shared" si="163"/>
        <v>0.24277192982456142</v>
      </c>
    </row>
    <row r="10189" spans="39:45">
      <c r="AM10189" s="55">
        <v>2020</v>
      </c>
      <c r="AN10189" s="55" t="s">
        <v>184</v>
      </c>
      <c r="AO10189" s="55">
        <v>29</v>
      </c>
      <c r="AP10189" s="55">
        <v>11</v>
      </c>
      <c r="AQ10189" s="55">
        <v>2753.5</v>
      </c>
      <c r="AR10189" s="55">
        <v>28500</v>
      </c>
      <c r="AS10189" s="78">
        <f t="shared" si="163"/>
        <v>9.6614035087719305E-2</v>
      </c>
    </row>
    <row r="10190" spans="39:45">
      <c r="AM10190" s="54">
        <v>2020</v>
      </c>
      <c r="AN10190" s="54" t="s">
        <v>184</v>
      </c>
      <c r="AO10190" s="54">
        <v>29</v>
      </c>
      <c r="AP10190" s="54">
        <v>12</v>
      </c>
      <c r="AQ10190" s="54">
        <v>40030.5</v>
      </c>
      <c r="AR10190" s="55">
        <v>28500</v>
      </c>
      <c r="AS10190" s="78">
        <f t="shared" si="163"/>
        <v>1.4045789473684211</v>
      </c>
    </row>
    <row r="10191" spans="39:45">
      <c r="AM10191" s="55">
        <v>2020</v>
      </c>
      <c r="AN10191" s="55" t="s">
        <v>184</v>
      </c>
      <c r="AO10191" s="55">
        <v>29</v>
      </c>
      <c r="AP10191" s="55">
        <v>13</v>
      </c>
      <c r="AQ10191" s="55">
        <v>31722</v>
      </c>
      <c r="AR10191" s="55">
        <v>28500</v>
      </c>
      <c r="AS10191" s="78">
        <f t="shared" si="163"/>
        <v>1.1130526315789473</v>
      </c>
    </row>
    <row r="10192" spans="39:45">
      <c r="AM10192" s="54">
        <v>2020</v>
      </c>
      <c r="AN10192" s="54" t="s">
        <v>184</v>
      </c>
      <c r="AO10192" s="54">
        <v>29</v>
      </c>
      <c r="AP10192" s="54">
        <v>14</v>
      </c>
      <c r="AQ10192" s="54">
        <v>33770.5</v>
      </c>
      <c r="AR10192" s="55">
        <v>28500</v>
      </c>
      <c r="AS10192" s="78">
        <f t="shared" si="163"/>
        <v>1.1849298245614035</v>
      </c>
    </row>
    <row r="10193" spans="39:45">
      <c r="AM10193" s="55">
        <v>2020</v>
      </c>
      <c r="AN10193" s="55" t="s">
        <v>184</v>
      </c>
      <c r="AO10193" s="55">
        <v>29</v>
      </c>
      <c r="AP10193" s="55">
        <v>15</v>
      </c>
      <c r="AQ10193" s="55">
        <v>24201</v>
      </c>
      <c r="AR10193" s="55">
        <v>28500</v>
      </c>
      <c r="AS10193" s="78">
        <f t="shared" si="163"/>
        <v>0.84915789473684211</v>
      </c>
    </row>
    <row r="10194" spans="39:45">
      <c r="AM10194" s="54">
        <v>2020</v>
      </c>
      <c r="AN10194" s="54" t="s">
        <v>184</v>
      </c>
      <c r="AO10194" s="54">
        <v>29</v>
      </c>
      <c r="AP10194" s="54">
        <v>16</v>
      </c>
      <c r="AQ10194" s="54">
        <v>198</v>
      </c>
      <c r="AR10194" s="55">
        <v>28500</v>
      </c>
      <c r="AS10194" s="78">
        <f t="shared" si="163"/>
        <v>6.9473684210526318E-3</v>
      </c>
    </row>
    <row r="10195" spans="39:45">
      <c r="AM10195" s="55">
        <v>2020</v>
      </c>
      <c r="AN10195" s="55" t="s">
        <v>184</v>
      </c>
      <c r="AO10195" s="55">
        <v>29</v>
      </c>
      <c r="AP10195" s="55">
        <v>17</v>
      </c>
      <c r="AQ10195" s="55">
        <v>490</v>
      </c>
      <c r="AR10195" s="55">
        <v>28500</v>
      </c>
      <c r="AS10195" s="78">
        <f t="shared" si="163"/>
        <v>1.719298245614035E-2</v>
      </c>
    </row>
    <row r="10196" spans="39:45">
      <c r="AM10196" s="54">
        <v>2020</v>
      </c>
      <c r="AN10196" s="54" t="s">
        <v>184</v>
      </c>
      <c r="AO10196" s="54">
        <v>29</v>
      </c>
      <c r="AP10196" s="54">
        <v>18</v>
      </c>
      <c r="AQ10196" s="54">
        <v>0</v>
      </c>
      <c r="AR10196" s="55">
        <v>28500</v>
      </c>
      <c r="AS10196" s="78">
        <f t="shared" si="163"/>
        <v>0</v>
      </c>
    </row>
    <row r="10197" spans="39:45">
      <c r="AM10197" s="55">
        <v>2020</v>
      </c>
      <c r="AN10197" s="55" t="s">
        <v>184</v>
      </c>
      <c r="AO10197" s="55">
        <v>29</v>
      </c>
      <c r="AP10197" s="55">
        <v>19</v>
      </c>
      <c r="AQ10197" s="55">
        <v>0</v>
      </c>
      <c r="AR10197" s="55">
        <v>28500</v>
      </c>
      <c r="AS10197" s="78">
        <f t="shared" si="163"/>
        <v>0</v>
      </c>
    </row>
    <row r="10198" spans="39:45">
      <c r="AM10198" s="54">
        <v>2020</v>
      </c>
      <c r="AN10198" s="54" t="s">
        <v>184</v>
      </c>
      <c r="AO10198" s="54">
        <v>29</v>
      </c>
      <c r="AP10198" s="54">
        <v>20</v>
      </c>
      <c r="AQ10198" s="54">
        <v>0</v>
      </c>
      <c r="AR10198" s="55">
        <v>28500</v>
      </c>
      <c r="AS10198" s="78">
        <f t="shared" si="163"/>
        <v>0</v>
      </c>
    </row>
    <row r="10199" spans="39:45">
      <c r="AM10199" s="55">
        <v>2020</v>
      </c>
      <c r="AN10199" s="55" t="s">
        <v>184</v>
      </c>
      <c r="AO10199" s="55">
        <v>29</v>
      </c>
      <c r="AP10199" s="55">
        <v>21</v>
      </c>
      <c r="AQ10199" s="55">
        <v>0</v>
      </c>
      <c r="AR10199" s="55">
        <v>28500</v>
      </c>
      <c r="AS10199" s="78">
        <f t="shared" si="163"/>
        <v>0</v>
      </c>
    </row>
    <row r="10200" spans="39:45">
      <c r="AM10200" s="54">
        <v>2020</v>
      </c>
      <c r="AN10200" s="54" t="s">
        <v>184</v>
      </c>
      <c r="AO10200" s="54">
        <v>29</v>
      </c>
      <c r="AP10200" s="54">
        <v>22</v>
      </c>
      <c r="AQ10200" s="54">
        <v>0</v>
      </c>
      <c r="AR10200" s="55">
        <v>28500</v>
      </c>
      <c r="AS10200" s="78">
        <f t="shared" si="163"/>
        <v>0</v>
      </c>
    </row>
    <row r="10201" spans="39:45">
      <c r="AM10201" s="55">
        <v>2020</v>
      </c>
      <c r="AN10201" s="55" t="s">
        <v>184</v>
      </c>
      <c r="AO10201" s="55">
        <v>29</v>
      </c>
      <c r="AP10201" s="55">
        <v>23</v>
      </c>
      <c r="AQ10201" s="55">
        <v>0</v>
      </c>
      <c r="AR10201" s="55">
        <v>28500</v>
      </c>
      <c r="AS10201" s="78">
        <f t="shared" si="163"/>
        <v>0</v>
      </c>
    </row>
    <row r="10202" spans="39:45">
      <c r="AM10202" s="54">
        <v>2020</v>
      </c>
      <c r="AN10202" s="54" t="s">
        <v>185</v>
      </c>
      <c r="AO10202" s="54">
        <v>1</v>
      </c>
      <c r="AP10202" s="54">
        <v>24</v>
      </c>
      <c r="AQ10202" s="54">
        <v>0</v>
      </c>
      <c r="AR10202" s="55">
        <v>28500</v>
      </c>
      <c r="AS10202" s="78">
        <f t="shared" si="163"/>
        <v>0</v>
      </c>
    </row>
    <row r="10203" spans="39:45">
      <c r="AM10203" s="55">
        <v>2020</v>
      </c>
      <c r="AN10203" s="55" t="s">
        <v>185</v>
      </c>
      <c r="AO10203" s="55">
        <v>1</v>
      </c>
      <c r="AP10203" s="55">
        <v>1</v>
      </c>
      <c r="AQ10203" s="55">
        <v>0</v>
      </c>
      <c r="AR10203" s="55">
        <v>28500</v>
      </c>
      <c r="AS10203" s="78">
        <f t="shared" si="163"/>
        <v>0</v>
      </c>
    </row>
    <row r="10204" spans="39:45">
      <c r="AM10204" s="54">
        <v>2020</v>
      </c>
      <c r="AN10204" s="54" t="s">
        <v>185</v>
      </c>
      <c r="AO10204" s="54">
        <v>1</v>
      </c>
      <c r="AP10204" s="54">
        <v>2</v>
      </c>
      <c r="AQ10204" s="54">
        <v>0</v>
      </c>
      <c r="AR10204" s="55">
        <v>28500</v>
      </c>
      <c r="AS10204" s="78">
        <f t="shared" si="163"/>
        <v>0</v>
      </c>
    </row>
    <row r="10205" spans="39:45">
      <c r="AM10205" s="55">
        <v>2020</v>
      </c>
      <c r="AN10205" s="55" t="s">
        <v>185</v>
      </c>
      <c r="AO10205" s="55">
        <v>1</v>
      </c>
      <c r="AP10205" s="55">
        <v>3</v>
      </c>
      <c r="AQ10205" s="55">
        <v>0</v>
      </c>
      <c r="AR10205" s="55">
        <v>28500</v>
      </c>
      <c r="AS10205" s="78">
        <f t="shared" si="163"/>
        <v>0</v>
      </c>
    </row>
    <row r="10206" spans="39:45">
      <c r="AM10206" s="54">
        <v>2020</v>
      </c>
      <c r="AN10206" s="54" t="s">
        <v>185</v>
      </c>
      <c r="AO10206" s="54">
        <v>1</v>
      </c>
      <c r="AP10206" s="54">
        <v>4</v>
      </c>
      <c r="AQ10206" s="54">
        <v>0</v>
      </c>
      <c r="AR10206" s="55">
        <v>28500</v>
      </c>
      <c r="AS10206" s="78">
        <f t="shared" si="163"/>
        <v>0</v>
      </c>
    </row>
    <row r="10207" spans="39:45">
      <c r="AM10207" s="55">
        <v>2020</v>
      </c>
      <c r="AN10207" s="55" t="s">
        <v>185</v>
      </c>
      <c r="AO10207" s="55">
        <v>1</v>
      </c>
      <c r="AP10207" s="55">
        <v>5</v>
      </c>
      <c r="AQ10207" s="55">
        <v>0</v>
      </c>
      <c r="AR10207" s="55">
        <v>28500</v>
      </c>
      <c r="AS10207" s="78">
        <f t="shared" si="163"/>
        <v>0</v>
      </c>
    </row>
    <row r="10208" spans="39:45">
      <c r="AM10208" s="54">
        <v>2020</v>
      </c>
      <c r="AN10208" s="54" t="s">
        <v>185</v>
      </c>
      <c r="AO10208" s="54">
        <v>1</v>
      </c>
      <c r="AP10208" s="54">
        <v>6</v>
      </c>
      <c r="AQ10208" s="54">
        <v>0</v>
      </c>
      <c r="AR10208" s="55">
        <v>28500</v>
      </c>
      <c r="AS10208" s="78">
        <f t="shared" si="163"/>
        <v>0</v>
      </c>
    </row>
    <row r="10209" spans="39:45">
      <c r="AM10209" s="55">
        <v>2020</v>
      </c>
      <c r="AN10209" s="55" t="s">
        <v>185</v>
      </c>
      <c r="AO10209" s="55">
        <v>1</v>
      </c>
      <c r="AP10209" s="55">
        <v>7</v>
      </c>
      <c r="AQ10209" s="55">
        <v>460</v>
      </c>
      <c r="AR10209" s="55">
        <v>28500</v>
      </c>
      <c r="AS10209" s="78">
        <f t="shared" si="163"/>
        <v>1.6140350877192983E-2</v>
      </c>
    </row>
    <row r="10210" spans="39:45">
      <c r="AM10210" s="54">
        <v>2020</v>
      </c>
      <c r="AN10210" s="54" t="s">
        <v>185</v>
      </c>
      <c r="AO10210" s="54">
        <v>1</v>
      </c>
      <c r="AP10210" s="54">
        <v>8</v>
      </c>
      <c r="AQ10210" s="54">
        <v>14329.5</v>
      </c>
      <c r="AR10210" s="55">
        <v>28500</v>
      </c>
      <c r="AS10210" s="78">
        <f t="shared" si="163"/>
        <v>0.50278947368421056</v>
      </c>
    </row>
    <row r="10211" spans="39:45">
      <c r="AM10211" s="55">
        <v>2020</v>
      </c>
      <c r="AN10211" s="55" t="s">
        <v>185</v>
      </c>
      <c r="AO10211" s="55">
        <v>1</v>
      </c>
      <c r="AP10211" s="55">
        <v>9</v>
      </c>
      <c r="AQ10211" s="55">
        <v>26823.5</v>
      </c>
      <c r="AR10211" s="55">
        <v>28500</v>
      </c>
      <c r="AS10211" s="78">
        <f t="shared" si="163"/>
        <v>0.94117543859649122</v>
      </c>
    </row>
    <row r="10212" spans="39:45">
      <c r="AM10212" s="54">
        <v>2020</v>
      </c>
      <c r="AN10212" s="54" t="s">
        <v>185</v>
      </c>
      <c r="AO10212" s="54">
        <v>1</v>
      </c>
      <c r="AP10212" s="54">
        <v>10</v>
      </c>
      <c r="AQ10212" s="54">
        <v>31579</v>
      </c>
      <c r="AR10212" s="55">
        <v>28500</v>
      </c>
      <c r="AS10212" s="78">
        <f t="shared" si="163"/>
        <v>1.1080350877192982</v>
      </c>
    </row>
    <row r="10213" spans="39:45">
      <c r="AM10213" s="55">
        <v>2020</v>
      </c>
      <c r="AN10213" s="55" t="s">
        <v>185</v>
      </c>
      <c r="AO10213" s="55">
        <v>1</v>
      </c>
      <c r="AP10213" s="55">
        <v>11</v>
      </c>
      <c r="AQ10213" s="55">
        <v>17936.5</v>
      </c>
      <c r="AR10213" s="55">
        <v>28500</v>
      </c>
      <c r="AS10213" s="78">
        <f t="shared" si="163"/>
        <v>0.62935087719298244</v>
      </c>
    </row>
    <row r="10214" spans="39:45">
      <c r="AM10214" s="54">
        <v>2020</v>
      </c>
      <c r="AN10214" s="54" t="s">
        <v>185</v>
      </c>
      <c r="AO10214" s="54">
        <v>1</v>
      </c>
      <c r="AP10214" s="54">
        <v>12</v>
      </c>
      <c r="AQ10214" s="54">
        <v>14331</v>
      </c>
      <c r="AR10214" s="55">
        <v>28500</v>
      </c>
      <c r="AS10214" s="78">
        <f t="shared" si="163"/>
        <v>0.50284210526315787</v>
      </c>
    </row>
    <row r="10215" spans="39:45">
      <c r="AM10215" s="55">
        <v>2020</v>
      </c>
      <c r="AN10215" s="55" t="s">
        <v>185</v>
      </c>
      <c r="AO10215" s="55">
        <v>1</v>
      </c>
      <c r="AP10215" s="55">
        <v>13</v>
      </c>
      <c r="AQ10215" s="55">
        <v>33829</v>
      </c>
      <c r="AR10215" s="55">
        <v>28500</v>
      </c>
      <c r="AS10215" s="78">
        <f t="shared" si="163"/>
        <v>1.1869824561403508</v>
      </c>
    </row>
    <row r="10216" spans="39:45">
      <c r="AM10216" s="54">
        <v>2020</v>
      </c>
      <c r="AN10216" s="54" t="s">
        <v>185</v>
      </c>
      <c r="AO10216" s="54">
        <v>1</v>
      </c>
      <c r="AP10216" s="54">
        <v>14</v>
      </c>
      <c r="AQ10216" s="54">
        <v>28004</v>
      </c>
      <c r="AR10216" s="55">
        <v>28500</v>
      </c>
      <c r="AS10216" s="78">
        <f t="shared" si="163"/>
        <v>0.98259649122807013</v>
      </c>
    </row>
    <row r="10217" spans="39:45">
      <c r="AM10217" s="55">
        <v>2020</v>
      </c>
      <c r="AN10217" s="55" t="s">
        <v>185</v>
      </c>
      <c r="AO10217" s="55">
        <v>1</v>
      </c>
      <c r="AP10217" s="55">
        <v>15</v>
      </c>
      <c r="AQ10217" s="55">
        <v>25338</v>
      </c>
      <c r="AR10217" s="55">
        <v>28500</v>
      </c>
      <c r="AS10217" s="78">
        <f t="shared" si="163"/>
        <v>0.88905263157894732</v>
      </c>
    </row>
    <row r="10218" spans="39:45">
      <c r="AM10218" s="54">
        <v>2020</v>
      </c>
      <c r="AN10218" s="54" t="s">
        <v>185</v>
      </c>
      <c r="AO10218" s="54">
        <v>1</v>
      </c>
      <c r="AP10218" s="54">
        <v>16</v>
      </c>
      <c r="AQ10218" s="54">
        <v>11830.5</v>
      </c>
      <c r="AR10218" s="55">
        <v>28500</v>
      </c>
      <c r="AS10218" s="78">
        <f t="shared" si="163"/>
        <v>0.41510526315789475</v>
      </c>
    </row>
    <row r="10219" spans="39:45">
      <c r="AM10219" s="55">
        <v>2020</v>
      </c>
      <c r="AN10219" s="55" t="s">
        <v>185</v>
      </c>
      <c r="AO10219" s="55">
        <v>1</v>
      </c>
      <c r="AP10219" s="55">
        <v>17</v>
      </c>
      <c r="AQ10219" s="55">
        <v>531.5</v>
      </c>
      <c r="AR10219" s="55">
        <v>28500</v>
      </c>
      <c r="AS10219" s="78">
        <f t="shared" si="163"/>
        <v>1.8649122807017544E-2</v>
      </c>
    </row>
    <row r="10220" spans="39:45">
      <c r="AM10220" s="54">
        <v>2020</v>
      </c>
      <c r="AN10220" s="54" t="s">
        <v>185</v>
      </c>
      <c r="AO10220" s="54">
        <v>1</v>
      </c>
      <c r="AP10220" s="54">
        <v>18</v>
      </c>
      <c r="AQ10220" s="54">
        <v>0</v>
      </c>
      <c r="AR10220" s="55">
        <v>28500</v>
      </c>
      <c r="AS10220" s="78">
        <f t="shared" si="163"/>
        <v>0</v>
      </c>
    </row>
    <row r="10221" spans="39:45">
      <c r="AM10221" s="55">
        <v>2020</v>
      </c>
      <c r="AN10221" s="55" t="s">
        <v>185</v>
      </c>
      <c r="AO10221" s="55">
        <v>1</v>
      </c>
      <c r="AP10221" s="55">
        <v>19</v>
      </c>
      <c r="AQ10221" s="55">
        <v>0</v>
      </c>
      <c r="AR10221" s="55">
        <v>28500</v>
      </c>
      <c r="AS10221" s="78">
        <f t="shared" si="163"/>
        <v>0</v>
      </c>
    </row>
    <row r="10222" spans="39:45">
      <c r="AM10222" s="54">
        <v>2020</v>
      </c>
      <c r="AN10222" s="54" t="s">
        <v>185</v>
      </c>
      <c r="AO10222" s="54">
        <v>1</v>
      </c>
      <c r="AP10222" s="54">
        <v>20</v>
      </c>
      <c r="AQ10222" s="54">
        <v>0</v>
      </c>
      <c r="AR10222" s="55">
        <v>28500</v>
      </c>
      <c r="AS10222" s="78">
        <f t="shared" si="163"/>
        <v>0</v>
      </c>
    </row>
    <row r="10223" spans="39:45">
      <c r="AM10223" s="55">
        <v>2020</v>
      </c>
      <c r="AN10223" s="55" t="s">
        <v>185</v>
      </c>
      <c r="AO10223" s="55">
        <v>1</v>
      </c>
      <c r="AP10223" s="55">
        <v>21</v>
      </c>
      <c r="AQ10223" s="55">
        <v>0</v>
      </c>
      <c r="AR10223" s="55">
        <v>28500</v>
      </c>
      <c r="AS10223" s="78">
        <f t="shared" si="163"/>
        <v>0</v>
      </c>
    </row>
    <row r="10224" spans="39:45">
      <c r="AM10224" s="54">
        <v>2020</v>
      </c>
      <c r="AN10224" s="54" t="s">
        <v>185</v>
      </c>
      <c r="AO10224" s="54">
        <v>1</v>
      </c>
      <c r="AP10224" s="54">
        <v>22</v>
      </c>
      <c r="AQ10224" s="54">
        <v>0</v>
      </c>
      <c r="AR10224" s="55">
        <v>28500</v>
      </c>
      <c r="AS10224" s="78">
        <f t="shared" si="163"/>
        <v>0</v>
      </c>
    </row>
    <row r="10225" spans="39:45">
      <c r="AM10225" s="55">
        <v>2020</v>
      </c>
      <c r="AN10225" s="55" t="s">
        <v>185</v>
      </c>
      <c r="AO10225" s="55">
        <v>1</v>
      </c>
      <c r="AP10225" s="55">
        <v>23</v>
      </c>
      <c r="AQ10225" s="55">
        <v>0</v>
      </c>
      <c r="AR10225" s="55">
        <v>28500</v>
      </c>
      <c r="AS10225" s="78">
        <f t="shared" si="163"/>
        <v>0</v>
      </c>
    </row>
    <row r="10226" spans="39:45">
      <c r="AM10226" s="54">
        <v>2020</v>
      </c>
      <c r="AN10226" s="54" t="s">
        <v>185</v>
      </c>
      <c r="AO10226" s="54">
        <v>2</v>
      </c>
      <c r="AP10226" s="54">
        <v>24</v>
      </c>
      <c r="AQ10226" s="54">
        <v>0</v>
      </c>
      <c r="AR10226" s="55">
        <v>28500</v>
      </c>
      <c r="AS10226" s="78">
        <f t="shared" si="163"/>
        <v>0</v>
      </c>
    </row>
    <row r="10227" spans="39:45">
      <c r="AM10227" s="55">
        <v>2020</v>
      </c>
      <c r="AN10227" s="55" t="s">
        <v>185</v>
      </c>
      <c r="AO10227" s="55">
        <v>2</v>
      </c>
      <c r="AP10227" s="55">
        <v>1</v>
      </c>
      <c r="AQ10227" s="55">
        <v>0</v>
      </c>
      <c r="AR10227" s="55">
        <v>28500</v>
      </c>
      <c r="AS10227" s="78">
        <f t="shared" si="163"/>
        <v>0</v>
      </c>
    </row>
    <row r="10228" spans="39:45">
      <c r="AM10228" s="54">
        <v>2020</v>
      </c>
      <c r="AN10228" s="54" t="s">
        <v>185</v>
      </c>
      <c r="AO10228" s="54">
        <v>2</v>
      </c>
      <c r="AP10228" s="54">
        <v>2</v>
      </c>
      <c r="AQ10228" s="54">
        <v>0</v>
      </c>
      <c r="AR10228" s="55">
        <v>28500</v>
      </c>
      <c r="AS10228" s="78">
        <f t="shared" si="163"/>
        <v>0</v>
      </c>
    </row>
    <row r="10229" spans="39:45">
      <c r="AM10229" s="55">
        <v>2020</v>
      </c>
      <c r="AN10229" s="55" t="s">
        <v>185</v>
      </c>
      <c r="AO10229" s="55">
        <v>2</v>
      </c>
      <c r="AP10229" s="55">
        <v>3</v>
      </c>
      <c r="AQ10229" s="55">
        <v>0</v>
      </c>
      <c r="AR10229" s="55">
        <v>28500</v>
      </c>
      <c r="AS10229" s="78">
        <f t="shared" si="163"/>
        <v>0</v>
      </c>
    </row>
    <row r="10230" spans="39:45">
      <c r="AM10230" s="54">
        <v>2020</v>
      </c>
      <c r="AN10230" s="54" t="s">
        <v>185</v>
      </c>
      <c r="AO10230" s="54">
        <v>2</v>
      </c>
      <c r="AP10230" s="54">
        <v>4</v>
      </c>
      <c r="AQ10230" s="54">
        <v>0</v>
      </c>
      <c r="AR10230" s="55">
        <v>28500</v>
      </c>
      <c r="AS10230" s="78">
        <f t="shared" si="163"/>
        <v>0</v>
      </c>
    </row>
    <row r="10231" spans="39:45">
      <c r="AM10231" s="55">
        <v>2020</v>
      </c>
      <c r="AN10231" s="55" t="s">
        <v>185</v>
      </c>
      <c r="AO10231" s="55">
        <v>2</v>
      </c>
      <c r="AP10231" s="55">
        <v>5</v>
      </c>
      <c r="AQ10231" s="55">
        <v>0</v>
      </c>
      <c r="AR10231" s="55">
        <v>28500</v>
      </c>
      <c r="AS10231" s="78">
        <f t="shared" si="163"/>
        <v>0</v>
      </c>
    </row>
    <row r="10232" spans="39:45">
      <c r="AM10232" s="54">
        <v>2020</v>
      </c>
      <c r="AN10232" s="54" t="s">
        <v>185</v>
      </c>
      <c r="AO10232" s="54">
        <v>2</v>
      </c>
      <c r="AP10232" s="54">
        <v>6</v>
      </c>
      <c r="AQ10232" s="54">
        <v>0</v>
      </c>
      <c r="AR10232" s="55">
        <v>28500</v>
      </c>
      <c r="AS10232" s="78">
        <f t="shared" si="163"/>
        <v>0</v>
      </c>
    </row>
    <row r="10233" spans="39:45">
      <c r="AM10233" s="55">
        <v>2020</v>
      </c>
      <c r="AN10233" s="55" t="s">
        <v>185</v>
      </c>
      <c r="AO10233" s="55">
        <v>2</v>
      </c>
      <c r="AP10233" s="55">
        <v>7</v>
      </c>
      <c r="AQ10233" s="55">
        <v>174</v>
      </c>
      <c r="AR10233" s="55">
        <v>28500</v>
      </c>
      <c r="AS10233" s="78">
        <f t="shared" si="163"/>
        <v>6.1052631578947369E-3</v>
      </c>
    </row>
    <row r="10234" spans="39:45">
      <c r="AM10234" s="54">
        <v>2020</v>
      </c>
      <c r="AN10234" s="54" t="s">
        <v>185</v>
      </c>
      <c r="AO10234" s="54">
        <v>2</v>
      </c>
      <c r="AP10234" s="54">
        <v>8</v>
      </c>
      <c r="AQ10234" s="54">
        <v>13106.5</v>
      </c>
      <c r="AR10234" s="55">
        <v>28500</v>
      </c>
      <c r="AS10234" s="78">
        <f t="shared" si="163"/>
        <v>0.45987719298245616</v>
      </c>
    </row>
    <row r="10235" spans="39:45">
      <c r="AM10235" s="55">
        <v>2020</v>
      </c>
      <c r="AN10235" s="55" t="s">
        <v>185</v>
      </c>
      <c r="AO10235" s="55">
        <v>2</v>
      </c>
      <c r="AP10235" s="55">
        <v>9</v>
      </c>
      <c r="AQ10235" s="55">
        <v>6892.5</v>
      </c>
      <c r="AR10235" s="55">
        <v>28500</v>
      </c>
      <c r="AS10235" s="78">
        <f t="shared" si="163"/>
        <v>0.24184210526315789</v>
      </c>
    </row>
    <row r="10236" spans="39:45">
      <c r="AM10236" s="54">
        <v>2020</v>
      </c>
      <c r="AN10236" s="54" t="s">
        <v>185</v>
      </c>
      <c r="AO10236" s="54">
        <v>2</v>
      </c>
      <c r="AP10236" s="54">
        <v>10</v>
      </c>
      <c r="AQ10236" s="54">
        <v>6647.5</v>
      </c>
      <c r="AR10236" s="55">
        <v>28500</v>
      </c>
      <c r="AS10236" s="78">
        <f t="shared" si="163"/>
        <v>0.23324561403508773</v>
      </c>
    </row>
    <row r="10237" spans="39:45">
      <c r="AM10237" s="55">
        <v>2020</v>
      </c>
      <c r="AN10237" s="55" t="s">
        <v>185</v>
      </c>
      <c r="AO10237" s="55">
        <v>2</v>
      </c>
      <c r="AP10237" s="55">
        <v>11</v>
      </c>
      <c r="AQ10237" s="55">
        <v>26961</v>
      </c>
      <c r="AR10237" s="55">
        <v>28500</v>
      </c>
      <c r="AS10237" s="78">
        <f t="shared" si="163"/>
        <v>0.94599999999999995</v>
      </c>
    </row>
    <row r="10238" spans="39:45">
      <c r="AM10238" s="54">
        <v>2020</v>
      </c>
      <c r="AN10238" s="54" t="s">
        <v>185</v>
      </c>
      <c r="AO10238" s="54">
        <v>2</v>
      </c>
      <c r="AP10238" s="54">
        <v>12</v>
      </c>
      <c r="AQ10238" s="54">
        <v>9508.5</v>
      </c>
      <c r="AR10238" s="55">
        <v>28500</v>
      </c>
      <c r="AS10238" s="78">
        <f t="shared" si="163"/>
        <v>0.33363157894736845</v>
      </c>
    </row>
    <row r="10239" spans="39:45">
      <c r="AM10239" s="55">
        <v>2020</v>
      </c>
      <c r="AN10239" s="55" t="s">
        <v>185</v>
      </c>
      <c r="AO10239" s="55">
        <v>2</v>
      </c>
      <c r="AP10239" s="55">
        <v>13</v>
      </c>
      <c r="AQ10239" s="55">
        <v>25952.5</v>
      </c>
      <c r="AR10239" s="55">
        <v>28500</v>
      </c>
      <c r="AS10239" s="78">
        <f t="shared" si="163"/>
        <v>0.91061403508771932</v>
      </c>
    </row>
    <row r="10240" spans="39:45">
      <c r="AM10240" s="54">
        <v>2020</v>
      </c>
      <c r="AN10240" s="54" t="s">
        <v>185</v>
      </c>
      <c r="AO10240" s="54">
        <v>2</v>
      </c>
      <c r="AP10240" s="54">
        <v>14</v>
      </c>
      <c r="AQ10240" s="54">
        <v>31339</v>
      </c>
      <c r="AR10240" s="55">
        <v>28500</v>
      </c>
      <c r="AS10240" s="78">
        <f t="shared" si="163"/>
        <v>1.0996140350877193</v>
      </c>
    </row>
    <row r="10241" spans="39:45">
      <c r="AM10241" s="55">
        <v>2020</v>
      </c>
      <c r="AN10241" s="55" t="s">
        <v>185</v>
      </c>
      <c r="AO10241" s="55">
        <v>2</v>
      </c>
      <c r="AP10241" s="55">
        <v>15</v>
      </c>
      <c r="AQ10241" s="55">
        <v>14752.5</v>
      </c>
      <c r="AR10241" s="55">
        <v>28500</v>
      </c>
      <c r="AS10241" s="78">
        <f t="shared" si="163"/>
        <v>0.51763157894736844</v>
      </c>
    </row>
    <row r="10242" spans="39:45">
      <c r="AM10242" s="54">
        <v>2020</v>
      </c>
      <c r="AN10242" s="54" t="s">
        <v>185</v>
      </c>
      <c r="AO10242" s="54">
        <v>2</v>
      </c>
      <c r="AP10242" s="54">
        <v>16</v>
      </c>
      <c r="AQ10242" s="54">
        <v>11128.5</v>
      </c>
      <c r="AR10242" s="55">
        <v>28500</v>
      </c>
      <c r="AS10242" s="78">
        <f t="shared" ref="AS10242:AS10305" si="164">AQ10242/AR10242</f>
        <v>0.39047368421052631</v>
      </c>
    </row>
    <row r="10243" spans="39:45">
      <c r="AM10243" s="55">
        <v>2020</v>
      </c>
      <c r="AN10243" s="55" t="s">
        <v>185</v>
      </c>
      <c r="AO10243" s="55">
        <v>2</v>
      </c>
      <c r="AP10243" s="55">
        <v>17</v>
      </c>
      <c r="AQ10243" s="55">
        <v>516</v>
      </c>
      <c r="AR10243" s="55">
        <v>28500</v>
      </c>
      <c r="AS10243" s="78">
        <f t="shared" si="164"/>
        <v>1.8105263157894735E-2</v>
      </c>
    </row>
    <row r="10244" spans="39:45">
      <c r="AM10244" s="54">
        <v>2020</v>
      </c>
      <c r="AN10244" s="54" t="s">
        <v>185</v>
      </c>
      <c r="AO10244" s="54">
        <v>2</v>
      </c>
      <c r="AP10244" s="54">
        <v>18</v>
      </c>
      <c r="AQ10244" s="54">
        <v>0</v>
      </c>
      <c r="AR10244" s="55">
        <v>28500</v>
      </c>
      <c r="AS10244" s="78">
        <f t="shared" si="164"/>
        <v>0</v>
      </c>
    </row>
    <row r="10245" spans="39:45">
      <c r="AM10245" s="55">
        <v>2020</v>
      </c>
      <c r="AN10245" s="55" t="s">
        <v>185</v>
      </c>
      <c r="AO10245" s="55">
        <v>2</v>
      </c>
      <c r="AP10245" s="55">
        <v>19</v>
      </c>
      <c r="AQ10245" s="55">
        <v>0</v>
      </c>
      <c r="AR10245" s="55">
        <v>28500</v>
      </c>
      <c r="AS10245" s="78">
        <f t="shared" si="164"/>
        <v>0</v>
      </c>
    </row>
    <row r="10246" spans="39:45">
      <c r="AM10246" s="54">
        <v>2020</v>
      </c>
      <c r="AN10246" s="54" t="s">
        <v>185</v>
      </c>
      <c r="AO10246" s="54">
        <v>2</v>
      </c>
      <c r="AP10246" s="54">
        <v>20</v>
      </c>
      <c r="AQ10246" s="54">
        <v>0</v>
      </c>
      <c r="AR10246" s="55">
        <v>28500</v>
      </c>
      <c r="AS10246" s="78">
        <f t="shared" si="164"/>
        <v>0</v>
      </c>
    </row>
    <row r="10247" spans="39:45">
      <c r="AM10247" s="55">
        <v>2020</v>
      </c>
      <c r="AN10247" s="55" t="s">
        <v>185</v>
      </c>
      <c r="AO10247" s="55">
        <v>2</v>
      </c>
      <c r="AP10247" s="55">
        <v>21</v>
      </c>
      <c r="AQ10247" s="55">
        <v>0</v>
      </c>
      <c r="AR10247" s="55">
        <v>28500</v>
      </c>
      <c r="AS10247" s="78">
        <f t="shared" si="164"/>
        <v>0</v>
      </c>
    </row>
    <row r="10248" spans="39:45">
      <c r="AM10248" s="54">
        <v>2020</v>
      </c>
      <c r="AN10248" s="54" t="s">
        <v>185</v>
      </c>
      <c r="AO10248" s="54">
        <v>2</v>
      </c>
      <c r="AP10248" s="54">
        <v>22</v>
      </c>
      <c r="AQ10248" s="54">
        <v>0</v>
      </c>
      <c r="AR10248" s="55">
        <v>28500</v>
      </c>
      <c r="AS10248" s="78">
        <f t="shared" si="164"/>
        <v>0</v>
      </c>
    </row>
    <row r="10249" spans="39:45">
      <c r="AM10249" s="55">
        <v>2020</v>
      </c>
      <c r="AN10249" s="55" t="s">
        <v>185</v>
      </c>
      <c r="AO10249" s="55">
        <v>2</v>
      </c>
      <c r="AP10249" s="55">
        <v>23</v>
      </c>
      <c r="AQ10249" s="55">
        <v>0</v>
      </c>
      <c r="AR10249" s="55">
        <v>28500</v>
      </c>
      <c r="AS10249" s="78">
        <f t="shared" si="164"/>
        <v>0</v>
      </c>
    </row>
    <row r="10250" spans="39:45">
      <c r="AM10250" s="54">
        <v>2020</v>
      </c>
      <c r="AN10250" s="54" t="s">
        <v>185</v>
      </c>
      <c r="AO10250" s="54">
        <v>3</v>
      </c>
      <c r="AP10250" s="54">
        <v>24</v>
      </c>
      <c r="AQ10250" s="54">
        <v>0</v>
      </c>
      <c r="AR10250" s="55">
        <v>28500</v>
      </c>
      <c r="AS10250" s="78">
        <f t="shared" si="164"/>
        <v>0</v>
      </c>
    </row>
    <row r="10251" spans="39:45">
      <c r="AM10251" s="55">
        <v>2020</v>
      </c>
      <c r="AN10251" s="55" t="s">
        <v>185</v>
      </c>
      <c r="AO10251" s="55">
        <v>3</v>
      </c>
      <c r="AP10251" s="55">
        <v>1</v>
      </c>
      <c r="AQ10251" s="55">
        <v>0</v>
      </c>
      <c r="AR10251" s="55">
        <v>28500</v>
      </c>
      <c r="AS10251" s="78">
        <f t="shared" si="164"/>
        <v>0</v>
      </c>
    </row>
    <row r="10252" spans="39:45">
      <c r="AM10252" s="54">
        <v>2020</v>
      </c>
      <c r="AN10252" s="54" t="s">
        <v>185</v>
      </c>
      <c r="AO10252" s="54">
        <v>3</v>
      </c>
      <c r="AP10252" s="54">
        <v>2</v>
      </c>
      <c r="AQ10252" s="54">
        <v>0</v>
      </c>
      <c r="AR10252" s="55">
        <v>28500</v>
      </c>
      <c r="AS10252" s="78">
        <f t="shared" si="164"/>
        <v>0</v>
      </c>
    </row>
    <row r="10253" spans="39:45">
      <c r="AM10253" s="55">
        <v>2020</v>
      </c>
      <c r="AN10253" s="55" t="s">
        <v>185</v>
      </c>
      <c r="AO10253" s="55">
        <v>3</v>
      </c>
      <c r="AP10253" s="55">
        <v>3</v>
      </c>
      <c r="AQ10253" s="55">
        <v>0</v>
      </c>
      <c r="AR10253" s="55">
        <v>28500</v>
      </c>
      <c r="AS10253" s="78">
        <f t="shared" si="164"/>
        <v>0</v>
      </c>
    </row>
    <row r="10254" spans="39:45">
      <c r="AM10254" s="54">
        <v>2020</v>
      </c>
      <c r="AN10254" s="54" t="s">
        <v>185</v>
      </c>
      <c r="AO10254" s="54">
        <v>3</v>
      </c>
      <c r="AP10254" s="54">
        <v>4</v>
      </c>
      <c r="AQ10254" s="54">
        <v>0</v>
      </c>
      <c r="AR10254" s="55">
        <v>28500</v>
      </c>
      <c r="AS10254" s="78">
        <f t="shared" si="164"/>
        <v>0</v>
      </c>
    </row>
    <row r="10255" spans="39:45">
      <c r="AM10255" s="55">
        <v>2020</v>
      </c>
      <c r="AN10255" s="55" t="s">
        <v>185</v>
      </c>
      <c r="AO10255" s="55">
        <v>3</v>
      </c>
      <c r="AP10255" s="55">
        <v>5</v>
      </c>
      <c r="AQ10255" s="55">
        <v>0</v>
      </c>
      <c r="AR10255" s="55">
        <v>28500</v>
      </c>
      <c r="AS10255" s="78">
        <f t="shared" si="164"/>
        <v>0</v>
      </c>
    </row>
    <row r="10256" spans="39:45">
      <c r="AM10256" s="54">
        <v>2020</v>
      </c>
      <c r="AN10256" s="54" t="s">
        <v>185</v>
      </c>
      <c r="AO10256" s="54">
        <v>3</v>
      </c>
      <c r="AP10256" s="54">
        <v>6</v>
      </c>
      <c r="AQ10256" s="54">
        <v>0</v>
      </c>
      <c r="AR10256" s="55">
        <v>28500</v>
      </c>
      <c r="AS10256" s="78">
        <f t="shared" si="164"/>
        <v>0</v>
      </c>
    </row>
    <row r="10257" spans="39:45">
      <c r="AM10257" s="55">
        <v>2020</v>
      </c>
      <c r="AN10257" s="55" t="s">
        <v>185</v>
      </c>
      <c r="AO10257" s="55">
        <v>3</v>
      </c>
      <c r="AP10257" s="55">
        <v>7</v>
      </c>
      <c r="AQ10257" s="55">
        <v>669.5</v>
      </c>
      <c r="AR10257" s="55">
        <v>28500</v>
      </c>
      <c r="AS10257" s="78">
        <f t="shared" si="164"/>
        <v>2.3491228070175438E-2</v>
      </c>
    </row>
    <row r="10258" spans="39:45">
      <c r="AM10258" s="54">
        <v>2020</v>
      </c>
      <c r="AN10258" s="54" t="s">
        <v>185</v>
      </c>
      <c r="AO10258" s="54">
        <v>3</v>
      </c>
      <c r="AP10258" s="54">
        <v>8</v>
      </c>
      <c r="AQ10258" s="54">
        <v>14383.5</v>
      </c>
      <c r="AR10258" s="55">
        <v>28500</v>
      </c>
      <c r="AS10258" s="78">
        <f t="shared" si="164"/>
        <v>0.50468421052631574</v>
      </c>
    </row>
    <row r="10259" spans="39:45">
      <c r="AM10259" s="55">
        <v>2020</v>
      </c>
      <c r="AN10259" s="55" t="s">
        <v>185</v>
      </c>
      <c r="AO10259" s="55">
        <v>3</v>
      </c>
      <c r="AP10259" s="55">
        <v>9</v>
      </c>
      <c r="AQ10259" s="55">
        <v>27139.5</v>
      </c>
      <c r="AR10259" s="55">
        <v>28500</v>
      </c>
      <c r="AS10259" s="78">
        <f t="shared" si="164"/>
        <v>0.95226315789473681</v>
      </c>
    </row>
    <row r="10260" spans="39:45">
      <c r="AM10260" s="54">
        <v>2020</v>
      </c>
      <c r="AN10260" s="54" t="s">
        <v>185</v>
      </c>
      <c r="AO10260" s="54">
        <v>3</v>
      </c>
      <c r="AP10260" s="54">
        <v>10</v>
      </c>
      <c r="AQ10260" s="54">
        <v>27536</v>
      </c>
      <c r="AR10260" s="55">
        <v>28500</v>
      </c>
      <c r="AS10260" s="78">
        <f t="shared" si="164"/>
        <v>0.96617543859649124</v>
      </c>
    </row>
    <row r="10261" spans="39:45">
      <c r="AM10261" s="55">
        <v>2020</v>
      </c>
      <c r="AN10261" s="55" t="s">
        <v>185</v>
      </c>
      <c r="AO10261" s="55">
        <v>3</v>
      </c>
      <c r="AP10261" s="55">
        <v>11</v>
      </c>
      <c r="AQ10261" s="55">
        <v>19795.5</v>
      </c>
      <c r="AR10261" s="55">
        <v>28500</v>
      </c>
      <c r="AS10261" s="78">
        <f t="shared" si="164"/>
        <v>0.69457894736842107</v>
      </c>
    </row>
    <row r="10262" spans="39:45">
      <c r="AM10262" s="54">
        <v>2020</v>
      </c>
      <c r="AN10262" s="54" t="s">
        <v>185</v>
      </c>
      <c r="AO10262" s="54">
        <v>3</v>
      </c>
      <c r="AP10262" s="54">
        <v>12</v>
      </c>
      <c r="AQ10262" s="54">
        <v>2718</v>
      </c>
      <c r="AR10262" s="55">
        <v>28500</v>
      </c>
      <c r="AS10262" s="78">
        <f t="shared" si="164"/>
        <v>9.5368421052631575E-2</v>
      </c>
    </row>
    <row r="10263" spans="39:45">
      <c r="AM10263" s="55">
        <v>2020</v>
      </c>
      <c r="AN10263" s="55" t="s">
        <v>185</v>
      </c>
      <c r="AO10263" s="55">
        <v>3</v>
      </c>
      <c r="AP10263" s="55">
        <v>13</v>
      </c>
      <c r="AQ10263" s="55">
        <v>3564.5</v>
      </c>
      <c r="AR10263" s="55">
        <v>28500</v>
      </c>
      <c r="AS10263" s="78">
        <f t="shared" si="164"/>
        <v>0.1250701754385965</v>
      </c>
    </row>
    <row r="10264" spans="39:45">
      <c r="AM10264" s="54">
        <v>2020</v>
      </c>
      <c r="AN10264" s="54" t="s">
        <v>185</v>
      </c>
      <c r="AO10264" s="54">
        <v>3</v>
      </c>
      <c r="AP10264" s="54">
        <v>14</v>
      </c>
      <c r="AQ10264" s="54">
        <v>4428</v>
      </c>
      <c r="AR10264" s="55">
        <v>28500</v>
      </c>
      <c r="AS10264" s="78">
        <f t="shared" si="164"/>
        <v>0.15536842105263157</v>
      </c>
    </row>
    <row r="10265" spans="39:45">
      <c r="AM10265" s="55">
        <v>2020</v>
      </c>
      <c r="AN10265" s="55" t="s">
        <v>185</v>
      </c>
      <c r="AO10265" s="55">
        <v>3</v>
      </c>
      <c r="AP10265" s="55">
        <v>15</v>
      </c>
      <c r="AQ10265" s="55">
        <v>3175.5</v>
      </c>
      <c r="AR10265" s="55">
        <v>28500</v>
      </c>
      <c r="AS10265" s="78">
        <f t="shared" si="164"/>
        <v>0.11142105263157895</v>
      </c>
    </row>
    <row r="10266" spans="39:45">
      <c r="AM10266" s="54">
        <v>2020</v>
      </c>
      <c r="AN10266" s="54" t="s">
        <v>185</v>
      </c>
      <c r="AO10266" s="54">
        <v>3</v>
      </c>
      <c r="AP10266" s="54">
        <v>16</v>
      </c>
      <c r="AQ10266" s="54">
        <v>9538</v>
      </c>
      <c r="AR10266" s="55">
        <v>28500</v>
      </c>
      <c r="AS10266" s="78">
        <f t="shared" si="164"/>
        <v>0.33466666666666667</v>
      </c>
    </row>
    <row r="10267" spans="39:45">
      <c r="AM10267" s="55">
        <v>2020</v>
      </c>
      <c r="AN10267" s="55" t="s">
        <v>185</v>
      </c>
      <c r="AO10267" s="55">
        <v>3</v>
      </c>
      <c r="AP10267" s="55">
        <v>17</v>
      </c>
      <c r="AQ10267" s="55">
        <v>121</v>
      </c>
      <c r="AR10267" s="55">
        <v>28500</v>
      </c>
      <c r="AS10267" s="78">
        <f t="shared" si="164"/>
        <v>4.2456140350877192E-3</v>
      </c>
    </row>
    <row r="10268" spans="39:45">
      <c r="AM10268" s="54">
        <v>2020</v>
      </c>
      <c r="AN10268" s="54" t="s">
        <v>185</v>
      </c>
      <c r="AO10268" s="54">
        <v>3</v>
      </c>
      <c r="AP10268" s="54">
        <v>18</v>
      </c>
      <c r="AQ10268" s="54">
        <v>0</v>
      </c>
      <c r="AR10268" s="55">
        <v>28500</v>
      </c>
      <c r="AS10268" s="78">
        <f t="shared" si="164"/>
        <v>0</v>
      </c>
    </row>
    <row r="10269" spans="39:45">
      <c r="AM10269" s="55">
        <v>2020</v>
      </c>
      <c r="AN10269" s="55" t="s">
        <v>185</v>
      </c>
      <c r="AO10269" s="55">
        <v>3</v>
      </c>
      <c r="AP10269" s="55">
        <v>19</v>
      </c>
      <c r="AQ10269" s="55">
        <v>0</v>
      </c>
      <c r="AR10269" s="55">
        <v>28500</v>
      </c>
      <c r="AS10269" s="78">
        <f t="shared" si="164"/>
        <v>0</v>
      </c>
    </row>
    <row r="10270" spans="39:45">
      <c r="AM10270" s="54">
        <v>2020</v>
      </c>
      <c r="AN10270" s="54" t="s">
        <v>185</v>
      </c>
      <c r="AO10270" s="54">
        <v>3</v>
      </c>
      <c r="AP10270" s="54">
        <v>20</v>
      </c>
      <c r="AQ10270" s="54">
        <v>0</v>
      </c>
      <c r="AR10270" s="55">
        <v>28500</v>
      </c>
      <c r="AS10270" s="78">
        <f t="shared" si="164"/>
        <v>0</v>
      </c>
    </row>
    <row r="10271" spans="39:45">
      <c r="AM10271" s="55">
        <v>2020</v>
      </c>
      <c r="AN10271" s="55" t="s">
        <v>185</v>
      </c>
      <c r="AO10271" s="55">
        <v>3</v>
      </c>
      <c r="AP10271" s="55">
        <v>21</v>
      </c>
      <c r="AQ10271" s="55">
        <v>0</v>
      </c>
      <c r="AR10271" s="55">
        <v>28500</v>
      </c>
      <c r="AS10271" s="78">
        <f t="shared" si="164"/>
        <v>0</v>
      </c>
    </row>
    <row r="10272" spans="39:45">
      <c r="AM10272" s="54">
        <v>2020</v>
      </c>
      <c r="AN10272" s="54" t="s">
        <v>185</v>
      </c>
      <c r="AO10272" s="54">
        <v>3</v>
      </c>
      <c r="AP10272" s="54">
        <v>22</v>
      </c>
      <c r="AQ10272" s="54">
        <v>0</v>
      </c>
      <c r="AR10272" s="55">
        <v>28500</v>
      </c>
      <c r="AS10272" s="78">
        <f t="shared" si="164"/>
        <v>0</v>
      </c>
    </row>
    <row r="10273" spans="39:45">
      <c r="AM10273" s="55">
        <v>2020</v>
      </c>
      <c r="AN10273" s="55" t="s">
        <v>185</v>
      </c>
      <c r="AO10273" s="55">
        <v>3</v>
      </c>
      <c r="AP10273" s="55">
        <v>23</v>
      </c>
      <c r="AQ10273" s="55">
        <v>0</v>
      </c>
      <c r="AR10273" s="55">
        <v>28500</v>
      </c>
      <c r="AS10273" s="78">
        <f t="shared" si="164"/>
        <v>0</v>
      </c>
    </row>
    <row r="10274" spans="39:45">
      <c r="AM10274" s="54">
        <v>2020</v>
      </c>
      <c r="AN10274" s="54" t="s">
        <v>185</v>
      </c>
      <c r="AO10274" s="54">
        <v>4</v>
      </c>
      <c r="AP10274" s="54">
        <v>24</v>
      </c>
      <c r="AQ10274" s="54">
        <v>0</v>
      </c>
      <c r="AR10274" s="55">
        <v>28500</v>
      </c>
      <c r="AS10274" s="78">
        <f t="shared" si="164"/>
        <v>0</v>
      </c>
    </row>
    <row r="10275" spans="39:45">
      <c r="AM10275" s="55">
        <v>2020</v>
      </c>
      <c r="AN10275" s="55" t="s">
        <v>185</v>
      </c>
      <c r="AO10275" s="55">
        <v>4</v>
      </c>
      <c r="AP10275" s="55">
        <v>1</v>
      </c>
      <c r="AQ10275" s="55">
        <v>0</v>
      </c>
      <c r="AR10275" s="55">
        <v>28500</v>
      </c>
      <c r="AS10275" s="78">
        <f t="shared" si="164"/>
        <v>0</v>
      </c>
    </row>
    <row r="10276" spans="39:45">
      <c r="AM10276" s="54">
        <v>2020</v>
      </c>
      <c r="AN10276" s="54" t="s">
        <v>185</v>
      </c>
      <c r="AO10276" s="54">
        <v>4</v>
      </c>
      <c r="AP10276" s="54">
        <v>2</v>
      </c>
      <c r="AQ10276" s="54">
        <v>0</v>
      </c>
      <c r="AR10276" s="55">
        <v>28500</v>
      </c>
      <c r="AS10276" s="78">
        <f t="shared" si="164"/>
        <v>0</v>
      </c>
    </row>
    <row r="10277" spans="39:45">
      <c r="AM10277" s="55">
        <v>2020</v>
      </c>
      <c r="AN10277" s="55" t="s">
        <v>185</v>
      </c>
      <c r="AO10277" s="55">
        <v>4</v>
      </c>
      <c r="AP10277" s="55">
        <v>3</v>
      </c>
      <c r="AQ10277" s="55">
        <v>0</v>
      </c>
      <c r="AR10277" s="55">
        <v>28500</v>
      </c>
      <c r="AS10277" s="78">
        <f t="shared" si="164"/>
        <v>0</v>
      </c>
    </row>
    <row r="10278" spans="39:45">
      <c r="AM10278" s="54">
        <v>2020</v>
      </c>
      <c r="AN10278" s="54" t="s">
        <v>185</v>
      </c>
      <c r="AO10278" s="54">
        <v>4</v>
      </c>
      <c r="AP10278" s="54">
        <v>4</v>
      </c>
      <c r="AQ10278" s="54">
        <v>0</v>
      </c>
      <c r="AR10278" s="55">
        <v>28500</v>
      </c>
      <c r="AS10278" s="78">
        <f t="shared" si="164"/>
        <v>0</v>
      </c>
    </row>
    <row r="10279" spans="39:45">
      <c r="AM10279" s="55">
        <v>2020</v>
      </c>
      <c r="AN10279" s="55" t="s">
        <v>185</v>
      </c>
      <c r="AO10279" s="55">
        <v>4</v>
      </c>
      <c r="AP10279" s="55">
        <v>5</v>
      </c>
      <c r="AQ10279" s="55">
        <v>0</v>
      </c>
      <c r="AR10279" s="55">
        <v>28500</v>
      </c>
      <c r="AS10279" s="78">
        <f t="shared" si="164"/>
        <v>0</v>
      </c>
    </row>
    <row r="10280" spans="39:45">
      <c r="AM10280" s="54">
        <v>2020</v>
      </c>
      <c r="AN10280" s="54" t="s">
        <v>185</v>
      </c>
      <c r="AO10280" s="54">
        <v>4</v>
      </c>
      <c r="AP10280" s="54">
        <v>6</v>
      </c>
      <c r="AQ10280" s="54">
        <v>0</v>
      </c>
      <c r="AR10280" s="55">
        <v>28500</v>
      </c>
      <c r="AS10280" s="78">
        <f t="shared" si="164"/>
        <v>0</v>
      </c>
    </row>
    <row r="10281" spans="39:45">
      <c r="AM10281" s="55">
        <v>2020</v>
      </c>
      <c r="AN10281" s="55" t="s">
        <v>185</v>
      </c>
      <c r="AO10281" s="55">
        <v>4</v>
      </c>
      <c r="AP10281" s="55">
        <v>7</v>
      </c>
      <c r="AQ10281" s="55">
        <v>178</v>
      </c>
      <c r="AR10281" s="55">
        <v>28500</v>
      </c>
      <c r="AS10281" s="78">
        <f t="shared" si="164"/>
        <v>6.2456140350877192E-3</v>
      </c>
    </row>
    <row r="10282" spans="39:45">
      <c r="AM10282" s="54">
        <v>2020</v>
      </c>
      <c r="AN10282" s="54" t="s">
        <v>185</v>
      </c>
      <c r="AO10282" s="54">
        <v>4</v>
      </c>
      <c r="AP10282" s="54">
        <v>8</v>
      </c>
      <c r="AQ10282" s="54">
        <v>3857</v>
      </c>
      <c r="AR10282" s="55">
        <v>28500</v>
      </c>
      <c r="AS10282" s="78">
        <f t="shared" si="164"/>
        <v>0.13533333333333333</v>
      </c>
    </row>
    <row r="10283" spans="39:45">
      <c r="AM10283" s="55">
        <v>2020</v>
      </c>
      <c r="AN10283" s="55" t="s">
        <v>185</v>
      </c>
      <c r="AO10283" s="55">
        <v>4</v>
      </c>
      <c r="AP10283" s="55">
        <v>9</v>
      </c>
      <c r="AQ10283" s="55">
        <v>6292</v>
      </c>
      <c r="AR10283" s="55">
        <v>28500</v>
      </c>
      <c r="AS10283" s="78">
        <f t="shared" si="164"/>
        <v>0.2207719298245614</v>
      </c>
    </row>
    <row r="10284" spans="39:45">
      <c r="AM10284" s="54">
        <v>2020</v>
      </c>
      <c r="AN10284" s="54" t="s">
        <v>185</v>
      </c>
      <c r="AO10284" s="54">
        <v>4</v>
      </c>
      <c r="AP10284" s="54">
        <v>10</v>
      </c>
      <c r="AQ10284" s="54">
        <v>7228.5</v>
      </c>
      <c r="AR10284" s="55">
        <v>28500</v>
      </c>
      <c r="AS10284" s="78">
        <f t="shared" si="164"/>
        <v>0.25363157894736843</v>
      </c>
    </row>
    <row r="10285" spans="39:45">
      <c r="AM10285" s="55">
        <v>2020</v>
      </c>
      <c r="AN10285" s="55" t="s">
        <v>185</v>
      </c>
      <c r="AO10285" s="55">
        <v>4</v>
      </c>
      <c r="AP10285" s="55">
        <v>11</v>
      </c>
      <c r="AQ10285" s="55">
        <v>15355</v>
      </c>
      <c r="AR10285" s="55">
        <v>28500</v>
      </c>
      <c r="AS10285" s="78">
        <f t="shared" si="164"/>
        <v>0.53877192982456146</v>
      </c>
    </row>
    <row r="10286" spans="39:45">
      <c r="AM10286" s="54">
        <v>2020</v>
      </c>
      <c r="AN10286" s="54" t="s">
        <v>185</v>
      </c>
      <c r="AO10286" s="54">
        <v>4</v>
      </c>
      <c r="AP10286" s="54">
        <v>12</v>
      </c>
      <c r="AQ10286" s="54">
        <v>16387</v>
      </c>
      <c r="AR10286" s="55">
        <v>28500</v>
      </c>
      <c r="AS10286" s="78">
        <f t="shared" si="164"/>
        <v>0.57498245614035093</v>
      </c>
    </row>
    <row r="10287" spans="39:45">
      <c r="AM10287" s="55">
        <v>2020</v>
      </c>
      <c r="AN10287" s="55" t="s">
        <v>185</v>
      </c>
      <c r="AO10287" s="55">
        <v>4</v>
      </c>
      <c r="AP10287" s="55">
        <v>13</v>
      </c>
      <c r="AQ10287" s="55">
        <v>10158.5</v>
      </c>
      <c r="AR10287" s="55">
        <v>28500</v>
      </c>
      <c r="AS10287" s="78">
        <f t="shared" si="164"/>
        <v>0.35643859649122805</v>
      </c>
    </row>
    <row r="10288" spans="39:45">
      <c r="AM10288" s="54">
        <v>2020</v>
      </c>
      <c r="AN10288" s="54" t="s">
        <v>185</v>
      </c>
      <c r="AO10288" s="54">
        <v>4</v>
      </c>
      <c r="AP10288" s="54">
        <v>14</v>
      </c>
      <c r="AQ10288" s="54">
        <v>2908.5</v>
      </c>
      <c r="AR10288" s="55">
        <v>28500</v>
      </c>
      <c r="AS10288" s="78">
        <f t="shared" si="164"/>
        <v>0.10205263157894737</v>
      </c>
    </row>
    <row r="10289" spans="39:45">
      <c r="AM10289" s="55">
        <v>2020</v>
      </c>
      <c r="AN10289" s="55" t="s">
        <v>185</v>
      </c>
      <c r="AO10289" s="55">
        <v>4</v>
      </c>
      <c r="AP10289" s="55">
        <v>15</v>
      </c>
      <c r="AQ10289" s="55">
        <v>2718.5</v>
      </c>
      <c r="AR10289" s="55">
        <v>28500</v>
      </c>
      <c r="AS10289" s="78">
        <f t="shared" si="164"/>
        <v>9.5385964912280699E-2</v>
      </c>
    </row>
    <row r="10290" spans="39:45">
      <c r="AM10290" s="54">
        <v>2020</v>
      </c>
      <c r="AN10290" s="54" t="s">
        <v>185</v>
      </c>
      <c r="AO10290" s="54">
        <v>4</v>
      </c>
      <c r="AP10290" s="54">
        <v>16</v>
      </c>
      <c r="AQ10290" s="54">
        <v>4525.5</v>
      </c>
      <c r="AR10290" s="55">
        <v>28500</v>
      </c>
      <c r="AS10290" s="78">
        <f t="shared" si="164"/>
        <v>0.15878947368421054</v>
      </c>
    </row>
    <row r="10291" spans="39:45">
      <c r="AM10291" s="55">
        <v>2020</v>
      </c>
      <c r="AN10291" s="55" t="s">
        <v>185</v>
      </c>
      <c r="AO10291" s="55">
        <v>4</v>
      </c>
      <c r="AP10291" s="55">
        <v>17</v>
      </c>
      <c r="AQ10291" s="55">
        <v>0</v>
      </c>
      <c r="AR10291" s="55">
        <v>28500</v>
      </c>
      <c r="AS10291" s="78">
        <f t="shared" si="164"/>
        <v>0</v>
      </c>
    </row>
    <row r="10292" spans="39:45">
      <c r="AM10292" s="54">
        <v>2020</v>
      </c>
      <c r="AN10292" s="54" t="s">
        <v>185</v>
      </c>
      <c r="AO10292" s="54">
        <v>4</v>
      </c>
      <c r="AP10292" s="54">
        <v>18</v>
      </c>
      <c r="AQ10292" s="54">
        <v>0</v>
      </c>
      <c r="AR10292" s="55">
        <v>28500</v>
      </c>
      <c r="AS10292" s="78">
        <f t="shared" si="164"/>
        <v>0</v>
      </c>
    </row>
    <row r="10293" spans="39:45">
      <c r="AM10293" s="55">
        <v>2020</v>
      </c>
      <c r="AN10293" s="55" t="s">
        <v>185</v>
      </c>
      <c r="AO10293" s="55">
        <v>4</v>
      </c>
      <c r="AP10293" s="55">
        <v>19</v>
      </c>
      <c r="AQ10293" s="55">
        <v>0</v>
      </c>
      <c r="AR10293" s="55">
        <v>28500</v>
      </c>
      <c r="AS10293" s="78">
        <f t="shared" si="164"/>
        <v>0</v>
      </c>
    </row>
    <row r="10294" spans="39:45">
      <c r="AM10294" s="54">
        <v>2020</v>
      </c>
      <c r="AN10294" s="54" t="s">
        <v>185</v>
      </c>
      <c r="AO10294" s="54">
        <v>4</v>
      </c>
      <c r="AP10294" s="54">
        <v>20</v>
      </c>
      <c r="AQ10294" s="54">
        <v>0</v>
      </c>
      <c r="AR10294" s="55">
        <v>28500</v>
      </c>
      <c r="AS10294" s="78">
        <f t="shared" si="164"/>
        <v>0</v>
      </c>
    </row>
    <row r="10295" spans="39:45">
      <c r="AM10295" s="55">
        <v>2020</v>
      </c>
      <c r="AN10295" s="55" t="s">
        <v>185</v>
      </c>
      <c r="AO10295" s="55">
        <v>4</v>
      </c>
      <c r="AP10295" s="55">
        <v>21</v>
      </c>
      <c r="AQ10295" s="55">
        <v>0</v>
      </c>
      <c r="AR10295" s="55">
        <v>28500</v>
      </c>
      <c r="AS10295" s="78">
        <f t="shared" si="164"/>
        <v>0</v>
      </c>
    </row>
    <row r="10296" spans="39:45">
      <c r="AM10296" s="54">
        <v>2020</v>
      </c>
      <c r="AN10296" s="54" t="s">
        <v>185</v>
      </c>
      <c r="AO10296" s="54">
        <v>4</v>
      </c>
      <c r="AP10296" s="54">
        <v>22</v>
      </c>
      <c r="AQ10296" s="54">
        <v>0</v>
      </c>
      <c r="AR10296" s="55">
        <v>28500</v>
      </c>
      <c r="AS10296" s="78">
        <f t="shared" si="164"/>
        <v>0</v>
      </c>
    </row>
    <row r="10297" spans="39:45">
      <c r="AM10297" s="55">
        <v>2020</v>
      </c>
      <c r="AN10297" s="55" t="s">
        <v>185</v>
      </c>
      <c r="AO10297" s="55">
        <v>4</v>
      </c>
      <c r="AP10297" s="55">
        <v>23</v>
      </c>
      <c r="AQ10297" s="55">
        <v>0</v>
      </c>
      <c r="AR10297" s="55">
        <v>28500</v>
      </c>
      <c r="AS10297" s="78">
        <f t="shared" si="164"/>
        <v>0</v>
      </c>
    </row>
    <row r="10298" spans="39:45">
      <c r="AM10298" s="54">
        <v>2020</v>
      </c>
      <c r="AN10298" s="54" t="s">
        <v>185</v>
      </c>
      <c r="AO10298" s="54">
        <v>5</v>
      </c>
      <c r="AP10298" s="54">
        <v>24</v>
      </c>
      <c r="AQ10298" s="54">
        <v>0</v>
      </c>
      <c r="AR10298" s="55">
        <v>28500</v>
      </c>
      <c r="AS10298" s="78">
        <f t="shared" si="164"/>
        <v>0</v>
      </c>
    </row>
    <row r="10299" spans="39:45">
      <c r="AM10299" s="55">
        <v>2020</v>
      </c>
      <c r="AN10299" s="55" t="s">
        <v>185</v>
      </c>
      <c r="AO10299" s="55">
        <v>5</v>
      </c>
      <c r="AP10299" s="55">
        <v>1</v>
      </c>
      <c r="AQ10299" s="55">
        <v>0</v>
      </c>
      <c r="AR10299" s="55">
        <v>28500</v>
      </c>
      <c r="AS10299" s="78">
        <f t="shared" si="164"/>
        <v>0</v>
      </c>
    </row>
    <row r="10300" spans="39:45">
      <c r="AM10300" s="54">
        <v>2020</v>
      </c>
      <c r="AN10300" s="54" t="s">
        <v>185</v>
      </c>
      <c r="AO10300" s="54">
        <v>5</v>
      </c>
      <c r="AP10300" s="54">
        <v>2</v>
      </c>
      <c r="AQ10300" s="54">
        <v>0</v>
      </c>
      <c r="AR10300" s="55">
        <v>28500</v>
      </c>
      <c r="AS10300" s="78">
        <f t="shared" si="164"/>
        <v>0</v>
      </c>
    </row>
    <row r="10301" spans="39:45">
      <c r="AM10301" s="55">
        <v>2020</v>
      </c>
      <c r="AN10301" s="55" t="s">
        <v>185</v>
      </c>
      <c r="AO10301" s="55">
        <v>5</v>
      </c>
      <c r="AP10301" s="55">
        <v>3</v>
      </c>
      <c r="AQ10301" s="55">
        <v>0</v>
      </c>
      <c r="AR10301" s="55">
        <v>28500</v>
      </c>
      <c r="AS10301" s="78">
        <f t="shared" si="164"/>
        <v>0</v>
      </c>
    </row>
    <row r="10302" spans="39:45">
      <c r="AM10302" s="54">
        <v>2020</v>
      </c>
      <c r="AN10302" s="54" t="s">
        <v>185</v>
      </c>
      <c r="AO10302" s="54">
        <v>5</v>
      </c>
      <c r="AP10302" s="54">
        <v>4</v>
      </c>
      <c r="AQ10302" s="54">
        <v>0</v>
      </c>
      <c r="AR10302" s="55">
        <v>28500</v>
      </c>
      <c r="AS10302" s="78">
        <f t="shared" si="164"/>
        <v>0</v>
      </c>
    </row>
    <row r="10303" spans="39:45">
      <c r="AM10303" s="55">
        <v>2020</v>
      </c>
      <c r="AN10303" s="55" t="s">
        <v>185</v>
      </c>
      <c r="AO10303" s="55">
        <v>5</v>
      </c>
      <c r="AP10303" s="55">
        <v>5</v>
      </c>
      <c r="AQ10303" s="55">
        <v>0</v>
      </c>
      <c r="AR10303" s="55">
        <v>28500</v>
      </c>
      <c r="AS10303" s="78">
        <f t="shared" si="164"/>
        <v>0</v>
      </c>
    </row>
    <row r="10304" spans="39:45">
      <c r="AM10304" s="54">
        <v>2020</v>
      </c>
      <c r="AN10304" s="54" t="s">
        <v>185</v>
      </c>
      <c r="AO10304" s="54">
        <v>5</v>
      </c>
      <c r="AP10304" s="54">
        <v>6</v>
      </c>
      <c r="AQ10304" s="54">
        <v>0</v>
      </c>
      <c r="AR10304" s="55">
        <v>28500</v>
      </c>
      <c r="AS10304" s="78">
        <f t="shared" si="164"/>
        <v>0</v>
      </c>
    </row>
    <row r="10305" spans="39:45">
      <c r="AM10305" s="55">
        <v>2020</v>
      </c>
      <c r="AN10305" s="55" t="s">
        <v>185</v>
      </c>
      <c r="AO10305" s="55">
        <v>5</v>
      </c>
      <c r="AP10305" s="55">
        <v>7</v>
      </c>
      <c r="AQ10305" s="55">
        <v>75.5</v>
      </c>
      <c r="AR10305" s="55">
        <v>28500</v>
      </c>
      <c r="AS10305" s="78">
        <f t="shared" si="164"/>
        <v>2.6491228070175438E-3</v>
      </c>
    </row>
    <row r="10306" spans="39:45">
      <c r="AM10306" s="54">
        <v>2020</v>
      </c>
      <c r="AN10306" s="54" t="s">
        <v>185</v>
      </c>
      <c r="AO10306" s="54">
        <v>5</v>
      </c>
      <c r="AP10306" s="54">
        <v>8</v>
      </c>
      <c r="AQ10306" s="54">
        <v>430</v>
      </c>
      <c r="AR10306" s="55">
        <v>28500</v>
      </c>
      <c r="AS10306" s="78">
        <f t="shared" ref="AS10306:AS10369" si="165">AQ10306/AR10306</f>
        <v>1.5087719298245613E-2</v>
      </c>
    </row>
    <row r="10307" spans="39:45">
      <c r="AM10307" s="55">
        <v>2020</v>
      </c>
      <c r="AN10307" s="55" t="s">
        <v>185</v>
      </c>
      <c r="AO10307" s="55">
        <v>5</v>
      </c>
      <c r="AP10307" s="55">
        <v>9</v>
      </c>
      <c r="AQ10307" s="55">
        <v>619.5</v>
      </c>
      <c r="AR10307" s="55">
        <v>28500</v>
      </c>
      <c r="AS10307" s="78">
        <f t="shared" si="165"/>
        <v>2.1736842105263159E-2</v>
      </c>
    </row>
    <row r="10308" spans="39:45">
      <c r="AM10308" s="54">
        <v>2020</v>
      </c>
      <c r="AN10308" s="54" t="s">
        <v>185</v>
      </c>
      <c r="AO10308" s="54">
        <v>5</v>
      </c>
      <c r="AP10308" s="54">
        <v>10</v>
      </c>
      <c r="AQ10308" s="54">
        <v>1752.5</v>
      </c>
      <c r="AR10308" s="55">
        <v>28500</v>
      </c>
      <c r="AS10308" s="78">
        <f t="shared" si="165"/>
        <v>6.1491228070175437E-2</v>
      </c>
    </row>
    <row r="10309" spans="39:45">
      <c r="AM10309" s="55">
        <v>2020</v>
      </c>
      <c r="AN10309" s="55" t="s">
        <v>185</v>
      </c>
      <c r="AO10309" s="55">
        <v>5</v>
      </c>
      <c r="AP10309" s="55">
        <v>11</v>
      </c>
      <c r="AQ10309" s="55">
        <v>2592.5</v>
      </c>
      <c r="AR10309" s="55">
        <v>28500</v>
      </c>
      <c r="AS10309" s="78">
        <f t="shared" si="165"/>
        <v>9.0964912280701749E-2</v>
      </c>
    </row>
    <row r="10310" spans="39:45">
      <c r="AM10310" s="54">
        <v>2020</v>
      </c>
      <c r="AN10310" s="54" t="s">
        <v>185</v>
      </c>
      <c r="AO10310" s="54">
        <v>5</v>
      </c>
      <c r="AP10310" s="54">
        <v>12</v>
      </c>
      <c r="AQ10310" s="54">
        <v>3140</v>
      </c>
      <c r="AR10310" s="55">
        <v>28500</v>
      </c>
      <c r="AS10310" s="78">
        <f t="shared" si="165"/>
        <v>0.11017543859649123</v>
      </c>
    </row>
    <row r="10311" spans="39:45">
      <c r="AM10311" s="55">
        <v>2020</v>
      </c>
      <c r="AN10311" s="55" t="s">
        <v>185</v>
      </c>
      <c r="AO10311" s="55">
        <v>5</v>
      </c>
      <c r="AP10311" s="55">
        <v>13</v>
      </c>
      <c r="AQ10311" s="55">
        <v>1346.5</v>
      </c>
      <c r="AR10311" s="55">
        <v>28500</v>
      </c>
      <c r="AS10311" s="78">
        <f t="shared" si="165"/>
        <v>4.7245614035087723E-2</v>
      </c>
    </row>
    <row r="10312" spans="39:45">
      <c r="AM10312" s="54">
        <v>2020</v>
      </c>
      <c r="AN10312" s="54" t="s">
        <v>185</v>
      </c>
      <c r="AO10312" s="54">
        <v>5</v>
      </c>
      <c r="AP10312" s="54">
        <v>14</v>
      </c>
      <c r="AQ10312" s="54">
        <v>3694</v>
      </c>
      <c r="AR10312" s="55">
        <v>28500</v>
      </c>
      <c r="AS10312" s="78">
        <f t="shared" si="165"/>
        <v>0.12961403508771929</v>
      </c>
    </row>
    <row r="10313" spans="39:45">
      <c r="AM10313" s="55">
        <v>2020</v>
      </c>
      <c r="AN10313" s="55" t="s">
        <v>185</v>
      </c>
      <c r="AO10313" s="55">
        <v>5</v>
      </c>
      <c r="AP10313" s="55">
        <v>15</v>
      </c>
      <c r="AQ10313" s="55">
        <v>1867</v>
      </c>
      <c r="AR10313" s="55">
        <v>28500</v>
      </c>
      <c r="AS10313" s="78">
        <f t="shared" si="165"/>
        <v>6.5508771929824558E-2</v>
      </c>
    </row>
    <row r="10314" spans="39:45">
      <c r="AM10314" s="54">
        <v>2020</v>
      </c>
      <c r="AN10314" s="54" t="s">
        <v>185</v>
      </c>
      <c r="AO10314" s="54">
        <v>5</v>
      </c>
      <c r="AP10314" s="54">
        <v>16</v>
      </c>
      <c r="AQ10314" s="54">
        <v>854.5</v>
      </c>
      <c r="AR10314" s="55">
        <v>28500</v>
      </c>
      <c r="AS10314" s="78">
        <f t="shared" si="165"/>
        <v>2.9982456140350878E-2</v>
      </c>
    </row>
    <row r="10315" spans="39:45">
      <c r="AM10315" s="55">
        <v>2020</v>
      </c>
      <c r="AN10315" s="55" t="s">
        <v>185</v>
      </c>
      <c r="AO10315" s="55">
        <v>5</v>
      </c>
      <c r="AP10315" s="55">
        <v>17</v>
      </c>
      <c r="AQ10315" s="55">
        <v>0</v>
      </c>
      <c r="AR10315" s="55">
        <v>28500</v>
      </c>
      <c r="AS10315" s="78">
        <f t="shared" si="165"/>
        <v>0</v>
      </c>
    </row>
    <row r="10316" spans="39:45">
      <c r="AM10316" s="54">
        <v>2020</v>
      </c>
      <c r="AN10316" s="54" t="s">
        <v>185</v>
      </c>
      <c r="AO10316" s="54">
        <v>5</v>
      </c>
      <c r="AP10316" s="54">
        <v>18</v>
      </c>
      <c r="AQ10316" s="54">
        <v>0</v>
      </c>
      <c r="AR10316" s="55">
        <v>28500</v>
      </c>
      <c r="AS10316" s="78">
        <f t="shared" si="165"/>
        <v>0</v>
      </c>
    </row>
    <row r="10317" spans="39:45">
      <c r="AM10317" s="55">
        <v>2020</v>
      </c>
      <c r="AN10317" s="55" t="s">
        <v>185</v>
      </c>
      <c r="AO10317" s="55">
        <v>5</v>
      </c>
      <c r="AP10317" s="55">
        <v>19</v>
      </c>
      <c r="AQ10317" s="55">
        <v>0</v>
      </c>
      <c r="AR10317" s="55">
        <v>28500</v>
      </c>
      <c r="AS10317" s="78">
        <f t="shared" si="165"/>
        <v>0</v>
      </c>
    </row>
    <row r="10318" spans="39:45">
      <c r="AM10318" s="54">
        <v>2020</v>
      </c>
      <c r="AN10318" s="54" t="s">
        <v>185</v>
      </c>
      <c r="AO10318" s="54">
        <v>5</v>
      </c>
      <c r="AP10318" s="54">
        <v>20</v>
      </c>
      <c r="AQ10318" s="54">
        <v>0</v>
      </c>
      <c r="AR10318" s="55">
        <v>28500</v>
      </c>
      <c r="AS10318" s="78">
        <f t="shared" si="165"/>
        <v>0</v>
      </c>
    </row>
    <row r="10319" spans="39:45">
      <c r="AM10319" s="55">
        <v>2020</v>
      </c>
      <c r="AN10319" s="55" t="s">
        <v>185</v>
      </c>
      <c r="AO10319" s="55">
        <v>5</v>
      </c>
      <c r="AP10319" s="55">
        <v>21</v>
      </c>
      <c r="AQ10319" s="55">
        <v>0</v>
      </c>
      <c r="AR10319" s="55">
        <v>28500</v>
      </c>
      <c r="AS10319" s="78">
        <f t="shared" si="165"/>
        <v>0</v>
      </c>
    </row>
    <row r="10320" spans="39:45">
      <c r="AM10320" s="54">
        <v>2020</v>
      </c>
      <c r="AN10320" s="54" t="s">
        <v>185</v>
      </c>
      <c r="AO10320" s="54">
        <v>5</v>
      </c>
      <c r="AP10320" s="54">
        <v>22</v>
      </c>
      <c r="AQ10320" s="54">
        <v>0</v>
      </c>
      <c r="AR10320" s="55">
        <v>28500</v>
      </c>
      <c r="AS10320" s="78">
        <f t="shared" si="165"/>
        <v>0</v>
      </c>
    </row>
    <row r="10321" spans="39:45">
      <c r="AM10321" s="55">
        <v>2020</v>
      </c>
      <c r="AN10321" s="55" t="s">
        <v>185</v>
      </c>
      <c r="AO10321" s="55">
        <v>5</v>
      </c>
      <c r="AP10321" s="55">
        <v>23</v>
      </c>
      <c r="AQ10321" s="55">
        <v>0</v>
      </c>
      <c r="AR10321" s="55">
        <v>28500</v>
      </c>
      <c r="AS10321" s="78">
        <f t="shared" si="165"/>
        <v>0</v>
      </c>
    </row>
    <row r="10322" spans="39:45">
      <c r="AM10322" s="54">
        <v>2020</v>
      </c>
      <c r="AN10322" s="54" t="s">
        <v>185</v>
      </c>
      <c r="AO10322" s="54">
        <v>6</v>
      </c>
      <c r="AP10322" s="54">
        <v>24</v>
      </c>
      <c r="AQ10322" s="54">
        <v>0</v>
      </c>
      <c r="AR10322" s="55">
        <v>28500</v>
      </c>
      <c r="AS10322" s="78">
        <f t="shared" si="165"/>
        <v>0</v>
      </c>
    </row>
    <row r="10323" spans="39:45">
      <c r="AM10323" s="55">
        <v>2020</v>
      </c>
      <c r="AN10323" s="55" t="s">
        <v>185</v>
      </c>
      <c r="AO10323" s="55">
        <v>6</v>
      </c>
      <c r="AP10323" s="55">
        <v>1</v>
      </c>
      <c r="AQ10323" s="55">
        <v>0</v>
      </c>
      <c r="AR10323" s="55">
        <v>28500</v>
      </c>
      <c r="AS10323" s="78">
        <f t="shared" si="165"/>
        <v>0</v>
      </c>
    </row>
    <row r="10324" spans="39:45">
      <c r="AM10324" s="54">
        <v>2020</v>
      </c>
      <c r="AN10324" s="54" t="s">
        <v>185</v>
      </c>
      <c r="AO10324" s="54">
        <v>6</v>
      </c>
      <c r="AP10324" s="54">
        <v>2</v>
      </c>
      <c r="AQ10324" s="54">
        <v>0</v>
      </c>
      <c r="AR10324" s="55">
        <v>28500</v>
      </c>
      <c r="AS10324" s="78">
        <f t="shared" si="165"/>
        <v>0</v>
      </c>
    </row>
    <row r="10325" spans="39:45">
      <c r="AM10325" s="55">
        <v>2020</v>
      </c>
      <c r="AN10325" s="55" t="s">
        <v>185</v>
      </c>
      <c r="AO10325" s="55">
        <v>6</v>
      </c>
      <c r="AP10325" s="55">
        <v>3</v>
      </c>
      <c r="AQ10325" s="55">
        <v>0</v>
      </c>
      <c r="AR10325" s="55">
        <v>28500</v>
      </c>
      <c r="AS10325" s="78">
        <f t="shared" si="165"/>
        <v>0</v>
      </c>
    </row>
    <row r="10326" spans="39:45">
      <c r="AM10326" s="54">
        <v>2020</v>
      </c>
      <c r="AN10326" s="54" t="s">
        <v>185</v>
      </c>
      <c r="AO10326" s="54">
        <v>6</v>
      </c>
      <c r="AP10326" s="54">
        <v>4</v>
      </c>
      <c r="AQ10326" s="54">
        <v>0</v>
      </c>
      <c r="AR10326" s="55">
        <v>28500</v>
      </c>
      <c r="AS10326" s="78">
        <f t="shared" si="165"/>
        <v>0</v>
      </c>
    </row>
    <row r="10327" spans="39:45">
      <c r="AM10327" s="55">
        <v>2020</v>
      </c>
      <c r="AN10327" s="55" t="s">
        <v>185</v>
      </c>
      <c r="AO10327" s="55">
        <v>6</v>
      </c>
      <c r="AP10327" s="55">
        <v>5</v>
      </c>
      <c r="AQ10327" s="55">
        <v>0</v>
      </c>
      <c r="AR10327" s="55">
        <v>28500</v>
      </c>
      <c r="AS10327" s="78">
        <f t="shared" si="165"/>
        <v>0</v>
      </c>
    </row>
    <row r="10328" spans="39:45">
      <c r="AM10328" s="54">
        <v>2020</v>
      </c>
      <c r="AN10328" s="54" t="s">
        <v>185</v>
      </c>
      <c r="AO10328" s="54">
        <v>6</v>
      </c>
      <c r="AP10328" s="54">
        <v>6</v>
      </c>
      <c r="AQ10328" s="54">
        <v>0</v>
      </c>
      <c r="AR10328" s="55">
        <v>28500</v>
      </c>
      <c r="AS10328" s="78">
        <f t="shared" si="165"/>
        <v>0</v>
      </c>
    </row>
    <row r="10329" spans="39:45">
      <c r="AM10329" s="55">
        <v>2020</v>
      </c>
      <c r="AN10329" s="55" t="s">
        <v>185</v>
      </c>
      <c r="AO10329" s="55">
        <v>6</v>
      </c>
      <c r="AP10329" s="55">
        <v>7</v>
      </c>
      <c r="AQ10329" s="55">
        <v>1188</v>
      </c>
      <c r="AR10329" s="55">
        <v>28500</v>
      </c>
      <c r="AS10329" s="78">
        <f t="shared" si="165"/>
        <v>4.1684210526315789E-2</v>
      </c>
    </row>
    <row r="10330" spans="39:45">
      <c r="AM10330" s="54">
        <v>2020</v>
      </c>
      <c r="AN10330" s="54" t="s">
        <v>185</v>
      </c>
      <c r="AO10330" s="54">
        <v>6</v>
      </c>
      <c r="AP10330" s="54">
        <v>8</v>
      </c>
      <c r="AQ10330" s="54">
        <v>16169</v>
      </c>
      <c r="AR10330" s="55">
        <v>28500</v>
      </c>
      <c r="AS10330" s="78">
        <f t="shared" si="165"/>
        <v>0.56733333333333336</v>
      </c>
    </row>
    <row r="10331" spans="39:45">
      <c r="AM10331" s="55">
        <v>2020</v>
      </c>
      <c r="AN10331" s="55" t="s">
        <v>185</v>
      </c>
      <c r="AO10331" s="55">
        <v>6</v>
      </c>
      <c r="AP10331" s="55">
        <v>9</v>
      </c>
      <c r="AQ10331" s="55">
        <v>25015.5</v>
      </c>
      <c r="AR10331" s="55">
        <v>28500</v>
      </c>
      <c r="AS10331" s="78">
        <f t="shared" si="165"/>
        <v>0.87773684210526315</v>
      </c>
    </row>
    <row r="10332" spans="39:45">
      <c r="AM10332" s="54">
        <v>2020</v>
      </c>
      <c r="AN10332" s="54" t="s">
        <v>185</v>
      </c>
      <c r="AO10332" s="54">
        <v>6</v>
      </c>
      <c r="AP10332" s="54">
        <v>10</v>
      </c>
      <c r="AQ10332" s="54">
        <v>24659</v>
      </c>
      <c r="AR10332" s="55">
        <v>28500</v>
      </c>
      <c r="AS10332" s="78">
        <f t="shared" si="165"/>
        <v>0.86522807017543857</v>
      </c>
    </row>
    <row r="10333" spans="39:45">
      <c r="AM10333" s="55">
        <v>2020</v>
      </c>
      <c r="AN10333" s="55" t="s">
        <v>185</v>
      </c>
      <c r="AO10333" s="55">
        <v>6</v>
      </c>
      <c r="AP10333" s="55">
        <v>11</v>
      </c>
      <c r="AQ10333" s="55">
        <v>35768.5</v>
      </c>
      <c r="AR10333" s="55">
        <v>28500</v>
      </c>
      <c r="AS10333" s="78">
        <f t="shared" si="165"/>
        <v>1.2550350877192982</v>
      </c>
    </row>
    <row r="10334" spans="39:45">
      <c r="AM10334" s="54">
        <v>2020</v>
      </c>
      <c r="AN10334" s="54" t="s">
        <v>185</v>
      </c>
      <c r="AO10334" s="54">
        <v>6</v>
      </c>
      <c r="AP10334" s="54">
        <v>12</v>
      </c>
      <c r="AQ10334" s="54">
        <v>33913.5</v>
      </c>
      <c r="AR10334" s="55">
        <v>28500</v>
      </c>
      <c r="AS10334" s="78">
        <f t="shared" si="165"/>
        <v>1.1899473684210526</v>
      </c>
    </row>
    <row r="10335" spans="39:45">
      <c r="AM10335" s="55">
        <v>2020</v>
      </c>
      <c r="AN10335" s="55" t="s">
        <v>185</v>
      </c>
      <c r="AO10335" s="55">
        <v>6</v>
      </c>
      <c r="AP10335" s="55">
        <v>13</v>
      </c>
      <c r="AQ10335" s="55">
        <v>35851</v>
      </c>
      <c r="AR10335" s="55">
        <v>28500</v>
      </c>
      <c r="AS10335" s="78">
        <f t="shared" si="165"/>
        <v>1.2579298245614035</v>
      </c>
    </row>
    <row r="10336" spans="39:45">
      <c r="AM10336" s="54">
        <v>2020</v>
      </c>
      <c r="AN10336" s="54" t="s">
        <v>185</v>
      </c>
      <c r="AO10336" s="54">
        <v>6</v>
      </c>
      <c r="AP10336" s="54">
        <v>14</v>
      </c>
      <c r="AQ10336" s="54">
        <v>29859</v>
      </c>
      <c r="AR10336" s="55">
        <v>28500</v>
      </c>
      <c r="AS10336" s="78">
        <f t="shared" si="165"/>
        <v>1.0476842105263158</v>
      </c>
    </row>
    <row r="10337" spans="39:45">
      <c r="AM10337" s="55">
        <v>2020</v>
      </c>
      <c r="AN10337" s="55" t="s">
        <v>185</v>
      </c>
      <c r="AO10337" s="55">
        <v>6</v>
      </c>
      <c r="AP10337" s="55">
        <v>15</v>
      </c>
      <c r="AQ10337" s="55">
        <v>26694</v>
      </c>
      <c r="AR10337" s="55">
        <v>28500</v>
      </c>
      <c r="AS10337" s="78">
        <f t="shared" si="165"/>
        <v>0.93663157894736837</v>
      </c>
    </row>
    <row r="10338" spans="39:45">
      <c r="AM10338" s="54">
        <v>2020</v>
      </c>
      <c r="AN10338" s="54" t="s">
        <v>185</v>
      </c>
      <c r="AO10338" s="54">
        <v>6</v>
      </c>
      <c r="AP10338" s="54">
        <v>16</v>
      </c>
      <c r="AQ10338" s="54">
        <v>14511.5</v>
      </c>
      <c r="AR10338" s="55">
        <v>28500</v>
      </c>
      <c r="AS10338" s="78">
        <f t="shared" si="165"/>
        <v>0.50917543859649128</v>
      </c>
    </row>
    <row r="10339" spans="39:45">
      <c r="AM10339" s="55">
        <v>2020</v>
      </c>
      <c r="AN10339" s="55" t="s">
        <v>185</v>
      </c>
      <c r="AO10339" s="55">
        <v>6</v>
      </c>
      <c r="AP10339" s="55">
        <v>17</v>
      </c>
      <c r="AQ10339" s="55">
        <v>821.5</v>
      </c>
      <c r="AR10339" s="55">
        <v>28500</v>
      </c>
      <c r="AS10339" s="78">
        <f t="shared" si="165"/>
        <v>2.8824561403508774E-2</v>
      </c>
    </row>
    <row r="10340" spans="39:45">
      <c r="AM10340" s="54">
        <v>2020</v>
      </c>
      <c r="AN10340" s="54" t="s">
        <v>185</v>
      </c>
      <c r="AO10340" s="54">
        <v>6</v>
      </c>
      <c r="AP10340" s="54">
        <v>18</v>
      </c>
      <c r="AQ10340" s="54">
        <v>0</v>
      </c>
      <c r="AR10340" s="55">
        <v>28500</v>
      </c>
      <c r="AS10340" s="78">
        <f t="shared" si="165"/>
        <v>0</v>
      </c>
    </row>
    <row r="10341" spans="39:45">
      <c r="AM10341" s="55">
        <v>2020</v>
      </c>
      <c r="AN10341" s="55" t="s">
        <v>185</v>
      </c>
      <c r="AO10341" s="55">
        <v>6</v>
      </c>
      <c r="AP10341" s="55">
        <v>19</v>
      </c>
      <c r="AQ10341" s="55">
        <v>0</v>
      </c>
      <c r="AR10341" s="55">
        <v>28500</v>
      </c>
      <c r="AS10341" s="78">
        <f t="shared" si="165"/>
        <v>0</v>
      </c>
    </row>
    <row r="10342" spans="39:45">
      <c r="AM10342" s="54">
        <v>2020</v>
      </c>
      <c r="AN10342" s="54" t="s">
        <v>185</v>
      </c>
      <c r="AO10342" s="54">
        <v>6</v>
      </c>
      <c r="AP10342" s="54">
        <v>20</v>
      </c>
      <c r="AQ10342" s="54">
        <v>0</v>
      </c>
      <c r="AR10342" s="55">
        <v>28500</v>
      </c>
      <c r="AS10342" s="78">
        <f t="shared" si="165"/>
        <v>0</v>
      </c>
    </row>
    <row r="10343" spans="39:45">
      <c r="AM10343" s="55">
        <v>2020</v>
      </c>
      <c r="AN10343" s="55" t="s">
        <v>185</v>
      </c>
      <c r="AO10343" s="55">
        <v>6</v>
      </c>
      <c r="AP10343" s="55">
        <v>21</v>
      </c>
      <c r="AQ10343" s="55">
        <v>0</v>
      </c>
      <c r="AR10343" s="55">
        <v>28500</v>
      </c>
      <c r="AS10343" s="78">
        <f t="shared" si="165"/>
        <v>0</v>
      </c>
    </row>
    <row r="10344" spans="39:45">
      <c r="AM10344" s="54">
        <v>2020</v>
      </c>
      <c r="AN10344" s="54" t="s">
        <v>185</v>
      </c>
      <c r="AO10344" s="54">
        <v>6</v>
      </c>
      <c r="AP10344" s="54">
        <v>22</v>
      </c>
      <c r="AQ10344" s="54">
        <v>0</v>
      </c>
      <c r="AR10344" s="55">
        <v>28500</v>
      </c>
      <c r="AS10344" s="78">
        <f t="shared" si="165"/>
        <v>0</v>
      </c>
    </row>
    <row r="10345" spans="39:45">
      <c r="AM10345" s="55">
        <v>2020</v>
      </c>
      <c r="AN10345" s="55" t="s">
        <v>185</v>
      </c>
      <c r="AO10345" s="55">
        <v>6</v>
      </c>
      <c r="AP10345" s="55">
        <v>23</v>
      </c>
      <c r="AQ10345" s="55">
        <v>0</v>
      </c>
      <c r="AR10345" s="55">
        <v>28500</v>
      </c>
      <c r="AS10345" s="78">
        <f t="shared" si="165"/>
        <v>0</v>
      </c>
    </row>
    <row r="10346" spans="39:45">
      <c r="AM10346" s="54">
        <v>2020</v>
      </c>
      <c r="AN10346" s="54" t="s">
        <v>185</v>
      </c>
      <c r="AO10346" s="54">
        <v>7</v>
      </c>
      <c r="AP10346" s="54">
        <v>24</v>
      </c>
      <c r="AQ10346" s="54">
        <v>0</v>
      </c>
      <c r="AR10346" s="55">
        <v>28500</v>
      </c>
      <c r="AS10346" s="78">
        <f t="shared" si="165"/>
        <v>0</v>
      </c>
    </row>
    <row r="10347" spans="39:45">
      <c r="AM10347" s="55">
        <v>2020</v>
      </c>
      <c r="AN10347" s="55" t="s">
        <v>185</v>
      </c>
      <c r="AO10347" s="55">
        <v>7</v>
      </c>
      <c r="AP10347" s="55">
        <v>1</v>
      </c>
      <c r="AQ10347" s="55">
        <v>0</v>
      </c>
      <c r="AR10347" s="55">
        <v>28500</v>
      </c>
      <c r="AS10347" s="78">
        <f t="shared" si="165"/>
        <v>0</v>
      </c>
    </row>
    <row r="10348" spans="39:45">
      <c r="AM10348" s="54">
        <v>2020</v>
      </c>
      <c r="AN10348" s="54" t="s">
        <v>185</v>
      </c>
      <c r="AO10348" s="54">
        <v>7</v>
      </c>
      <c r="AP10348" s="54">
        <v>2</v>
      </c>
      <c r="AQ10348" s="54">
        <v>0</v>
      </c>
      <c r="AR10348" s="55">
        <v>28500</v>
      </c>
      <c r="AS10348" s="78">
        <f t="shared" si="165"/>
        <v>0</v>
      </c>
    </row>
    <row r="10349" spans="39:45">
      <c r="AM10349" s="55">
        <v>2020</v>
      </c>
      <c r="AN10349" s="55" t="s">
        <v>185</v>
      </c>
      <c r="AO10349" s="55">
        <v>7</v>
      </c>
      <c r="AP10349" s="55">
        <v>3</v>
      </c>
      <c r="AQ10349" s="55">
        <v>0</v>
      </c>
      <c r="AR10349" s="55">
        <v>28500</v>
      </c>
      <c r="AS10349" s="78">
        <f t="shared" si="165"/>
        <v>0</v>
      </c>
    </row>
    <row r="10350" spans="39:45">
      <c r="AM10350" s="54">
        <v>2020</v>
      </c>
      <c r="AN10350" s="54" t="s">
        <v>185</v>
      </c>
      <c r="AO10350" s="54">
        <v>7</v>
      </c>
      <c r="AP10350" s="54">
        <v>4</v>
      </c>
      <c r="AQ10350" s="54">
        <v>0</v>
      </c>
      <c r="AR10350" s="55">
        <v>28500</v>
      </c>
      <c r="AS10350" s="78">
        <f t="shared" si="165"/>
        <v>0</v>
      </c>
    </row>
    <row r="10351" spans="39:45">
      <c r="AM10351" s="55">
        <v>2020</v>
      </c>
      <c r="AN10351" s="55" t="s">
        <v>185</v>
      </c>
      <c r="AO10351" s="55">
        <v>7</v>
      </c>
      <c r="AP10351" s="55">
        <v>5</v>
      </c>
      <c r="AQ10351" s="55">
        <v>0</v>
      </c>
      <c r="AR10351" s="55">
        <v>28500</v>
      </c>
      <c r="AS10351" s="78">
        <f t="shared" si="165"/>
        <v>0</v>
      </c>
    </row>
    <row r="10352" spans="39:45">
      <c r="AM10352" s="54">
        <v>2020</v>
      </c>
      <c r="AN10352" s="54" t="s">
        <v>185</v>
      </c>
      <c r="AO10352" s="54">
        <v>7</v>
      </c>
      <c r="AP10352" s="54">
        <v>6</v>
      </c>
      <c r="AQ10352" s="54">
        <v>0</v>
      </c>
      <c r="AR10352" s="55">
        <v>28500</v>
      </c>
      <c r="AS10352" s="78">
        <f t="shared" si="165"/>
        <v>0</v>
      </c>
    </row>
    <row r="10353" spans="39:45">
      <c r="AM10353" s="55">
        <v>2020</v>
      </c>
      <c r="AN10353" s="55" t="s">
        <v>185</v>
      </c>
      <c r="AO10353" s="55">
        <v>7</v>
      </c>
      <c r="AP10353" s="55">
        <v>7</v>
      </c>
      <c r="AQ10353" s="55">
        <v>553</v>
      </c>
      <c r="AR10353" s="55">
        <v>28500</v>
      </c>
      <c r="AS10353" s="78">
        <f t="shared" si="165"/>
        <v>1.9403508771929825E-2</v>
      </c>
    </row>
    <row r="10354" spans="39:45">
      <c r="AM10354" s="54">
        <v>2020</v>
      </c>
      <c r="AN10354" s="54" t="s">
        <v>185</v>
      </c>
      <c r="AO10354" s="54">
        <v>7</v>
      </c>
      <c r="AP10354" s="54">
        <v>8</v>
      </c>
      <c r="AQ10354" s="54">
        <v>3093</v>
      </c>
      <c r="AR10354" s="55">
        <v>28500</v>
      </c>
      <c r="AS10354" s="78">
        <f t="shared" si="165"/>
        <v>0.10852631578947368</v>
      </c>
    </row>
    <row r="10355" spans="39:45">
      <c r="AM10355" s="55">
        <v>2020</v>
      </c>
      <c r="AN10355" s="55" t="s">
        <v>185</v>
      </c>
      <c r="AO10355" s="55">
        <v>7</v>
      </c>
      <c r="AP10355" s="55">
        <v>9</v>
      </c>
      <c r="AQ10355" s="55">
        <v>5272</v>
      </c>
      <c r="AR10355" s="55">
        <v>28500</v>
      </c>
      <c r="AS10355" s="78">
        <f t="shared" si="165"/>
        <v>0.18498245614035089</v>
      </c>
    </row>
    <row r="10356" spans="39:45">
      <c r="AM10356" s="54">
        <v>2020</v>
      </c>
      <c r="AN10356" s="54" t="s">
        <v>185</v>
      </c>
      <c r="AO10356" s="54">
        <v>7</v>
      </c>
      <c r="AP10356" s="54">
        <v>10</v>
      </c>
      <c r="AQ10356" s="54">
        <v>8471.5</v>
      </c>
      <c r="AR10356" s="55">
        <v>28500</v>
      </c>
      <c r="AS10356" s="78">
        <f t="shared" si="165"/>
        <v>0.2972456140350877</v>
      </c>
    </row>
    <row r="10357" spans="39:45">
      <c r="AM10357" s="55">
        <v>2020</v>
      </c>
      <c r="AN10357" s="55" t="s">
        <v>185</v>
      </c>
      <c r="AO10357" s="55">
        <v>7</v>
      </c>
      <c r="AP10357" s="55">
        <v>11</v>
      </c>
      <c r="AQ10357" s="55">
        <v>13603</v>
      </c>
      <c r="AR10357" s="55">
        <v>28500</v>
      </c>
      <c r="AS10357" s="78">
        <f t="shared" si="165"/>
        <v>0.47729824561403511</v>
      </c>
    </row>
    <row r="10358" spans="39:45">
      <c r="AM10358" s="54">
        <v>2020</v>
      </c>
      <c r="AN10358" s="54" t="s">
        <v>185</v>
      </c>
      <c r="AO10358" s="54">
        <v>7</v>
      </c>
      <c r="AP10358" s="54">
        <v>12</v>
      </c>
      <c r="AQ10358" s="54">
        <v>11384.5</v>
      </c>
      <c r="AR10358" s="55">
        <v>28500</v>
      </c>
      <c r="AS10358" s="78">
        <f t="shared" si="165"/>
        <v>0.39945614035087718</v>
      </c>
    </row>
    <row r="10359" spans="39:45">
      <c r="AM10359" s="55">
        <v>2020</v>
      </c>
      <c r="AN10359" s="55" t="s">
        <v>185</v>
      </c>
      <c r="AO10359" s="55">
        <v>7</v>
      </c>
      <c r="AP10359" s="55">
        <v>13</v>
      </c>
      <c r="AQ10359" s="55">
        <v>20945.5</v>
      </c>
      <c r="AR10359" s="55">
        <v>28500</v>
      </c>
      <c r="AS10359" s="78">
        <f t="shared" si="165"/>
        <v>0.73492982456140354</v>
      </c>
    </row>
    <row r="10360" spans="39:45">
      <c r="AM10360" s="54">
        <v>2020</v>
      </c>
      <c r="AN10360" s="54" t="s">
        <v>185</v>
      </c>
      <c r="AO10360" s="54">
        <v>7</v>
      </c>
      <c r="AP10360" s="54">
        <v>14</v>
      </c>
      <c r="AQ10360" s="54">
        <v>14735</v>
      </c>
      <c r="AR10360" s="55">
        <v>28500</v>
      </c>
      <c r="AS10360" s="78">
        <f t="shared" si="165"/>
        <v>0.51701754385964915</v>
      </c>
    </row>
    <row r="10361" spans="39:45">
      <c r="AM10361" s="55">
        <v>2020</v>
      </c>
      <c r="AN10361" s="55" t="s">
        <v>185</v>
      </c>
      <c r="AO10361" s="55">
        <v>7</v>
      </c>
      <c r="AP10361" s="55">
        <v>15</v>
      </c>
      <c r="AQ10361" s="55">
        <v>13230</v>
      </c>
      <c r="AR10361" s="55">
        <v>28500</v>
      </c>
      <c r="AS10361" s="78">
        <f t="shared" si="165"/>
        <v>0.46421052631578946</v>
      </c>
    </row>
    <row r="10362" spans="39:45">
      <c r="AM10362" s="54">
        <v>2020</v>
      </c>
      <c r="AN10362" s="54" t="s">
        <v>185</v>
      </c>
      <c r="AO10362" s="54">
        <v>7</v>
      </c>
      <c r="AP10362" s="54">
        <v>16</v>
      </c>
      <c r="AQ10362" s="54">
        <v>4386.5</v>
      </c>
      <c r="AR10362" s="55">
        <v>28500</v>
      </c>
      <c r="AS10362" s="78">
        <f t="shared" si="165"/>
        <v>0.15391228070175439</v>
      </c>
    </row>
    <row r="10363" spans="39:45">
      <c r="AM10363" s="55">
        <v>2020</v>
      </c>
      <c r="AN10363" s="55" t="s">
        <v>185</v>
      </c>
      <c r="AO10363" s="55">
        <v>7</v>
      </c>
      <c r="AP10363" s="55">
        <v>17</v>
      </c>
      <c r="AQ10363" s="55">
        <v>1243.5</v>
      </c>
      <c r="AR10363" s="55">
        <v>28500</v>
      </c>
      <c r="AS10363" s="78">
        <f t="shared" si="165"/>
        <v>4.3631578947368424E-2</v>
      </c>
    </row>
    <row r="10364" spans="39:45">
      <c r="AM10364" s="54">
        <v>2020</v>
      </c>
      <c r="AN10364" s="54" t="s">
        <v>185</v>
      </c>
      <c r="AO10364" s="54">
        <v>7</v>
      </c>
      <c r="AP10364" s="54">
        <v>18</v>
      </c>
      <c r="AQ10364" s="54">
        <v>0</v>
      </c>
      <c r="AR10364" s="55">
        <v>28500</v>
      </c>
      <c r="AS10364" s="78">
        <f t="shared" si="165"/>
        <v>0</v>
      </c>
    </row>
    <row r="10365" spans="39:45">
      <c r="AM10365" s="55">
        <v>2020</v>
      </c>
      <c r="AN10365" s="55" t="s">
        <v>185</v>
      </c>
      <c r="AO10365" s="55">
        <v>7</v>
      </c>
      <c r="AP10365" s="55">
        <v>19</v>
      </c>
      <c r="AQ10365" s="55">
        <v>0</v>
      </c>
      <c r="AR10365" s="55">
        <v>28500</v>
      </c>
      <c r="AS10365" s="78">
        <f t="shared" si="165"/>
        <v>0</v>
      </c>
    </row>
    <row r="10366" spans="39:45">
      <c r="AM10366" s="54">
        <v>2020</v>
      </c>
      <c r="AN10366" s="54" t="s">
        <v>185</v>
      </c>
      <c r="AO10366" s="54">
        <v>7</v>
      </c>
      <c r="AP10366" s="54">
        <v>20</v>
      </c>
      <c r="AQ10366" s="54">
        <v>0</v>
      </c>
      <c r="AR10366" s="55">
        <v>28500</v>
      </c>
      <c r="AS10366" s="78">
        <f t="shared" si="165"/>
        <v>0</v>
      </c>
    </row>
    <row r="10367" spans="39:45">
      <c r="AM10367" s="55">
        <v>2020</v>
      </c>
      <c r="AN10367" s="55" t="s">
        <v>185</v>
      </c>
      <c r="AO10367" s="55">
        <v>7</v>
      </c>
      <c r="AP10367" s="55">
        <v>21</v>
      </c>
      <c r="AQ10367" s="55">
        <v>0</v>
      </c>
      <c r="AR10367" s="55">
        <v>28500</v>
      </c>
      <c r="AS10367" s="78">
        <f t="shared" si="165"/>
        <v>0</v>
      </c>
    </row>
    <row r="10368" spans="39:45">
      <c r="AM10368" s="54">
        <v>2020</v>
      </c>
      <c r="AN10368" s="54" t="s">
        <v>185</v>
      </c>
      <c r="AO10368" s="54">
        <v>7</v>
      </c>
      <c r="AP10368" s="54">
        <v>22</v>
      </c>
      <c r="AQ10368" s="54">
        <v>0</v>
      </c>
      <c r="AR10368" s="55">
        <v>28500</v>
      </c>
      <c r="AS10368" s="78">
        <f t="shared" si="165"/>
        <v>0</v>
      </c>
    </row>
    <row r="10369" spans="39:45">
      <c r="AM10369" s="55">
        <v>2020</v>
      </c>
      <c r="AN10369" s="55" t="s">
        <v>185</v>
      </c>
      <c r="AO10369" s="55">
        <v>7</v>
      </c>
      <c r="AP10369" s="55">
        <v>23</v>
      </c>
      <c r="AQ10369" s="55">
        <v>0</v>
      </c>
      <c r="AR10369" s="55">
        <v>28500</v>
      </c>
      <c r="AS10369" s="78">
        <f t="shared" si="165"/>
        <v>0</v>
      </c>
    </row>
    <row r="10370" spans="39:45">
      <c r="AM10370" s="54">
        <v>2020</v>
      </c>
      <c r="AN10370" s="54" t="s">
        <v>185</v>
      </c>
      <c r="AO10370" s="54">
        <v>8</v>
      </c>
      <c r="AP10370" s="54">
        <v>24</v>
      </c>
      <c r="AQ10370" s="54">
        <v>0</v>
      </c>
      <c r="AR10370" s="55">
        <v>28500</v>
      </c>
      <c r="AS10370" s="78">
        <f t="shared" ref="AS10370:AS10433" si="166">AQ10370/AR10370</f>
        <v>0</v>
      </c>
    </row>
    <row r="10371" spans="39:45">
      <c r="AM10371" s="55">
        <v>2020</v>
      </c>
      <c r="AN10371" s="55" t="s">
        <v>185</v>
      </c>
      <c r="AO10371" s="55">
        <v>8</v>
      </c>
      <c r="AP10371" s="55">
        <v>1</v>
      </c>
      <c r="AQ10371" s="55">
        <v>0</v>
      </c>
      <c r="AR10371" s="55">
        <v>28500</v>
      </c>
      <c r="AS10371" s="78">
        <f t="shared" si="166"/>
        <v>0</v>
      </c>
    </row>
    <row r="10372" spans="39:45">
      <c r="AM10372" s="54">
        <v>2020</v>
      </c>
      <c r="AN10372" s="54" t="s">
        <v>185</v>
      </c>
      <c r="AO10372" s="54">
        <v>8</v>
      </c>
      <c r="AP10372" s="54">
        <v>2</v>
      </c>
      <c r="AQ10372" s="54">
        <v>0</v>
      </c>
      <c r="AR10372" s="55">
        <v>28500</v>
      </c>
      <c r="AS10372" s="78">
        <f t="shared" si="166"/>
        <v>0</v>
      </c>
    </row>
    <row r="10373" spans="39:45">
      <c r="AM10373" s="55">
        <v>2020</v>
      </c>
      <c r="AN10373" s="55" t="s">
        <v>185</v>
      </c>
      <c r="AO10373" s="55">
        <v>8</v>
      </c>
      <c r="AP10373" s="55">
        <v>3</v>
      </c>
      <c r="AQ10373" s="55">
        <v>0</v>
      </c>
      <c r="AR10373" s="55">
        <v>28500</v>
      </c>
      <c r="AS10373" s="78">
        <f t="shared" si="166"/>
        <v>0</v>
      </c>
    </row>
    <row r="10374" spans="39:45">
      <c r="AM10374" s="54">
        <v>2020</v>
      </c>
      <c r="AN10374" s="54" t="s">
        <v>185</v>
      </c>
      <c r="AO10374" s="54">
        <v>8</v>
      </c>
      <c r="AP10374" s="54">
        <v>4</v>
      </c>
      <c r="AQ10374" s="54">
        <v>0</v>
      </c>
      <c r="AR10374" s="55">
        <v>28500</v>
      </c>
      <c r="AS10374" s="78">
        <f t="shared" si="166"/>
        <v>0</v>
      </c>
    </row>
    <row r="10375" spans="39:45">
      <c r="AM10375" s="55">
        <v>2020</v>
      </c>
      <c r="AN10375" s="55" t="s">
        <v>185</v>
      </c>
      <c r="AO10375" s="55">
        <v>8</v>
      </c>
      <c r="AP10375" s="55">
        <v>5</v>
      </c>
      <c r="AQ10375" s="55">
        <v>0</v>
      </c>
      <c r="AR10375" s="55">
        <v>28500</v>
      </c>
      <c r="AS10375" s="78">
        <f t="shared" si="166"/>
        <v>0</v>
      </c>
    </row>
    <row r="10376" spans="39:45">
      <c r="AM10376" s="54">
        <v>2020</v>
      </c>
      <c r="AN10376" s="54" t="s">
        <v>185</v>
      </c>
      <c r="AO10376" s="54">
        <v>8</v>
      </c>
      <c r="AP10376" s="54">
        <v>6</v>
      </c>
      <c r="AQ10376" s="54">
        <v>0</v>
      </c>
      <c r="AR10376" s="55">
        <v>28500</v>
      </c>
      <c r="AS10376" s="78">
        <f t="shared" si="166"/>
        <v>0</v>
      </c>
    </row>
    <row r="10377" spans="39:45">
      <c r="AM10377" s="55">
        <v>2020</v>
      </c>
      <c r="AN10377" s="55" t="s">
        <v>185</v>
      </c>
      <c r="AO10377" s="55">
        <v>8</v>
      </c>
      <c r="AP10377" s="55">
        <v>7</v>
      </c>
      <c r="AQ10377" s="55">
        <v>1171</v>
      </c>
      <c r="AR10377" s="55">
        <v>28500</v>
      </c>
      <c r="AS10377" s="78">
        <f t="shared" si="166"/>
        <v>4.1087719298245617E-2</v>
      </c>
    </row>
    <row r="10378" spans="39:45">
      <c r="AM10378" s="54">
        <v>2020</v>
      </c>
      <c r="AN10378" s="54" t="s">
        <v>185</v>
      </c>
      <c r="AO10378" s="54">
        <v>8</v>
      </c>
      <c r="AP10378" s="54">
        <v>8</v>
      </c>
      <c r="AQ10378" s="54">
        <v>14084</v>
      </c>
      <c r="AR10378" s="55">
        <v>28500</v>
      </c>
      <c r="AS10378" s="78">
        <f t="shared" si="166"/>
        <v>0.49417543859649121</v>
      </c>
    </row>
    <row r="10379" spans="39:45">
      <c r="AM10379" s="55">
        <v>2020</v>
      </c>
      <c r="AN10379" s="55" t="s">
        <v>185</v>
      </c>
      <c r="AO10379" s="55">
        <v>8</v>
      </c>
      <c r="AP10379" s="55">
        <v>9</v>
      </c>
      <c r="AQ10379" s="55">
        <v>4564.5</v>
      </c>
      <c r="AR10379" s="55">
        <v>28500</v>
      </c>
      <c r="AS10379" s="78">
        <f t="shared" si="166"/>
        <v>0.16015789473684211</v>
      </c>
    </row>
    <row r="10380" spans="39:45">
      <c r="AM10380" s="54">
        <v>2020</v>
      </c>
      <c r="AN10380" s="54" t="s">
        <v>185</v>
      </c>
      <c r="AO10380" s="54">
        <v>8</v>
      </c>
      <c r="AP10380" s="54">
        <v>10</v>
      </c>
      <c r="AQ10380" s="54">
        <v>23493</v>
      </c>
      <c r="AR10380" s="55">
        <v>28500</v>
      </c>
      <c r="AS10380" s="78">
        <f t="shared" si="166"/>
        <v>0.82431578947368422</v>
      </c>
    </row>
    <row r="10381" spans="39:45">
      <c r="AM10381" s="55">
        <v>2020</v>
      </c>
      <c r="AN10381" s="55" t="s">
        <v>185</v>
      </c>
      <c r="AO10381" s="55">
        <v>8</v>
      </c>
      <c r="AP10381" s="55">
        <v>11</v>
      </c>
      <c r="AQ10381" s="55">
        <v>27454.5</v>
      </c>
      <c r="AR10381" s="55">
        <v>28500</v>
      </c>
      <c r="AS10381" s="78">
        <f t="shared" si="166"/>
        <v>0.96331578947368424</v>
      </c>
    </row>
    <row r="10382" spans="39:45">
      <c r="AM10382" s="54">
        <v>2020</v>
      </c>
      <c r="AN10382" s="54" t="s">
        <v>185</v>
      </c>
      <c r="AO10382" s="54">
        <v>8</v>
      </c>
      <c r="AP10382" s="54">
        <v>12</v>
      </c>
      <c r="AQ10382" s="54">
        <v>12367.5</v>
      </c>
      <c r="AR10382" s="55">
        <v>28500</v>
      </c>
      <c r="AS10382" s="78">
        <f t="shared" si="166"/>
        <v>0.43394736842105264</v>
      </c>
    </row>
    <row r="10383" spans="39:45">
      <c r="AM10383" s="55">
        <v>2020</v>
      </c>
      <c r="AN10383" s="55" t="s">
        <v>185</v>
      </c>
      <c r="AO10383" s="55">
        <v>8</v>
      </c>
      <c r="AP10383" s="55">
        <v>13</v>
      </c>
      <c r="AQ10383" s="55">
        <v>6399</v>
      </c>
      <c r="AR10383" s="55">
        <v>28500</v>
      </c>
      <c r="AS10383" s="78">
        <f t="shared" si="166"/>
        <v>0.22452631578947368</v>
      </c>
    </row>
    <row r="10384" spans="39:45">
      <c r="AM10384" s="54">
        <v>2020</v>
      </c>
      <c r="AN10384" s="54" t="s">
        <v>185</v>
      </c>
      <c r="AO10384" s="54">
        <v>8</v>
      </c>
      <c r="AP10384" s="54">
        <v>14</v>
      </c>
      <c r="AQ10384" s="54">
        <v>11456.5</v>
      </c>
      <c r="AR10384" s="55">
        <v>28500</v>
      </c>
      <c r="AS10384" s="78">
        <f t="shared" si="166"/>
        <v>0.40198245614035089</v>
      </c>
    </row>
    <row r="10385" spans="39:45">
      <c r="AM10385" s="55">
        <v>2020</v>
      </c>
      <c r="AN10385" s="55" t="s">
        <v>185</v>
      </c>
      <c r="AO10385" s="55">
        <v>8</v>
      </c>
      <c r="AP10385" s="55">
        <v>15</v>
      </c>
      <c r="AQ10385" s="55">
        <v>22566</v>
      </c>
      <c r="AR10385" s="55">
        <v>28500</v>
      </c>
      <c r="AS10385" s="78">
        <f t="shared" si="166"/>
        <v>0.79178947368421049</v>
      </c>
    </row>
    <row r="10386" spans="39:45">
      <c r="AM10386" s="54">
        <v>2020</v>
      </c>
      <c r="AN10386" s="54" t="s">
        <v>185</v>
      </c>
      <c r="AO10386" s="54">
        <v>8</v>
      </c>
      <c r="AP10386" s="54">
        <v>16</v>
      </c>
      <c r="AQ10386" s="54">
        <v>6939</v>
      </c>
      <c r="AR10386" s="55">
        <v>28500</v>
      </c>
      <c r="AS10386" s="78">
        <f t="shared" si="166"/>
        <v>0.24347368421052631</v>
      </c>
    </row>
    <row r="10387" spans="39:45">
      <c r="AM10387" s="55">
        <v>2020</v>
      </c>
      <c r="AN10387" s="55" t="s">
        <v>185</v>
      </c>
      <c r="AO10387" s="55">
        <v>8</v>
      </c>
      <c r="AP10387" s="55">
        <v>17</v>
      </c>
      <c r="AQ10387" s="55">
        <v>3469.5</v>
      </c>
      <c r="AR10387" s="55">
        <v>28500</v>
      </c>
      <c r="AS10387" s="78">
        <f t="shared" si="166"/>
        <v>0.12173684210526316</v>
      </c>
    </row>
    <row r="10388" spans="39:45">
      <c r="AM10388" s="54">
        <v>2020</v>
      </c>
      <c r="AN10388" s="54" t="s">
        <v>185</v>
      </c>
      <c r="AO10388" s="54">
        <v>8</v>
      </c>
      <c r="AP10388" s="54">
        <v>18</v>
      </c>
      <c r="AQ10388" s="54">
        <v>0</v>
      </c>
      <c r="AR10388" s="55">
        <v>28500</v>
      </c>
      <c r="AS10388" s="78">
        <f t="shared" si="166"/>
        <v>0</v>
      </c>
    </row>
    <row r="10389" spans="39:45">
      <c r="AM10389" s="55">
        <v>2020</v>
      </c>
      <c r="AN10389" s="55" t="s">
        <v>185</v>
      </c>
      <c r="AO10389" s="55">
        <v>8</v>
      </c>
      <c r="AP10389" s="55">
        <v>19</v>
      </c>
      <c r="AQ10389" s="55">
        <v>0</v>
      </c>
      <c r="AR10389" s="55">
        <v>28500</v>
      </c>
      <c r="AS10389" s="78">
        <f t="shared" si="166"/>
        <v>0</v>
      </c>
    </row>
    <row r="10390" spans="39:45">
      <c r="AM10390" s="54">
        <v>2020</v>
      </c>
      <c r="AN10390" s="54" t="s">
        <v>185</v>
      </c>
      <c r="AO10390" s="54">
        <v>8</v>
      </c>
      <c r="AP10390" s="54">
        <v>20</v>
      </c>
      <c r="AQ10390" s="54">
        <v>0</v>
      </c>
      <c r="AR10390" s="55">
        <v>28500</v>
      </c>
      <c r="AS10390" s="78">
        <f t="shared" si="166"/>
        <v>0</v>
      </c>
    </row>
    <row r="10391" spans="39:45">
      <c r="AM10391" s="55">
        <v>2020</v>
      </c>
      <c r="AN10391" s="55" t="s">
        <v>185</v>
      </c>
      <c r="AO10391" s="55">
        <v>8</v>
      </c>
      <c r="AP10391" s="55">
        <v>21</v>
      </c>
      <c r="AQ10391" s="55">
        <v>0</v>
      </c>
      <c r="AR10391" s="55">
        <v>28500</v>
      </c>
      <c r="AS10391" s="78">
        <f t="shared" si="166"/>
        <v>0</v>
      </c>
    </row>
    <row r="10392" spans="39:45">
      <c r="AM10392" s="54">
        <v>2020</v>
      </c>
      <c r="AN10392" s="54" t="s">
        <v>185</v>
      </c>
      <c r="AO10392" s="54">
        <v>8</v>
      </c>
      <c r="AP10392" s="54">
        <v>22</v>
      </c>
      <c r="AQ10392" s="54">
        <v>0</v>
      </c>
      <c r="AR10392" s="55">
        <v>28500</v>
      </c>
      <c r="AS10392" s="78">
        <f t="shared" si="166"/>
        <v>0</v>
      </c>
    </row>
    <row r="10393" spans="39:45">
      <c r="AM10393" s="55">
        <v>2020</v>
      </c>
      <c r="AN10393" s="55" t="s">
        <v>185</v>
      </c>
      <c r="AO10393" s="55">
        <v>8</v>
      </c>
      <c r="AP10393" s="55">
        <v>23</v>
      </c>
      <c r="AQ10393" s="55">
        <v>0</v>
      </c>
      <c r="AR10393" s="55">
        <v>28500</v>
      </c>
      <c r="AS10393" s="78">
        <f t="shared" si="166"/>
        <v>0</v>
      </c>
    </row>
    <row r="10394" spans="39:45">
      <c r="AM10394" s="54">
        <v>2020</v>
      </c>
      <c r="AN10394" s="54" t="s">
        <v>185</v>
      </c>
      <c r="AO10394" s="54">
        <v>9</v>
      </c>
      <c r="AP10394" s="54">
        <v>24</v>
      </c>
      <c r="AQ10394" s="54">
        <v>0</v>
      </c>
      <c r="AR10394" s="55">
        <v>28500</v>
      </c>
      <c r="AS10394" s="78">
        <f t="shared" si="166"/>
        <v>0</v>
      </c>
    </row>
    <row r="10395" spans="39:45">
      <c r="AM10395" s="55">
        <v>2020</v>
      </c>
      <c r="AN10395" s="55" t="s">
        <v>185</v>
      </c>
      <c r="AO10395" s="55">
        <v>9</v>
      </c>
      <c r="AP10395" s="55">
        <v>1</v>
      </c>
      <c r="AQ10395" s="55">
        <v>0</v>
      </c>
      <c r="AR10395" s="55">
        <v>28500</v>
      </c>
      <c r="AS10395" s="78">
        <f t="shared" si="166"/>
        <v>0</v>
      </c>
    </row>
    <row r="10396" spans="39:45">
      <c r="AM10396" s="54">
        <v>2020</v>
      </c>
      <c r="AN10396" s="54" t="s">
        <v>185</v>
      </c>
      <c r="AO10396" s="54">
        <v>9</v>
      </c>
      <c r="AP10396" s="54">
        <v>2</v>
      </c>
      <c r="AQ10396" s="54">
        <v>0</v>
      </c>
      <c r="AR10396" s="55">
        <v>28500</v>
      </c>
      <c r="AS10396" s="78">
        <f t="shared" si="166"/>
        <v>0</v>
      </c>
    </row>
    <row r="10397" spans="39:45">
      <c r="AM10397" s="55">
        <v>2020</v>
      </c>
      <c r="AN10397" s="55" t="s">
        <v>185</v>
      </c>
      <c r="AO10397" s="55">
        <v>9</v>
      </c>
      <c r="AP10397" s="55">
        <v>3</v>
      </c>
      <c r="AQ10397" s="55">
        <v>0</v>
      </c>
      <c r="AR10397" s="55">
        <v>28500</v>
      </c>
      <c r="AS10397" s="78">
        <f t="shared" si="166"/>
        <v>0</v>
      </c>
    </row>
    <row r="10398" spans="39:45">
      <c r="AM10398" s="54">
        <v>2020</v>
      </c>
      <c r="AN10398" s="54" t="s">
        <v>185</v>
      </c>
      <c r="AO10398" s="54">
        <v>9</v>
      </c>
      <c r="AP10398" s="54">
        <v>4</v>
      </c>
      <c r="AQ10398" s="54">
        <v>0</v>
      </c>
      <c r="AR10398" s="55">
        <v>28500</v>
      </c>
      <c r="AS10398" s="78">
        <f t="shared" si="166"/>
        <v>0</v>
      </c>
    </row>
    <row r="10399" spans="39:45">
      <c r="AM10399" s="55">
        <v>2020</v>
      </c>
      <c r="AN10399" s="55" t="s">
        <v>185</v>
      </c>
      <c r="AO10399" s="55">
        <v>9</v>
      </c>
      <c r="AP10399" s="55">
        <v>5</v>
      </c>
      <c r="AQ10399" s="55">
        <v>0</v>
      </c>
      <c r="AR10399" s="55">
        <v>28500</v>
      </c>
      <c r="AS10399" s="78">
        <f t="shared" si="166"/>
        <v>0</v>
      </c>
    </row>
    <row r="10400" spans="39:45">
      <c r="AM10400" s="54">
        <v>2020</v>
      </c>
      <c r="AN10400" s="54" t="s">
        <v>185</v>
      </c>
      <c r="AO10400" s="54">
        <v>9</v>
      </c>
      <c r="AP10400" s="54">
        <v>6</v>
      </c>
      <c r="AQ10400" s="54">
        <v>0</v>
      </c>
      <c r="AR10400" s="55">
        <v>28500</v>
      </c>
      <c r="AS10400" s="78">
        <f t="shared" si="166"/>
        <v>0</v>
      </c>
    </row>
    <row r="10401" spans="39:45">
      <c r="AM10401" s="55">
        <v>2020</v>
      </c>
      <c r="AN10401" s="55" t="s">
        <v>185</v>
      </c>
      <c r="AO10401" s="55">
        <v>9</v>
      </c>
      <c r="AP10401" s="55">
        <v>7</v>
      </c>
      <c r="AQ10401" s="55">
        <v>4169.5</v>
      </c>
      <c r="AR10401" s="55">
        <v>28500</v>
      </c>
      <c r="AS10401" s="78">
        <f t="shared" si="166"/>
        <v>0.14629824561403509</v>
      </c>
    </row>
    <row r="10402" spans="39:45">
      <c r="AM10402" s="54">
        <v>2020</v>
      </c>
      <c r="AN10402" s="54" t="s">
        <v>185</v>
      </c>
      <c r="AO10402" s="54">
        <v>9</v>
      </c>
      <c r="AP10402" s="54">
        <v>8</v>
      </c>
      <c r="AQ10402" s="54">
        <v>16956</v>
      </c>
      <c r="AR10402" s="55">
        <v>28500</v>
      </c>
      <c r="AS10402" s="78">
        <f t="shared" si="166"/>
        <v>0.59494736842105267</v>
      </c>
    </row>
    <row r="10403" spans="39:45">
      <c r="AM10403" s="55">
        <v>2020</v>
      </c>
      <c r="AN10403" s="55" t="s">
        <v>185</v>
      </c>
      <c r="AO10403" s="55">
        <v>9</v>
      </c>
      <c r="AP10403" s="55">
        <v>9</v>
      </c>
      <c r="AQ10403" s="55">
        <v>27526.5</v>
      </c>
      <c r="AR10403" s="55">
        <v>28500</v>
      </c>
      <c r="AS10403" s="78">
        <f t="shared" si="166"/>
        <v>0.96584210526315795</v>
      </c>
    </row>
    <row r="10404" spans="39:45">
      <c r="AM10404" s="54">
        <v>2020</v>
      </c>
      <c r="AN10404" s="54" t="s">
        <v>185</v>
      </c>
      <c r="AO10404" s="54">
        <v>9</v>
      </c>
      <c r="AP10404" s="54">
        <v>10</v>
      </c>
      <c r="AQ10404" s="54">
        <v>28548</v>
      </c>
      <c r="AR10404" s="55">
        <v>28500</v>
      </c>
      <c r="AS10404" s="78">
        <f t="shared" si="166"/>
        <v>1.0016842105263157</v>
      </c>
    </row>
    <row r="10405" spans="39:45">
      <c r="AM10405" s="55">
        <v>2020</v>
      </c>
      <c r="AN10405" s="55" t="s">
        <v>185</v>
      </c>
      <c r="AO10405" s="55">
        <v>9</v>
      </c>
      <c r="AP10405" s="55">
        <v>11</v>
      </c>
      <c r="AQ10405" s="55">
        <v>5902</v>
      </c>
      <c r="AR10405" s="55">
        <v>28500</v>
      </c>
      <c r="AS10405" s="78">
        <f t="shared" si="166"/>
        <v>0.20708771929824563</v>
      </c>
    </row>
    <row r="10406" spans="39:45">
      <c r="AM10406" s="54">
        <v>2020</v>
      </c>
      <c r="AN10406" s="54" t="s">
        <v>185</v>
      </c>
      <c r="AO10406" s="54">
        <v>9</v>
      </c>
      <c r="AP10406" s="54">
        <v>12</v>
      </c>
      <c r="AQ10406" s="54">
        <v>20421</v>
      </c>
      <c r="AR10406" s="55">
        <v>28500</v>
      </c>
      <c r="AS10406" s="78">
        <f t="shared" si="166"/>
        <v>0.71652631578947368</v>
      </c>
    </row>
    <row r="10407" spans="39:45">
      <c r="AM10407" s="55">
        <v>2020</v>
      </c>
      <c r="AN10407" s="55" t="s">
        <v>185</v>
      </c>
      <c r="AO10407" s="55">
        <v>9</v>
      </c>
      <c r="AP10407" s="55">
        <v>13</v>
      </c>
      <c r="AQ10407" s="55">
        <v>17292.5</v>
      </c>
      <c r="AR10407" s="55">
        <v>28500</v>
      </c>
      <c r="AS10407" s="78">
        <f t="shared" si="166"/>
        <v>0.60675438596491227</v>
      </c>
    </row>
    <row r="10408" spans="39:45">
      <c r="AM10408" s="54">
        <v>2020</v>
      </c>
      <c r="AN10408" s="54" t="s">
        <v>185</v>
      </c>
      <c r="AO10408" s="54">
        <v>9</v>
      </c>
      <c r="AP10408" s="54">
        <v>14</v>
      </c>
      <c r="AQ10408" s="54">
        <v>15792.5</v>
      </c>
      <c r="AR10408" s="55">
        <v>28500</v>
      </c>
      <c r="AS10408" s="78">
        <f t="shared" si="166"/>
        <v>0.55412280701754391</v>
      </c>
    </row>
    <row r="10409" spans="39:45">
      <c r="AM10409" s="55">
        <v>2020</v>
      </c>
      <c r="AN10409" s="55" t="s">
        <v>185</v>
      </c>
      <c r="AO10409" s="55">
        <v>9</v>
      </c>
      <c r="AP10409" s="55">
        <v>15</v>
      </c>
      <c r="AQ10409" s="55">
        <v>8355</v>
      </c>
      <c r="AR10409" s="55">
        <v>28500</v>
      </c>
      <c r="AS10409" s="78">
        <f t="shared" si="166"/>
        <v>0.29315789473684212</v>
      </c>
    </row>
    <row r="10410" spans="39:45">
      <c r="AM10410" s="54">
        <v>2020</v>
      </c>
      <c r="AN10410" s="54" t="s">
        <v>185</v>
      </c>
      <c r="AO10410" s="54">
        <v>9</v>
      </c>
      <c r="AP10410" s="54">
        <v>16</v>
      </c>
      <c r="AQ10410" s="54">
        <v>1291</v>
      </c>
      <c r="AR10410" s="55">
        <v>28500</v>
      </c>
      <c r="AS10410" s="78">
        <f t="shared" si="166"/>
        <v>4.5298245614035088E-2</v>
      </c>
    </row>
    <row r="10411" spans="39:45">
      <c r="AM10411" s="55">
        <v>2020</v>
      </c>
      <c r="AN10411" s="55" t="s">
        <v>185</v>
      </c>
      <c r="AO10411" s="55">
        <v>9</v>
      </c>
      <c r="AP10411" s="55">
        <v>17</v>
      </c>
      <c r="AQ10411" s="55">
        <v>657</v>
      </c>
      <c r="AR10411" s="55">
        <v>28500</v>
      </c>
      <c r="AS10411" s="78">
        <f t="shared" si="166"/>
        <v>2.305263157894737E-2</v>
      </c>
    </row>
    <row r="10412" spans="39:45">
      <c r="AM10412" s="54">
        <v>2020</v>
      </c>
      <c r="AN10412" s="54" t="s">
        <v>185</v>
      </c>
      <c r="AO10412" s="54">
        <v>9</v>
      </c>
      <c r="AP10412" s="54">
        <v>18</v>
      </c>
      <c r="AQ10412" s="54">
        <v>0</v>
      </c>
      <c r="AR10412" s="55">
        <v>28500</v>
      </c>
      <c r="AS10412" s="78">
        <f t="shared" si="166"/>
        <v>0</v>
      </c>
    </row>
    <row r="10413" spans="39:45">
      <c r="AM10413" s="55">
        <v>2020</v>
      </c>
      <c r="AN10413" s="55" t="s">
        <v>185</v>
      </c>
      <c r="AO10413" s="55">
        <v>9</v>
      </c>
      <c r="AP10413" s="55">
        <v>19</v>
      </c>
      <c r="AQ10413" s="55">
        <v>0</v>
      </c>
      <c r="AR10413" s="55">
        <v>28500</v>
      </c>
      <c r="AS10413" s="78">
        <f t="shared" si="166"/>
        <v>0</v>
      </c>
    </row>
    <row r="10414" spans="39:45">
      <c r="AM10414" s="54">
        <v>2020</v>
      </c>
      <c r="AN10414" s="54" t="s">
        <v>185</v>
      </c>
      <c r="AO10414" s="54">
        <v>9</v>
      </c>
      <c r="AP10414" s="54">
        <v>20</v>
      </c>
      <c r="AQ10414" s="54">
        <v>0</v>
      </c>
      <c r="AR10414" s="55">
        <v>28500</v>
      </c>
      <c r="AS10414" s="78">
        <f t="shared" si="166"/>
        <v>0</v>
      </c>
    </row>
    <row r="10415" spans="39:45">
      <c r="AM10415" s="55">
        <v>2020</v>
      </c>
      <c r="AN10415" s="55" t="s">
        <v>185</v>
      </c>
      <c r="AO10415" s="55">
        <v>9</v>
      </c>
      <c r="AP10415" s="55">
        <v>21</v>
      </c>
      <c r="AQ10415" s="55">
        <v>0</v>
      </c>
      <c r="AR10415" s="55">
        <v>28500</v>
      </c>
      <c r="AS10415" s="78">
        <f t="shared" si="166"/>
        <v>0</v>
      </c>
    </row>
    <row r="10416" spans="39:45">
      <c r="AM10416" s="54">
        <v>2020</v>
      </c>
      <c r="AN10416" s="54" t="s">
        <v>185</v>
      </c>
      <c r="AO10416" s="54">
        <v>9</v>
      </c>
      <c r="AP10416" s="54">
        <v>22</v>
      </c>
      <c r="AQ10416" s="54">
        <v>0</v>
      </c>
      <c r="AR10416" s="55">
        <v>28500</v>
      </c>
      <c r="AS10416" s="78">
        <f t="shared" si="166"/>
        <v>0</v>
      </c>
    </row>
    <row r="10417" spans="39:45">
      <c r="AM10417" s="55">
        <v>2020</v>
      </c>
      <c r="AN10417" s="55" t="s">
        <v>185</v>
      </c>
      <c r="AO10417" s="55">
        <v>9</v>
      </c>
      <c r="AP10417" s="55">
        <v>23</v>
      </c>
      <c r="AQ10417" s="55">
        <v>0</v>
      </c>
      <c r="AR10417" s="55">
        <v>28500</v>
      </c>
      <c r="AS10417" s="78">
        <f t="shared" si="166"/>
        <v>0</v>
      </c>
    </row>
    <row r="10418" spans="39:45">
      <c r="AM10418" s="54">
        <v>2020</v>
      </c>
      <c r="AN10418" s="54" t="s">
        <v>185</v>
      </c>
      <c r="AO10418" s="54">
        <v>10</v>
      </c>
      <c r="AP10418" s="54">
        <v>24</v>
      </c>
      <c r="AQ10418" s="54">
        <v>0</v>
      </c>
      <c r="AR10418" s="55">
        <v>28500</v>
      </c>
      <c r="AS10418" s="78">
        <f t="shared" si="166"/>
        <v>0</v>
      </c>
    </row>
    <row r="10419" spans="39:45">
      <c r="AM10419" s="55">
        <v>2020</v>
      </c>
      <c r="AN10419" s="55" t="s">
        <v>185</v>
      </c>
      <c r="AO10419" s="55">
        <v>10</v>
      </c>
      <c r="AP10419" s="55">
        <v>1</v>
      </c>
      <c r="AQ10419" s="55">
        <v>0</v>
      </c>
      <c r="AR10419" s="55">
        <v>28500</v>
      </c>
      <c r="AS10419" s="78">
        <f t="shared" si="166"/>
        <v>0</v>
      </c>
    </row>
    <row r="10420" spans="39:45">
      <c r="AM10420" s="54">
        <v>2020</v>
      </c>
      <c r="AN10420" s="54" t="s">
        <v>185</v>
      </c>
      <c r="AO10420" s="54">
        <v>10</v>
      </c>
      <c r="AP10420" s="54">
        <v>2</v>
      </c>
      <c r="AQ10420" s="54">
        <v>0</v>
      </c>
      <c r="AR10420" s="55">
        <v>28500</v>
      </c>
      <c r="AS10420" s="78">
        <f t="shared" si="166"/>
        <v>0</v>
      </c>
    </row>
    <row r="10421" spans="39:45">
      <c r="AM10421" s="55">
        <v>2020</v>
      </c>
      <c r="AN10421" s="55" t="s">
        <v>185</v>
      </c>
      <c r="AO10421" s="55">
        <v>10</v>
      </c>
      <c r="AP10421" s="55">
        <v>3</v>
      </c>
      <c r="AQ10421" s="55">
        <v>0</v>
      </c>
      <c r="AR10421" s="55">
        <v>28500</v>
      </c>
      <c r="AS10421" s="78">
        <f t="shared" si="166"/>
        <v>0</v>
      </c>
    </row>
    <row r="10422" spans="39:45">
      <c r="AM10422" s="54">
        <v>2020</v>
      </c>
      <c r="AN10422" s="54" t="s">
        <v>185</v>
      </c>
      <c r="AO10422" s="54">
        <v>10</v>
      </c>
      <c r="AP10422" s="54">
        <v>4</v>
      </c>
      <c r="AQ10422" s="54">
        <v>0</v>
      </c>
      <c r="AR10422" s="55">
        <v>28500</v>
      </c>
      <c r="AS10422" s="78">
        <f t="shared" si="166"/>
        <v>0</v>
      </c>
    </row>
    <row r="10423" spans="39:45">
      <c r="AM10423" s="55">
        <v>2020</v>
      </c>
      <c r="AN10423" s="55" t="s">
        <v>185</v>
      </c>
      <c r="AO10423" s="55">
        <v>10</v>
      </c>
      <c r="AP10423" s="55">
        <v>5</v>
      </c>
      <c r="AQ10423" s="55">
        <v>0</v>
      </c>
      <c r="AR10423" s="55">
        <v>28500</v>
      </c>
      <c r="AS10423" s="78">
        <f t="shared" si="166"/>
        <v>0</v>
      </c>
    </row>
    <row r="10424" spans="39:45">
      <c r="AM10424" s="54">
        <v>2020</v>
      </c>
      <c r="AN10424" s="54" t="s">
        <v>185</v>
      </c>
      <c r="AO10424" s="54">
        <v>10</v>
      </c>
      <c r="AP10424" s="54">
        <v>6</v>
      </c>
      <c r="AQ10424" s="54">
        <v>0</v>
      </c>
      <c r="AR10424" s="55">
        <v>28500</v>
      </c>
      <c r="AS10424" s="78">
        <f t="shared" si="166"/>
        <v>0</v>
      </c>
    </row>
    <row r="10425" spans="39:45">
      <c r="AM10425" s="55">
        <v>2020</v>
      </c>
      <c r="AN10425" s="55" t="s">
        <v>185</v>
      </c>
      <c r="AO10425" s="55">
        <v>10</v>
      </c>
      <c r="AP10425" s="55">
        <v>7</v>
      </c>
      <c r="AQ10425" s="55">
        <v>1013.5</v>
      </c>
      <c r="AR10425" s="55">
        <v>28500</v>
      </c>
      <c r="AS10425" s="78">
        <f t="shared" si="166"/>
        <v>3.5561403508771933E-2</v>
      </c>
    </row>
    <row r="10426" spans="39:45">
      <c r="AM10426" s="54">
        <v>2020</v>
      </c>
      <c r="AN10426" s="54" t="s">
        <v>185</v>
      </c>
      <c r="AO10426" s="54">
        <v>10</v>
      </c>
      <c r="AP10426" s="54">
        <v>8</v>
      </c>
      <c r="AQ10426" s="54">
        <v>3446.5</v>
      </c>
      <c r="AR10426" s="55">
        <v>28500</v>
      </c>
      <c r="AS10426" s="78">
        <f t="shared" si="166"/>
        <v>0.12092982456140351</v>
      </c>
    </row>
    <row r="10427" spans="39:45">
      <c r="AM10427" s="55">
        <v>2020</v>
      </c>
      <c r="AN10427" s="55" t="s">
        <v>185</v>
      </c>
      <c r="AO10427" s="55">
        <v>10</v>
      </c>
      <c r="AP10427" s="55">
        <v>9</v>
      </c>
      <c r="AQ10427" s="55">
        <v>5137.5</v>
      </c>
      <c r="AR10427" s="55">
        <v>28500</v>
      </c>
      <c r="AS10427" s="78">
        <f t="shared" si="166"/>
        <v>0.18026315789473685</v>
      </c>
    </row>
    <row r="10428" spans="39:45">
      <c r="AM10428" s="54">
        <v>2020</v>
      </c>
      <c r="AN10428" s="54" t="s">
        <v>185</v>
      </c>
      <c r="AO10428" s="54">
        <v>10</v>
      </c>
      <c r="AP10428" s="54">
        <v>10</v>
      </c>
      <c r="AQ10428" s="54">
        <v>8248</v>
      </c>
      <c r="AR10428" s="55">
        <v>28500</v>
      </c>
      <c r="AS10428" s="78">
        <f t="shared" si="166"/>
        <v>0.28940350877192983</v>
      </c>
    </row>
    <row r="10429" spans="39:45">
      <c r="AM10429" s="55">
        <v>2020</v>
      </c>
      <c r="AN10429" s="55" t="s">
        <v>185</v>
      </c>
      <c r="AO10429" s="55">
        <v>10</v>
      </c>
      <c r="AP10429" s="55">
        <v>11</v>
      </c>
      <c r="AQ10429" s="55">
        <v>7118.5</v>
      </c>
      <c r="AR10429" s="55">
        <v>28500</v>
      </c>
      <c r="AS10429" s="78">
        <f t="shared" si="166"/>
        <v>0.2497719298245614</v>
      </c>
    </row>
    <row r="10430" spans="39:45">
      <c r="AM10430" s="54">
        <v>2020</v>
      </c>
      <c r="AN10430" s="54" t="s">
        <v>185</v>
      </c>
      <c r="AO10430" s="54">
        <v>10</v>
      </c>
      <c r="AP10430" s="54">
        <v>12</v>
      </c>
      <c r="AQ10430" s="54">
        <v>5730</v>
      </c>
      <c r="AR10430" s="55">
        <v>28500</v>
      </c>
      <c r="AS10430" s="78">
        <f t="shared" si="166"/>
        <v>0.20105263157894737</v>
      </c>
    </row>
    <row r="10431" spans="39:45">
      <c r="AM10431" s="55">
        <v>2020</v>
      </c>
      <c r="AN10431" s="55" t="s">
        <v>185</v>
      </c>
      <c r="AO10431" s="55">
        <v>10</v>
      </c>
      <c r="AP10431" s="55">
        <v>13</v>
      </c>
      <c r="AQ10431" s="55">
        <v>8380</v>
      </c>
      <c r="AR10431" s="55">
        <v>28500</v>
      </c>
      <c r="AS10431" s="78">
        <f t="shared" si="166"/>
        <v>0.29403508771929826</v>
      </c>
    </row>
    <row r="10432" spans="39:45">
      <c r="AM10432" s="54">
        <v>2020</v>
      </c>
      <c r="AN10432" s="54" t="s">
        <v>185</v>
      </c>
      <c r="AO10432" s="54">
        <v>10</v>
      </c>
      <c r="AP10432" s="54">
        <v>14</v>
      </c>
      <c r="AQ10432" s="54">
        <v>10855</v>
      </c>
      <c r="AR10432" s="55">
        <v>28500</v>
      </c>
      <c r="AS10432" s="78">
        <f t="shared" si="166"/>
        <v>0.38087719298245615</v>
      </c>
    </row>
    <row r="10433" spans="39:45">
      <c r="AM10433" s="55">
        <v>2020</v>
      </c>
      <c r="AN10433" s="55" t="s">
        <v>185</v>
      </c>
      <c r="AO10433" s="55">
        <v>10</v>
      </c>
      <c r="AP10433" s="55">
        <v>15</v>
      </c>
      <c r="AQ10433" s="55">
        <v>3134</v>
      </c>
      <c r="AR10433" s="55">
        <v>28500</v>
      </c>
      <c r="AS10433" s="78">
        <f t="shared" si="166"/>
        <v>0.10996491228070175</v>
      </c>
    </row>
    <row r="10434" spans="39:45">
      <c r="AM10434" s="54">
        <v>2020</v>
      </c>
      <c r="AN10434" s="54" t="s">
        <v>185</v>
      </c>
      <c r="AO10434" s="54">
        <v>10</v>
      </c>
      <c r="AP10434" s="54">
        <v>16</v>
      </c>
      <c r="AQ10434" s="54">
        <v>4153.5</v>
      </c>
      <c r="AR10434" s="55">
        <v>28500</v>
      </c>
      <c r="AS10434" s="78">
        <f t="shared" ref="AS10434:AS10497" si="167">AQ10434/AR10434</f>
        <v>0.14573684210526316</v>
      </c>
    </row>
    <row r="10435" spans="39:45">
      <c r="AM10435" s="55">
        <v>2020</v>
      </c>
      <c r="AN10435" s="55" t="s">
        <v>185</v>
      </c>
      <c r="AO10435" s="55">
        <v>10</v>
      </c>
      <c r="AP10435" s="55">
        <v>17</v>
      </c>
      <c r="AQ10435" s="55">
        <v>324</v>
      </c>
      <c r="AR10435" s="55">
        <v>28500</v>
      </c>
      <c r="AS10435" s="78">
        <f t="shared" si="167"/>
        <v>1.136842105263158E-2</v>
      </c>
    </row>
    <row r="10436" spans="39:45">
      <c r="AM10436" s="54">
        <v>2020</v>
      </c>
      <c r="AN10436" s="54" t="s">
        <v>185</v>
      </c>
      <c r="AO10436" s="54">
        <v>10</v>
      </c>
      <c r="AP10436" s="54">
        <v>18</v>
      </c>
      <c r="AQ10436" s="54">
        <v>0</v>
      </c>
      <c r="AR10436" s="55">
        <v>28500</v>
      </c>
      <c r="AS10436" s="78">
        <f t="shared" si="167"/>
        <v>0</v>
      </c>
    </row>
    <row r="10437" spans="39:45">
      <c r="AM10437" s="55">
        <v>2020</v>
      </c>
      <c r="AN10437" s="55" t="s">
        <v>185</v>
      </c>
      <c r="AO10437" s="55">
        <v>10</v>
      </c>
      <c r="AP10437" s="55">
        <v>19</v>
      </c>
      <c r="AQ10437" s="55">
        <v>0</v>
      </c>
      <c r="AR10437" s="55">
        <v>28500</v>
      </c>
      <c r="AS10437" s="78">
        <f t="shared" si="167"/>
        <v>0</v>
      </c>
    </row>
    <row r="10438" spans="39:45">
      <c r="AM10438" s="54">
        <v>2020</v>
      </c>
      <c r="AN10438" s="54" t="s">
        <v>185</v>
      </c>
      <c r="AO10438" s="54">
        <v>10</v>
      </c>
      <c r="AP10438" s="54">
        <v>20</v>
      </c>
      <c r="AQ10438" s="54">
        <v>0</v>
      </c>
      <c r="AR10438" s="55">
        <v>28500</v>
      </c>
      <c r="AS10438" s="78">
        <f t="shared" si="167"/>
        <v>0</v>
      </c>
    </row>
    <row r="10439" spans="39:45">
      <c r="AM10439" s="55">
        <v>2020</v>
      </c>
      <c r="AN10439" s="55" t="s">
        <v>185</v>
      </c>
      <c r="AO10439" s="55">
        <v>10</v>
      </c>
      <c r="AP10439" s="55">
        <v>21</v>
      </c>
      <c r="AQ10439" s="55">
        <v>0</v>
      </c>
      <c r="AR10439" s="55">
        <v>28500</v>
      </c>
      <c r="AS10439" s="78">
        <f t="shared" si="167"/>
        <v>0</v>
      </c>
    </row>
    <row r="10440" spans="39:45">
      <c r="AM10440" s="54">
        <v>2020</v>
      </c>
      <c r="AN10440" s="54" t="s">
        <v>185</v>
      </c>
      <c r="AO10440" s="54">
        <v>10</v>
      </c>
      <c r="AP10440" s="54">
        <v>22</v>
      </c>
      <c r="AQ10440" s="54">
        <v>0</v>
      </c>
      <c r="AR10440" s="55">
        <v>28500</v>
      </c>
      <c r="AS10440" s="78">
        <f t="shared" si="167"/>
        <v>0</v>
      </c>
    </row>
    <row r="10441" spans="39:45">
      <c r="AM10441" s="55">
        <v>2020</v>
      </c>
      <c r="AN10441" s="55" t="s">
        <v>185</v>
      </c>
      <c r="AO10441" s="55">
        <v>10</v>
      </c>
      <c r="AP10441" s="55">
        <v>23</v>
      </c>
      <c r="AQ10441" s="55">
        <v>0</v>
      </c>
      <c r="AR10441" s="55">
        <v>28500</v>
      </c>
      <c r="AS10441" s="78">
        <f t="shared" si="167"/>
        <v>0</v>
      </c>
    </row>
    <row r="10442" spans="39:45">
      <c r="AM10442" s="54">
        <v>2020</v>
      </c>
      <c r="AN10442" s="54" t="s">
        <v>185</v>
      </c>
      <c r="AO10442" s="54">
        <v>11</v>
      </c>
      <c r="AP10442" s="54">
        <v>24</v>
      </c>
      <c r="AQ10442" s="54">
        <v>0</v>
      </c>
      <c r="AR10442" s="55">
        <v>28500</v>
      </c>
      <c r="AS10442" s="78">
        <f t="shared" si="167"/>
        <v>0</v>
      </c>
    </row>
    <row r="10443" spans="39:45">
      <c r="AM10443" s="55">
        <v>2020</v>
      </c>
      <c r="AN10443" s="55" t="s">
        <v>185</v>
      </c>
      <c r="AO10443" s="55">
        <v>11</v>
      </c>
      <c r="AP10443" s="55">
        <v>1</v>
      </c>
      <c r="AQ10443" s="55">
        <v>0</v>
      </c>
      <c r="AR10443" s="55">
        <v>28500</v>
      </c>
      <c r="AS10443" s="78">
        <f t="shared" si="167"/>
        <v>0</v>
      </c>
    </row>
    <row r="10444" spans="39:45">
      <c r="AM10444" s="54">
        <v>2020</v>
      </c>
      <c r="AN10444" s="54" t="s">
        <v>185</v>
      </c>
      <c r="AO10444" s="54">
        <v>11</v>
      </c>
      <c r="AP10444" s="54">
        <v>2</v>
      </c>
      <c r="AQ10444" s="54">
        <v>0</v>
      </c>
      <c r="AR10444" s="55">
        <v>28500</v>
      </c>
      <c r="AS10444" s="78">
        <f t="shared" si="167"/>
        <v>0</v>
      </c>
    </row>
    <row r="10445" spans="39:45">
      <c r="AM10445" s="55">
        <v>2020</v>
      </c>
      <c r="AN10445" s="55" t="s">
        <v>185</v>
      </c>
      <c r="AO10445" s="55">
        <v>11</v>
      </c>
      <c r="AP10445" s="55">
        <v>3</v>
      </c>
      <c r="AQ10445" s="55">
        <v>0</v>
      </c>
      <c r="AR10445" s="55">
        <v>28500</v>
      </c>
      <c r="AS10445" s="78">
        <f t="shared" si="167"/>
        <v>0</v>
      </c>
    </row>
    <row r="10446" spans="39:45">
      <c r="AM10446" s="54">
        <v>2020</v>
      </c>
      <c r="AN10446" s="54" t="s">
        <v>185</v>
      </c>
      <c r="AO10446" s="54">
        <v>11</v>
      </c>
      <c r="AP10446" s="54">
        <v>4</v>
      </c>
      <c r="AQ10446" s="54">
        <v>0</v>
      </c>
      <c r="AR10446" s="55">
        <v>28500</v>
      </c>
      <c r="AS10446" s="78">
        <f t="shared" si="167"/>
        <v>0</v>
      </c>
    </row>
    <row r="10447" spans="39:45">
      <c r="AM10447" s="55">
        <v>2020</v>
      </c>
      <c r="AN10447" s="55" t="s">
        <v>185</v>
      </c>
      <c r="AO10447" s="55">
        <v>11</v>
      </c>
      <c r="AP10447" s="55">
        <v>5</v>
      </c>
      <c r="AQ10447" s="55">
        <v>0</v>
      </c>
      <c r="AR10447" s="55">
        <v>28500</v>
      </c>
      <c r="AS10447" s="78">
        <f t="shared" si="167"/>
        <v>0</v>
      </c>
    </row>
    <row r="10448" spans="39:45">
      <c r="AM10448" s="54">
        <v>2020</v>
      </c>
      <c r="AN10448" s="54" t="s">
        <v>185</v>
      </c>
      <c r="AO10448" s="54">
        <v>11</v>
      </c>
      <c r="AP10448" s="54">
        <v>6</v>
      </c>
      <c r="AQ10448" s="54">
        <v>0</v>
      </c>
      <c r="AR10448" s="55">
        <v>28500</v>
      </c>
      <c r="AS10448" s="78">
        <f t="shared" si="167"/>
        <v>0</v>
      </c>
    </row>
    <row r="10449" spans="39:45">
      <c r="AM10449" s="55">
        <v>2020</v>
      </c>
      <c r="AN10449" s="55" t="s">
        <v>185</v>
      </c>
      <c r="AO10449" s="55">
        <v>11</v>
      </c>
      <c r="AP10449" s="55">
        <v>7</v>
      </c>
      <c r="AQ10449" s="55">
        <v>1241.5</v>
      </c>
      <c r="AR10449" s="55">
        <v>28500</v>
      </c>
      <c r="AS10449" s="78">
        <f t="shared" si="167"/>
        <v>4.3561403508771933E-2</v>
      </c>
    </row>
    <row r="10450" spans="39:45">
      <c r="AM10450" s="54">
        <v>2020</v>
      </c>
      <c r="AN10450" s="54" t="s">
        <v>185</v>
      </c>
      <c r="AO10450" s="54">
        <v>11</v>
      </c>
      <c r="AP10450" s="54">
        <v>8</v>
      </c>
      <c r="AQ10450" s="54">
        <v>4502.5</v>
      </c>
      <c r="AR10450" s="55">
        <v>28500</v>
      </c>
      <c r="AS10450" s="78">
        <f t="shared" si="167"/>
        <v>0.15798245614035089</v>
      </c>
    </row>
    <row r="10451" spans="39:45">
      <c r="AM10451" s="55">
        <v>2020</v>
      </c>
      <c r="AN10451" s="55" t="s">
        <v>185</v>
      </c>
      <c r="AO10451" s="55">
        <v>11</v>
      </c>
      <c r="AP10451" s="55">
        <v>9</v>
      </c>
      <c r="AQ10451" s="55">
        <v>6426.5</v>
      </c>
      <c r="AR10451" s="55">
        <v>28500</v>
      </c>
      <c r="AS10451" s="78">
        <f t="shared" si="167"/>
        <v>0.22549122807017544</v>
      </c>
    </row>
    <row r="10452" spans="39:45">
      <c r="AM10452" s="54">
        <v>2020</v>
      </c>
      <c r="AN10452" s="54" t="s">
        <v>185</v>
      </c>
      <c r="AO10452" s="54">
        <v>11</v>
      </c>
      <c r="AP10452" s="54">
        <v>10</v>
      </c>
      <c r="AQ10452" s="54">
        <v>6467.5</v>
      </c>
      <c r="AR10452" s="55">
        <v>28500</v>
      </c>
      <c r="AS10452" s="78">
        <f t="shared" si="167"/>
        <v>0.22692982456140351</v>
      </c>
    </row>
    <row r="10453" spans="39:45">
      <c r="AM10453" s="55">
        <v>2020</v>
      </c>
      <c r="AN10453" s="55" t="s">
        <v>185</v>
      </c>
      <c r="AO10453" s="55">
        <v>11</v>
      </c>
      <c r="AP10453" s="55">
        <v>11</v>
      </c>
      <c r="AQ10453" s="55">
        <v>37293.5</v>
      </c>
      <c r="AR10453" s="55">
        <v>28500</v>
      </c>
      <c r="AS10453" s="78">
        <f t="shared" si="167"/>
        <v>1.3085438596491228</v>
      </c>
    </row>
    <row r="10454" spans="39:45">
      <c r="AM10454" s="54">
        <v>2020</v>
      </c>
      <c r="AN10454" s="54" t="s">
        <v>185</v>
      </c>
      <c r="AO10454" s="54">
        <v>11</v>
      </c>
      <c r="AP10454" s="54">
        <v>12</v>
      </c>
      <c r="AQ10454" s="54">
        <v>33373</v>
      </c>
      <c r="AR10454" s="55">
        <v>28500</v>
      </c>
      <c r="AS10454" s="78">
        <f t="shared" si="167"/>
        <v>1.1709824561403508</v>
      </c>
    </row>
    <row r="10455" spans="39:45">
      <c r="AM10455" s="55">
        <v>2020</v>
      </c>
      <c r="AN10455" s="55" t="s">
        <v>185</v>
      </c>
      <c r="AO10455" s="55">
        <v>11</v>
      </c>
      <c r="AP10455" s="55">
        <v>13</v>
      </c>
      <c r="AQ10455" s="55">
        <v>38030</v>
      </c>
      <c r="AR10455" s="55">
        <v>28500</v>
      </c>
      <c r="AS10455" s="78">
        <f t="shared" si="167"/>
        <v>1.3343859649122807</v>
      </c>
    </row>
    <row r="10456" spans="39:45">
      <c r="AM10456" s="54">
        <v>2020</v>
      </c>
      <c r="AN10456" s="54" t="s">
        <v>185</v>
      </c>
      <c r="AO10456" s="54">
        <v>11</v>
      </c>
      <c r="AP10456" s="54">
        <v>14</v>
      </c>
      <c r="AQ10456" s="54">
        <v>24680</v>
      </c>
      <c r="AR10456" s="55">
        <v>28500</v>
      </c>
      <c r="AS10456" s="78">
        <f t="shared" si="167"/>
        <v>0.86596491228070172</v>
      </c>
    </row>
    <row r="10457" spans="39:45">
      <c r="AM10457" s="55">
        <v>2020</v>
      </c>
      <c r="AN10457" s="55" t="s">
        <v>185</v>
      </c>
      <c r="AO10457" s="55">
        <v>11</v>
      </c>
      <c r="AP10457" s="55">
        <v>15</v>
      </c>
      <c r="AQ10457" s="55">
        <v>26593.5</v>
      </c>
      <c r="AR10457" s="55">
        <v>28500</v>
      </c>
      <c r="AS10457" s="78">
        <f t="shared" si="167"/>
        <v>0.93310526315789477</v>
      </c>
    </row>
    <row r="10458" spans="39:45">
      <c r="AM10458" s="54">
        <v>2020</v>
      </c>
      <c r="AN10458" s="54" t="s">
        <v>185</v>
      </c>
      <c r="AO10458" s="54">
        <v>11</v>
      </c>
      <c r="AP10458" s="54">
        <v>16</v>
      </c>
      <c r="AQ10458" s="54">
        <v>15298.5</v>
      </c>
      <c r="AR10458" s="55">
        <v>28500</v>
      </c>
      <c r="AS10458" s="78">
        <f t="shared" si="167"/>
        <v>0.53678947368421048</v>
      </c>
    </row>
    <row r="10459" spans="39:45">
      <c r="AM10459" s="55">
        <v>2020</v>
      </c>
      <c r="AN10459" s="55" t="s">
        <v>185</v>
      </c>
      <c r="AO10459" s="55">
        <v>11</v>
      </c>
      <c r="AP10459" s="55">
        <v>17</v>
      </c>
      <c r="AQ10459" s="55">
        <v>4129.5</v>
      </c>
      <c r="AR10459" s="55">
        <v>28500</v>
      </c>
      <c r="AS10459" s="78">
        <f t="shared" si="167"/>
        <v>0.14489473684210527</v>
      </c>
    </row>
    <row r="10460" spans="39:45">
      <c r="AM10460" s="54">
        <v>2020</v>
      </c>
      <c r="AN10460" s="54" t="s">
        <v>185</v>
      </c>
      <c r="AO10460" s="54">
        <v>11</v>
      </c>
      <c r="AP10460" s="54">
        <v>18</v>
      </c>
      <c r="AQ10460" s="54">
        <v>0</v>
      </c>
      <c r="AR10460" s="55">
        <v>28500</v>
      </c>
      <c r="AS10460" s="78">
        <f t="shared" si="167"/>
        <v>0</v>
      </c>
    </row>
    <row r="10461" spans="39:45">
      <c r="AM10461" s="55">
        <v>2020</v>
      </c>
      <c r="AN10461" s="55" t="s">
        <v>185</v>
      </c>
      <c r="AO10461" s="55">
        <v>11</v>
      </c>
      <c r="AP10461" s="55">
        <v>19</v>
      </c>
      <c r="AQ10461" s="55">
        <v>0</v>
      </c>
      <c r="AR10461" s="55">
        <v>28500</v>
      </c>
      <c r="AS10461" s="78">
        <f t="shared" si="167"/>
        <v>0</v>
      </c>
    </row>
    <row r="10462" spans="39:45">
      <c r="AM10462" s="54">
        <v>2020</v>
      </c>
      <c r="AN10462" s="54" t="s">
        <v>185</v>
      </c>
      <c r="AO10462" s="54">
        <v>11</v>
      </c>
      <c r="AP10462" s="54">
        <v>20</v>
      </c>
      <c r="AQ10462" s="54">
        <v>0</v>
      </c>
      <c r="AR10462" s="55">
        <v>28500</v>
      </c>
      <c r="AS10462" s="78">
        <f t="shared" si="167"/>
        <v>0</v>
      </c>
    </row>
    <row r="10463" spans="39:45">
      <c r="AM10463" s="55">
        <v>2020</v>
      </c>
      <c r="AN10463" s="55" t="s">
        <v>185</v>
      </c>
      <c r="AO10463" s="55">
        <v>11</v>
      </c>
      <c r="AP10463" s="55">
        <v>21</v>
      </c>
      <c r="AQ10463" s="55">
        <v>0</v>
      </c>
      <c r="AR10463" s="55">
        <v>28500</v>
      </c>
      <c r="AS10463" s="78">
        <f t="shared" si="167"/>
        <v>0</v>
      </c>
    </row>
    <row r="10464" spans="39:45">
      <c r="AM10464" s="54">
        <v>2020</v>
      </c>
      <c r="AN10464" s="54" t="s">
        <v>185</v>
      </c>
      <c r="AO10464" s="54">
        <v>11</v>
      </c>
      <c r="AP10464" s="54">
        <v>22</v>
      </c>
      <c r="AQ10464" s="54">
        <v>0</v>
      </c>
      <c r="AR10464" s="55">
        <v>28500</v>
      </c>
      <c r="AS10464" s="78">
        <f t="shared" si="167"/>
        <v>0</v>
      </c>
    </row>
    <row r="10465" spans="39:45">
      <c r="AM10465" s="55">
        <v>2020</v>
      </c>
      <c r="AN10465" s="55" t="s">
        <v>185</v>
      </c>
      <c r="AO10465" s="55">
        <v>11</v>
      </c>
      <c r="AP10465" s="55">
        <v>23</v>
      </c>
      <c r="AQ10465" s="55">
        <v>0</v>
      </c>
      <c r="AR10465" s="55">
        <v>28500</v>
      </c>
      <c r="AS10465" s="78">
        <f t="shared" si="167"/>
        <v>0</v>
      </c>
    </row>
    <row r="10466" spans="39:45">
      <c r="AM10466" s="54">
        <v>2020</v>
      </c>
      <c r="AN10466" s="54" t="s">
        <v>185</v>
      </c>
      <c r="AO10466" s="54">
        <v>12</v>
      </c>
      <c r="AP10466" s="54">
        <v>24</v>
      </c>
      <c r="AQ10466" s="54">
        <v>0</v>
      </c>
      <c r="AR10466" s="55">
        <v>28500</v>
      </c>
      <c r="AS10466" s="78">
        <f t="shared" si="167"/>
        <v>0</v>
      </c>
    </row>
    <row r="10467" spans="39:45">
      <c r="AM10467" s="55">
        <v>2020</v>
      </c>
      <c r="AN10467" s="55" t="s">
        <v>185</v>
      </c>
      <c r="AO10467" s="55">
        <v>12</v>
      </c>
      <c r="AP10467" s="55">
        <v>1</v>
      </c>
      <c r="AQ10467" s="55">
        <v>0</v>
      </c>
      <c r="AR10467" s="55">
        <v>28500</v>
      </c>
      <c r="AS10467" s="78">
        <f t="shared" si="167"/>
        <v>0</v>
      </c>
    </row>
    <row r="10468" spans="39:45">
      <c r="AM10468" s="54">
        <v>2020</v>
      </c>
      <c r="AN10468" s="54" t="s">
        <v>185</v>
      </c>
      <c r="AO10468" s="54">
        <v>12</v>
      </c>
      <c r="AP10468" s="54">
        <v>2</v>
      </c>
      <c r="AQ10468" s="54">
        <v>0</v>
      </c>
      <c r="AR10468" s="55">
        <v>28500</v>
      </c>
      <c r="AS10468" s="78">
        <f t="shared" si="167"/>
        <v>0</v>
      </c>
    </row>
    <row r="10469" spans="39:45">
      <c r="AM10469" s="55">
        <v>2020</v>
      </c>
      <c r="AN10469" s="55" t="s">
        <v>185</v>
      </c>
      <c r="AO10469" s="55">
        <v>12</v>
      </c>
      <c r="AP10469" s="55">
        <v>3</v>
      </c>
      <c r="AQ10469" s="55">
        <v>0</v>
      </c>
      <c r="AR10469" s="55">
        <v>28500</v>
      </c>
      <c r="AS10469" s="78">
        <f t="shared" si="167"/>
        <v>0</v>
      </c>
    </row>
    <row r="10470" spans="39:45">
      <c r="AM10470" s="54">
        <v>2020</v>
      </c>
      <c r="AN10470" s="54" t="s">
        <v>185</v>
      </c>
      <c r="AO10470" s="54">
        <v>12</v>
      </c>
      <c r="AP10470" s="54">
        <v>4</v>
      </c>
      <c r="AQ10470" s="54">
        <v>0</v>
      </c>
      <c r="AR10470" s="55">
        <v>28500</v>
      </c>
      <c r="AS10470" s="78">
        <f t="shared" si="167"/>
        <v>0</v>
      </c>
    </row>
    <row r="10471" spans="39:45">
      <c r="AM10471" s="55">
        <v>2020</v>
      </c>
      <c r="AN10471" s="55" t="s">
        <v>185</v>
      </c>
      <c r="AO10471" s="55">
        <v>12</v>
      </c>
      <c r="AP10471" s="55">
        <v>5</v>
      </c>
      <c r="AQ10471" s="55">
        <v>0</v>
      </c>
      <c r="AR10471" s="55">
        <v>28500</v>
      </c>
      <c r="AS10471" s="78">
        <f t="shared" si="167"/>
        <v>0</v>
      </c>
    </row>
    <row r="10472" spans="39:45">
      <c r="AM10472" s="54">
        <v>2020</v>
      </c>
      <c r="AN10472" s="54" t="s">
        <v>185</v>
      </c>
      <c r="AO10472" s="54">
        <v>12</v>
      </c>
      <c r="AP10472" s="54">
        <v>6</v>
      </c>
      <c r="AQ10472" s="54">
        <v>0</v>
      </c>
      <c r="AR10472" s="55">
        <v>28500</v>
      </c>
      <c r="AS10472" s="78">
        <f t="shared" si="167"/>
        <v>0</v>
      </c>
    </row>
    <row r="10473" spans="39:45">
      <c r="AM10473" s="55">
        <v>2020</v>
      </c>
      <c r="AN10473" s="55" t="s">
        <v>185</v>
      </c>
      <c r="AO10473" s="55">
        <v>12</v>
      </c>
      <c r="AP10473" s="55">
        <v>7</v>
      </c>
      <c r="AQ10473" s="55">
        <v>5309</v>
      </c>
      <c r="AR10473" s="55">
        <v>28500</v>
      </c>
      <c r="AS10473" s="78">
        <f t="shared" si="167"/>
        <v>0.18628070175438596</v>
      </c>
    </row>
    <row r="10474" spans="39:45">
      <c r="AM10474" s="54">
        <v>2020</v>
      </c>
      <c r="AN10474" s="54" t="s">
        <v>185</v>
      </c>
      <c r="AO10474" s="54">
        <v>12</v>
      </c>
      <c r="AP10474" s="54">
        <v>8</v>
      </c>
      <c r="AQ10474" s="54">
        <v>18048.5</v>
      </c>
      <c r="AR10474" s="55">
        <v>28500</v>
      </c>
      <c r="AS10474" s="78">
        <f t="shared" si="167"/>
        <v>0.633280701754386</v>
      </c>
    </row>
    <row r="10475" spans="39:45">
      <c r="AM10475" s="55">
        <v>2020</v>
      </c>
      <c r="AN10475" s="55" t="s">
        <v>185</v>
      </c>
      <c r="AO10475" s="55">
        <v>12</v>
      </c>
      <c r="AP10475" s="55">
        <v>9</v>
      </c>
      <c r="AQ10475" s="55">
        <v>27809.5</v>
      </c>
      <c r="AR10475" s="55">
        <v>28500</v>
      </c>
      <c r="AS10475" s="78">
        <f t="shared" si="167"/>
        <v>0.9757719298245614</v>
      </c>
    </row>
    <row r="10476" spans="39:45">
      <c r="AM10476" s="54">
        <v>2020</v>
      </c>
      <c r="AN10476" s="54" t="s">
        <v>185</v>
      </c>
      <c r="AO10476" s="54">
        <v>12</v>
      </c>
      <c r="AP10476" s="54">
        <v>10</v>
      </c>
      <c r="AQ10476" s="54">
        <v>12200.5</v>
      </c>
      <c r="AR10476" s="55">
        <v>28500</v>
      </c>
      <c r="AS10476" s="78">
        <f t="shared" si="167"/>
        <v>0.42808771929824563</v>
      </c>
    </row>
    <row r="10477" spans="39:45">
      <c r="AM10477" s="55">
        <v>2020</v>
      </c>
      <c r="AN10477" s="55" t="s">
        <v>185</v>
      </c>
      <c r="AO10477" s="55">
        <v>12</v>
      </c>
      <c r="AP10477" s="55">
        <v>11</v>
      </c>
      <c r="AQ10477" s="55">
        <v>34860.5</v>
      </c>
      <c r="AR10477" s="55">
        <v>28500</v>
      </c>
      <c r="AS10477" s="78">
        <f t="shared" si="167"/>
        <v>1.2231754385964912</v>
      </c>
    </row>
    <row r="10478" spans="39:45">
      <c r="AM10478" s="54">
        <v>2020</v>
      </c>
      <c r="AN10478" s="54" t="s">
        <v>185</v>
      </c>
      <c r="AO10478" s="54">
        <v>12</v>
      </c>
      <c r="AP10478" s="54">
        <v>12</v>
      </c>
      <c r="AQ10478" s="54">
        <v>31899.5</v>
      </c>
      <c r="AR10478" s="55">
        <v>28500</v>
      </c>
      <c r="AS10478" s="78">
        <f t="shared" si="167"/>
        <v>1.119280701754386</v>
      </c>
    </row>
    <row r="10479" spans="39:45">
      <c r="AM10479" s="55">
        <v>2020</v>
      </c>
      <c r="AN10479" s="55" t="s">
        <v>185</v>
      </c>
      <c r="AO10479" s="55">
        <v>12</v>
      </c>
      <c r="AP10479" s="55">
        <v>13</v>
      </c>
      <c r="AQ10479" s="55">
        <v>38153</v>
      </c>
      <c r="AR10479" s="55">
        <v>28500</v>
      </c>
      <c r="AS10479" s="78">
        <f t="shared" si="167"/>
        <v>1.3387017543859649</v>
      </c>
    </row>
    <row r="10480" spans="39:45">
      <c r="AM10480" s="54">
        <v>2020</v>
      </c>
      <c r="AN10480" s="54" t="s">
        <v>185</v>
      </c>
      <c r="AO10480" s="54">
        <v>12</v>
      </c>
      <c r="AP10480" s="54">
        <v>14</v>
      </c>
      <c r="AQ10480" s="54">
        <v>9657.5</v>
      </c>
      <c r="AR10480" s="55">
        <v>28500</v>
      </c>
      <c r="AS10480" s="78">
        <f t="shared" si="167"/>
        <v>0.33885964912280703</v>
      </c>
    </row>
    <row r="10481" spans="39:45">
      <c r="AM10481" s="55">
        <v>2020</v>
      </c>
      <c r="AN10481" s="55" t="s">
        <v>185</v>
      </c>
      <c r="AO10481" s="55">
        <v>12</v>
      </c>
      <c r="AP10481" s="55">
        <v>15</v>
      </c>
      <c r="AQ10481" s="55">
        <v>18220</v>
      </c>
      <c r="AR10481" s="55">
        <v>28500</v>
      </c>
      <c r="AS10481" s="78">
        <f t="shared" si="167"/>
        <v>0.63929824561403503</v>
      </c>
    </row>
    <row r="10482" spans="39:45">
      <c r="AM10482" s="54">
        <v>2020</v>
      </c>
      <c r="AN10482" s="54" t="s">
        <v>185</v>
      </c>
      <c r="AO10482" s="54">
        <v>12</v>
      </c>
      <c r="AP10482" s="54">
        <v>16</v>
      </c>
      <c r="AQ10482" s="54">
        <v>9188</v>
      </c>
      <c r="AR10482" s="55">
        <v>28500</v>
      </c>
      <c r="AS10482" s="78">
        <f t="shared" si="167"/>
        <v>0.32238596491228072</v>
      </c>
    </row>
    <row r="10483" spans="39:45">
      <c r="AM10483" s="55">
        <v>2020</v>
      </c>
      <c r="AN10483" s="55" t="s">
        <v>185</v>
      </c>
      <c r="AO10483" s="55">
        <v>12</v>
      </c>
      <c r="AP10483" s="55">
        <v>17</v>
      </c>
      <c r="AQ10483" s="55">
        <v>4805.5</v>
      </c>
      <c r="AR10483" s="55">
        <v>28500</v>
      </c>
      <c r="AS10483" s="78">
        <f t="shared" si="167"/>
        <v>0.1686140350877193</v>
      </c>
    </row>
    <row r="10484" spans="39:45">
      <c r="AM10484" s="54">
        <v>2020</v>
      </c>
      <c r="AN10484" s="54" t="s">
        <v>185</v>
      </c>
      <c r="AO10484" s="54">
        <v>12</v>
      </c>
      <c r="AP10484" s="54">
        <v>18</v>
      </c>
      <c r="AQ10484" s="54">
        <v>0</v>
      </c>
      <c r="AR10484" s="55">
        <v>28500</v>
      </c>
      <c r="AS10484" s="78">
        <f t="shared" si="167"/>
        <v>0</v>
      </c>
    </row>
    <row r="10485" spans="39:45">
      <c r="AM10485" s="55">
        <v>2020</v>
      </c>
      <c r="AN10485" s="55" t="s">
        <v>185</v>
      </c>
      <c r="AO10485" s="55">
        <v>12</v>
      </c>
      <c r="AP10485" s="55">
        <v>19</v>
      </c>
      <c r="AQ10485" s="55">
        <v>0</v>
      </c>
      <c r="AR10485" s="55">
        <v>28500</v>
      </c>
      <c r="AS10485" s="78">
        <f t="shared" si="167"/>
        <v>0</v>
      </c>
    </row>
    <row r="10486" spans="39:45">
      <c r="AM10486" s="54">
        <v>2020</v>
      </c>
      <c r="AN10486" s="54" t="s">
        <v>185</v>
      </c>
      <c r="AO10486" s="54">
        <v>12</v>
      </c>
      <c r="AP10486" s="54">
        <v>20</v>
      </c>
      <c r="AQ10486" s="54">
        <v>0</v>
      </c>
      <c r="AR10486" s="55">
        <v>28500</v>
      </c>
      <c r="AS10486" s="78">
        <f t="shared" si="167"/>
        <v>0</v>
      </c>
    </row>
    <row r="10487" spans="39:45">
      <c r="AM10487" s="55">
        <v>2020</v>
      </c>
      <c r="AN10487" s="55" t="s">
        <v>185</v>
      </c>
      <c r="AO10487" s="55">
        <v>12</v>
      </c>
      <c r="AP10487" s="55">
        <v>21</v>
      </c>
      <c r="AQ10487" s="55">
        <v>0</v>
      </c>
      <c r="AR10487" s="55">
        <v>28500</v>
      </c>
      <c r="AS10487" s="78">
        <f t="shared" si="167"/>
        <v>0</v>
      </c>
    </row>
    <row r="10488" spans="39:45">
      <c r="AM10488" s="54">
        <v>2020</v>
      </c>
      <c r="AN10488" s="54" t="s">
        <v>185</v>
      </c>
      <c r="AO10488" s="54">
        <v>12</v>
      </c>
      <c r="AP10488" s="54">
        <v>22</v>
      </c>
      <c r="AQ10488" s="54">
        <v>0</v>
      </c>
      <c r="AR10488" s="55">
        <v>28500</v>
      </c>
      <c r="AS10488" s="78">
        <f t="shared" si="167"/>
        <v>0</v>
      </c>
    </row>
    <row r="10489" spans="39:45">
      <c r="AM10489" s="55">
        <v>2020</v>
      </c>
      <c r="AN10489" s="55" t="s">
        <v>185</v>
      </c>
      <c r="AO10489" s="55">
        <v>12</v>
      </c>
      <c r="AP10489" s="55">
        <v>23</v>
      </c>
      <c r="AQ10489" s="55">
        <v>0</v>
      </c>
      <c r="AR10489" s="55">
        <v>28500</v>
      </c>
      <c r="AS10489" s="78">
        <f t="shared" si="167"/>
        <v>0</v>
      </c>
    </row>
    <row r="10490" spans="39:45">
      <c r="AM10490" s="54">
        <v>2020</v>
      </c>
      <c r="AN10490" s="54" t="s">
        <v>185</v>
      </c>
      <c r="AO10490" s="54">
        <v>13</v>
      </c>
      <c r="AP10490" s="54">
        <v>24</v>
      </c>
      <c r="AQ10490" s="54">
        <v>0</v>
      </c>
      <c r="AR10490" s="55">
        <v>28500</v>
      </c>
      <c r="AS10490" s="78">
        <f t="shared" si="167"/>
        <v>0</v>
      </c>
    </row>
    <row r="10491" spans="39:45">
      <c r="AM10491" s="55">
        <v>2020</v>
      </c>
      <c r="AN10491" s="55" t="s">
        <v>185</v>
      </c>
      <c r="AO10491" s="55">
        <v>13</v>
      </c>
      <c r="AP10491" s="55">
        <v>1</v>
      </c>
      <c r="AQ10491" s="55">
        <v>0</v>
      </c>
      <c r="AR10491" s="55">
        <v>28500</v>
      </c>
      <c r="AS10491" s="78">
        <f t="shared" si="167"/>
        <v>0</v>
      </c>
    </row>
    <row r="10492" spans="39:45">
      <c r="AM10492" s="54">
        <v>2020</v>
      </c>
      <c r="AN10492" s="54" t="s">
        <v>185</v>
      </c>
      <c r="AO10492" s="54">
        <v>13</v>
      </c>
      <c r="AP10492" s="54">
        <v>2</v>
      </c>
      <c r="AQ10492" s="54">
        <v>0</v>
      </c>
      <c r="AR10492" s="55">
        <v>28500</v>
      </c>
      <c r="AS10492" s="78">
        <f t="shared" si="167"/>
        <v>0</v>
      </c>
    </row>
    <row r="10493" spans="39:45">
      <c r="AM10493" s="55">
        <v>2020</v>
      </c>
      <c r="AN10493" s="55" t="s">
        <v>185</v>
      </c>
      <c r="AO10493" s="55">
        <v>13</v>
      </c>
      <c r="AP10493" s="55">
        <v>3</v>
      </c>
      <c r="AQ10493" s="55">
        <v>0</v>
      </c>
      <c r="AR10493" s="55">
        <v>28500</v>
      </c>
      <c r="AS10493" s="78">
        <f t="shared" si="167"/>
        <v>0</v>
      </c>
    </row>
    <row r="10494" spans="39:45">
      <c r="AM10494" s="54">
        <v>2020</v>
      </c>
      <c r="AN10494" s="54" t="s">
        <v>185</v>
      </c>
      <c r="AO10494" s="54">
        <v>13</v>
      </c>
      <c r="AP10494" s="54">
        <v>4</v>
      </c>
      <c r="AQ10494" s="54">
        <v>0</v>
      </c>
      <c r="AR10494" s="55">
        <v>28500</v>
      </c>
      <c r="AS10494" s="78">
        <f t="shared" si="167"/>
        <v>0</v>
      </c>
    </row>
    <row r="10495" spans="39:45">
      <c r="AM10495" s="55">
        <v>2020</v>
      </c>
      <c r="AN10495" s="55" t="s">
        <v>185</v>
      </c>
      <c r="AO10495" s="55">
        <v>13</v>
      </c>
      <c r="AP10495" s="55">
        <v>5</v>
      </c>
      <c r="AQ10495" s="55">
        <v>0</v>
      </c>
      <c r="AR10495" s="55">
        <v>28500</v>
      </c>
      <c r="AS10495" s="78">
        <f t="shared" si="167"/>
        <v>0</v>
      </c>
    </row>
    <row r="10496" spans="39:45">
      <c r="AM10496" s="54">
        <v>2020</v>
      </c>
      <c r="AN10496" s="54" t="s">
        <v>185</v>
      </c>
      <c r="AO10496" s="54">
        <v>13</v>
      </c>
      <c r="AP10496" s="54">
        <v>6</v>
      </c>
      <c r="AQ10496" s="54">
        <v>0</v>
      </c>
      <c r="AR10496" s="55">
        <v>28500</v>
      </c>
      <c r="AS10496" s="78">
        <f t="shared" si="167"/>
        <v>0</v>
      </c>
    </row>
    <row r="10497" spans="39:45">
      <c r="AM10497" s="55">
        <v>2020</v>
      </c>
      <c r="AN10497" s="55" t="s">
        <v>185</v>
      </c>
      <c r="AO10497" s="55">
        <v>13</v>
      </c>
      <c r="AP10497" s="55">
        <v>7</v>
      </c>
      <c r="AQ10497" s="55">
        <v>4891</v>
      </c>
      <c r="AR10497" s="55">
        <v>28500</v>
      </c>
      <c r="AS10497" s="78">
        <f t="shared" si="167"/>
        <v>0.1716140350877193</v>
      </c>
    </row>
    <row r="10498" spans="39:45">
      <c r="AM10498" s="54">
        <v>2020</v>
      </c>
      <c r="AN10498" s="54" t="s">
        <v>185</v>
      </c>
      <c r="AO10498" s="54">
        <v>13</v>
      </c>
      <c r="AP10498" s="54">
        <v>8</v>
      </c>
      <c r="AQ10498" s="54">
        <v>17498.5</v>
      </c>
      <c r="AR10498" s="55">
        <v>28500</v>
      </c>
      <c r="AS10498" s="78">
        <f t="shared" ref="AS10498:AS10561" si="168">AQ10498/AR10498</f>
        <v>0.61398245614035085</v>
      </c>
    </row>
    <row r="10499" spans="39:45">
      <c r="AM10499" s="55">
        <v>2020</v>
      </c>
      <c r="AN10499" s="55" t="s">
        <v>185</v>
      </c>
      <c r="AO10499" s="55">
        <v>13</v>
      </c>
      <c r="AP10499" s="55">
        <v>9</v>
      </c>
      <c r="AQ10499" s="55">
        <v>8365.5</v>
      </c>
      <c r="AR10499" s="55">
        <v>28500</v>
      </c>
      <c r="AS10499" s="78">
        <f t="shared" si="168"/>
        <v>0.29352631578947369</v>
      </c>
    </row>
    <row r="10500" spans="39:45">
      <c r="AM10500" s="54">
        <v>2020</v>
      </c>
      <c r="AN10500" s="54" t="s">
        <v>185</v>
      </c>
      <c r="AO10500" s="54">
        <v>13</v>
      </c>
      <c r="AP10500" s="54">
        <v>10</v>
      </c>
      <c r="AQ10500" s="54">
        <v>4245</v>
      </c>
      <c r="AR10500" s="55">
        <v>28500</v>
      </c>
      <c r="AS10500" s="78">
        <f t="shared" si="168"/>
        <v>0.14894736842105263</v>
      </c>
    </row>
    <row r="10501" spans="39:45">
      <c r="AM10501" s="55">
        <v>2020</v>
      </c>
      <c r="AN10501" s="55" t="s">
        <v>185</v>
      </c>
      <c r="AO10501" s="55">
        <v>13</v>
      </c>
      <c r="AP10501" s="55">
        <v>11</v>
      </c>
      <c r="AQ10501" s="55">
        <v>6789.5</v>
      </c>
      <c r="AR10501" s="55">
        <v>28500</v>
      </c>
      <c r="AS10501" s="78">
        <f t="shared" si="168"/>
        <v>0.23822807017543859</v>
      </c>
    </row>
    <row r="10502" spans="39:45">
      <c r="AM10502" s="54">
        <v>2020</v>
      </c>
      <c r="AN10502" s="54" t="s">
        <v>185</v>
      </c>
      <c r="AO10502" s="54">
        <v>13</v>
      </c>
      <c r="AP10502" s="54">
        <v>12</v>
      </c>
      <c r="AQ10502" s="54">
        <v>18789</v>
      </c>
      <c r="AR10502" s="55">
        <v>28500</v>
      </c>
      <c r="AS10502" s="78">
        <f t="shared" si="168"/>
        <v>0.65926315789473688</v>
      </c>
    </row>
    <row r="10503" spans="39:45">
      <c r="AM10503" s="55">
        <v>2020</v>
      </c>
      <c r="AN10503" s="55" t="s">
        <v>185</v>
      </c>
      <c r="AO10503" s="55">
        <v>13</v>
      </c>
      <c r="AP10503" s="55">
        <v>13</v>
      </c>
      <c r="AQ10503" s="55">
        <v>27373</v>
      </c>
      <c r="AR10503" s="55">
        <v>28500</v>
      </c>
      <c r="AS10503" s="78">
        <f t="shared" si="168"/>
        <v>0.96045614035087723</v>
      </c>
    </row>
    <row r="10504" spans="39:45">
      <c r="AM10504" s="54">
        <v>2020</v>
      </c>
      <c r="AN10504" s="54" t="s">
        <v>185</v>
      </c>
      <c r="AO10504" s="54">
        <v>13</v>
      </c>
      <c r="AP10504" s="54">
        <v>14</v>
      </c>
      <c r="AQ10504" s="54">
        <v>19580</v>
      </c>
      <c r="AR10504" s="55">
        <v>28500</v>
      </c>
      <c r="AS10504" s="78">
        <f t="shared" si="168"/>
        <v>0.68701754385964908</v>
      </c>
    </row>
    <row r="10505" spans="39:45">
      <c r="AM10505" s="55">
        <v>2020</v>
      </c>
      <c r="AN10505" s="55" t="s">
        <v>185</v>
      </c>
      <c r="AO10505" s="55">
        <v>13</v>
      </c>
      <c r="AP10505" s="55">
        <v>15</v>
      </c>
      <c r="AQ10505" s="55">
        <v>24468</v>
      </c>
      <c r="AR10505" s="55">
        <v>28500</v>
      </c>
      <c r="AS10505" s="78">
        <f t="shared" si="168"/>
        <v>0.85852631578947369</v>
      </c>
    </row>
    <row r="10506" spans="39:45">
      <c r="AM10506" s="54">
        <v>2020</v>
      </c>
      <c r="AN10506" s="54" t="s">
        <v>185</v>
      </c>
      <c r="AO10506" s="54">
        <v>13</v>
      </c>
      <c r="AP10506" s="54">
        <v>16</v>
      </c>
      <c r="AQ10506" s="54">
        <v>8771</v>
      </c>
      <c r="AR10506" s="55">
        <v>28500</v>
      </c>
      <c r="AS10506" s="78">
        <f t="shared" si="168"/>
        <v>0.30775438596491228</v>
      </c>
    </row>
    <row r="10507" spans="39:45">
      <c r="AM10507" s="55">
        <v>2020</v>
      </c>
      <c r="AN10507" s="55" t="s">
        <v>185</v>
      </c>
      <c r="AO10507" s="55">
        <v>13</v>
      </c>
      <c r="AP10507" s="55">
        <v>17</v>
      </c>
      <c r="AQ10507" s="55">
        <v>4346</v>
      </c>
      <c r="AR10507" s="55">
        <v>28500</v>
      </c>
      <c r="AS10507" s="78">
        <f t="shared" si="168"/>
        <v>0.15249122807017543</v>
      </c>
    </row>
    <row r="10508" spans="39:45">
      <c r="AM10508" s="54">
        <v>2020</v>
      </c>
      <c r="AN10508" s="54" t="s">
        <v>185</v>
      </c>
      <c r="AO10508" s="54">
        <v>13</v>
      </c>
      <c r="AP10508" s="54">
        <v>18</v>
      </c>
      <c r="AQ10508" s="54">
        <v>0</v>
      </c>
      <c r="AR10508" s="55">
        <v>28500</v>
      </c>
      <c r="AS10508" s="78">
        <f t="shared" si="168"/>
        <v>0</v>
      </c>
    </row>
    <row r="10509" spans="39:45">
      <c r="AM10509" s="55">
        <v>2020</v>
      </c>
      <c r="AN10509" s="55" t="s">
        <v>185</v>
      </c>
      <c r="AO10509" s="55">
        <v>13</v>
      </c>
      <c r="AP10509" s="55">
        <v>19</v>
      </c>
      <c r="AQ10509" s="55">
        <v>0</v>
      </c>
      <c r="AR10509" s="55">
        <v>28500</v>
      </c>
      <c r="AS10509" s="78">
        <f t="shared" si="168"/>
        <v>0</v>
      </c>
    </row>
    <row r="10510" spans="39:45">
      <c r="AM10510" s="54">
        <v>2020</v>
      </c>
      <c r="AN10510" s="54" t="s">
        <v>185</v>
      </c>
      <c r="AO10510" s="54">
        <v>13</v>
      </c>
      <c r="AP10510" s="54">
        <v>20</v>
      </c>
      <c r="AQ10510" s="54">
        <v>0</v>
      </c>
      <c r="AR10510" s="55">
        <v>28500</v>
      </c>
      <c r="AS10510" s="78">
        <f t="shared" si="168"/>
        <v>0</v>
      </c>
    </row>
    <row r="10511" spans="39:45">
      <c r="AM10511" s="55">
        <v>2020</v>
      </c>
      <c r="AN10511" s="55" t="s">
        <v>185</v>
      </c>
      <c r="AO10511" s="55">
        <v>13</v>
      </c>
      <c r="AP10511" s="55">
        <v>21</v>
      </c>
      <c r="AQ10511" s="55">
        <v>0</v>
      </c>
      <c r="AR10511" s="55">
        <v>28500</v>
      </c>
      <c r="AS10511" s="78">
        <f t="shared" si="168"/>
        <v>0</v>
      </c>
    </row>
    <row r="10512" spans="39:45">
      <c r="AM10512" s="54">
        <v>2020</v>
      </c>
      <c r="AN10512" s="54" t="s">
        <v>185</v>
      </c>
      <c r="AO10512" s="54">
        <v>13</v>
      </c>
      <c r="AP10512" s="54">
        <v>22</v>
      </c>
      <c r="AQ10512" s="54">
        <v>0</v>
      </c>
      <c r="AR10512" s="55">
        <v>28500</v>
      </c>
      <c r="AS10512" s="78">
        <f t="shared" si="168"/>
        <v>0</v>
      </c>
    </row>
    <row r="10513" spans="39:45">
      <c r="AM10513" s="55">
        <v>2020</v>
      </c>
      <c r="AN10513" s="55" t="s">
        <v>185</v>
      </c>
      <c r="AO10513" s="55">
        <v>13</v>
      </c>
      <c r="AP10513" s="55">
        <v>23</v>
      </c>
      <c r="AQ10513" s="55">
        <v>0</v>
      </c>
      <c r="AR10513" s="55">
        <v>28500</v>
      </c>
      <c r="AS10513" s="78">
        <f t="shared" si="168"/>
        <v>0</v>
      </c>
    </row>
    <row r="10514" spans="39:45">
      <c r="AM10514" s="54">
        <v>2020</v>
      </c>
      <c r="AN10514" s="54" t="s">
        <v>185</v>
      </c>
      <c r="AO10514" s="54">
        <v>14</v>
      </c>
      <c r="AP10514" s="54">
        <v>24</v>
      </c>
      <c r="AQ10514" s="54">
        <v>0</v>
      </c>
      <c r="AR10514" s="55">
        <v>28500</v>
      </c>
      <c r="AS10514" s="78">
        <f t="shared" si="168"/>
        <v>0</v>
      </c>
    </row>
    <row r="10515" spans="39:45">
      <c r="AM10515" s="55">
        <v>2020</v>
      </c>
      <c r="AN10515" s="55" t="s">
        <v>185</v>
      </c>
      <c r="AO10515" s="55">
        <v>14</v>
      </c>
      <c r="AP10515" s="55">
        <v>1</v>
      </c>
      <c r="AQ10515" s="55">
        <v>0</v>
      </c>
      <c r="AR10515" s="55">
        <v>28500</v>
      </c>
      <c r="AS10515" s="78">
        <f t="shared" si="168"/>
        <v>0</v>
      </c>
    </row>
    <row r="10516" spans="39:45">
      <c r="AM10516" s="54">
        <v>2020</v>
      </c>
      <c r="AN10516" s="54" t="s">
        <v>185</v>
      </c>
      <c r="AO10516" s="54">
        <v>14</v>
      </c>
      <c r="AP10516" s="54">
        <v>2</v>
      </c>
      <c r="AQ10516" s="54">
        <v>0</v>
      </c>
      <c r="AR10516" s="55">
        <v>28500</v>
      </c>
      <c r="AS10516" s="78">
        <f t="shared" si="168"/>
        <v>0</v>
      </c>
    </row>
    <row r="10517" spans="39:45">
      <c r="AM10517" s="55">
        <v>2020</v>
      </c>
      <c r="AN10517" s="55" t="s">
        <v>185</v>
      </c>
      <c r="AO10517" s="55">
        <v>14</v>
      </c>
      <c r="AP10517" s="55">
        <v>3</v>
      </c>
      <c r="AQ10517" s="55">
        <v>0</v>
      </c>
      <c r="AR10517" s="55">
        <v>28500</v>
      </c>
      <c r="AS10517" s="78">
        <f t="shared" si="168"/>
        <v>0</v>
      </c>
    </row>
    <row r="10518" spans="39:45">
      <c r="AM10518" s="54">
        <v>2020</v>
      </c>
      <c r="AN10518" s="54" t="s">
        <v>185</v>
      </c>
      <c r="AO10518" s="54">
        <v>14</v>
      </c>
      <c r="AP10518" s="54">
        <v>4</v>
      </c>
      <c r="AQ10518" s="54">
        <v>0</v>
      </c>
      <c r="AR10518" s="55">
        <v>28500</v>
      </c>
      <c r="AS10518" s="78">
        <f t="shared" si="168"/>
        <v>0</v>
      </c>
    </row>
    <row r="10519" spans="39:45">
      <c r="AM10519" s="55">
        <v>2020</v>
      </c>
      <c r="AN10519" s="55" t="s">
        <v>185</v>
      </c>
      <c r="AO10519" s="55">
        <v>14</v>
      </c>
      <c r="AP10519" s="55">
        <v>5</v>
      </c>
      <c r="AQ10519" s="55">
        <v>0</v>
      </c>
      <c r="AR10519" s="55">
        <v>28500</v>
      </c>
      <c r="AS10519" s="78">
        <f t="shared" si="168"/>
        <v>0</v>
      </c>
    </row>
    <row r="10520" spans="39:45">
      <c r="AM10520" s="54">
        <v>2020</v>
      </c>
      <c r="AN10520" s="54" t="s">
        <v>185</v>
      </c>
      <c r="AO10520" s="54">
        <v>14</v>
      </c>
      <c r="AP10520" s="54">
        <v>6</v>
      </c>
      <c r="AQ10520" s="54">
        <v>0</v>
      </c>
      <c r="AR10520" s="55">
        <v>28500</v>
      </c>
      <c r="AS10520" s="78">
        <f t="shared" si="168"/>
        <v>0</v>
      </c>
    </row>
    <row r="10521" spans="39:45">
      <c r="AM10521" s="55">
        <v>2020</v>
      </c>
      <c r="AN10521" s="55" t="s">
        <v>185</v>
      </c>
      <c r="AO10521" s="55">
        <v>14</v>
      </c>
      <c r="AP10521" s="55">
        <v>7</v>
      </c>
      <c r="AQ10521" s="55">
        <v>1743</v>
      </c>
      <c r="AR10521" s="55">
        <v>28500</v>
      </c>
      <c r="AS10521" s="78">
        <f t="shared" si="168"/>
        <v>6.1157894736842106E-2</v>
      </c>
    </row>
    <row r="10522" spans="39:45">
      <c r="AM10522" s="54">
        <v>2020</v>
      </c>
      <c r="AN10522" s="54" t="s">
        <v>185</v>
      </c>
      <c r="AO10522" s="54">
        <v>14</v>
      </c>
      <c r="AP10522" s="54">
        <v>8</v>
      </c>
      <c r="AQ10522" s="54">
        <v>2154.5</v>
      </c>
      <c r="AR10522" s="55">
        <v>28500</v>
      </c>
      <c r="AS10522" s="78">
        <f t="shared" si="168"/>
        <v>7.5596491228070176E-2</v>
      </c>
    </row>
    <row r="10523" spans="39:45">
      <c r="AM10523" s="55">
        <v>2020</v>
      </c>
      <c r="AN10523" s="55" t="s">
        <v>185</v>
      </c>
      <c r="AO10523" s="55">
        <v>14</v>
      </c>
      <c r="AP10523" s="55">
        <v>9</v>
      </c>
      <c r="AQ10523" s="55">
        <v>10713</v>
      </c>
      <c r="AR10523" s="55">
        <v>28500</v>
      </c>
      <c r="AS10523" s="78">
        <f t="shared" si="168"/>
        <v>0.37589473684210528</v>
      </c>
    </row>
    <row r="10524" spans="39:45">
      <c r="AM10524" s="54">
        <v>2020</v>
      </c>
      <c r="AN10524" s="54" t="s">
        <v>185</v>
      </c>
      <c r="AO10524" s="54">
        <v>14</v>
      </c>
      <c r="AP10524" s="54">
        <v>10</v>
      </c>
      <c r="AQ10524" s="54">
        <v>28019</v>
      </c>
      <c r="AR10524" s="55">
        <v>28500</v>
      </c>
      <c r="AS10524" s="78">
        <f t="shared" si="168"/>
        <v>0.98312280701754384</v>
      </c>
    </row>
    <row r="10525" spans="39:45">
      <c r="AM10525" s="55">
        <v>2020</v>
      </c>
      <c r="AN10525" s="55" t="s">
        <v>185</v>
      </c>
      <c r="AO10525" s="55">
        <v>14</v>
      </c>
      <c r="AP10525" s="55">
        <v>11</v>
      </c>
      <c r="AQ10525" s="55">
        <v>18709.5</v>
      </c>
      <c r="AR10525" s="55">
        <v>28500</v>
      </c>
      <c r="AS10525" s="78">
        <f t="shared" si="168"/>
        <v>0.65647368421052632</v>
      </c>
    </row>
    <row r="10526" spans="39:45">
      <c r="AM10526" s="54">
        <v>2020</v>
      </c>
      <c r="AN10526" s="54" t="s">
        <v>185</v>
      </c>
      <c r="AO10526" s="54">
        <v>14</v>
      </c>
      <c r="AP10526" s="54">
        <v>12</v>
      </c>
      <c r="AQ10526" s="54">
        <v>12782.5</v>
      </c>
      <c r="AR10526" s="55">
        <v>28500</v>
      </c>
      <c r="AS10526" s="78">
        <f t="shared" si="168"/>
        <v>0.44850877192982458</v>
      </c>
    </row>
    <row r="10527" spans="39:45">
      <c r="AM10527" s="55">
        <v>2020</v>
      </c>
      <c r="AN10527" s="55" t="s">
        <v>185</v>
      </c>
      <c r="AO10527" s="55">
        <v>14</v>
      </c>
      <c r="AP10527" s="55">
        <v>13</v>
      </c>
      <c r="AQ10527" s="55">
        <v>13334</v>
      </c>
      <c r="AR10527" s="55">
        <v>28500</v>
      </c>
      <c r="AS10527" s="78">
        <f t="shared" si="168"/>
        <v>0.46785964912280703</v>
      </c>
    </row>
    <row r="10528" spans="39:45">
      <c r="AM10528" s="54">
        <v>2020</v>
      </c>
      <c r="AN10528" s="54" t="s">
        <v>185</v>
      </c>
      <c r="AO10528" s="54">
        <v>14</v>
      </c>
      <c r="AP10528" s="54">
        <v>14</v>
      </c>
      <c r="AQ10528" s="54">
        <v>6722</v>
      </c>
      <c r="AR10528" s="55">
        <v>28500</v>
      </c>
      <c r="AS10528" s="78">
        <f t="shared" si="168"/>
        <v>0.23585964912280702</v>
      </c>
    </row>
    <row r="10529" spans="39:45">
      <c r="AM10529" s="55">
        <v>2020</v>
      </c>
      <c r="AN10529" s="55" t="s">
        <v>185</v>
      </c>
      <c r="AO10529" s="55">
        <v>14</v>
      </c>
      <c r="AP10529" s="55">
        <v>15</v>
      </c>
      <c r="AQ10529" s="55">
        <v>7121</v>
      </c>
      <c r="AR10529" s="55">
        <v>28500</v>
      </c>
      <c r="AS10529" s="78">
        <f t="shared" si="168"/>
        <v>0.249859649122807</v>
      </c>
    </row>
    <row r="10530" spans="39:45">
      <c r="AM10530" s="54">
        <v>2020</v>
      </c>
      <c r="AN10530" s="54" t="s">
        <v>185</v>
      </c>
      <c r="AO10530" s="54">
        <v>14</v>
      </c>
      <c r="AP10530" s="54">
        <v>16</v>
      </c>
      <c r="AQ10530" s="54">
        <v>6200</v>
      </c>
      <c r="AR10530" s="55">
        <v>28500</v>
      </c>
      <c r="AS10530" s="78">
        <f t="shared" si="168"/>
        <v>0.21754385964912282</v>
      </c>
    </row>
    <row r="10531" spans="39:45">
      <c r="AM10531" s="55">
        <v>2020</v>
      </c>
      <c r="AN10531" s="55" t="s">
        <v>185</v>
      </c>
      <c r="AO10531" s="55">
        <v>14</v>
      </c>
      <c r="AP10531" s="55">
        <v>17</v>
      </c>
      <c r="AQ10531" s="55">
        <v>832.5</v>
      </c>
      <c r="AR10531" s="55">
        <v>28500</v>
      </c>
      <c r="AS10531" s="78">
        <f t="shared" si="168"/>
        <v>2.9210526315789475E-2</v>
      </c>
    </row>
    <row r="10532" spans="39:45">
      <c r="AM10532" s="54">
        <v>2020</v>
      </c>
      <c r="AN10532" s="54" t="s">
        <v>185</v>
      </c>
      <c r="AO10532" s="54">
        <v>14</v>
      </c>
      <c r="AP10532" s="54">
        <v>18</v>
      </c>
      <c r="AQ10532" s="54">
        <v>0</v>
      </c>
      <c r="AR10532" s="55">
        <v>28500</v>
      </c>
      <c r="AS10532" s="78">
        <f t="shared" si="168"/>
        <v>0</v>
      </c>
    </row>
    <row r="10533" spans="39:45">
      <c r="AM10533" s="55">
        <v>2020</v>
      </c>
      <c r="AN10533" s="55" t="s">
        <v>185</v>
      </c>
      <c r="AO10533" s="55">
        <v>14</v>
      </c>
      <c r="AP10533" s="55">
        <v>19</v>
      </c>
      <c r="AQ10533" s="55">
        <v>0</v>
      </c>
      <c r="AR10533" s="55">
        <v>28500</v>
      </c>
      <c r="AS10533" s="78">
        <f t="shared" si="168"/>
        <v>0</v>
      </c>
    </row>
    <row r="10534" spans="39:45">
      <c r="AM10534" s="54">
        <v>2020</v>
      </c>
      <c r="AN10534" s="54" t="s">
        <v>185</v>
      </c>
      <c r="AO10534" s="54">
        <v>14</v>
      </c>
      <c r="AP10534" s="54">
        <v>20</v>
      </c>
      <c r="AQ10534" s="54">
        <v>0</v>
      </c>
      <c r="AR10534" s="55">
        <v>28500</v>
      </c>
      <c r="AS10534" s="78">
        <f t="shared" si="168"/>
        <v>0</v>
      </c>
    </row>
    <row r="10535" spans="39:45">
      <c r="AM10535" s="55">
        <v>2020</v>
      </c>
      <c r="AN10535" s="55" t="s">
        <v>185</v>
      </c>
      <c r="AO10535" s="55">
        <v>14</v>
      </c>
      <c r="AP10535" s="55">
        <v>21</v>
      </c>
      <c r="AQ10535" s="55">
        <v>0</v>
      </c>
      <c r="AR10535" s="55">
        <v>28500</v>
      </c>
      <c r="AS10535" s="78">
        <f t="shared" si="168"/>
        <v>0</v>
      </c>
    </row>
    <row r="10536" spans="39:45">
      <c r="AM10536" s="54">
        <v>2020</v>
      </c>
      <c r="AN10536" s="54" t="s">
        <v>185</v>
      </c>
      <c r="AO10536" s="54">
        <v>14</v>
      </c>
      <c r="AP10536" s="54">
        <v>22</v>
      </c>
      <c r="AQ10536" s="54">
        <v>0</v>
      </c>
      <c r="AR10536" s="55">
        <v>28500</v>
      </c>
      <c r="AS10536" s="78">
        <f t="shared" si="168"/>
        <v>0</v>
      </c>
    </row>
    <row r="10537" spans="39:45">
      <c r="AM10537" s="55">
        <v>2020</v>
      </c>
      <c r="AN10537" s="55" t="s">
        <v>185</v>
      </c>
      <c r="AO10537" s="55">
        <v>14</v>
      </c>
      <c r="AP10537" s="55">
        <v>23</v>
      </c>
      <c r="AQ10537" s="55">
        <v>0</v>
      </c>
      <c r="AR10537" s="55">
        <v>28500</v>
      </c>
      <c r="AS10537" s="78">
        <f t="shared" si="168"/>
        <v>0</v>
      </c>
    </row>
    <row r="10538" spans="39:45">
      <c r="AM10538" s="54">
        <v>2020</v>
      </c>
      <c r="AN10538" s="54" t="s">
        <v>185</v>
      </c>
      <c r="AO10538" s="54">
        <v>15</v>
      </c>
      <c r="AP10538" s="54">
        <v>24</v>
      </c>
      <c r="AQ10538" s="54">
        <v>0</v>
      </c>
      <c r="AR10538" s="55">
        <v>28500</v>
      </c>
      <c r="AS10538" s="78">
        <f t="shared" si="168"/>
        <v>0</v>
      </c>
    </row>
    <row r="10539" spans="39:45">
      <c r="AM10539" s="55">
        <v>2020</v>
      </c>
      <c r="AN10539" s="55" t="s">
        <v>185</v>
      </c>
      <c r="AO10539" s="55">
        <v>15</v>
      </c>
      <c r="AP10539" s="55">
        <v>1</v>
      </c>
      <c r="AQ10539" s="55">
        <v>0</v>
      </c>
      <c r="AR10539" s="55">
        <v>28500</v>
      </c>
      <c r="AS10539" s="78">
        <f t="shared" si="168"/>
        <v>0</v>
      </c>
    </row>
    <row r="10540" spans="39:45">
      <c r="AM10540" s="54">
        <v>2020</v>
      </c>
      <c r="AN10540" s="54" t="s">
        <v>185</v>
      </c>
      <c r="AO10540" s="54">
        <v>15</v>
      </c>
      <c r="AP10540" s="54">
        <v>2</v>
      </c>
      <c r="AQ10540" s="54">
        <v>0</v>
      </c>
      <c r="AR10540" s="55">
        <v>28500</v>
      </c>
      <c r="AS10540" s="78">
        <f t="shared" si="168"/>
        <v>0</v>
      </c>
    </row>
    <row r="10541" spans="39:45">
      <c r="AM10541" s="55">
        <v>2020</v>
      </c>
      <c r="AN10541" s="55" t="s">
        <v>185</v>
      </c>
      <c r="AO10541" s="55">
        <v>15</v>
      </c>
      <c r="AP10541" s="55">
        <v>3</v>
      </c>
      <c r="AQ10541" s="55">
        <v>0</v>
      </c>
      <c r="AR10541" s="55">
        <v>28500</v>
      </c>
      <c r="AS10541" s="78">
        <f t="shared" si="168"/>
        <v>0</v>
      </c>
    </row>
    <row r="10542" spans="39:45">
      <c r="AM10542" s="54">
        <v>2020</v>
      </c>
      <c r="AN10542" s="54" t="s">
        <v>185</v>
      </c>
      <c r="AO10542" s="54">
        <v>15</v>
      </c>
      <c r="AP10542" s="54">
        <v>4</v>
      </c>
      <c r="AQ10542" s="54">
        <v>0</v>
      </c>
      <c r="AR10542" s="55">
        <v>28500</v>
      </c>
      <c r="AS10542" s="78">
        <f t="shared" si="168"/>
        <v>0</v>
      </c>
    </row>
    <row r="10543" spans="39:45">
      <c r="AM10543" s="55">
        <v>2020</v>
      </c>
      <c r="AN10543" s="55" t="s">
        <v>185</v>
      </c>
      <c r="AO10543" s="55">
        <v>15</v>
      </c>
      <c r="AP10543" s="55">
        <v>5</v>
      </c>
      <c r="AQ10543" s="55">
        <v>0</v>
      </c>
      <c r="AR10543" s="55">
        <v>28500</v>
      </c>
      <c r="AS10543" s="78">
        <f t="shared" si="168"/>
        <v>0</v>
      </c>
    </row>
    <row r="10544" spans="39:45">
      <c r="AM10544" s="54">
        <v>2020</v>
      </c>
      <c r="AN10544" s="54" t="s">
        <v>185</v>
      </c>
      <c r="AO10544" s="54">
        <v>15</v>
      </c>
      <c r="AP10544" s="54">
        <v>6</v>
      </c>
      <c r="AQ10544" s="54">
        <v>0</v>
      </c>
      <c r="AR10544" s="55">
        <v>28500</v>
      </c>
      <c r="AS10544" s="78">
        <f t="shared" si="168"/>
        <v>0</v>
      </c>
    </row>
    <row r="10545" spans="39:45">
      <c r="AM10545" s="55">
        <v>2020</v>
      </c>
      <c r="AN10545" s="55" t="s">
        <v>185</v>
      </c>
      <c r="AO10545" s="55">
        <v>15</v>
      </c>
      <c r="AP10545" s="55">
        <v>7</v>
      </c>
      <c r="AQ10545" s="55">
        <v>5767</v>
      </c>
      <c r="AR10545" s="55">
        <v>28500</v>
      </c>
      <c r="AS10545" s="78">
        <f t="shared" si="168"/>
        <v>0.20235087719298245</v>
      </c>
    </row>
    <row r="10546" spans="39:45">
      <c r="AM10546" s="54">
        <v>2020</v>
      </c>
      <c r="AN10546" s="54" t="s">
        <v>185</v>
      </c>
      <c r="AO10546" s="54">
        <v>15</v>
      </c>
      <c r="AP10546" s="54">
        <v>8</v>
      </c>
      <c r="AQ10546" s="54">
        <v>5303</v>
      </c>
      <c r="AR10546" s="55">
        <v>28500</v>
      </c>
      <c r="AS10546" s="78">
        <f t="shared" si="168"/>
        <v>0.1860701754385965</v>
      </c>
    </row>
    <row r="10547" spans="39:45">
      <c r="AM10547" s="55">
        <v>2020</v>
      </c>
      <c r="AN10547" s="55" t="s">
        <v>185</v>
      </c>
      <c r="AO10547" s="55">
        <v>15</v>
      </c>
      <c r="AP10547" s="55">
        <v>9</v>
      </c>
      <c r="AQ10547" s="55">
        <v>4114</v>
      </c>
      <c r="AR10547" s="55">
        <v>28500</v>
      </c>
      <c r="AS10547" s="78">
        <f t="shared" si="168"/>
        <v>0.14435087719298245</v>
      </c>
    </row>
    <row r="10548" spans="39:45">
      <c r="AM10548" s="54">
        <v>2020</v>
      </c>
      <c r="AN10548" s="54" t="s">
        <v>185</v>
      </c>
      <c r="AO10548" s="54">
        <v>15</v>
      </c>
      <c r="AP10548" s="54">
        <v>10</v>
      </c>
      <c r="AQ10548" s="54">
        <v>6888.5</v>
      </c>
      <c r="AR10548" s="55">
        <v>28500</v>
      </c>
      <c r="AS10548" s="78">
        <f t="shared" si="168"/>
        <v>0.24170175438596492</v>
      </c>
    </row>
    <row r="10549" spans="39:45">
      <c r="AM10549" s="55">
        <v>2020</v>
      </c>
      <c r="AN10549" s="55" t="s">
        <v>185</v>
      </c>
      <c r="AO10549" s="55">
        <v>15</v>
      </c>
      <c r="AP10549" s="55">
        <v>11</v>
      </c>
      <c r="AQ10549" s="55">
        <v>14691.5</v>
      </c>
      <c r="AR10549" s="55">
        <v>28500</v>
      </c>
      <c r="AS10549" s="78">
        <f t="shared" si="168"/>
        <v>0.51549122807017544</v>
      </c>
    </row>
    <row r="10550" spans="39:45">
      <c r="AM10550" s="54">
        <v>2020</v>
      </c>
      <c r="AN10550" s="54" t="s">
        <v>185</v>
      </c>
      <c r="AO10550" s="54">
        <v>15</v>
      </c>
      <c r="AP10550" s="54">
        <v>12</v>
      </c>
      <c r="AQ10550" s="54">
        <v>3003.5</v>
      </c>
      <c r="AR10550" s="55">
        <v>28500</v>
      </c>
      <c r="AS10550" s="78">
        <f t="shared" si="168"/>
        <v>0.10538596491228071</v>
      </c>
    </row>
    <row r="10551" spans="39:45">
      <c r="AM10551" s="55">
        <v>2020</v>
      </c>
      <c r="AN10551" s="55" t="s">
        <v>185</v>
      </c>
      <c r="AO10551" s="55">
        <v>15</v>
      </c>
      <c r="AP10551" s="55">
        <v>13</v>
      </c>
      <c r="AQ10551" s="55">
        <v>4485</v>
      </c>
      <c r="AR10551" s="55">
        <v>28500</v>
      </c>
      <c r="AS10551" s="78">
        <f t="shared" si="168"/>
        <v>0.15736842105263157</v>
      </c>
    </row>
    <row r="10552" spans="39:45">
      <c r="AM10552" s="54">
        <v>2020</v>
      </c>
      <c r="AN10552" s="54" t="s">
        <v>185</v>
      </c>
      <c r="AO10552" s="54">
        <v>15</v>
      </c>
      <c r="AP10552" s="54">
        <v>14</v>
      </c>
      <c r="AQ10552" s="54">
        <v>2235</v>
      </c>
      <c r="AR10552" s="55">
        <v>28500</v>
      </c>
      <c r="AS10552" s="78">
        <f t="shared" si="168"/>
        <v>7.8421052631578947E-2</v>
      </c>
    </row>
    <row r="10553" spans="39:45">
      <c r="AM10553" s="55">
        <v>2020</v>
      </c>
      <c r="AN10553" s="55" t="s">
        <v>185</v>
      </c>
      <c r="AO10553" s="55">
        <v>15</v>
      </c>
      <c r="AP10553" s="55">
        <v>15</v>
      </c>
      <c r="AQ10553" s="55">
        <v>3816.5</v>
      </c>
      <c r="AR10553" s="55">
        <v>28500</v>
      </c>
      <c r="AS10553" s="78">
        <f t="shared" si="168"/>
        <v>0.1339122807017544</v>
      </c>
    </row>
    <row r="10554" spans="39:45">
      <c r="AM10554" s="54">
        <v>2020</v>
      </c>
      <c r="AN10554" s="54" t="s">
        <v>185</v>
      </c>
      <c r="AO10554" s="54">
        <v>15</v>
      </c>
      <c r="AP10554" s="54">
        <v>16</v>
      </c>
      <c r="AQ10554" s="54">
        <v>5971.5</v>
      </c>
      <c r="AR10554" s="55">
        <v>28500</v>
      </c>
      <c r="AS10554" s="78">
        <f t="shared" si="168"/>
        <v>0.20952631578947367</v>
      </c>
    </row>
    <row r="10555" spans="39:45">
      <c r="AM10555" s="55">
        <v>2020</v>
      </c>
      <c r="AN10555" s="55" t="s">
        <v>185</v>
      </c>
      <c r="AO10555" s="55">
        <v>15</v>
      </c>
      <c r="AP10555" s="55">
        <v>17</v>
      </c>
      <c r="AQ10555" s="55">
        <v>2321.5</v>
      </c>
      <c r="AR10555" s="55">
        <v>28500</v>
      </c>
      <c r="AS10555" s="78">
        <f t="shared" si="168"/>
        <v>8.1456140350877199E-2</v>
      </c>
    </row>
    <row r="10556" spans="39:45">
      <c r="AM10556" s="54">
        <v>2020</v>
      </c>
      <c r="AN10556" s="54" t="s">
        <v>185</v>
      </c>
      <c r="AO10556" s="54">
        <v>15</v>
      </c>
      <c r="AP10556" s="54">
        <v>18</v>
      </c>
      <c r="AQ10556" s="54">
        <v>0</v>
      </c>
      <c r="AR10556" s="55">
        <v>28500</v>
      </c>
      <c r="AS10556" s="78">
        <f t="shared" si="168"/>
        <v>0</v>
      </c>
    </row>
    <row r="10557" spans="39:45">
      <c r="AM10557" s="55">
        <v>2020</v>
      </c>
      <c r="AN10557" s="55" t="s">
        <v>185</v>
      </c>
      <c r="AO10557" s="55">
        <v>15</v>
      </c>
      <c r="AP10557" s="55">
        <v>19</v>
      </c>
      <c r="AQ10557" s="55">
        <v>0</v>
      </c>
      <c r="AR10557" s="55">
        <v>28500</v>
      </c>
      <c r="AS10557" s="78">
        <f t="shared" si="168"/>
        <v>0</v>
      </c>
    </row>
    <row r="10558" spans="39:45">
      <c r="AM10558" s="54">
        <v>2020</v>
      </c>
      <c r="AN10558" s="54" t="s">
        <v>185</v>
      </c>
      <c r="AO10558" s="54">
        <v>15</v>
      </c>
      <c r="AP10558" s="54">
        <v>20</v>
      </c>
      <c r="AQ10558" s="54">
        <v>0</v>
      </c>
      <c r="AR10558" s="55">
        <v>28500</v>
      </c>
      <c r="AS10558" s="78">
        <f t="shared" si="168"/>
        <v>0</v>
      </c>
    </row>
    <row r="10559" spans="39:45">
      <c r="AM10559" s="55">
        <v>2020</v>
      </c>
      <c r="AN10559" s="55" t="s">
        <v>185</v>
      </c>
      <c r="AO10559" s="55">
        <v>15</v>
      </c>
      <c r="AP10559" s="55">
        <v>21</v>
      </c>
      <c r="AQ10559" s="55">
        <v>0</v>
      </c>
      <c r="AR10559" s="55">
        <v>28500</v>
      </c>
      <c r="AS10559" s="78">
        <f t="shared" si="168"/>
        <v>0</v>
      </c>
    </row>
    <row r="10560" spans="39:45">
      <c r="AM10560" s="54">
        <v>2020</v>
      </c>
      <c r="AN10560" s="54" t="s">
        <v>185</v>
      </c>
      <c r="AO10560" s="54">
        <v>15</v>
      </c>
      <c r="AP10560" s="54">
        <v>22</v>
      </c>
      <c r="AQ10560" s="54">
        <v>0</v>
      </c>
      <c r="AR10560" s="55">
        <v>28500</v>
      </c>
      <c r="AS10560" s="78">
        <f t="shared" si="168"/>
        <v>0</v>
      </c>
    </row>
    <row r="10561" spans="39:45">
      <c r="AM10561" s="55">
        <v>2020</v>
      </c>
      <c r="AN10561" s="55" t="s">
        <v>185</v>
      </c>
      <c r="AO10561" s="55">
        <v>15</v>
      </c>
      <c r="AP10561" s="55">
        <v>23</v>
      </c>
      <c r="AQ10561" s="55">
        <v>0</v>
      </c>
      <c r="AR10561" s="55">
        <v>28500</v>
      </c>
      <c r="AS10561" s="78">
        <f t="shared" si="168"/>
        <v>0</v>
      </c>
    </row>
    <row r="10562" spans="39:45">
      <c r="AM10562" s="54">
        <v>2020</v>
      </c>
      <c r="AN10562" s="54" t="s">
        <v>185</v>
      </c>
      <c r="AO10562" s="54">
        <v>16</v>
      </c>
      <c r="AP10562" s="54">
        <v>24</v>
      </c>
      <c r="AQ10562" s="54">
        <v>0</v>
      </c>
      <c r="AR10562" s="55">
        <v>28500</v>
      </c>
      <c r="AS10562" s="78">
        <f t="shared" ref="AS10562:AS10625" si="169">AQ10562/AR10562</f>
        <v>0</v>
      </c>
    </row>
    <row r="10563" spans="39:45">
      <c r="AM10563" s="55">
        <v>2020</v>
      </c>
      <c r="AN10563" s="55" t="s">
        <v>185</v>
      </c>
      <c r="AO10563" s="55">
        <v>16</v>
      </c>
      <c r="AP10563" s="55">
        <v>1</v>
      </c>
      <c r="AQ10563" s="55">
        <v>0</v>
      </c>
      <c r="AR10563" s="55">
        <v>28500</v>
      </c>
      <c r="AS10563" s="78">
        <f t="shared" si="169"/>
        <v>0</v>
      </c>
    </row>
    <row r="10564" spans="39:45">
      <c r="AM10564" s="54">
        <v>2020</v>
      </c>
      <c r="AN10564" s="54" t="s">
        <v>185</v>
      </c>
      <c r="AO10564" s="54">
        <v>16</v>
      </c>
      <c r="AP10564" s="54">
        <v>2</v>
      </c>
      <c r="AQ10564" s="54">
        <v>0</v>
      </c>
      <c r="AR10564" s="55">
        <v>28500</v>
      </c>
      <c r="AS10564" s="78">
        <f t="shared" si="169"/>
        <v>0</v>
      </c>
    </row>
    <row r="10565" spans="39:45">
      <c r="AM10565" s="55">
        <v>2020</v>
      </c>
      <c r="AN10565" s="55" t="s">
        <v>185</v>
      </c>
      <c r="AO10565" s="55">
        <v>16</v>
      </c>
      <c r="AP10565" s="55">
        <v>3</v>
      </c>
      <c r="AQ10565" s="55">
        <v>0</v>
      </c>
      <c r="AR10565" s="55">
        <v>28500</v>
      </c>
      <c r="AS10565" s="78">
        <f t="shared" si="169"/>
        <v>0</v>
      </c>
    </row>
    <row r="10566" spans="39:45">
      <c r="AM10566" s="54">
        <v>2020</v>
      </c>
      <c r="AN10566" s="54" t="s">
        <v>185</v>
      </c>
      <c r="AO10566" s="54">
        <v>16</v>
      </c>
      <c r="AP10566" s="54">
        <v>4</v>
      </c>
      <c r="AQ10566" s="54">
        <v>0</v>
      </c>
      <c r="AR10566" s="55">
        <v>28500</v>
      </c>
      <c r="AS10566" s="78">
        <f t="shared" si="169"/>
        <v>0</v>
      </c>
    </row>
    <row r="10567" spans="39:45">
      <c r="AM10567" s="55">
        <v>2020</v>
      </c>
      <c r="AN10567" s="55" t="s">
        <v>185</v>
      </c>
      <c r="AO10567" s="55">
        <v>16</v>
      </c>
      <c r="AP10567" s="55">
        <v>5</v>
      </c>
      <c r="AQ10567" s="55">
        <v>0</v>
      </c>
      <c r="AR10567" s="55">
        <v>28500</v>
      </c>
      <c r="AS10567" s="78">
        <f t="shared" si="169"/>
        <v>0</v>
      </c>
    </row>
    <row r="10568" spans="39:45">
      <c r="AM10568" s="54">
        <v>2020</v>
      </c>
      <c r="AN10568" s="54" t="s">
        <v>185</v>
      </c>
      <c r="AO10568" s="54">
        <v>16</v>
      </c>
      <c r="AP10568" s="54">
        <v>6</v>
      </c>
      <c r="AQ10568" s="54">
        <v>0</v>
      </c>
      <c r="AR10568" s="55">
        <v>28500</v>
      </c>
      <c r="AS10568" s="78">
        <f t="shared" si="169"/>
        <v>0</v>
      </c>
    </row>
    <row r="10569" spans="39:45">
      <c r="AM10569" s="55">
        <v>2020</v>
      </c>
      <c r="AN10569" s="55" t="s">
        <v>185</v>
      </c>
      <c r="AO10569" s="55">
        <v>16</v>
      </c>
      <c r="AP10569" s="55">
        <v>7</v>
      </c>
      <c r="AQ10569" s="55">
        <v>6644.5</v>
      </c>
      <c r="AR10569" s="55">
        <v>28500</v>
      </c>
      <c r="AS10569" s="78">
        <f t="shared" si="169"/>
        <v>0.23314035087719298</v>
      </c>
    </row>
    <row r="10570" spans="39:45">
      <c r="AM10570" s="54">
        <v>2020</v>
      </c>
      <c r="AN10570" s="54" t="s">
        <v>185</v>
      </c>
      <c r="AO10570" s="54">
        <v>16</v>
      </c>
      <c r="AP10570" s="54">
        <v>8</v>
      </c>
      <c r="AQ10570" s="54">
        <v>18965.5</v>
      </c>
      <c r="AR10570" s="55">
        <v>28500</v>
      </c>
      <c r="AS10570" s="78">
        <f t="shared" si="169"/>
        <v>0.66545614035087719</v>
      </c>
    </row>
    <row r="10571" spans="39:45">
      <c r="AM10571" s="55">
        <v>2020</v>
      </c>
      <c r="AN10571" s="55" t="s">
        <v>185</v>
      </c>
      <c r="AO10571" s="55">
        <v>16</v>
      </c>
      <c r="AP10571" s="55">
        <v>9</v>
      </c>
      <c r="AQ10571" s="55">
        <v>29556.5</v>
      </c>
      <c r="AR10571" s="55">
        <v>28500</v>
      </c>
      <c r="AS10571" s="78">
        <f t="shared" si="169"/>
        <v>1.0370701754385965</v>
      </c>
    </row>
    <row r="10572" spans="39:45">
      <c r="AM10572" s="54">
        <v>2020</v>
      </c>
      <c r="AN10572" s="54" t="s">
        <v>185</v>
      </c>
      <c r="AO10572" s="54">
        <v>16</v>
      </c>
      <c r="AP10572" s="54">
        <v>10</v>
      </c>
      <c r="AQ10572" s="54">
        <v>33136.5</v>
      </c>
      <c r="AR10572" s="55">
        <v>28500</v>
      </c>
      <c r="AS10572" s="78">
        <f t="shared" si="169"/>
        <v>1.1626842105263158</v>
      </c>
    </row>
    <row r="10573" spans="39:45">
      <c r="AM10573" s="55">
        <v>2020</v>
      </c>
      <c r="AN10573" s="55" t="s">
        <v>185</v>
      </c>
      <c r="AO10573" s="55">
        <v>16</v>
      </c>
      <c r="AP10573" s="55">
        <v>11</v>
      </c>
      <c r="AQ10573" s="55">
        <v>31127.5</v>
      </c>
      <c r="AR10573" s="55">
        <v>28500</v>
      </c>
      <c r="AS10573" s="78">
        <f t="shared" si="169"/>
        <v>1.0921929824561403</v>
      </c>
    </row>
    <row r="10574" spans="39:45">
      <c r="AM10574" s="54">
        <v>2020</v>
      </c>
      <c r="AN10574" s="54" t="s">
        <v>185</v>
      </c>
      <c r="AO10574" s="54">
        <v>16</v>
      </c>
      <c r="AP10574" s="54">
        <v>12</v>
      </c>
      <c r="AQ10574" s="54">
        <v>41346</v>
      </c>
      <c r="AR10574" s="55">
        <v>28500</v>
      </c>
      <c r="AS10574" s="78">
        <f t="shared" si="169"/>
        <v>1.4507368421052631</v>
      </c>
    </row>
    <row r="10575" spans="39:45">
      <c r="AM10575" s="55">
        <v>2020</v>
      </c>
      <c r="AN10575" s="55" t="s">
        <v>185</v>
      </c>
      <c r="AO10575" s="55">
        <v>16</v>
      </c>
      <c r="AP10575" s="55">
        <v>13</v>
      </c>
      <c r="AQ10575" s="55">
        <v>38992.5</v>
      </c>
      <c r="AR10575" s="55">
        <v>28500</v>
      </c>
      <c r="AS10575" s="78">
        <f t="shared" si="169"/>
        <v>1.368157894736842</v>
      </c>
    </row>
    <row r="10576" spans="39:45">
      <c r="AM10576" s="54">
        <v>2020</v>
      </c>
      <c r="AN10576" s="54" t="s">
        <v>185</v>
      </c>
      <c r="AO10576" s="54">
        <v>16</v>
      </c>
      <c r="AP10576" s="54">
        <v>14</v>
      </c>
      <c r="AQ10576" s="54">
        <v>35904.5</v>
      </c>
      <c r="AR10576" s="55">
        <v>28500</v>
      </c>
      <c r="AS10576" s="78">
        <f t="shared" si="169"/>
        <v>1.2598070175438596</v>
      </c>
    </row>
    <row r="10577" spans="39:45">
      <c r="AM10577" s="55">
        <v>2020</v>
      </c>
      <c r="AN10577" s="55" t="s">
        <v>185</v>
      </c>
      <c r="AO10577" s="55">
        <v>16</v>
      </c>
      <c r="AP10577" s="55">
        <v>15</v>
      </c>
      <c r="AQ10577" s="55">
        <v>28459</v>
      </c>
      <c r="AR10577" s="55">
        <v>28500</v>
      </c>
      <c r="AS10577" s="78">
        <f t="shared" si="169"/>
        <v>0.99856140350877198</v>
      </c>
    </row>
    <row r="10578" spans="39:45">
      <c r="AM10578" s="54">
        <v>2020</v>
      </c>
      <c r="AN10578" s="54" t="s">
        <v>185</v>
      </c>
      <c r="AO10578" s="54">
        <v>16</v>
      </c>
      <c r="AP10578" s="54">
        <v>16</v>
      </c>
      <c r="AQ10578" s="54">
        <v>16527.5</v>
      </c>
      <c r="AR10578" s="55">
        <v>28500</v>
      </c>
      <c r="AS10578" s="78">
        <f t="shared" si="169"/>
        <v>0.57991228070175438</v>
      </c>
    </row>
    <row r="10579" spans="39:45">
      <c r="AM10579" s="55">
        <v>2020</v>
      </c>
      <c r="AN10579" s="55" t="s">
        <v>185</v>
      </c>
      <c r="AO10579" s="55">
        <v>16</v>
      </c>
      <c r="AP10579" s="55">
        <v>17</v>
      </c>
      <c r="AQ10579" s="55">
        <v>5553</v>
      </c>
      <c r="AR10579" s="55">
        <v>28500</v>
      </c>
      <c r="AS10579" s="78">
        <f t="shared" si="169"/>
        <v>0.1948421052631579</v>
      </c>
    </row>
    <row r="10580" spans="39:45">
      <c r="AM10580" s="54">
        <v>2020</v>
      </c>
      <c r="AN10580" s="54" t="s">
        <v>185</v>
      </c>
      <c r="AO10580" s="54">
        <v>16</v>
      </c>
      <c r="AP10580" s="54">
        <v>18</v>
      </c>
      <c r="AQ10580" s="54">
        <v>0</v>
      </c>
      <c r="AR10580" s="55">
        <v>28500</v>
      </c>
      <c r="AS10580" s="78">
        <f t="shared" si="169"/>
        <v>0</v>
      </c>
    </row>
    <row r="10581" spans="39:45">
      <c r="AM10581" s="55">
        <v>2020</v>
      </c>
      <c r="AN10581" s="55" t="s">
        <v>185</v>
      </c>
      <c r="AO10581" s="55">
        <v>16</v>
      </c>
      <c r="AP10581" s="55">
        <v>19</v>
      </c>
      <c r="AQ10581" s="55">
        <v>0</v>
      </c>
      <c r="AR10581" s="55">
        <v>28500</v>
      </c>
      <c r="AS10581" s="78">
        <f t="shared" si="169"/>
        <v>0</v>
      </c>
    </row>
    <row r="10582" spans="39:45">
      <c r="AM10582" s="54">
        <v>2020</v>
      </c>
      <c r="AN10582" s="54" t="s">
        <v>185</v>
      </c>
      <c r="AO10582" s="54">
        <v>16</v>
      </c>
      <c r="AP10582" s="54">
        <v>20</v>
      </c>
      <c r="AQ10582" s="54">
        <v>0</v>
      </c>
      <c r="AR10582" s="55">
        <v>28500</v>
      </c>
      <c r="AS10582" s="78">
        <f t="shared" si="169"/>
        <v>0</v>
      </c>
    </row>
    <row r="10583" spans="39:45">
      <c r="AM10583" s="55">
        <v>2020</v>
      </c>
      <c r="AN10583" s="55" t="s">
        <v>185</v>
      </c>
      <c r="AO10583" s="55">
        <v>16</v>
      </c>
      <c r="AP10583" s="55">
        <v>21</v>
      </c>
      <c r="AQ10583" s="55">
        <v>0</v>
      </c>
      <c r="AR10583" s="55">
        <v>28500</v>
      </c>
      <c r="AS10583" s="78">
        <f t="shared" si="169"/>
        <v>0</v>
      </c>
    </row>
    <row r="10584" spans="39:45">
      <c r="AM10584" s="54">
        <v>2020</v>
      </c>
      <c r="AN10584" s="54" t="s">
        <v>185</v>
      </c>
      <c r="AO10584" s="54">
        <v>16</v>
      </c>
      <c r="AP10584" s="54">
        <v>22</v>
      </c>
      <c r="AQ10584" s="54">
        <v>0</v>
      </c>
      <c r="AR10584" s="55">
        <v>28500</v>
      </c>
      <c r="AS10584" s="78">
        <f t="shared" si="169"/>
        <v>0</v>
      </c>
    </row>
    <row r="10585" spans="39:45">
      <c r="AM10585" s="55">
        <v>2020</v>
      </c>
      <c r="AN10585" s="55" t="s">
        <v>185</v>
      </c>
      <c r="AO10585" s="55">
        <v>16</v>
      </c>
      <c r="AP10585" s="55">
        <v>23</v>
      </c>
      <c r="AQ10585" s="55">
        <v>0</v>
      </c>
      <c r="AR10585" s="55">
        <v>28500</v>
      </c>
      <c r="AS10585" s="78">
        <f t="shared" si="169"/>
        <v>0</v>
      </c>
    </row>
    <row r="10586" spans="39:45">
      <c r="AM10586" s="54">
        <v>2020</v>
      </c>
      <c r="AN10586" s="54" t="s">
        <v>185</v>
      </c>
      <c r="AO10586" s="54">
        <v>17</v>
      </c>
      <c r="AP10586" s="54">
        <v>24</v>
      </c>
      <c r="AQ10586" s="54">
        <v>0</v>
      </c>
      <c r="AR10586" s="55">
        <v>28500</v>
      </c>
      <c r="AS10586" s="78">
        <f t="shared" si="169"/>
        <v>0</v>
      </c>
    </row>
    <row r="10587" spans="39:45">
      <c r="AM10587" s="55">
        <v>2020</v>
      </c>
      <c r="AN10587" s="55" t="s">
        <v>185</v>
      </c>
      <c r="AO10587" s="55">
        <v>17</v>
      </c>
      <c r="AP10587" s="55">
        <v>1</v>
      </c>
      <c r="AQ10587" s="55">
        <v>0</v>
      </c>
      <c r="AR10587" s="55">
        <v>28500</v>
      </c>
      <c r="AS10587" s="78">
        <f t="shared" si="169"/>
        <v>0</v>
      </c>
    </row>
    <row r="10588" spans="39:45">
      <c r="AM10588" s="54">
        <v>2020</v>
      </c>
      <c r="AN10588" s="54" t="s">
        <v>185</v>
      </c>
      <c r="AO10588" s="54">
        <v>17</v>
      </c>
      <c r="AP10588" s="54">
        <v>2</v>
      </c>
      <c r="AQ10588" s="54">
        <v>0</v>
      </c>
      <c r="AR10588" s="55">
        <v>28500</v>
      </c>
      <c r="AS10588" s="78">
        <f t="shared" si="169"/>
        <v>0</v>
      </c>
    </row>
    <row r="10589" spans="39:45">
      <c r="AM10589" s="55">
        <v>2020</v>
      </c>
      <c r="AN10589" s="55" t="s">
        <v>185</v>
      </c>
      <c r="AO10589" s="55">
        <v>17</v>
      </c>
      <c r="AP10589" s="55">
        <v>3</v>
      </c>
      <c r="AQ10589" s="55">
        <v>0</v>
      </c>
      <c r="AR10589" s="55">
        <v>28500</v>
      </c>
      <c r="AS10589" s="78">
        <f t="shared" si="169"/>
        <v>0</v>
      </c>
    </row>
    <row r="10590" spans="39:45">
      <c r="AM10590" s="54">
        <v>2020</v>
      </c>
      <c r="AN10590" s="54" t="s">
        <v>185</v>
      </c>
      <c r="AO10590" s="54">
        <v>17</v>
      </c>
      <c r="AP10590" s="54">
        <v>4</v>
      </c>
      <c r="AQ10590" s="54">
        <v>0</v>
      </c>
      <c r="AR10590" s="55">
        <v>28500</v>
      </c>
      <c r="AS10590" s="78">
        <f t="shared" si="169"/>
        <v>0</v>
      </c>
    </row>
    <row r="10591" spans="39:45">
      <c r="AM10591" s="55">
        <v>2020</v>
      </c>
      <c r="AN10591" s="55" t="s">
        <v>185</v>
      </c>
      <c r="AO10591" s="55">
        <v>17</v>
      </c>
      <c r="AP10591" s="55">
        <v>5</v>
      </c>
      <c r="AQ10591" s="55">
        <v>0</v>
      </c>
      <c r="AR10591" s="55">
        <v>28500</v>
      </c>
      <c r="AS10591" s="78">
        <f t="shared" si="169"/>
        <v>0</v>
      </c>
    </row>
    <row r="10592" spans="39:45">
      <c r="AM10592" s="54">
        <v>2020</v>
      </c>
      <c r="AN10592" s="54" t="s">
        <v>185</v>
      </c>
      <c r="AO10592" s="54">
        <v>17</v>
      </c>
      <c r="AP10592" s="54">
        <v>6</v>
      </c>
      <c r="AQ10592" s="54">
        <v>0</v>
      </c>
      <c r="AR10592" s="55">
        <v>28500</v>
      </c>
      <c r="AS10592" s="78">
        <f t="shared" si="169"/>
        <v>0</v>
      </c>
    </row>
    <row r="10593" spans="39:45">
      <c r="AM10593" s="55">
        <v>2020</v>
      </c>
      <c r="AN10593" s="55" t="s">
        <v>185</v>
      </c>
      <c r="AO10593" s="55">
        <v>17</v>
      </c>
      <c r="AP10593" s="55">
        <v>7</v>
      </c>
      <c r="AQ10593" s="55">
        <v>5562</v>
      </c>
      <c r="AR10593" s="55">
        <v>28500</v>
      </c>
      <c r="AS10593" s="78">
        <f t="shared" si="169"/>
        <v>0.19515789473684211</v>
      </c>
    </row>
    <row r="10594" spans="39:45">
      <c r="AM10594" s="54">
        <v>2020</v>
      </c>
      <c r="AN10594" s="54" t="s">
        <v>185</v>
      </c>
      <c r="AO10594" s="54">
        <v>17</v>
      </c>
      <c r="AP10594" s="54">
        <v>8</v>
      </c>
      <c r="AQ10594" s="54">
        <v>7184.5</v>
      </c>
      <c r="AR10594" s="55">
        <v>28500</v>
      </c>
      <c r="AS10594" s="78">
        <f t="shared" si="169"/>
        <v>0.25208771929824564</v>
      </c>
    </row>
    <row r="10595" spans="39:45">
      <c r="AM10595" s="55">
        <v>2020</v>
      </c>
      <c r="AN10595" s="55" t="s">
        <v>185</v>
      </c>
      <c r="AO10595" s="55">
        <v>17</v>
      </c>
      <c r="AP10595" s="55">
        <v>9</v>
      </c>
      <c r="AQ10595" s="55">
        <v>28104</v>
      </c>
      <c r="AR10595" s="55">
        <v>28500</v>
      </c>
      <c r="AS10595" s="78">
        <f t="shared" si="169"/>
        <v>0.98610526315789471</v>
      </c>
    </row>
    <row r="10596" spans="39:45">
      <c r="AM10596" s="54">
        <v>2020</v>
      </c>
      <c r="AN10596" s="54" t="s">
        <v>185</v>
      </c>
      <c r="AO10596" s="54">
        <v>17</v>
      </c>
      <c r="AP10596" s="54">
        <v>10</v>
      </c>
      <c r="AQ10596" s="54">
        <v>33247</v>
      </c>
      <c r="AR10596" s="55">
        <v>28500</v>
      </c>
      <c r="AS10596" s="78">
        <f t="shared" si="169"/>
        <v>1.1665614035087719</v>
      </c>
    </row>
    <row r="10597" spans="39:45">
      <c r="AM10597" s="55">
        <v>2020</v>
      </c>
      <c r="AN10597" s="55" t="s">
        <v>185</v>
      </c>
      <c r="AO10597" s="55">
        <v>17</v>
      </c>
      <c r="AP10597" s="55">
        <v>11</v>
      </c>
      <c r="AQ10597" s="55">
        <v>23366.5</v>
      </c>
      <c r="AR10597" s="55">
        <v>28500</v>
      </c>
      <c r="AS10597" s="78">
        <f t="shared" si="169"/>
        <v>0.81987719298245609</v>
      </c>
    </row>
    <row r="10598" spans="39:45">
      <c r="AM10598" s="54">
        <v>2020</v>
      </c>
      <c r="AN10598" s="54" t="s">
        <v>185</v>
      </c>
      <c r="AO10598" s="54">
        <v>17</v>
      </c>
      <c r="AP10598" s="54">
        <v>12</v>
      </c>
      <c r="AQ10598" s="54">
        <v>24630</v>
      </c>
      <c r="AR10598" s="55">
        <v>28500</v>
      </c>
      <c r="AS10598" s="78">
        <f t="shared" si="169"/>
        <v>0.86421052631578943</v>
      </c>
    </row>
    <row r="10599" spans="39:45">
      <c r="AM10599" s="55">
        <v>2020</v>
      </c>
      <c r="AN10599" s="55" t="s">
        <v>185</v>
      </c>
      <c r="AO10599" s="55">
        <v>17</v>
      </c>
      <c r="AP10599" s="55">
        <v>13</v>
      </c>
      <c r="AQ10599" s="55">
        <v>24694</v>
      </c>
      <c r="AR10599" s="55">
        <v>28500</v>
      </c>
      <c r="AS10599" s="78">
        <f t="shared" si="169"/>
        <v>0.86645614035087715</v>
      </c>
    </row>
    <row r="10600" spans="39:45">
      <c r="AM10600" s="54">
        <v>2020</v>
      </c>
      <c r="AN10600" s="54" t="s">
        <v>185</v>
      </c>
      <c r="AO10600" s="54">
        <v>17</v>
      </c>
      <c r="AP10600" s="54">
        <v>14</v>
      </c>
      <c r="AQ10600" s="54">
        <v>10724</v>
      </c>
      <c r="AR10600" s="55">
        <v>28500</v>
      </c>
      <c r="AS10600" s="78">
        <f t="shared" si="169"/>
        <v>0.37628070175438594</v>
      </c>
    </row>
    <row r="10601" spans="39:45">
      <c r="AM10601" s="55">
        <v>2020</v>
      </c>
      <c r="AN10601" s="55" t="s">
        <v>185</v>
      </c>
      <c r="AO10601" s="55">
        <v>17</v>
      </c>
      <c r="AP10601" s="55">
        <v>15</v>
      </c>
      <c r="AQ10601" s="55">
        <v>8949</v>
      </c>
      <c r="AR10601" s="55">
        <v>28500</v>
      </c>
      <c r="AS10601" s="78">
        <f t="shared" si="169"/>
        <v>0.314</v>
      </c>
    </row>
    <row r="10602" spans="39:45">
      <c r="AM10602" s="54">
        <v>2020</v>
      </c>
      <c r="AN10602" s="54" t="s">
        <v>185</v>
      </c>
      <c r="AO10602" s="54">
        <v>17</v>
      </c>
      <c r="AP10602" s="54">
        <v>16</v>
      </c>
      <c r="AQ10602" s="54">
        <v>5128.5</v>
      </c>
      <c r="AR10602" s="55">
        <v>28500</v>
      </c>
      <c r="AS10602" s="78">
        <f t="shared" si="169"/>
        <v>0.17994736842105263</v>
      </c>
    </row>
    <row r="10603" spans="39:45">
      <c r="AM10603" s="55">
        <v>2020</v>
      </c>
      <c r="AN10603" s="55" t="s">
        <v>185</v>
      </c>
      <c r="AO10603" s="55">
        <v>17</v>
      </c>
      <c r="AP10603" s="55">
        <v>17</v>
      </c>
      <c r="AQ10603" s="55">
        <v>1438.5</v>
      </c>
      <c r="AR10603" s="55">
        <v>28500</v>
      </c>
      <c r="AS10603" s="78">
        <f t="shared" si="169"/>
        <v>5.0473684210526316E-2</v>
      </c>
    </row>
    <row r="10604" spans="39:45">
      <c r="AM10604" s="54">
        <v>2020</v>
      </c>
      <c r="AN10604" s="54" t="s">
        <v>185</v>
      </c>
      <c r="AO10604" s="54">
        <v>17</v>
      </c>
      <c r="AP10604" s="54">
        <v>18</v>
      </c>
      <c r="AQ10604" s="54">
        <v>0</v>
      </c>
      <c r="AR10604" s="55">
        <v>28500</v>
      </c>
      <c r="AS10604" s="78">
        <f t="shared" si="169"/>
        <v>0</v>
      </c>
    </row>
    <row r="10605" spans="39:45">
      <c r="AM10605" s="55">
        <v>2020</v>
      </c>
      <c r="AN10605" s="55" t="s">
        <v>185</v>
      </c>
      <c r="AO10605" s="55">
        <v>17</v>
      </c>
      <c r="AP10605" s="55">
        <v>19</v>
      </c>
      <c r="AQ10605" s="55">
        <v>0</v>
      </c>
      <c r="AR10605" s="55">
        <v>28500</v>
      </c>
      <c r="AS10605" s="78">
        <f t="shared" si="169"/>
        <v>0</v>
      </c>
    </row>
    <row r="10606" spans="39:45">
      <c r="AM10606" s="54">
        <v>2020</v>
      </c>
      <c r="AN10606" s="54" t="s">
        <v>185</v>
      </c>
      <c r="AO10606" s="54">
        <v>17</v>
      </c>
      <c r="AP10606" s="54">
        <v>20</v>
      </c>
      <c r="AQ10606" s="54">
        <v>0</v>
      </c>
      <c r="AR10606" s="55">
        <v>28500</v>
      </c>
      <c r="AS10606" s="78">
        <f t="shared" si="169"/>
        <v>0</v>
      </c>
    </row>
    <row r="10607" spans="39:45">
      <c r="AM10607" s="55">
        <v>2020</v>
      </c>
      <c r="AN10607" s="55" t="s">
        <v>185</v>
      </c>
      <c r="AO10607" s="55">
        <v>17</v>
      </c>
      <c r="AP10607" s="55">
        <v>21</v>
      </c>
      <c r="AQ10607" s="55">
        <v>0</v>
      </c>
      <c r="AR10607" s="55">
        <v>28500</v>
      </c>
      <c r="AS10607" s="78">
        <f t="shared" si="169"/>
        <v>0</v>
      </c>
    </row>
    <row r="10608" spans="39:45">
      <c r="AM10608" s="54">
        <v>2020</v>
      </c>
      <c r="AN10608" s="54" t="s">
        <v>185</v>
      </c>
      <c r="AO10608" s="54">
        <v>17</v>
      </c>
      <c r="AP10608" s="54">
        <v>22</v>
      </c>
      <c r="AQ10608" s="54">
        <v>0</v>
      </c>
      <c r="AR10608" s="55">
        <v>28500</v>
      </c>
      <c r="AS10608" s="78">
        <f t="shared" si="169"/>
        <v>0</v>
      </c>
    </row>
    <row r="10609" spans="39:45">
      <c r="AM10609" s="55">
        <v>2020</v>
      </c>
      <c r="AN10609" s="55" t="s">
        <v>185</v>
      </c>
      <c r="AO10609" s="55">
        <v>17</v>
      </c>
      <c r="AP10609" s="55">
        <v>23</v>
      </c>
      <c r="AQ10609" s="55">
        <v>0</v>
      </c>
      <c r="AR10609" s="55">
        <v>28500</v>
      </c>
      <c r="AS10609" s="78">
        <f t="shared" si="169"/>
        <v>0</v>
      </c>
    </row>
    <row r="10610" spans="39:45">
      <c r="AM10610" s="54">
        <v>2020</v>
      </c>
      <c r="AN10610" s="54" t="s">
        <v>185</v>
      </c>
      <c r="AO10610" s="54">
        <v>18</v>
      </c>
      <c r="AP10610" s="54">
        <v>24</v>
      </c>
      <c r="AQ10610" s="54">
        <v>0</v>
      </c>
      <c r="AR10610" s="55">
        <v>28500</v>
      </c>
      <c r="AS10610" s="78">
        <f t="shared" si="169"/>
        <v>0</v>
      </c>
    </row>
    <row r="10611" spans="39:45">
      <c r="AM10611" s="55">
        <v>2020</v>
      </c>
      <c r="AN10611" s="55" t="s">
        <v>185</v>
      </c>
      <c r="AO10611" s="55">
        <v>18</v>
      </c>
      <c r="AP10611" s="55">
        <v>1</v>
      </c>
      <c r="AQ10611" s="55">
        <v>0</v>
      </c>
      <c r="AR10611" s="55">
        <v>28500</v>
      </c>
      <c r="AS10611" s="78">
        <f t="shared" si="169"/>
        <v>0</v>
      </c>
    </row>
    <row r="10612" spans="39:45">
      <c r="AM10612" s="54">
        <v>2020</v>
      </c>
      <c r="AN10612" s="54" t="s">
        <v>185</v>
      </c>
      <c r="AO10612" s="54">
        <v>18</v>
      </c>
      <c r="AP10612" s="54">
        <v>2</v>
      </c>
      <c r="AQ10612" s="54">
        <v>0</v>
      </c>
      <c r="AR10612" s="55">
        <v>28500</v>
      </c>
      <c r="AS10612" s="78">
        <f t="shared" si="169"/>
        <v>0</v>
      </c>
    </row>
    <row r="10613" spans="39:45">
      <c r="AM10613" s="55">
        <v>2020</v>
      </c>
      <c r="AN10613" s="55" t="s">
        <v>185</v>
      </c>
      <c r="AO10613" s="55">
        <v>18</v>
      </c>
      <c r="AP10613" s="55">
        <v>3</v>
      </c>
      <c r="AQ10613" s="55">
        <v>0</v>
      </c>
      <c r="AR10613" s="55">
        <v>28500</v>
      </c>
      <c r="AS10613" s="78">
        <f t="shared" si="169"/>
        <v>0</v>
      </c>
    </row>
    <row r="10614" spans="39:45">
      <c r="AM10614" s="54">
        <v>2020</v>
      </c>
      <c r="AN10614" s="54" t="s">
        <v>185</v>
      </c>
      <c r="AO10614" s="54">
        <v>18</v>
      </c>
      <c r="AP10614" s="54">
        <v>4</v>
      </c>
      <c r="AQ10614" s="54">
        <v>0</v>
      </c>
      <c r="AR10614" s="55">
        <v>28500</v>
      </c>
      <c r="AS10614" s="78">
        <f t="shared" si="169"/>
        <v>0</v>
      </c>
    </row>
    <row r="10615" spans="39:45">
      <c r="AM10615" s="55">
        <v>2020</v>
      </c>
      <c r="AN10615" s="55" t="s">
        <v>185</v>
      </c>
      <c r="AO10615" s="55">
        <v>18</v>
      </c>
      <c r="AP10615" s="55">
        <v>5</v>
      </c>
      <c r="AQ10615" s="55">
        <v>0</v>
      </c>
      <c r="AR10615" s="55">
        <v>28500</v>
      </c>
      <c r="AS10615" s="78">
        <f t="shared" si="169"/>
        <v>0</v>
      </c>
    </row>
    <row r="10616" spans="39:45">
      <c r="AM10616" s="54">
        <v>2020</v>
      </c>
      <c r="AN10616" s="54" t="s">
        <v>185</v>
      </c>
      <c r="AO10616" s="54">
        <v>18</v>
      </c>
      <c r="AP10616" s="54">
        <v>6</v>
      </c>
      <c r="AQ10616" s="54">
        <v>0</v>
      </c>
      <c r="AR10616" s="55">
        <v>28500</v>
      </c>
      <c r="AS10616" s="78">
        <f t="shared" si="169"/>
        <v>0</v>
      </c>
    </row>
    <row r="10617" spans="39:45">
      <c r="AM10617" s="55">
        <v>2020</v>
      </c>
      <c r="AN10617" s="55" t="s">
        <v>185</v>
      </c>
      <c r="AO10617" s="55">
        <v>18</v>
      </c>
      <c r="AP10617" s="55">
        <v>7</v>
      </c>
      <c r="AQ10617" s="55">
        <v>482.5</v>
      </c>
      <c r="AR10617" s="55">
        <v>28500</v>
      </c>
      <c r="AS10617" s="78">
        <f t="shared" si="169"/>
        <v>1.692982456140351E-2</v>
      </c>
    </row>
    <row r="10618" spans="39:45">
      <c r="AM10618" s="54">
        <v>2020</v>
      </c>
      <c r="AN10618" s="54" t="s">
        <v>185</v>
      </c>
      <c r="AO10618" s="54">
        <v>18</v>
      </c>
      <c r="AP10618" s="54">
        <v>8</v>
      </c>
      <c r="AQ10618" s="54">
        <v>1427.5</v>
      </c>
      <c r="AR10618" s="55">
        <v>28500</v>
      </c>
      <c r="AS10618" s="78">
        <f t="shared" si="169"/>
        <v>5.0087719298245612E-2</v>
      </c>
    </row>
    <row r="10619" spans="39:45">
      <c r="AM10619" s="55">
        <v>2020</v>
      </c>
      <c r="AN10619" s="55" t="s">
        <v>185</v>
      </c>
      <c r="AO10619" s="55">
        <v>18</v>
      </c>
      <c r="AP10619" s="55">
        <v>9</v>
      </c>
      <c r="AQ10619" s="55">
        <v>4641</v>
      </c>
      <c r="AR10619" s="55">
        <v>28500</v>
      </c>
      <c r="AS10619" s="78">
        <f t="shared" si="169"/>
        <v>0.1628421052631579</v>
      </c>
    </row>
    <row r="10620" spans="39:45">
      <c r="AM10620" s="54">
        <v>2020</v>
      </c>
      <c r="AN10620" s="54" t="s">
        <v>185</v>
      </c>
      <c r="AO10620" s="54">
        <v>18</v>
      </c>
      <c r="AP10620" s="54">
        <v>10</v>
      </c>
      <c r="AQ10620" s="54">
        <v>6212</v>
      </c>
      <c r="AR10620" s="55">
        <v>28500</v>
      </c>
      <c r="AS10620" s="78">
        <f t="shared" si="169"/>
        <v>0.21796491228070175</v>
      </c>
    </row>
    <row r="10621" spans="39:45">
      <c r="AM10621" s="55">
        <v>2020</v>
      </c>
      <c r="AN10621" s="55" t="s">
        <v>185</v>
      </c>
      <c r="AO10621" s="55">
        <v>18</v>
      </c>
      <c r="AP10621" s="55">
        <v>11</v>
      </c>
      <c r="AQ10621" s="55">
        <v>14819.5</v>
      </c>
      <c r="AR10621" s="55">
        <v>28500</v>
      </c>
      <c r="AS10621" s="78">
        <f t="shared" si="169"/>
        <v>0.51998245614035088</v>
      </c>
    </row>
    <row r="10622" spans="39:45">
      <c r="AM10622" s="54">
        <v>2020</v>
      </c>
      <c r="AN10622" s="54" t="s">
        <v>185</v>
      </c>
      <c r="AO10622" s="54">
        <v>18</v>
      </c>
      <c r="AP10622" s="54">
        <v>12</v>
      </c>
      <c r="AQ10622" s="54">
        <v>12590</v>
      </c>
      <c r="AR10622" s="55">
        <v>28500</v>
      </c>
      <c r="AS10622" s="78">
        <f t="shared" si="169"/>
        <v>0.44175438596491229</v>
      </c>
    </row>
    <row r="10623" spans="39:45">
      <c r="AM10623" s="55">
        <v>2020</v>
      </c>
      <c r="AN10623" s="55" t="s">
        <v>185</v>
      </c>
      <c r="AO10623" s="55">
        <v>18</v>
      </c>
      <c r="AP10623" s="55">
        <v>13</v>
      </c>
      <c r="AQ10623" s="55">
        <v>17446.5</v>
      </c>
      <c r="AR10623" s="55">
        <v>28500</v>
      </c>
      <c r="AS10623" s="78">
        <f t="shared" si="169"/>
        <v>0.61215789473684212</v>
      </c>
    </row>
    <row r="10624" spans="39:45">
      <c r="AM10624" s="54">
        <v>2020</v>
      </c>
      <c r="AN10624" s="54" t="s">
        <v>185</v>
      </c>
      <c r="AO10624" s="54">
        <v>18</v>
      </c>
      <c r="AP10624" s="54">
        <v>14</v>
      </c>
      <c r="AQ10624" s="54">
        <v>21432</v>
      </c>
      <c r="AR10624" s="55">
        <v>28500</v>
      </c>
      <c r="AS10624" s="78">
        <f t="shared" si="169"/>
        <v>0.752</v>
      </c>
    </row>
    <row r="10625" spans="39:45">
      <c r="AM10625" s="55">
        <v>2020</v>
      </c>
      <c r="AN10625" s="55" t="s">
        <v>185</v>
      </c>
      <c r="AO10625" s="55">
        <v>18</v>
      </c>
      <c r="AP10625" s="55">
        <v>15</v>
      </c>
      <c r="AQ10625" s="55">
        <v>11397</v>
      </c>
      <c r="AR10625" s="55">
        <v>28500</v>
      </c>
      <c r="AS10625" s="78">
        <f t="shared" si="169"/>
        <v>0.39989473684210525</v>
      </c>
    </row>
    <row r="10626" spans="39:45">
      <c r="AM10626" s="54">
        <v>2020</v>
      </c>
      <c r="AN10626" s="54" t="s">
        <v>185</v>
      </c>
      <c r="AO10626" s="54">
        <v>18</v>
      </c>
      <c r="AP10626" s="54">
        <v>16</v>
      </c>
      <c r="AQ10626" s="54">
        <v>13860</v>
      </c>
      <c r="AR10626" s="55">
        <v>28500</v>
      </c>
      <c r="AS10626" s="78">
        <f t="shared" ref="AS10626:AS10689" si="170">AQ10626/AR10626</f>
        <v>0.4863157894736842</v>
      </c>
    </row>
    <row r="10627" spans="39:45">
      <c r="AM10627" s="55">
        <v>2020</v>
      </c>
      <c r="AN10627" s="55" t="s">
        <v>185</v>
      </c>
      <c r="AO10627" s="55">
        <v>18</v>
      </c>
      <c r="AP10627" s="55">
        <v>17</v>
      </c>
      <c r="AQ10627" s="55">
        <v>3168.5</v>
      </c>
      <c r="AR10627" s="55">
        <v>28500</v>
      </c>
      <c r="AS10627" s="78">
        <f t="shared" si="170"/>
        <v>0.11117543859649123</v>
      </c>
    </row>
    <row r="10628" spans="39:45">
      <c r="AM10628" s="54">
        <v>2020</v>
      </c>
      <c r="AN10628" s="54" t="s">
        <v>185</v>
      </c>
      <c r="AO10628" s="54">
        <v>18</v>
      </c>
      <c r="AP10628" s="54">
        <v>18</v>
      </c>
      <c r="AQ10628" s="54">
        <v>0</v>
      </c>
      <c r="AR10628" s="55">
        <v>28500</v>
      </c>
      <c r="AS10628" s="78">
        <f t="shared" si="170"/>
        <v>0</v>
      </c>
    </row>
    <row r="10629" spans="39:45">
      <c r="AM10629" s="55">
        <v>2020</v>
      </c>
      <c r="AN10629" s="55" t="s">
        <v>185</v>
      </c>
      <c r="AO10629" s="55">
        <v>18</v>
      </c>
      <c r="AP10629" s="55">
        <v>19</v>
      </c>
      <c r="AQ10629" s="55">
        <v>0</v>
      </c>
      <c r="AR10629" s="55">
        <v>28500</v>
      </c>
      <c r="AS10629" s="78">
        <f t="shared" si="170"/>
        <v>0</v>
      </c>
    </row>
    <row r="10630" spans="39:45">
      <c r="AM10630" s="54">
        <v>2020</v>
      </c>
      <c r="AN10630" s="54" t="s">
        <v>185</v>
      </c>
      <c r="AO10630" s="54">
        <v>18</v>
      </c>
      <c r="AP10630" s="54">
        <v>20</v>
      </c>
      <c r="AQ10630" s="54">
        <v>0</v>
      </c>
      <c r="AR10630" s="55">
        <v>28500</v>
      </c>
      <c r="AS10630" s="78">
        <f t="shared" si="170"/>
        <v>0</v>
      </c>
    </row>
    <row r="10631" spans="39:45">
      <c r="AM10631" s="55">
        <v>2020</v>
      </c>
      <c r="AN10631" s="55" t="s">
        <v>185</v>
      </c>
      <c r="AO10631" s="55">
        <v>18</v>
      </c>
      <c r="AP10631" s="55">
        <v>21</v>
      </c>
      <c r="AQ10631" s="55">
        <v>0</v>
      </c>
      <c r="AR10631" s="55">
        <v>28500</v>
      </c>
      <c r="AS10631" s="78">
        <f t="shared" si="170"/>
        <v>0</v>
      </c>
    </row>
    <row r="10632" spans="39:45">
      <c r="AM10632" s="54">
        <v>2020</v>
      </c>
      <c r="AN10632" s="54" t="s">
        <v>185</v>
      </c>
      <c r="AO10632" s="54">
        <v>18</v>
      </c>
      <c r="AP10632" s="54">
        <v>22</v>
      </c>
      <c r="AQ10632" s="54">
        <v>0</v>
      </c>
      <c r="AR10632" s="55">
        <v>28500</v>
      </c>
      <c r="AS10632" s="78">
        <f t="shared" si="170"/>
        <v>0</v>
      </c>
    </row>
    <row r="10633" spans="39:45">
      <c r="AM10633" s="55">
        <v>2020</v>
      </c>
      <c r="AN10633" s="55" t="s">
        <v>185</v>
      </c>
      <c r="AO10633" s="55">
        <v>18</v>
      </c>
      <c r="AP10633" s="55">
        <v>23</v>
      </c>
      <c r="AQ10633" s="55">
        <v>0</v>
      </c>
      <c r="AR10633" s="55">
        <v>28500</v>
      </c>
      <c r="AS10633" s="78">
        <f t="shared" si="170"/>
        <v>0</v>
      </c>
    </row>
    <row r="10634" spans="39:45">
      <c r="AM10634" s="54">
        <v>2020</v>
      </c>
      <c r="AN10634" s="54" t="s">
        <v>185</v>
      </c>
      <c r="AO10634" s="54">
        <v>19</v>
      </c>
      <c r="AP10634" s="54">
        <v>24</v>
      </c>
      <c r="AQ10634" s="54">
        <v>0</v>
      </c>
      <c r="AR10634" s="55">
        <v>28500</v>
      </c>
      <c r="AS10634" s="78">
        <f t="shared" si="170"/>
        <v>0</v>
      </c>
    </row>
    <row r="10635" spans="39:45">
      <c r="AM10635" s="55">
        <v>2020</v>
      </c>
      <c r="AN10635" s="55" t="s">
        <v>185</v>
      </c>
      <c r="AO10635" s="55">
        <v>19</v>
      </c>
      <c r="AP10635" s="55">
        <v>1</v>
      </c>
      <c r="AQ10635" s="55">
        <v>0</v>
      </c>
      <c r="AR10635" s="55">
        <v>28500</v>
      </c>
      <c r="AS10635" s="78">
        <f t="shared" si="170"/>
        <v>0</v>
      </c>
    </row>
    <row r="10636" spans="39:45">
      <c r="AM10636" s="54">
        <v>2020</v>
      </c>
      <c r="AN10636" s="54" t="s">
        <v>185</v>
      </c>
      <c r="AO10636" s="54">
        <v>19</v>
      </c>
      <c r="AP10636" s="54">
        <v>2</v>
      </c>
      <c r="AQ10636" s="54">
        <v>0</v>
      </c>
      <c r="AR10636" s="55">
        <v>28500</v>
      </c>
      <c r="AS10636" s="78">
        <f t="shared" si="170"/>
        <v>0</v>
      </c>
    </row>
    <row r="10637" spans="39:45">
      <c r="AM10637" s="55">
        <v>2020</v>
      </c>
      <c r="AN10637" s="55" t="s">
        <v>185</v>
      </c>
      <c r="AO10637" s="55">
        <v>19</v>
      </c>
      <c r="AP10637" s="55">
        <v>3</v>
      </c>
      <c r="AQ10637" s="55">
        <v>0</v>
      </c>
      <c r="AR10637" s="55">
        <v>28500</v>
      </c>
      <c r="AS10637" s="78">
        <f t="shared" si="170"/>
        <v>0</v>
      </c>
    </row>
    <row r="10638" spans="39:45">
      <c r="AM10638" s="54">
        <v>2020</v>
      </c>
      <c r="AN10638" s="54" t="s">
        <v>185</v>
      </c>
      <c r="AO10638" s="54">
        <v>19</v>
      </c>
      <c r="AP10638" s="54">
        <v>4</v>
      </c>
      <c r="AQ10638" s="54">
        <v>0</v>
      </c>
      <c r="AR10638" s="55">
        <v>28500</v>
      </c>
      <c r="AS10638" s="78">
        <f t="shared" si="170"/>
        <v>0</v>
      </c>
    </row>
    <row r="10639" spans="39:45">
      <c r="AM10639" s="55">
        <v>2020</v>
      </c>
      <c r="AN10639" s="55" t="s">
        <v>185</v>
      </c>
      <c r="AO10639" s="55">
        <v>19</v>
      </c>
      <c r="AP10639" s="55">
        <v>5</v>
      </c>
      <c r="AQ10639" s="55">
        <v>0</v>
      </c>
      <c r="AR10639" s="55">
        <v>28500</v>
      </c>
      <c r="AS10639" s="78">
        <f t="shared" si="170"/>
        <v>0</v>
      </c>
    </row>
    <row r="10640" spans="39:45">
      <c r="AM10640" s="54">
        <v>2020</v>
      </c>
      <c r="AN10640" s="54" t="s">
        <v>185</v>
      </c>
      <c r="AO10640" s="54">
        <v>19</v>
      </c>
      <c r="AP10640" s="54">
        <v>6</v>
      </c>
      <c r="AQ10640" s="54">
        <v>0</v>
      </c>
      <c r="AR10640" s="55">
        <v>28500</v>
      </c>
      <c r="AS10640" s="78">
        <f t="shared" si="170"/>
        <v>0</v>
      </c>
    </row>
    <row r="10641" spans="39:45">
      <c r="AM10641" s="55">
        <v>2020</v>
      </c>
      <c r="AN10641" s="55" t="s">
        <v>185</v>
      </c>
      <c r="AO10641" s="55">
        <v>19</v>
      </c>
      <c r="AP10641" s="55">
        <v>7</v>
      </c>
      <c r="AQ10641" s="55">
        <v>1126</v>
      </c>
      <c r="AR10641" s="55">
        <v>28500</v>
      </c>
      <c r="AS10641" s="78">
        <f t="shared" si="170"/>
        <v>3.9508771929824563E-2</v>
      </c>
    </row>
    <row r="10642" spans="39:45">
      <c r="AM10642" s="54">
        <v>2020</v>
      </c>
      <c r="AN10642" s="54" t="s">
        <v>185</v>
      </c>
      <c r="AO10642" s="54">
        <v>19</v>
      </c>
      <c r="AP10642" s="54">
        <v>8</v>
      </c>
      <c r="AQ10642" s="54">
        <v>2119.5</v>
      </c>
      <c r="AR10642" s="55">
        <v>28500</v>
      </c>
      <c r="AS10642" s="78">
        <f t="shared" si="170"/>
        <v>7.4368421052631584E-2</v>
      </c>
    </row>
    <row r="10643" spans="39:45">
      <c r="AM10643" s="55">
        <v>2020</v>
      </c>
      <c r="AN10643" s="55" t="s">
        <v>185</v>
      </c>
      <c r="AO10643" s="55">
        <v>19</v>
      </c>
      <c r="AP10643" s="55">
        <v>9</v>
      </c>
      <c r="AQ10643" s="55">
        <v>1019.5</v>
      </c>
      <c r="AR10643" s="55">
        <v>28500</v>
      </c>
      <c r="AS10643" s="78">
        <f t="shared" si="170"/>
        <v>3.5771929824561406E-2</v>
      </c>
    </row>
    <row r="10644" spans="39:45">
      <c r="AM10644" s="54">
        <v>2020</v>
      </c>
      <c r="AN10644" s="54" t="s">
        <v>185</v>
      </c>
      <c r="AO10644" s="54">
        <v>19</v>
      </c>
      <c r="AP10644" s="54">
        <v>10</v>
      </c>
      <c r="AQ10644" s="54">
        <v>1229</v>
      </c>
      <c r="AR10644" s="55">
        <v>28500</v>
      </c>
      <c r="AS10644" s="78">
        <f t="shared" si="170"/>
        <v>4.3122807017543861E-2</v>
      </c>
    </row>
    <row r="10645" spans="39:45">
      <c r="AM10645" s="55">
        <v>2020</v>
      </c>
      <c r="AN10645" s="55" t="s">
        <v>185</v>
      </c>
      <c r="AO10645" s="55">
        <v>19</v>
      </c>
      <c r="AP10645" s="55">
        <v>11</v>
      </c>
      <c r="AQ10645" s="55">
        <v>1478.5</v>
      </c>
      <c r="AR10645" s="55">
        <v>28500</v>
      </c>
      <c r="AS10645" s="78">
        <f t="shared" si="170"/>
        <v>5.187719298245614E-2</v>
      </c>
    </row>
    <row r="10646" spans="39:45">
      <c r="AM10646" s="54">
        <v>2020</v>
      </c>
      <c r="AN10646" s="54" t="s">
        <v>185</v>
      </c>
      <c r="AO10646" s="54">
        <v>19</v>
      </c>
      <c r="AP10646" s="54">
        <v>12</v>
      </c>
      <c r="AQ10646" s="54">
        <v>2105</v>
      </c>
      <c r="AR10646" s="55">
        <v>28500</v>
      </c>
      <c r="AS10646" s="78">
        <f t="shared" si="170"/>
        <v>7.3859649122807014E-2</v>
      </c>
    </row>
    <row r="10647" spans="39:45">
      <c r="AM10647" s="55">
        <v>2020</v>
      </c>
      <c r="AN10647" s="55" t="s">
        <v>185</v>
      </c>
      <c r="AO10647" s="55">
        <v>19</v>
      </c>
      <c r="AP10647" s="55">
        <v>13</v>
      </c>
      <c r="AQ10647" s="55">
        <v>1841.5</v>
      </c>
      <c r="AR10647" s="55">
        <v>28500</v>
      </c>
      <c r="AS10647" s="78">
        <f t="shared" si="170"/>
        <v>6.4614035087719304E-2</v>
      </c>
    </row>
    <row r="10648" spans="39:45">
      <c r="AM10648" s="54">
        <v>2020</v>
      </c>
      <c r="AN10648" s="54" t="s">
        <v>185</v>
      </c>
      <c r="AO10648" s="54">
        <v>19</v>
      </c>
      <c r="AP10648" s="54">
        <v>14</v>
      </c>
      <c r="AQ10648" s="54">
        <v>2065.5</v>
      </c>
      <c r="AR10648" s="55">
        <v>28500</v>
      </c>
      <c r="AS10648" s="78">
        <f t="shared" si="170"/>
        <v>7.2473684210526315E-2</v>
      </c>
    </row>
    <row r="10649" spans="39:45">
      <c r="AM10649" s="55">
        <v>2020</v>
      </c>
      <c r="AN10649" s="55" t="s">
        <v>185</v>
      </c>
      <c r="AO10649" s="55">
        <v>19</v>
      </c>
      <c r="AP10649" s="55">
        <v>15</v>
      </c>
      <c r="AQ10649" s="55">
        <v>1585.5</v>
      </c>
      <c r="AR10649" s="55">
        <v>28500</v>
      </c>
      <c r="AS10649" s="78">
        <f t="shared" si="170"/>
        <v>5.5631578947368421E-2</v>
      </c>
    </row>
    <row r="10650" spans="39:45">
      <c r="AM10650" s="54">
        <v>2020</v>
      </c>
      <c r="AN10650" s="54" t="s">
        <v>185</v>
      </c>
      <c r="AO10650" s="54">
        <v>19</v>
      </c>
      <c r="AP10650" s="54">
        <v>16</v>
      </c>
      <c r="AQ10650" s="54">
        <v>4187</v>
      </c>
      <c r="AR10650" s="55">
        <v>28500</v>
      </c>
      <c r="AS10650" s="78">
        <f t="shared" si="170"/>
        <v>0.14691228070175438</v>
      </c>
    </row>
    <row r="10651" spans="39:45">
      <c r="AM10651" s="55">
        <v>2020</v>
      </c>
      <c r="AN10651" s="55" t="s">
        <v>185</v>
      </c>
      <c r="AO10651" s="55">
        <v>19</v>
      </c>
      <c r="AP10651" s="55">
        <v>17</v>
      </c>
      <c r="AQ10651" s="55">
        <v>1183.5</v>
      </c>
      <c r="AR10651" s="55">
        <v>28500</v>
      </c>
      <c r="AS10651" s="78">
        <f t="shared" si="170"/>
        <v>4.1526315789473682E-2</v>
      </c>
    </row>
    <row r="10652" spans="39:45">
      <c r="AM10652" s="54">
        <v>2020</v>
      </c>
      <c r="AN10652" s="54" t="s">
        <v>185</v>
      </c>
      <c r="AO10652" s="54">
        <v>19</v>
      </c>
      <c r="AP10652" s="54">
        <v>18</v>
      </c>
      <c r="AQ10652" s="54">
        <v>0</v>
      </c>
      <c r="AR10652" s="55">
        <v>28500</v>
      </c>
      <c r="AS10652" s="78">
        <f t="shared" si="170"/>
        <v>0</v>
      </c>
    </row>
    <row r="10653" spans="39:45">
      <c r="AM10653" s="55">
        <v>2020</v>
      </c>
      <c r="AN10653" s="55" t="s">
        <v>185</v>
      </c>
      <c r="AO10653" s="55">
        <v>19</v>
      </c>
      <c r="AP10653" s="55">
        <v>19</v>
      </c>
      <c r="AQ10653" s="55">
        <v>0</v>
      </c>
      <c r="AR10653" s="55">
        <v>28500</v>
      </c>
      <c r="AS10653" s="78">
        <f t="shared" si="170"/>
        <v>0</v>
      </c>
    </row>
    <row r="10654" spans="39:45">
      <c r="AM10654" s="54">
        <v>2020</v>
      </c>
      <c r="AN10654" s="54" t="s">
        <v>185</v>
      </c>
      <c r="AO10654" s="54">
        <v>19</v>
      </c>
      <c r="AP10654" s="54">
        <v>20</v>
      </c>
      <c r="AQ10654" s="54">
        <v>0</v>
      </c>
      <c r="AR10654" s="55">
        <v>28500</v>
      </c>
      <c r="AS10654" s="78">
        <f t="shared" si="170"/>
        <v>0</v>
      </c>
    </row>
    <row r="10655" spans="39:45">
      <c r="AM10655" s="55">
        <v>2020</v>
      </c>
      <c r="AN10655" s="55" t="s">
        <v>185</v>
      </c>
      <c r="AO10655" s="55">
        <v>19</v>
      </c>
      <c r="AP10655" s="55">
        <v>21</v>
      </c>
      <c r="AQ10655" s="55">
        <v>0</v>
      </c>
      <c r="AR10655" s="55">
        <v>28500</v>
      </c>
      <c r="AS10655" s="78">
        <f t="shared" si="170"/>
        <v>0</v>
      </c>
    </row>
    <row r="10656" spans="39:45">
      <c r="AM10656" s="54">
        <v>2020</v>
      </c>
      <c r="AN10656" s="54" t="s">
        <v>185</v>
      </c>
      <c r="AO10656" s="54">
        <v>19</v>
      </c>
      <c r="AP10656" s="54">
        <v>22</v>
      </c>
      <c r="AQ10656" s="54">
        <v>0</v>
      </c>
      <c r="AR10656" s="55">
        <v>28500</v>
      </c>
      <c r="AS10656" s="78">
        <f t="shared" si="170"/>
        <v>0</v>
      </c>
    </row>
    <row r="10657" spans="39:45">
      <c r="AM10657" s="55">
        <v>2020</v>
      </c>
      <c r="AN10657" s="55" t="s">
        <v>185</v>
      </c>
      <c r="AO10657" s="55">
        <v>19</v>
      </c>
      <c r="AP10657" s="55">
        <v>23</v>
      </c>
      <c r="AQ10657" s="55">
        <v>0</v>
      </c>
      <c r="AR10657" s="55">
        <v>28500</v>
      </c>
      <c r="AS10657" s="78">
        <f t="shared" si="170"/>
        <v>0</v>
      </c>
    </row>
    <row r="10658" spans="39:45">
      <c r="AM10658" s="54">
        <v>2020</v>
      </c>
      <c r="AN10658" s="54" t="s">
        <v>185</v>
      </c>
      <c r="AO10658" s="54">
        <v>20</v>
      </c>
      <c r="AP10658" s="54">
        <v>24</v>
      </c>
      <c r="AQ10658" s="54">
        <v>0</v>
      </c>
      <c r="AR10658" s="55">
        <v>28500</v>
      </c>
      <c r="AS10658" s="78">
        <f t="shared" si="170"/>
        <v>0</v>
      </c>
    </row>
    <row r="10659" spans="39:45">
      <c r="AM10659" s="55">
        <v>2020</v>
      </c>
      <c r="AN10659" s="55" t="s">
        <v>185</v>
      </c>
      <c r="AO10659" s="55">
        <v>20</v>
      </c>
      <c r="AP10659" s="55">
        <v>1</v>
      </c>
      <c r="AQ10659" s="55">
        <v>0</v>
      </c>
      <c r="AR10659" s="55">
        <v>28500</v>
      </c>
      <c r="AS10659" s="78">
        <f t="shared" si="170"/>
        <v>0</v>
      </c>
    </row>
    <row r="10660" spans="39:45">
      <c r="AM10660" s="54">
        <v>2020</v>
      </c>
      <c r="AN10660" s="54" t="s">
        <v>185</v>
      </c>
      <c r="AO10660" s="54">
        <v>20</v>
      </c>
      <c r="AP10660" s="54">
        <v>2</v>
      </c>
      <c r="AQ10660" s="54">
        <v>0</v>
      </c>
      <c r="AR10660" s="55">
        <v>28500</v>
      </c>
      <c r="AS10660" s="78">
        <f t="shared" si="170"/>
        <v>0</v>
      </c>
    </row>
    <row r="10661" spans="39:45">
      <c r="AM10661" s="55">
        <v>2020</v>
      </c>
      <c r="AN10661" s="55" t="s">
        <v>185</v>
      </c>
      <c r="AO10661" s="55">
        <v>20</v>
      </c>
      <c r="AP10661" s="55">
        <v>3</v>
      </c>
      <c r="AQ10661" s="55">
        <v>0</v>
      </c>
      <c r="AR10661" s="55">
        <v>28500</v>
      </c>
      <c r="AS10661" s="78">
        <f t="shared" si="170"/>
        <v>0</v>
      </c>
    </row>
    <row r="10662" spans="39:45">
      <c r="AM10662" s="54">
        <v>2020</v>
      </c>
      <c r="AN10662" s="54" t="s">
        <v>185</v>
      </c>
      <c r="AO10662" s="54">
        <v>20</v>
      </c>
      <c r="AP10662" s="54">
        <v>4</v>
      </c>
      <c r="AQ10662" s="54">
        <v>0</v>
      </c>
      <c r="AR10662" s="55">
        <v>28500</v>
      </c>
      <c r="AS10662" s="78">
        <f t="shared" si="170"/>
        <v>0</v>
      </c>
    </row>
    <row r="10663" spans="39:45">
      <c r="AM10663" s="55">
        <v>2020</v>
      </c>
      <c r="AN10663" s="55" t="s">
        <v>185</v>
      </c>
      <c r="AO10663" s="55">
        <v>20</v>
      </c>
      <c r="AP10663" s="55">
        <v>5</v>
      </c>
      <c r="AQ10663" s="55">
        <v>0</v>
      </c>
      <c r="AR10663" s="55">
        <v>28500</v>
      </c>
      <c r="AS10663" s="78">
        <f t="shared" si="170"/>
        <v>0</v>
      </c>
    </row>
    <row r="10664" spans="39:45">
      <c r="AM10664" s="54">
        <v>2020</v>
      </c>
      <c r="AN10664" s="54" t="s">
        <v>185</v>
      </c>
      <c r="AO10664" s="54">
        <v>20</v>
      </c>
      <c r="AP10664" s="54">
        <v>6</v>
      </c>
      <c r="AQ10664" s="54">
        <v>0</v>
      </c>
      <c r="AR10664" s="55">
        <v>28500</v>
      </c>
      <c r="AS10664" s="78">
        <f t="shared" si="170"/>
        <v>0</v>
      </c>
    </row>
    <row r="10665" spans="39:45">
      <c r="AM10665" s="55">
        <v>2020</v>
      </c>
      <c r="AN10665" s="55" t="s">
        <v>185</v>
      </c>
      <c r="AO10665" s="55">
        <v>20</v>
      </c>
      <c r="AP10665" s="55">
        <v>7</v>
      </c>
      <c r="AQ10665" s="55">
        <v>1983</v>
      </c>
      <c r="AR10665" s="55">
        <v>28500</v>
      </c>
      <c r="AS10665" s="78">
        <f t="shared" si="170"/>
        <v>6.9578947368421046E-2</v>
      </c>
    </row>
    <row r="10666" spans="39:45">
      <c r="AM10666" s="54">
        <v>2020</v>
      </c>
      <c r="AN10666" s="54" t="s">
        <v>185</v>
      </c>
      <c r="AO10666" s="54">
        <v>20</v>
      </c>
      <c r="AP10666" s="54">
        <v>8</v>
      </c>
      <c r="AQ10666" s="54">
        <v>10781.5</v>
      </c>
      <c r="AR10666" s="55">
        <v>28500</v>
      </c>
      <c r="AS10666" s="78">
        <f t="shared" si="170"/>
        <v>0.37829824561403508</v>
      </c>
    </row>
    <row r="10667" spans="39:45">
      <c r="AM10667" s="55">
        <v>2020</v>
      </c>
      <c r="AN10667" s="55" t="s">
        <v>185</v>
      </c>
      <c r="AO10667" s="55">
        <v>20</v>
      </c>
      <c r="AP10667" s="55">
        <v>9</v>
      </c>
      <c r="AQ10667" s="55">
        <v>10098</v>
      </c>
      <c r="AR10667" s="55">
        <v>28500</v>
      </c>
      <c r="AS10667" s="78">
        <f t="shared" si="170"/>
        <v>0.3543157894736842</v>
      </c>
    </row>
    <row r="10668" spans="39:45">
      <c r="AM10668" s="54">
        <v>2020</v>
      </c>
      <c r="AN10668" s="54" t="s">
        <v>185</v>
      </c>
      <c r="AO10668" s="54">
        <v>20</v>
      </c>
      <c r="AP10668" s="54">
        <v>10</v>
      </c>
      <c r="AQ10668" s="54">
        <v>11535.5</v>
      </c>
      <c r="AR10668" s="55">
        <v>28500</v>
      </c>
      <c r="AS10668" s="78">
        <f t="shared" si="170"/>
        <v>0.40475438596491226</v>
      </c>
    </row>
    <row r="10669" spans="39:45">
      <c r="AM10669" s="55">
        <v>2020</v>
      </c>
      <c r="AN10669" s="55" t="s">
        <v>185</v>
      </c>
      <c r="AO10669" s="55">
        <v>20</v>
      </c>
      <c r="AP10669" s="55">
        <v>11</v>
      </c>
      <c r="AQ10669" s="55">
        <v>13647.5</v>
      </c>
      <c r="AR10669" s="55">
        <v>28500</v>
      </c>
      <c r="AS10669" s="78">
        <f t="shared" si="170"/>
        <v>0.47885964912280704</v>
      </c>
    </row>
    <row r="10670" spans="39:45">
      <c r="AM10670" s="54">
        <v>2020</v>
      </c>
      <c r="AN10670" s="54" t="s">
        <v>185</v>
      </c>
      <c r="AO10670" s="54">
        <v>20</v>
      </c>
      <c r="AP10670" s="54">
        <v>12</v>
      </c>
      <c r="AQ10670" s="54">
        <v>16748</v>
      </c>
      <c r="AR10670" s="55">
        <v>28500</v>
      </c>
      <c r="AS10670" s="78">
        <f t="shared" si="170"/>
        <v>0.58764912280701753</v>
      </c>
    </row>
    <row r="10671" spans="39:45">
      <c r="AM10671" s="55">
        <v>2020</v>
      </c>
      <c r="AN10671" s="55" t="s">
        <v>185</v>
      </c>
      <c r="AO10671" s="55">
        <v>20</v>
      </c>
      <c r="AP10671" s="55">
        <v>13</v>
      </c>
      <c r="AQ10671" s="55">
        <v>17419.5</v>
      </c>
      <c r="AR10671" s="55">
        <v>28500</v>
      </c>
      <c r="AS10671" s="78">
        <f t="shared" si="170"/>
        <v>0.61121052631578943</v>
      </c>
    </row>
    <row r="10672" spans="39:45">
      <c r="AM10672" s="54">
        <v>2020</v>
      </c>
      <c r="AN10672" s="54" t="s">
        <v>185</v>
      </c>
      <c r="AO10672" s="54">
        <v>20</v>
      </c>
      <c r="AP10672" s="54">
        <v>14</v>
      </c>
      <c r="AQ10672" s="54">
        <v>5450</v>
      </c>
      <c r="AR10672" s="55">
        <v>28500</v>
      </c>
      <c r="AS10672" s="78">
        <f t="shared" si="170"/>
        <v>0.19122807017543861</v>
      </c>
    </row>
    <row r="10673" spans="39:45">
      <c r="AM10673" s="55">
        <v>2020</v>
      </c>
      <c r="AN10673" s="55" t="s">
        <v>185</v>
      </c>
      <c r="AO10673" s="55">
        <v>20</v>
      </c>
      <c r="AP10673" s="55">
        <v>15</v>
      </c>
      <c r="AQ10673" s="55">
        <v>6201</v>
      </c>
      <c r="AR10673" s="55">
        <v>28500</v>
      </c>
      <c r="AS10673" s="78">
        <f t="shared" si="170"/>
        <v>0.21757894736842107</v>
      </c>
    </row>
    <row r="10674" spans="39:45">
      <c r="AM10674" s="54">
        <v>2020</v>
      </c>
      <c r="AN10674" s="54" t="s">
        <v>185</v>
      </c>
      <c r="AO10674" s="54">
        <v>20</v>
      </c>
      <c r="AP10674" s="54">
        <v>16</v>
      </c>
      <c r="AQ10674" s="54">
        <v>8621</v>
      </c>
      <c r="AR10674" s="55">
        <v>28500</v>
      </c>
      <c r="AS10674" s="78">
        <f t="shared" si="170"/>
        <v>0.30249122807017542</v>
      </c>
    </row>
    <row r="10675" spans="39:45">
      <c r="AM10675" s="55">
        <v>2020</v>
      </c>
      <c r="AN10675" s="55" t="s">
        <v>185</v>
      </c>
      <c r="AO10675" s="55">
        <v>20</v>
      </c>
      <c r="AP10675" s="55">
        <v>17</v>
      </c>
      <c r="AQ10675" s="55">
        <v>2946.5</v>
      </c>
      <c r="AR10675" s="55">
        <v>28500</v>
      </c>
      <c r="AS10675" s="78">
        <f t="shared" si="170"/>
        <v>0.10338596491228071</v>
      </c>
    </row>
    <row r="10676" spans="39:45">
      <c r="AM10676" s="54">
        <v>2020</v>
      </c>
      <c r="AN10676" s="54" t="s">
        <v>185</v>
      </c>
      <c r="AO10676" s="54">
        <v>20</v>
      </c>
      <c r="AP10676" s="54">
        <v>18</v>
      </c>
      <c r="AQ10676" s="54">
        <v>0</v>
      </c>
      <c r="AR10676" s="55">
        <v>28500</v>
      </c>
      <c r="AS10676" s="78">
        <f t="shared" si="170"/>
        <v>0</v>
      </c>
    </row>
    <row r="10677" spans="39:45">
      <c r="AM10677" s="55">
        <v>2020</v>
      </c>
      <c r="AN10677" s="55" t="s">
        <v>185</v>
      </c>
      <c r="AO10677" s="55">
        <v>20</v>
      </c>
      <c r="AP10677" s="55">
        <v>19</v>
      </c>
      <c r="AQ10677" s="55">
        <v>0</v>
      </c>
      <c r="AR10677" s="55">
        <v>28500</v>
      </c>
      <c r="AS10677" s="78">
        <f t="shared" si="170"/>
        <v>0</v>
      </c>
    </row>
    <row r="10678" spans="39:45">
      <c r="AM10678" s="54">
        <v>2020</v>
      </c>
      <c r="AN10678" s="54" t="s">
        <v>185</v>
      </c>
      <c r="AO10678" s="54">
        <v>20</v>
      </c>
      <c r="AP10678" s="54">
        <v>20</v>
      </c>
      <c r="AQ10678" s="54">
        <v>0</v>
      </c>
      <c r="AR10678" s="55">
        <v>28500</v>
      </c>
      <c r="AS10678" s="78">
        <f t="shared" si="170"/>
        <v>0</v>
      </c>
    </row>
    <row r="10679" spans="39:45">
      <c r="AM10679" s="55">
        <v>2020</v>
      </c>
      <c r="AN10679" s="55" t="s">
        <v>185</v>
      </c>
      <c r="AO10679" s="55">
        <v>20</v>
      </c>
      <c r="AP10679" s="55">
        <v>21</v>
      </c>
      <c r="AQ10679" s="55">
        <v>0</v>
      </c>
      <c r="AR10679" s="55">
        <v>28500</v>
      </c>
      <c r="AS10679" s="78">
        <f t="shared" si="170"/>
        <v>0</v>
      </c>
    </row>
    <row r="10680" spans="39:45">
      <c r="AM10680" s="54">
        <v>2020</v>
      </c>
      <c r="AN10680" s="54" t="s">
        <v>185</v>
      </c>
      <c r="AO10680" s="54">
        <v>20</v>
      </c>
      <c r="AP10680" s="54">
        <v>22</v>
      </c>
      <c r="AQ10680" s="54">
        <v>0</v>
      </c>
      <c r="AR10680" s="55">
        <v>28500</v>
      </c>
      <c r="AS10680" s="78">
        <f t="shared" si="170"/>
        <v>0</v>
      </c>
    </row>
    <row r="10681" spans="39:45">
      <c r="AM10681" s="55">
        <v>2020</v>
      </c>
      <c r="AN10681" s="55" t="s">
        <v>185</v>
      </c>
      <c r="AO10681" s="55">
        <v>20</v>
      </c>
      <c r="AP10681" s="55">
        <v>23</v>
      </c>
      <c r="AQ10681" s="55">
        <v>0</v>
      </c>
      <c r="AR10681" s="55">
        <v>28500</v>
      </c>
      <c r="AS10681" s="78">
        <f t="shared" si="170"/>
        <v>0</v>
      </c>
    </row>
    <row r="10682" spans="39:45">
      <c r="AM10682" s="54">
        <v>2020</v>
      </c>
      <c r="AN10682" s="54" t="s">
        <v>185</v>
      </c>
      <c r="AO10682" s="54">
        <v>21</v>
      </c>
      <c r="AP10682" s="54">
        <v>24</v>
      </c>
      <c r="AQ10682" s="54">
        <v>0</v>
      </c>
      <c r="AR10682" s="55">
        <v>28500</v>
      </c>
      <c r="AS10682" s="78">
        <f t="shared" si="170"/>
        <v>0</v>
      </c>
    </row>
    <row r="10683" spans="39:45">
      <c r="AM10683" s="55">
        <v>2020</v>
      </c>
      <c r="AN10683" s="55" t="s">
        <v>185</v>
      </c>
      <c r="AO10683" s="55">
        <v>21</v>
      </c>
      <c r="AP10683" s="55">
        <v>1</v>
      </c>
      <c r="AQ10683" s="55">
        <v>0</v>
      </c>
      <c r="AR10683" s="55">
        <v>28500</v>
      </c>
      <c r="AS10683" s="78">
        <f t="shared" si="170"/>
        <v>0</v>
      </c>
    </row>
    <row r="10684" spans="39:45">
      <c r="AM10684" s="54">
        <v>2020</v>
      </c>
      <c r="AN10684" s="54" t="s">
        <v>185</v>
      </c>
      <c r="AO10684" s="54">
        <v>21</v>
      </c>
      <c r="AP10684" s="54">
        <v>2</v>
      </c>
      <c r="AQ10684" s="54">
        <v>0</v>
      </c>
      <c r="AR10684" s="55">
        <v>28500</v>
      </c>
      <c r="AS10684" s="78">
        <f t="shared" si="170"/>
        <v>0</v>
      </c>
    </row>
    <row r="10685" spans="39:45">
      <c r="AM10685" s="55">
        <v>2020</v>
      </c>
      <c r="AN10685" s="55" t="s">
        <v>185</v>
      </c>
      <c r="AO10685" s="55">
        <v>21</v>
      </c>
      <c r="AP10685" s="55">
        <v>3</v>
      </c>
      <c r="AQ10685" s="55">
        <v>0</v>
      </c>
      <c r="AR10685" s="55">
        <v>28500</v>
      </c>
      <c r="AS10685" s="78">
        <f t="shared" si="170"/>
        <v>0</v>
      </c>
    </row>
    <row r="10686" spans="39:45">
      <c r="AM10686" s="54">
        <v>2020</v>
      </c>
      <c r="AN10686" s="54" t="s">
        <v>185</v>
      </c>
      <c r="AO10686" s="54">
        <v>21</v>
      </c>
      <c r="AP10686" s="54">
        <v>4</v>
      </c>
      <c r="AQ10686" s="54">
        <v>0</v>
      </c>
      <c r="AR10686" s="55">
        <v>28500</v>
      </c>
      <c r="AS10686" s="78">
        <f t="shared" si="170"/>
        <v>0</v>
      </c>
    </row>
    <row r="10687" spans="39:45">
      <c r="AM10687" s="55">
        <v>2020</v>
      </c>
      <c r="AN10687" s="55" t="s">
        <v>185</v>
      </c>
      <c r="AO10687" s="55">
        <v>21</v>
      </c>
      <c r="AP10687" s="55">
        <v>5</v>
      </c>
      <c r="AQ10687" s="55">
        <v>0</v>
      </c>
      <c r="AR10687" s="55">
        <v>28500</v>
      </c>
      <c r="AS10687" s="78">
        <f t="shared" si="170"/>
        <v>0</v>
      </c>
    </row>
    <row r="10688" spans="39:45">
      <c r="AM10688" s="54">
        <v>2020</v>
      </c>
      <c r="AN10688" s="54" t="s">
        <v>185</v>
      </c>
      <c r="AO10688" s="54">
        <v>21</v>
      </c>
      <c r="AP10688" s="54">
        <v>6</v>
      </c>
      <c r="AQ10688" s="54">
        <v>0</v>
      </c>
      <c r="AR10688" s="55">
        <v>28500</v>
      </c>
      <c r="AS10688" s="78">
        <f t="shared" si="170"/>
        <v>0</v>
      </c>
    </row>
    <row r="10689" spans="39:45">
      <c r="AM10689" s="55">
        <v>2020</v>
      </c>
      <c r="AN10689" s="55" t="s">
        <v>185</v>
      </c>
      <c r="AO10689" s="55">
        <v>21</v>
      </c>
      <c r="AP10689" s="55">
        <v>7</v>
      </c>
      <c r="AQ10689" s="55">
        <v>5786</v>
      </c>
      <c r="AR10689" s="55">
        <v>28500</v>
      </c>
      <c r="AS10689" s="78">
        <f t="shared" si="170"/>
        <v>0.20301754385964912</v>
      </c>
    </row>
    <row r="10690" spans="39:45">
      <c r="AM10690" s="54">
        <v>2020</v>
      </c>
      <c r="AN10690" s="54" t="s">
        <v>185</v>
      </c>
      <c r="AO10690" s="54">
        <v>21</v>
      </c>
      <c r="AP10690" s="54">
        <v>8</v>
      </c>
      <c r="AQ10690" s="54">
        <v>13165.5</v>
      </c>
      <c r="AR10690" s="55">
        <v>28500</v>
      </c>
      <c r="AS10690" s="78">
        <f t="shared" ref="AS10690:AS10753" si="171">AQ10690/AR10690</f>
        <v>0.46194736842105261</v>
      </c>
    </row>
    <row r="10691" spans="39:45">
      <c r="AM10691" s="55">
        <v>2020</v>
      </c>
      <c r="AN10691" s="55" t="s">
        <v>185</v>
      </c>
      <c r="AO10691" s="55">
        <v>21</v>
      </c>
      <c r="AP10691" s="55">
        <v>9</v>
      </c>
      <c r="AQ10691" s="55">
        <v>25355</v>
      </c>
      <c r="AR10691" s="55">
        <v>28500</v>
      </c>
      <c r="AS10691" s="78">
        <f t="shared" si="171"/>
        <v>0.88964912280701758</v>
      </c>
    </row>
    <row r="10692" spans="39:45">
      <c r="AM10692" s="54">
        <v>2020</v>
      </c>
      <c r="AN10692" s="54" t="s">
        <v>185</v>
      </c>
      <c r="AO10692" s="54">
        <v>21</v>
      </c>
      <c r="AP10692" s="54">
        <v>10</v>
      </c>
      <c r="AQ10692" s="54">
        <v>40750.5</v>
      </c>
      <c r="AR10692" s="55">
        <v>28500</v>
      </c>
      <c r="AS10692" s="78">
        <f t="shared" si="171"/>
        <v>1.4298421052631578</v>
      </c>
    </row>
    <row r="10693" spans="39:45">
      <c r="AM10693" s="55">
        <v>2020</v>
      </c>
      <c r="AN10693" s="55" t="s">
        <v>185</v>
      </c>
      <c r="AO10693" s="55">
        <v>21</v>
      </c>
      <c r="AP10693" s="55">
        <v>11</v>
      </c>
      <c r="AQ10693" s="55">
        <v>45461.5</v>
      </c>
      <c r="AR10693" s="55">
        <v>28500</v>
      </c>
      <c r="AS10693" s="78">
        <f t="shared" si="171"/>
        <v>1.5951403508771931</v>
      </c>
    </row>
    <row r="10694" spans="39:45">
      <c r="AM10694" s="54">
        <v>2020</v>
      </c>
      <c r="AN10694" s="54" t="s">
        <v>185</v>
      </c>
      <c r="AO10694" s="54">
        <v>21</v>
      </c>
      <c r="AP10694" s="54">
        <v>12</v>
      </c>
      <c r="AQ10694" s="54">
        <v>45154.5</v>
      </c>
      <c r="AR10694" s="55">
        <v>28500</v>
      </c>
      <c r="AS10694" s="78">
        <f t="shared" si="171"/>
        <v>1.5843684210526316</v>
      </c>
    </row>
    <row r="10695" spans="39:45">
      <c r="AM10695" s="55">
        <v>2020</v>
      </c>
      <c r="AN10695" s="55" t="s">
        <v>185</v>
      </c>
      <c r="AO10695" s="55">
        <v>21</v>
      </c>
      <c r="AP10695" s="55">
        <v>13</v>
      </c>
      <c r="AQ10695" s="55">
        <v>45209</v>
      </c>
      <c r="AR10695" s="55">
        <v>28500</v>
      </c>
      <c r="AS10695" s="78">
        <f t="shared" si="171"/>
        <v>1.5862807017543861</v>
      </c>
    </row>
    <row r="10696" spans="39:45">
      <c r="AM10696" s="54">
        <v>2020</v>
      </c>
      <c r="AN10696" s="54" t="s">
        <v>185</v>
      </c>
      <c r="AO10696" s="54">
        <v>21</v>
      </c>
      <c r="AP10696" s="54">
        <v>14</v>
      </c>
      <c r="AQ10696" s="54">
        <v>35279</v>
      </c>
      <c r="AR10696" s="55">
        <v>28500</v>
      </c>
      <c r="AS10696" s="78">
        <f t="shared" si="171"/>
        <v>1.2378596491228071</v>
      </c>
    </row>
    <row r="10697" spans="39:45">
      <c r="AM10697" s="55">
        <v>2020</v>
      </c>
      <c r="AN10697" s="55" t="s">
        <v>185</v>
      </c>
      <c r="AO10697" s="55">
        <v>21</v>
      </c>
      <c r="AP10697" s="55">
        <v>15</v>
      </c>
      <c r="AQ10697" s="55">
        <v>29452.5</v>
      </c>
      <c r="AR10697" s="55">
        <v>28500</v>
      </c>
      <c r="AS10697" s="78">
        <f t="shared" si="171"/>
        <v>1.033421052631579</v>
      </c>
    </row>
    <row r="10698" spans="39:45">
      <c r="AM10698" s="54">
        <v>2020</v>
      </c>
      <c r="AN10698" s="54" t="s">
        <v>185</v>
      </c>
      <c r="AO10698" s="54">
        <v>21</v>
      </c>
      <c r="AP10698" s="54">
        <v>16</v>
      </c>
      <c r="AQ10698" s="54">
        <v>11221</v>
      </c>
      <c r="AR10698" s="55">
        <v>28500</v>
      </c>
      <c r="AS10698" s="78">
        <f t="shared" si="171"/>
        <v>0.39371929824561402</v>
      </c>
    </row>
    <row r="10699" spans="39:45">
      <c r="AM10699" s="55">
        <v>2020</v>
      </c>
      <c r="AN10699" s="55" t="s">
        <v>185</v>
      </c>
      <c r="AO10699" s="55">
        <v>21</v>
      </c>
      <c r="AP10699" s="55">
        <v>17</v>
      </c>
      <c r="AQ10699" s="55">
        <v>3455.5</v>
      </c>
      <c r="AR10699" s="55">
        <v>28500</v>
      </c>
      <c r="AS10699" s="78">
        <f t="shared" si="171"/>
        <v>0.12124561403508773</v>
      </c>
    </row>
    <row r="10700" spans="39:45">
      <c r="AM10700" s="54">
        <v>2020</v>
      </c>
      <c r="AN10700" s="54" t="s">
        <v>185</v>
      </c>
      <c r="AO10700" s="54">
        <v>21</v>
      </c>
      <c r="AP10700" s="54">
        <v>18</v>
      </c>
      <c r="AQ10700" s="54">
        <v>0</v>
      </c>
      <c r="AR10700" s="55">
        <v>28500</v>
      </c>
      <c r="AS10700" s="78">
        <f t="shared" si="171"/>
        <v>0</v>
      </c>
    </row>
    <row r="10701" spans="39:45">
      <c r="AM10701" s="55">
        <v>2020</v>
      </c>
      <c r="AN10701" s="55" t="s">
        <v>185</v>
      </c>
      <c r="AO10701" s="55">
        <v>21</v>
      </c>
      <c r="AP10701" s="55">
        <v>19</v>
      </c>
      <c r="AQ10701" s="55">
        <v>0</v>
      </c>
      <c r="AR10701" s="55">
        <v>28500</v>
      </c>
      <c r="AS10701" s="78">
        <f t="shared" si="171"/>
        <v>0</v>
      </c>
    </row>
    <row r="10702" spans="39:45">
      <c r="AM10702" s="54">
        <v>2020</v>
      </c>
      <c r="AN10702" s="54" t="s">
        <v>185</v>
      </c>
      <c r="AO10702" s="54">
        <v>21</v>
      </c>
      <c r="AP10702" s="54">
        <v>20</v>
      </c>
      <c r="AQ10702" s="54">
        <v>0</v>
      </c>
      <c r="AR10702" s="55">
        <v>28500</v>
      </c>
      <c r="AS10702" s="78">
        <f t="shared" si="171"/>
        <v>0</v>
      </c>
    </row>
    <row r="10703" spans="39:45">
      <c r="AM10703" s="55">
        <v>2020</v>
      </c>
      <c r="AN10703" s="55" t="s">
        <v>185</v>
      </c>
      <c r="AO10703" s="55">
        <v>21</v>
      </c>
      <c r="AP10703" s="55">
        <v>21</v>
      </c>
      <c r="AQ10703" s="55">
        <v>0</v>
      </c>
      <c r="AR10703" s="55">
        <v>28500</v>
      </c>
      <c r="AS10703" s="78">
        <f t="shared" si="171"/>
        <v>0</v>
      </c>
    </row>
    <row r="10704" spans="39:45">
      <c r="AM10704" s="54">
        <v>2020</v>
      </c>
      <c r="AN10704" s="54" t="s">
        <v>185</v>
      </c>
      <c r="AO10704" s="54">
        <v>21</v>
      </c>
      <c r="AP10704" s="54">
        <v>22</v>
      </c>
      <c r="AQ10704" s="54">
        <v>0</v>
      </c>
      <c r="AR10704" s="55">
        <v>28500</v>
      </c>
      <c r="AS10704" s="78">
        <f t="shared" si="171"/>
        <v>0</v>
      </c>
    </row>
    <row r="10705" spans="39:45">
      <c r="AM10705" s="55">
        <v>2020</v>
      </c>
      <c r="AN10705" s="55" t="s">
        <v>185</v>
      </c>
      <c r="AO10705" s="55">
        <v>21</v>
      </c>
      <c r="AP10705" s="55">
        <v>23</v>
      </c>
      <c r="AQ10705" s="55">
        <v>0</v>
      </c>
      <c r="AR10705" s="55">
        <v>28500</v>
      </c>
      <c r="AS10705" s="78">
        <f t="shared" si="171"/>
        <v>0</v>
      </c>
    </row>
    <row r="10706" spans="39:45">
      <c r="AM10706" s="54">
        <v>2020</v>
      </c>
      <c r="AN10706" s="54" t="s">
        <v>185</v>
      </c>
      <c r="AO10706" s="54">
        <v>22</v>
      </c>
      <c r="AP10706" s="54">
        <v>24</v>
      </c>
      <c r="AQ10706" s="54">
        <v>0</v>
      </c>
      <c r="AR10706" s="55">
        <v>28500</v>
      </c>
      <c r="AS10706" s="78">
        <f t="shared" si="171"/>
        <v>0</v>
      </c>
    </row>
    <row r="10707" spans="39:45">
      <c r="AM10707" s="55">
        <v>2020</v>
      </c>
      <c r="AN10707" s="55" t="s">
        <v>185</v>
      </c>
      <c r="AO10707" s="55">
        <v>22</v>
      </c>
      <c r="AP10707" s="55">
        <v>1</v>
      </c>
      <c r="AQ10707" s="55">
        <v>0</v>
      </c>
      <c r="AR10707" s="55">
        <v>28500</v>
      </c>
      <c r="AS10707" s="78">
        <f t="shared" si="171"/>
        <v>0</v>
      </c>
    </row>
    <row r="10708" spans="39:45">
      <c r="AM10708" s="54">
        <v>2020</v>
      </c>
      <c r="AN10708" s="54" t="s">
        <v>185</v>
      </c>
      <c r="AO10708" s="54">
        <v>22</v>
      </c>
      <c r="AP10708" s="54">
        <v>2</v>
      </c>
      <c r="AQ10708" s="54">
        <v>0</v>
      </c>
      <c r="AR10708" s="55">
        <v>28500</v>
      </c>
      <c r="AS10708" s="78">
        <f t="shared" si="171"/>
        <v>0</v>
      </c>
    </row>
    <row r="10709" spans="39:45">
      <c r="AM10709" s="55">
        <v>2020</v>
      </c>
      <c r="AN10709" s="55" t="s">
        <v>185</v>
      </c>
      <c r="AO10709" s="55">
        <v>22</v>
      </c>
      <c r="AP10709" s="55">
        <v>3</v>
      </c>
      <c r="AQ10709" s="55">
        <v>0</v>
      </c>
      <c r="AR10709" s="55">
        <v>28500</v>
      </c>
      <c r="AS10709" s="78">
        <f t="shared" si="171"/>
        <v>0</v>
      </c>
    </row>
    <row r="10710" spans="39:45">
      <c r="AM10710" s="54">
        <v>2020</v>
      </c>
      <c r="AN10710" s="54" t="s">
        <v>185</v>
      </c>
      <c r="AO10710" s="54">
        <v>22</v>
      </c>
      <c r="AP10710" s="54">
        <v>4</v>
      </c>
      <c r="AQ10710" s="54">
        <v>0</v>
      </c>
      <c r="AR10710" s="55">
        <v>28500</v>
      </c>
      <c r="AS10710" s="78">
        <f t="shared" si="171"/>
        <v>0</v>
      </c>
    </row>
    <row r="10711" spans="39:45">
      <c r="AM10711" s="55">
        <v>2020</v>
      </c>
      <c r="AN10711" s="55" t="s">
        <v>185</v>
      </c>
      <c r="AO10711" s="55">
        <v>22</v>
      </c>
      <c r="AP10711" s="55">
        <v>5</v>
      </c>
      <c r="AQ10711" s="55">
        <v>0</v>
      </c>
      <c r="AR10711" s="55">
        <v>28500</v>
      </c>
      <c r="AS10711" s="78">
        <f t="shared" si="171"/>
        <v>0</v>
      </c>
    </row>
    <row r="10712" spans="39:45">
      <c r="AM10712" s="54">
        <v>2020</v>
      </c>
      <c r="AN10712" s="54" t="s">
        <v>185</v>
      </c>
      <c r="AO10712" s="54">
        <v>22</v>
      </c>
      <c r="AP10712" s="54">
        <v>6</v>
      </c>
      <c r="AQ10712" s="54">
        <v>0</v>
      </c>
      <c r="AR10712" s="55">
        <v>28500</v>
      </c>
      <c r="AS10712" s="78">
        <f t="shared" si="171"/>
        <v>0</v>
      </c>
    </row>
    <row r="10713" spans="39:45">
      <c r="AM10713" s="55">
        <v>2020</v>
      </c>
      <c r="AN10713" s="55" t="s">
        <v>185</v>
      </c>
      <c r="AO10713" s="55">
        <v>22</v>
      </c>
      <c r="AP10713" s="55">
        <v>7</v>
      </c>
      <c r="AQ10713" s="55">
        <v>4934.5</v>
      </c>
      <c r="AR10713" s="55">
        <v>28500</v>
      </c>
      <c r="AS10713" s="78">
        <f t="shared" si="171"/>
        <v>0.17314035087719298</v>
      </c>
    </row>
    <row r="10714" spans="39:45">
      <c r="AM10714" s="54">
        <v>2020</v>
      </c>
      <c r="AN10714" s="54" t="s">
        <v>185</v>
      </c>
      <c r="AO10714" s="54">
        <v>22</v>
      </c>
      <c r="AP10714" s="54">
        <v>8</v>
      </c>
      <c r="AQ10714" s="54">
        <v>14071.5</v>
      </c>
      <c r="AR10714" s="55">
        <v>28500</v>
      </c>
      <c r="AS10714" s="78">
        <f t="shared" si="171"/>
        <v>0.49373684210526314</v>
      </c>
    </row>
    <row r="10715" spans="39:45">
      <c r="AM10715" s="55">
        <v>2020</v>
      </c>
      <c r="AN10715" s="55" t="s">
        <v>185</v>
      </c>
      <c r="AO10715" s="55">
        <v>22</v>
      </c>
      <c r="AP10715" s="55">
        <v>9</v>
      </c>
      <c r="AQ10715" s="55">
        <v>30605.5</v>
      </c>
      <c r="AR10715" s="55">
        <v>28500</v>
      </c>
      <c r="AS10715" s="78">
        <f t="shared" si="171"/>
        <v>1.0738771929824562</v>
      </c>
    </row>
    <row r="10716" spans="39:45">
      <c r="AM10716" s="54">
        <v>2020</v>
      </c>
      <c r="AN10716" s="54" t="s">
        <v>185</v>
      </c>
      <c r="AO10716" s="54">
        <v>22</v>
      </c>
      <c r="AP10716" s="54">
        <v>10</v>
      </c>
      <c r="AQ10716" s="54">
        <v>33475.5</v>
      </c>
      <c r="AR10716" s="55">
        <v>28500</v>
      </c>
      <c r="AS10716" s="78">
        <f t="shared" si="171"/>
        <v>1.1745789473684209</v>
      </c>
    </row>
    <row r="10717" spans="39:45">
      <c r="AM10717" s="55">
        <v>2020</v>
      </c>
      <c r="AN10717" s="55" t="s">
        <v>185</v>
      </c>
      <c r="AO10717" s="55">
        <v>22</v>
      </c>
      <c r="AP10717" s="55">
        <v>11</v>
      </c>
      <c r="AQ10717" s="55">
        <v>45512.5</v>
      </c>
      <c r="AR10717" s="55">
        <v>28500</v>
      </c>
      <c r="AS10717" s="78">
        <f t="shared" si="171"/>
        <v>1.5969298245614034</v>
      </c>
    </row>
    <row r="10718" spans="39:45">
      <c r="AM10718" s="54">
        <v>2020</v>
      </c>
      <c r="AN10718" s="54" t="s">
        <v>185</v>
      </c>
      <c r="AO10718" s="54">
        <v>22</v>
      </c>
      <c r="AP10718" s="54">
        <v>12</v>
      </c>
      <c r="AQ10718" s="54">
        <v>46795</v>
      </c>
      <c r="AR10718" s="55">
        <v>28500</v>
      </c>
      <c r="AS10718" s="78">
        <f t="shared" si="171"/>
        <v>1.6419298245614036</v>
      </c>
    </row>
    <row r="10719" spans="39:45">
      <c r="AM10719" s="55">
        <v>2020</v>
      </c>
      <c r="AN10719" s="55" t="s">
        <v>185</v>
      </c>
      <c r="AO10719" s="55">
        <v>22</v>
      </c>
      <c r="AP10719" s="55">
        <v>13</v>
      </c>
      <c r="AQ10719" s="55">
        <v>44854</v>
      </c>
      <c r="AR10719" s="55">
        <v>28500</v>
      </c>
      <c r="AS10719" s="78">
        <f t="shared" si="171"/>
        <v>1.5738245614035087</v>
      </c>
    </row>
    <row r="10720" spans="39:45">
      <c r="AM10720" s="54">
        <v>2020</v>
      </c>
      <c r="AN10720" s="54" t="s">
        <v>185</v>
      </c>
      <c r="AO10720" s="54">
        <v>22</v>
      </c>
      <c r="AP10720" s="54">
        <v>14</v>
      </c>
      <c r="AQ10720" s="54">
        <v>39511</v>
      </c>
      <c r="AR10720" s="55">
        <v>28500</v>
      </c>
      <c r="AS10720" s="78">
        <f t="shared" si="171"/>
        <v>1.3863508771929824</v>
      </c>
    </row>
    <row r="10721" spans="39:45">
      <c r="AM10721" s="55">
        <v>2020</v>
      </c>
      <c r="AN10721" s="55" t="s">
        <v>185</v>
      </c>
      <c r="AO10721" s="55">
        <v>22</v>
      </c>
      <c r="AP10721" s="55">
        <v>15</v>
      </c>
      <c r="AQ10721" s="55">
        <v>29568</v>
      </c>
      <c r="AR10721" s="55">
        <v>28500</v>
      </c>
      <c r="AS10721" s="78">
        <f t="shared" si="171"/>
        <v>1.0374736842105263</v>
      </c>
    </row>
    <row r="10722" spans="39:45">
      <c r="AM10722" s="54">
        <v>2020</v>
      </c>
      <c r="AN10722" s="54" t="s">
        <v>185</v>
      </c>
      <c r="AO10722" s="54">
        <v>22</v>
      </c>
      <c r="AP10722" s="54">
        <v>16</v>
      </c>
      <c r="AQ10722" s="54">
        <v>18772.5</v>
      </c>
      <c r="AR10722" s="55">
        <v>28500</v>
      </c>
      <c r="AS10722" s="78">
        <f t="shared" si="171"/>
        <v>0.65868421052631576</v>
      </c>
    </row>
    <row r="10723" spans="39:45">
      <c r="AM10723" s="55">
        <v>2020</v>
      </c>
      <c r="AN10723" s="55" t="s">
        <v>185</v>
      </c>
      <c r="AO10723" s="55">
        <v>22</v>
      </c>
      <c r="AP10723" s="55">
        <v>17</v>
      </c>
      <c r="AQ10723" s="55">
        <v>6379</v>
      </c>
      <c r="AR10723" s="55">
        <v>28500</v>
      </c>
      <c r="AS10723" s="78">
        <f t="shared" si="171"/>
        <v>0.22382456140350876</v>
      </c>
    </row>
    <row r="10724" spans="39:45">
      <c r="AM10724" s="54">
        <v>2020</v>
      </c>
      <c r="AN10724" s="54" t="s">
        <v>185</v>
      </c>
      <c r="AO10724" s="54">
        <v>22</v>
      </c>
      <c r="AP10724" s="54">
        <v>18</v>
      </c>
      <c r="AQ10724" s="54">
        <v>0</v>
      </c>
      <c r="AR10724" s="55">
        <v>28500</v>
      </c>
      <c r="AS10724" s="78">
        <f t="shared" si="171"/>
        <v>0</v>
      </c>
    </row>
    <row r="10725" spans="39:45">
      <c r="AM10725" s="55">
        <v>2020</v>
      </c>
      <c r="AN10725" s="55" t="s">
        <v>185</v>
      </c>
      <c r="AO10725" s="55">
        <v>22</v>
      </c>
      <c r="AP10725" s="55">
        <v>19</v>
      </c>
      <c r="AQ10725" s="55">
        <v>0</v>
      </c>
      <c r="AR10725" s="55">
        <v>28500</v>
      </c>
      <c r="AS10725" s="78">
        <f t="shared" si="171"/>
        <v>0</v>
      </c>
    </row>
    <row r="10726" spans="39:45">
      <c r="AM10726" s="54">
        <v>2020</v>
      </c>
      <c r="AN10726" s="54" t="s">
        <v>185</v>
      </c>
      <c r="AO10726" s="54">
        <v>22</v>
      </c>
      <c r="AP10726" s="54">
        <v>20</v>
      </c>
      <c r="AQ10726" s="54">
        <v>0</v>
      </c>
      <c r="AR10726" s="55">
        <v>28500</v>
      </c>
      <c r="AS10726" s="78">
        <f t="shared" si="171"/>
        <v>0</v>
      </c>
    </row>
    <row r="10727" spans="39:45">
      <c r="AM10727" s="55">
        <v>2020</v>
      </c>
      <c r="AN10727" s="55" t="s">
        <v>185</v>
      </c>
      <c r="AO10727" s="55">
        <v>22</v>
      </c>
      <c r="AP10727" s="55">
        <v>21</v>
      </c>
      <c r="AQ10727" s="55">
        <v>0</v>
      </c>
      <c r="AR10727" s="55">
        <v>28500</v>
      </c>
      <c r="AS10727" s="78">
        <f t="shared" si="171"/>
        <v>0</v>
      </c>
    </row>
    <row r="10728" spans="39:45">
      <c r="AM10728" s="54">
        <v>2020</v>
      </c>
      <c r="AN10728" s="54" t="s">
        <v>185</v>
      </c>
      <c r="AO10728" s="54">
        <v>22</v>
      </c>
      <c r="AP10728" s="54">
        <v>22</v>
      </c>
      <c r="AQ10728" s="54">
        <v>0</v>
      </c>
      <c r="AR10728" s="55">
        <v>28500</v>
      </c>
      <c r="AS10728" s="78">
        <f t="shared" si="171"/>
        <v>0</v>
      </c>
    </row>
    <row r="10729" spans="39:45">
      <c r="AM10729" s="55">
        <v>2020</v>
      </c>
      <c r="AN10729" s="55" t="s">
        <v>185</v>
      </c>
      <c r="AO10729" s="55">
        <v>22</v>
      </c>
      <c r="AP10729" s="55">
        <v>23</v>
      </c>
      <c r="AQ10729" s="55">
        <v>0</v>
      </c>
      <c r="AR10729" s="55">
        <v>28500</v>
      </c>
      <c r="AS10729" s="78">
        <f t="shared" si="171"/>
        <v>0</v>
      </c>
    </row>
    <row r="10730" spans="39:45">
      <c r="AM10730" s="54">
        <v>2020</v>
      </c>
      <c r="AN10730" s="54" t="s">
        <v>185</v>
      </c>
      <c r="AO10730" s="54">
        <v>23</v>
      </c>
      <c r="AP10730" s="54">
        <v>24</v>
      </c>
      <c r="AQ10730" s="54">
        <v>0</v>
      </c>
      <c r="AR10730" s="55">
        <v>28500</v>
      </c>
      <c r="AS10730" s="78">
        <f t="shared" si="171"/>
        <v>0</v>
      </c>
    </row>
    <row r="10731" spans="39:45">
      <c r="AM10731" s="55">
        <v>2020</v>
      </c>
      <c r="AN10731" s="55" t="s">
        <v>185</v>
      </c>
      <c r="AO10731" s="55">
        <v>23</v>
      </c>
      <c r="AP10731" s="55">
        <v>1</v>
      </c>
      <c r="AQ10731" s="55">
        <v>0</v>
      </c>
      <c r="AR10731" s="55">
        <v>28500</v>
      </c>
      <c r="AS10731" s="78">
        <f t="shared" si="171"/>
        <v>0</v>
      </c>
    </row>
    <row r="10732" spans="39:45">
      <c r="AM10732" s="54">
        <v>2020</v>
      </c>
      <c r="AN10732" s="54" t="s">
        <v>185</v>
      </c>
      <c r="AO10732" s="54">
        <v>23</v>
      </c>
      <c r="AP10732" s="54">
        <v>2</v>
      </c>
      <c r="AQ10732" s="54">
        <v>0</v>
      </c>
      <c r="AR10732" s="55">
        <v>28500</v>
      </c>
      <c r="AS10732" s="78">
        <f t="shared" si="171"/>
        <v>0</v>
      </c>
    </row>
    <row r="10733" spans="39:45">
      <c r="AM10733" s="55">
        <v>2020</v>
      </c>
      <c r="AN10733" s="55" t="s">
        <v>185</v>
      </c>
      <c r="AO10733" s="55">
        <v>23</v>
      </c>
      <c r="AP10733" s="55">
        <v>3</v>
      </c>
      <c r="AQ10733" s="55">
        <v>0</v>
      </c>
      <c r="AR10733" s="55">
        <v>28500</v>
      </c>
      <c r="AS10733" s="78">
        <f t="shared" si="171"/>
        <v>0</v>
      </c>
    </row>
    <row r="10734" spans="39:45">
      <c r="AM10734" s="54">
        <v>2020</v>
      </c>
      <c r="AN10734" s="54" t="s">
        <v>185</v>
      </c>
      <c r="AO10734" s="54">
        <v>23</v>
      </c>
      <c r="AP10734" s="54">
        <v>4</v>
      </c>
      <c r="AQ10734" s="54">
        <v>0</v>
      </c>
      <c r="AR10734" s="55">
        <v>28500</v>
      </c>
      <c r="AS10734" s="78">
        <f t="shared" si="171"/>
        <v>0</v>
      </c>
    </row>
    <row r="10735" spans="39:45">
      <c r="AM10735" s="55">
        <v>2020</v>
      </c>
      <c r="AN10735" s="55" t="s">
        <v>185</v>
      </c>
      <c r="AO10735" s="55">
        <v>23</v>
      </c>
      <c r="AP10735" s="55">
        <v>5</v>
      </c>
      <c r="AQ10735" s="55">
        <v>0</v>
      </c>
      <c r="AR10735" s="55">
        <v>28500</v>
      </c>
      <c r="AS10735" s="78">
        <f t="shared" si="171"/>
        <v>0</v>
      </c>
    </row>
    <row r="10736" spans="39:45">
      <c r="AM10736" s="54">
        <v>2020</v>
      </c>
      <c r="AN10736" s="54" t="s">
        <v>185</v>
      </c>
      <c r="AO10736" s="54">
        <v>23</v>
      </c>
      <c r="AP10736" s="54">
        <v>6</v>
      </c>
      <c r="AQ10736" s="54">
        <v>0</v>
      </c>
      <c r="AR10736" s="55">
        <v>28500</v>
      </c>
      <c r="AS10736" s="78">
        <f t="shared" si="171"/>
        <v>0</v>
      </c>
    </row>
    <row r="10737" spans="39:45">
      <c r="AM10737" s="55">
        <v>2020</v>
      </c>
      <c r="AN10737" s="55" t="s">
        <v>185</v>
      </c>
      <c r="AO10737" s="55">
        <v>23</v>
      </c>
      <c r="AP10737" s="55">
        <v>7</v>
      </c>
      <c r="AQ10737" s="55">
        <v>8893</v>
      </c>
      <c r="AR10737" s="55">
        <v>28500</v>
      </c>
      <c r="AS10737" s="78">
        <f t="shared" si="171"/>
        <v>0.31203508771929822</v>
      </c>
    </row>
    <row r="10738" spans="39:45">
      <c r="AM10738" s="54">
        <v>2020</v>
      </c>
      <c r="AN10738" s="54" t="s">
        <v>185</v>
      </c>
      <c r="AO10738" s="54">
        <v>23</v>
      </c>
      <c r="AP10738" s="54">
        <v>8</v>
      </c>
      <c r="AQ10738" s="54">
        <v>21786</v>
      </c>
      <c r="AR10738" s="55">
        <v>28500</v>
      </c>
      <c r="AS10738" s="78">
        <f t="shared" si="171"/>
        <v>0.764421052631579</v>
      </c>
    </row>
    <row r="10739" spans="39:45">
      <c r="AM10739" s="55">
        <v>2020</v>
      </c>
      <c r="AN10739" s="55" t="s">
        <v>185</v>
      </c>
      <c r="AO10739" s="55">
        <v>23</v>
      </c>
      <c r="AP10739" s="55">
        <v>9</v>
      </c>
      <c r="AQ10739" s="55">
        <v>32291</v>
      </c>
      <c r="AR10739" s="55">
        <v>28500</v>
      </c>
      <c r="AS10739" s="78">
        <f t="shared" si="171"/>
        <v>1.133017543859649</v>
      </c>
    </row>
    <row r="10740" spans="39:45">
      <c r="AM10740" s="54">
        <v>2020</v>
      </c>
      <c r="AN10740" s="54" t="s">
        <v>185</v>
      </c>
      <c r="AO10740" s="54">
        <v>23</v>
      </c>
      <c r="AP10740" s="54">
        <v>10</v>
      </c>
      <c r="AQ10740" s="54">
        <v>39119.5</v>
      </c>
      <c r="AR10740" s="55">
        <v>28500</v>
      </c>
      <c r="AS10740" s="78">
        <f t="shared" si="171"/>
        <v>1.3726140350877194</v>
      </c>
    </row>
    <row r="10741" spans="39:45">
      <c r="AM10741" s="55">
        <v>2020</v>
      </c>
      <c r="AN10741" s="55" t="s">
        <v>185</v>
      </c>
      <c r="AO10741" s="55">
        <v>23</v>
      </c>
      <c r="AP10741" s="55">
        <v>11</v>
      </c>
      <c r="AQ10741" s="55">
        <v>44609.5</v>
      </c>
      <c r="AR10741" s="55">
        <v>28500</v>
      </c>
      <c r="AS10741" s="78">
        <f t="shared" si="171"/>
        <v>1.5652456140350877</v>
      </c>
    </row>
    <row r="10742" spans="39:45">
      <c r="AM10742" s="54">
        <v>2020</v>
      </c>
      <c r="AN10742" s="54" t="s">
        <v>185</v>
      </c>
      <c r="AO10742" s="54">
        <v>23</v>
      </c>
      <c r="AP10742" s="54">
        <v>12</v>
      </c>
      <c r="AQ10742" s="54">
        <v>46053</v>
      </c>
      <c r="AR10742" s="55">
        <v>28500</v>
      </c>
      <c r="AS10742" s="78">
        <f t="shared" si="171"/>
        <v>1.6158947368421053</v>
      </c>
    </row>
    <row r="10743" spans="39:45">
      <c r="AM10743" s="55">
        <v>2020</v>
      </c>
      <c r="AN10743" s="55" t="s">
        <v>185</v>
      </c>
      <c r="AO10743" s="55">
        <v>23</v>
      </c>
      <c r="AP10743" s="55">
        <v>13</v>
      </c>
      <c r="AQ10743" s="55">
        <v>41907.5</v>
      </c>
      <c r="AR10743" s="55">
        <v>28500</v>
      </c>
      <c r="AS10743" s="78">
        <f t="shared" si="171"/>
        <v>1.4704385964912281</v>
      </c>
    </row>
    <row r="10744" spans="39:45">
      <c r="AM10744" s="54">
        <v>2020</v>
      </c>
      <c r="AN10744" s="54" t="s">
        <v>185</v>
      </c>
      <c r="AO10744" s="54">
        <v>23</v>
      </c>
      <c r="AP10744" s="54">
        <v>14</v>
      </c>
      <c r="AQ10744" s="54">
        <v>37532.5</v>
      </c>
      <c r="AR10744" s="55">
        <v>28500</v>
      </c>
      <c r="AS10744" s="78">
        <f t="shared" si="171"/>
        <v>1.3169298245614036</v>
      </c>
    </row>
    <row r="10745" spans="39:45">
      <c r="AM10745" s="55">
        <v>2020</v>
      </c>
      <c r="AN10745" s="55" t="s">
        <v>185</v>
      </c>
      <c r="AO10745" s="55">
        <v>23</v>
      </c>
      <c r="AP10745" s="55">
        <v>15</v>
      </c>
      <c r="AQ10745" s="55">
        <v>29256.5</v>
      </c>
      <c r="AR10745" s="55">
        <v>28500</v>
      </c>
      <c r="AS10745" s="78">
        <f t="shared" si="171"/>
        <v>1.0265438596491228</v>
      </c>
    </row>
    <row r="10746" spans="39:45">
      <c r="AM10746" s="54">
        <v>2020</v>
      </c>
      <c r="AN10746" s="54" t="s">
        <v>185</v>
      </c>
      <c r="AO10746" s="54">
        <v>23</v>
      </c>
      <c r="AP10746" s="54">
        <v>16</v>
      </c>
      <c r="AQ10746" s="54">
        <v>18682</v>
      </c>
      <c r="AR10746" s="55">
        <v>28500</v>
      </c>
      <c r="AS10746" s="78">
        <f t="shared" si="171"/>
        <v>0.6555087719298246</v>
      </c>
    </row>
    <row r="10747" spans="39:45">
      <c r="AM10747" s="55">
        <v>2020</v>
      </c>
      <c r="AN10747" s="55" t="s">
        <v>185</v>
      </c>
      <c r="AO10747" s="55">
        <v>23</v>
      </c>
      <c r="AP10747" s="55">
        <v>17</v>
      </c>
      <c r="AQ10747" s="55">
        <v>6491.5</v>
      </c>
      <c r="AR10747" s="55">
        <v>28500</v>
      </c>
      <c r="AS10747" s="78">
        <f t="shared" si="171"/>
        <v>0.2277719298245614</v>
      </c>
    </row>
    <row r="10748" spans="39:45">
      <c r="AM10748" s="54">
        <v>2020</v>
      </c>
      <c r="AN10748" s="54" t="s">
        <v>185</v>
      </c>
      <c r="AO10748" s="54">
        <v>23</v>
      </c>
      <c r="AP10748" s="54">
        <v>18</v>
      </c>
      <c r="AQ10748" s="54">
        <v>0</v>
      </c>
      <c r="AR10748" s="55">
        <v>28500</v>
      </c>
      <c r="AS10748" s="78">
        <f t="shared" si="171"/>
        <v>0</v>
      </c>
    </row>
    <row r="10749" spans="39:45">
      <c r="AM10749" s="55">
        <v>2020</v>
      </c>
      <c r="AN10749" s="55" t="s">
        <v>185</v>
      </c>
      <c r="AO10749" s="55">
        <v>23</v>
      </c>
      <c r="AP10749" s="55">
        <v>19</v>
      </c>
      <c r="AQ10749" s="55">
        <v>0</v>
      </c>
      <c r="AR10749" s="55">
        <v>28500</v>
      </c>
      <c r="AS10749" s="78">
        <f t="shared" si="171"/>
        <v>0</v>
      </c>
    </row>
    <row r="10750" spans="39:45">
      <c r="AM10750" s="54">
        <v>2020</v>
      </c>
      <c r="AN10750" s="54" t="s">
        <v>185</v>
      </c>
      <c r="AO10750" s="54">
        <v>23</v>
      </c>
      <c r="AP10750" s="54">
        <v>20</v>
      </c>
      <c r="AQ10750" s="54">
        <v>0</v>
      </c>
      <c r="AR10750" s="55">
        <v>28500</v>
      </c>
      <c r="AS10750" s="78">
        <f t="shared" si="171"/>
        <v>0</v>
      </c>
    </row>
    <row r="10751" spans="39:45">
      <c r="AM10751" s="55">
        <v>2020</v>
      </c>
      <c r="AN10751" s="55" t="s">
        <v>185</v>
      </c>
      <c r="AO10751" s="55">
        <v>23</v>
      </c>
      <c r="AP10751" s="55">
        <v>21</v>
      </c>
      <c r="AQ10751" s="55">
        <v>0</v>
      </c>
      <c r="AR10751" s="55">
        <v>28500</v>
      </c>
      <c r="AS10751" s="78">
        <f t="shared" si="171"/>
        <v>0</v>
      </c>
    </row>
    <row r="10752" spans="39:45">
      <c r="AM10752" s="54">
        <v>2020</v>
      </c>
      <c r="AN10752" s="54" t="s">
        <v>185</v>
      </c>
      <c r="AO10752" s="54">
        <v>23</v>
      </c>
      <c r="AP10752" s="54">
        <v>22</v>
      </c>
      <c r="AQ10752" s="54">
        <v>0</v>
      </c>
      <c r="AR10752" s="55">
        <v>28500</v>
      </c>
      <c r="AS10752" s="78">
        <f t="shared" si="171"/>
        <v>0</v>
      </c>
    </row>
    <row r="10753" spans="39:45">
      <c r="AM10753" s="55">
        <v>2020</v>
      </c>
      <c r="AN10753" s="55" t="s">
        <v>185</v>
      </c>
      <c r="AO10753" s="55">
        <v>23</v>
      </c>
      <c r="AP10753" s="55">
        <v>23</v>
      </c>
      <c r="AQ10753" s="55">
        <v>0</v>
      </c>
      <c r="AR10753" s="55">
        <v>28500</v>
      </c>
      <c r="AS10753" s="78">
        <f t="shared" si="171"/>
        <v>0</v>
      </c>
    </row>
    <row r="10754" spans="39:45">
      <c r="AM10754" s="54">
        <v>2020</v>
      </c>
      <c r="AN10754" s="54" t="s">
        <v>185</v>
      </c>
      <c r="AO10754" s="54">
        <v>24</v>
      </c>
      <c r="AP10754" s="54">
        <v>24</v>
      </c>
      <c r="AQ10754" s="54">
        <v>0</v>
      </c>
      <c r="AR10754" s="55">
        <v>28500</v>
      </c>
      <c r="AS10754" s="78">
        <f t="shared" ref="AS10754:AS10817" si="172">AQ10754/AR10754</f>
        <v>0</v>
      </c>
    </row>
    <row r="10755" spans="39:45">
      <c r="AM10755" s="55">
        <v>2020</v>
      </c>
      <c r="AN10755" s="55" t="s">
        <v>185</v>
      </c>
      <c r="AO10755" s="55">
        <v>24</v>
      </c>
      <c r="AP10755" s="55">
        <v>1</v>
      </c>
      <c r="AQ10755" s="55">
        <v>0</v>
      </c>
      <c r="AR10755" s="55">
        <v>28500</v>
      </c>
      <c r="AS10755" s="78">
        <f t="shared" si="172"/>
        <v>0</v>
      </c>
    </row>
    <row r="10756" spans="39:45">
      <c r="AM10756" s="54">
        <v>2020</v>
      </c>
      <c r="AN10756" s="54" t="s">
        <v>185</v>
      </c>
      <c r="AO10756" s="54">
        <v>24</v>
      </c>
      <c r="AP10756" s="54">
        <v>2</v>
      </c>
      <c r="AQ10756" s="54">
        <v>0</v>
      </c>
      <c r="AR10756" s="55">
        <v>28500</v>
      </c>
      <c r="AS10756" s="78">
        <f t="shared" si="172"/>
        <v>0</v>
      </c>
    </row>
    <row r="10757" spans="39:45">
      <c r="AM10757" s="55">
        <v>2020</v>
      </c>
      <c r="AN10757" s="55" t="s">
        <v>185</v>
      </c>
      <c r="AO10757" s="55">
        <v>24</v>
      </c>
      <c r="AP10757" s="55">
        <v>3</v>
      </c>
      <c r="AQ10757" s="55">
        <v>0</v>
      </c>
      <c r="AR10757" s="55">
        <v>28500</v>
      </c>
      <c r="AS10757" s="78">
        <f t="shared" si="172"/>
        <v>0</v>
      </c>
    </row>
    <row r="10758" spans="39:45">
      <c r="AM10758" s="54">
        <v>2020</v>
      </c>
      <c r="AN10758" s="54" t="s">
        <v>185</v>
      </c>
      <c r="AO10758" s="54">
        <v>24</v>
      </c>
      <c r="AP10758" s="54">
        <v>4</v>
      </c>
      <c r="AQ10758" s="54">
        <v>0</v>
      </c>
      <c r="AR10758" s="55">
        <v>28500</v>
      </c>
      <c r="AS10758" s="78">
        <f t="shared" si="172"/>
        <v>0</v>
      </c>
    </row>
    <row r="10759" spans="39:45">
      <c r="AM10759" s="55">
        <v>2020</v>
      </c>
      <c r="AN10759" s="55" t="s">
        <v>185</v>
      </c>
      <c r="AO10759" s="55">
        <v>24</v>
      </c>
      <c r="AP10759" s="55">
        <v>5</v>
      </c>
      <c r="AQ10759" s="55">
        <v>0</v>
      </c>
      <c r="AR10759" s="55">
        <v>28500</v>
      </c>
      <c r="AS10759" s="78">
        <f t="shared" si="172"/>
        <v>0</v>
      </c>
    </row>
    <row r="10760" spans="39:45">
      <c r="AM10760" s="54">
        <v>2020</v>
      </c>
      <c r="AN10760" s="54" t="s">
        <v>185</v>
      </c>
      <c r="AO10760" s="54">
        <v>24</v>
      </c>
      <c r="AP10760" s="54">
        <v>6</v>
      </c>
      <c r="AQ10760" s="54">
        <v>0</v>
      </c>
      <c r="AR10760" s="55">
        <v>28500</v>
      </c>
      <c r="AS10760" s="78">
        <f t="shared" si="172"/>
        <v>0</v>
      </c>
    </row>
    <row r="10761" spans="39:45">
      <c r="AM10761" s="55">
        <v>2020</v>
      </c>
      <c r="AN10761" s="55" t="s">
        <v>185</v>
      </c>
      <c r="AO10761" s="55">
        <v>24</v>
      </c>
      <c r="AP10761" s="55">
        <v>7</v>
      </c>
      <c r="AQ10761" s="55">
        <v>8767.5</v>
      </c>
      <c r="AR10761" s="55">
        <v>28500</v>
      </c>
      <c r="AS10761" s="78">
        <f t="shared" si="172"/>
        <v>0.30763157894736842</v>
      </c>
    </row>
    <row r="10762" spans="39:45">
      <c r="AM10762" s="54">
        <v>2020</v>
      </c>
      <c r="AN10762" s="54" t="s">
        <v>185</v>
      </c>
      <c r="AO10762" s="54">
        <v>24</v>
      </c>
      <c r="AP10762" s="54">
        <v>8</v>
      </c>
      <c r="AQ10762" s="54">
        <v>20772</v>
      </c>
      <c r="AR10762" s="55">
        <v>28500</v>
      </c>
      <c r="AS10762" s="78">
        <f t="shared" si="172"/>
        <v>0.72884210526315785</v>
      </c>
    </row>
    <row r="10763" spans="39:45">
      <c r="AM10763" s="55">
        <v>2020</v>
      </c>
      <c r="AN10763" s="55" t="s">
        <v>185</v>
      </c>
      <c r="AO10763" s="55">
        <v>24</v>
      </c>
      <c r="AP10763" s="55">
        <v>9</v>
      </c>
      <c r="AQ10763" s="55">
        <v>31238</v>
      </c>
      <c r="AR10763" s="55">
        <v>28500</v>
      </c>
      <c r="AS10763" s="78">
        <f t="shared" si="172"/>
        <v>1.0960701754385964</v>
      </c>
    </row>
    <row r="10764" spans="39:45">
      <c r="AM10764" s="54">
        <v>2020</v>
      </c>
      <c r="AN10764" s="54" t="s">
        <v>185</v>
      </c>
      <c r="AO10764" s="54">
        <v>24</v>
      </c>
      <c r="AP10764" s="54">
        <v>10</v>
      </c>
      <c r="AQ10764" s="54">
        <v>38328</v>
      </c>
      <c r="AR10764" s="55">
        <v>28500</v>
      </c>
      <c r="AS10764" s="78">
        <f t="shared" si="172"/>
        <v>1.3448421052631578</v>
      </c>
    </row>
    <row r="10765" spans="39:45">
      <c r="AM10765" s="55">
        <v>2020</v>
      </c>
      <c r="AN10765" s="55" t="s">
        <v>185</v>
      </c>
      <c r="AO10765" s="55">
        <v>24</v>
      </c>
      <c r="AP10765" s="55">
        <v>11</v>
      </c>
      <c r="AQ10765" s="55">
        <v>43278.5</v>
      </c>
      <c r="AR10765" s="55">
        <v>28500</v>
      </c>
      <c r="AS10765" s="78">
        <f t="shared" si="172"/>
        <v>1.5185438596491228</v>
      </c>
    </row>
    <row r="10766" spans="39:45">
      <c r="AM10766" s="54">
        <v>2020</v>
      </c>
      <c r="AN10766" s="54" t="s">
        <v>185</v>
      </c>
      <c r="AO10766" s="54">
        <v>24</v>
      </c>
      <c r="AP10766" s="54">
        <v>12</v>
      </c>
      <c r="AQ10766" s="54">
        <v>44741.5</v>
      </c>
      <c r="AR10766" s="55">
        <v>28500</v>
      </c>
      <c r="AS10766" s="78">
        <f t="shared" si="172"/>
        <v>1.5698771929824562</v>
      </c>
    </row>
    <row r="10767" spans="39:45">
      <c r="AM10767" s="55">
        <v>2020</v>
      </c>
      <c r="AN10767" s="55" t="s">
        <v>185</v>
      </c>
      <c r="AO10767" s="55">
        <v>24</v>
      </c>
      <c r="AP10767" s="55">
        <v>13</v>
      </c>
      <c r="AQ10767" s="55">
        <v>41484</v>
      </c>
      <c r="AR10767" s="55">
        <v>28500</v>
      </c>
      <c r="AS10767" s="78">
        <f t="shared" si="172"/>
        <v>1.4555789473684211</v>
      </c>
    </row>
    <row r="10768" spans="39:45">
      <c r="AM10768" s="54">
        <v>2020</v>
      </c>
      <c r="AN10768" s="54" t="s">
        <v>185</v>
      </c>
      <c r="AO10768" s="54">
        <v>24</v>
      </c>
      <c r="AP10768" s="54">
        <v>14</v>
      </c>
      <c r="AQ10768" s="54">
        <v>37334.5</v>
      </c>
      <c r="AR10768" s="55">
        <v>28500</v>
      </c>
      <c r="AS10768" s="78">
        <f t="shared" si="172"/>
        <v>1.3099824561403508</v>
      </c>
    </row>
    <row r="10769" spans="39:45">
      <c r="AM10769" s="55">
        <v>2020</v>
      </c>
      <c r="AN10769" s="55" t="s">
        <v>185</v>
      </c>
      <c r="AO10769" s="55">
        <v>24</v>
      </c>
      <c r="AP10769" s="55">
        <v>15</v>
      </c>
      <c r="AQ10769" s="55">
        <v>28743.5</v>
      </c>
      <c r="AR10769" s="55">
        <v>28500</v>
      </c>
      <c r="AS10769" s="78">
        <f t="shared" si="172"/>
        <v>1.0085438596491227</v>
      </c>
    </row>
    <row r="10770" spans="39:45">
      <c r="AM10770" s="54">
        <v>2020</v>
      </c>
      <c r="AN10770" s="54" t="s">
        <v>185</v>
      </c>
      <c r="AO10770" s="54">
        <v>24</v>
      </c>
      <c r="AP10770" s="54">
        <v>16</v>
      </c>
      <c r="AQ10770" s="54">
        <v>18413.5</v>
      </c>
      <c r="AR10770" s="55">
        <v>28500</v>
      </c>
      <c r="AS10770" s="78">
        <f t="shared" si="172"/>
        <v>0.6460877192982456</v>
      </c>
    </row>
    <row r="10771" spans="39:45">
      <c r="AM10771" s="55">
        <v>2020</v>
      </c>
      <c r="AN10771" s="55" t="s">
        <v>185</v>
      </c>
      <c r="AO10771" s="55">
        <v>24</v>
      </c>
      <c r="AP10771" s="55">
        <v>17</v>
      </c>
      <c r="AQ10771" s="55">
        <v>6090</v>
      </c>
      <c r="AR10771" s="55">
        <v>28500</v>
      </c>
      <c r="AS10771" s="78">
        <f t="shared" si="172"/>
        <v>0.21368421052631578</v>
      </c>
    </row>
    <row r="10772" spans="39:45">
      <c r="AM10772" s="54">
        <v>2020</v>
      </c>
      <c r="AN10772" s="54" t="s">
        <v>185</v>
      </c>
      <c r="AO10772" s="54">
        <v>24</v>
      </c>
      <c r="AP10772" s="54">
        <v>18</v>
      </c>
      <c r="AQ10772" s="54">
        <v>0</v>
      </c>
      <c r="AR10772" s="55">
        <v>28500</v>
      </c>
      <c r="AS10772" s="78">
        <f t="shared" si="172"/>
        <v>0</v>
      </c>
    </row>
    <row r="10773" spans="39:45">
      <c r="AM10773" s="55">
        <v>2020</v>
      </c>
      <c r="AN10773" s="55" t="s">
        <v>185</v>
      </c>
      <c r="AO10773" s="55">
        <v>24</v>
      </c>
      <c r="AP10773" s="55">
        <v>19</v>
      </c>
      <c r="AQ10773" s="55">
        <v>0</v>
      </c>
      <c r="AR10773" s="55">
        <v>28500</v>
      </c>
      <c r="AS10773" s="78">
        <f t="shared" si="172"/>
        <v>0</v>
      </c>
    </row>
    <row r="10774" spans="39:45">
      <c r="AM10774" s="54">
        <v>2020</v>
      </c>
      <c r="AN10774" s="54" t="s">
        <v>185</v>
      </c>
      <c r="AO10774" s="54">
        <v>24</v>
      </c>
      <c r="AP10774" s="54">
        <v>20</v>
      </c>
      <c r="AQ10774" s="54">
        <v>0</v>
      </c>
      <c r="AR10774" s="55">
        <v>28500</v>
      </c>
      <c r="AS10774" s="78">
        <f t="shared" si="172"/>
        <v>0</v>
      </c>
    </row>
    <row r="10775" spans="39:45">
      <c r="AM10775" s="55">
        <v>2020</v>
      </c>
      <c r="AN10775" s="55" t="s">
        <v>185</v>
      </c>
      <c r="AO10775" s="55">
        <v>24</v>
      </c>
      <c r="AP10775" s="55">
        <v>21</v>
      </c>
      <c r="AQ10775" s="55">
        <v>0</v>
      </c>
      <c r="AR10775" s="55">
        <v>28500</v>
      </c>
      <c r="AS10775" s="78">
        <f t="shared" si="172"/>
        <v>0</v>
      </c>
    </row>
    <row r="10776" spans="39:45">
      <c r="AM10776" s="54">
        <v>2020</v>
      </c>
      <c r="AN10776" s="54" t="s">
        <v>185</v>
      </c>
      <c r="AO10776" s="54">
        <v>24</v>
      </c>
      <c r="AP10776" s="54">
        <v>22</v>
      </c>
      <c r="AQ10776" s="54">
        <v>0</v>
      </c>
      <c r="AR10776" s="55">
        <v>28500</v>
      </c>
      <c r="AS10776" s="78">
        <f t="shared" si="172"/>
        <v>0</v>
      </c>
    </row>
    <row r="10777" spans="39:45">
      <c r="AM10777" s="55">
        <v>2020</v>
      </c>
      <c r="AN10777" s="55" t="s">
        <v>185</v>
      </c>
      <c r="AO10777" s="55">
        <v>24</v>
      </c>
      <c r="AP10777" s="55">
        <v>23</v>
      </c>
      <c r="AQ10777" s="55">
        <v>0</v>
      </c>
      <c r="AR10777" s="55">
        <v>28500</v>
      </c>
      <c r="AS10777" s="78">
        <f t="shared" si="172"/>
        <v>0</v>
      </c>
    </row>
    <row r="10778" spans="39:45">
      <c r="AM10778" s="54">
        <v>2020</v>
      </c>
      <c r="AN10778" s="54" t="s">
        <v>185</v>
      </c>
      <c r="AO10778" s="54">
        <v>25</v>
      </c>
      <c r="AP10778" s="54">
        <v>24</v>
      </c>
      <c r="AQ10778" s="54">
        <v>0</v>
      </c>
      <c r="AR10778" s="55">
        <v>28500</v>
      </c>
      <c r="AS10778" s="78">
        <f t="shared" si="172"/>
        <v>0</v>
      </c>
    </row>
    <row r="10779" spans="39:45">
      <c r="AM10779" s="55">
        <v>2020</v>
      </c>
      <c r="AN10779" s="55" t="s">
        <v>185</v>
      </c>
      <c r="AO10779" s="55">
        <v>25</v>
      </c>
      <c r="AP10779" s="55">
        <v>1</v>
      </c>
      <c r="AQ10779" s="55">
        <v>0</v>
      </c>
      <c r="AR10779" s="55">
        <v>28500</v>
      </c>
      <c r="AS10779" s="78">
        <f t="shared" si="172"/>
        <v>0</v>
      </c>
    </row>
    <row r="10780" spans="39:45">
      <c r="AM10780" s="54">
        <v>2020</v>
      </c>
      <c r="AN10780" s="54" t="s">
        <v>185</v>
      </c>
      <c r="AO10780" s="54">
        <v>25</v>
      </c>
      <c r="AP10780" s="54">
        <v>2</v>
      </c>
      <c r="AQ10780" s="54">
        <v>0</v>
      </c>
      <c r="AR10780" s="55">
        <v>28500</v>
      </c>
      <c r="AS10780" s="78">
        <f t="shared" si="172"/>
        <v>0</v>
      </c>
    </row>
    <row r="10781" spans="39:45">
      <c r="AM10781" s="55">
        <v>2020</v>
      </c>
      <c r="AN10781" s="55" t="s">
        <v>185</v>
      </c>
      <c r="AO10781" s="55">
        <v>25</v>
      </c>
      <c r="AP10781" s="55">
        <v>3</v>
      </c>
      <c r="AQ10781" s="55">
        <v>0</v>
      </c>
      <c r="AR10781" s="55">
        <v>28500</v>
      </c>
      <c r="AS10781" s="78">
        <f t="shared" si="172"/>
        <v>0</v>
      </c>
    </row>
    <row r="10782" spans="39:45">
      <c r="AM10782" s="54">
        <v>2020</v>
      </c>
      <c r="AN10782" s="54" t="s">
        <v>185</v>
      </c>
      <c r="AO10782" s="54">
        <v>25</v>
      </c>
      <c r="AP10782" s="54">
        <v>4</v>
      </c>
      <c r="AQ10782" s="54">
        <v>0</v>
      </c>
      <c r="AR10782" s="55">
        <v>28500</v>
      </c>
      <c r="AS10782" s="78">
        <f t="shared" si="172"/>
        <v>0</v>
      </c>
    </row>
    <row r="10783" spans="39:45">
      <c r="AM10783" s="55">
        <v>2020</v>
      </c>
      <c r="AN10783" s="55" t="s">
        <v>185</v>
      </c>
      <c r="AO10783" s="55">
        <v>25</v>
      </c>
      <c r="AP10783" s="55">
        <v>5</v>
      </c>
      <c r="AQ10783" s="55">
        <v>0</v>
      </c>
      <c r="AR10783" s="55">
        <v>28500</v>
      </c>
      <c r="AS10783" s="78">
        <f t="shared" si="172"/>
        <v>0</v>
      </c>
    </row>
    <row r="10784" spans="39:45">
      <c r="AM10784" s="54">
        <v>2020</v>
      </c>
      <c r="AN10784" s="54" t="s">
        <v>185</v>
      </c>
      <c r="AO10784" s="54">
        <v>25</v>
      </c>
      <c r="AP10784" s="54">
        <v>6</v>
      </c>
      <c r="AQ10784" s="54">
        <v>0</v>
      </c>
      <c r="AR10784" s="55">
        <v>28500</v>
      </c>
      <c r="AS10784" s="78">
        <f t="shared" si="172"/>
        <v>0</v>
      </c>
    </row>
    <row r="10785" spans="39:45">
      <c r="AM10785" s="55">
        <v>2020</v>
      </c>
      <c r="AN10785" s="55" t="s">
        <v>185</v>
      </c>
      <c r="AO10785" s="55">
        <v>25</v>
      </c>
      <c r="AP10785" s="55">
        <v>7</v>
      </c>
      <c r="AQ10785" s="55">
        <v>8670.5</v>
      </c>
      <c r="AR10785" s="55">
        <v>28500</v>
      </c>
      <c r="AS10785" s="78">
        <f t="shared" si="172"/>
        <v>0.30422807017543857</v>
      </c>
    </row>
    <row r="10786" spans="39:45">
      <c r="AM10786" s="54">
        <v>2020</v>
      </c>
      <c r="AN10786" s="54" t="s">
        <v>185</v>
      </c>
      <c r="AO10786" s="54">
        <v>25</v>
      </c>
      <c r="AP10786" s="54">
        <v>8</v>
      </c>
      <c r="AQ10786" s="54">
        <v>21193.5</v>
      </c>
      <c r="AR10786" s="55">
        <v>28500</v>
      </c>
      <c r="AS10786" s="78">
        <f t="shared" si="172"/>
        <v>0.74363157894736842</v>
      </c>
    </row>
    <row r="10787" spans="39:45">
      <c r="AM10787" s="55">
        <v>2020</v>
      </c>
      <c r="AN10787" s="55" t="s">
        <v>185</v>
      </c>
      <c r="AO10787" s="55">
        <v>25</v>
      </c>
      <c r="AP10787" s="55">
        <v>9</v>
      </c>
      <c r="AQ10787" s="55">
        <v>31169.5</v>
      </c>
      <c r="AR10787" s="55">
        <v>28500</v>
      </c>
      <c r="AS10787" s="78">
        <f t="shared" si="172"/>
        <v>1.0936666666666666</v>
      </c>
    </row>
    <row r="10788" spans="39:45">
      <c r="AM10788" s="54">
        <v>2020</v>
      </c>
      <c r="AN10788" s="54" t="s">
        <v>185</v>
      </c>
      <c r="AO10788" s="54">
        <v>25</v>
      </c>
      <c r="AP10788" s="54">
        <v>10</v>
      </c>
      <c r="AQ10788" s="54">
        <v>37698</v>
      </c>
      <c r="AR10788" s="55">
        <v>28500</v>
      </c>
      <c r="AS10788" s="78">
        <f t="shared" si="172"/>
        <v>1.3227368421052632</v>
      </c>
    </row>
    <row r="10789" spans="39:45">
      <c r="AM10789" s="55">
        <v>2020</v>
      </c>
      <c r="AN10789" s="55" t="s">
        <v>185</v>
      </c>
      <c r="AO10789" s="55">
        <v>25</v>
      </c>
      <c r="AP10789" s="55">
        <v>11</v>
      </c>
      <c r="AQ10789" s="55">
        <v>41704</v>
      </c>
      <c r="AR10789" s="55">
        <v>28500</v>
      </c>
      <c r="AS10789" s="78">
        <f t="shared" si="172"/>
        <v>1.4632982456140351</v>
      </c>
    </row>
    <row r="10790" spans="39:45">
      <c r="AM10790" s="54">
        <v>2020</v>
      </c>
      <c r="AN10790" s="54" t="s">
        <v>185</v>
      </c>
      <c r="AO10790" s="54">
        <v>25</v>
      </c>
      <c r="AP10790" s="54">
        <v>12</v>
      </c>
      <c r="AQ10790" s="54">
        <v>43715.5</v>
      </c>
      <c r="AR10790" s="55">
        <v>28500</v>
      </c>
      <c r="AS10790" s="78">
        <f t="shared" si="172"/>
        <v>1.5338771929824562</v>
      </c>
    </row>
    <row r="10791" spans="39:45">
      <c r="AM10791" s="55">
        <v>2020</v>
      </c>
      <c r="AN10791" s="55" t="s">
        <v>185</v>
      </c>
      <c r="AO10791" s="55">
        <v>25</v>
      </c>
      <c r="AP10791" s="55">
        <v>13</v>
      </c>
      <c r="AQ10791" s="55">
        <v>41187</v>
      </c>
      <c r="AR10791" s="55">
        <v>28500</v>
      </c>
      <c r="AS10791" s="78">
        <f t="shared" si="172"/>
        <v>1.4451578947368422</v>
      </c>
    </row>
    <row r="10792" spans="39:45">
      <c r="AM10792" s="54">
        <v>2020</v>
      </c>
      <c r="AN10792" s="54" t="s">
        <v>185</v>
      </c>
      <c r="AO10792" s="54">
        <v>25</v>
      </c>
      <c r="AP10792" s="54">
        <v>14</v>
      </c>
      <c r="AQ10792" s="54">
        <v>36819.5</v>
      </c>
      <c r="AR10792" s="55">
        <v>28500</v>
      </c>
      <c r="AS10792" s="78">
        <f t="shared" si="172"/>
        <v>1.2919122807017545</v>
      </c>
    </row>
    <row r="10793" spans="39:45">
      <c r="AM10793" s="55">
        <v>2020</v>
      </c>
      <c r="AN10793" s="55" t="s">
        <v>185</v>
      </c>
      <c r="AO10793" s="55">
        <v>25</v>
      </c>
      <c r="AP10793" s="55">
        <v>15</v>
      </c>
      <c r="AQ10793" s="55">
        <v>28648</v>
      </c>
      <c r="AR10793" s="55">
        <v>28500</v>
      </c>
      <c r="AS10793" s="78">
        <f t="shared" si="172"/>
        <v>1.0051929824561403</v>
      </c>
    </row>
    <row r="10794" spans="39:45">
      <c r="AM10794" s="54">
        <v>2020</v>
      </c>
      <c r="AN10794" s="54" t="s">
        <v>185</v>
      </c>
      <c r="AO10794" s="54">
        <v>25</v>
      </c>
      <c r="AP10794" s="54">
        <v>16</v>
      </c>
      <c r="AQ10794" s="54">
        <v>18342.5</v>
      </c>
      <c r="AR10794" s="55">
        <v>28500</v>
      </c>
      <c r="AS10794" s="78">
        <f t="shared" si="172"/>
        <v>0.64359649122807017</v>
      </c>
    </row>
    <row r="10795" spans="39:45">
      <c r="AM10795" s="55">
        <v>2020</v>
      </c>
      <c r="AN10795" s="55" t="s">
        <v>185</v>
      </c>
      <c r="AO10795" s="55">
        <v>25</v>
      </c>
      <c r="AP10795" s="55">
        <v>17</v>
      </c>
      <c r="AQ10795" s="55">
        <v>6475</v>
      </c>
      <c r="AR10795" s="55">
        <v>28500</v>
      </c>
      <c r="AS10795" s="78">
        <f t="shared" si="172"/>
        <v>0.22719298245614036</v>
      </c>
    </row>
    <row r="10796" spans="39:45">
      <c r="AM10796" s="54">
        <v>2020</v>
      </c>
      <c r="AN10796" s="54" t="s">
        <v>185</v>
      </c>
      <c r="AO10796" s="54">
        <v>25</v>
      </c>
      <c r="AP10796" s="54">
        <v>18</v>
      </c>
      <c r="AQ10796" s="54">
        <v>0</v>
      </c>
      <c r="AR10796" s="55">
        <v>28500</v>
      </c>
      <c r="AS10796" s="78">
        <f t="shared" si="172"/>
        <v>0</v>
      </c>
    </row>
    <row r="10797" spans="39:45">
      <c r="AM10797" s="55">
        <v>2020</v>
      </c>
      <c r="AN10797" s="55" t="s">
        <v>185</v>
      </c>
      <c r="AO10797" s="55">
        <v>25</v>
      </c>
      <c r="AP10797" s="55">
        <v>19</v>
      </c>
      <c r="AQ10797" s="55">
        <v>0</v>
      </c>
      <c r="AR10797" s="55">
        <v>28500</v>
      </c>
      <c r="AS10797" s="78">
        <f t="shared" si="172"/>
        <v>0</v>
      </c>
    </row>
    <row r="10798" spans="39:45">
      <c r="AM10798" s="54">
        <v>2020</v>
      </c>
      <c r="AN10798" s="54" t="s">
        <v>185</v>
      </c>
      <c r="AO10798" s="54">
        <v>25</v>
      </c>
      <c r="AP10798" s="54">
        <v>20</v>
      </c>
      <c r="AQ10798" s="54">
        <v>0</v>
      </c>
      <c r="AR10798" s="55">
        <v>28500</v>
      </c>
      <c r="AS10798" s="78">
        <f t="shared" si="172"/>
        <v>0</v>
      </c>
    </row>
    <row r="10799" spans="39:45">
      <c r="AM10799" s="55">
        <v>2020</v>
      </c>
      <c r="AN10799" s="55" t="s">
        <v>185</v>
      </c>
      <c r="AO10799" s="55">
        <v>25</v>
      </c>
      <c r="AP10799" s="55">
        <v>21</v>
      </c>
      <c r="AQ10799" s="55">
        <v>0</v>
      </c>
      <c r="AR10799" s="55">
        <v>28500</v>
      </c>
      <c r="AS10799" s="78">
        <f t="shared" si="172"/>
        <v>0</v>
      </c>
    </row>
    <row r="10800" spans="39:45">
      <c r="AM10800" s="54">
        <v>2020</v>
      </c>
      <c r="AN10800" s="54" t="s">
        <v>185</v>
      </c>
      <c r="AO10800" s="54">
        <v>25</v>
      </c>
      <c r="AP10800" s="54">
        <v>22</v>
      </c>
      <c r="AQ10800" s="54">
        <v>0</v>
      </c>
      <c r="AR10800" s="55">
        <v>28500</v>
      </c>
      <c r="AS10800" s="78">
        <f t="shared" si="172"/>
        <v>0</v>
      </c>
    </row>
    <row r="10801" spans="39:45">
      <c r="AM10801" s="55">
        <v>2020</v>
      </c>
      <c r="AN10801" s="55" t="s">
        <v>185</v>
      </c>
      <c r="AO10801" s="55">
        <v>25</v>
      </c>
      <c r="AP10801" s="55">
        <v>23</v>
      </c>
      <c r="AQ10801" s="55">
        <v>0</v>
      </c>
      <c r="AR10801" s="55">
        <v>28500</v>
      </c>
      <c r="AS10801" s="78">
        <f t="shared" si="172"/>
        <v>0</v>
      </c>
    </row>
    <row r="10802" spans="39:45">
      <c r="AM10802" s="54">
        <v>2020</v>
      </c>
      <c r="AN10802" s="54" t="s">
        <v>185</v>
      </c>
      <c r="AO10802" s="54">
        <v>26</v>
      </c>
      <c r="AP10802" s="54">
        <v>24</v>
      </c>
      <c r="AQ10802" s="54">
        <v>0</v>
      </c>
      <c r="AR10802" s="55">
        <v>28500</v>
      </c>
      <c r="AS10802" s="78">
        <f t="shared" si="172"/>
        <v>0</v>
      </c>
    </row>
    <row r="10803" spans="39:45">
      <c r="AM10803" s="55">
        <v>2020</v>
      </c>
      <c r="AN10803" s="55" t="s">
        <v>185</v>
      </c>
      <c r="AO10803" s="55">
        <v>26</v>
      </c>
      <c r="AP10803" s="55">
        <v>1</v>
      </c>
      <c r="AQ10803" s="55">
        <v>0</v>
      </c>
      <c r="AR10803" s="55">
        <v>28500</v>
      </c>
      <c r="AS10803" s="78">
        <f t="shared" si="172"/>
        <v>0</v>
      </c>
    </row>
    <row r="10804" spans="39:45">
      <c r="AM10804" s="54">
        <v>2020</v>
      </c>
      <c r="AN10804" s="54" t="s">
        <v>185</v>
      </c>
      <c r="AO10804" s="54">
        <v>26</v>
      </c>
      <c r="AP10804" s="54">
        <v>2</v>
      </c>
      <c r="AQ10804" s="54">
        <v>0</v>
      </c>
      <c r="AR10804" s="55">
        <v>28500</v>
      </c>
      <c r="AS10804" s="78">
        <f t="shared" si="172"/>
        <v>0</v>
      </c>
    </row>
    <row r="10805" spans="39:45">
      <c r="AM10805" s="55">
        <v>2020</v>
      </c>
      <c r="AN10805" s="55" t="s">
        <v>185</v>
      </c>
      <c r="AO10805" s="55">
        <v>26</v>
      </c>
      <c r="AP10805" s="55">
        <v>3</v>
      </c>
      <c r="AQ10805" s="55">
        <v>0</v>
      </c>
      <c r="AR10805" s="55">
        <v>28500</v>
      </c>
      <c r="AS10805" s="78">
        <f t="shared" si="172"/>
        <v>0</v>
      </c>
    </row>
    <row r="10806" spans="39:45">
      <c r="AM10806" s="54">
        <v>2020</v>
      </c>
      <c r="AN10806" s="54" t="s">
        <v>185</v>
      </c>
      <c r="AO10806" s="54">
        <v>26</v>
      </c>
      <c r="AP10806" s="54">
        <v>4</v>
      </c>
      <c r="AQ10806" s="54">
        <v>0</v>
      </c>
      <c r="AR10806" s="55">
        <v>28500</v>
      </c>
      <c r="AS10806" s="78">
        <f t="shared" si="172"/>
        <v>0</v>
      </c>
    </row>
    <row r="10807" spans="39:45">
      <c r="AM10807" s="55">
        <v>2020</v>
      </c>
      <c r="AN10807" s="55" t="s">
        <v>185</v>
      </c>
      <c r="AO10807" s="55">
        <v>26</v>
      </c>
      <c r="AP10807" s="55">
        <v>5</v>
      </c>
      <c r="AQ10807" s="55">
        <v>0</v>
      </c>
      <c r="AR10807" s="55">
        <v>28500</v>
      </c>
      <c r="AS10807" s="78">
        <f t="shared" si="172"/>
        <v>0</v>
      </c>
    </row>
    <row r="10808" spans="39:45">
      <c r="AM10808" s="54">
        <v>2020</v>
      </c>
      <c r="AN10808" s="54" t="s">
        <v>185</v>
      </c>
      <c r="AO10808" s="54">
        <v>26</v>
      </c>
      <c r="AP10808" s="54">
        <v>6</v>
      </c>
      <c r="AQ10808" s="54">
        <v>0</v>
      </c>
      <c r="AR10808" s="55">
        <v>28500</v>
      </c>
      <c r="AS10808" s="78">
        <f t="shared" si="172"/>
        <v>0</v>
      </c>
    </row>
    <row r="10809" spans="39:45">
      <c r="AM10809" s="55">
        <v>2020</v>
      </c>
      <c r="AN10809" s="55" t="s">
        <v>185</v>
      </c>
      <c r="AO10809" s="55">
        <v>26</v>
      </c>
      <c r="AP10809" s="55">
        <v>7</v>
      </c>
      <c r="AQ10809" s="55">
        <v>8147.5</v>
      </c>
      <c r="AR10809" s="55">
        <v>28500</v>
      </c>
      <c r="AS10809" s="78">
        <f t="shared" si="172"/>
        <v>0.28587719298245612</v>
      </c>
    </row>
    <row r="10810" spans="39:45">
      <c r="AM10810" s="54">
        <v>2020</v>
      </c>
      <c r="AN10810" s="54" t="s">
        <v>185</v>
      </c>
      <c r="AO10810" s="54">
        <v>26</v>
      </c>
      <c r="AP10810" s="54">
        <v>8</v>
      </c>
      <c r="AQ10810" s="54">
        <v>20604.5</v>
      </c>
      <c r="AR10810" s="55">
        <v>28500</v>
      </c>
      <c r="AS10810" s="78">
        <f t="shared" si="172"/>
        <v>0.7229649122807017</v>
      </c>
    </row>
    <row r="10811" spans="39:45">
      <c r="AM10811" s="55">
        <v>2020</v>
      </c>
      <c r="AN10811" s="55" t="s">
        <v>185</v>
      </c>
      <c r="AO10811" s="55">
        <v>26</v>
      </c>
      <c r="AP10811" s="55">
        <v>9</v>
      </c>
      <c r="AQ10811" s="55">
        <v>30729</v>
      </c>
      <c r="AR10811" s="55">
        <v>28500</v>
      </c>
      <c r="AS10811" s="78">
        <f t="shared" si="172"/>
        <v>1.0782105263157895</v>
      </c>
    </row>
    <row r="10812" spans="39:45">
      <c r="AM10812" s="54">
        <v>2020</v>
      </c>
      <c r="AN10812" s="54" t="s">
        <v>185</v>
      </c>
      <c r="AO10812" s="54">
        <v>26</v>
      </c>
      <c r="AP10812" s="54">
        <v>10</v>
      </c>
      <c r="AQ10812" s="54">
        <v>36980.5</v>
      </c>
      <c r="AR10812" s="55">
        <v>28500</v>
      </c>
      <c r="AS10812" s="78">
        <f t="shared" si="172"/>
        <v>1.2975614035087719</v>
      </c>
    </row>
    <row r="10813" spans="39:45">
      <c r="AM10813" s="55">
        <v>2020</v>
      </c>
      <c r="AN10813" s="55" t="s">
        <v>185</v>
      </c>
      <c r="AO10813" s="55">
        <v>26</v>
      </c>
      <c r="AP10813" s="55">
        <v>11</v>
      </c>
      <c r="AQ10813" s="55">
        <v>42488</v>
      </c>
      <c r="AR10813" s="55">
        <v>28500</v>
      </c>
      <c r="AS10813" s="78">
        <f t="shared" si="172"/>
        <v>1.4908070175438597</v>
      </c>
    </row>
    <row r="10814" spans="39:45">
      <c r="AM10814" s="54">
        <v>2020</v>
      </c>
      <c r="AN10814" s="54" t="s">
        <v>185</v>
      </c>
      <c r="AO10814" s="54">
        <v>26</v>
      </c>
      <c r="AP10814" s="54">
        <v>12</v>
      </c>
      <c r="AQ10814" s="54">
        <v>44929.5</v>
      </c>
      <c r="AR10814" s="55">
        <v>28500</v>
      </c>
      <c r="AS10814" s="78">
        <f t="shared" si="172"/>
        <v>1.5764736842105262</v>
      </c>
    </row>
    <row r="10815" spans="39:45">
      <c r="AM10815" s="55">
        <v>2020</v>
      </c>
      <c r="AN10815" s="55" t="s">
        <v>185</v>
      </c>
      <c r="AO10815" s="55">
        <v>26</v>
      </c>
      <c r="AP10815" s="55">
        <v>13</v>
      </c>
      <c r="AQ10815" s="55">
        <v>41853.5</v>
      </c>
      <c r="AR10815" s="55">
        <v>28500</v>
      </c>
      <c r="AS10815" s="78">
        <f t="shared" si="172"/>
        <v>1.4685438596491227</v>
      </c>
    </row>
    <row r="10816" spans="39:45">
      <c r="AM10816" s="54">
        <v>2020</v>
      </c>
      <c r="AN10816" s="54" t="s">
        <v>185</v>
      </c>
      <c r="AO10816" s="54">
        <v>26</v>
      </c>
      <c r="AP10816" s="54">
        <v>14</v>
      </c>
      <c r="AQ10816" s="54">
        <v>36860.5</v>
      </c>
      <c r="AR10816" s="55">
        <v>28500</v>
      </c>
      <c r="AS10816" s="78">
        <f t="shared" si="172"/>
        <v>1.2933508771929825</v>
      </c>
    </row>
    <row r="10817" spans="39:45">
      <c r="AM10817" s="55">
        <v>2020</v>
      </c>
      <c r="AN10817" s="55" t="s">
        <v>185</v>
      </c>
      <c r="AO10817" s="55">
        <v>26</v>
      </c>
      <c r="AP10817" s="55">
        <v>15</v>
      </c>
      <c r="AQ10817" s="55">
        <v>28488</v>
      </c>
      <c r="AR10817" s="55">
        <v>28500</v>
      </c>
      <c r="AS10817" s="78">
        <f t="shared" si="172"/>
        <v>0.99957894736842101</v>
      </c>
    </row>
    <row r="10818" spans="39:45">
      <c r="AM10818" s="54">
        <v>2020</v>
      </c>
      <c r="AN10818" s="54" t="s">
        <v>185</v>
      </c>
      <c r="AO10818" s="54">
        <v>26</v>
      </c>
      <c r="AP10818" s="54">
        <v>16</v>
      </c>
      <c r="AQ10818" s="54">
        <v>16591.5</v>
      </c>
      <c r="AR10818" s="55">
        <v>28500</v>
      </c>
      <c r="AS10818" s="78">
        <f t="shared" ref="AS10818:AS10881" si="173">AQ10818/AR10818</f>
        <v>0.5821578947368421</v>
      </c>
    </row>
    <row r="10819" spans="39:45">
      <c r="AM10819" s="55">
        <v>2020</v>
      </c>
      <c r="AN10819" s="55" t="s">
        <v>185</v>
      </c>
      <c r="AO10819" s="55">
        <v>26</v>
      </c>
      <c r="AP10819" s="55">
        <v>17</v>
      </c>
      <c r="AQ10819" s="55">
        <v>6823.5</v>
      </c>
      <c r="AR10819" s="55">
        <v>28500</v>
      </c>
      <c r="AS10819" s="78">
        <f t="shared" si="173"/>
        <v>0.23942105263157895</v>
      </c>
    </row>
    <row r="10820" spans="39:45">
      <c r="AM10820" s="54">
        <v>2020</v>
      </c>
      <c r="AN10820" s="54" t="s">
        <v>185</v>
      </c>
      <c r="AO10820" s="54">
        <v>26</v>
      </c>
      <c r="AP10820" s="54">
        <v>18</v>
      </c>
      <c r="AQ10820" s="54">
        <v>0</v>
      </c>
      <c r="AR10820" s="55">
        <v>28500</v>
      </c>
      <c r="AS10820" s="78">
        <f t="shared" si="173"/>
        <v>0</v>
      </c>
    </row>
    <row r="10821" spans="39:45">
      <c r="AM10821" s="55">
        <v>2020</v>
      </c>
      <c r="AN10821" s="55" t="s">
        <v>185</v>
      </c>
      <c r="AO10821" s="55">
        <v>26</v>
      </c>
      <c r="AP10821" s="55">
        <v>19</v>
      </c>
      <c r="AQ10821" s="55">
        <v>0</v>
      </c>
      <c r="AR10821" s="55">
        <v>28500</v>
      </c>
      <c r="AS10821" s="78">
        <f t="shared" si="173"/>
        <v>0</v>
      </c>
    </row>
    <row r="10822" spans="39:45">
      <c r="AM10822" s="54">
        <v>2020</v>
      </c>
      <c r="AN10822" s="54" t="s">
        <v>185</v>
      </c>
      <c r="AO10822" s="54">
        <v>26</v>
      </c>
      <c r="AP10822" s="54">
        <v>20</v>
      </c>
      <c r="AQ10822" s="54">
        <v>0</v>
      </c>
      <c r="AR10822" s="55">
        <v>28500</v>
      </c>
      <c r="AS10822" s="78">
        <f t="shared" si="173"/>
        <v>0</v>
      </c>
    </row>
    <row r="10823" spans="39:45">
      <c r="AM10823" s="55">
        <v>2020</v>
      </c>
      <c r="AN10823" s="55" t="s">
        <v>185</v>
      </c>
      <c r="AO10823" s="55">
        <v>26</v>
      </c>
      <c r="AP10823" s="55">
        <v>21</v>
      </c>
      <c r="AQ10823" s="55">
        <v>0</v>
      </c>
      <c r="AR10823" s="55">
        <v>28500</v>
      </c>
      <c r="AS10823" s="78">
        <f t="shared" si="173"/>
        <v>0</v>
      </c>
    </row>
    <row r="10824" spans="39:45">
      <c r="AM10824" s="54">
        <v>2020</v>
      </c>
      <c r="AN10824" s="54" t="s">
        <v>185</v>
      </c>
      <c r="AO10824" s="54">
        <v>26</v>
      </c>
      <c r="AP10824" s="54">
        <v>22</v>
      </c>
      <c r="AQ10824" s="54">
        <v>0</v>
      </c>
      <c r="AR10824" s="55">
        <v>28500</v>
      </c>
      <c r="AS10824" s="78">
        <f t="shared" si="173"/>
        <v>0</v>
      </c>
    </row>
    <row r="10825" spans="39:45">
      <c r="AM10825" s="55">
        <v>2020</v>
      </c>
      <c r="AN10825" s="55" t="s">
        <v>185</v>
      </c>
      <c r="AO10825" s="55">
        <v>26</v>
      </c>
      <c r="AP10825" s="55">
        <v>23</v>
      </c>
      <c r="AQ10825" s="55">
        <v>0</v>
      </c>
      <c r="AR10825" s="55">
        <v>28500</v>
      </c>
      <c r="AS10825" s="78">
        <f t="shared" si="173"/>
        <v>0</v>
      </c>
    </row>
    <row r="10826" spans="39:45">
      <c r="AM10826" s="54">
        <v>2020</v>
      </c>
      <c r="AN10826" s="54" t="s">
        <v>185</v>
      </c>
      <c r="AO10826" s="54">
        <v>27</v>
      </c>
      <c r="AP10826" s="54">
        <v>24</v>
      </c>
      <c r="AQ10826" s="54">
        <v>0</v>
      </c>
      <c r="AR10826" s="55">
        <v>28500</v>
      </c>
      <c r="AS10826" s="78">
        <f t="shared" si="173"/>
        <v>0</v>
      </c>
    </row>
    <row r="10827" spans="39:45">
      <c r="AM10827" s="55">
        <v>2020</v>
      </c>
      <c r="AN10827" s="55" t="s">
        <v>185</v>
      </c>
      <c r="AO10827" s="55">
        <v>27</v>
      </c>
      <c r="AP10827" s="55">
        <v>1</v>
      </c>
      <c r="AQ10827" s="55">
        <v>0</v>
      </c>
      <c r="AR10827" s="55">
        <v>28500</v>
      </c>
      <c r="AS10827" s="78">
        <f t="shared" si="173"/>
        <v>0</v>
      </c>
    </row>
    <row r="10828" spans="39:45">
      <c r="AM10828" s="54">
        <v>2020</v>
      </c>
      <c r="AN10828" s="54" t="s">
        <v>185</v>
      </c>
      <c r="AO10828" s="54">
        <v>27</v>
      </c>
      <c r="AP10828" s="54">
        <v>2</v>
      </c>
      <c r="AQ10828" s="54">
        <v>0</v>
      </c>
      <c r="AR10828" s="55">
        <v>28500</v>
      </c>
      <c r="AS10828" s="78">
        <f t="shared" si="173"/>
        <v>0</v>
      </c>
    </row>
    <row r="10829" spans="39:45">
      <c r="AM10829" s="55">
        <v>2020</v>
      </c>
      <c r="AN10829" s="55" t="s">
        <v>185</v>
      </c>
      <c r="AO10829" s="55">
        <v>27</v>
      </c>
      <c r="AP10829" s="55">
        <v>3</v>
      </c>
      <c r="AQ10829" s="55">
        <v>0</v>
      </c>
      <c r="AR10829" s="55">
        <v>28500</v>
      </c>
      <c r="AS10829" s="78">
        <f t="shared" si="173"/>
        <v>0</v>
      </c>
    </row>
    <row r="10830" spans="39:45">
      <c r="AM10830" s="54">
        <v>2020</v>
      </c>
      <c r="AN10830" s="54" t="s">
        <v>185</v>
      </c>
      <c r="AO10830" s="54">
        <v>27</v>
      </c>
      <c r="AP10830" s="54">
        <v>4</v>
      </c>
      <c r="AQ10830" s="54">
        <v>0</v>
      </c>
      <c r="AR10830" s="55">
        <v>28500</v>
      </c>
      <c r="AS10830" s="78">
        <f t="shared" si="173"/>
        <v>0</v>
      </c>
    </row>
    <row r="10831" spans="39:45">
      <c r="AM10831" s="55">
        <v>2020</v>
      </c>
      <c r="AN10831" s="55" t="s">
        <v>185</v>
      </c>
      <c r="AO10831" s="55">
        <v>27</v>
      </c>
      <c r="AP10831" s="55">
        <v>5</v>
      </c>
      <c r="AQ10831" s="55">
        <v>0</v>
      </c>
      <c r="AR10831" s="55">
        <v>28500</v>
      </c>
      <c r="AS10831" s="78">
        <f t="shared" si="173"/>
        <v>0</v>
      </c>
    </row>
    <row r="10832" spans="39:45">
      <c r="AM10832" s="54">
        <v>2020</v>
      </c>
      <c r="AN10832" s="54" t="s">
        <v>185</v>
      </c>
      <c r="AO10832" s="54">
        <v>27</v>
      </c>
      <c r="AP10832" s="54">
        <v>6</v>
      </c>
      <c r="AQ10832" s="54">
        <v>101</v>
      </c>
      <c r="AR10832" s="55">
        <v>28500</v>
      </c>
      <c r="AS10832" s="78">
        <f t="shared" si="173"/>
        <v>3.5438596491228071E-3</v>
      </c>
    </row>
    <row r="10833" spans="39:45">
      <c r="AM10833" s="55">
        <v>2020</v>
      </c>
      <c r="AN10833" s="55" t="s">
        <v>185</v>
      </c>
      <c r="AO10833" s="55">
        <v>27</v>
      </c>
      <c r="AP10833" s="55">
        <v>7</v>
      </c>
      <c r="AQ10833" s="55">
        <v>8265</v>
      </c>
      <c r="AR10833" s="55">
        <v>28500</v>
      </c>
      <c r="AS10833" s="78">
        <f t="shared" si="173"/>
        <v>0.28999999999999998</v>
      </c>
    </row>
    <row r="10834" spans="39:45">
      <c r="AM10834" s="54">
        <v>2020</v>
      </c>
      <c r="AN10834" s="54" t="s">
        <v>185</v>
      </c>
      <c r="AO10834" s="54">
        <v>27</v>
      </c>
      <c r="AP10834" s="54">
        <v>8</v>
      </c>
      <c r="AQ10834" s="54">
        <v>20152.5</v>
      </c>
      <c r="AR10834" s="55">
        <v>28500</v>
      </c>
      <c r="AS10834" s="78">
        <f t="shared" si="173"/>
        <v>0.70710526315789479</v>
      </c>
    </row>
    <row r="10835" spans="39:45">
      <c r="AM10835" s="55">
        <v>2020</v>
      </c>
      <c r="AN10835" s="55" t="s">
        <v>185</v>
      </c>
      <c r="AO10835" s="55">
        <v>27</v>
      </c>
      <c r="AP10835" s="55">
        <v>9</v>
      </c>
      <c r="AQ10835" s="55">
        <v>30483</v>
      </c>
      <c r="AR10835" s="55">
        <v>28500</v>
      </c>
      <c r="AS10835" s="78">
        <f t="shared" si="173"/>
        <v>1.069578947368421</v>
      </c>
    </row>
    <row r="10836" spans="39:45">
      <c r="AM10836" s="54">
        <v>2020</v>
      </c>
      <c r="AN10836" s="54" t="s">
        <v>185</v>
      </c>
      <c r="AO10836" s="54">
        <v>27</v>
      </c>
      <c r="AP10836" s="54">
        <v>10</v>
      </c>
      <c r="AQ10836" s="54">
        <v>37566</v>
      </c>
      <c r="AR10836" s="55">
        <v>28500</v>
      </c>
      <c r="AS10836" s="78">
        <f t="shared" si="173"/>
        <v>1.3181052631578947</v>
      </c>
    </row>
    <row r="10837" spans="39:45">
      <c r="AM10837" s="55">
        <v>2020</v>
      </c>
      <c r="AN10837" s="55" t="s">
        <v>185</v>
      </c>
      <c r="AO10837" s="55">
        <v>27</v>
      </c>
      <c r="AP10837" s="55">
        <v>11</v>
      </c>
      <c r="AQ10837" s="55">
        <v>42163.5</v>
      </c>
      <c r="AR10837" s="55">
        <v>28500</v>
      </c>
      <c r="AS10837" s="78">
        <f t="shared" si="173"/>
        <v>1.479421052631579</v>
      </c>
    </row>
    <row r="10838" spans="39:45">
      <c r="AM10838" s="54">
        <v>2020</v>
      </c>
      <c r="AN10838" s="54" t="s">
        <v>185</v>
      </c>
      <c r="AO10838" s="54">
        <v>27</v>
      </c>
      <c r="AP10838" s="54">
        <v>12</v>
      </c>
      <c r="AQ10838" s="54">
        <v>43700.5</v>
      </c>
      <c r="AR10838" s="55">
        <v>28500</v>
      </c>
      <c r="AS10838" s="78">
        <f t="shared" si="173"/>
        <v>1.5333508771929825</v>
      </c>
    </row>
    <row r="10839" spans="39:45">
      <c r="AM10839" s="55">
        <v>2020</v>
      </c>
      <c r="AN10839" s="55" t="s">
        <v>185</v>
      </c>
      <c r="AO10839" s="55">
        <v>27</v>
      </c>
      <c r="AP10839" s="55">
        <v>13</v>
      </c>
      <c r="AQ10839" s="55">
        <v>41156</v>
      </c>
      <c r="AR10839" s="55">
        <v>28500</v>
      </c>
      <c r="AS10839" s="78">
        <f t="shared" si="173"/>
        <v>1.4440701754385965</v>
      </c>
    </row>
    <row r="10840" spans="39:45">
      <c r="AM10840" s="54">
        <v>2020</v>
      </c>
      <c r="AN10840" s="54" t="s">
        <v>185</v>
      </c>
      <c r="AO10840" s="54">
        <v>27</v>
      </c>
      <c r="AP10840" s="54">
        <v>14</v>
      </c>
      <c r="AQ10840" s="54">
        <v>36456.5</v>
      </c>
      <c r="AR10840" s="55">
        <v>28500</v>
      </c>
      <c r="AS10840" s="78">
        <f t="shared" si="173"/>
        <v>1.2791754385964913</v>
      </c>
    </row>
    <row r="10841" spans="39:45">
      <c r="AM10841" s="55">
        <v>2020</v>
      </c>
      <c r="AN10841" s="55" t="s">
        <v>185</v>
      </c>
      <c r="AO10841" s="55">
        <v>27</v>
      </c>
      <c r="AP10841" s="55">
        <v>15</v>
      </c>
      <c r="AQ10841" s="55">
        <v>28349</v>
      </c>
      <c r="AR10841" s="55">
        <v>28500</v>
      </c>
      <c r="AS10841" s="78">
        <f t="shared" si="173"/>
        <v>0.99470175438596486</v>
      </c>
    </row>
    <row r="10842" spans="39:45">
      <c r="AM10842" s="54">
        <v>2020</v>
      </c>
      <c r="AN10842" s="54" t="s">
        <v>185</v>
      </c>
      <c r="AO10842" s="54">
        <v>27</v>
      </c>
      <c r="AP10842" s="54">
        <v>16</v>
      </c>
      <c r="AQ10842" s="54">
        <v>17767.5</v>
      </c>
      <c r="AR10842" s="55">
        <v>28500</v>
      </c>
      <c r="AS10842" s="78">
        <f t="shared" si="173"/>
        <v>0.62342105263157899</v>
      </c>
    </row>
    <row r="10843" spans="39:45">
      <c r="AM10843" s="55">
        <v>2020</v>
      </c>
      <c r="AN10843" s="55" t="s">
        <v>185</v>
      </c>
      <c r="AO10843" s="55">
        <v>27</v>
      </c>
      <c r="AP10843" s="55">
        <v>17</v>
      </c>
      <c r="AQ10843" s="55">
        <v>6198</v>
      </c>
      <c r="AR10843" s="55">
        <v>28500</v>
      </c>
      <c r="AS10843" s="78">
        <f t="shared" si="173"/>
        <v>0.21747368421052632</v>
      </c>
    </row>
    <row r="10844" spans="39:45">
      <c r="AM10844" s="54">
        <v>2020</v>
      </c>
      <c r="AN10844" s="54" t="s">
        <v>185</v>
      </c>
      <c r="AO10844" s="54">
        <v>27</v>
      </c>
      <c r="AP10844" s="54">
        <v>18</v>
      </c>
      <c r="AQ10844" s="54">
        <v>0</v>
      </c>
      <c r="AR10844" s="55">
        <v>28500</v>
      </c>
      <c r="AS10844" s="78">
        <f t="shared" si="173"/>
        <v>0</v>
      </c>
    </row>
    <row r="10845" spans="39:45">
      <c r="AM10845" s="55">
        <v>2020</v>
      </c>
      <c r="AN10845" s="55" t="s">
        <v>185</v>
      </c>
      <c r="AO10845" s="55">
        <v>27</v>
      </c>
      <c r="AP10845" s="55">
        <v>19</v>
      </c>
      <c r="AQ10845" s="55">
        <v>0</v>
      </c>
      <c r="AR10845" s="55">
        <v>28500</v>
      </c>
      <c r="AS10845" s="78">
        <f t="shared" si="173"/>
        <v>0</v>
      </c>
    </row>
    <row r="10846" spans="39:45">
      <c r="AM10846" s="54">
        <v>2020</v>
      </c>
      <c r="AN10846" s="54" t="s">
        <v>185</v>
      </c>
      <c r="AO10846" s="54">
        <v>27</v>
      </c>
      <c r="AP10846" s="54">
        <v>20</v>
      </c>
      <c r="AQ10846" s="54">
        <v>0</v>
      </c>
      <c r="AR10846" s="55">
        <v>28500</v>
      </c>
      <c r="AS10846" s="78">
        <f t="shared" si="173"/>
        <v>0</v>
      </c>
    </row>
    <row r="10847" spans="39:45">
      <c r="AM10847" s="55">
        <v>2020</v>
      </c>
      <c r="AN10847" s="55" t="s">
        <v>185</v>
      </c>
      <c r="AO10847" s="55">
        <v>27</v>
      </c>
      <c r="AP10847" s="55">
        <v>21</v>
      </c>
      <c r="AQ10847" s="55">
        <v>0</v>
      </c>
      <c r="AR10847" s="55">
        <v>28500</v>
      </c>
      <c r="AS10847" s="78">
        <f t="shared" si="173"/>
        <v>0</v>
      </c>
    </row>
    <row r="10848" spans="39:45">
      <c r="AM10848" s="54">
        <v>2020</v>
      </c>
      <c r="AN10848" s="54" t="s">
        <v>185</v>
      </c>
      <c r="AO10848" s="54">
        <v>27</v>
      </c>
      <c r="AP10848" s="54">
        <v>22</v>
      </c>
      <c r="AQ10848" s="54">
        <v>0</v>
      </c>
      <c r="AR10848" s="55">
        <v>28500</v>
      </c>
      <c r="AS10848" s="78">
        <f t="shared" si="173"/>
        <v>0</v>
      </c>
    </row>
    <row r="10849" spans="39:45">
      <c r="AM10849" s="55">
        <v>2020</v>
      </c>
      <c r="AN10849" s="55" t="s">
        <v>185</v>
      </c>
      <c r="AO10849" s="55">
        <v>27</v>
      </c>
      <c r="AP10849" s="55">
        <v>23</v>
      </c>
      <c r="AQ10849" s="55">
        <v>0</v>
      </c>
      <c r="AR10849" s="55">
        <v>28500</v>
      </c>
      <c r="AS10849" s="78">
        <f t="shared" si="173"/>
        <v>0</v>
      </c>
    </row>
    <row r="10850" spans="39:45">
      <c r="AM10850" s="54">
        <v>2020</v>
      </c>
      <c r="AN10850" s="54" t="s">
        <v>185</v>
      </c>
      <c r="AO10850" s="54">
        <v>28</v>
      </c>
      <c r="AP10850" s="54">
        <v>24</v>
      </c>
      <c r="AQ10850" s="54">
        <v>0</v>
      </c>
      <c r="AR10850" s="55">
        <v>28500</v>
      </c>
      <c r="AS10850" s="78">
        <f t="shared" si="173"/>
        <v>0</v>
      </c>
    </row>
    <row r="10851" spans="39:45">
      <c r="AM10851" s="55">
        <v>2020</v>
      </c>
      <c r="AN10851" s="55" t="s">
        <v>185</v>
      </c>
      <c r="AO10851" s="55">
        <v>28</v>
      </c>
      <c r="AP10851" s="55">
        <v>1</v>
      </c>
      <c r="AQ10851" s="55">
        <v>0</v>
      </c>
      <c r="AR10851" s="55">
        <v>28500</v>
      </c>
      <c r="AS10851" s="78">
        <f t="shared" si="173"/>
        <v>0</v>
      </c>
    </row>
    <row r="10852" spans="39:45">
      <c r="AM10852" s="54">
        <v>2020</v>
      </c>
      <c r="AN10852" s="54" t="s">
        <v>185</v>
      </c>
      <c r="AO10852" s="54">
        <v>28</v>
      </c>
      <c r="AP10852" s="54">
        <v>2</v>
      </c>
      <c r="AQ10852" s="54">
        <v>0</v>
      </c>
      <c r="AR10852" s="55">
        <v>28500</v>
      </c>
      <c r="AS10852" s="78">
        <f t="shared" si="173"/>
        <v>0</v>
      </c>
    </row>
    <row r="10853" spans="39:45">
      <c r="AM10853" s="55">
        <v>2020</v>
      </c>
      <c r="AN10853" s="55" t="s">
        <v>185</v>
      </c>
      <c r="AO10853" s="55">
        <v>28</v>
      </c>
      <c r="AP10853" s="55">
        <v>3</v>
      </c>
      <c r="AQ10853" s="55">
        <v>0</v>
      </c>
      <c r="AR10853" s="55">
        <v>28500</v>
      </c>
      <c r="AS10853" s="78">
        <f t="shared" si="173"/>
        <v>0</v>
      </c>
    </row>
    <row r="10854" spans="39:45">
      <c r="AM10854" s="54">
        <v>2020</v>
      </c>
      <c r="AN10854" s="54" t="s">
        <v>185</v>
      </c>
      <c r="AO10854" s="54">
        <v>28</v>
      </c>
      <c r="AP10854" s="54">
        <v>4</v>
      </c>
      <c r="AQ10854" s="54">
        <v>0</v>
      </c>
      <c r="AR10854" s="55">
        <v>28500</v>
      </c>
      <c r="AS10854" s="78">
        <f t="shared" si="173"/>
        <v>0</v>
      </c>
    </row>
    <row r="10855" spans="39:45">
      <c r="AM10855" s="55">
        <v>2020</v>
      </c>
      <c r="AN10855" s="55" t="s">
        <v>185</v>
      </c>
      <c r="AO10855" s="55">
        <v>28</v>
      </c>
      <c r="AP10855" s="55">
        <v>5</v>
      </c>
      <c r="AQ10855" s="55">
        <v>0</v>
      </c>
      <c r="AR10855" s="55">
        <v>28500</v>
      </c>
      <c r="AS10855" s="78">
        <f t="shared" si="173"/>
        <v>0</v>
      </c>
    </row>
    <row r="10856" spans="39:45">
      <c r="AM10856" s="54">
        <v>2020</v>
      </c>
      <c r="AN10856" s="54" t="s">
        <v>185</v>
      </c>
      <c r="AO10856" s="54">
        <v>28</v>
      </c>
      <c r="AP10856" s="54">
        <v>6</v>
      </c>
      <c r="AQ10856" s="54">
        <v>149</v>
      </c>
      <c r="AR10856" s="55">
        <v>28500</v>
      </c>
      <c r="AS10856" s="78">
        <f t="shared" si="173"/>
        <v>5.2280701754385964E-3</v>
      </c>
    </row>
    <row r="10857" spans="39:45">
      <c r="AM10857" s="55">
        <v>2020</v>
      </c>
      <c r="AN10857" s="55" t="s">
        <v>185</v>
      </c>
      <c r="AO10857" s="55">
        <v>28</v>
      </c>
      <c r="AP10857" s="55">
        <v>7</v>
      </c>
      <c r="AQ10857" s="55">
        <v>7880.5</v>
      </c>
      <c r="AR10857" s="55">
        <v>28500</v>
      </c>
      <c r="AS10857" s="78">
        <f t="shared" si="173"/>
        <v>0.27650877192982454</v>
      </c>
    </row>
    <row r="10858" spans="39:45">
      <c r="AM10858" s="54">
        <v>2020</v>
      </c>
      <c r="AN10858" s="54" t="s">
        <v>185</v>
      </c>
      <c r="AO10858" s="54">
        <v>28</v>
      </c>
      <c r="AP10858" s="54">
        <v>8</v>
      </c>
      <c r="AQ10858" s="54">
        <v>19564.5</v>
      </c>
      <c r="AR10858" s="55">
        <v>28500</v>
      </c>
      <c r="AS10858" s="78">
        <f t="shared" si="173"/>
        <v>0.68647368421052635</v>
      </c>
    </row>
    <row r="10859" spans="39:45">
      <c r="AM10859" s="55">
        <v>2020</v>
      </c>
      <c r="AN10859" s="55" t="s">
        <v>185</v>
      </c>
      <c r="AO10859" s="55">
        <v>28</v>
      </c>
      <c r="AP10859" s="55">
        <v>9</v>
      </c>
      <c r="AQ10859" s="55">
        <v>29597.5</v>
      </c>
      <c r="AR10859" s="55">
        <v>28500</v>
      </c>
      <c r="AS10859" s="78">
        <f t="shared" si="173"/>
        <v>1.0385087719298245</v>
      </c>
    </row>
    <row r="10860" spans="39:45">
      <c r="AM10860" s="54">
        <v>2020</v>
      </c>
      <c r="AN10860" s="54" t="s">
        <v>185</v>
      </c>
      <c r="AO10860" s="54">
        <v>28</v>
      </c>
      <c r="AP10860" s="54">
        <v>10</v>
      </c>
      <c r="AQ10860" s="54">
        <v>37089</v>
      </c>
      <c r="AR10860" s="55">
        <v>28500</v>
      </c>
      <c r="AS10860" s="78">
        <f t="shared" si="173"/>
        <v>1.3013684210526315</v>
      </c>
    </row>
    <row r="10861" spans="39:45">
      <c r="AM10861" s="55">
        <v>2020</v>
      </c>
      <c r="AN10861" s="55" t="s">
        <v>185</v>
      </c>
      <c r="AO10861" s="55">
        <v>28</v>
      </c>
      <c r="AP10861" s="55">
        <v>11</v>
      </c>
      <c r="AQ10861" s="55">
        <v>41351.5</v>
      </c>
      <c r="AR10861" s="55">
        <v>28500</v>
      </c>
      <c r="AS10861" s="78">
        <f t="shared" si="173"/>
        <v>1.4509298245614035</v>
      </c>
    </row>
    <row r="10862" spans="39:45">
      <c r="AM10862" s="54">
        <v>2020</v>
      </c>
      <c r="AN10862" s="54" t="s">
        <v>185</v>
      </c>
      <c r="AO10862" s="54">
        <v>28</v>
      </c>
      <c r="AP10862" s="54">
        <v>12</v>
      </c>
      <c r="AQ10862" s="54">
        <v>41232</v>
      </c>
      <c r="AR10862" s="55">
        <v>28500</v>
      </c>
      <c r="AS10862" s="78">
        <f t="shared" si="173"/>
        <v>1.4467368421052631</v>
      </c>
    </row>
    <row r="10863" spans="39:45">
      <c r="AM10863" s="55">
        <v>2020</v>
      </c>
      <c r="AN10863" s="55" t="s">
        <v>185</v>
      </c>
      <c r="AO10863" s="55">
        <v>28</v>
      </c>
      <c r="AP10863" s="55">
        <v>13</v>
      </c>
      <c r="AQ10863" s="55">
        <v>10662</v>
      </c>
      <c r="AR10863" s="55">
        <v>28500</v>
      </c>
      <c r="AS10863" s="78">
        <f t="shared" si="173"/>
        <v>0.37410526315789472</v>
      </c>
    </row>
    <row r="10864" spans="39:45">
      <c r="AM10864" s="54">
        <v>2020</v>
      </c>
      <c r="AN10864" s="54" t="s">
        <v>185</v>
      </c>
      <c r="AO10864" s="54">
        <v>28</v>
      </c>
      <c r="AP10864" s="54">
        <v>14</v>
      </c>
      <c r="AQ10864" s="54">
        <v>6483</v>
      </c>
      <c r="AR10864" s="55">
        <v>28500</v>
      </c>
      <c r="AS10864" s="78">
        <f t="shared" si="173"/>
        <v>0.22747368421052633</v>
      </c>
    </row>
    <row r="10865" spans="39:45">
      <c r="AM10865" s="55">
        <v>2020</v>
      </c>
      <c r="AN10865" s="55" t="s">
        <v>185</v>
      </c>
      <c r="AO10865" s="55">
        <v>28</v>
      </c>
      <c r="AP10865" s="55">
        <v>15</v>
      </c>
      <c r="AQ10865" s="55">
        <v>9599.5</v>
      </c>
      <c r="AR10865" s="55">
        <v>28500</v>
      </c>
      <c r="AS10865" s="78">
        <f t="shared" si="173"/>
        <v>0.33682456140350875</v>
      </c>
    </row>
    <row r="10866" spans="39:45">
      <c r="AM10866" s="54">
        <v>2020</v>
      </c>
      <c r="AN10866" s="54" t="s">
        <v>185</v>
      </c>
      <c r="AO10866" s="54">
        <v>28</v>
      </c>
      <c r="AP10866" s="54">
        <v>16</v>
      </c>
      <c r="AQ10866" s="54">
        <v>9846.5</v>
      </c>
      <c r="AR10866" s="55">
        <v>28500</v>
      </c>
      <c r="AS10866" s="78">
        <f t="shared" si="173"/>
        <v>0.34549122807017546</v>
      </c>
    </row>
    <row r="10867" spans="39:45">
      <c r="AM10867" s="55">
        <v>2020</v>
      </c>
      <c r="AN10867" s="55" t="s">
        <v>185</v>
      </c>
      <c r="AO10867" s="55">
        <v>28</v>
      </c>
      <c r="AP10867" s="55">
        <v>17</v>
      </c>
      <c r="AQ10867" s="55">
        <v>3933</v>
      </c>
      <c r="AR10867" s="55">
        <v>28500</v>
      </c>
      <c r="AS10867" s="78">
        <f t="shared" si="173"/>
        <v>0.13800000000000001</v>
      </c>
    </row>
    <row r="10868" spans="39:45">
      <c r="AM10868" s="54">
        <v>2020</v>
      </c>
      <c r="AN10868" s="54" t="s">
        <v>185</v>
      </c>
      <c r="AO10868" s="54">
        <v>28</v>
      </c>
      <c r="AP10868" s="54">
        <v>18</v>
      </c>
      <c r="AQ10868" s="54">
        <v>0</v>
      </c>
      <c r="AR10868" s="55">
        <v>28500</v>
      </c>
      <c r="AS10868" s="78">
        <f t="shared" si="173"/>
        <v>0</v>
      </c>
    </row>
    <row r="10869" spans="39:45">
      <c r="AM10869" s="55">
        <v>2020</v>
      </c>
      <c r="AN10869" s="55" t="s">
        <v>185</v>
      </c>
      <c r="AO10869" s="55">
        <v>28</v>
      </c>
      <c r="AP10869" s="55">
        <v>19</v>
      </c>
      <c r="AQ10869" s="55">
        <v>0</v>
      </c>
      <c r="AR10869" s="55">
        <v>28500</v>
      </c>
      <c r="AS10869" s="78">
        <f t="shared" si="173"/>
        <v>0</v>
      </c>
    </row>
    <row r="10870" spans="39:45">
      <c r="AM10870" s="54">
        <v>2020</v>
      </c>
      <c r="AN10870" s="54" t="s">
        <v>185</v>
      </c>
      <c r="AO10870" s="54">
        <v>28</v>
      </c>
      <c r="AP10870" s="54">
        <v>20</v>
      </c>
      <c r="AQ10870" s="54">
        <v>0</v>
      </c>
      <c r="AR10870" s="55">
        <v>28500</v>
      </c>
      <c r="AS10870" s="78">
        <f t="shared" si="173"/>
        <v>0</v>
      </c>
    </row>
    <row r="10871" spans="39:45">
      <c r="AM10871" s="55">
        <v>2020</v>
      </c>
      <c r="AN10871" s="55" t="s">
        <v>185</v>
      </c>
      <c r="AO10871" s="55">
        <v>28</v>
      </c>
      <c r="AP10871" s="55">
        <v>21</v>
      </c>
      <c r="AQ10871" s="55">
        <v>0</v>
      </c>
      <c r="AR10871" s="55">
        <v>28500</v>
      </c>
      <c r="AS10871" s="78">
        <f t="shared" si="173"/>
        <v>0</v>
      </c>
    </row>
    <row r="10872" spans="39:45">
      <c r="AM10872" s="54">
        <v>2020</v>
      </c>
      <c r="AN10872" s="54" t="s">
        <v>185</v>
      </c>
      <c r="AO10872" s="54">
        <v>28</v>
      </c>
      <c r="AP10872" s="54">
        <v>22</v>
      </c>
      <c r="AQ10872" s="54">
        <v>0</v>
      </c>
      <c r="AR10872" s="55">
        <v>28500</v>
      </c>
      <c r="AS10872" s="78">
        <f t="shared" si="173"/>
        <v>0</v>
      </c>
    </row>
    <row r="10873" spans="39:45">
      <c r="AM10873" s="55">
        <v>2020</v>
      </c>
      <c r="AN10873" s="55" t="s">
        <v>185</v>
      </c>
      <c r="AO10873" s="55">
        <v>28</v>
      </c>
      <c r="AP10873" s="55">
        <v>23</v>
      </c>
      <c r="AQ10873" s="55">
        <v>0</v>
      </c>
      <c r="AR10873" s="55">
        <v>28500</v>
      </c>
      <c r="AS10873" s="78">
        <f t="shared" si="173"/>
        <v>0</v>
      </c>
    </row>
    <row r="10874" spans="39:45">
      <c r="AM10874" s="54">
        <v>2020</v>
      </c>
      <c r="AN10874" s="54" t="s">
        <v>185</v>
      </c>
      <c r="AO10874" s="54">
        <v>29</v>
      </c>
      <c r="AP10874" s="54">
        <v>24</v>
      </c>
      <c r="AQ10874" s="54">
        <v>0</v>
      </c>
      <c r="AR10874" s="55">
        <v>28500</v>
      </c>
      <c r="AS10874" s="78">
        <f t="shared" si="173"/>
        <v>0</v>
      </c>
    </row>
    <row r="10875" spans="39:45">
      <c r="AM10875" s="55">
        <v>2020</v>
      </c>
      <c r="AN10875" s="55" t="s">
        <v>185</v>
      </c>
      <c r="AO10875" s="55">
        <v>29</v>
      </c>
      <c r="AP10875" s="55">
        <v>1</v>
      </c>
      <c r="AQ10875" s="55">
        <v>0</v>
      </c>
      <c r="AR10875" s="55">
        <v>28500</v>
      </c>
      <c r="AS10875" s="78">
        <f t="shared" si="173"/>
        <v>0</v>
      </c>
    </row>
    <row r="10876" spans="39:45">
      <c r="AM10876" s="54">
        <v>2020</v>
      </c>
      <c r="AN10876" s="54" t="s">
        <v>185</v>
      </c>
      <c r="AO10876" s="54">
        <v>29</v>
      </c>
      <c r="AP10876" s="54">
        <v>2</v>
      </c>
      <c r="AQ10876" s="54">
        <v>0</v>
      </c>
      <c r="AR10876" s="55">
        <v>28500</v>
      </c>
      <c r="AS10876" s="78">
        <f t="shared" si="173"/>
        <v>0</v>
      </c>
    </row>
    <row r="10877" spans="39:45">
      <c r="AM10877" s="55">
        <v>2020</v>
      </c>
      <c r="AN10877" s="55" t="s">
        <v>185</v>
      </c>
      <c r="AO10877" s="55">
        <v>29</v>
      </c>
      <c r="AP10877" s="55">
        <v>3</v>
      </c>
      <c r="AQ10877" s="55">
        <v>0</v>
      </c>
      <c r="AR10877" s="55">
        <v>28500</v>
      </c>
      <c r="AS10877" s="78">
        <f t="shared" si="173"/>
        <v>0</v>
      </c>
    </row>
    <row r="10878" spans="39:45">
      <c r="AM10878" s="54">
        <v>2020</v>
      </c>
      <c r="AN10878" s="54" t="s">
        <v>185</v>
      </c>
      <c r="AO10878" s="54">
        <v>29</v>
      </c>
      <c r="AP10878" s="54">
        <v>4</v>
      </c>
      <c r="AQ10878" s="54">
        <v>0</v>
      </c>
      <c r="AR10878" s="55">
        <v>28500</v>
      </c>
      <c r="AS10878" s="78">
        <f t="shared" si="173"/>
        <v>0</v>
      </c>
    </row>
    <row r="10879" spans="39:45">
      <c r="AM10879" s="55">
        <v>2020</v>
      </c>
      <c r="AN10879" s="55" t="s">
        <v>185</v>
      </c>
      <c r="AO10879" s="55">
        <v>29</v>
      </c>
      <c r="AP10879" s="55">
        <v>5</v>
      </c>
      <c r="AQ10879" s="55">
        <v>0</v>
      </c>
      <c r="AR10879" s="55">
        <v>28500</v>
      </c>
      <c r="AS10879" s="78">
        <f t="shared" si="173"/>
        <v>0</v>
      </c>
    </row>
    <row r="10880" spans="39:45">
      <c r="AM10880" s="54">
        <v>2020</v>
      </c>
      <c r="AN10880" s="54" t="s">
        <v>185</v>
      </c>
      <c r="AO10880" s="54">
        <v>29</v>
      </c>
      <c r="AP10880" s="54">
        <v>6</v>
      </c>
      <c r="AQ10880" s="54">
        <v>101</v>
      </c>
      <c r="AR10880" s="55">
        <v>28500</v>
      </c>
      <c r="AS10880" s="78">
        <f t="shared" si="173"/>
        <v>3.5438596491228071E-3</v>
      </c>
    </row>
    <row r="10881" spans="39:45">
      <c r="AM10881" s="55">
        <v>2020</v>
      </c>
      <c r="AN10881" s="55" t="s">
        <v>185</v>
      </c>
      <c r="AO10881" s="55">
        <v>29</v>
      </c>
      <c r="AP10881" s="55">
        <v>7</v>
      </c>
      <c r="AQ10881" s="55">
        <v>9354</v>
      </c>
      <c r="AR10881" s="55">
        <v>28500</v>
      </c>
      <c r="AS10881" s="78">
        <f t="shared" si="173"/>
        <v>0.32821052631578945</v>
      </c>
    </row>
    <row r="10882" spans="39:45">
      <c r="AM10882" s="54">
        <v>2020</v>
      </c>
      <c r="AN10882" s="54" t="s">
        <v>185</v>
      </c>
      <c r="AO10882" s="54">
        <v>29</v>
      </c>
      <c r="AP10882" s="54">
        <v>8</v>
      </c>
      <c r="AQ10882" s="54">
        <v>13618.5</v>
      </c>
      <c r="AR10882" s="55">
        <v>28500</v>
      </c>
      <c r="AS10882" s="78">
        <f t="shared" ref="AS10882:AS10945" si="174">AQ10882/AR10882</f>
        <v>0.4778421052631579</v>
      </c>
    </row>
    <row r="10883" spans="39:45">
      <c r="AM10883" s="55">
        <v>2020</v>
      </c>
      <c r="AN10883" s="55" t="s">
        <v>185</v>
      </c>
      <c r="AO10883" s="55">
        <v>29</v>
      </c>
      <c r="AP10883" s="55">
        <v>9</v>
      </c>
      <c r="AQ10883" s="55">
        <v>23688</v>
      </c>
      <c r="AR10883" s="55">
        <v>28500</v>
      </c>
      <c r="AS10883" s="78">
        <f t="shared" si="174"/>
        <v>0.8311578947368421</v>
      </c>
    </row>
    <row r="10884" spans="39:45">
      <c r="AM10884" s="54">
        <v>2020</v>
      </c>
      <c r="AN10884" s="54" t="s">
        <v>185</v>
      </c>
      <c r="AO10884" s="54">
        <v>29</v>
      </c>
      <c r="AP10884" s="54">
        <v>10</v>
      </c>
      <c r="AQ10884" s="54">
        <v>39422</v>
      </c>
      <c r="AR10884" s="55">
        <v>28500</v>
      </c>
      <c r="AS10884" s="78">
        <f t="shared" si="174"/>
        <v>1.3832280701754387</v>
      </c>
    </row>
    <row r="10885" spans="39:45">
      <c r="AM10885" s="55">
        <v>2020</v>
      </c>
      <c r="AN10885" s="55" t="s">
        <v>185</v>
      </c>
      <c r="AO10885" s="55">
        <v>29</v>
      </c>
      <c r="AP10885" s="55">
        <v>11</v>
      </c>
      <c r="AQ10885" s="55">
        <v>25759</v>
      </c>
      <c r="AR10885" s="55">
        <v>28500</v>
      </c>
      <c r="AS10885" s="78">
        <f t="shared" si="174"/>
        <v>0.90382456140350875</v>
      </c>
    </row>
    <row r="10886" spans="39:45">
      <c r="AM10886" s="54">
        <v>2020</v>
      </c>
      <c r="AN10886" s="54" t="s">
        <v>185</v>
      </c>
      <c r="AO10886" s="54">
        <v>29</v>
      </c>
      <c r="AP10886" s="54">
        <v>12</v>
      </c>
      <c r="AQ10886" s="54">
        <v>19489</v>
      </c>
      <c r="AR10886" s="55">
        <v>28500</v>
      </c>
      <c r="AS10886" s="78">
        <f t="shared" si="174"/>
        <v>0.68382456140350878</v>
      </c>
    </row>
    <row r="10887" spans="39:45">
      <c r="AM10887" s="55">
        <v>2020</v>
      </c>
      <c r="AN10887" s="55" t="s">
        <v>185</v>
      </c>
      <c r="AO10887" s="55">
        <v>29</v>
      </c>
      <c r="AP10887" s="55">
        <v>13</v>
      </c>
      <c r="AQ10887" s="55">
        <v>39702.5</v>
      </c>
      <c r="AR10887" s="55">
        <v>28500</v>
      </c>
      <c r="AS10887" s="78">
        <f t="shared" si="174"/>
        <v>1.3930701754385966</v>
      </c>
    </row>
    <row r="10888" spans="39:45">
      <c r="AM10888" s="54">
        <v>2020</v>
      </c>
      <c r="AN10888" s="54" t="s">
        <v>185</v>
      </c>
      <c r="AO10888" s="54">
        <v>29</v>
      </c>
      <c r="AP10888" s="54">
        <v>14</v>
      </c>
      <c r="AQ10888" s="54">
        <v>4215</v>
      </c>
      <c r="AR10888" s="55">
        <v>28500</v>
      </c>
      <c r="AS10888" s="78">
        <f t="shared" si="174"/>
        <v>0.14789473684210527</v>
      </c>
    </row>
    <row r="10889" spans="39:45">
      <c r="AM10889" s="55">
        <v>2020</v>
      </c>
      <c r="AN10889" s="55" t="s">
        <v>185</v>
      </c>
      <c r="AO10889" s="55">
        <v>29</v>
      </c>
      <c r="AP10889" s="55">
        <v>15</v>
      </c>
      <c r="AQ10889" s="55">
        <v>9280.5</v>
      </c>
      <c r="AR10889" s="55">
        <v>28500</v>
      </c>
      <c r="AS10889" s="78">
        <f t="shared" si="174"/>
        <v>0.32563157894736844</v>
      </c>
    </row>
    <row r="10890" spans="39:45">
      <c r="AM10890" s="54">
        <v>2020</v>
      </c>
      <c r="AN10890" s="54" t="s">
        <v>185</v>
      </c>
      <c r="AO10890" s="54">
        <v>29</v>
      </c>
      <c r="AP10890" s="54">
        <v>16</v>
      </c>
      <c r="AQ10890" s="54">
        <v>16979</v>
      </c>
      <c r="AR10890" s="55">
        <v>28500</v>
      </c>
      <c r="AS10890" s="78">
        <f t="shared" si="174"/>
        <v>0.59575438596491226</v>
      </c>
    </row>
    <row r="10891" spans="39:45">
      <c r="AM10891" s="55">
        <v>2020</v>
      </c>
      <c r="AN10891" s="55" t="s">
        <v>185</v>
      </c>
      <c r="AO10891" s="55">
        <v>29</v>
      </c>
      <c r="AP10891" s="55">
        <v>17</v>
      </c>
      <c r="AQ10891" s="55">
        <v>4273.5</v>
      </c>
      <c r="AR10891" s="55">
        <v>28500</v>
      </c>
      <c r="AS10891" s="78">
        <f t="shared" si="174"/>
        <v>0.14994736842105263</v>
      </c>
    </row>
    <row r="10892" spans="39:45">
      <c r="AM10892" s="54">
        <v>2020</v>
      </c>
      <c r="AN10892" s="54" t="s">
        <v>185</v>
      </c>
      <c r="AO10892" s="54">
        <v>29</v>
      </c>
      <c r="AP10892" s="54">
        <v>18</v>
      </c>
      <c r="AQ10892" s="54">
        <v>0</v>
      </c>
      <c r="AR10892" s="55">
        <v>28500</v>
      </c>
      <c r="AS10892" s="78">
        <f t="shared" si="174"/>
        <v>0</v>
      </c>
    </row>
    <row r="10893" spans="39:45">
      <c r="AM10893" s="55">
        <v>2020</v>
      </c>
      <c r="AN10893" s="55" t="s">
        <v>185</v>
      </c>
      <c r="AO10893" s="55">
        <v>29</v>
      </c>
      <c r="AP10893" s="55">
        <v>19</v>
      </c>
      <c r="AQ10893" s="55">
        <v>0</v>
      </c>
      <c r="AR10893" s="55">
        <v>28500</v>
      </c>
      <c r="AS10893" s="78">
        <f t="shared" si="174"/>
        <v>0</v>
      </c>
    </row>
    <row r="10894" spans="39:45">
      <c r="AM10894" s="54">
        <v>2020</v>
      </c>
      <c r="AN10894" s="54" t="s">
        <v>185</v>
      </c>
      <c r="AO10894" s="54">
        <v>29</v>
      </c>
      <c r="AP10894" s="54">
        <v>20</v>
      </c>
      <c r="AQ10894" s="54">
        <v>0</v>
      </c>
      <c r="AR10894" s="55">
        <v>28500</v>
      </c>
      <c r="AS10894" s="78">
        <f t="shared" si="174"/>
        <v>0</v>
      </c>
    </row>
    <row r="10895" spans="39:45">
      <c r="AM10895" s="55">
        <v>2020</v>
      </c>
      <c r="AN10895" s="55" t="s">
        <v>185</v>
      </c>
      <c r="AO10895" s="55">
        <v>29</v>
      </c>
      <c r="AP10895" s="55">
        <v>21</v>
      </c>
      <c r="AQ10895" s="55">
        <v>0</v>
      </c>
      <c r="AR10895" s="55">
        <v>28500</v>
      </c>
      <c r="AS10895" s="78">
        <f t="shared" si="174"/>
        <v>0</v>
      </c>
    </row>
    <row r="10896" spans="39:45">
      <c r="AM10896" s="54">
        <v>2020</v>
      </c>
      <c r="AN10896" s="54" t="s">
        <v>185</v>
      </c>
      <c r="AO10896" s="54">
        <v>29</v>
      </c>
      <c r="AP10896" s="54">
        <v>22</v>
      </c>
      <c r="AQ10896" s="54">
        <v>0</v>
      </c>
      <c r="AR10896" s="55">
        <v>28500</v>
      </c>
      <c r="AS10896" s="78">
        <f t="shared" si="174"/>
        <v>0</v>
      </c>
    </row>
    <row r="10897" spans="39:45">
      <c r="AM10897" s="55">
        <v>2020</v>
      </c>
      <c r="AN10897" s="55" t="s">
        <v>185</v>
      </c>
      <c r="AO10897" s="55">
        <v>29</v>
      </c>
      <c r="AP10897" s="55">
        <v>23</v>
      </c>
      <c r="AQ10897" s="55">
        <v>0</v>
      </c>
      <c r="AR10897" s="55">
        <v>28500</v>
      </c>
      <c r="AS10897" s="78">
        <f t="shared" si="174"/>
        <v>0</v>
      </c>
    </row>
    <row r="10898" spans="39:45">
      <c r="AM10898" s="54">
        <v>2020</v>
      </c>
      <c r="AN10898" s="54" t="s">
        <v>185</v>
      </c>
      <c r="AO10898" s="54">
        <v>30</v>
      </c>
      <c r="AP10898" s="54">
        <v>24</v>
      </c>
      <c r="AQ10898" s="54">
        <v>0</v>
      </c>
      <c r="AR10898" s="55">
        <v>28500</v>
      </c>
      <c r="AS10898" s="78">
        <f t="shared" si="174"/>
        <v>0</v>
      </c>
    </row>
    <row r="10899" spans="39:45">
      <c r="AM10899" s="55">
        <v>2020</v>
      </c>
      <c r="AN10899" s="55" t="s">
        <v>185</v>
      </c>
      <c r="AO10899" s="55">
        <v>30</v>
      </c>
      <c r="AP10899" s="55">
        <v>1</v>
      </c>
      <c r="AQ10899" s="55">
        <v>0</v>
      </c>
      <c r="AR10899" s="55">
        <v>28500</v>
      </c>
      <c r="AS10899" s="78">
        <f t="shared" si="174"/>
        <v>0</v>
      </c>
    </row>
    <row r="10900" spans="39:45">
      <c r="AM10900" s="54">
        <v>2020</v>
      </c>
      <c r="AN10900" s="54" t="s">
        <v>185</v>
      </c>
      <c r="AO10900" s="54">
        <v>30</v>
      </c>
      <c r="AP10900" s="54">
        <v>2</v>
      </c>
      <c r="AQ10900" s="54">
        <v>0</v>
      </c>
      <c r="AR10900" s="55">
        <v>28500</v>
      </c>
      <c r="AS10900" s="78">
        <f t="shared" si="174"/>
        <v>0</v>
      </c>
    </row>
    <row r="10901" spans="39:45">
      <c r="AM10901" s="55">
        <v>2020</v>
      </c>
      <c r="AN10901" s="55" t="s">
        <v>185</v>
      </c>
      <c r="AO10901" s="55">
        <v>30</v>
      </c>
      <c r="AP10901" s="55">
        <v>3</v>
      </c>
      <c r="AQ10901" s="55">
        <v>0</v>
      </c>
      <c r="AR10901" s="55">
        <v>28500</v>
      </c>
      <c r="AS10901" s="78">
        <f t="shared" si="174"/>
        <v>0</v>
      </c>
    </row>
    <row r="10902" spans="39:45">
      <c r="AM10902" s="54">
        <v>2020</v>
      </c>
      <c r="AN10902" s="54" t="s">
        <v>185</v>
      </c>
      <c r="AO10902" s="54">
        <v>30</v>
      </c>
      <c r="AP10902" s="54">
        <v>4</v>
      </c>
      <c r="AQ10902" s="54">
        <v>0</v>
      </c>
      <c r="AR10902" s="55">
        <v>28500</v>
      </c>
      <c r="AS10902" s="78">
        <f t="shared" si="174"/>
        <v>0</v>
      </c>
    </row>
    <row r="10903" spans="39:45">
      <c r="AM10903" s="55">
        <v>2020</v>
      </c>
      <c r="AN10903" s="55" t="s">
        <v>185</v>
      </c>
      <c r="AO10903" s="55">
        <v>30</v>
      </c>
      <c r="AP10903" s="55">
        <v>5</v>
      </c>
      <c r="AQ10903" s="55">
        <v>0</v>
      </c>
      <c r="AR10903" s="55">
        <v>28500</v>
      </c>
      <c r="AS10903" s="78">
        <f t="shared" si="174"/>
        <v>0</v>
      </c>
    </row>
    <row r="10904" spans="39:45">
      <c r="AM10904" s="54">
        <v>2020</v>
      </c>
      <c r="AN10904" s="54" t="s">
        <v>185</v>
      </c>
      <c r="AO10904" s="54">
        <v>30</v>
      </c>
      <c r="AP10904" s="54">
        <v>6</v>
      </c>
      <c r="AQ10904" s="54">
        <v>101.5</v>
      </c>
      <c r="AR10904" s="55">
        <v>28500</v>
      </c>
      <c r="AS10904" s="78">
        <f t="shared" si="174"/>
        <v>3.5614035087719298E-3</v>
      </c>
    </row>
    <row r="10905" spans="39:45">
      <c r="AM10905" s="55">
        <v>2020</v>
      </c>
      <c r="AN10905" s="55" t="s">
        <v>185</v>
      </c>
      <c r="AO10905" s="55">
        <v>30</v>
      </c>
      <c r="AP10905" s="55">
        <v>7</v>
      </c>
      <c r="AQ10905" s="55">
        <v>4353.5</v>
      </c>
      <c r="AR10905" s="55">
        <v>28500</v>
      </c>
      <c r="AS10905" s="78">
        <f t="shared" si="174"/>
        <v>0.15275438596491228</v>
      </c>
    </row>
    <row r="10906" spans="39:45">
      <c r="AM10906" s="54">
        <v>2020</v>
      </c>
      <c r="AN10906" s="54" t="s">
        <v>185</v>
      </c>
      <c r="AO10906" s="54">
        <v>30</v>
      </c>
      <c r="AP10906" s="54">
        <v>8</v>
      </c>
      <c r="AQ10906" s="54">
        <v>6367</v>
      </c>
      <c r="AR10906" s="55">
        <v>28500</v>
      </c>
      <c r="AS10906" s="78">
        <f t="shared" si="174"/>
        <v>0.22340350877192983</v>
      </c>
    </row>
    <row r="10907" spans="39:45">
      <c r="AM10907" s="55">
        <v>2020</v>
      </c>
      <c r="AN10907" s="55" t="s">
        <v>185</v>
      </c>
      <c r="AO10907" s="55">
        <v>30</v>
      </c>
      <c r="AP10907" s="55">
        <v>9</v>
      </c>
      <c r="AQ10907" s="55">
        <v>5281.5</v>
      </c>
      <c r="AR10907" s="55">
        <v>28500</v>
      </c>
      <c r="AS10907" s="78">
        <f t="shared" si="174"/>
        <v>0.18531578947368421</v>
      </c>
    </row>
    <row r="10908" spans="39:45">
      <c r="AM10908" s="54">
        <v>2020</v>
      </c>
      <c r="AN10908" s="54" t="s">
        <v>185</v>
      </c>
      <c r="AO10908" s="54">
        <v>30</v>
      </c>
      <c r="AP10908" s="54">
        <v>10</v>
      </c>
      <c r="AQ10908" s="54">
        <v>8051.5</v>
      </c>
      <c r="AR10908" s="55">
        <v>28500</v>
      </c>
      <c r="AS10908" s="78">
        <f t="shared" si="174"/>
        <v>0.28250877192982454</v>
      </c>
    </row>
    <row r="10909" spans="39:45">
      <c r="AM10909" s="55">
        <v>2020</v>
      </c>
      <c r="AN10909" s="55" t="s">
        <v>185</v>
      </c>
      <c r="AO10909" s="55">
        <v>30</v>
      </c>
      <c r="AP10909" s="55">
        <v>11</v>
      </c>
      <c r="AQ10909" s="55">
        <v>4225.5</v>
      </c>
      <c r="AR10909" s="55">
        <v>28500</v>
      </c>
      <c r="AS10909" s="78">
        <f t="shared" si="174"/>
        <v>0.14826315789473685</v>
      </c>
    </row>
    <row r="10910" spans="39:45">
      <c r="AM10910" s="54">
        <v>2020</v>
      </c>
      <c r="AN10910" s="54" t="s">
        <v>185</v>
      </c>
      <c r="AO10910" s="54">
        <v>30</v>
      </c>
      <c r="AP10910" s="54">
        <v>12</v>
      </c>
      <c r="AQ10910" s="54">
        <v>5812</v>
      </c>
      <c r="AR10910" s="55">
        <v>28500</v>
      </c>
      <c r="AS10910" s="78">
        <f t="shared" si="174"/>
        <v>0.20392982456140352</v>
      </c>
    </row>
    <row r="10911" spans="39:45">
      <c r="AM10911" s="55">
        <v>2020</v>
      </c>
      <c r="AN10911" s="55" t="s">
        <v>185</v>
      </c>
      <c r="AO10911" s="55">
        <v>30</v>
      </c>
      <c r="AP10911" s="55">
        <v>13</v>
      </c>
      <c r="AQ10911" s="55">
        <v>3294</v>
      </c>
      <c r="AR10911" s="55">
        <v>28500</v>
      </c>
      <c r="AS10911" s="78">
        <f t="shared" si="174"/>
        <v>0.11557894736842106</v>
      </c>
    </row>
    <row r="10912" spans="39:45">
      <c r="AM10912" s="54">
        <v>2020</v>
      </c>
      <c r="AN10912" s="54" t="s">
        <v>185</v>
      </c>
      <c r="AO10912" s="54">
        <v>30</v>
      </c>
      <c r="AP10912" s="54">
        <v>14</v>
      </c>
      <c r="AQ10912" s="54">
        <v>3172</v>
      </c>
      <c r="AR10912" s="55">
        <v>28500</v>
      </c>
      <c r="AS10912" s="78">
        <f t="shared" si="174"/>
        <v>0.11129824561403509</v>
      </c>
    </row>
    <row r="10913" spans="39:45">
      <c r="AM10913" s="55">
        <v>2020</v>
      </c>
      <c r="AN10913" s="55" t="s">
        <v>185</v>
      </c>
      <c r="AO10913" s="55">
        <v>30</v>
      </c>
      <c r="AP10913" s="55">
        <v>15</v>
      </c>
      <c r="AQ10913" s="55">
        <v>17484.5</v>
      </c>
      <c r="AR10913" s="55">
        <v>28500</v>
      </c>
      <c r="AS10913" s="78">
        <f t="shared" si="174"/>
        <v>0.61349122807017542</v>
      </c>
    </row>
    <row r="10914" spans="39:45">
      <c r="AM10914" s="54">
        <v>2020</v>
      </c>
      <c r="AN10914" s="54" t="s">
        <v>185</v>
      </c>
      <c r="AO10914" s="54">
        <v>30</v>
      </c>
      <c r="AP10914" s="54">
        <v>16</v>
      </c>
      <c r="AQ10914" s="54">
        <v>9763.5</v>
      </c>
      <c r="AR10914" s="55">
        <v>28500</v>
      </c>
      <c r="AS10914" s="78">
        <f t="shared" si="174"/>
        <v>0.34257894736842104</v>
      </c>
    </row>
    <row r="10915" spans="39:45">
      <c r="AM10915" s="55">
        <v>2020</v>
      </c>
      <c r="AN10915" s="55" t="s">
        <v>185</v>
      </c>
      <c r="AO10915" s="55">
        <v>30</v>
      </c>
      <c r="AP10915" s="55">
        <v>17</v>
      </c>
      <c r="AQ10915" s="55">
        <v>3846.5</v>
      </c>
      <c r="AR10915" s="55">
        <v>28500</v>
      </c>
      <c r="AS10915" s="78">
        <f t="shared" si="174"/>
        <v>0.13496491228070176</v>
      </c>
    </row>
    <row r="10916" spans="39:45">
      <c r="AM10916" s="54">
        <v>2020</v>
      </c>
      <c r="AN10916" s="54" t="s">
        <v>185</v>
      </c>
      <c r="AO10916" s="54">
        <v>30</v>
      </c>
      <c r="AP10916" s="54">
        <v>18</v>
      </c>
      <c r="AQ10916" s="54">
        <v>0</v>
      </c>
      <c r="AR10916" s="55">
        <v>28500</v>
      </c>
      <c r="AS10916" s="78">
        <f t="shared" si="174"/>
        <v>0</v>
      </c>
    </row>
    <row r="10917" spans="39:45">
      <c r="AM10917" s="55">
        <v>2020</v>
      </c>
      <c r="AN10917" s="55" t="s">
        <v>185</v>
      </c>
      <c r="AO10917" s="55">
        <v>30</v>
      </c>
      <c r="AP10917" s="55">
        <v>19</v>
      </c>
      <c r="AQ10917" s="55">
        <v>0</v>
      </c>
      <c r="AR10917" s="55">
        <v>28500</v>
      </c>
      <c r="AS10917" s="78">
        <f t="shared" si="174"/>
        <v>0</v>
      </c>
    </row>
    <row r="10918" spans="39:45">
      <c r="AM10918" s="54">
        <v>2020</v>
      </c>
      <c r="AN10918" s="54" t="s">
        <v>185</v>
      </c>
      <c r="AO10918" s="54">
        <v>30</v>
      </c>
      <c r="AP10918" s="54">
        <v>20</v>
      </c>
      <c r="AQ10918" s="54">
        <v>0</v>
      </c>
      <c r="AR10918" s="55">
        <v>28500</v>
      </c>
      <c r="AS10918" s="78">
        <f t="shared" si="174"/>
        <v>0</v>
      </c>
    </row>
    <row r="10919" spans="39:45">
      <c r="AM10919" s="55">
        <v>2020</v>
      </c>
      <c r="AN10919" s="55" t="s">
        <v>185</v>
      </c>
      <c r="AO10919" s="55">
        <v>30</v>
      </c>
      <c r="AP10919" s="55">
        <v>21</v>
      </c>
      <c r="AQ10919" s="55">
        <v>0</v>
      </c>
      <c r="AR10919" s="55">
        <v>28500</v>
      </c>
      <c r="AS10919" s="78">
        <f t="shared" si="174"/>
        <v>0</v>
      </c>
    </row>
    <row r="10920" spans="39:45">
      <c r="AM10920" s="54">
        <v>2020</v>
      </c>
      <c r="AN10920" s="54" t="s">
        <v>185</v>
      </c>
      <c r="AO10920" s="54">
        <v>30</v>
      </c>
      <c r="AP10920" s="54">
        <v>22</v>
      </c>
      <c r="AQ10920" s="54">
        <v>0</v>
      </c>
      <c r="AR10920" s="55">
        <v>28500</v>
      </c>
      <c r="AS10920" s="78">
        <f t="shared" si="174"/>
        <v>0</v>
      </c>
    </row>
    <row r="10921" spans="39:45">
      <c r="AM10921" s="55">
        <v>2020</v>
      </c>
      <c r="AN10921" s="55" t="s">
        <v>185</v>
      </c>
      <c r="AO10921" s="55">
        <v>30</v>
      </c>
      <c r="AP10921" s="55">
        <v>23</v>
      </c>
      <c r="AQ10921" s="55">
        <v>0</v>
      </c>
      <c r="AR10921" s="55">
        <v>28500</v>
      </c>
      <c r="AS10921" s="78">
        <f t="shared" si="174"/>
        <v>0</v>
      </c>
    </row>
    <row r="10922" spans="39:45">
      <c r="AM10922" s="54">
        <v>2020</v>
      </c>
      <c r="AN10922" s="54" t="s">
        <v>185</v>
      </c>
      <c r="AO10922" s="54">
        <v>31</v>
      </c>
      <c r="AP10922" s="54">
        <v>24</v>
      </c>
      <c r="AQ10922" s="54">
        <v>0</v>
      </c>
      <c r="AR10922" s="55">
        <v>28500</v>
      </c>
      <c r="AS10922" s="78">
        <f t="shared" si="174"/>
        <v>0</v>
      </c>
    </row>
    <row r="10923" spans="39:45">
      <c r="AM10923" s="55">
        <v>2020</v>
      </c>
      <c r="AN10923" s="55" t="s">
        <v>185</v>
      </c>
      <c r="AO10923" s="55">
        <v>31</v>
      </c>
      <c r="AP10923" s="55">
        <v>1</v>
      </c>
      <c r="AQ10923" s="55">
        <v>0</v>
      </c>
      <c r="AR10923" s="55">
        <v>28500</v>
      </c>
      <c r="AS10923" s="78">
        <f t="shared" si="174"/>
        <v>0</v>
      </c>
    </row>
    <row r="10924" spans="39:45">
      <c r="AM10924" s="54">
        <v>2020</v>
      </c>
      <c r="AN10924" s="54" t="s">
        <v>185</v>
      </c>
      <c r="AO10924" s="54">
        <v>31</v>
      </c>
      <c r="AP10924" s="54">
        <v>2</v>
      </c>
      <c r="AQ10924" s="54">
        <v>0</v>
      </c>
      <c r="AR10924" s="55">
        <v>28500</v>
      </c>
      <c r="AS10924" s="78">
        <f t="shared" si="174"/>
        <v>0</v>
      </c>
    </row>
    <row r="10925" spans="39:45">
      <c r="AM10925" s="55">
        <v>2020</v>
      </c>
      <c r="AN10925" s="55" t="s">
        <v>185</v>
      </c>
      <c r="AO10925" s="55">
        <v>31</v>
      </c>
      <c r="AP10925" s="55">
        <v>3</v>
      </c>
      <c r="AQ10925" s="55">
        <v>0</v>
      </c>
      <c r="AR10925" s="55">
        <v>28500</v>
      </c>
      <c r="AS10925" s="78">
        <f t="shared" si="174"/>
        <v>0</v>
      </c>
    </row>
    <row r="10926" spans="39:45">
      <c r="AM10926" s="54">
        <v>2020</v>
      </c>
      <c r="AN10926" s="54" t="s">
        <v>185</v>
      </c>
      <c r="AO10926" s="54">
        <v>31</v>
      </c>
      <c r="AP10926" s="54">
        <v>4</v>
      </c>
      <c r="AQ10926" s="54">
        <v>0</v>
      </c>
      <c r="AR10926" s="55">
        <v>28500</v>
      </c>
      <c r="AS10926" s="78">
        <f t="shared" si="174"/>
        <v>0</v>
      </c>
    </row>
    <row r="10927" spans="39:45">
      <c r="AM10927" s="55">
        <v>2020</v>
      </c>
      <c r="AN10927" s="55" t="s">
        <v>185</v>
      </c>
      <c r="AO10927" s="55">
        <v>31</v>
      </c>
      <c r="AP10927" s="55">
        <v>5</v>
      </c>
      <c r="AQ10927" s="55">
        <v>0</v>
      </c>
      <c r="AR10927" s="55">
        <v>28500</v>
      </c>
      <c r="AS10927" s="78">
        <f t="shared" si="174"/>
        <v>0</v>
      </c>
    </row>
    <row r="10928" spans="39:45">
      <c r="AM10928" s="54">
        <v>2020</v>
      </c>
      <c r="AN10928" s="54" t="s">
        <v>185</v>
      </c>
      <c r="AO10928" s="54">
        <v>31</v>
      </c>
      <c r="AP10928" s="54">
        <v>6</v>
      </c>
      <c r="AQ10928" s="54">
        <v>374.5</v>
      </c>
      <c r="AR10928" s="55">
        <v>28500</v>
      </c>
      <c r="AS10928" s="78">
        <f t="shared" si="174"/>
        <v>1.3140350877192982E-2</v>
      </c>
    </row>
    <row r="10929" spans="39:45">
      <c r="AM10929" s="55">
        <v>2020</v>
      </c>
      <c r="AN10929" s="55" t="s">
        <v>185</v>
      </c>
      <c r="AO10929" s="55">
        <v>31</v>
      </c>
      <c r="AP10929" s="55">
        <v>7</v>
      </c>
      <c r="AQ10929" s="55">
        <v>6370</v>
      </c>
      <c r="AR10929" s="55">
        <v>28500</v>
      </c>
      <c r="AS10929" s="78">
        <f t="shared" si="174"/>
        <v>0.22350877192982457</v>
      </c>
    </row>
    <row r="10930" spans="39:45">
      <c r="AM10930" s="54">
        <v>2020</v>
      </c>
      <c r="AN10930" s="54" t="s">
        <v>185</v>
      </c>
      <c r="AO10930" s="54">
        <v>31</v>
      </c>
      <c r="AP10930" s="54">
        <v>8</v>
      </c>
      <c r="AQ10930" s="54">
        <v>20226.5</v>
      </c>
      <c r="AR10930" s="55">
        <v>28500</v>
      </c>
      <c r="AS10930" s="78">
        <f t="shared" si="174"/>
        <v>0.70970175438596494</v>
      </c>
    </row>
    <row r="10931" spans="39:45">
      <c r="AM10931" s="55">
        <v>2020</v>
      </c>
      <c r="AN10931" s="55" t="s">
        <v>185</v>
      </c>
      <c r="AO10931" s="55">
        <v>31</v>
      </c>
      <c r="AP10931" s="55">
        <v>9</v>
      </c>
      <c r="AQ10931" s="55">
        <v>8680.5</v>
      </c>
      <c r="AR10931" s="55">
        <v>28500</v>
      </c>
      <c r="AS10931" s="78">
        <f t="shared" si="174"/>
        <v>0.30457894736842106</v>
      </c>
    </row>
    <row r="10932" spans="39:45">
      <c r="AM10932" s="54">
        <v>2020</v>
      </c>
      <c r="AN10932" s="54" t="s">
        <v>185</v>
      </c>
      <c r="AO10932" s="54">
        <v>31</v>
      </c>
      <c r="AP10932" s="54">
        <v>10</v>
      </c>
      <c r="AQ10932" s="54">
        <v>21767.5</v>
      </c>
      <c r="AR10932" s="55">
        <v>28500</v>
      </c>
      <c r="AS10932" s="78">
        <f t="shared" si="174"/>
        <v>0.76377192982456144</v>
      </c>
    </row>
    <row r="10933" spans="39:45">
      <c r="AM10933" s="55">
        <v>2020</v>
      </c>
      <c r="AN10933" s="55" t="s">
        <v>185</v>
      </c>
      <c r="AO10933" s="55">
        <v>31</v>
      </c>
      <c r="AP10933" s="55">
        <v>11</v>
      </c>
      <c r="AQ10933" s="55">
        <v>30364.5</v>
      </c>
      <c r="AR10933" s="55">
        <v>28500</v>
      </c>
      <c r="AS10933" s="78">
        <f t="shared" si="174"/>
        <v>1.065421052631579</v>
      </c>
    </row>
    <row r="10934" spans="39:45">
      <c r="AM10934" s="54">
        <v>2020</v>
      </c>
      <c r="AN10934" s="54" t="s">
        <v>185</v>
      </c>
      <c r="AO10934" s="54">
        <v>31</v>
      </c>
      <c r="AP10934" s="54">
        <v>12</v>
      </c>
      <c r="AQ10934" s="54">
        <v>16418.5</v>
      </c>
      <c r="AR10934" s="55">
        <v>28500</v>
      </c>
      <c r="AS10934" s="78">
        <f t="shared" si="174"/>
        <v>0.57608771929824565</v>
      </c>
    </row>
    <row r="10935" spans="39:45">
      <c r="AM10935" s="55">
        <v>2020</v>
      </c>
      <c r="AN10935" s="55" t="s">
        <v>185</v>
      </c>
      <c r="AO10935" s="55">
        <v>31</v>
      </c>
      <c r="AP10935" s="55">
        <v>13</v>
      </c>
      <c r="AQ10935" s="55">
        <v>27232</v>
      </c>
      <c r="AR10935" s="55">
        <v>28500</v>
      </c>
      <c r="AS10935" s="78">
        <f t="shared" si="174"/>
        <v>0.95550877192982453</v>
      </c>
    </row>
    <row r="10936" spans="39:45">
      <c r="AM10936" s="54">
        <v>2020</v>
      </c>
      <c r="AN10936" s="54" t="s">
        <v>185</v>
      </c>
      <c r="AO10936" s="54">
        <v>31</v>
      </c>
      <c r="AP10936" s="54">
        <v>14</v>
      </c>
      <c r="AQ10936" s="54">
        <v>8008</v>
      </c>
      <c r="AR10936" s="55">
        <v>28500</v>
      </c>
      <c r="AS10936" s="78">
        <f t="shared" si="174"/>
        <v>0.28098245614035089</v>
      </c>
    </row>
    <row r="10937" spans="39:45">
      <c r="AM10937" s="55">
        <v>2020</v>
      </c>
      <c r="AN10937" s="55" t="s">
        <v>185</v>
      </c>
      <c r="AO10937" s="55">
        <v>31</v>
      </c>
      <c r="AP10937" s="55">
        <v>15</v>
      </c>
      <c r="AQ10937" s="55">
        <v>17423.5</v>
      </c>
      <c r="AR10937" s="55">
        <v>28500</v>
      </c>
      <c r="AS10937" s="78">
        <f t="shared" si="174"/>
        <v>0.61135087719298242</v>
      </c>
    </row>
    <row r="10938" spans="39:45">
      <c r="AM10938" s="54">
        <v>2020</v>
      </c>
      <c r="AN10938" s="54" t="s">
        <v>185</v>
      </c>
      <c r="AO10938" s="54">
        <v>31</v>
      </c>
      <c r="AP10938" s="54">
        <v>16</v>
      </c>
      <c r="AQ10938" s="54">
        <v>18349</v>
      </c>
      <c r="AR10938" s="55">
        <v>28500</v>
      </c>
      <c r="AS10938" s="78">
        <f t="shared" si="174"/>
        <v>0.64382456140350874</v>
      </c>
    </row>
    <row r="10939" spans="39:45">
      <c r="AM10939" s="55">
        <v>2020</v>
      </c>
      <c r="AN10939" s="55" t="s">
        <v>185</v>
      </c>
      <c r="AO10939" s="55">
        <v>31</v>
      </c>
      <c r="AP10939" s="55">
        <v>17</v>
      </c>
      <c r="AQ10939" s="55">
        <v>7015</v>
      </c>
      <c r="AR10939" s="55">
        <v>28500</v>
      </c>
      <c r="AS10939" s="78">
        <f t="shared" si="174"/>
        <v>0.24614035087719299</v>
      </c>
    </row>
    <row r="10940" spans="39:45">
      <c r="AM10940" s="54">
        <v>2020</v>
      </c>
      <c r="AN10940" s="54" t="s">
        <v>185</v>
      </c>
      <c r="AO10940" s="54">
        <v>31</v>
      </c>
      <c r="AP10940" s="54">
        <v>18</v>
      </c>
      <c r="AQ10940" s="54">
        <v>0</v>
      </c>
      <c r="AR10940" s="55">
        <v>28500</v>
      </c>
      <c r="AS10940" s="78">
        <f t="shared" si="174"/>
        <v>0</v>
      </c>
    </row>
    <row r="10941" spans="39:45">
      <c r="AM10941" s="55">
        <v>2020</v>
      </c>
      <c r="AN10941" s="55" t="s">
        <v>185</v>
      </c>
      <c r="AO10941" s="55">
        <v>31</v>
      </c>
      <c r="AP10941" s="55">
        <v>19</v>
      </c>
      <c r="AQ10941" s="55">
        <v>0</v>
      </c>
      <c r="AR10941" s="55">
        <v>28500</v>
      </c>
      <c r="AS10941" s="78">
        <f t="shared" si="174"/>
        <v>0</v>
      </c>
    </row>
    <row r="10942" spans="39:45">
      <c r="AM10942" s="54">
        <v>2020</v>
      </c>
      <c r="AN10942" s="54" t="s">
        <v>185</v>
      </c>
      <c r="AO10942" s="54">
        <v>31</v>
      </c>
      <c r="AP10942" s="54">
        <v>20</v>
      </c>
      <c r="AQ10942" s="54">
        <v>0</v>
      </c>
      <c r="AR10942" s="55">
        <v>28500</v>
      </c>
      <c r="AS10942" s="78">
        <f t="shared" si="174"/>
        <v>0</v>
      </c>
    </row>
    <row r="10943" spans="39:45">
      <c r="AM10943" s="55">
        <v>2020</v>
      </c>
      <c r="AN10943" s="55" t="s">
        <v>185</v>
      </c>
      <c r="AO10943" s="55">
        <v>31</v>
      </c>
      <c r="AP10943" s="55">
        <v>21</v>
      </c>
      <c r="AQ10943" s="55">
        <v>0</v>
      </c>
      <c r="AR10943" s="55">
        <v>28500</v>
      </c>
      <c r="AS10943" s="78">
        <f t="shared" si="174"/>
        <v>0</v>
      </c>
    </row>
    <row r="10944" spans="39:45">
      <c r="AM10944" s="54">
        <v>2020</v>
      </c>
      <c r="AN10944" s="54" t="s">
        <v>185</v>
      </c>
      <c r="AO10944" s="54">
        <v>31</v>
      </c>
      <c r="AP10944" s="54">
        <v>22</v>
      </c>
      <c r="AQ10944" s="54">
        <v>0</v>
      </c>
      <c r="AR10944" s="55">
        <v>28500</v>
      </c>
      <c r="AS10944" s="78">
        <f t="shared" si="174"/>
        <v>0</v>
      </c>
    </row>
    <row r="10945" spans="39:45">
      <c r="AM10945" s="55">
        <v>2020</v>
      </c>
      <c r="AN10945" s="55" t="s">
        <v>185</v>
      </c>
      <c r="AO10945" s="55">
        <v>31</v>
      </c>
      <c r="AP10945" s="55">
        <v>23</v>
      </c>
      <c r="AQ10945" s="55">
        <v>0</v>
      </c>
      <c r="AR10945" s="55">
        <v>28500</v>
      </c>
      <c r="AS10945" s="78">
        <f t="shared" si="174"/>
        <v>0</v>
      </c>
    </row>
    <row r="10946" spans="39:45">
      <c r="AM10946" s="54">
        <v>2020</v>
      </c>
      <c r="AN10946" s="54" t="s">
        <v>186</v>
      </c>
      <c r="AO10946" s="54">
        <v>1</v>
      </c>
      <c r="AP10946" s="54">
        <v>24</v>
      </c>
      <c r="AQ10946" s="54">
        <v>0</v>
      </c>
      <c r="AR10946" s="55">
        <v>28500</v>
      </c>
      <c r="AS10946" s="78">
        <f t="shared" ref="AS10946:AS11009" si="175">AQ10946/AR10946</f>
        <v>0</v>
      </c>
    </row>
    <row r="10947" spans="39:45">
      <c r="AM10947" s="55">
        <v>2020</v>
      </c>
      <c r="AN10947" s="55" t="s">
        <v>186</v>
      </c>
      <c r="AO10947" s="55">
        <v>1</v>
      </c>
      <c r="AP10947" s="55">
        <v>1</v>
      </c>
      <c r="AQ10947" s="55">
        <v>0</v>
      </c>
      <c r="AR10947" s="55">
        <v>28500</v>
      </c>
      <c r="AS10947" s="78">
        <f t="shared" si="175"/>
        <v>0</v>
      </c>
    </row>
    <row r="10948" spans="39:45">
      <c r="AM10948" s="54">
        <v>2020</v>
      </c>
      <c r="AN10948" s="54" t="s">
        <v>186</v>
      </c>
      <c r="AO10948" s="54">
        <v>1</v>
      </c>
      <c r="AP10948" s="54">
        <v>2</v>
      </c>
      <c r="AQ10948" s="54">
        <v>0</v>
      </c>
      <c r="AR10948" s="55">
        <v>28500</v>
      </c>
      <c r="AS10948" s="78">
        <f t="shared" si="175"/>
        <v>0</v>
      </c>
    </row>
    <row r="10949" spans="39:45">
      <c r="AM10949" s="55">
        <v>2020</v>
      </c>
      <c r="AN10949" s="55" t="s">
        <v>186</v>
      </c>
      <c r="AO10949" s="55">
        <v>1</v>
      </c>
      <c r="AP10949" s="55">
        <v>3</v>
      </c>
      <c r="AQ10949" s="55">
        <v>0</v>
      </c>
      <c r="AR10949" s="55">
        <v>28500</v>
      </c>
      <c r="AS10949" s="78">
        <f t="shared" si="175"/>
        <v>0</v>
      </c>
    </row>
    <row r="10950" spans="39:45">
      <c r="AM10950" s="54">
        <v>2020</v>
      </c>
      <c r="AN10950" s="54" t="s">
        <v>186</v>
      </c>
      <c r="AO10950" s="54">
        <v>1</v>
      </c>
      <c r="AP10950" s="54">
        <v>4</v>
      </c>
      <c r="AQ10950" s="54">
        <v>0</v>
      </c>
      <c r="AR10950" s="55">
        <v>28500</v>
      </c>
      <c r="AS10950" s="78">
        <f t="shared" si="175"/>
        <v>0</v>
      </c>
    </row>
    <row r="10951" spans="39:45">
      <c r="AM10951" s="55">
        <v>2020</v>
      </c>
      <c r="AN10951" s="55" t="s">
        <v>186</v>
      </c>
      <c r="AO10951" s="55">
        <v>1</v>
      </c>
      <c r="AP10951" s="55">
        <v>5</v>
      </c>
      <c r="AQ10951" s="55">
        <v>0</v>
      </c>
      <c r="AR10951" s="55">
        <v>28500</v>
      </c>
      <c r="AS10951" s="78">
        <f t="shared" si="175"/>
        <v>0</v>
      </c>
    </row>
    <row r="10952" spans="39:45">
      <c r="AM10952" s="54">
        <v>2020</v>
      </c>
      <c r="AN10952" s="54" t="s">
        <v>186</v>
      </c>
      <c r="AO10952" s="54">
        <v>1</v>
      </c>
      <c r="AP10952" s="54">
        <v>6</v>
      </c>
      <c r="AQ10952" s="54">
        <v>604</v>
      </c>
      <c r="AR10952" s="55">
        <v>28500</v>
      </c>
      <c r="AS10952" s="78">
        <f t="shared" si="175"/>
        <v>2.119298245614035E-2</v>
      </c>
    </row>
    <row r="10953" spans="39:45">
      <c r="AM10953" s="55">
        <v>2020</v>
      </c>
      <c r="AN10953" s="55" t="s">
        <v>186</v>
      </c>
      <c r="AO10953" s="55">
        <v>1</v>
      </c>
      <c r="AP10953" s="55">
        <v>7</v>
      </c>
      <c r="AQ10953" s="55">
        <v>10041</v>
      </c>
      <c r="AR10953" s="55">
        <v>28500</v>
      </c>
      <c r="AS10953" s="78">
        <f t="shared" si="175"/>
        <v>0.35231578947368419</v>
      </c>
    </row>
    <row r="10954" spans="39:45">
      <c r="AM10954" s="54">
        <v>2020</v>
      </c>
      <c r="AN10954" s="54" t="s">
        <v>186</v>
      </c>
      <c r="AO10954" s="54">
        <v>1</v>
      </c>
      <c r="AP10954" s="54">
        <v>8</v>
      </c>
      <c r="AQ10954" s="54">
        <v>21844.5</v>
      </c>
      <c r="AR10954" s="55">
        <v>28500</v>
      </c>
      <c r="AS10954" s="78">
        <f t="shared" si="175"/>
        <v>0.76647368421052631</v>
      </c>
    </row>
    <row r="10955" spans="39:45">
      <c r="AM10955" s="55">
        <v>2020</v>
      </c>
      <c r="AN10955" s="55" t="s">
        <v>186</v>
      </c>
      <c r="AO10955" s="55">
        <v>1</v>
      </c>
      <c r="AP10955" s="55">
        <v>9</v>
      </c>
      <c r="AQ10955" s="55">
        <v>30851</v>
      </c>
      <c r="AR10955" s="55">
        <v>28500</v>
      </c>
      <c r="AS10955" s="78">
        <f t="shared" si="175"/>
        <v>1.0824912280701755</v>
      </c>
    </row>
    <row r="10956" spans="39:45">
      <c r="AM10956" s="54">
        <v>2020</v>
      </c>
      <c r="AN10956" s="54" t="s">
        <v>186</v>
      </c>
      <c r="AO10956" s="54">
        <v>1</v>
      </c>
      <c r="AP10956" s="54">
        <v>10</v>
      </c>
      <c r="AQ10956" s="54">
        <v>37739.5</v>
      </c>
      <c r="AR10956" s="55">
        <v>28500</v>
      </c>
      <c r="AS10956" s="78">
        <f t="shared" si="175"/>
        <v>1.3241929824561403</v>
      </c>
    </row>
    <row r="10957" spans="39:45">
      <c r="AM10957" s="55">
        <v>2020</v>
      </c>
      <c r="AN10957" s="55" t="s">
        <v>186</v>
      </c>
      <c r="AO10957" s="55">
        <v>1</v>
      </c>
      <c r="AP10957" s="55">
        <v>11</v>
      </c>
      <c r="AQ10957" s="55">
        <v>34082</v>
      </c>
      <c r="AR10957" s="55">
        <v>28500</v>
      </c>
      <c r="AS10957" s="78">
        <f t="shared" si="175"/>
        <v>1.1958596491228071</v>
      </c>
    </row>
    <row r="10958" spans="39:45">
      <c r="AM10958" s="54">
        <v>2020</v>
      </c>
      <c r="AN10958" s="54" t="s">
        <v>186</v>
      </c>
      <c r="AO10958" s="54">
        <v>1</v>
      </c>
      <c r="AP10958" s="54">
        <v>12</v>
      </c>
      <c r="AQ10958" s="54">
        <v>8410.5</v>
      </c>
      <c r="AR10958" s="55">
        <v>28500</v>
      </c>
      <c r="AS10958" s="78">
        <f t="shared" si="175"/>
        <v>0.29510526315789476</v>
      </c>
    </row>
    <row r="10959" spans="39:45">
      <c r="AM10959" s="55">
        <v>2020</v>
      </c>
      <c r="AN10959" s="55" t="s">
        <v>186</v>
      </c>
      <c r="AO10959" s="55">
        <v>1</v>
      </c>
      <c r="AP10959" s="55">
        <v>13</v>
      </c>
      <c r="AQ10959" s="55">
        <v>5160</v>
      </c>
      <c r="AR10959" s="55">
        <v>28500</v>
      </c>
      <c r="AS10959" s="78">
        <f t="shared" si="175"/>
        <v>0.18105263157894738</v>
      </c>
    </row>
    <row r="10960" spans="39:45">
      <c r="AM10960" s="54">
        <v>2020</v>
      </c>
      <c r="AN10960" s="54" t="s">
        <v>186</v>
      </c>
      <c r="AO10960" s="54">
        <v>1</v>
      </c>
      <c r="AP10960" s="54">
        <v>14</v>
      </c>
      <c r="AQ10960" s="54">
        <v>3627</v>
      </c>
      <c r="AR10960" s="55">
        <v>28500</v>
      </c>
      <c r="AS10960" s="78">
        <f t="shared" si="175"/>
        <v>0.12726315789473686</v>
      </c>
    </row>
    <row r="10961" spans="39:45">
      <c r="AM10961" s="55">
        <v>2020</v>
      </c>
      <c r="AN10961" s="55" t="s">
        <v>186</v>
      </c>
      <c r="AO10961" s="55">
        <v>1</v>
      </c>
      <c r="AP10961" s="55">
        <v>15</v>
      </c>
      <c r="AQ10961" s="55">
        <v>3948.5</v>
      </c>
      <c r="AR10961" s="55">
        <v>28500</v>
      </c>
      <c r="AS10961" s="78">
        <f t="shared" si="175"/>
        <v>0.1385438596491228</v>
      </c>
    </row>
    <row r="10962" spans="39:45">
      <c r="AM10962" s="54">
        <v>2020</v>
      </c>
      <c r="AN10962" s="54" t="s">
        <v>186</v>
      </c>
      <c r="AO10962" s="54">
        <v>1</v>
      </c>
      <c r="AP10962" s="54">
        <v>16</v>
      </c>
      <c r="AQ10962" s="54">
        <v>3329.5</v>
      </c>
      <c r="AR10962" s="55">
        <v>28500</v>
      </c>
      <c r="AS10962" s="78">
        <f t="shared" si="175"/>
        <v>0.11682456140350878</v>
      </c>
    </row>
    <row r="10963" spans="39:45">
      <c r="AM10963" s="55">
        <v>2020</v>
      </c>
      <c r="AN10963" s="55" t="s">
        <v>186</v>
      </c>
      <c r="AO10963" s="55">
        <v>1</v>
      </c>
      <c r="AP10963" s="55">
        <v>17</v>
      </c>
      <c r="AQ10963" s="55">
        <v>2007.5</v>
      </c>
      <c r="AR10963" s="55">
        <v>28500</v>
      </c>
      <c r="AS10963" s="78">
        <f t="shared" si="175"/>
        <v>7.0438596491228064E-2</v>
      </c>
    </row>
    <row r="10964" spans="39:45">
      <c r="AM10964" s="54">
        <v>2020</v>
      </c>
      <c r="AN10964" s="54" t="s">
        <v>186</v>
      </c>
      <c r="AO10964" s="54">
        <v>1</v>
      </c>
      <c r="AP10964" s="54">
        <v>18</v>
      </c>
      <c r="AQ10964" s="54">
        <v>0</v>
      </c>
      <c r="AR10964" s="55">
        <v>28500</v>
      </c>
      <c r="AS10964" s="78">
        <f t="shared" si="175"/>
        <v>0</v>
      </c>
    </row>
    <row r="10965" spans="39:45">
      <c r="AM10965" s="55">
        <v>2020</v>
      </c>
      <c r="AN10965" s="55" t="s">
        <v>186</v>
      </c>
      <c r="AO10965" s="55">
        <v>1</v>
      </c>
      <c r="AP10965" s="55">
        <v>19</v>
      </c>
      <c r="AQ10965" s="55">
        <v>0</v>
      </c>
      <c r="AR10965" s="55">
        <v>28500</v>
      </c>
      <c r="AS10965" s="78">
        <f t="shared" si="175"/>
        <v>0</v>
      </c>
    </row>
    <row r="10966" spans="39:45">
      <c r="AM10966" s="54">
        <v>2020</v>
      </c>
      <c r="AN10966" s="54" t="s">
        <v>186</v>
      </c>
      <c r="AO10966" s="54">
        <v>1</v>
      </c>
      <c r="AP10966" s="54">
        <v>20</v>
      </c>
      <c r="AQ10966" s="54">
        <v>0</v>
      </c>
      <c r="AR10966" s="55">
        <v>28500</v>
      </c>
      <c r="AS10966" s="78">
        <f t="shared" si="175"/>
        <v>0</v>
      </c>
    </row>
    <row r="10967" spans="39:45">
      <c r="AM10967" s="55">
        <v>2020</v>
      </c>
      <c r="AN10967" s="55" t="s">
        <v>186</v>
      </c>
      <c r="AO10967" s="55">
        <v>1</v>
      </c>
      <c r="AP10967" s="55">
        <v>21</v>
      </c>
      <c r="AQ10967" s="55">
        <v>0</v>
      </c>
      <c r="AR10967" s="55">
        <v>28500</v>
      </c>
      <c r="AS10967" s="78">
        <f t="shared" si="175"/>
        <v>0</v>
      </c>
    </row>
    <row r="10968" spans="39:45">
      <c r="AM10968" s="54">
        <v>2020</v>
      </c>
      <c r="AN10968" s="54" t="s">
        <v>186</v>
      </c>
      <c r="AO10968" s="54">
        <v>1</v>
      </c>
      <c r="AP10968" s="54">
        <v>22</v>
      </c>
      <c r="AQ10968" s="54">
        <v>0</v>
      </c>
      <c r="AR10968" s="55">
        <v>28500</v>
      </c>
      <c r="AS10968" s="78">
        <f t="shared" si="175"/>
        <v>0</v>
      </c>
    </row>
    <row r="10969" spans="39:45">
      <c r="AM10969" s="55">
        <v>2020</v>
      </c>
      <c r="AN10969" s="55" t="s">
        <v>186</v>
      </c>
      <c r="AO10969" s="55">
        <v>1</v>
      </c>
      <c r="AP10969" s="55">
        <v>23</v>
      </c>
      <c r="AQ10969" s="55">
        <v>0</v>
      </c>
      <c r="AR10969" s="55">
        <v>28500</v>
      </c>
      <c r="AS10969" s="78">
        <f t="shared" si="175"/>
        <v>0</v>
      </c>
    </row>
    <row r="10970" spans="39:45">
      <c r="AM10970" s="54">
        <v>2020</v>
      </c>
      <c r="AN10970" s="54" t="s">
        <v>186</v>
      </c>
      <c r="AO10970" s="54">
        <v>2</v>
      </c>
      <c r="AP10970" s="54">
        <v>24</v>
      </c>
      <c r="AQ10970" s="54">
        <v>0</v>
      </c>
      <c r="AR10970" s="55">
        <v>28500</v>
      </c>
      <c r="AS10970" s="78">
        <f t="shared" si="175"/>
        <v>0</v>
      </c>
    </row>
    <row r="10971" spans="39:45">
      <c r="AM10971" s="55">
        <v>2020</v>
      </c>
      <c r="AN10971" s="55" t="s">
        <v>186</v>
      </c>
      <c r="AO10971" s="55">
        <v>2</v>
      </c>
      <c r="AP10971" s="55">
        <v>1</v>
      </c>
      <c r="AQ10971" s="55">
        <v>0</v>
      </c>
      <c r="AR10971" s="55">
        <v>28500</v>
      </c>
      <c r="AS10971" s="78">
        <f t="shared" si="175"/>
        <v>0</v>
      </c>
    </row>
    <row r="10972" spans="39:45">
      <c r="AM10972" s="54">
        <v>2020</v>
      </c>
      <c r="AN10972" s="54" t="s">
        <v>186</v>
      </c>
      <c r="AO10972" s="54">
        <v>2</v>
      </c>
      <c r="AP10972" s="54">
        <v>2</v>
      </c>
      <c r="AQ10972" s="54">
        <v>0</v>
      </c>
      <c r="AR10972" s="55">
        <v>28500</v>
      </c>
      <c r="AS10972" s="78">
        <f t="shared" si="175"/>
        <v>0</v>
      </c>
    </row>
    <row r="10973" spans="39:45">
      <c r="AM10973" s="55">
        <v>2020</v>
      </c>
      <c r="AN10973" s="55" t="s">
        <v>186</v>
      </c>
      <c r="AO10973" s="55">
        <v>2</v>
      </c>
      <c r="AP10973" s="55">
        <v>3</v>
      </c>
      <c r="AQ10973" s="55">
        <v>0</v>
      </c>
      <c r="AR10973" s="55">
        <v>28500</v>
      </c>
      <c r="AS10973" s="78">
        <f t="shared" si="175"/>
        <v>0</v>
      </c>
    </row>
    <row r="10974" spans="39:45">
      <c r="AM10974" s="54">
        <v>2020</v>
      </c>
      <c r="AN10974" s="54" t="s">
        <v>186</v>
      </c>
      <c r="AO10974" s="54">
        <v>2</v>
      </c>
      <c r="AP10974" s="54">
        <v>4</v>
      </c>
      <c r="AQ10974" s="54">
        <v>0</v>
      </c>
      <c r="AR10974" s="55">
        <v>28500</v>
      </c>
      <c r="AS10974" s="78">
        <f t="shared" si="175"/>
        <v>0</v>
      </c>
    </row>
    <row r="10975" spans="39:45">
      <c r="AM10975" s="55">
        <v>2020</v>
      </c>
      <c r="AN10975" s="55" t="s">
        <v>186</v>
      </c>
      <c r="AO10975" s="55">
        <v>2</v>
      </c>
      <c r="AP10975" s="55">
        <v>5</v>
      </c>
      <c r="AQ10975" s="55">
        <v>0</v>
      </c>
      <c r="AR10975" s="55">
        <v>28500</v>
      </c>
      <c r="AS10975" s="78">
        <f t="shared" si="175"/>
        <v>0</v>
      </c>
    </row>
    <row r="10976" spans="39:45">
      <c r="AM10976" s="54">
        <v>2020</v>
      </c>
      <c r="AN10976" s="54" t="s">
        <v>186</v>
      </c>
      <c r="AO10976" s="54">
        <v>2</v>
      </c>
      <c r="AP10976" s="54">
        <v>6</v>
      </c>
      <c r="AQ10976" s="54">
        <v>285</v>
      </c>
      <c r="AR10976" s="55">
        <v>28500</v>
      </c>
      <c r="AS10976" s="78">
        <f t="shared" si="175"/>
        <v>0.01</v>
      </c>
    </row>
    <row r="10977" spans="39:45">
      <c r="AM10977" s="55">
        <v>2020</v>
      </c>
      <c r="AN10977" s="55" t="s">
        <v>186</v>
      </c>
      <c r="AO10977" s="55">
        <v>2</v>
      </c>
      <c r="AP10977" s="55">
        <v>7</v>
      </c>
      <c r="AQ10977" s="55">
        <v>3494.5</v>
      </c>
      <c r="AR10977" s="55">
        <v>28500</v>
      </c>
      <c r="AS10977" s="78">
        <f t="shared" si="175"/>
        <v>0.1226140350877193</v>
      </c>
    </row>
    <row r="10978" spans="39:45">
      <c r="AM10978" s="54">
        <v>2020</v>
      </c>
      <c r="AN10978" s="54" t="s">
        <v>186</v>
      </c>
      <c r="AO10978" s="54">
        <v>2</v>
      </c>
      <c r="AP10978" s="54">
        <v>8</v>
      </c>
      <c r="AQ10978" s="54">
        <v>6474.5</v>
      </c>
      <c r="AR10978" s="55">
        <v>28500</v>
      </c>
      <c r="AS10978" s="78">
        <f t="shared" si="175"/>
        <v>0.22717543859649122</v>
      </c>
    </row>
    <row r="10979" spans="39:45">
      <c r="AM10979" s="55">
        <v>2020</v>
      </c>
      <c r="AN10979" s="55" t="s">
        <v>186</v>
      </c>
      <c r="AO10979" s="55">
        <v>2</v>
      </c>
      <c r="AP10979" s="55">
        <v>9</v>
      </c>
      <c r="AQ10979" s="55">
        <v>26635.5</v>
      </c>
      <c r="AR10979" s="55">
        <v>28500</v>
      </c>
      <c r="AS10979" s="78">
        <f t="shared" si="175"/>
        <v>0.93457894736842106</v>
      </c>
    </row>
    <row r="10980" spans="39:45">
      <c r="AM10980" s="54">
        <v>2020</v>
      </c>
      <c r="AN10980" s="54" t="s">
        <v>186</v>
      </c>
      <c r="AO10980" s="54">
        <v>2</v>
      </c>
      <c r="AP10980" s="54">
        <v>10</v>
      </c>
      <c r="AQ10980" s="54">
        <v>29970.5</v>
      </c>
      <c r="AR10980" s="55">
        <v>28500</v>
      </c>
      <c r="AS10980" s="78">
        <f t="shared" si="175"/>
        <v>1.0515964912280702</v>
      </c>
    </row>
    <row r="10981" spans="39:45">
      <c r="AM10981" s="55">
        <v>2020</v>
      </c>
      <c r="AN10981" s="55" t="s">
        <v>186</v>
      </c>
      <c r="AO10981" s="55">
        <v>2</v>
      </c>
      <c r="AP10981" s="55">
        <v>11</v>
      </c>
      <c r="AQ10981" s="55">
        <v>8845.5</v>
      </c>
      <c r="AR10981" s="55">
        <v>28500</v>
      </c>
      <c r="AS10981" s="78">
        <f t="shared" si="175"/>
        <v>0.31036842105263157</v>
      </c>
    </row>
    <row r="10982" spans="39:45">
      <c r="AM10982" s="54">
        <v>2020</v>
      </c>
      <c r="AN10982" s="54" t="s">
        <v>186</v>
      </c>
      <c r="AO10982" s="54">
        <v>2</v>
      </c>
      <c r="AP10982" s="54">
        <v>12</v>
      </c>
      <c r="AQ10982" s="54">
        <v>5787</v>
      </c>
      <c r="AR10982" s="55">
        <v>28500</v>
      </c>
      <c r="AS10982" s="78">
        <f t="shared" si="175"/>
        <v>0.20305263157894737</v>
      </c>
    </row>
    <row r="10983" spans="39:45">
      <c r="AM10983" s="55">
        <v>2020</v>
      </c>
      <c r="AN10983" s="55" t="s">
        <v>186</v>
      </c>
      <c r="AO10983" s="55">
        <v>2</v>
      </c>
      <c r="AP10983" s="55">
        <v>13</v>
      </c>
      <c r="AQ10983" s="55">
        <v>14480.5</v>
      </c>
      <c r="AR10983" s="55">
        <v>28500</v>
      </c>
      <c r="AS10983" s="78">
        <f t="shared" si="175"/>
        <v>0.50808771929824559</v>
      </c>
    </row>
    <row r="10984" spans="39:45">
      <c r="AM10984" s="54">
        <v>2020</v>
      </c>
      <c r="AN10984" s="54" t="s">
        <v>186</v>
      </c>
      <c r="AO10984" s="54">
        <v>2</v>
      </c>
      <c r="AP10984" s="54">
        <v>14</v>
      </c>
      <c r="AQ10984" s="54">
        <v>15370</v>
      </c>
      <c r="AR10984" s="55">
        <v>28500</v>
      </c>
      <c r="AS10984" s="78">
        <f t="shared" si="175"/>
        <v>0.53929824561403505</v>
      </c>
    </row>
    <row r="10985" spans="39:45">
      <c r="AM10985" s="55">
        <v>2020</v>
      </c>
      <c r="AN10985" s="55" t="s">
        <v>186</v>
      </c>
      <c r="AO10985" s="55">
        <v>2</v>
      </c>
      <c r="AP10985" s="55">
        <v>15</v>
      </c>
      <c r="AQ10985" s="55">
        <v>7652.5</v>
      </c>
      <c r="AR10985" s="55">
        <v>28500</v>
      </c>
      <c r="AS10985" s="78">
        <f t="shared" si="175"/>
        <v>0.26850877192982459</v>
      </c>
    </row>
    <row r="10986" spans="39:45">
      <c r="AM10986" s="54">
        <v>2020</v>
      </c>
      <c r="AN10986" s="54" t="s">
        <v>186</v>
      </c>
      <c r="AO10986" s="54">
        <v>2</v>
      </c>
      <c r="AP10986" s="54">
        <v>16</v>
      </c>
      <c r="AQ10986" s="54">
        <v>6230.5</v>
      </c>
      <c r="AR10986" s="55">
        <v>28500</v>
      </c>
      <c r="AS10986" s="78">
        <f t="shared" si="175"/>
        <v>0.21861403508771929</v>
      </c>
    </row>
    <row r="10987" spans="39:45">
      <c r="AM10987" s="55">
        <v>2020</v>
      </c>
      <c r="AN10987" s="55" t="s">
        <v>186</v>
      </c>
      <c r="AO10987" s="55">
        <v>2</v>
      </c>
      <c r="AP10987" s="55">
        <v>17</v>
      </c>
      <c r="AQ10987" s="55">
        <v>3976.5</v>
      </c>
      <c r="AR10987" s="55">
        <v>28500</v>
      </c>
      <c r="AS10987" s="78">
        <f t="shared" si="175"/>
        <v>0.13952631578947369</v>
      </c>
    </row>
    <row r="10988" spans="39:45">
      <c r="AM10988" s="54">
        <v>2020</v>
      </c>
      <c r="AN10988" s="54" t="s">
        <v>186</v>
      </c>
      <c r="AO10988" s="54">
        <v>2</v>
      </c>
      <c r="AP10988" s="54">
        <v>18</v>
      </c>
      <c r="AQ10988" s="54">
        <v>57.5</v>
      </c>
      <c r="AR10988" s="55">
        <v>28500</v>
      </c>
      <c r="AS10988" s="78">
        <f t="shared" si="175"/>
        <v>2.0175438596491228E-3</v>
      </c>
    </row>
    <row r="10989" spans="39:45">
      <c r="AM10989" s="55">
        <v>2020</v>
      </c>
      <c r="AN10989" s="55" t="s">
        <v>186</v>
      </c>
      <c r="AO10989" s="55">
        <v>2</v>
      </c>
      <c r="AP10989" s="55">
        <v>19</v>
      </c>
      <c r="AQ10989" s="55">
        <v>0</v>
      </c>
      <c r="AR10989" s="55">
        <v>28500</v>
      </c>
      <c r="AS10989" s="78">
        <f t="shared" si="175"/>
        <v>0</v>
      </c>
    </row>
    <row r="10990" spans="39:45">
      <c r="AM10990" s="54">
        <v>2020</v>
      </c>
      <c r="AN10990" s="54" t="s">
        <v>186</v>
      </c>
      <c r="AO10990" s="54">
        <v>2</v>
      </c>
      <c r="AP10990" s="54">
        <v>20</v>
      </c>
      <c r="AQ10990" s="54">
        <v>0</v>
      </c>
      <c r="AR10990" s="55">
        <v>28500</v>
      </c>
      <c r="AS10990" s="78">
        <f t="shared" si="175"/>
        <v>0</v>
      </c>
    </row>
    <row r="10991" spans="39:45">
      <c r="AM10991" s="55">
        <v>2020</v>
      </c>
      <c r="AN10991" s="55" t="s">
        <v>186</v>
      </c>
      <c r="AO10991" s="55">
        <v>2</v>
      </c>
      <c r="AP10991" s="55">
        <v>21</v>
      </c>
      <c r="AQ10991" s="55">
        <v>0</v>
      </c>
      <c r="AR10991" s="55">
        <v>28500</v>
      </c>
      <c r="AS10991" s="78">
        <f t="shared" si="175"/>
        <v>0</v>
      </c>
    </row>
    <row r="10992" spans="39:45">
      <c r="AM10992" s="54">
        <v>2020</v>
      </c>
      <c r="AN10992" s="54" t="s">
        <v>186</v>
      </c>
      <c r="AO10992" s="54">
        <v>2</v>
      </c>
      <c r="AP10992" s="54">
        <v>22</v>
      </c>
      <c r="AQ10992" s="54">
        <v>0</v>
      </c>
      <c r="AR10992" s="55">
        <v>28500</v>
      </c>
      <c r="AS10992" s="78">
        <f t="shared" si="175"/>
        <v>0</v>
      </c>
    </row>
    <row r="10993" spans="39:45">
      <c r="AM10993" s="55">
        <v>2020</v>
      </c>
      <c r="AN10993" s="55" t="s">
        <v>186</v>
      </c>
      <c r="AO10993" s="55">
        <v>2</v>
      </c>
      <c r="AP10993" s="55">
        <v>23</v>
      </c>
      <c r="AQ10993" s="55">
        <v>0</v>
      </c>
      <c r="AR10993" s="55">
        <v>28500</v>
      </c>
      <c r="AS10993" s="78">
        <f t="shared" si="175"/>
        <v>0</v>
      </c>
    </row>
    <row r="10994" spans="39:45">
      <c r="AM10994" s="54">
        <v>2020</v>
      </c>
      <c r="AN10994" s="54" t="s">
        <v>186</v>
      </c>
      <c r="AO10994" s="54">
        <v>3</v>
      </c>
      <c r="AP10994" s="54">
        <v>24</v>
      </c>
      <c r="AQ10994" s="54">
        <v>0</v>
      </c>
      <c r="AR10994" s="55">
        <v>28500</v>
      </c>
      <c r="AS10994" s="78">
        <f t="shared" si="175"/>
        <v>0</v>
      </c>
    </row>
    <row r="10995" spans="39:45">
      <c r="AM10995" s="55">
        <v>2020</v>
      </c>
      <c r="AN10995" s="55" t="s">
        <v>186</v>
      </c>
      <c r="AO10995" s="55">
        <v>3</v>
      </c>
      <c r="AP10995" s="55">
        <v>1</v>
      </c>
      <c r="AQ10995" s="55">
        <v>0</v>
      </c>
      <c r="AR10995" s="55">
        <v>28500</v>
      </c>
      <c r="AS10995" s="78">
        <f t="shared" si="175"/>
        <v>0</v>
      </c>
    </row>
    <row r="10996" spans="39:45">
      <c r="AM10996" s="54">
        <v>2020</v>
      </c>
      <c r="AN10996" s="54" t="s">
        <v>186</v>
      </c>
      <c r="AO10996" s="54">
        <v>3</v>
      </c>
      <c r="AP10996" s="54">
        <v>2</v>
      </c>
      <c r="AQ10996" s="54">
        <v>0</v>
      </c>
      <c r="AR10996" s="55">
        <v>28500</v>
      </c>
      <c r="AS10996" s="78">
        <f t="shared" si="175"/>
        <v>0</v>
      </c>
    </row>
    <row r="10997" spans="39:45">
      <c r="AM10997" s="55">
        <v>2020</v>
      </c>
      <c r="AN10997" s="55" t="s">
        <v>186</v>
      </c>
      <c r="AO10997" s="55">
        <v>3</v>
      </c>
      <c r="AP10997" s="55">
        <v>3</v>
      </c>
      <c r="AQ10997" s="55">
        <v>0</v>
      </c>
      <c r="AR10997" s="55">
        <v>28500</v>
      </c>
      <c r="AS10997" s="78">
        <f t="shared" si="175"/>
        <v>0</v>
      </c>
    </row>
    <row r="10998" spans="39:45">
      <c r="AM10998" s="54">
        <v>2020</v>
      </c>
      <c r="AN10998" s="54" t="s">
        <v>186</v>
      </c>
      <c r="AO10998" s="54">
        <v>3</v>
      </c>
      <c r="AP10998" s="54">
        <v>4</v>
      </c>
      <c r="AQ10998" s="54">
        <v>0</v>
      </c>
      <c r="AR10998" s="55">
        <v>28500</v>
      </c>
      <c r="AS10998" s="78">
        <f t="shared" si="175"/>
        <v>0</v>
      </c>
    </row>
    <row r="10999" spans="39:45">
      <c r="AM10999" s="55">
        <v>2020</v>
      </c>
      <c r="AN10999" s="55" t="s">
        <v>186</v>
      </c>
      <c r="AO10999" s="55">
        <v>3</v>
      </c>
      <c r="AP10999" s="55">
        <v>5</v>
      </c>
      <c r="AQ10999" s="55">
        <v>0</v>
      </c>
      <c r="AR10999" s="55">
        <v>28500</v>
      </c>
      <c r="AS10999" s="78">
        <f t="shared" si="175"/>
        <v>0</v>
      </c>
    </row>
    <row r="11000" spans="39:45">
      <c r="AM11000" s="54">
        <v>2020</v>
      </c>
      <c r="AN11000" s="54" t="s">
        <v>186</v>
      </c>
      <c r="AO11000" s="54">
        <v>3</v>
      </c>
      <c r="AP11000" s="54">
        <v>6</v>
      </c>
      <c r="AQ11000" s="54">
        <v>254</v>
      </c>
      <c r="AR11000" s="55">
        <v>28500</v>
      </c>
      <c r="AS11000" s="78">
        <f t="shared" si="175"/>
        <v>8.9122807017543854E-3</v>
      </c>
    </row>
    <row r="11001" spans="39:45">
      <c r="AM11001" s="55">
        <v>2020</v>
      </c>
      <c r="AN11001" s="55" t="s">
        <v>186</v>
      </c>
      <c r="AO11001" s="55">
        <v>3</v>
      </c>
      <c r="AP11001" s="55">
        <v>7</v>
      </c>
      <c r="AQ11001" s="55">
        <v>1745.5</v>
      </c>
      <c r="AR11001" s="55">
        <v>28500</v>
      </c>
      <c r="AS11001" s="78">
        <f t="shared" si="175"/>
        <v>6.1245614035087721E-2</v>
      </c>
    </row>
    <row r="11002" spans="39:45">
      <c r="AM11002" s="54">
        <v>2020</v>
      </c>
      <c r="AN11002" s="54" t="s">
        <v>186</v>
      </c>
      <c r="AO11002" s="54">
        <v>3</v>
      </c>
      <c r="AP11002" s="54">
        <v>8</v>
      </c>
      <c r="AQ11002" s="54">
        <v>6136</v>
      </c>
      <c r="AR11002" s="55">
        <v>28500</v>
      </c>
      <c r="AS11002" s="78">
        <f t="shared" si="175"/>
        <v>0.2152982456140351</v>
      </c>
    </row>
    <row r="11003" spans="39:45">
      <c r="AM11003" s="55">
        <v>2020</v>
      </c>
      <c r="AN11003" s="55" t="s">
        <v>186</v>
      </c>
      <c r="AO11003" s="55">
        <v>3</v>
      </c>
      <c r="AP11003" s="55">
        <v>9</v>
      </c>
      <c r="AQ11003" s="55">
        <v>12928.5</v>
      </c>
      <c r="AR11003" s="55">
        <v>28500</v>
      </c>
      <c r="AS11003" s="78">
        <f t="shared" si="175"/>
        <v>0.45363157894736844</v>
      </c>
    </row>
    <row r="11004" spans="39:45">
      <c r="AM11004" s="54">
        <v>2020</v>
      </c>
      <c r="AN11004" s="54" t="s">
        <v>186</v>
      </c>
      <c r="AO11004" s="54">
        <v>3</v>
      </c>
      <c r="AP11004" s="54">
        <v>10</v>
      </c>
      <c r="AQ11004" s="54">
        <v>6060.5</v>
      </c>
      <c r="AR11004" s="55">
        <v>28500</v>
      </c>
      <c r="AS11004" s="78">
        <f t="shared" si="175"/>
        <v>0.21264912280701753</v>
      </c>
    </row>
    <row r="11005" spans="39:45">
      <c r="AM11005" s="55">
        <v>2020</v>
      </c>
      <c r="AN11005" s="55" t="s">
        <v>186</v>
      </c>
      <c r="AO11005" s="55">
        <v>3</v>
      </c>
      <c r="AP11005" s="55">
        <v>11</v>
      </c>
      <c r="AQ11005" s="55">
        <v>8503.5</v>
      </c>
      <c r="AR11005" s="55">
        <v>28500</v>
      </c>
      <c r="AS11005" s="78">
        <f t="shared" si="175"/>
        <v>0.29836842105263156</v>
      </c>
    </row>
    <row r="11006" spans="39:45">
      <c r="AM11006" s="54">
        <v>2020</v>
      </c>
      <c r="AN11006" s="54" t="s">
        <v>186</v>
      </c>
      <c r="AO11006" s="54">
        <v>3</v>
      </c>
      <c r="AP11006" s="54">
        <v>12</v>
      </c>
      <c r="AQ11006" s="54">
        <v>11488.5</v>
      </c>
      <c r="AR11006" s="55">
        <v>28500</v>
      </c>
      <c r="AS11006" s="78">
        <f t="shared" si="175"/>
        <v>0.40310526315789474</v>
      </c>
    </row>
    <row r="11007" spans="39:45">
      <c r="AM11007" s="55">
        <v>2020</v>
      </c>
      <c r="AN11007" s="55" t="s">
        <v>186</v>
      </c>
      <c r="AO11007" s="55">
        <v>3</v>
      </c>
      <c r="AP11007" s="55">
        <v>13</v>
      </c>
      <c r="AQ11007" s="55">
        <v>24649.5</v>
      </c>
      <c r="AR11007" s="55">
        <v>28500</v>
      </c>
      <c r="AS11007" s="78">
        <f t="shared" si="175"/>
        <v>0.86489473684210527</v>
      </c>
    </row>
    <row r="11008" spans="39:45">
      <c r="AM11008" s="54">
        <v>2020</v>
      </c>
      <c r="AN11008" s="54" t="s">
        <v>186</v>
      </c>
      <c r="AO11008" s="54">
        <v>3</v>
      </c>
      <c r="AP11008" s="54">
        <v>14</v>
      </c>
      <c r="AQ11008" s="54">
        <v>13432.5</v>
      </c>
      <c r="AR11008" s="55">
        <v>28500</v>
      </c>
      <c r="AS11008" s="78">
        <f t="shared" si="175"/>
        <v>0.47131578947368419</v>
      </c>
    </row>
    <row r="11009" spans="39:45">
      <c r="AM11009" s="55">
        <v>2020</v>
      </c>
      <c r="AN11009" s="55" t="s">
        <v>186</v>
      </c>
      <c r="AO11009" s="55">
        <v>3</v>
      </c>
      <c r="AP11009" s="55">
        <v>15</v>
      </c>
      <c r="AQ11009" s="55">
        <v>21587.5</v>
      </c>
      <c r="AR11009" s="55">
        <v>28500</v>
      </c>
      <c r="AS11009" s="78">
        <f t="shared" si="175"/>
        <v>0.75745614035087716</v>
      </c>
    </row>
    <row r="11010" spans="39:45">
      <c r="AM11010" s="54">
        <v>2020</v>
      </c>
      <c r="AN11010" s="54" t="s">
        <v>186</v>
      </c>
      <c r="AO11010" s="54">
        <v>3</v>
      </c>
      <c r="AP11010" s="54">
        <v>16</v>
      </c>
      <c r="AQ11010" s="54">
        <v>12166</v>
      </c>
      <c r="AR11010" s="55">
        <v>28500</v>
      </c>
      <c r="AS11010" s="78">
        <f t="shared" ref="AS11010:AS11073" si="176">AQ11010/AR11010</f>
        <v>0.42687719298245613</v>
      </c>
    </row>
    <row r="11011" spans="39:45">
      <c r="AM11011" s="55">
        <v>2020</v>
      </c>
      <c r="AN11011" s="55" t="s">
        <v>186</v>
      </c>
      <c r="AO11011" s="55">
        <v>3</v>
      </c>
      <c r="AP11011" s="55">
        <v>17</v>
      </c>
      <c r="AQ11011" s="55">
        <v>4909</v>
      </c>
      <c r="AR11011" s="55">
        <v>28500</v>
      </c>
      <c r="AS11011" s="78">
        <f t="shared" si="176"/>
        <v>0.17224561403508773</v>
      </c>
    </row>
    <row r="11012" spans="39:45">
      <c r="AM11012" s="54">
        <v>2020</v>
      </c>
      <c r="AN11012" s="54" t="s">
        <v>186</v>
      </c>
      <c r="AO11012" s="54">
        <v>3</v>
      </c>
      <c r="AP11012" s="54">
        <v>18</v>
      </c>
      <c r="AQ11012" s="54">
        <v>120</v>
      </c>
      <c r="AR11012" s="55">
        <v>28500</v>
      </c>
      <c r="AS11012" s="78">
        <f t="shared" si="176"/>
        <v>4.2105263157894736E-3</v>
      </c>
    </row>
    <row r="11013" spans="39:45">
      <c r="AM11013" s="55">
        <v>2020</v>
      </c>
      <c r="AN11013" s="55" t="s">
        <v>186</v>
      </c>
      <c r="AO11013" s="55">
        <v>3</v>
      </c>
      <c r="AP11013" s="55">
        <v>19</v>
      </c>
      <c r="AQ11013" s="55">
        <v>0</v>
      </c>
      <c r="AR11013" s="55">
        <v>28500</v>
      </c>
      <c r="AS11013" s="78">
        <f t="shared" si="176"/>
        <v>0</v>
      </c>
    </row>
    <row r="11014" spans="39:45">
      <c r="AM11014" s="54">
        <v>2020</v>
      </c>
      <c r="AN11014" s="54" t="s">
        <v>186</v>
      </c>
      <c r="AO11014" s="54">
        <v>3</v>
      </c>
      <c r="AP11014" s="54">
        <v>20</v>
      </c>
      <c r="AQ11014" s="54">
        <v>0</v>
      </c>
      <c r="AR11014" s="55">
        <v>28500</v>
      </c>
      <c r="AS11014" s="78">
        <f t="shared" si="176"/>
        <v>0</v>
      </c>
    </row>
    <row r="11015" spans="39:45">
      <c r="AM11015" s="55">
        <v>2020</v>
      </c>
      <c r="AN11015" s="55" t="s">
        <v>186</v>
      </c>
      <c r="AO11015" s="55">
        <v>3</v>
      </c>
      <c r="AP11015" s="55">
        <v>21</v>
      </c>
      <c r="AQ11015" s="55">
        <v>0</v>
      </c>
      <c r="AR11015" s="55">
        <v>28500</v>
      </c>
      <c r="AS11015" s="78">
        <f t="shared" si="176"/>
        <v>0</v>
      </c>
    </row>
    <row r="11016" spans="39:45">
      <c r="AM11016" s="54">
        <v>2020</v>
      </c>
      <c r="AN11016" s="54" t="s">
        <v>186</v>
      </c>
      <c r="AO11016" s="54">
        <v>3</v>
      </c>
      <c r="AP11016" s="54">
        <v>22</v>
      </c>
      <c r="AQ11016" s="54">
        <v>0</v>
      </c>
      <c r="AR11016" s="55">
        <v>28500</v>
      </c>
      <c r="AS11016" s="78">
        <f t="shared" si="176"/>
        <v>0</v>
      </c>
    </row>
    <row r="11017" spans="39:45">
      <c r="AM11017" s="55">
        <v>2020</v>
      </c>
      <c r="AN11017" s="55" t="s">
        <v>186</v>
      </c>
      <c r="AO11017" s="55">
        <v>3</v>
      </c>
      <c r="AP11017" s="55">
        <v>23</v>
      </c>
      <c r="AQ11017" s="55">
        <v>0</v>
      </c>
      <c r="AR11017" s="55">
        <v>28500</v>
      </c>
      <c r="AS11017" s="78">
        <f t="shared" si="176"/>
        <v>0</v>
      </c>
    </row>
    <row r="11018" spans="39:45">
      <c r="AM11018" s="54">
        <v>2020</v>
      </c>
      <c r="AN11018" s="54" t="s">
        <v>186</v>
      </c>
      <c r="AO11018" s="54">
        <v>4</v>
      </c>
      <c r="AP11018" s="54">
        <v>24</v>
      </c>
      <c r="AQ11018" s="54">
        <v>0</v>
      </c>
      <c r="AR11018" s="55">
        <v>28500</v>
      </c>
      <c r="AS11018" s="78">
        <f t="shared" si="176"/>
        <v>0</v>
      </c>
    </row>
    <row r="11019" spans="39:45">
      <c r="AM11019" s="55">
        <v>2020</v>
      </c>
      <c r="AN11019" s="55" t="s">
        <v>186</v>
      </c>
      <c r="AO11019" s="55">
        <v>4</v>
      </c>
      <c r="AP11019" s="55">
        <v>1</v>
      </c>
      <c r="AQ11019" s="55">
        <v>0</v>
      </c>
      <c r="AR11019" s="55">
        <v>28500</v>
      </c>
      <c r="AS11019" s="78">
        <f t="shared" si="176"/>
        <v>0</v>
      </c>
    </row>
    <row r="11020" spans="39:45">
      <c r="AM11020" s="54">
        <v>2020</v>
      </c>
      <c r="AN11020" s="54" t="s">
        <v>186</v>
      </c>
      <c r="AO11020" s="54">
        <v>4</v>
      </c>
      <c r="AP11020" s="54">
        <v>2</v>
      </c>
      <c r="AQ11020" s="54">
        <v>0</v>
      </c>
      <c r="AR11020" s="55">
        <v>28500</v>
      </c>
      <c r="AS11020" s="78">
        <f t="shared" si="176"/>
        <v>0</v>
      </c>
    </row>
    <row r="11021" spans="39:45">
      <c r="AM11021" s="55">
        <v>2020</v>
      </c>
      <c r="AN11021" s="55" t="s">
        <v>186</v>
      </c>
      <c r="AO11021" s="55">
        <v>4</v>
      </c>
      <c r="AP11021" s="55">
        <v>3</v>
      </c>
      <c r="AQ11021" s="55">
        <v>0</v>
      </c>
      <c r="AR11021" s="55">
        <v>28500</v>
      </c>
      <c r="AS11021" s="78">
        <f t="shared" si="176"/>
        <v>0</v>
      </c>
    </row>
    <row r="11022" spans="39:45">
      <c r="AM11022" s="54">
        <v>2020</v>
      </c>
      <c r="AN11022" s="54" t="s">
        <v>186</v>
      </c>
      <c r="AO11022" s="54">
        <v>4</v>
      </c>
      <c r="AP11022" s="54">
        <v>4</v>
      </c>
      <c r="AQ11022" s="54">
        <v>0</v>
      </c>
      <c r="AR11022" s="55">
        <v>28500</v>
      </c>
      <c r="AS11022" s="78">
        <f t="shared" si="176"/>
        <v>0</v>
      </c>
    </row>
    <row r="11023" spans="39:45">
      <c r="AM11023" s="55">
        <v>2020</v>
      </c>
      <c r="AN11023" s="55" t="s">
        <v>186</v>
      </c>
      <c r="AO11023" s="55">
        <v>4</v>
      </c>
      <c r="AP11023" s="55">
        <v>5</v>
      </c>
      <c r="AQ11023" s="55">
        <v>0</v>
      </c>
      <c r="AR11023" s="55">
        <v>28500</v>
      </c>
      <c r="AS11023" s="78">
        <f t="shared" si="176"/>
        <v>0</v>
      </c>
    </row>
    <row r="11024" spans="39:45">
      <c r="AM11024" s="54">
        <v>2020</v>
      </c>
      <c r="AN11024" s="54" t="s">
        <v>186</v>
      </c>
      <c r="AO11024" s="54">
        <v>4</v>
      </c>
      <c r="AP11024" s="54">
        <v>6</v>
      </c>
      <c r="AQ11024" s="54">
        <v>791</v>
      </c>
      <c r="AR11024" s="55">
        <v>28500</v>
      </c>
      <c r="AS11024" s="78">
        <f t="shared" si="176"/>
        <v>2.7754385964912281E-2</v>
      </c>
    </row>
    <row r="11025" spans="39:45">
      <c r="AM11025" s="55">
        <v>2020</v>
      </c>
      <c r="AN11025" s="55" t="s">
        <v>186</v>
      </c>
      <c r="AO11025" s="55">
        <v>4</v>
      </c>
      <c r="AP11025" s="55">
        <v>7</v>
      </c>
      <c r="AQ11025" s="55">
        <v>6340</v>
      </c>
      <c r="AR11025" s="55">
        <v>28500</v>
      </c>
      <c r="AS11025" s="78">
        <f t="shared" si="176"/>
        <v>0.22245614035087719</v>
      </c>
    </row>
    <row r="11026" spans="39:45">
      <c r="AM11026" s="54">
        <v>2020</v>
      </c>
      <c r="AN11026" s="54" t="s">
        <v>186</v>
      </c>
      <c r="AO11026" s="54">
        <v>4</v>
      </c>
      <c r="AP11026" s="54">
        <v>8</v>
      </c>
      <c r="AQ11026" s="54">
        <v>18939.5</v>
      </c>
      <c r="AR11026" s="55">
        <v>28500</v>
      </c>
      <c r="AS11026" s="78">
        <f t="shared" si="176"/>
        <v>0.66454385964912277</v>
      </c>
    </row>
    <row r="11027" spans="39:45">
      <c r="AM11027" s="55">
        <v>2020</v>
      </c>
      <c r="AN11027" s="55" t="s">
        <v>186</v>
      </c>
      <c r="AO11027" s="55">
        <v>4</v>
      </c>
      <c r="AP11027" s="55">
        <v>9</v>
      </c>
      <c r="AQ11027" s="55">
        <v>29119</v>
      </c>
      <c r="AR11027" s="55">
        <v>28500</v>
      </c>
      <c r="AS11027" s="78">
        <f t="shared" si="176"/>
        <v>1.021719298245614</v>
      </c>
    </row>
    <row r="11028" spans="39:45">
      <c r="AM11028" s="54">
        <v>2020</v>
      </c>
      <c r="AN11028" s="54" t="s">
        <v>186</v>
      </c>
      <c r="AO11028" s="54">
        <v>4</v>
      </c>
      <c r="AP11028" s="54">
        <v>10</v>
      </c>
      <c r="AQ11028" s="54">
        <v>37164</v>
      </c>
      <c r="AR11028" s="55">
        <v>28500</v>
      </c>
      <c r="AS11028" s="78">
        <f t="shared" si="176"/>
        <v>1.304</v>
      </c>
    </row>
    <row r="11029" spans="39:45">
      <c r="AM11029" s="55">
        <v>2020</v>
      </c>
      <c r="AN11029" s="55" t="s">
        <v>186</v>
      </c>
      <c r="AO11029" s="55">
        <v>4</v>
      </c>
      <c r="AP11029" s="55">
        <v>11</v>
      </c>
      <c r="AQ11029" s="55">
        <v>41839</v>
      </c>
      <c r="AR11029" s="55">
        <v>28500</v>
      </c>
      <c r="AS11029" s="78">
        <f t="shared" si="176"/>
        <v>1.4680350877192982</v>
      </c>
    </row>
    <row r="11030" spans="39:45">
      <c r="AM11030" s="54">
        <v>2020</v>
      </c>
      <c r="AN11030" s="54" t="s">
        <v>186</v>
      </c>
      <c r="AO11030" s="54">
        <v>4</v>
      </c>
      <c r="AP11030" s="54">
        <v>12</v>
      </c>
      <c r="AQ11030" s="54">
        <v>43089</v>
      </c>
      <c r="AR11030" s="55">
        <v>28500</v>
      </c>
      <c r="AS11030" s="78">
        <f t="shared" si="176"/>
        <v>1.5118947368421052</v>
      </c>
    </row>
    <row r="11031" spans="39:45">
      <c r="AM11031" s="55">
        <v>2020</v>
      </c>
      <c r="AN11031" s="55" t="s">
        <v>186</v>
      </c>
      <c r="AO11031" s="55">
        <v>4</v>
      </c>
      <c r="AP11031" s="55">
        <v>13</v>
      </c>
      <c r="AQ11031" s="55">
        <v>40354.5</v>
      </c>
      <c r="AR11031" s="55">
        <v>28500</v>
      </c>
      <c r="AS11031" s="78">
        <f t="shared" si="176"/>
        <v>1.4159473684210526</v>
      </c>
    </row>
    <row r="11032" spans="39:45">
      <c r="AM11032" s="54">
        <v>2020</v>
      </c>
      <c r="AN11032" s="54" t="s">
        <v>186</v>
      </c>
      <c r="AO11032" s="54">
        <v>4</v>
      </c>
      <c r="AP11032" s="54">
        <v>14</v>
      </c>
      <c r="AQ11032" s="54">
        <v>36302</v>
      </c>
      <c r="AR11032" s="55">
        <v>28500</v>
      </c>
      <c r="AS11032" s="78">
        <f t="shared" si="176"/>
        <v>1.2737543859649123</v>
      </c>
    </row>
    <row r="11033" spans="39:45">
      <c r="AM11033" s="55">
        <v>2020</v>
      </c>
      <c r="AN11033" s="55" t="s">
        <v>186</v>
      </c>
      <c r="AO11033" s="55">
        <v>4</v>
      </c>
      <c r="AP11033" s="55">
        <v>15</v>
      </c>
      <c r="AQ11033" s="55">
        <v>28651</v>
      </c>
      <c r="AR11033" s="55">
        <v>28500</v>
      </c>
      <c r="AS11033" s="78">
        <f t="shared" si="176"/>
        <v>1.0052982456140351</v>
      </c>
    </row>
    <row r="11034" spans="39:45">
      <c r="AM11034" s="54">
        <v>2020</v>
      </c>
      <c r="AN11034" s="54" t="s">
        <v>186</v>
      </c>
      <c r="AO11034" s="54">
        <v>4</v>
      </c>
      <c r="AP11034" s="54">
        <v>16</v>
      </c>
      <c r="AQ11034" s="54">
        <v>18567.5</v>
      </c>
      <c r="AR11034" s="55">
        <v>28500</v>
      </c>
      <c r="AS11034" s="78">
        <f t="shared" si="176"/>
        <v>0.65149122807017545</v>
      </c>
    </row>
    <row r="11035" spans="39:45">
      <c r="AM11035" s="55">
        <v>2020</v>
      </c>
      <c r="AN11035" s="55" t="s">
        <v>186</v>
      </c>
      <c r="AO11035" s="55">
        <v>4</v>
      </c>
      <c r="AP11035" s="55">
        <v>17</v>
      </c>
      <c r="AQ11035" s="55">
        <v>6912.5</v>
      </c>
      <c r="AR11035" s="55">
        <v>28500</v>
      </c>
      <c r="AS11035" s="78">
        <f t="shared" si="176"/>
        <v>0.24254385964912281</v>
      </c>
    </row>
    <row r="11036" spans="39:45">
      <c r="AM11036" s="54">
        <v>2020</v>
      </c>
      <c r="AN11036" s="54" t="s">
        <v>186</v>
      </c>
      <c r="AO11036" s="54">
        <v>4</v>
      </c>
      <c r="AP11036" s="54">
        <v>18</v>
      </c>
      <c r="AQ11036" s="54">
        <v>165</v>
      </c>
      <c r="AR11036" s="55">
        <v>28500</v>
      </c>
      <c r="AS11036" s="78">
        <f t="shared" si="176"/>
        <v>5.7894736842105266E-3</v>
      </c>
    </row>
    <row r="11037" spans="39:45">
      <c r="AM11037" s="55">
        <v>2020</v>
      </c>
      <c r="AN11037" s="55" t="s">
        <v>186</v>
      </c>
      <c r="AO11037" s="55">
        <v>4</v>
      </c>
      <c r="AP11037" s="55">
        <v>19</v>
      </c>
      <c r="AQ11037" s="55">
        <v>0</v>
      </c>
      <c r="AR11037" s="55">
        <v>28500</v>
      </c>
      <c r="AS11037" s="78">
        <f t="shared" si="176"/>
        <v>0</v>
      </c>
    </row>
    <row r="11038" spans="39:45">
      <c r="AM11038" s="54">
        <v>2020</v>
      </c>
      <c r="AN11038" s="54" t="s">
        <v>186</v>
      </c>
      <c r="AO11038" s="54">
        <v>4</v>
      </c>
      <c r="AP11038" s="54">
        <v>20</v>
      </c>
      <c r="AQ11038" s="54">
        <v>0</v>
      </c>
      <c r="AR11038" s="55">
        <v>28500</v>
      </c>
      <c r="AS11038" s="78">
        <f t="shared" si="176"/>
        <v>0</v>
      </c>
    </row>
    <row r="11039" spans="39:45">
      <c r="AM11039" s="55">
        <v>2020</v>
      </c>
      <c r="AN11039" s="55" t="s">
        <v>186</v>
      </c>
      <c r="AO11039" s="55">
        <v>4</v>
      </c>
      <c r="AP11039" s="55">
        <v>21</v>
      </c>
      <c r="AQ11039" s="55">
        <v>0</v>
      </c>
      <c r="AR11039" s="55">
        <v>28500</v>
      </c>
      <c r="AS11039" s="78">
        <f t="shared" si="176"/>
        <v>0</v>
      </c>
    </row>
    <row r="11040" spans="39:45">
      <c r="AM11040" s="54">
        <v>2020</v>
      </c>
      <c r="AN11040" s="54" t="s">
        <v>186</v>
      </c>
      <c r="AO11040" s="54">
        <v>4</v>
      </c>
      <c r="AP11040" s="54">
        <v>22</v>
      </c>
      <c r="AQ11040" s="54">
        <v>0</v>
      </c>
      <c r="AR11040" s="55">
        <v>28500</v>
      </c>
      <c r="AS11040" s="78">
        <f t="shared" si="176"/>
        <v>0</v>
      </c>
    </row>
    <row r="11041" spans="39:45">
      <c r="AM11041" s="55">
        <v>2020</v>
      </c>
      <c r="AN11041" s="55" t="s">
        <v>186</v>
      </c>
      <c r="AO11041" s="55">
        <v>4</v>
      </c>
      <c r="AP11041" s="55">
        <v>23</v>
      </c>
      <c r="AQ11041" s="55">
        <v>0</v>
      </c>
      <c r="AR11041" s="55">
        <v>28500</v>
      </c>
      <c r="AS11041" s="78">
        <f t="shared" si="176"/>
        <v>0</v>
      </c>
    </row>
    <row r="11042" spans="39:45">
      <c r="AM11042" s="54">
        <v>2020</v>
      </c>
      <c r="AN11042" s="54" t="s">
        <v>186</v>
      </c>
      <c r="AO11042" s="54">
        <v>5</v>
      </c>
      <c r="AP11042" s="54">
        <v>24</v>
      </c>
      <c r="AQ11042" s="54">
        <v>0</v>
      </c>
      <c r="AR11042" s="55">
        <v>28500</v>
      </c>
      <c r="AS11042" s="78">
        <f t="shared" si="176"/>
        <v>0</v>
      </c>
    </row>
    <row r="11043" spans="39:45">
      <c r="AM11043" s="55">
        <v>2020</v>
      </c>
      <c r="AN11043" s="55" t="s">
        <v>186</v>
      </c>
      <c r="AO11043" s="55">
        <v>5</v>
      </c>
      <c r="AP11043" s="55">
        <v>1</v>
      </c>
      <c r="AQ11043" s="55">
        <v>0</v>
      </c>
      <c r="AR11043" s="55">
        <v>28500</v>
      </c>
      <c r="AS11043" s="78">
        <f t="shared" si="176"/>
        <v>0</v>
      </c>
    </row>
    <row r="11044" spans="39:45">
      <c r="AM11044" s="54">
        <v>2020</v>
      </c>
      <c r="AN11044" s="54" t="s">
        <v>186</v>
      </c>
      <c r="AO11044" s="54">
        <v>5</v>
      </c>
      <c r="AP11044" s="54">
        <v>2</v>
      </c>
      <c r="AQ11044" s="54">
        <v>0</v>
      </c>
      <c r="AR11044" s="55">
        <v>28500</v>
      </c>
      <c r="AS11044" s="78">
        <f t="shared" si="176"/>
        <v>0</v>
      </c>
    </row>
    <row r="11045" spans="39:45">
      <c r="AM11045" s="55">
        <v>2020</v>
      </c>
      <c r="AN11045" s="55" t="s">
        <v>186</v>
      </c>
      <c r="AO11045" s="55">
        <v>5</v>
      </c>
      <c r="AP11045" s="55">
        <v>3</v>
      </c>
      <c r="AQ11045" s="55">
        <v>0</v>
      </c>
      <c r="AR11045" s="55">
        <v>28500</v>
      </c>
      <c r="AS11045" s="78">
        <f t="shared" si="176"/>
        <v>0</v>
      </c>
    </row>
    <row r="11046" spans="39:45">
      <c r="AM11046" s="54">
        <v>2020</v>
      </c>
      <c r="AN11046" s="54" t="s">
        <v>186</v>
      </c>
      <c r="AO11046" s="54">
        <v>5</v>
      </c>
      <c r="AP11046" s="54">
        <v>4</v>
      </c>
      <c r="AQ11046" s="54">
        <v>0</v>
      </c>
      <c r="AR11046" s="55">
        <v>28500</v>
      </c>
      <c r="AS11046" s="78">
        <f t="shared" si="176"/>
        <v>0</v>
      </c>
    </row>
    <row r="11047" spans="39:45">
      <c r="AM11047" s="55">
        <v>2020</v>
      </c>
      <c r="AN11047" s="55" t="s">
        <v>186</v>
      </c>
      <c r="AO11047" s="55">
        <v>5</v>
      </c>
      <c r="AP11047" s="55">
        <v>5</v>
      </c>
      <c r="AQ11047" s="55">
        <v>0</v>
      </c>
      <c r="AR11047" s="55">
        <v>28500</v>
      </c>
      <c r="AS11047" s="78">
        <f t="shared" si="176"/>
        <v>0</v>
      </c>
    </row>
    <row r="11048" spans="39:45">
      <c r="AM11048" s="54">
        <v>2020</v>
      </c>
      <c r="AN11048" s="54" t="s">
        <v>186</v>
      </c>
      <c r="AO11048" s="54">
        <v>5</v>
      </c>
      <c r="AP11048" s="54">
        <v>6</v>
      </c>
      <c r="AQ11048" s="54">
        <v>1021.5</v>
      </c>
      <c r="AR11048" s="55">
        <v>28500</v>
      </c>
      <c r="AS11048" s="78">
        <f t="shared" si="176"/>
        <v>3.5842105263157897E-2</v>
      </c>
    </row>
    <row r="11049" spans="39:45">
      <c r="AM11049" s="55">
        <v>2020</v>
      </c>
      <c r="AN11049" s="55" t="s">
        <v>186</v>
      </c>
      <c r="AO11049" s="55">
        <v>5</v>
      </c>
      <c r="AP11049" s="55">
        <v>7</v>
      </c>
      <c r="AQ11049" s="55">
        <v>10723.5</v>
      </c>
      <c r="AR11049" s="55">
        <v>28500</v>
      </c>
      <c r="AS11049" s="78">
        <f t="shared" si="176"/>
        <v>0.37626315789473685</v>
      </c>
    </row>
    <row r="11050" spans="39:45">
      <c r="AM11050" s="54">
        <v>2020</v>
      </c>
      <c r="AN11050" s="54" t="s">
        <v>186</v>
      </c>
      <c r="AO11050" s="54">
        <v>5</v>
      </c>
      <c r="AP11050" s="54">
        <v>8</v>
      </c>
      <c r="AQ11050" s="54">
        <v>22648</v>
      </c>
      <c r="AR11050" s="55">
        <v>28500</v>
      </c>
      <c r="AS11050" s="78">
        <f t="shared" si="176"/>
        <v>0.79466666666666663</v>
      </c>
    </row>
    <row r="11051" spans="39:45">
      <c r="AM11051" s="55">
        <v>2020</v>
      </c>
      <c r="AN11051" s="55" t="s">
        <v>186</v>
      </c>
      <c r="AO11051" s="55">
        <v>5</v>
      </c>
      <c r="AP11051" s="55">
        <v>9</v>
      </c>
      <c r="AQ11051" s="55">
        <v>32003</v>
      </c>
      <c r="AR11051" s="55">
        <v>28500</v>
      </c>
      <c r="AS11051" s="78">
        <f t="shared" si="176"/>
        <v>1.1229122807017544</v>
      </c>
    </row>
    <row r="11052" spans="39:45">
      <c r="AM11052" s="54">
        <v>2020</v>
      </c>
      <c r="AN11052" s="54" t="s">
        <v>186</v>
      </c>
      <c r="AO11052" s="54">
        <v>5</v>
      </c>
      <c r="AP11052" s="54">
        <v>10</v>
      </c>
      <c r="AQ11052" s="54">
        <v>38585</v>
      </c>
      <c r="AR11052" s="55">
        <v>28500</v>
      </c>
      <c r="AS11052" s="78">
        <f t="shared" si="176"/>
        <v>1.353859649122807</v>
      </c>
    </row>
    <row r="11053" spans="39:45">
      <c r="AM11053" s="55">
        <v>2020</v>
      </c>
      <c r="AN11053" s="55" t="s">
        <v>186</v>
      </c>
      <c r="AO11053" s="55">
        <v>5</v>
      </c>
      <c r="AP11053" s="55">
        <v>11</v>
      </c>
      <c r="AQ11053" s="55">
        <v>42476</v>
      </c>
      <c r="AR11053" s="55">
        <v>28500</v>
      </c>
      <c r="AS11053" s="78">
        <f t="shared" si="176"/>
        <v>1.4903859649122806</v>
      </c>
    </row>
    <row r="11054" spans="39:45">
      <c r="AM11054" s="54">
        <v>2020</v>
      </c>
      <c r="AN11054" s="54" t="s">
        <v>186</v>
      </c>
      <c r="AO11054" s="54">
        <v>5</v>
      </c>
      <c r="AP11054" s="54">
        <v>12</v>
      </c>
      <c r="AQ11054" s="54">
        <v>43696</v>
      </c>
      <c r="AR11054" s="55">
        <v>28500</v>
      </c>
      <c r="AS11054" s="78">
        <f t="shared" si="176"/>
        <v>1.5331929824561403</v>
      </c>
    </row>
    <row r="11055" spans="39:45">
      <c r="AM11055" s="55">
        <v>2020</v>
      </c>
      <c r="AN11055" s="55" t="s">
        <v>186</v>
      </c>
      <c r="AO11055" s="55">
        <v>5</v>
      </c>
      <c r="AP11055" s="55">
        <v>13</v>
      </c>
      <c r="AQ11055" s="55">
        <v>41412.5</v>
      </c>
      <c r="AR11055" s="55">
        <v>28500</v>
      </c>
      <c r="AS11055" s="78">
        <f t="shared" si="176"/>
        <v>1.4530701754385964</v>
      </c>
    </row>
    <row r="11056" spans="39:45">
      <c r="AM11056" s="54">
        <v>2020</v>
      </c>
      <c r="AN11056" s="54" t="s">
        <v>186</v>
      </c>
      <c r="AO11056" s="54">
        <v>5</v>
      </c>
      <c r="AP11056" s="54">
        <v>14</v>
      </c>
      <c r="AQ11056" s="54">
        <v>35909.5</v>
      </c>
      <c r="AR11056" s="55">
        <v>28500</v>
      </c>
      <c r="AS11056" s="78">
        <f t="shared" si="176"/>
        <v>1.259982456140351</v>
      </c>
    </row>
    <row r="11057" spans="39:45">
      <c r="AM11057" s="55">
        <v>2020</v>
      </c>
      <c r="AN11057" s="55" t="s">
        <v>186</v>
      </c>
      <c r="AO11057" s="55">
        <v>5</v>
      </c>
      <c r="AP11057" s="55">
        <v>15</v>
      </c>
      <c r="AQ11057" s="55">
        <v>28593.5</v>
      </c>
      <c r="AR11057" s="55">
        <v>28500</v>
      </c>
      <c r="AS11057" s="78">
        <f t="shared" si="176"/>
        <v>1.0032807017543859</v>
      </c>
    </row>
    <row r="11058" spans="39:45">
      <c r="AM11058" s="54">
        <v>2020</v>
      </c>
      <c r="AN11058" s="54" t="s">
        <v>186</v>
      </c>
      <c r="AO11058" s="54">
        <v>5</v>
      </c>
      <c r="AP11058" s="54">
        <v>16</v>
      </c>
      <c r="AQ11058" s="54">
        <v>18472</v>
      </c>
      <c r="AR11058" s="55">
        <v>28500</v>
      </c>
      <c r="AS11058" s="78">
        <f t="shared" si="176"/>
        <v>0.64814035087719302</v>
      </c>
    </row>
    <row r="11059" spans="39:45">
      <c r="AM11059" s="55">
        <v>2020</v>
      </c>
      <c r="AN11059" s="55" t="s">
        <v>186</v>
      </c>
      <c r="AO11059" s="55">
        <v>5</v>
      </c>
      <c r="AP11059" s="55">
        <v>17</v>
      </c>
      <c r="AQ11059" s="55">
        <v>7038</v>
      </c>
      <c r="AR11059" s="55">
        <v>28500</v>
      </c>
      <c r="AS11059" s="78">
        <f t="shared" si="176"/>
        <v>0.24694736842105264</v>
      </c>
    </row>
    <row r="11060" spans="39:45">
      <c r="AM11060" s="54">
        <v>2020</v>
      </c>
      <c r="AN11060" s="54" t="s">
        <v>186</v>
      </c>
      <c r="AO11060" s="54">
        <v>5</v>
      </c>
      <c r="AP11060" s="54">
        <v>18</v>
      </c>
      <c r="AQ11060" s="54">
        <v>254.5</v>
      </c>
      <c r="AR11060" s="55">
        <v>28500</v>
      </c>
      <c r="AS11060" s="78">
        <f t="shared" si="176"/>
        <v>8.9298245614035082E-3</v>
      </c>
    </row>
    <row r="11061" spans="39:45">
      <c r="AM11061" s="55">
        <v>2020</v>
      </c>
      <c r="AN11061" s="55" t="s">
        <v>186</v>
      </c>
      <c r="AO11061" s="55">
        <v>5</v>
      </c>
      <c r="AP11061" s="55">
        <v>19</v>
      </c>
      <c r="AQ11061" s="55">
        <v>0</v>
      </c>
      <c r="AR11061" s="55">
        <v>28500</v>
      </c>
      <c r="AS11061" s="78">
        <f t="shared" si="176"/>
        <v>0</v>
      </c>
    </row>
    <row r="11062" spans="39:45">
      <c r="AM11062" s="54">
        <v>2020</v>
      </c>
      <c r="AN11062" s="54" t="s">
        <v>186</v>
      </c>
      <c r="AO11062" s="54">
        <v>5</v>
      </c>
      <c r="AP11062" s="54">
        <v>20</v>
      </c>
      <c r="AQ11062" s="54">
        <v>0</v>
      </c>
      <c r="AR11062" s="55">
        <v>28500</v>
      </c>
      <c r="AS11062" s="78">
        <f t="shared" si="176"/>
        <v>0</v>
      </c>
    </row>
    <row r="11063" spans="39:45">
      <c r="AM11063" s="55">
        <v>2020</v>
      </c>
      <c r="AN11063" s="55" t="s">
        <v>186</v>
      </c>
      <c r="AO11063" s="55">
        <v>5</v>
      </c>
      <c r="AP11063" s="55">
        <v>21</v>
      </c>
      <c r="AQ11063" s="55">
        <v>0</v>
      </c>
      <c r="AR11063" s="55">
        <v>28500</v>
      </c>
      <c r="AS11063" s="78">
        <f t="shared" si="176"/>
        <v>0</v>
      </c>
    </row>
    <row r="11064" spans="39:45">
      <c r="AM11064" s="54">
        <v>2020</v>
      </c>
      <c r="AN11064" s="54" t="s">
        <v>186</v>
      </c>
      <c r="AO11064" s="54">
        <v>5</v>
      </c>
      <c r="AP11064" s="54">
        <v>22</v>
      </c>
      <c r="AQ11064" s="54">
        <v>0</v>
      </c>
      <c r="AR11064" s="55">
        <v>28500</v>
      </c>
      <c r="AS11064" s="78">
        <f t="shared" si="176"/>
        <v>0</v>
      </c>
    </row>
    <row r="11065" spans="39:45">
      <c r="AM11065" s="55">
        <v>2020</v>
      </c>
      <c r="AN11065" s="55" t="s">
        <v>186</v>
      </c>
      <c r="AO11065" s="55">
        <v>5</v>
      </c>
      <c r="AP11065" s="55">
        <v>23</v>
      </c>
      <c r="AQ11065" s="55">
        <v>0</v>
      </c>
      <c r="AR11065" s="55">
        <v>28500</v>
      </c>
      <c r="AS11065" s="78">
        <f t="shared" si="176"/>
        <v>0</v>
      </c>
    </row>
    <row r="11066" spans="39:45">
      <c r="AM11066" s="54">
        <v>2020</v>
      </c>
      <c r="AN11066" s="54" t="s">
        <v>186</v>
      </c>
      <c r="AO11066" s="54">
        <v>6</v>
      </c>
      <c r="AP11066" s="54">
        <v>24</v>
      </c>
      <c r="AQ11066" s="54">
        <v>0</v>
      </c>
      <c r="AR11066" s="55">
        <v>28500</v>
      </c>
      <c r="AS11066" s="78">
        <f t="shared" si="176"/>
        <v>0</v>
      </c>
    </row>
    <row r="11067" spans="39:45">
      <c r="AM11067" s="55">
        <v>2020</v>
      </c>
      <c r="AN11067" s="55" t="s">
        <v>186</v>
      </c>
      <c r="AO11067" s="55">
        <v>6</v>
      </c>
      <c r="AP11067" s="55">
        <v>1</v>
      </c>
      <c r="AQ11067" s="55">
        <v>0</v>
      </c>
      <c r="AR11067" s="55">
        <v>28500</v>
      </c>
      <c r="AS11067" s="78">
        <f t="shared" si="176"/>
        <v>0</v>
      </c>
    </row>
    <row r="11068" spans="39:45">
      <c r="AM11068" s="54">
        <v>2020</v>
      </c>
      <c r="AN11068" s="54" t="s">
        <v>186</v>
      </c>
      <c r="AO11068" s="54">
        <v>6</v>
      </c>
      <c r="AP11068" s="54">
        <v>2</v>
      </c>
      <c r="AQ11068" s="54">
        <v>0</v>
      </c>
      <c r="AR11068" s="55">
        <v>28500</v>
      </c>
      <c r="AS11068" s="78">
        <f t="shared" si="176"/>
        <v>0</v>
      </c>
    </row>
    <row r="11069" spans="39:45">
      <c r="AM11069" s="55">
        <v>2020</v>
      </c>
      <c r="AN11069" s="55" t="s">
        <v>186</v>
      </c>
      <c r="AO11069" s="55">
        <v>6</v>
      </c>
      <c r="AP11069" s="55">
        <v>3</v>
      </c>
      <c r="AQ11069" s="55">
        <v>0</v>
      </c>
      <c r="AR11069" s="55">
        <v>28500</v>
      </c>
      <c r="AS11069" s="78">
        <f t="shared" si="176"/>
        <v>0</v>
      </c>
    </row>
    <row r="11070" spans="39:45">
      <c r="AM11070" s="54">
        <v>2020</v>
      </c>
      <c r="AN11070" s="54" t="s">
        <v>186</v>
      </c>
      <c r="AO11070" s="54">
        <v>6</v>
      </c>
      <c r="AP11070" s="54">
        <v>4</v>
      </c>
      <c r="AQ11070" s="54">
        <v>0</v>
      </c>
      <c r="AR11070" s="55">
        <v>28500</v>
      </c>
      <c r="AS11070" s="78">
        <f t="shared" si="176"/>
        <v>0</v>
      </c>
    </row>
    <row r="11071" spans="39:45">
      <c r="AM11071" s="55">
        <v>2020</v>
      </c>
      <c r="AN11071" s="55" t="s">
        <v>186</v>
      </c>
      <c r="AO11071" s="55">
        <v>6</v>
      </c>
      <c r="AP11071" s="55">
        <v>5</v>
      </c>
      <c r="AQ11071" s="55">
        <v>0</v>
      </c>
      <c r="AR11071" s="55">
        <v>28500</v>
      </c>
      <c r="AS11071" s="78">
        <f t="shared" si="176"/>
        <v>0</v>
      </c>
    </row>
    <row r="11072" spans="39:45">
      <c r="AM11072" s="54">
        <v>2020</v>
      </c>
      <c r="AN11072" s="54" t="s">
        <v>186</v>
      </c>
      <c r="AO11072" s="54">
        <v>6</v>
      </c>
      <c r="AP11072" s="54">
        <v>6</v>
      </c>
      <c r="AQ11072" s="54">
        <v>1032</v>
      </c>
      <c r="AR11072" s="55">
        <v>28500</v>
      </c>
      <c r="AS11072" s="78">
        <f t="shared" si="176"/>
        <v>3.6210526315789471E-2</v>
      </c>
    </row>
    <row r="11073" spans="39:45">
      <c r="AM11073" s="55">
        <v>2020</v>
      </c>
      <c r="AN11073" s="55" t="s">
        <v>186</v>
      </c>
      <c r="AO11073" s="55">
        <v>6</v>
      </c>
      <c r="AP11073" s="55">
        <v>7</v>
      </c>
      <c r="AQ11073" s="55">
        <v>7228.5</v>
      </c>
      <c r="AR11073" s="55">
        <v>28500</v>
      </c>
      <c r="AS11073" s="78">
        <f t="shared" si="176"/>
        <v>0.25363157894736843</v>
      </c>
    </row>
    <row r="11074" spans="39:45">
      <c r="AM11074" s="54">
        <v>2020</v>
      </c>
      <c r="AN11074" s="54" t="s">
        <v>186</v>
      </c>
      <c r="AO11074" s="54">
        <v>6</v>
      </c>
      <c r="AP11074" s="54">
        <v>8</v>
      </c>
      <c r="AQ11074" s="54">
        <v>1775.5</v>
      </c>
      <c r="AR11074" s="55">
        <v>28500</v>
      </c>
      <c r="AS11074" s="78">
        <f t="shared" ref="AS11074:AS11137" si="177">AQ11074/AR11074</f>
        <v>6.2298245614035089E-2</v>
      </c>
    </row>
    <row r="11075" spans="39:45">
      <c r="AM11075" s="55">
        <v>2020</v>
      </c>
      <c r="AN11075" s="55" t="s">
        <v>186</v>
      </c>
      <c r="AO11075" s="55">
        <v>6</v>
      </c>
      <c r="AP11075" s="55">
        <v>9</v>
      </c>
      <c r="AQ11075" s="55">
        <v>8548</v>
      </c>
      <c r="AR11075" s="55">
        <v>28500</v>
      </c>
      <c r="AS11075" s="78">
        <f t="shared" si="177"/>
        <v>0.29992982456140349</v>
      </c>
    </row>
    <row r="11076" spans="39:45">
      <c r="AM11076" s="54">
        <v>2020</v>
      </c>
      <c r="AN11076" s="54" t="s">
        <v>186</v>
      </c>
      <c r="AO11076" s="54">
        <v>6</v>
      </c>
      <c r="AP11076" s="54">
        <v>10</v>
      </c>
      <c r="AQ11076" s="54">
        <v>5089.5</v>
      </c>
      <c r="AR11076" s="55">
        <v>28500</v>
      </c>
      <c r="AS11076" s="78">
        <f t="shared" si="177"/>
        <v>0.17857894736842106</v>
      </c>
    </row>
    <row r="11077" spans="39:45">
      <c r="AM11077" s="55">
        <v>2020</v>
      </c>
      <c r="AN11077" s="55" t="s">
        <v>186</v>
      </c>
      <c r="AO11077" s="55">
        <v>6</v>
      </c>
      <c r="AP11077" s="55">
        <v>11</v>
      </c>
      <c r="AQ11077" s="55">
        <v>35709.5</v>
      </c>
      <c r="AR11077" s="55">
        <v>28500</v>
      </c>
      <c r="AS11077" s="78">
        <f t="shared" si="177"/>
        <v>1.2529649122807018</v>
      </c>
    </row>
    <row r="11078" spans="39:45">
      <c r="AM11078" s="54">
        <v>2020</v>
      </c>
      <c r="AN11078" s="54" t="s">
        <v>186</v>
      </c>
      <c r="AO11078" s="54">
        <v>6</v>
      </c>
      <c r="AP11078" s="54">
        <v>12</v>
      </c>
      <c r="AQ11078" s="54">
        <v>39333</v>
      </c>
      <c r="AR11078" s="55">
        <v>28500</v>
      </c>
      <c r="AS11078" s="78">
        <f t="shared" si="177"/>
        <v>1.3801052631578947</v>
      </c>
    </row>
    <row r="11079" spans="39:45">
      <c r="AM11079" s="55">
        <v>2020</v>
      </c>
      <c r="AN11079" s="55" t="s">
        <v>186</v>
      </c>
      <c r="AO11079" s="55">
        <v>6</v>
      </c>
      <c r="AP11079" s="55">
        <v>13</v>
      </c>
      <c r="AQ11079" s="55">
        <v>18404.5</v>
      </c>
      <c r="AR11079" s="55">
        <v>28500</v>
      </c>
      <c r="AS11079" s="78">
        <f t="shared" si="177"/>
        <v>0.64577192982456144</v>
      </c>
    </row>
    <row r="11080" spans="39:45">
      <c r="AM11080" s="54">
        <v>2020</v>
      </c>
      <c r="AN11080" s="54" t="s">
        <v>186</v>
      </c>
      <c r="AO11080" s="54">
        <v>6</v>
      </c>
      <c r="AP11080" s="54">
        <v>14</v>
      </c>
      <c r="AQ11080" s="54">
        <v>14407.5</v>
      </c>
      <c r="AR11080" s="55">
        <v>28500</v>
      </c>
      <c r="AS11080" s="78">
        <f t="shared" si="177"/>
        <v>0.50552631578947371</v>
      </c>
    </row>
    <row r="11081" spans="39:45">
      <c r="AM11081" s="55">
        <v>2020</v>
      </c>
      <c r="AN11081" s="55" t="s">
        <v>186</v>
      </c>
      <c r="AO11081" s="55">
        <v>6</v>
      </c>
      <c r="AP11081" s="55">
        <v>15</v>
      </c>
      <c r="AQ11081" s="55">
        <v>10243.5</v>
      </c>
      <c r="AR11081" s="55">
        <v>28500</v>
      </c>
      <c r="AS11081" s="78">
        <f t="shared" si="177"/>
        <v>0.35942105263157897</v>
      </c>
    </row>
    <row r="11082" spans="39:45">
      <c r="AM11082" s="54">
        <v>2020</v>
      </c>
      <c r="AN11082" s="54" t="s">
        <v>186</v>
      </c>
      <c r="AO11082" s="54">
        <v>6</v>
      </c>
      <c r="AP11082" s="54">
        <v>16</v>
      </c>
      <c r="AQ11082" s="54">
        <v>8215.5</v>
      </c>
      <c r="AR11082" s="55">
        <v>28500</v>
      </c>
      <c r="AS11082" s="78">
        <f t="shared" si="177"/>
        <v>0.28826315789473683</v>
      </c>
    </row>
    <row r="11083" spans="39:45">
      <c r="AM11083" s="55">
        <v>2020</v>
      </c>
      <c r="AN11083" s="55" t="s">
        <v>186</v>
      </c>
      <c r="AO11083" s="55">
        <v>6</v>
      </c>
      <c r="AP11083" s="55">
        <v>17</v>
      </c>
      <c r="AQ11083" s="55">
        <v>3599.5</v>
      </c>
      <c r="AR11083" s="55">
        <v>28500</v>
      </c>
      <c r="AS11083" s="78">
        <f t="shared" si="177"/>
        <v>0.12629824561403508</v>
      </c>
    </row>
    <row r="11084" spans="39:45">
      <c r="AM11084" s="54">
        <v>2020</v>
      </c>
      <c r="AN11084" s="54" t="s">
        <v>186</v>
      </c>
      <c r="AO11084" s="54">
        <v>6</v>
      </c>
      <c r="AP11084" s="54">
        <v>18</v>
      </c>
      <c r="AQ11084" s="54">
        <v>4</v>
      </c>
      <c r="AR11084" s="55">
        <v>28500</v>
      </c>
      <c r="AS11084" s="78">
        <f t="shared" si="177"/>
        <v>1.4035087719298245E-4</v>
      </c>
    </row>
    <row r="11085" spans="39:45">
      <c r="AM11085" s="55">
        <v>2020</v>
      </c>
      <c r="AN11085" s="55" t="s">
        <v>186</v>
      </c>
      <c r="AO11085" s="55">
        <v>6</v>
      </c>
      <c r="AP11085" s="55">
        <v>19</v>
      </c>
      <c r="AQ11085" s="55">
        <v>0</v>
      </c>
      <c r="AR11085" s="55">
        <v>28500</v>
      </c>
      <c r="AS11085" s="78">
        <f t="shared" si="177"/>
        <v>0</v>
      </c>
    </row>
    <row r="11086" spans="39:45">
      <c r="AM11086" s="54">
        <v>2020</v>
      </c>
      <c r="AN11086" s="54" t="s">
        <v>186</v>
      </c>
      <c r="AO11086" s="54">
        <v>6</v>
      </c>
      <c r="AP11086" s="54">
        <v>20</v>
      </c>
      <c r="AQ11086" s="54">
        <v>0</v>
      </c>
      <c r="AR11086" s="55">
        <v>28500</v>
      </c>
      <c r="AS11086" s="78">
        <f t="shared" si="177"/>
        <v>0</v>
      </c>
    </row>
    <row r="11087" spans="39:45">
      <c r="AM11087" s="55">
        <v>2020</v>
      </c>
      <c r="AN11087" s="55" t="s">
        <v>186</v>
      </c>
      <c r="AO11087" s="55">
        <v>6</v>
      </c>
      <c r="AP11087" s="55">
        <v>21</v>
      </c>
      <c r="AQ11087" s="55">
        <v>0</v>
      </c>
      <c r="AR11087" s="55">
        <v>28500</v>
      </c>
      <c r="AS11087" s="78">
        <f t="shared" si="177"/>
        <v>0</v>
      </c>
    </row>
    <row r="11088" spans="39:45">
      <c r="AM11088" s="54">
        <v>2020</v>
      </c>
      <c r="AN11088" s="54" t="s">
        <v>186</v>
      </c>
      <c r="AO11088" s="54">
        <v>6</v>
      </c>
      <c r="AP11088" s="54">
        <v>22</v>
      </c>
      <c r="AQ11088" s="54">
        <v>0</v>
      </c>
      <c r="AR11088" s="55">
        <v>28500</v>
      </c>
      <c r="AS11088" s="78">
        <f t="shared" si="177"/>
        <v>0</v>
      </c>
    </row>
    <row r="11089" spans="39:45">
      <c r="AM11089" s="55">
        <v>2020</v>
      </c>
      <c r="AN11089" s="55" t="s">
        <v>186</v>
      </c>
      <c r="AO11089" s="55">
        <v>6</v>
      </c>
      <c r="AP11089" s="55">
        <v>23</v>
      </c>
      <c r="AQ11089" s="55">
        <v>0</v>
      </c>
      <c r="AR11089" s="55">
        <v>28500</v>
      </c>
      <c r="AS11089" s="78">
        <f t="shared" si="177"/>
        <v>0</v>
      </c>
    </row>
    <row r="11090" spans="39:45">
      <c r="AM11090" s="54">
        <v>2020</v>
      </c>
      <c r="AN11090" s="54" t="s">
        <v>186</v>
      </c>
      <c r="AO11090" s="54">
        <v>7</v>
      </c>
      <c r="AP11090" s="54">
        <v>24</v>
      </c>
      <c r="AQ11090" s="54">
        <v>0</v>
      </c>
      <c r="AR11090" s="55">
        <v>28500</v>
      </c>
      <c r="AS11090" s="78">
        <f t="shared" si="177"/>
        <v>0</v>
      </c>
    </row>
    <row r="11091" spans="39:45">
      <c r="AM11091" s="55">
        <v>2020</v>
      </c>
      <c r="AN11091" s="55" t="s">
        <v>186</v>
      </c>
      <c r="AO11091" s="55">
        <v>7</v>
      </c>
      <c r="AP11091" s="55">
        <v>1</v>
      </c>
      <c r="AQ11091" s="55">
        <v>0</v>
      </c>
      <c r="AR11091" s="55">
        <v>28500</v>
      </c>
      <c r="AS11091" s="78">
        <f t="shared" si="177"/>
        <v>0</v>
      </c>
    </row>
    <row r="11092" spans="39:45">
      <c r="AM11092" s="54">
        <v>2020</v>
      </c>
      <c r="AN11092" s="54" t="s">
        <v>186</v>
      </c>
      <c r="AO11092" s="54">
        <v>7</v>
      </c>
      <c r="AP11092" s="54">
        <v>2</v>
      </c>
      <c r="AQ11092" s="54">
        <v>0</v>
      </c>
      <c r="AR11092" s="55">
        <v>28500</v>
      </c>
      <c r="AS11092" s="78">
        <f t="shared" si="177"/>
        <v>0</v>
      </c>
    </row>
    <row r="11093" spans="39:45">
      <c r="AM11093" s="55">
        <v>2020</v>
      </c>
      <c r="AN11093" s="55" t="s">
        <v>186</v>
      </c>
      <c r="AO11093" s="55">
        <v>7</v>
      </c>
      <c r="AP11093" s="55">
        <v>3</v>
      </c>
      <c r="AQ11093" s="55">
        <v>0</v>
      </c>
      <c r="AR11093" s="55">
        <v>28500</v>
      </c>
      <c r="AS11093" s="78">
        <f t="shared" si="177"/>
        <v>0</v>
      </c>
    </row>
    <row r="11094" spans="39:45">
      <c r="AM11094" s="54">
        <v>2020</v>
      </c>
      <c r="AN11094" s="54" t="s">
        <v>186</v>
      </c>
      <c r="AO11094" s="54">
        <v>7</v>
      </c>
      <c r="AP11094" s="54">
        <v>4</v>
      </c>
      <c r="AQ11094" s="54">
        <v>0</v>
      </c>
      <c r="AR11094" s="55">
        <v>28500</v>
      </c>
      <c r="AS11094" s="78">
        <f t="shared" si="177"/>
        <v>0</v>
      </c>
    </row>
    <row r="11095" spans="39:45">
      <c r="AM11095" s="55">
        <v>2020</v>
      </c>
      <c r="AN11095" s="55" t="s">
        <v>186</v>
      </c>
      <c r="AO11095" s="55">
        <v>7</v>
      </c>
      <c r="AP11095" s="55">
        <v>5</v>
      </c>
      <c r="AQ11095" s="55">
        <v>0</v>
      </c>
      <c r="AR11095" s="55">
        <v>28500</v>
      </c>
      <c r="AS11095" s="78">
        <f t="shared" si="177"/>
        <v>0</v>
      </c>
    </row>
    <row r="11096" spans="39:45">
      <c r="AM11096" s="54">
        <v>2020</v>
      </c>
      <c r="AN11096" s="54" t="s">
        <v>186</v>
      </c>
      <c r="AO11096" s="54">
        <v>7</v>
      </c>
      <c r="AP11096" s="54">
        <v>6</v>
      </c>
      <c r="AQ11096" s="54">
        <v>1192.5</v>
      </c>
      <c r="AR11096" s="55">
        <v>28500</v>
      </c>
      <c r="AS11096" s="78">
        <f t="shared" si="177"/>
        <v>4.1842105263157896E-2</v>
      </c>
    </row>
    <row r="11097" spans="39:45">
      <c r="AM11097" s="55">
        <v>2020</v>
      </c>
      <c r="AN11097" s="55" t="s">
        <v>186</v>
      </c>
      <c r="AO11097" s="55">
        <v>7</v>
      </c>
      <c r="AP11097" s="55">
        <v>7</v>
      </c>
      <c r="AQ11097" s="55">
        <v>10502.5</v>
      </c>
      <c r="AR11097" s="55">
        <v>28500</v>
      </c>
      <c r="AS11097" s="78">
        <f t="shared" si="177"/>
        <v>0.36850877192982456</v>
      </c>
    </row>
    <row r="11098" spans="39:45">
      <c r="AM11098" s="54">
        <v>2020</v>
      </c>
      <c r="AN11098" s="54" t="s">
        <v>186</v>
      </c>
      <c r="AO11098" s="54">
        <v>7</v>
      </c>
      <c r="AP11098" s="54">
        <v>8</v>
      </c>
      <c r="AQ11098" s="54">
        <v>21303</v>
      </c>
      <c r="AR11098" s="55">
        <v>28500</v>
      </c>
      <c r="AS11098" s="78">
        <f t="shared" si="177"/>
        <v>0.74747368421052629</v>
      </c>
    </row>
    <row r="11099" spans="39:45">
      <c r="AM11099" s="55">
        <v>2020</v>
      </c>
      <c r="AN11099" s="55" t="s">
        <v>186</v>
      </c>
      <c r="AO11099" s="55">
        <v>7</v>
      </c>
      <c r="AP11099" s="55">
        <v>9</v>
      </c>
      <c r="AQ11099" s="55">
        <v>29695</v>
      </c>
      <c r="AR11099" s="55">
        <v>28500</v>
      </c>
      <c r="AS11099" s="78">
        <f t="shared" si="177"/>
        <v>1.0419298245614035</v>
      </c>
    </row>
    <row r="11100" spans="39:45">
      <c r="AM11100" s="54">
        <v>2020</v>
      </c>
      <c r="AN11100" s="54" t="s">
        <v>186</v>
      </c>
      <c r="AO11100" s="54">
        <v>7</v>
      </c>
      <c r="AP11100" s="54">
        <v>10</v>
      </c>
      <c r="AQ11100" s="54">
        <v>36247</v>
      </c>
      <c r="AR11100" s="55">
        <v>28500</v>
      </c>
      <c r="AS11100" s="78">
        <f t="shared" si="177"/>
        <v>1.2718245614035089</v>
      </c>
    </row>
    <row r="11101" spans="39:45">
      <c r="AM11101" s="55">
        <v>2020</v>
      </c>
      <c r="AN11101" s="55" t="s">
        <v>186</v>
      </c>
      <c r="AO11101" s="55">
        <v>7</v>
      </c>
      <c r="AP11101" s="55">
        <v>11</v>
      </c>
      <c r="AQ11101" s="55">
        <v>32726.5</v>
      </c>
      <c r="AR11101" s="55">
        <v>28500</v>
      </c>
      <c r="AS11101" s="78">
        <f t="shared" si="177"/>
        <v>1.1482982456140352</v>
      </c>
    </row>
    <row r="11102" spans="39:45">
      <c r="AM11102" s="54">
        <v>2020</v>
      </c>
      <c r="AN11102" s="54" t="s">
        <v>186</v>
      </c>
      <c r="AO11102" s="54">
        <v>7</v>
      </c>
      <c r="AP11102" s="54">
        <v>12</v>
      </c>
      <c r="AQ11102" s="54">
        <v>35752</v>
      </c>
      <c r="AR11102" s="55">
        <v>28500</v>
      </c>
      <c r="AS11102" s="78">
        <f t="shared" si="177"/>
        <v>1.2544561403508772</v>
      </c>
    </row>
    <row r="11103" spans="39:45">
      <c r="AM11103" s="55">
        <v>2020</v>
      </c>
      <c r="AN11103" s="55" t="s">
        <v>186</v>
      </c>
      <c r="AO11103" s="55">
        <v>7</v>
      </c>
      <c r="AP11103" s="55">
        <v>13</v>
      </c>
      <c r="AQ11103" s="55">
        <v>37896</v>
      </c>
      <c r="AR11103" s="55">
        <v>28500</v>
      </c>
      <c r="AS11103" s="78">
        <f t="shared" si="177"/>
        <v>1.3296842105263158</v>
      </c>
    </row>
    <row r="11104" spans="39:45">
      <c r="AM11104" s="54">
        <v>2020</v>
      </c>
      <c r="AN11104" s="54" t="s">
        <v>186</v>
      </c>
      <c r="AO11104" s="54">
        <v>7</v>
      </c>
      <c r="AP11104" s="54">
        <v>14</v>
      </c>
      <c r="AQ11104" s="54">
        <v>31336.5</v>
      </c>
      <c r="AR11104" s="55">
        <v>28500</v>
      </c>
      <c r="AS11104" s="78">
        <f t="shared" si="177"/>
        <v>1.0995263157894737</v>
      </c>
    </row>
    <row r="11105" spans="39:45">
      <c r="AM11105" s="55">
        <v>2020</v>
      </c>
      <c r="AN11105" s="55" t="s">
        <v>186</v>
      </c>
      <c r="AO11105" s="55">
        <v>7</v>
      </c>
      <c r="AP11105" s="55">
        <v>15</v>
      </c>
      <c r="AQ11105" s="55">
        <v>27730.5</v>
      </c>
      <c r="AR11105" s="55">
        <v>28500</v>
      </c>
      <c r="AS11105" s="78">
        <f t="shared" si="177"/>
        <v>0.97299999999999998</v>
      </c>
    </row>
    <row r="11106" spans="39:45">
      <c r="AM11106" s="54">
        <v>2020</v>
      </c>
      <c r="AN11106" s="54" t="s">
        <v>186</v>
      </c>
      <c r="AO11106" s="54">
        <v>7</v>
      </c>
      <c r="AP11106" s="54">
        <v>16</v>
      </c>
      <c r="AQ11106" s="54">
        <v>16045</v>
      </c>
      <c r="AR11106" s="55">
        <v>28500</v>
      </c>
      <c r="AS11106" s="78">
        <f t="shared" si="177"/>
        <v>0.56298245614035092</v>
      </c>
    </row>
    <row r="11107" spans="39:45">
      <c r="AM11107" s="55">
        <v>2020</v>
      </c>
      <c r="AN11107" s="55" t="s">
        <v>186</v>
      </c>
      <c r="AO11107" s="55">
        <v>7</v>
      </c>
      <c r="AP11107" s="55">
        <v>17</v>
      </c>
      <c r="AQ11107" s="55">
        <v>6776.5</v>
      </c>
      <c r="AR11107" s="55">
        <v>28500</v>
      </c>
      <c r="AS11107" s="78">
        <f t="shared" si="177"/>
        <v>0.23777192982456141</v>
      </c>
    </row>
    <row r="11108" spans="39:45">
      <c r="AM11108" s="54">
        <v>2020</v>
      </c>
      <c r="AN11108" s="54" t="s">
        <v>186</v>
      </c>
      <c r="AO11108" s="54">
        <v>7</v>
      </c>
      <c r="AP11108" s="54">
        <v>18</v>
      </c>
      <c r="AQ11108" s="54">
        <v>282</v>
      </c>
      <c r="AR11108" s="55">
        <v>28500</v>
      </c>
      <c r="AS11108" s="78">
        <f t="shared" si="177"/>
        <v>9.8947368421052635E-3</v>
      </c>
    </row>
    <row r="11109" spans="39:45">
      <c r="AM11109" s="55">
        <v>2020</v>
      </c>
      <c r="AN11109" s="55" t="s">
        <v>186</v>
      </c>
      <c r="AO11109" s="55">
        <v>7</v>
      </c>
      <c r="AP11109" s="55">
        <v>19</v>
      </c>
      <c r="AQ11109" s="55">
        <v>0</v>
      </c>
      <c r="AR11109" s="55">
        <v>28500</v>
      </c>
      <c r="AS11109" s="78">
        <f t="shared" si="177"/>
        <v>0</v>
      </c>
    </row>
    <row r="11110" spans="39:45">
      <c r="AM11110" s="54">
        <v>2020</v>
      </c>
      <c r="AN11110" s="54" t="s">
        <v>186</v>
      </c>
      <c r="AO11110" s="54">
        <v>7</v>
      </c>
      <c r="AP11110" s="54">
        <v>20</v>
      </c>
      <c r="AQ11110" s="54">
        <v>0</v>
      </c>
      <c r="AR11110" s="55">
        <v>28500</v>
      </c>
      <c r="AS11110" s="78">
        <f t="shared" si="177"/>
        <v>0</v>
      </c>
    </row>
    <row r="11111" spans="39:45">
      <c r="AM11111" s="55">
        <v>2020</v>
      </c>
      <c r="AN11111" s="55" t="s">
        <v>186</v>
      </c>
      <c r="AO11111" s="55">
        <v>7</v>
      </c>
      <c r="AP11111" s="55">
        <v>21</v>
      </c>
      <c r="AQ11111" s="55">
        <v>0</v>
      </c>
      <c r="AR11111" s="55">
        <v>28500</v>
      </c>
      <c r="AS11111" s="78">
        <f t="shared" si="177"/>
        <v>0</v>
      </c>
    </row>
    <row r="11112" spans="39:45">
      <c r="AM11112" s="54">
        <v>2020</v>
      </c>
      <c r="AN11112" s="54" t="s">
        <v>186</v>
      </c>
      <c r="AO11112" s="54">
        <v>7</v>
      </c>
      <c r="AP11112" s="54">
        <v>22</v>
      </c>
      <c r="AQ11112" s="54">
        <v>0</v>
      </c>
      <c r="AR11112" s="55">
        <v>28500</v>
      </c>
      <c r="AS11112" s="78">
        <f t="shared" si="177"/>
        <v>0</v>
      </c>
    </row>
    <row r="11113" spans="39:45">
      <c r="AM11113" s="55">
        <v>2020</v>
      </c>
      <c r="AN11113" s="55" t="s">
        <v>186</v>
      </c>
      <c r="AO11113" s="55">
        <v>7</v>
      </c>
      <c r="AP11113" s="55">
        <v>23</v>
      </c>
      <c r="AQ11113" s="55">
        <v>0</v>
      </c>
      <c r="AR11113" s="55">
        <v>28500</v>
      </c>
      <c r="AS11113" s="78">
        <f t="shared" si="177"/>
        <v>0</v>
      </c>
    </row>
    <row r="11114" spans="39:45">
      <c r="AM11114" s="54">
        <v>2020</v>
      </c>
      <c r="AN11114" s="54" t="s">
        <v>186</v>
      </c>
      <c r="AO11114" s="54">
        <v>8</v>
      </c>
      <c r="AP11114" s="54">
        <v>24</v>
      </c>
      <c r="AQ11114" s="54">
        <v>0</v>
      </c>
      <c r="AR11114" s="55">
        <v>28500</v>
      </c>
      <c r="AS11114" s="78">
        <f t="shared" si="177"/>
        <v>0</v>
      </c>
    </row>
    <row r="11115" spans="39:45">
      <c r="AM11115" s="55">
        <v>2020</v>
      </c>
      <c r="AN11115" s="55" t="s">
        <v>186</v>
      </c>
      <c r="AO11115" s="55">
        <v>8</v>
      </c>
      <c r="AP11115" s="55">
        <v>1</v>
      </c>
      <c r="AQ11115" s="55">
        <v>0</v>
      </c>
      <c r="AR11115" s="55">
        <v>28500</v>
      </c>
      <c r="AS11115" s="78">
        <f t="shared" si="177"/>
        <v>0</v>
      </c>
    </row>
    <row r="11116" spans="39:45">
      <c r="AM11116" s="54">
        <v>2020</v>
      </c>
      <c r="AN11116" s="54" t="s">
        <v>186</v>
      </c>
      <c r="AO11116" s="54">
        <v>8</v>
      </c>
      <c r="AP11116" s="54">
        <v>2</v>
      </c>
      <c r="AQ11116" s="54">
        <v>0</v>
      </c>
      <c r="AR11116" s="55">
        <v>28500</v>
      </c>
      <c r="AS11116" s="78">
        <f t="shared" si="177"/>
        <v>0</v>
      </c>
    </row>
    <row r="11117" spans="39:45">
      <c r="AM11117" s="55">
        <v>2020</v>
      </c>
      <c r="AN11117" s="55" t="s">
        <v>186</v>
      </c>
      <c r="AO11117" s="55">
        <v>8</v>
      </c>
      <c r="AP11117" s="55">
        <v>3</v>
      </c>
      <c r="AQ11117" s="55">
        <v>0</v>
      </c>
      <c r="AR11117" s="55">
        <v>28500</v>
      </c>
      <c r="AS11117" s="78">
        <f t="shared" si="177"/>
        <v>0</v>
      </c>
    </row>
    <row r="11118" spans="39:45">
      <c r="AM11118" s="54">
        <v>2020</v>
      </c>
      <c r="AN11118" s="54" t="s">
        <v>186</v>
      </c>
      <c r="AO11118" s="54">
        <v>8</v>
      </c>
      <c r="AP11118" s="54">
        <v>4</v>
      </c>
      <c r="AQ11118" s="54">
        <v>0</v>
      </c>
      <c r="AR11118" s="55">
        <v>28500</v>
      </c>
      <c r="AS11118" s="78">
        <f t="shared" si="177"/>
        <v>0</v>
      </c>
    </row>
    <row r="11119" spans="39:45">
      <c r="AM11119" s="55">
        <v>2020</v>
      </c>
      <c r="AN11119" s="55" t="s">
        <v>186</v>
      </c>
      <c r="AO11119" s="55">
        <v>8</v>
      </c>
      <c r="AP11119" s="55">
        <v>5</v>
      </c>
      <c r="AQ11119" s="55">
        <v>0</v>
      </c>
      <c r="AR11119" s="55">
        <v>28500</v>
      </c>
      <c r="AS11119" s="78">
        <f t="shared" si="177"/>
        <v>0</v>
      </c>
    </row>
    <row r="11120" spans="39:45">
      <c r="AM11120" s="54">
        <v>2020</v>
      </c>
      <c r="AN11120" s="54" t="s">
        <v>186</v>
      </c>
      <c r="AO11120" s="54">
        <v>8</v>
      </c>
      <c r="AP11120" s="54">
        <v>6</v>
      </c>
      <c r="AQ11120" s="54">
        <v>1355.5</v>
      </c>
      <c r="AR11120" s="55">
        <v>28500</v>
      </c>
      <c r="AS11120" s="78">
        <f t="shared" si="177"/>
        <v>4.7561403508771929E-2</v>
      </c>
    </row>
    <row r="11121" spans="39:45">
      <c r="AM11121" s="55">
        <v>2020</v>
      </c>
      <c r="AN11121" s="55" t="s">
        <v>186</v>
      </c>
      <c r="AO11121" s="55">
        <v>8</v>
      </c>
      <c r="AP11121" s="55">
        <v>7</v>
      </c>
      <c r="AQ11121" s="55">
        <v>9821</v>
      </c>
      <c r="AR11121" s="55">
        <v>28500</v>
      </c>
      <c r="AS11121" s="78">
        <f t="shared" si="177"/>
        <v>0.34459649122807018</v>
      </c>
    </row>
    <row r="11122" spans="39:45">
      <c r="AM11122" s="54">
        <v>2020</v>
      </c>
      <c r="AN11122" s="54" t="s">
        <v>186</v>
      </c>
      <c r="AO11122" s="54">
        <v>8</v>
      </c>
      <c r="AP11122" s="54">
        <v>8</v>
      </c>
      <c r="AQ11122" s="54">
        <v>20316.5</v>
      </c>
      <c r="AR11122" s="55">
        <v>28500</v>
      </c>
      <c r="AS11122" s="78">
        <f t="shared" si="177"/>
        <v>0.71285964912280697</v>
      </c>
    </row>
    <row r="11123" spans="39:45">
      <c r="AM11123" s="55">
        <v>2020</v>
      </c>
      <c r="AN11123" s="55" t="s">
        <v>186</v>
      </c>
      <c r="AO11123" s="55">
        <v>8</v>
      </c>
      <c r="AP11123" s="55">
        <v>9</v>
      </c>
      <c r="AQ11123" s="55">
        <v>28985</v>
      </c>
      <c r="AR11123" s="55">
        <v>28500</v>
      </c>
      <c r="AS11123" s="78">
        <f t="shared" si="177"/>
        <v>1.0170175438596492</v>
      </c>
    </row>
    <row r="11124" spans="39:45">
      <c r="AM11124" s="54">
        <v>2020</v>
      </c>
      <c r="AN11124" s="54" t="s">
        <v>186</v>
      </c>
      <c r="AO11124" s="54">
        <v>8</v>
      </c>
      <c r="AP11124" s="54">
        <v>10</v>
      </c>
      <c r="AQ11124" s="54">
        <v>30943</v>
      </c>
      <c r="AR11124" s="55">
        <v>28500</v>
      </c>
      <c r="AS11124" s="78">
        <f t="shared" si="177"/>
        <v>1.0857192982456141</v>
      </c>
    </row>
    <row r="11125" spans="39:45">
      <c r="AM11125" s="55">
        <v>2020</v>
      </c>
      <c r="AN11125" s="55" t="s">
        <v>186</v>
      </c>
      <c r="AO11125" s="55">
        <v>8</v>
      </c>
      <c r="AP11125" s="55">
        <v>11</v>
      </c>
      <c r="AQ11125" s="55">
        <v>38562.5</v>
      </c>
      <c r="AR11125" s="55">
        <v>28500</v>
      </c>
      <c r="AS11125" s="78">
        <f t="shared" si="177"/>
        <v>1.3530701754385965</v>
      </c>
    </row>
    <row r="11126" spans="39:45">
      <c r="AM11126" s="54">
        <v>2020</v>
      </c>
      <c r="AN11126" s="54" t="s">
        <v>186</v>
      </c>
      <c r="AO11126" s="54">
        <v>8</v>
      </c>
      <c r="AP11126" s="54">
        <v>12</v>
      </c>
      <c r="AQ11126" s="54">
        <v>27829</v>
      </c>
      <c r="AR11126" s="55">
        <v>28500</v>
      </c>
      <c r="AS11126" s="78">
        <f t="shared" si="177"/>
        <v>0.97645614035087724</v>
      </c>
    </row>
    <row r="11127" spans="39:45">
      <c r="AM11127" s="55">
        <v>2020</v>
      </c>
      <c r="AN11127" s="55" t="s">
        <v>186</v>
      </c>
      <c r="AO11127" s="55">
        <v>8</v>
      </c>
      <c r="AP11127" s="55">
        <v>13</v>
      </c>
      <c r="AQ11127" s="55">
        <v>28644.5</v>
      </c>
      <c r="AR11127" s="55">
        <v>28500</v>
      </c>
      <c r="AS11127" s="78">
        <f t="shared" si="177"/>
        <v>1.0050701754385964</v>
      </c>
    </row>
    <row r="11128" spans="39:45">
      <c r="AM11128" s="54">
        <v>2020</v>
      </c>
      <c r="AN11128" s="54" t="s">
        <v>186</v>
      </c>
      <c r="AO11128" s="54">
        <v>8</v>
      </c>
      <c r="AP11128" s="54">
        <v>14</v>
      </c>
      <c r="AQ11128" s="54">
        <v>17780.5</v>
      </c>
      <c r="AR11128" s="55">
        <v>28500</v>
      </c>
      <c r="AS11128" s="78">
        <f t="shared" si="177"/>
        <v>0.62387719298245614</v>
      </c>
    </row>
    <row r="11129" spans="39:45">
      <c r="AM11129" s="55">
        <v>2020</v>
      </c>
      <c r="AN11129" s="55" t="s">
        <v>186</v>
      </c>
      <c r="AO11129" s="55">
        <v>8</v>
      </c>
      <c r="AP11129" s="55">
        <v>15</v>
      </c>
      <c r="AQ11129" s="55">
        <v>16944.5</v>
      </c>
      <c r="AR11129" s="55">
        <v>28500</v>
      </c>
      <c r="AS11129" s="78">
        <f t="shared" si="177"/>
        <v>0.59454385964912282</v>
      </c>
    </row>
    <row r="11130" spans="39:45">
      <c r="AM11130" s="54">
        <v>2020</v>
      </c>
      <c r="AN11130" s="54" t="s">
        <v>186</v>
      </c>
      <c r="AO11130" s="54">
        <v>8</v>
      </c>
      <c r="AP11130" s="54">
        <v>16</v>
      </c>
      <c r="AQ11130" s="54">
        <v>9231.5</v>
      </c>
      <c r="AR11130" s="55">
        <v>28500</v>
      </c>
      <c r="AS11130" s="78">
        <f t="shared" si="177"/>
        <v>0.32391228070175437</v>
      </c>
    </row>
    <row r="11131" spans="39:45">
      <c r="AM11131" s="55">
        <v>2020</v>
      </c>
      <c r="AN11131" s="55" t="s">
        <v>186</v>
      </c>
      <c r="AO11131" s="55">
        <v>8</v>
      </c>
      <c r="AP11131" s="55">
        <v>17</v>
      </c>
      <c r="AQ11131" s="55">
        <v>3946.5</v>
      </c>
      <c r="AR11131" s="55">
        <v>28500</v>
      </c>
      <c r="AS11131" s="78">
        <f t="shared" si="177"/>
        <v>0.1384736842105263</v>
      </c>
    </row>
    <row r="11132" spans="39:45">
      <c r="AM11132" s="54">
        <v>2020</v>
      </c>
      <c r="AN11132" s="54" t="s">
        <v>186</v>
      </c>
      <c r="AO11132" s="54">
        <v>8</v>
      </c>
      <c r="AP11132" s="54">
        <v>18</v>
      </c>
      <c r="AQ11132" s="54">
        <v>73.5</v>
      </c>
      <c r="AR11132" s="55">
        <v>28500</v>
      </c>
      <c r="AS11132" s="78">
        <f t="shared" si="177"/>
        <v>2.5789473684210526E-3</v>
      </c>
    </row>
    <row r="11133" spans="39:45">
      <c r="AM11133" s="55">
        <v>2020</v>
      </c>
      <c r="AN11133" s="55" t="s">
        <v>186</v>
      </c>
      <c r="AO11133" s="55">
        <v>8</v>
      </c>
      <c r="AP11133" s="55">
        <v>19</v>
      </c>
      <c r="AQ11133" s="55">
        <v>0</v>
      </c>
      <c r="AR11133" s="55">
        <v>28500</v>
      </c>
      <c r="AS11133" s="78">
        <f t="shared" si="177"/>
        <v>0</v>
      </c>
    </row>
    <row r="11134" spans="39:45">
      <c r="AM11134" s="54">
        <v>2020</v>
      </c>
      <c r="AN11134" s="54" t="s">
        <v>186</v>
      </c>
      <c r="AO11134" s="54">
        <v>8</v>
      </c>
      <c r="AP11134" s="54">
        <v>20</v>
      </c>
      <c r="AQ11134" s="54">
        <v>0</v>
      </c>
      <c r="AR11134" s="55">
        <v>28500</v>
      </c>
      <c r="AS11134" s="78">
        <f t="shared" si="177"/>
        <v>0</v>
      </c>
    </row>
    <row r="11135" spans="39:45">
      <c r="AM11135" s="55">
        <v>2020</v>
      </c>
      <c r="AN11135" s="55" t="s">
        <v>186</v>
      </c>
      <c r="AO11135" s="55">
        <v>8</v>
      </c>
      <c r="AP11135" s="55">
        <v>21</v>
      </c>
      <c r="AQ11135" s="55">
        <v>0</v>
      </c>
      <c r="AR11135" s="55">
        <v>28500</v>
      </c>
      <c r="AS11135" s="78">
        <f t="shared" si="177"/>
        <v>0</v>
      </c>
    </row>
    <row r="11136" spans="39:45">
      <c r="AM11136" s="54">
        <v>2020</v>
      </c>
      <c r="AN11136" s="54" t="s">
        <v>186</v>
      </c>
      <c r="AO11136" s="54">
        <v>8</v>
      </c>
      <c r="AP11136" s="54">
        <v>22</v>
      </c>
      <c r="AQ11136" s="54">
        <v>0</v>
      </c>
      <c r="AR11136" s="55">
        <v>28500</v>
      </c>
      <c r="AS11136" s="78">
        <f t="shared" si="177"/>
        <v>0</v>
      </c>
    </row>
    <row r="11137" spans="39:45">
      <c r="AM11137" s="55">
        <v>2020</v>
      </c>
      <c r="AN11137" s="55" t="s">
        <v>186</v>
      </c>
      <c r="AO11137" s="55">
        <v>8</v>
      </c>
      <c r="AP11137" s="55">
        <v>23</v>
      </c>
      <c r="AQ11137" s="55">
        <v>0</v>
      </c>
      <c r="AR11137" s="55">
        <v>28500</v>
      </c>
      <c r="AS11137" s="78">
        <f t="shared" si="177"/>
        <v>0</v>
      </c>
    </row>
    <row r="11138" spans="39:45">
      <c r="AM11138" s="54">
        <v>2020</v>
      </c>
      <c r="AN11138" s="54" t="s">
        <v>186</v>
      </c>
      <c r="AO11138" s="54">
        <v>9</v>
      </c>
      <c r="AP11138" s="54">
        <v>24</v>
      </c>
      <c r="AQ11138" s="54">
        <v>0</v>
      </c>
      <c r="AR11138" s="55">
        <v>28500</v>
      </c>
      <c r="AS11138" s="78">
        <f t="shared" ref="AS11138:AS11201" si="178">AQ11138/AR11138</f>
        <v>0</v>
      </c>
    </row>
    <row r="11139" spans="39:45">
      <c r="AM11139" s="55">
        <v>2020</v>
      </c>
      <c r="AN11139" s="55" t="s">
        <v>186</v>
      </c>
      <c r="AO11139" s="55">
        <v>9</v>
      </c>
      <c r="AP11139" s="55">
        <v>1</v>
      </c>
      <c r="AQ11139" s="55">
        <v>0</v>
      </c>
      <c r="AR11139" s="55">
        <v>28500</v>
      </c>
      <c r="AS11139" s="78">
        <f t="shared" si="178"/>
        <v>0</v>
      </c>
    </row>
    <row r="11140" spans="39:45">
      <c r="AM11140" s="54">
        <v>2020</v>
      </c>
      <c r="AN11140" s="54" t="s">
        <v>186</v>
      </c>
      <c r="AO11140" s="54">
        <v>9</v>
      </c>
      <c r="AP11140" s="54">
        <v>2</v>
      </c>
      <c r="AQ11140" s="54">
        <v>0</v>
      </c>
      <c r="AR11140" s="55">
        <v>28500</v>
      </c>
      <c r="AS11140" s="78">
        <f t="shared" si="178"/>
        <v>0</v>
      </c>
    </row>
    <row r="11141" spans="39:45">
      <c r="AM11141" s="55">
        <v>2020</v>
      </c>
      <c r="AN11141" s="55" t="s">
        <v>186</v>
      </c>
      <c r="AO11141" s="55">
        <v>9</v>
      </c>
      <c r="AP11141" s="55">
        <v>3</v>
      </c>
      <c r="AQ11141" s="55">
        <v>0</v>
      </c>
      <c r="AR11141" s="55">
        <v>28500</v>
      </c>
      <c r="AS11141" s="78">
        <f t="shared" si="178"/>
        <v>0</v>
      </c>
    </row>
    <row r="11142" spans="39:45">
      <c r="AM11142" s="54">
        <v>2020</v>
      </c>
      <c r="AN11142" s="54" t="s">
        <v>186</v>
      </c>
      <c r="AO11142" s="54">
        <v>9</v>
      </c>
      <c r="AP11142" s="54">
        <v>4</v>
      </c>
      <c r="AQ11142" s="54">
        <v>0</v>
      </c>
      <c r="AR11142" s="55">
        <v>28500</v>
      </c>
      <c r="AS11142" s="78">
        <f t="shared" si="178"/>
        <v>0</v>
      </c>
    </row>
    <row r="11143" spans="39:45">
      <c r="AM11143" s="55">
        <v>2020</v>
      </c>
      <c r="AN11143" s="55" t="s">
        <v>186</v>
      </c>
      <c r="AO11143" s="55">
        <v>9</v>
      </c>
      <c r="AP11143" s="55">
        <v>5</v>
      </c>
      <c r="AQ11143" s="55">
        <v>0</v>
      </c>
      <c r="AR11143" s="55">
        <v>28500</v>
      </c>
      <c r="AS11143" s="78">
        <f t="shared" si="178"/>
        <v>0</v>
      </c>
    </row>
    <row r="11144" spans="39:45">
      <c r="AM11144" s="54">
        <v>2020</v>
      </c>
      <c r="AN11144" s="54" t="s">
        <v>186</v>
      </c>
      <c r="AO11144" s="54">
        <v>9</v>
      </c>
      <c r="AP11144" s="54">
        <v>6</v>
      </c>
      <c r="AQ11144" s="54">
        <v>1397.5</v>
      </c>
      <c r="AR11144" s="55">
        <v>28500</v>
      </c>
      <c r="AS11144" s="78">
        <f t="shared" si="178"/>
        <v>4.9035087719298244E-2</v>
      </c>
    </row>
    <row r="11145" spans="39:45">
      <c r="AM11145" s="55">
        <v>2020</v>
      </c>
      <c r="AN11145" s="55" t="s">
        <v>186</v>
      </c>
      <c r="AO11145" s="55">
        <v>9</v>
      </c>
      <c r="AP11145" s="55">
        <v>7</v>
      </c>
      <c r="AQ11145" s="55">
        <v>9929</v>
      </c>
      <c r="AR11145" s="55">
        <v>28500</v>
      </c>
      <c r="AS11145" s="78">
        <f t="shared" si="178"/>
        <v>0.34838596491228069</v>
      </c>
    </row>
    <row r="11146" spans="39:45">
      <c r="AM11146" s="54">
        <v>2020</v>
      </c>
      <c r="AN11146" s="54" t="s">
        <v>186</v>
      </c>
      <c r="AO11146" s="54">
        <v>9</v>
      </c>
      <c r="AP11146" s="54">
        <v>8</v>
      </c>
      <c r="AQ11146" s="54">
        <v>20621.5</v>
      </c>
      <c r="AR11146" s="55">
        <v>28500</v>
      </c>
      <c r="AS11146" s="78">
        <f t="shared" si="178"/>
        <v>0.72356140350877196</v>
      </c>
    </row>
    <row r="11147" spans="39:45">
      <c r="AM11147" s="55">
        <v>2020</v>
      </c>
      <c r="AN11147" s="55" t="s">
        <v>186</v>
      </c>
      <c r="AO11147" s="55">
        <v>9</v>
      </c>
      <c r="AP11147" s="55">
        <v>9</v>
      </c>
      <c r="AQ11147" s="55">
        <v>29304.5</v>
      </c>
      <c r="AR11147" s="55">
        <v>28500</v>
      </c>
      <c r="AS11147" s="78">
        <f t="shared" si="178"/>
        <v>1.0282280701754385</v>
      </c>
    </row>
    <row r="11148" spans="39:45">
      <c r="AM11148" s="54">
        <v>2020</v>
      </c>
      <c r="AN11148" s="54" t="s">
        <v>186</v>
      </c>
      <c r="AO11148" s="54">
        <v>9</v>
      </c>
      <c r="AP11148" s="54">
        <v>10</v>
      </c>
      <c r="AQ11148" s="54">
        <v>36257</v>
      </c>
      <c r="AR11148" s="55">
        <v>28500</v>
      </c>
      <c r="AS11148" s="78">
        <f t="shared" si="178"/>
        <v>1.2721754385964912</v>
      </c>
    </row>
    <row r="11149" spans="39:45">
      <c r="AM11149" s="55">
        <v>2020</v>
      </c>
      <c r="AN11149" s="55" t="s">
        <v>186</v>
      </c>
      <c r="AO11149" s="55">
        <v>9</v>
      </c>
      <c r="AP11149" s="55">
        <v>11</v>
      </c>
      <c r="AQ11149" s="55">
        <v>39871.5</v>
      </c>
      <c r="AR11149" s="55">
        <v>28500</v>
      </c>
      <c r="AS11149" s="78">
        <f t="shared" si="178"/>
        <v>1.399</v>
      </c>
    </row>
    <row r="11150" spans="39:45">
      <c r="AM11150" s="54">
        <v>2020</v>
      </c>
      <c r="AN11150" s="54" t="s">
        <v>186</v>
      </c>
      <c r="AO11150" s="54">
        <v>9</v>
      </c>
      <c r="AP11150" s="54">
        <v>12</v>
      </c>
      <c r="AQ11150" s="54">
        <v>41522</v>
      </c>
      <c r="AR11150" s="55">
        <v>28500</v>
      </c>
      <c r="AS11150" s="78">
        <f t="shared" si="178"/>
        <v>1.4569122807017545</v>
      </c>
    </row>
    <row r="11151" spans="39:45">
      <c r="AM11151" s="55">
        <v>2020</v>
      </c>
      <c r="AN11151" s="55" t="s">
        <v>186</v>
      </c>
      <c r="AO11151" s="55">
        <v>9</v>
      </c>
      <c r="AP11151" s="55">
        <v>13</v>
      </c>
      <c r="AQ11151" s="55">
        <v>38880</v>
      </c>
      <c r="AR11151" s="55">
        <v>28500</v>
      </c>
      <c r="AS11151" s="78">
        <f t="shared" si="178"/>
        <v>1.3642105263157895</v>
      </c>
    </row>
    <row r="11152" spans="39:45">
      <c r="AM11152" s="54">
        <v>2020</v>
      </c>
      <c r="AN11152" s="54" t="s">
        <v>186</v>
      </c>
      <c r="AO11152" s="54">
        <v>9</v>
      </c>
      <c r="AP11152" s="54">
        <v>14</v>
      </c>
      <c r="AQ11152" s="54">
        <v>33663.5</v>
      </c>
      <c r="AR11152" s="55">
        <v>28500</v>
      </c>
      <c r="AS11152" s="78">
        <f t="shared" si="178"/>
        <v>1.1811754385964912</v>
      </c>
    </row>
    <row r="11153" spans="39:45">
      <c r="AM11153" s="55">
        <v>2020</v>
      </c>
      <c r="AN11153" s="55" t="s">
        <v>186</v>
      </c>
      <c r="AO11153" s="55">
        <v>9</v>
      </c>
      <c r="AP11153" s="55">
        <v>15</v>
      </c>
      <c r="AQ11153" s="55">
        <v>25805.5</v>
      </c>
      <c r="AR11153" s="55">
        <v>28500</v>
      </c>
      <c r="AS11153" s="78">
        <f t="shared" si="178"/>
        <v>0.90545614035087718</v>
      </c>
    </row>
    <row r="11154" spans="39:45">
      <c r="AM11154" s="54">
        <v>2020</v>
      </c>
      <c r="AN11154" s="54" t="s">
        <v>186</v>
      </c>
      <c r="AO11154" s="54">
        <v>9</v>
      </c>
      <c r="AP11154" s="54">
        <v>16</v>
      </c>
      <c r="AQ11154" s="54">
        <v>16892.5</v>
      </c>
      <c r="AR11154" s="55">
        <v>28500</v>
      </c>
      <c r="AS11154" s="78">
        <f t="shared" si="178"/>
        <v>0.59271929824561409</v>
      </c>
    </row>
    <row r="11155" spans="39:45">
      <c r="AM11155" s="55">
        <v>2020</v>
      </c>
      <c r="AN11155" s="55" t="s">
        <v>186</v>
      </c>
      <c r="AO11155" s="55">
        <v>9</v>
      </c>
      <c r="AP11155" s="55">
        <v>17</v>
      </c>
      <c r="AQ11155" s="55">
        <v>6421.5</v>
      </c>
      <c r="AR11155" s="55">
        <v>28500</v>
      </c>
      <c r="AS11155" s="78">
        <f t="shared" si="178"/>
        <v>0.22531578947368422</v>
      </c>
    </row>
    <row r="11156" spans="39:45">
      <c r="AM11156" s="54">
        <v>2020</v>
      </c>
      <c r="AN11156" s="54" t="s">
        <v>186</v>
      </c>
      <c r="AO11156" s="54">
        <v>9</v>
      </c>
      <c r="AP11156" s="54">
        <v>18</v>
      </c>
      <c r="AQ11156" s="54">
        <v>469.5</v>
      </c>
      <c r="AR11156" s="55">
        <v>28500</v>
      </c>
      <c r="AS11156" s="78">
        <f t="shared" si="178"/>
        <v>1.6473684210526317E-2</v>
      </c>
    </row>
    <row r="11157" spans="39:45">
      <c r="AM11157" s="55">
        <v>2020</v>
      </c>
      <c r="AN11157" s="55" t="s">
        <v>186</v>
      </c>
      <c r="AO11157" s="55">
        <v>9</v>
      </c>
      <c r="AP11157" s="55">
        <v>19</v>
      </c>
      <c r="AQ11157" s="55">
        <v>0</v>
      </c>
      <c r="AR11157" s="55">
        <v>28500</v>
      </c>
      <c r="AS11157" s="78">
        <f t="shared" si="178"/>
        <v>0</v>
      </c>
    </row>
    <row r="11158" spans="39:45">
      <c r="AM11158" s="54">
        <v>2020</v>
      </c>
      <c r="AN11158" s="54" t="s">
        <v>186</v>
      </c>
      <c r="AO11158" s="54">
        <v>9</v>
      </c>
      <c r="AP11158" s="54">
        <v>20</v>
      </c>
      <c r="AQ11158" s="54">
        <v>0</v>
      </c>
      <c r="AR11158" s="55">
        <v>28500</v>
      </c>
      <c r="AS11158" s="78">
        <f t="shared" si="178"/>
        <v>0</v>
      </c>
    </row>
    <row r="11159" spans="39:45">
      <c r="AM11159" s="55">
        <v>2020</v>
      </c>
      <c r="AN11159" s="55" t="s">
        <v>186</v>
      </c>
      <c r="AO11159" s="55">
        <v>9</v>
      </c>
      <c r="AP11159" s="55">
        <v>21</v>
      </c>
      <c r="AQ11159" s="55">
        <v>0</v>
      </c>
      <c r="AR11159" s="55">
        <v>28500</v>
      </c>
      <c r="AS11159" s="78">
        <f t="shared" si="178"/>
        <v>0</v>
      </c>
    </row>
    <row r="11160" spans="39:45">
      <c r="AM11160" s="54">
        <v>2020</v>
      </c>
      <c r="AN11160" s="54" t="s">
        <v>186</v>
      </c>
      <c r="AO11160" s="54">
        <v>9</v>
      </c>
      <c r="AP11160" s="54">
        <v>22</v>
      </c>
      <c r="AQ11160" s="54">
        <v>0</v>
      </c>
      <c r="AR11160" s="55">
        <v>28500</v>
      </c>
      <c r="AS11160" s="78">
        <f t="shared" si="178"/>
        <v>0</v>
      </c>
    </row>
    <row r="11161" spans="39:45">
      <c r="AM11161" s="55">
        <v>2020</v>
      </c>
      <c r="AN11161" s="55" t="s">
        <v>186</v>
      </c>
      <c r="AO11161" s="55">
        <v>9</v>
      </c>
      <c r="AP11161" s="55">
        <v>23</v>
      </c>
      <c r="AQ11161" s="55">
        <v>0</v>
      </c>
      <c r="AR11161" s="55">
        <v>28500</v>
      </c>
      <c r="AS11161" s="78">
        <f t="shared" si="178"/>
        <v>0</v>
      </c>
    </row>
    <row r="11162" spans="39:45">
      <c r="AM11162" s="54">
        <v>2020</v>
      </c>
      <c r="AN11162" s="54" t="s">
        <v>186</v>
      </c>
      <c r="AO11162" s="54">
        <v>10</v>
      </c>
      <c r="AP11162" s="54">
        <v>24</v>
      </c>
      <c r="AQ11162" s="54">
        <v>0</v>
      </c>
      <c r="AR11162" s="55">
        <v>28500</v>
      </c>
      <c r="AS11162" s="78">
        <f t="shared" si="178"/>
        <v>0</v>
      </c>
    </row>
    <row r="11163" spans="39:45">
      <c r="AM11163" s="55">
        <v>2020</v>
      </c>
      <c r="AN11163" s="55" t="s">
        <v>186</v>
      </c>
      <c r="AO11163" s="55">
        <v>10</v>
      </c>
      <c r="AP11163" s="55">
        <v>1</v>
      </c>
      <c r="AQ11163" s="55">
        <v>0</v>
      </c>
      <c r="AR11163" s="55">
        <v>28500</v>
      </c>
      <c r="AS11163" s="78">
        <f t="shared" si="178"/>
        <v>0</v>
      </c>
    </row>
    <row r="11164" spans="39:45">
      <c r="AM11164" s="54">
        <v>2020</v>
      </c>
      <c r="AN11164" s="54" t="s">
        <v>186</v>
      </c>
      <c r="AO11164" s="54">
        <v>10</v>
      </c>
      <c r="AP11164" s="54">
        <v>2</v>
      </c>
      <c r="AQ11164" s="54">
        <v>0</v>
      </c>
      <c r="AR11164" s="55">
        <v>28500</v>
      </c>
      <c r="AS11164" s="78">
        <f t="shared" si="178"/>
        <v>0</v>
      </c>
    </row>
    <row r="11165" spans="39:45">
      <c r="AM11165" s="55">
        <v>2020</v>
      </c>
      <c r="AN11165" s="55" t="s">
        <v>186</v>
      </c>
      <c r="AO11165" s="55">
        <v>10</v>
      </c>
      <c r="AP11165" s="55">
        <v>3</v>
      </c>
      <c r="AQ11165" s="55">
        <v>0</v>
      </c>
      <c r="AR11165" s="55">
        <v>28500</v>
      </c>
      <c r="AS11165" s="78">
        <f t="shared" si="178"/>
        <v>0</v>
      </c>
    </row>
    <row r="11166" spans="39:45">
      <c r="AM11166" s="54">
        <v>2020</v>
      </c>
      <c r="AN11166" s="54" t="s">
        <v>186</v>
      </c>
      <c r="AO11166" s="54">
        <v>10</v>
      </c>
      <c r="AP11166" s="54">
        <v>4</v>
      </c>
      <c r="AQ11166" s="54">
        <v>0</v>
      </c>
      <c r="AR11166" s="55">
        <v>28500</v>
      </c>
      <c r="AS11166" s="78">
        <f t="shared" si="178"/>
        <v>0</v>
      </c>
    </row>
    <row r="11167" spans="39:45">
      <c r="AM11167" s="55">
        <v>2020</v>
      </c>
      <c r="AN11167" s="55" t="s">
        <v>186</v>
      </c>
      <c r="AO11167" s="55">
        <v>10</v>
      </c>
      <c r="AP11167" s="55">
        <v>5</v>
      </c>
      <c r="AQ11167" s="55">
        <v>0</v>
      </c>
      <c r="AR11167" s="55">
        <v>28500</v>
      </c>
      <c r="AS11167" s="78">
        <f t="shared" si="178"/>
        <v>0</v>
      </c>
    </row>
    <row r="11168" spans="39:45">
      <c r="AM11168" s="54">
        <v>2020</v>
      </c>
      <c r="AN11168" s="54" t="s">
        <v>186</v>
      </c>
      <c r="AO11168" s="54">
        <v>10</v>
      </c>
      <c r="AP11168" s="54">
        <v>6</v>
      </c>
      <c r="AQ11168" s="54">
        <v>1466.5</v>
      </c>
      <c r="AR11168" s="55">
        <v>28500</v>
      </c>
      <c r="AS11168" s="78">
        <f t="shared" si="178"/>
        <v>5.1456140350877193E-2</v>
      </c>
    </row>
    <row r="11169" spans="39:45">
      <c r="AM11169" s="55">
        <v>2020</v>
      </c>
      <c r="AN11169" s="55" t="s">
        <v>186</v>
      </c>
      <c r="AO11169" s="55">
        <v>10</v>
      </c>
      <c r="AP11169" s="55">
        <v>7</v>
      </c>
      <c r="AQ11169" s="55">
        <v>10275</v>
      </c>
      <c r="AR11169" s="55">
        <v>28500</v>
      </c>
      <c r="AS11169" s="78">
        <f t="shared" si="178"/>
        <v>0.36052631578947369</v>
      </c>
    </row>
    <row r="11170" spans="39:45">
      <c r="AM11170" s="54">
        <v>2020</v>
      </c>
      <c r="AN11170" s="54" t="s">
        <v>186</v>
      </c>
      <c r="AO11170" s="54">
        <v>10</v>
      </c>
      <c r="AP11170" s="54">
        <v>8</v>
      </c>
      <c r="AQ11170" s="54">
        <v>21681</v>
      </c>
      <c r="AR11170" s="55">
        <v>28500</v>
      </c>
      <c r="AS11170" s="78">
        <f t="shared" si="178"/>
        <v>0.76073684210526316</v>
      </c>
    </row>
    <row r="11171" spans="39:45">
      <c r="AM11171" s="55">
        <v>2020</v>
      </c>
      <c r="AN11171" s="55" t="s">
        <v>186</v>
      </c>
      <c r="AO11171" s="55">
        <v>10</v>
      </c>
      <c r="AP11171" s="55">
        <v>9</v>
      </c>
      <c r="AQ11171" s="55">
        <v>30585</v>
      </c>
      <c r="AR11171" s="55">
        <v>28500</v>
      </c>
      <c r="AS11171" s="78">
        <f t="shared" si="178"/>
        <v>1.0731578947368421</v>
      </c>
    </row>
    <row r="11172" spans="39:45">
      <c r="AM11172" s="54">
        <v>2020</v>
      </c>
      <c r="AN11172" s="54" t="s">
        <v>186</v>
      </c>
      <c r="AO11172" s="54">
        <v>10</v>
      </c>
      <c r="AP11172" s="54">
        <v>10</v>
      </c>
      <c r="AQ11172" s="54">
        <v>36665.5</v>
      </c>
      <c r="AR11172" s="55">
        <v>28500</v>
      </c>
      <c r="AS11172" s="78">
        <f t="shared" si="178"/>
        <v>1.2865087719298245</v>
      </c>
    </row>
    <row r="11173" spans="39:45">
      <c r="AM11173" s="55">
        <v>2020</v>
      </c>
      <c r="AN11173" s="55" t="s">
        <v>186</v>
      </c>
      <c r="AO11173" s="55">
        <v>10</v>
      </c>
      <c r="AP11173" s="55">
        <v>11</v>
      </c>
      <c r="AQ11173" s="55">
        <v>40021</v>
      </c>
      <c r="AR11173" s="55">
        <v>28500</v>
      </c>
      <c r="AS11173" s="78">
        <f t="shared" si="178"/>
        <v>1.4042456140350876</v>
      </c>
    </row>
    <row r="11174" spans="39:45">
      <c r="AM11174" s="54">
        <v>2020</v>
      </c>
      <c r="AN11174" s="54" t="s">
        <v>186</v>
      </c>
      <c r="AO11174" s="54">
        <v>10</v>
      </c>
      <c r="AP11174" s="54">
        <v>12</v>
      </c>
      <c r="AQ11174" s="54">
        <v>41088.5</v>
      </c>
      <c r="AR11174" s="55">
        <v>28500</v>
      </c>
      <c r="AS11174" s="78">
        <f t="shared" si="178"/>
        <v>1.4417017543859649</v>
      </c>
    </row>
    <row r="11175" spans="39:45">
      <c r="AM11175" s="55">
        <v>2020</v>
      </c>
      <c r="AN11175" s="55" t="s">
        <v>186</v>
      </c>
      <c r="AO11175" s="55">
        <v>10</v>
      </c>
      <c r="AP11175" s="55">
        <v>13</v>
      </c>
      <c r="AQ11175" s="55">
        <v>39149.5</v>
      </c>
      <c r="AR11175" s="55">
        <v>28500</v>
      </c>
      <c r="AS11175" s="78">
        <f t="shared" si="178"/>
        <v>1.3736666666666666</v>
      </c>
    </row>
    <row r="11176" spans="39:45">
      <c r="AM11176" s="54">
        <v>2020</v>
      </c>
      <c r="AN11176" s="54" t="s">
        <v>186</v>
      </c>
      <c r="AO11176" s="54">
        <v>10</v>
      </c>
      <c r="AP11176" s="54">
        <v>14</v>
      </c>
      <c r="AQ11176" s="54">
        <v>34282</v>
      </c>
      <c r="AR11176" s="55">
        <v>28500</v>
      </c>
      <c r="AS11176" s="78">
        <f t="shared" si="178"/>
        <v>1.2028771929824562</v>
      </c>
    </row>
    <row r="11177" spans="39:45">
      <c r="AM11177" s="55">
        <v>2020</v>
      </c>
      <c r="AN11177" s="55" t="s">
        <v>186</v>
      </c>
      <c r="AO11177" s="55">
        <v>10</v>
      </c>
      <c r="AP11177" s="55">
        <v>15</v>
      </c>
      <c r="AQ11177" s="55">
        <v>27036.5</v>
      </c>
      <c r="AR11177" s="55">
        <v>28500</v>
      </c>
      <c r="AS11177" s="78">
        <f t="shared" si="178"/>
        <v>0.94864912280701752</v>
      </c>
    </row>
    <row r="11178" spans="39:45">
      <c r="AM11178" s="54">
        <v>2020</v>
      </c>
      <c r="AN11178" s="54" t="s">
        <v>186</v>
      </c>
      <c r="AO11178" s="54">
        <v>10</v>
      </c>
      <c r="AP11178" s="54">
        <v>16</v>
      </c>
      <c r="AQ11178" s="54">
        <v>17584</v>
      </c>
      <c r="AR11178" s="55">
        <v>28500</v>
      </c>
      <c r="AS11178" s="78">
        <f t="shared" si="178"/>
        <v>0.61698245614035085</v>
      </c>
    </row>
    <row r="11179" spans="39:45">
      <c r="AM11179" s="55">
        <v>2020</v>
      </c>
      <c r="AN11179" s="55" t="s">
        <v>186</v>
      </c>
      <c r="AO11179" s="55">
        <v>10</v>
      </c>
      <c r="AP11179" s="55">
        <v>17</v>
      </c>
      <c r="AQ11179" s="55">
        <v>6599.5</v>
      </c>
      <c r="AR11179" s="55">
        <v>28500</v>
      </c>
      <c r="AS11179" s="78">
        <f t="shared" si="178"/>
        <v>0.23156140350877194</v>
      </c>
    </row>
    <row r="11180" spans="39:45">
      <c r="AM11180" s="54">
        <v>2020</v>
      </c>
      <c r="AN11180" s="54" t="s">
        <v>186</v>
      </c>
      <c r="AO11180" s="54">
        <v>10</v>
      </c>
      <c r="AP11180" s="54">
        <v>18</v>
      </c>
      <c r="AQ11180" s="54">
        <v>495</v>
      </c>
      <c r="AR11180" s="55">
        <v>28500</v>
      </c>
      <c r="AS11180" s="78">
        <f t="shared" si="178"/>
        <v>1.7368421052631578E-2</v>
      </c>
    </row>
    <row r="11181" spans="39:45">
      <c r="AM11181" s="55">
        <v>2020</v>
      </c>
      <c r="AN11181" s="55" t="s">
        <v>186</v>
      </c>
      <c r="AO11181" s="55">
        <v>10</v>
      </c>
      <c r="AP11181" s="55">
        <v>19</v>
      </c>
      <c r="AQ11181" s="55">
        <v>0</v>
      </c>
      <c r="AR11181" s="55">
        <v>28500</v>
      </c>
      <c r="AS11181" s="78">
        <f t="shared" si="178"/>
        <v>0</v>
      </c>
    </row>
    <row r="11182" spans="39:45">
      <c r="AM11182" s="54">
        <v>2020</v>
      </c>
      <c r="AN11182" s="54" t="s">
        <v>186</v>
      </c>
      <c r="AO11182" s="54">
        <v>10</v>
      </c>
      <c r="AP11182" s="54">
        <v>20</v>
      </c>
      <c r="AQ11182" s="54">
        <v>0</v>
      </c>
      <c r="AR11182" s="55">
        <v>28500</v>
      </c>
      <c r="AS11182" s="78">
        <f t="shared" si="178"/>
        <v>0</v>
      </c>
    </row>
    <row r="11183" spans="39:45">
      <c r="AM11183" s="55">
        <v>2020</v>
      </c>
      <c r="AN11183" s="55" t="s">
        <v>186</v>
      </c>
      <c r="AO11183" s="55">
        <v>10</v>
      </c>
      <c r="AP11183" s="55">
        <v>21</v>
      </c>
      <c r="AQ11183" s="55">
        <v>0</v>
      </c>
      <c r="AR11183" s="55">
        <v>28500</v>
      </c>
      <c r="AS11183" s="78">
        <f t="shared" si="178"/>
        <v>0</v>
      </c>
    </row>
    <row r="11184" spans="39:45">
      <c r="AM11184" s="54">
        <v>2020</v>
      </c>
      <c r="AN11184" s="54" t="s">
        <v>186</v>
      </c>
      <c r="AO11184" s="54">
        <v>10</v>
      </c>
      <c r="AP11184" s="54">
        <v>22</v>
      </c>
      <c r="AQ11184" s="54">
        <v>0</v>
      </c>
      <c r="AR11184" s="55">
        <v>28500</v>
      </c>
      <c r="AS11184" s="78">
        <f t="shared" si="178"/>
        <v>0</v>
      </c>
    </row>
    <row r="11185" spans="39:45">
      <c r="AM11185" s="55">
        <v>2020</v>
      </c>
      <c r="AN11185" s="55" t="s">
        <v>186</v>
      </c>
      <c r="AO11185" s="55">
        <v>10</v>
      </c>
      <c r="AP11185" s="55">
        <v>23</v>
      </c>
      <c r="AQ11185" s="55">
        <v>0</v>
      </c>
      <c r="AR11185" s="55">
        <v>28500</v>
      </c>
      <c r="AS11185" s="78">
        <f t="shared" si="178"/>
        <v>0</v>
      </c>
    </row>
    <row r="11186" spans="39:45">
      <c r="AM11186" s="54">
        <v>2020</v>
      </c>
      <c r="AN11186" s="54" t="s">
        <v>186</v>
      </c>
      <c r="AO11186" s="54">
        <v>11</v>
      </c>
      <c r="AP11186" s="54">
        <v>24</v>
      </c>
      <c r="AQ11186" s="54">
        <v>0</v>
      </c>
      <c r="AR11186" s="55">
        <v>28500</v>
      </c>
      <c r="AS11186" s="78">
        <f t="shared" si="178"/>
        <v>0</v>
      </c>
    </row>
    <row r="11187" spans="39:45">
      <c r="AM11187" s="55">
        <v>2020</v>
      </c>
      <c r="AN11187" s="55" t="s">
        <v>186</v>
      </c>
      <c r="AO11187" s="55">
        <v>11</v>
      </c>
      <c r="AP11187" s="55">
        <v>1</v>
      </c>
      <c r="AQ11187" s="55">
        <v>0</v>
      </c>
      <c r="AR11187" s="55">
        <v>28500</v>
      </c>
      <c r="AS11187" s="78">
        <f t="shared" si="178"/>
        <v>0</v>
      </c>
    </row>
    <row r="11188" spans="39:45">
      <c r="AM11188" s="54">
        <v>2020</v>
      </c>
      <c r="AN11188" s="54" t="s">
        <v>186</v>
      </c>
      <c r="AO11188" s="54">
        <v>11</v>
      </c>
      <c r="AP11188" s="54">
        <v>2</v>
      </c>
      <c r="AQ11188" s="54">
        <v>0</v>
      </c>
      <c r="AR11188" s="55">
        <v>28500</v>
      </c>
      <c r="AS11188" s="78">
        <f t="shared" si="178"/>
        <v>0</v>
      </c>
    </row>
    <row r="11189" spans="39:45">
      <c r="AM11189" s="55">
        <v>2020</v>
      </c>
      <c r="AN11189" s="55" t="s">
        <v>186</v>
      </c>
      <c r="AO11189" s="55">
        <v>11</v>
      </c>
      <c r="AP11189" s="55">
        <v>3</v>
      </c>
      <c r="AQ11189" s="55">
        <v>0</v>
      </c>
      <c r="AR11189" s="55">
        <v>28500</v>
      </c>
      <c r="AS11189" s="78">
        <f t="shared" si="178"/>
        <v>0</v>
      </c>
    </row>
    <row r="11190" spans="39:45">
      <c r="AM11190" s="54">
        <v>2020</v>
      </c>
      <c r="AN11190" s="54" t="s">
        <v>186</v>
      </c>
      <c r="AO11190" s="54">
        <v>11</v>
      </c>
      <c r="AP11190" s="54">
        <v>4</v>
      </c>
      <c r="AQ11190" s="54">
        <v>0</v>
      </c>
      <c r="AR11190" s="55">
        <v>28500</v>
      </c>
      <c r="AS11190" s="78">
        <f t="shared" si="178"/>
        <v>0</v>
      </c>
    </row>
    <row r="11191" spans="39:45">
      <c r="AM11191" s="55">
        <v>2020</v>
      </c>
      <c r="AN11191" s="55" t="s">
        <v>186</v>
      </c>
      <c r="AO11191" s="55">
        <v>11</v>
      </c>
      <c r="AP11191" s="55">
        <v>5</v>
      </c>
      <c r="AQ11191" s="55">
        <v>0</v>
      </c>
      <c r="AR11191" s="55">
        <v>28500</v>
      </c>
      <c r="AS11191" s="78">
        <f t="shared" si="178"/>
        <v>0</v>
      </c>
    </row>
    <row r="11192" spans="39:45">
      <c r="AM11192" s="54">
        <v>2020</v>
      </c>
      <c r="AN11192" s="54" t="s">
        <v>186</v>
      </c>
      <c r="AO11192" s="54">
        <v>11</v>
      </c>
      <c r="AP11192" s="54">
        <v>6</v>
      </c>
      <c r="AQ11192" s="54">
        <v>1606</v>
      </c>
      <c r="AR11192" s="55">
        <v>28500</v>
      </c>
      <c r="AS11192" s="78">
        <f t="shared" si="178"/>
        <v>5.6350877192982457E-2</v>
      </c>
    </row>
    <row r="11193" spans="39:45">
      <c r="AM11193" s="55">
        <v>2020</v>
      </c>
      <c r="AN11193" s="55" t="s">
        <v>186</v>
      </c>
      <c r="AO11193" s="55">
        <v>11</v>
      </c>
      <c r="AP11193" s="55">
        <v>7</v>
      </c>
      <c r="AQ11193" s="55">
        <v>10449.5</v>
      </c>
      <c r="AR11193" s="55">
        <v>28500</v>
      </c>
      <c r="AS11193" s="78">
        <f t="shared" si="178"/>
        <v>0.36664912280701756</v>
      </c>
    </row>
    <row r="11194" spans="39:45">
      <c r="AM11194" s="54">
        <v>2020</v>
      </c>
      <c r="AN11194" s="54" t="s">
        <v>186</v>
      </c>
      <c r="AO11194" s="54">
        <v>11</v>
      </c>
      <c r="AP11194" s="54">
        <v>8</v>
      </c>
      <c r="AQ11194" s="54">
        <v>20891.5</v>
      </c>
      <c r="AR11194" s="55">
        <v>28500</v>
      </c>
      <c r="AS11194" s="78">
        <f t="shared" si="178"/>
        <v>0.73303508771929826</v>
      </c>
    </row>
    <row r="11195" spans="39:45">
      <c r="AM11195" s="55">
        <v>2020</v>
      </c>
      <c r="AN11195" s="55" t="s">
        <v>186</v>
      </c>
      <c r="AO11195" s="55">
        <v>11</v>
      </c>
      <c r="AP11195" s="55">
        <v>9</v>
      </c>
      <c r="AQ11195" s="55">
        <v>29154.5</v>
      </c>
      <c r="AR11195" s="55">
        <v>28500</v>
      </c>
      <c r="AS11195" s="78">
        <f t="shared" si="178"/>
        <v>1.0229649122807019</v>
      </c>
    </row>
    <row r="11196" spans="39:45">
      <c r="AM11196" s="54">
        <v>2020</v>
      </c>
      <c r="AN11196" s="54" t="s">
        <v>186</v>
      </c>
      <c r="AO11196" s="54">
        <v>11</v>
      </c>
      <c r="AP11196" s="54">
        <v>10</v>
      </c>
      <c r="AQ11196" s="54">
        <v>34934.5</v>
      </c>
      <c r="AR11196" s="55">
        <v>28500</v>
      </c>
      <c r="AS11196" s="78">
        <f t="shared" si="178"/>
        <v>1.2257719298245615</v>
      </c>
    </row>
    <row r="11197" spans="39:45">
      <c r="AM11197" s="55">
        <v>2020</v>
      </c>
      <c r="AN11197" s="55" t="s">
        <v>186</v>
      </c>
      <c r="AO11197" s="55">
        <v>11</v>
      </c>
      <c r="AP11197" s="55">
        <v>11</v>
      </c>
      <c r="AQ11197" s="55">
        <v>38297</v>
      </c>
      <c r="AR11197" s="55">
        <v>28500</v>
      </c>
      <c r="AS11197" s="78">
        <f t="shared" si="178"/>
        <v>1.3437543859649124</v>
      </c>
    </row>
    <row r="11198" spans="39:45">
      <c r="AM11198" s="54">
        <v>2020</v>
      </c>
      <c r="AN11198" s="54" t="s">
        <v>186</v>
      </c>
      <c r="AO11198" s="54">
        <v>11</v>
      </c>
      <c r="AP11198" s="54">
        <v>12</v>
      </c>
      <c r="AQ11198" s="54">
        <v>39321</v>
      </c>
      <c r="AR11198" s="55">
        <v>28500</v>
      </c>
      <c r="AS11198" s="78">
        <f t="shared" si="178"/>
        <v>1.3796842105263158</v>
      </c>
    </row>
    <row r="11199" spans="39:45">
      <c r="AM11199" s="55">
        <v>2020</v>
      </c>
      <c r="AN11199" s="55" t="s">
        <v>186</v>
      </c>
      <c r="AO11199" s="55">
        <v>11</v>
      </c>
      <c r="AP11199" s="55">
        <v>13</v>
      </c>
      <c r="AQ11199" s="55">
        <v>36353.5</v>
      </c>
      <c r="AR11199" s="55">
        <v>28500</v>
      </c>
      <c r="AS11199" s="78">
        <f t="shared" si="178"/>
        <v>1.2755614035087719</v>
      </c>
    </row>
    <row r="11200" spans="39:45">
      <c r="AM11200" s="54">
        <v>2020</v>
      </c>
      <c r="AN11200" s="54" t="s">
        <v>186</v>
      </c>
      <c r="AO11200" s="54">
        <v>11</v>
      </c>
      <c r="AP11200" s="54">
        <v>14</v>
      </c>
      <c r="AQ11200" s="54">
        <v>9880</v>
      </c>
      <c r="AR11200" s="55">
        <v>28500</v>
      </c>
      <c r="AS11200" s="78">
        <f t="shared" si="178"/>
        <v>0.34666666666666668</v>
      </c>
    </row>
    <row r="11201" spans="39:45">
      <c r="AM11201" s="55">
        <v>2020</v>
      </c>
      <c r="AN11201" s="55" t="s">
        <v>186</v>
      </c>
      <c r="AO11201" s="55">
        <v>11</v>
      </c>
      <c r="AP11201" s="55">
        <v>15</v>
      </c>
      <c r="AQ11201" s="55">
        <v>12157</v>
      </c>
      <c r="AR11201" s="55">
        <v>28500</v>
      </c>
      <c r="AS11201" s="78">
        <f t="shared" si="178"/>
        <v>0.42656140350877192</v>
      </c>
    </row>
    <row r="11202" spans="39:45">
      <c r="AM11202" s="54">
        <v>2020</v>
      </c>
      <c r="AN11202" s="54" t="s">
        <v>186</v>
      </c>
      <c r="AO11202" s="54">
        <v>11</v>
      </c>
      <c r="AP11202" s="54">
        <v>16</v>
      </c>
      <c r="AQ11202" s="54">
        <v>12531</v>
      </c>
      <c r="AR11202" s="55">
        <v>28500</v>
      </c>
      <c r="AS11202" s="78">
        <f t="shared" ref="AS11202:AS11265" si="179">AQ11202/AR11202</f>
        <v>0.43968421052631579</v>
      </c>
    </row>
    <row r="11203" spans="39:45">
      <c r="AM11203" s="55">
        <v>2020</v>
      </c>
      <c r="AN11203" s="55" t="s">
        <v>186</v>
      </c>
      <c r="AO11203" s="55">
        <v>11</v>
      </c>
      <c r="AP11203" s="55">
        <v>17</v>
      </c>
      <c r="AQ11203" s="55">
        <v>6430.5</v>
      </c>
      <c r="AR11203" s="55">
        <v>28500</v>
      </c>
      <c r="AS11203" s="78">
        <f t="shared" si="179"/>
        <v>0.22563157894736843</v>
      </c>
    </row>
    <row r="11204" spans="39:45">
      <c r="AM11204" s="54">
        <v>2020</v>
      </c>
      <c r="AN11204" s="54" t="s">
        <v>186</v>
      </c>
      <c r="AO11204" s="54">
        <v>11</v>
      </c>
      <c r="AP11204" s="54">
        <v>18</v>
      </c>
      <c r="AQ11204" s="54">
        <v>541</v>
      </c>
      <c r="AR11204" s="55">
        <v>28500</v>
      </c>
      <c r="AS11204" s="78">
        <f t="shared" si="179"/>
        <v>1.8982456140350878E-2</v>
      </c>
    </row>
    <row r="11205" spans="39:45">
      <c r="AM11205" s="55">
        <v>2020</v>
      </c>
      <c r="AN11205" s="55" t="s">
        <v>186</v>
      </c>
      <c r="AO11205" s="55">
        <v>11</v>
      </c>
      <c r="AP11205" s="55">
        <v>19</v>
      </c>
      <c r="AQ11205" s="55">
        <v>0</v>
      </c>
      <c r="AR11205" s="55">
        <v>28500</v>
      </c>
      <c r="AS11205" s="78">
        <f t="shared" si="179"/>
        <v>0</v>
      </c>
    </row>
    <row r="11206" spans="39:45">
      <c r="AM11206" s="54">
        <v>2020</v>
      </c>
      <c r="AN11206" s="54" t="s">
        <v>186</v>
      </c>
      <c r="AO11206" s="54">
        <v>11</v>
      </c>
      <c r="AP11206" s="54">
        <v>20</v>
      </c>
      <c r="AQ11206" s="54">
        <v>0</v>
      </c>
      <c r="AR11206" s="55">
        <v>28500</v>
      </c>
      <c r="AS11206" s="78">
        <f t="shared" si="179"/>
        <v>0</v>
      </c>
    </row>
    <row r="11207" spans="39:45">
      <c r="AM11207" s="55">
        <v>2020</v>
      </c>
      <c r="AN11207" s="55" t="s">
        <v>186</v>
      </c>
      <c r="AO11207" s="55">
        <v>11</v>
      </c>
      <c r="AP11207" s="55">
        <v>21</v>
      </c>
      <c r="AQ11207" s="55">
        <v>0</v>
      </c>
      <c r="AR11207" s="55">
        <v>28500</v>
      </c>
      <c r="AS11207" s="78">
        <f t="shared" si="179"/>
        <v>0</v>
      </c>
    </row>
    <row r="11208" spans="39:45">
      <c r="AM11208" s="54">
        <v>2020</v>
      </c>
      <c r="AN11208" s="54" t="s">
        <v>186</v>
      </c>
      <c r="AO11208" s="54">
        <v>11</v>
      </c>
      <c r="AP11208" s="54">
        <v>22</v>
      </c>
      <c r="AQ11208" s="54">
        <v>0</v>
      </c>
      <c r="AR11208" s="55">
        <v>28500</v>
      </c>
      <c r="AS11208" s="78">
        <f t="shared" si="179"/>
        <v>0</v>
      </c>
    </row>
    <row r="11209" spans="39:45">
      <c r="AM11209" s="55">
        <v>2020</v>
      </c>
      <c r="AN11209" s="55" t="s">
        <v>186</v>
      </c>
      <c r="AO11209" s="55">
        <v>11</v>
      </c>
      <c r="AP11209" s="55">
        <v>23</v>
      </c>
      <c r="AQ11209" s="55">
        <v>0</v>
      </c>
      <c r="AR11209" s="55">
        <v>28500</v>
      </c>
      <c r="AS11209" s="78">
        <f t="shared" si="179"/>
        <v>0</v>
      </c>
    </row>
    <row r="11210" spans="39:45">
      <c r="AM11210" s="54">
        <v>2020</v>
      </c>
      <c r="AN11210" s="54" t="s">
        <v>186</v>
      </c>
      <c r="AO11210" s="54">
        <v>12</v>
      </c>
      <c r="AP11210" s="54">
        <v>24</v>
      </c>
      <c r="AQ11210" s="54">
        <v>0</v>
      </c>
      <c r="AR11210" s="55">
        <v>28500</v>
      </c>
      <c r="AS11210" s="78">
        <f t="shared" si="179"/>
        <v>0</v>
      </c>
    </row>
    <row r="11211" spans="39:45">
      <c r="AM11211" s="55">
        <v>2020</v>
      </c>
      <c r="AN11211" s="55" t="s">
        <v>186</v>
      </c>
      <c r="AO11211" s="55">
        <v>12</v>
      </c>
      <c r="AP11211" s="55">
        <v>1</v>
      </c>
      <c r="AQ11211" s="55">
        <v>0</v>
      </c>
      <c r="AR11211" s="55">
        <v>28500</v>
      </c>
      <c r="AS11211" s="78">
        <f t="shared" si="179"/>
        <v>0</v>
      </c>
    </row>
    <row r="11212" spans="39:45">
      <c r="AM11212" s="54">
        <v>2020</v>
      </c>
      <c r="AN11212" s="54" t="s">
        <v>186</v>
      </c>
      <c r="AO11212" s="54">
        <v>12</v>
      </c>
      <c r="AP11212" s="54">
        <v>2</v>
      </c>
      <c r="AQ11212" s="54">
        <v>0</v>
      </c>
      <c r="AR11212" s="55">
        <v>28500</v>
      </c>
      <c r="AS11212" s="78">
        <f t="shared" si="179"/>
        <v>0</v>
      </c>
    </row>
    <row r="11213" spans="39:45">
      <c r="AM11213" s="55">
        <v>2020</v>
      </c>
      <c r="AN11213" s="55" t="s">
        <v>186</v>
      </c>
      <c r="AO11213" s="55">
        <v>12</v>
      </c>
      <c r="AP11213" s="55">
        <v>3</v>
      </c>
      <c r="AQ11213" s="55">
        <v>0</v>
      </c>
      <c r="AR11213" s="55">
        <v>28500</v>
      </c>
      <c r="AS11213" s="78">
        <f t="shared" si="179"/>
        <v>0</v>
      </c>
    </row>
    <row r="11214" spans="39:45">
      <c r="AM11214" s="54">
        <v>2020</v>
      </c>
      <c r="AN11214" s="54" t="s">
        <v>186</v>
      </c>
      <c r="AO11214" s="54">
        <v>12</v>
      </c>
      <c r="AP11214" s="54">
        <v>4</v>
      </c>
      <c r="AQ11214" s="54">
        <v>0</v>
      </c>
      <c r="AR11214" s="55">
        <v>28500</v>
      </c>
      <c r="AS11214" s="78">
        <f t="shared" si="179"/>
        <v>0</v>
      </c>
    </row>
    <row r="11215" spans="39:45">
      <c r="AM11215" s="55">
        <v>2020</v>
      </c>
      <c r="AN11215" s="55" t="s">
        <v>186</v>
      </c>
      <c r="AO11215" s="55">
        <v>12</v>
      </c>
      <c r="AP11215" s="55">
        <v>5</v>
      </c>
      <c r="AQ11215" s="55">
        <v>0</v>
      </c>
      <c r="AR11215" s="55">
        <v>28500</v>
      </c>
      <c r="AS11215" s="78">
        <f t="shared" si="179"/>
        <v>0</v>
      </c>
    </row>
    <row r="11216" spans="39:45">
      <c r="AM11216" s="54">
        <v>2020</v>
      </c>
      <c r="AN11216" s="54" t="s">
        <v>186</v>
      </c>
      <c r="AO11216" s="54">
        <v>12</v>
      </c>
      <c r="AP11216" s="54">
        <v>6</v>
      </c>
      <c r="AQ11216" s="54">
        <v>1594</v>
      </c>
      <c r="AR11216" s="55">
        <v>28500</v>
      </c>
      <c r="AS11216" s="78">
        <f t="shared" si="179"/>
        <v>5.592982456140351E-2</v>
      </c>
    </row>
    <row r="11217" spans="39:45">
      <c r="AM11217" s="55">
        <v>2020</v>
      </c>
      <c r="AN11217" s="55" t="s">
        <v>186</v>
      </c>
      <c r="AO11217" s="55">
        <v>12</v>
      </c>
      <c r="AP11217" s="55">
        <v>7</v>
      </c>
      <c r="AQ11217" s="55">
        <v>8707.5</v>
      </c>
      <c r="AR11217" s="55">
        <v>28500</v>
      </c>
      <c r="AS11217" s="78">
        <f t="shared" si="179"/>
        <v>0.3055263157894737</v>
      </c>
    </row>
    <row r="11218" spans="39:45">
      <c r="AM11218" s="54">
        <v>2020</v>
      </c>
      <c r="AN11218" s="54" t="s">
        <v>186</v>
      </c>
      <c r="AO11218" s="54">
        <v>12</v>
      </c>
      <c r="AP11218" s="54">
        <v>8</v>
      </c>
      <c r="AQ11218" s="54">
        <v>20683</v>
      </c>
      <c r="AR11218" s="55">
        <v>28500</v>
      </c>
      <c r="AS11218" s="78">
        <f t="shared" si="179"/>
        <v>0.72571929824561399</v>
      </c>
    </row>
    <row r="11219" spans="39:45">
      <c r="AM11219" s="55">
        <v>2020</v>
      </c>
      <c r="AN11219" s="55" t="s">
        <v>186</v>
      </c>
      <c r="AO11219" s="55">
        <v>12</v>
      </c>
      <c r="AP11219" s="55">
        <v>9</v>
      </c>
      <c r="AQ11219" s="55">
        <v>26931</v>
      </c>
      <c r="AR11219" s="55">
        <v>28500</v>
      </c>
      <c r="AS11219" s="78">
        <f t="shared" si="179"/>
        <v>0.94494736842105265</v>
      </c>
    </row>
    <row r="11220" spans="39:45">
      <c r="AM11220" s="54">
        <v>2020</v>
      </c>
      <c r="AN11220" s="54" t="s">
        <v>186</v>
      </c>
      <c r="AO11220" s="54">
        <v>12</v>
      </c>
      <c r="AP11220" s="54">
        <v>10</v>
      </c>
      <c r="AQ11220" s="54">
        <v>32467.5</v>
      </c>
      <c r="AR11220" s="55">
        <v>28500</v>
      </c>
      <c r="AS11220" s="78">
        <f t="shared" si="179"/>
        <v>1.1392105263157895</v>
      </c>
    </row>
    <row r="11221" spans="39:45">
      <c r="AM11221" s="55">
        <v>2020</v>
      </c>
      <c r="AN11221" s="55" t="s">
        <v>186</v>
      </c>
      <c r="AO11221" s="55">
        <v>12</v>
      </c>
      <c r="AP11221" s="55">
        <v>11</v>
      </c>
      <c r="AQ11221" s="55">
        <v>32082.5</v>
      </c>
      <c r="AR11221" s="55">
        <v>28500</v>
      </c>
      <c r="AS11221" s="78">
        <f t="shared" si="179"/>
        <v>1.1257017543859649</v>
      </c>
    </row>
    <row r="11222" spans="39:45">
      <c r="AM11222" s="54">
        <v>2020</v>
      </c>
      <c r="AN11222" s="54" t="s">
        <v>186</v>
      </c>
      <c r="AO11222" s="54">
        <v>12</v>
      </c>
      <c r="AP11222" s="54">
        <v>12</v>
      </c>
      <c r="AQ11222" s="54">
        <v>33671</v>
      </c>
      <c r="AR11222" s="55">
        <v>28500</v>
      </c>
      <c r="AS11222" s="78">
        <f t="shared" si="179"/>
        <v>1.1814385964912282</v>
      </c>
    </row>
    <row r="11223" spans="39:45">
      <c r="AM11223" s="55">
        <v>2020</v>
      </c>
      <c r="AN11223" s="55" t="s">
        <v>186</v>
      </c>
      <c r="AO11223" s="55">
        <v>12</v>
      </c>
      <c r="AP11223" s="55">
        <v>13</v>
      </c>
      <c r="AQ11223" s="55">
        <v>33666.5</v>
      </c>
      <c r="AR11223" s="55">
        <v>28500</v>
      </c>
      <c r="AS11223" s="78">
        <f t="shared" si="179"/>
        <v>1.181280701754386</v>
      </c>
    </row>
    <row r="11224" spans="39:45">
      <c r="AM11224" s="54">
        <v>2020</v>
      </c>
      <c r="AN11224" s="54" t="s">
        <v>186</v>
      </c>
      <c r="AO11224" s="54">
        <v>12</v>
      </c>
      <c r="AP11224" s="54">
        <v>14</v>
      </c>
      <c r="AQ11224" s="54">
        <v>27144</v>
      </c>
      <c r="AR11224" s="55">
        <v>28500</v>
      </c>
      <c r="AS11224" s="78">
        <f t="shared" si="179"/>
        <v>0.95242105263157895</v>
      </c>
    </row>
    <row r="11225" spans="39:45">
      <c r="AM11225" s="55">
        <v>2020</v>
      </c>
      <c r="AN11225" s="55" t="s">
        <v>186</v>
      </c>
      <c r="AO11225" s="55">
        <v>12</v>
      </c>
      <c r="AP11225" s="55">
        <v>15</v>
      </c>
      <c r="AQ11225" s="55">
        <v>26349</v>
      </c>
      <c r="AR11225" s="55">
        <v>28500</v>
      </c>
      <c r="AS11225" s="78">
        <f t="shared" si="179"/>
        <v>0.92452631578947364</v>
      </c>
    </row>
    <row r="11226" spans="39:45">
      <c r="AM11226" s="54">
        <v>2020</v>
      </c>
      <c r="AN11226" s="54" t="s">
        <v>186</v>
      </c>
      <c r="AO11226" s="54">
        <v>12</v>
      </c>
      <c r="AP11226" s="54">
        <v>16</v>
      </c>
      <c r="AQ11226" s="54">
        <v>15928.5</v>
      </c>
      <c r="AR11226" s="55">
        <v>28500</v>
      </c>
      <c r="AS11226" s="78">
        <f t="shared" si="179"/>
        <v>0.55889473684210522</v>
      </c>
    </row>
    <row r="11227" spans="39:45">
      <c r="AM11227" s="55">
        <v>2020</v>
      </c>
      <c r="AN11227" s="55" t="s">
        <v>186</v>
      </c>
      <c r="AO11227" s="55">
        <v>12</v>
      </c>
      <c r="AP11227" s="55">
        <v>17</v>
      </c>
      <c r="AQ11227" s="55">
        <v>6813.5</v>
      </c>
      <c r="AR11227" s="55">
        <v>28500</v>
      </c>
      <c r="AS11227" s="78">
        <f t="shared" si="179"/>
        <v>0.23907017543859649</v>
      </c>
    </row>
    <row r="11228" spans="39:45">
      <c r="AM11228" s="54">
        <v>2020</v>
      </c>
      <c r="AN11228" s="54" t="s">
        <v>186</v>
      </c>
      <c r="AO11228" s="54">
        <v>12</v>
      </c>
      <c r="AP11228" s="54">
        <v>18</v>
      </c>
      <c r="AQ11228" s="54">
        <v>485</v>
      </c>
      <c r="AR11228" s="55">
        <v>28500</v>
      </c>
      <c r="AS11228" s="78">
        <f t="shared" si="179"/>
        <v>1.7017543859649122E-2</v>
      </c>
    </row>
    <row r="11229" spans="39:45">
      <c r="AM11229" s="55">
        <v>2020</v>
      </c>
      <c r="AN11229" s="55" t="s">
        <v>186</v>
      </c>
      <c r="AO11229" s="55">
        <v>12</v>
      </c>
      <c r="AP11229" s="55">
        <v>19</v>
      </c>
      <c r="AQ11229" s="55">
        <v>0</v>
      </c>
      <c r="AR11229" s="55">
        <v>28500</v>
      </c>
      <c r="AS11229" s="78">
        <f t="shared" si="179"/>
        <v>0</v>
      </c>
    </row>
    <row r="11230" spans="39:45">
      <c r="AM11230" s="54">
        <v>2020</v>
      </c>
      <c r="AN11230" s="54" t="s">
        <v>186</v>
      </c>
      <c r="AO11230" s="54">
        <v>12</v>
      </c>
      <c r="AP11230" s="54">
        <v>20</v>
      </c>
      <c r="AQ11230" s="54">
        <v>0</v>
      </c>
      <c r="AR11230" s="55">
        <v>28500</v>
      </c>
      <c r="AS11230" s="78">
        <f t="shared" si="179"/>
        <v>0</v>
      </c>
    </row>
    <row r="11231" spans="39:45">
      <c r="AM11231" s="55">
        <v>2020</v>
      </c>
      <c r="AN11231" s="55" t="s">
        <v>186</v>
      </c>
      <c r="AO11231" s="55">
        <v>12</v>
      </c>
      <c r="AP11231" s="55">
        <v>21</v>
      </c>
      <c r="AQ11231" s="55">
        <v>0</v>
      </c>
      <c r="AR11231" s="55">
        <v>28500</v>
      </c>
      <c r="AS11231" s="78">
        <f t="shared" si="179"/>
        <v>0</v>
      </c>
    </row>
    <row r="11232" spans="39:45">
      <c r="AM11232" s="54">
        <v>2020</v>
      </c>
      <c r="AN11232" s="54" t="s">
        <v>186</v>
      </c>
      <c r="AO11232" s="54">
        <v>12</v>
      </c>
      <c r="AP11232" s="54">
        <v>22</v>
      </c>
      <c r="AQ11232" s="54">
        <v>0</v>
      </c>
      <c r="AR11232" s="55">
        <v>28500</v>
      </c>
      <c r="AS11232" s="78">
        <f t="shared" si="179"/>
        <v>0</v>
      </c>
    </row>
    <row r="11233" spans="39:45">
      <c r="AM11233" s="55">
        <v>2020</v>
      </c>
      <c r="AN11233" s="55" t="s">
        <v>186</v>
      </c>
      <c r="AO11233" s="55">
        <v>12</v>
      </c>
      <c r="AP11233" s="55">
        <v>23</v>
      </c>
      <c r="AQ11233" s="55">
        <v>0</v>
      </c>
      <c r="AR11233" s="55">
        <v>28500</v>
      </c>
      <c r="AS11233" s="78">
        <f t="shared" si="179"/>
        <v>0</v>
      </c>
    </row>
    <row r="11234" spans="39:45">
      <c r="AM11234" s="54">
        <v>2020</v>
      </c>
      <c r="AN11234" s="54" t="s">
        <v>186</v>
      </c>
      <c r="AO11234" s="54">
        <v>13</v>
      </c>
      <c r="AP11234" s="54">
        <v>24</v>
      </c>
      <c r="AQ11234" s="54">
        <v>0</v>
      </c>
      <c r="AR11234" s="55">
        <v>28500</v>
      </c>
      <c r="AS11234" s="78">
        <f t="shared" si="179"/>
        <v>0</v>
      </c>
    </row>
    <row r="11235" spans="39:45">
      <c r="AM11235" s="55">
        <v>2020</v>
      </c>
      <c r="AN11235" s="55" t="s">
        <v>186</v>
      </c>
      <c r="AO11235" s="55">
        <v>13</v>
      </c>
      <c r="AP11235" s="55">
        <v>1</v>
      </c>
      <c r="AQ11235" s="55">
        <v>0</v>
      </c>
      <c r="AR11235" s="55">
        <v>28500</v>
      </c>
      <c r="AS11235" s="78">
        <f t="shared" si="179"/>
        <v>0</v>
      </c>
    </row>
    <row r="11236" spans="39:45">
      <c r="AM11236" s="54">
        <v>2020</v>
      </c>
      <c r="AN11236" s="54" t="s">
        <v>186</v>
      </c>
      <c r="AO11236" s="54">
        <v>13</v>
      </c>
      <c r="AP11236" s="54">
        <v>2</v>
      </c>
      <c r="AQ11236" s="54">
        <v>0</v>
      </c>
      <c r="AR11236" s="55">
        <v>28500</v>
      </c>
      <c r="AS11236" s="78">
        <f t="shared" si="179"/>
        <v>0</v>
      </c>
    </row>
    <row r="11237" spans="39:45">
      <c r="AM11237" s="55">
        <v>2020</v>
      </c>
      <c r="AN11237" s="55" t="s">
        <v>186</v>
      </c>
      <c r="AO11237" s="55">
        <v>13</v>
      </c>
      <c r="AP11237" s="55">
        <v>3</v>
      </c>
      <c r="AQ11237" s="55">
        <v>0</v>
      </c>
      <c r="AR11237" s="55">
        <v>28500</v>
      </c>
      <c r="AS11237" s="78">
        <f t="shared" si="179"/>
        <v>0</v>
      </c>
    </row>
    <row r="11238" spans="39:45">
      <c r="AM11238" s="54">
        <v>2020</v>
      </c>
      <c r="AN11238" s="54" t="s">
        <v>186</v>
      </c>
      <c r="AO11238" s="54">
        <v>13</v>
      </c>
      <c r="AP11238" s="54">
        <v>4</v>
      </c>
      <c r="AQ11238" s="54">
        <v>0</v>
      </c>
      <c r="AR11238" s="55">
        <v>28500</v>
      </c>
      <c r="AS11238" s="78">
        <f t="shared" si="179"/>
        <v>0</v>
      </c>
    </row>
    <row r="11239" spans="39:45">
      <c r="AM11239" s="55">
        <v>2020</v>
      </c>
      <c r="AN11239" s="55" t="s">
        <v>186</v>
      </c>
      <c r="AO11239" s="55">
        <v>13</v>
      </c>
      <c r="AP11239" s="55">
        <v>5</v>
      </c>
      <c r="AQ11239" s="55">
        <v>0</v>
      </c>
      <c r="AR11239" s="55">
        <v>28500</v>
      </c>
      <c r="AS11239" s="78">
        <f t="shared" si="179"/>
        <v>0</v>
      </c>
    </row>
    <row r="11240" spans="39:45">
      <c r="AM11240" s="54">
        <v>2020</v>
      </c>
      <c r="AN11240" s="54" t="s">
        <v>186</v>
      </c>
      <c r="AO11240" s="54">
        <v>13</v>
      </c>
      <c r="AP11240" s="54">
        <v>6</v>
      </c>
      <c r="AQ11240" s="54">
        <v>396.5</v>
      </c>
      <c r="AR11240" s="55">
        <v>28500</v>
      </c>
      <c r="AS11240" s="78">
        <f t="shared" si="179"/>
        <v>1.3912280701754386E-2</v>
      </c>
    </row>
    <row r="11241" spans="39:45">
      <c r="AM11241" s="55">
        <v>2020</v>
      </c>
      <c r="AN11241" s="55" t="s">
        <v>186</v>
      </c>
      <c r="AO11241" s="55">
        <v>13</v>
      </c>
      <c r="AP11241" s="55">
        <v>7</v>
      </c>
      <c r="AQ11241" s="55">
        <v>2847</v>
      </c>
      <c r="AR11241" s="55">
        <v>28500</v>
      </c>
      <c r="AS11241" s="78">
        <f t="shared" si="179"/>
        <v>9.9894736842105258E-2</v>
      </c>
    </row>
    <row r="11242" spans="39:45">
      <c r="AM11242" s="54">
        <v>2020</v>
      </c>
      <c r="AN11242" s="54" t="s">
        <v>186</v>
      </c>
      <c r="AO11242" s="54">
        <v>13</v>
      </c>
      <c r="AP11242" s="54">
        <v>8</v>
      </c>
      <c r="AQ11242" s="54">
        <v>6775</v>
      </c>
      <c r="AR11242" s="55">
        <v>28500</v>
      </c>
      <c r="AS11242" s="78">
        <f t="shared" si="179"/>
        <v>0.23771929824561402</v>
      </c>
    </row>
    <row r="11243" spans="39:45">
      <c r="AM11243" s="55">
        <v>2020</v>
      </c>
      <c r="AN11243" s="55" t="s">
        <v>186</v>
      </c>
      <c r="AO11243" s="55">
        <v>13</v>
      </c>
      <c r="AP11243" s="55">
        <v>9</v>
      </c>
      <c r="AQ11243" s="55">
        <v>10234</v>
      </c>
      <c r="AR11243" s="55">
        <v>28500</v>
      </c>
      <c r="AS11243" s="78">
        <f t="shared" si="179"/>
        <v>0.35908771929824562</v>
      </c>
    </row>
    <row r="11244" spans="39:45">
      <c r="AM11244" s="54">
        <v>2020</v>
      </c>
      <c r="AN11244" s="54" t="s">
        <v>186</v>
      </c>
      <c r="AO11244" s="54">
        <v>13</v>
      </c>
      <c r="AP11244" s="54">
        <v>10</v>
      </c>
      <c r="AQ11244" s="54">
        <v>23362</v>
      </c>
      <c r="AR11244" s="55">
        <v>28500</v>
      </c>
      <c r="AS11244" s="78">
        <f t="shared" si="179"/>
        <v>0.81971929824561407</v>
      </c>
    </row>
    <row r="11245" spans="39:45">
      <c r="AM11245" s="55">
        <v>2020</v>
      </c>
      <c r="AN11245" s="55" t="s">
        <v>186</v>
      </c>
      <c r="AO11245" s="55">
        <v>13</v>
      </c>
      <c r="AP11245" s="55">
        <v>11</v>
      </c>
      <c r="AQ11245" s="55">
        <v>21381.5</v>
      </c>
      <c r="AR11245" s="55">
        <v>28500</v>
      </c>
      <c r="AS11245" s="78">
        <f t="shared" si="179"/>
        <v>0.75022807017543858</v>
      </c>
    </row>
    <row r="11246" spans="39:45">
      <c r="AM11246" s="54">
        <v>2020</v>
      </c>
      <c r="AN11246" s="54" t="s">
        <v>186</v>
      </c>
      <c r="AO11246" s="54">
        <v>13</v>
      </c>
      <c r="AP11246" s="54">
        <v>12</v>
      </c>
      <c r="AQ11246" s="54">
        <v>34941.5</v>
      </c>
      <c r="AR11246" s="55">
        <v>28500</v>
      </c>
      <c r="AS11246" s="78">
        <f t="shared" si="179"/>
        <v>1.2260175438596492</v>
      </c>
    </row>
    <row r="11247" spans="39:45">
      <c r="AM11247" s="55">
        <v>2020</v>
      </c>
      <c r="AN11247" s="55" t="s">
        <v>186</v>
      </c>
      <c r="AO11247" s="55">
        <v>13</v>
      </c>
      <c r="AP11247" s="55">
        <v>13</v>
      </c>
      <c r="AQ11247" s="55">
        <v>40358</v>
      </c>
      <c r="AR11247" s="55">
        <v>28500</v>
      </c>
      <c r="AS11247" s="78">
        <f t="shared" si="179"/>
        <v>1.4160701754385965</v>
      </c>
    </row>
    <row r="11248" spans="39:45">
      <c r="AM11248" s="54">
        <v>2020</v>
      </c>
      <c r="AN11248" s="54" t="s">
        <v>186</v>
      </c>
      <c r="AO11248" s="54">
        <v>13</v>
      </c>
      <c r="AP11248" s="54">
        <v>14</v>
      </c>
      <c r="AQ11248" s="54">
        <v>27947.5</v>
      </c>
      <c r="AR11248" s="55">
        <v>28500</v>
      </c>
      <c r="AS11248" s="78">
        <f t="shared" si="179"/>
        <v>0.98061403508771927</v>
      </c>
    </row>
    <row r="11249" spans="39:45">
      <c r="AM11249" s="55">
        <v>2020</v>
      </c>
      <c r="AN11249" s="55" t="s">
        <v>186</v>
      </c>
      <c r="AO11249" s="55">
        <v>13</v>
      </c>
      <c r="AP11249" s="55">
        <v>15</v>
      </c>
      <c r="AQ11249" s="55">
        <v>30361</v>
      </c>
      <c r="AR11249" s="55">
        <v>28500</v>
      </c>
      <c r="AS11249" s="78">
        <f t="shared" si="179"/>
        <v>1.0652982456140352</v>
      </c>
    </row>
    <row r="11250" spans="39:45">
      <c r="AM11250" s="54">
        <v>2020</v>
      </c>
      <c r="AN11250" s="54" t="s">
        <v>186</v>
      </c>
      <c r="AO11250" s="54">
        <v>13</v>
      </c>
      <c r="AP11250" s="54">
        <v>16</v>
      </c>
      <c r="AQ11250" s="54">
        <v>18497.5</v>
      </c>
      <c r="AR11250" s="55">
        <v>28500</v>
      </c>
      <c r="AS11250" s="78">
        <f t="shared" si="179"/>
        <v>0.6490350877192983</v>
      </c>
    </row>
    <row r="11251" spans="39:45">
      <c r="AM11251" s="55">
        <v>2020</v>
      </c>
      <c r="AN11251" s="55" t="s">
        <v>186</v>
      </c>
      <c r="AO11251" s="55">
        <v>13</v>
      </c>
      <c r="AP11251" s="55">
        <v>17</v>
      </c>
      <c r="AQ11251" s="55">
        <v>7804</v>
      </c>
      <c r="AR11251" s="55">
        <v>28500</v>
      </c>
      <c r="AS11251" s="78">
        <f t="shared" si="179"/>
        <v>0.27382456140350875</v>
      </c>
    </row>
    <row r="11252" spans="39:45">
      <c r="AM11252" s="54">
        <v>2020</v>
      </c>
      <c r="AN11252" s="54" t="s">
        <v>186</v>
      </c>
      <c r="AO11252" s="54">
        <v>13</v>
      </c>
      <c r="AP11252" s="54">
        <v>18</v>
      </c>
      <c r="AQ11252" s="54">
        <v>667.5</v>
      </c>
      <c r="AR11252" s="55">
        <v>28500</v>
      </c>
      <c r="AS11252" s="78">
        <f t="shared" si="179"/>
        <v>2.3421052631578947E-2</v>
      </c>
    </row>
    <row r="11253" spans="39:45">
      <c r="AM11253" s="55">
        <v>2020</v>
      </c>
      <c r="AN11253" s="55" t="s">
        <v>186</v>
      </c>
      <c r="AO11253" s="55">
        <v>13</v>
      </c>
      <c r="AP11253" s="55">
        <v>19</v>
      </c>
      <c r="AQ11253" s="55">
        <v>0</v>
      </c>
      <c r="AR11253" s="55">
        <v>28500</v>
      </c>
      <c r="AS11253" s="78">
        <f t="shared" si="179"/>
        <v>0</v>
      </c>
    </row>
    <row r="11254" spans="39:45">
      <c r="AM11254" s="54">
        <v>2020</v>
      </c>
      <c r="AN11254" s="54" t="s">
        <v>186</v>
      </c>
      <c r="AO11254" s="54">
        <v>13</v>
      </c>
      <c r="AP11254" s="54">
        <v>20</v>
      </c>
      <c r="AQ11254" s="54">
        <v>0</v>
      </c>
      <c r="AR11254" s="55">
        <v>28500</v>
      </c>
      <c r="AS11254" s="78">
        <f t="shared" si="179"/>
        <v>0</v>
      </c>
    </row>
    <row r="11255" spans="39:45">
      <c r="AM11255" s="55">
        <v>2020</v>
      </c>
      <c r="AN11255" s="55" t="s">
        <v>186</v>
      </c>
      <c r="AO11255" s="55">
        <v>13</v>
      </c>
      <c r="AP11255" s="55">
        <v>21</v>
      </c>
      <c r="AQ11255" s="55">
        <v>0</v>
      </c>
      <c r="AR11255" s="55">
        <v>28500</v>
      </c>
      <c r="AS11255" s="78">
        <f t="shared" si="179"/>
        <v>0</v>
      </c>
    </row>
    <row r="11256" spans="39:45">
      <c r="AM11256" s="54">
        <v>2020</v>
      </c>
      <c r="AN11256" s="54" t="s">
        <v>186</v>
      </c>
      <c r="AO11256" s="54">
        <v>13</v>
      </c>
      <c r="AP11256" s="54">
        <v>22</v>
      </c>
      <c r="AQ11256" s="54">
        <v>0</v>
      </c>
      <c r="AR11256" s="55">
        <v>28500</v>
      </c>
      <c r="AS11256" s="78">
        <f t="shared" si="179"/>
        <v>0</v>
      </c>
    </row>
    <row r="11257" spans="39:45">
      <c r="AM11257" s="55">
        <v>2020</v>
      </c>
      <c r="AN11257" s="55" t="s">
        <v>186</v>
      </c>
      <c r="AO11257" s="55">
        <v>13</v>
      </c>
      <c r="AP11257" s="55">
        <v>23</v>
      </c>
      <c r="AQ11257" s="55">
        <v>0</v>
      </c>
      <c r="AR11257" s="55">
        <v>28500</v>
      </c>
      <c r="AS11257" s="78">
        <f t="shared" si="179"/>
        <v>0</v>
      </c>
    </row>
    <row r="11258" spans="39:45">
      <c r="AM11258" s="54">
        <v>2020</v>
      </c>
      <c r="AN11258" s="54" t="s">
        <v>186</v>
      </c>
      <c r="AO11258" s="54">
        <v>14</v>
      </c>
      <c r="AP11258" s="54">
        <v>24</v>
      </c>
      <c r="AQ11258" s="54">
        <v>0</v>
      </c>
      <c r="AR11258" s="55">
        <v>28500</v>
      </c>
      <c r="AS11258" s="78">
        <f t="shared" si="179"/>
        <v>0</v>
      </c>
    </row>
    <row r="11259" spans="39:45">
      <c r="AM11259" s="55">
        <v>2020</v>
      </c>
      <c r="AN11259" s="55" t="s">
        <v>186</v>
      </c>
      <c r="AO11259" s="55">
        <v>14</v>
      </c>
      <c r="AP11259" s="55">
        <v>1</v>
      </c>
      <c r="AQ11259" s="55">
        <v>0</v>
      </c>
      <c r="AR11259" s="55">
        <v>28500</v>
      </c>
      <c r="AS11259" s="78">
        <f t="shared" si="179"/>
        <v>0</v>
      </c>
    </row>
    <row r="11260" spans="39:45">
      <c r="AM11260" s="54">
        <v>2020</v>
      </c>
      <c r="AN11260" s="54" t="s">
        <v>186</v>
      </c>
      <c r="AO11260" s="54">
        <v>14</v>
      </c>
      <c r="AP11260" s="54">
        <v>2</v>
      </c>
      <c r="AQ11260" s="54">
        <v>0</v>
      </c>
      <c r="AR11260" s="55">
        <v>28500</v>
      </c>
      <c r="AS11260" s="78">
        <f t="shared" si="179"/>
        <v>0</v>
      </c>
    </row>
    <row r="11261" spans="39:45">
      <c r="AM11261" s="55">
        <v>2020</v>
      </c>
      <c r="AN11261" s="55" t="s">
        <v>186</v>
      </c>
      <c r="AO11261" s="55">
        <v>14</v>
      </c>
      <c r="AP11261" s="55">
        <v>3</v>
      </c>
      <c r="AQ11261" s="55">
        <v>0</v>
      </c>
      <c r="AR11261" s="55">
        <v>28500</v>
      </c>
      <c r="AS11261" s="78">
        <f t="shared" si="179"/>
        <v>0</v>
      </c>
    </row>
    <row r="11262" spans="39:45">
      <c r="AM11262" s="54">
        <v>2020</v>
      </c>
      <c r="AN11262" s="54" t="s">
        <v>186</v>
      </c>
      <c r="AO11262" s="54">
        <v>14</v>
      </c>
      <c r="AP11262" s="54">
        <v>4</v>
      </c>
      <c r="AQ11262" s="54">
        <v>0</v>
      </c>
      <c r="AR11262" s="55">
        <v>28500</v>
      </c>
      <c r="AS11262" s="78">
        <f t="shared" si="179"/>
        <v>0</v>
      </c>
    </row>
    <row r="11263" spans="39:45">
      <c r="AM11263" s="55">
        <v>2020</v>
      </c>
      <c r="AN11263" s="55" t="s">
        <v>186</v>
      </c>
      <c r="AO11263" s="55">
        <v>14</v>
      </c>
      <c r="AP11263" s="55">
        <v>5</v>
      </c>
      <c r="AQ11263" s="55">
        <v>0</v>
      </c>
      <c r="AR11263" s="55">
        <v>28500</v>
      </c>
      <c r="AS11263" s="78">
        <f t="shared" si="179"/>
        <v>0</v>
      </c>
    </row>
    <row r="11264" spans="39:45">
      <c r="AM11264" s="54">
        <v>2020</v>
      </c>
      <c r="AN11264" s="54" t="s">
        <v>186</v>
      </c>
      <c r="AO11264" s="54">
        <v>14</v>
      </c>
      <c r="AP11264" s="54">
        <v>6</v>
      </c>
      <c r="AQ11264" s="54">
        <v>1945</v>
      </c>
      <c r="AR11264" s="55">
        <v>28500</v>
      </c>
      <c r="AS11264" s="78">
        <f t="shared" si="179"/>
        <v>6.8245614035087721E-2</v>
      </c>
    </row>
    <row r="11265" spans="39:45">
      <c r="AM11265" s="55">
        <v>2020</v>
      </c>
      <c r="AN11265" s="55" t="s">
        <v>186</v>
      </c>
      <c r="AO11265" s="55">
        <v>14</v>
      </c>
      <c r="AP11265" s="55">
        <v>7</v>
      </c>
      <c r="AQ11265" s="55">
        <v>10803.5</v>
      </c>
      <c r="AR11265" s="55">
        <v>28500</v>
      </c>
      <c r="AS11265" s="78">
        <f t="shared" si="179"/>
        <v>0.3790701754385965</v>
      </c>
    </row>
    <row r="11266" spans="39:45">
      <c r="AM11266" s="54">
        <v>2020</v>
      </c>
      <c r="AN11266" s="54" t="s">
        <v>186</v>
      </c>
      <c r="AO11266" s="54">
        <v>14</v>
      </c>
      <c r="AP11266" s="54">
        <v>8</v>
      </c>
      <c r="AQ11266" s="54">
        <v>14397</v>
      </c>
      <c r="AR11266" s="55">
        <v>28500</v>
      </c>
      <c r="AS11266" s="78">
        <f t="shared" ref="AS11266:AS11329" si="180">AQ11266/AR11266</f>
        <v>0.50515789473684214</v>
      </c>
    </row>
    <row r="11267" spans="39:45">
      <c r="AM11267" s="55">
        <v>2020</v>
      </c>
      <c r="AN11267" s="55" t="s">
        <v>186</v>
      </c>
      <c r="AO11267" s="55">
        <v>14</v>
      </c>
      <c r="AP11267" s="55">
        <v>9</v>
      </c>
      <c r="AQ11267" s="55">
        <v>22493.5</v>
      </c>
      <c r="AR11267" s="55">
        <v>28500</v>
      </c>
      <c r="AS11267" s="78">
        <f t="shared" si="180"/>
        <v>0.78924561403508775</v>
      </c>
    </row>
    <row r="11268" spans="39:45">
      <c r="AM11268" s="54">
        <v>2020</v>
      </c>
      <c r="AN11268" s="54" t="s">
        <v>186</v>
      </c>
      <c r="AO11268" s="54">
        <v>14</v>
      </c>
      <c r="AP11268" s="54">
        <v>10</v>
      </c>
      <c r="AQ11268" s="54">
        <v>29954.5</v>
      </c>
      <c r="AR11268" s="55">
        <v>28500</v>
      </c>
      <c r="AS11268" s="78">
        <f t="shared" si="180"/>
        <v>1.0510350877192982</v>
      </c>
    </row>
    <row r="11269" spans="39:45">
      <c r="AM11269" s="55">
        <v>2020</v>
      </c>
      <c r="AN11269" s="55" t="s">
        <v>186</v>
      </c>
      <c r="AO11269" s="55">
        <v>14</v>
      </c>
      <c r="AP11269" s="55">
        <v>11</v>
      </c>
      <c r="AQ11269" s="55">
        <v>42068.5</v>
      </c>
      <c r="AR11269" s="55">
        <v>28500</v>
      </c>
      <c r="AS11269" s="78">
        <f t="shared" si="180"/>
        <v>1.4760877192982456</v>
      </c>
    </row>
    <row r="11270" spans="39:45">
      <c r="AM11270" s="54">
        <v>2020</v>
      </c>
      <c r="AN11270" s="54" t="s">
        <v>186</v>
      </c>
      <c r="AO11270" s="54">
        <v>14</v>
      </c>
      <c r="AP11270" s="54">
        <v>12</v>
      </c>
      <c r="AQ11270" s="54">
        <v>43459.5</v>
      </c>
      <c r="AR11270" s="55">
        <v>28500</v>
      </c>
      <c r="AS11270" s="78">
        <f t="shared" si="180"/>
        <v>1.5248947368421053</v>
      </c>
    </row>
    <row r="11271" spans="39:45">
      <c r="AM11271" s="55">
        <v>2020</v>
      </c>
      <c r="AN11271" s="55" t="s">
        <v>186</v>
      </c>
      <c r="AO11271" s="55">
        <v>14</v>
      </c>
      <c r="AP11271" s="55">
        <v>13</v>
      </c>
      <c r="AQ11271" s="55">
        <v>41393</v>
      </c>
      <c r="AR11271" s="55">
        <v>28500</v>
      </c>
      <c r="AS11271" s="78">
        <f t="shared" si="180"/>
        <v>1.4523859649122808</v>
      </c>
    </row>
    <row r="11272" spans="39:45">
      <c r="AM11272" s="54">
        <v>2020</v>
      </c>
      <c r="AN11272" s="54" t="s">
        <v>186</v>
      </c>
      <c r="AO11272" s="54">
        <v>14</v>
      </c>
      <c r="AP11272" s="54">
        <v>14</v>
      </c>
      <c r="AQ11272" s="54">
        <v>36547</v>
      </c>
      <c r="AR11272" s="55">
        <v>28500</v>
      </c>
      <c r="AS11272" s="78">
        <f t="shared" si="180"/>
        <v>1.2823508771929824</v>
      </c>
    </row>
    <row r="11273" spans="39:45">
      <c r="AM11273" s="55">
        <v>2020</v>
      </c>
      <c r="AN11273" s="55" t="s">
        <v>186</v>
      </c>
      <c r="AO11273" s="55">
        <v>14</v>
      </c>
      <c r="AP11273" s="55">
        <v>15</v>
      </c>
      <c r="AQ11273" s="55">
        <v>29198</v>
      </c>
      <c r="AR11273" s="55">
        <v>28500</v>
      </c>
      <c r="AS11273" s="78">
        <f t="shared" si="180"/>
        <v>1.0244912280701755</v>
      </c>
    </row>
    <row r="11274" spans="39:45">
      <c r="AM11274" s="54">
        <v>2020</v>
      </c>
      <c r="AN11274" s="54" t="s">
        <v>186</v>
      </c>
      <c r="AO11274" s="54">
        <v>14</v>
      </c>
      <c r="AP11274" s="54">
        <v>16</v>
      </c>
      <c r="AQ11274" s="54">
        <v>19222</v>
      </c>
      <c r="AR11274" s="55">
        <v>28500</v>
      </c>
      <c r="AS11274" s="78">
        <f t="shared" si="180"/>
        <v>0.6744561403508772</v>
      </c>
    </row>
    <row r="11275" spans="39:45">
      <c r="AM11275" s="55">
        <v>2020</v>
      </c>
      <c r="AN11275" s="55" t="s">
        <v>186</v>
      </c>
      <c r="AO11275" s="55">
        <v>14</v>
      </c>
      <c r="AP11275" s="55">
        <v>17</v>
      </c>
      <c r="AQ11275" s="55">
        <v>7630.5</v>
      </c>
      <c r="AR11275" s="55">
        <v>28500</v>
      </c>
      <c r="AS11275" s="78">
        <f t="shared" si="180"/>
        <v>0.26773684210526316</v>
      </c>
    </row>
    <row r="11276" spans="39:45">
      <c r="AM11276" s="54">
        <v>2020</v>
      </c>
      <c r="AN11276" s="54" t="s">
        <v>186</v>
      </c>
      <c r="AO11276" s="54">
        <v>14</v>
      </c>
      <c r="AP11276" s="54">
        <v>18</v>
      </c>
      <c r="AQ11276" s="54">
        <v>662</v>
      </c>
      <c r="AR11276" s="55">
        <v>28500</v>
      </c>
      <c r="AS11276" s="78">
        <f t="shared" si="180"/>
        <v>2.3228070175438598E-2</v>
      </c>
    </row>
    <row r="11277" spans="39:45">
      <c r="AM11277" s="55">
        <v>2020</v>
      </c>
      <c r="AN11277" s="55" t="s">
        <v>186</v>
      </c>
      <c r="AO11277" s="55">
        <v>14</v>
      </c>
      <c r="AP11277" s="55">
        <v>19</v>
      </c>
      <c r="AQ11277" s="55">
        <v>0</v>
      </c>
      <c r="AR11277" s="55">
        <v>28500</v>
      </c>
      <c r="AS11277" s="78">
        <f t="shared" si="180"/>
        <v>0</v>
      </c>
    </row>
    <row r="11278" spans="39:45">
      <c r="AM11278" s="54">
        <v>2020</v>
      </c>
      <c r="AN11278" s="54" t="s">
        <v>186</v>
      </c>
      <c r="AO11278" s="54">
        <v>14</v>
      </c>
      <c r="AP11278" s="54">
        <v>20</v>
      </c>
      <c r="AQ11278" s="54">
        <v>0</v>
      </c>
      <c r="AR11278" s="55">
        <v>28500</v>
      </c>
      <c r="AS11278" s="78">
        <f t="shared" si="180"/>
        <v>0</v>
      </c>
    </row>
    <row r="11279" spans="39:45">
      <c r="AM11279" s="55">
        <v>2020</v>
      </c>
      <c r="AN11279" s="55" t="s">
        <v>186</v>
      </c>
      <c r="AO11279" s="55">
        <v>14</v>
      </c>
      <c r="AP11279" s="55">
        <v>21</v>
      </c>
      <c r="AQ11279" s="55">
        <v>0</v>
      </c>
      <c r="AR11279" s="55">
        <v>28500</v>
      </c>
      <c r="AS11279" s="78">
        <f t="shared" si="180"/>
        <v>0</v>
      </c>
    </row>
    <row r="11280" spans="39:45">
      <c r="AM11280" s="54">
        <v>2020</v>
      </c>
      <c r="AN11280" s="54" t="s">
        <v>186</v>
      </c>
      <c r="AO11280" s="54">
        <v>14</v>
      </c>
      <c r="AP11280" s="54">
        <v>22</v>
      </c>
      <c r="AQ11280" s="54">
        <v>0</v>
      </c>
      <c r="AR11280" s="55">
        <v>28500</v>
      </c>
      <c r="AS11280" s="78">
        <f t="shared" si="180"/>
        <v>0</v>
      </c>
    </row>
    <row r="11281" spans="39:45">
      <c r="AM11281" s="55">
        <v>2020</v>
      </c>
      <c r="AN11281" s="55" t="s">
        <v>186</v>
      </c>
      <c r="AO11281" s="55">
        <v>14</v>
      </c>
      <c r="AP11281" s="55">
        <v>23</v>
      </c>
      <c r="AQ11281" s="55">
        <v>0</v>
      </c>
      <c r="AR11281" s="55">
        <v>28500</v>
      </c>
      <c r="AS11281" s="78">
        <f t="shared" si="180"/>
        <v>0</v>
      </c>
    </row>
    <row r="11282" spans="39:45">
      <c r="AM11282" s="54">
        <v>2020</v>
      </c>
      <c r="AN11282" s="54" t="s">
        <v>186</v>
      </c>
      <c r="AO11282" s="54">
        <v>15</v>
      </c>
      <c r="AP11282" s="54">
        <v>24</v>
      </c>
      <c r="AQ11282" s="54">
        <v>0</v>
      </c>
      <c r="AR11282" s="55">
        <v>28500</v>
      </c>
      <c r="AS11282" s="78">
        <f t="shared" si="180"/>
        <v>0</v>
      </c>
    </row>
    <row r="11283" spans="39:45">
      <c r="AM11283" s="55">
        <v>2020</v>
      </c>
      <c r="AN11283" s="55" t="s">
        <v>186</v>
      </c>
      <c r="AO11283" s="55">
        <v>15</v>
      </c>
      <c r="AP11283" s="55">
        <v>1</v>
      </c>
      <c r="AQ11283" s="55">
        <v>0</v>
      </c>
      <c r="AR11283" s="55">
        <v>28500</v>
      </c>
      <c r="AS11283" s="78">
        <f t="shared" si="180"/>
        <v>0</v>
      </c>
    </row>
    <row r="11284" spans="39:45">
      <c r="AM11284" s="54">
        <v>2020</v>
      </c>
      <c r="AN11284" s="54" t="s">
        <v>186</v>
      </c>
      <c r="AO11284" s="54">
        <v>15</v>
      </c>
      <c r="AP11284" s="54">
        <v>2</v>
      </c>
      <c r="AQ11284" s="54">
        <v>0</v>
      </c>
      <c r="AR11284" s="55">
        <v>28500</v>
      </c>
      <c r="AS11284" s="78">
        <f t="shared" si="180"/>
        <v>0</v>
      </c>
    </row>
    <row r="11285" spans="39:45">
      <c r="AM11285" s="55">
        <v>2020</v>
      </c>
      <c r="AN11285" s="55" t="s">
        <v>186</v>
      </c>
      <c r="AO11285" s="55">
        <v>15</v>
      </c>
      <c r="AP11285" s="55">
        <v>3</v>
      </c>
      <c r="AQ11285" s="55">
        <v>0</v>
      </c>
      <c r="AR11285" s="55">
        <v>28500</v>
      </c>
      <c r="AS11285" s="78">
        <f t="shared" si="180"/>
        <v>0</v>
      </c>
    </row>
    <row r="11286" spans="39:45">
      <c r="AM11286" s="54">
        <v>2020</v>
      </c>
      <c r="AN11286" s="54" t="s">
        <v>186</v>
      </c>
      <c r="AO11286" s="54">
        <v>15</v>
      </c>
      <c r="AP11286" s="54">
        <v>4</v>
      </c>
      <c r="AQ11286" s="54">
        <v>0</v>
      </c>
      <c r="AR11286" s="55">
        <v>28500</v>
      </c>
      <c r="AS11286" s="78">
        <f t="shared" si="180"/>
        <v>0</v>
      </c>
    </row>
    <row r="11287" spans="39:45">
      <c r="AM11287" s="55">
        <v>2020</v>
      </c>
      <c r="AN11287" s="55" t="s">
        <v>186</v>
      </c>
      <c r="AO11287" s="55">
        <v>15</v>
      </c>
      <c r="AP11287" s="55">
        <v>5</v>
      </c>
      <c r="AQ11287" s="55">
        <v>0</v>
      </c>
      <c r="AR11287" s="55">
        <v>28500</v>
      </c>
      <c r="AS11287" s="78">
        <f t="shared" si="180"/>
        <v>0</v>
      </c>
    </row>
    <row r="11288" spans="39:45">
      <c r="AM11288" s="54">
        <v>2020</v>
      </c>
      <c r="AN11288" s="54" t="s">
        <v>186</v>
      </c>
      <c r="AO11288" s="54">
        <v>15</v>
      </c>
      <c r="AP11288" s="54">
        <v>6</v>
      </c>
      <c r="AQ11288" s="54">
        <v>1834</v>
      </c>
      <c r="AR11288" s="55">
        <v>28500</v>
      </c>
      <c r="AS11288" s="78">
        <f t="shared" si="180"/>
        <v>6.435087719298245E-2</v>
      </c>
    </row>
    <row r="11289" spans="39:45">
      <c r="AM11289" s="55">
        <v>2020</v>
      </c>
      <c r="AN11289" s="55" t="s">
        <v>186</v>
      </c>
      <c r="AO11289" s="55">
        <v>15</v>
      </c>
      <c r="AP11289" s="55">
        <v>7</v>
      </c>
      <c r="AQ11289" s="55">
        <v>11989.5</v>
      </c>
      <c r="AR11289" s="55">
        <v>28500</v>
      </c>
      <c r="AS11289" s="78">
        <f t="shared" si="180"/>
        <v>0.42068421052631577</v>
      </c>
    </row>
    <row r="11290" spans="39:45">
      <c r="AM11290" s="54">
        <v>2020</v>
      </c>
      <c r="AN11290" s="54" t="s">
        <v>186</v>
      </c>
      <c r="AO11290" s="54">
        <v>15</v>
      </c>
      <c r="AP11290" s="54">
        <v>8</v>
      </c>
      <c r="AQ11290" s="54">
        <v>23037.5</v>
      </c>
      <c r="AR11290" s="55">
        <v>28500</v>
      </c>
      <c r="AS11290" s="78">
        <f t="shared" si="180"/>
        <v>0.80833333333333335</v>
      </c>
    </row>
    <row r="11291" spans="39:45">
      <c r="AM11291" s="55">
        <v>2020</v>
      </c>
      <c r="AN11291" s="55" t="s">
        <v>186</v>
      </c>
      <c r="AO11291" s="55">
        <v>15</v>
      </c>
      <c r="AP11291" s="55">
        <v>9</v>
      </c>
      <c r="AQ11291" s="55">
        <v>31207</v>
      </c>
      <c r="AR11291" s="55">
        <v>28500</v>
      </c>
      <c r="AS11291" s="78">
        <f t="shared" si="180"/>
        <v>1.0949824561403509</v>
      </c>
    </row>
    <row r="11292" spans="39:45">
      <c r="AM11292" s="54">
        <v>2020</v>
      </c>
      <c r="AN11292" s="54" t="s">
        <v>186</v>
      </c>
      <c r="AO11292" s="54">
        <v>15</v>
      </c>
      <c r="AP11292" s="54">
        <v>10</v>
      </c>
      <c r="AQ11292" s="54">
        <v>36160</v>
      </c>
      <c r="AR11292" s="55">
        <v>28500</v>
      </c>
      <c r="AS11292" s="78">
        <f t="shared" si="180"/>
        <v>1.2687719298245614</v>
      </c>
    </row>
    <row r="11293" spans="39:45">
      <c r="AM11293" s="55">
        <v>2020</v>
      </c>
      <c r="AN11293" s="55" t="s">
        <v>186</v>
      </c>
      <c r="AO11293" s="55">
        <v>15</v>
      </c>
      <c r="AP11293" s="55">
        <v>11</v>
      </c>
      <c r="AQ11293" s="55">
        <v>38715</v>
      </c>
      <c r="AR11293" s="55">
        <v>28500</v>
      </c>
      <c r="AS11293" s="78">
        <f t="shared" si="180"/>
        <v>1.358421052631579</v>
      </c>
    </row>
    <row r="11294" spans="39:45">
      <c r="AM11294" s="54">
        <v>2020</v>
      </c>
      <c r="AN11294" s="54" t="s">
        <v>186</v>
      </c>
      <c r="AO11294" s="54">
        <v>15</v>
      </c>
      <c r="AP11294" s="54">
        <v>12</v>
      </c>
      <c r="AQ11294" s="54">
        <v>41796.5</v>
      </c>
      <c r="AR11294" s="55">
        <v>28500</v>
      </c>
      <c r="AS11294" s="78">
        <f t="shared" si="180"/>
        <v>1.4665438596491227</v>
      </c>
    </row>
    <row r="11295" spans="39:45">
      <c r="AM11295" s="55">
        <v>2020</v>
      </c>
      <c r="AN11295" s="55" t="s">
        <v>186</v>
      </c>
      <c r="AO11295" s="55">
        <v>15</v>
      </c>
      <c r="AP11295" s="55">
        <v>13</v>
      </c>
      <c r="AQ11295" s="55">
        <v>40584</v>
      </c>
      <c r="AR11295" s="55">
        <v>28500</v>
      </c>
      <c r="AS11295" s="78">
        <f t="shared" si="180"/>
        <v>1.4239999999999999</v>
      </c>
    </row>
    <row r="11296" spans="39:45">
      <c r="AM11296" s="54">
        <v>2020</v>
      </c>
      <c r="AN11296" s="54" t="s">
        <v>186</v>
      </c>
      <c r="AO11296" s="54">
        <v>15</v>
      </c>
      <c r="AP11296" s="54">
        <v>14</v>
      </c>
      <c r="AQ11296" s="54">
        <v>35658</v>
      </c>
      <c r="AR11296" s="55">
        <v>28500</v>
      </c>
      <c r="AS11296" s="78">
        <f t="shared" si="180"/>
        <v>1.251157894736842</v>
      </c>
    </row>
    <row r="11297" spans="39:45">
      <c r="AM11297" s="55">
        <v>2020</v>
      </c>
      <c r="AN11297" s="55" t="s">
        <v>186</v>
      </c>
      <c r="AO11297" s="55">
        <v>15</v>
      </c>
      <c r="AP11297" s="55">
        <v>15</v>
      </c>
      <c r="AQ11297" s="55">
        <v>28196.5</v>
      </c>
      <c r="AR11297" s="55">
        <v>28500</v>
      </c>
      <c r="AS11297" s="78">
        <f t="shared" si="180"/>
        <v>0.98935087719298243</v>
      </c>
    </row>
    <row r="11298" spans="39:45">
      <c r="AM11298" s="54">
        <v>2020</v>
      </c>
      <c r="AN11298" s="54" t="s">
        <v>186</v>
      </c>
      <c r="AO11298" s="54">
        <v>15</v>
      </c>
      <c r="AP11298" s="54">
        <v>16</v>
      </c>
      <c r="AQ11298" s="54">
        <v>18631</v>
      </c>
      <c r="AR11298" s="55">
        <v>28500</v>
      </c>
      <c r="AS11298" s="78">
        <f t="shared" si="180"/>
        <v>0.65371929824561403</v>
      </c>
    </row>
    <row r="11299" spans="39:45">
      <c r="AM11299" s="55">
        <v>2020</v>
      </c>
      <c r="AN11299" s="55" t="s">
        <v>186</v>
      </c>
      <c r="AO11299" s="55">
        <v>15</v>
      </c>
      <c r="AP11299" s="55">
        <v>17</v>
      </c>
      <c r="AQ11299" s="55">
        <v>7407.5</v>
      </c>
      <c r="AR11299" s="55">
        <v>28500</v>
      </c>
      <c r="AS11299" s="78">
        <f t="shared" si="180"/>
        <v>0.25991228070175437</v>
      </c>
    </row>
    <row r="11300" spans="39:45">
      <c r="AM11300" s="54">
        <v>2020</v>
      </c>
      <c r="AN11300" s="54" t="s">
        <v>186</v>
      </c>
      <c r="AO11300" s="54">
        <v>15</v>
      </c>
      <c r="AP11300" s="54">
        <v>18</v>
      </c>
      <c r="AQ11300" s="54">
        <v>680</v>
      </c>
      <c r="AR11300" s="55">
        <v>28500</v>
      </c>
      <c r="AS11300" s="78">
        <f t="shared" si="180"/>
        <v>2.3859649122807018E-2</v>
      </c>
    </row>
    <row r="11301" spans="39:45">
      <c r="AM11301" s="55">
        <v>2020</v>
      </c>
      <c r="AN11301" s="55" t="s">
        <v>186</v>
      </c>
      <c r="AO11301" s="55">
        <v>15</v>
      </c>
      <c r="AP11301" s="55">
        <v>19</v>
      </c>
      <c r="AQ11301" s="55">
        <v>0</v>
      </c>
      <c r="AR11301" s="55">
        <v>28500</v>
      </c>
      <c r="AS11301" s="78">
        <f t="shared" si="180"/>
        <v>0</v>
      </c>
    </row>
    <row r="11302" spans="39:45">
      <c r="AM11302" s="54">
        <v>2020</v>
      </c>
      <c r="AN11302" s="54" t="s">
        <v>186</v>
      </c>
      <c r="AO11302" s="54">
        <v>15</v>
      </c>
      <c r="AP11302" s="54">
        <v>20</v>
      </c>
      <c r="AQ11302" s="54">
        <v>0</v>
      </c>
      <c r="AR11302" s="55">
        <v>28500</v>
      </c>
      <c r="AS11302" s="78">
        <f t="shared" si="180"/>
        <v>0</v>
      </c>
    </row>
    <row r="11303" spans="39:45">
      <c r="AM11303" s="55">
        <v>2020</v>
      </c>
      <c r="AN11303" s="55" t="s">
        <v>186</v>
      </c>
      <c r="AO11303" s="55">
        <v>15</v>
      </c>
      <c r="AP11303" s="55">
        <v>21</v>
      </c>
      <c r="AQ11303" s="55">
        <v>0</v>
      </c>
      <c r="AR11303" s="55">
        <v>28500</v>
      </c>
      <c r="AS11303" s="78">
        <f t="shared" si="180"/>
        <v>0</v>
      </c>
    </row>
    <row r="11304" spans="39:45">
      <c r="AM11304" s="54">
        <v>2020</v>
      </c>
      <c r="AN11304" s="54" t="s">
        <v>186</v>
      </c>
      <c r="AO11304" s="54">
        <v>15</v>
      </c>
      <c r="AP11304" s="54">
        <v>22</v>
      </c>
      <c r="AQ11304" s="54">
        <v>0</v>
      </c>
      <c r="AR11304" s="55">
        <v>28500</v>
      </c>
      <c r="AS11304" s="78">
        <f t="shared" si="180"/>
        <v>0</v>
      </c>
    </row>
    <row r="11305" spans="39:45">
      <c r="AM11305" s="55">
        <v>2020</v>
      </c>
      <c r="AN11305" s="55" t="s">
        <v>186</v>
      </c>
      <c r="AO11305" s="55">
        <v>15</v>
      </c>
      <c r="AP11305" s="55">
        <v>23</v>
      </c>
      <c r="AQ11305" s="55">
        <v>0</v>
      </c>
      <c r="AR11305" s="55">
        <v>28500</v>
      </c>
      <c r="AS11305" s="78">
        <f t="shared" si="180"/>
        <v>0</v>
      </c>
    </row>
    <row r="11306" spans="39:45">
      <c r="AM11306" s="54">
        <v>2020</v>
      </c>
      <c r="AN11306" s="54" t="s">
        <v>186</v>
      </c>
      <c r="AO11306" s="54">
        <v>16</v>
      </c>
      <c r="AP11306" s="54">
        <v>24</v>
      </c>
      <c r="AQ11306" s="54">
        <v>0</v>
      </c>
      <c r="AR11306" s="55">
        <v>28500</v>
      </c>
      <c r="AS11306" s="78">
        <f t="shared" si="180"/>
        <v>0</v>
      </c>
    </row>
    <row r="11307" spans="39:45">
      <c r="AM11307" s="55">
        <v>2020</v>
      </c>
      <c r="AN11307" s="55" t="s">
        <v>186</v>
      </c>
      <c r="AO11307" s="55">
        <v>16</v>
      </c>
      <c r="AP11307" s="55">
        <v>1</v>
      </c>
      <c r="AQ11307" s="55">
        <v>0</v>
      </c>
      <c r="AR11307" s="55">
        <v>28500</v>
      </c>
      <c r="AS11307" s="78">
        <f t="shared" si="180"/>
        <v>0</v>
      </c>
    </row>
    <row r="11308" spans="39:45">
      <c r="AM11308" s="54">
        <v>2020</v>
      </c>
      <c r="AN11308" s="54" t="s">
        <v>186</v>
      </c>
      <c r="AO11308" s="54">
        <v>16</v>
      </c>
      <c r="AP11308" s="54">
        <v>2</v>
      </c>
      <c r="AQ11308" s="54">
        <v>0</v>
      </c>
      <c r="AR11308" s="55">
        <v>28500</v>
      </c>
      <c r="AS11308" s="78">
        <f t="shared" si="180"/>
        <v>0</v>
      </c>
    </row>
    <row r="11309" spans="39:45">
      <c r="AM11309" s="55">
        <v>2020</v>
      </c>
      <c r="AN11309" s="55" t="s">
        <v>186</v>
      </c>
      <c r="AO11309" s="55">
        <v>16</v>
      </c>
      <c r="AP11309" s="55">
        <v>3</v>
      </c>
      <c r="AQ11309" s="55">
        <v>0</v>
      </c>
      <c r="AR11309" s="55">
        <v>28500</v>
      </c>
      <c r="AS11309" s="78">
        <f t="shared" si="180"/>
        <v>0</v>
      </c>
    </row>
    <row r="11310" spans="39:45">
      <c r="AM11310" s="54">
        <v>2020</v>
      </c>
      <c r="AN11310" s="54" t="s">
        <v>186</v>
      </c>
      <c r="AO11310" s="54">
        <v>16</v>
      </c>
      <c r="AP11310" s="54">
        <v>4</v>
      </c>
      <c r="AQ11310" s="54">
        <v>0</v>
      </c>
      <c r="AR11310" s="55">
        <v>28500</v>
      </c>
      <c r="AS11310" s="78">
        <f t="shared" si="180"/>
        <v>0</v>
      </c>
    </row>
    <row r="11311" spans="39:45">
      <c r="AM11311" s="55">
        <v>2020</v>
      </c>
      <c r="AN11311" s="55" t="s">
        <v>186</v>
      </c>
      <c r="AO11311" s="55">
        <v>16</v>
      </c>
      <c r="AP11311" s="55">
        <v>5</v>
      </c>
      <c r="AQ11311" s="55">
        <v>0</v>
      </c>
      <c r="AR11311" s="55">
        <v>28500</v>
      </c>
      <c r="AS11311" s="78">
        <f t="shared" si="180"/>
        <v>0</v>
      </c>
    </row>
    <row r="11312" spans="39:45">
      <c r="AM11312" s="54">
        <v>2020</v>
      </c>
      <c r="AN11312" s="54" t="s">
        <v>186</v>
      </c>
      <c r="AO11312" s="54">
        <v>16</v>
      </c>
      <c r="AP11312" s="54">
        <v>6</v>
      </c>
      <c r="AQ11312" s="54">
        <v>2231.5</v>
      </c>
      <c r="AR11312" s="55">
        <v>28500</v>
      </c>
      <c r="AS11312" s="78">
        <f t="shared" si="180"/>
        <v>7.8298245614035089E-2</v>
      </c>
    </row>
    <row r="11313" spans="39:45">
      <c r="AM11313" s="55">
        <v>2020</v>
      </c>
      <c r="AN11313" s="55" t="s">
        <v>186</v>
      </c>
      <c r="AO11313" s="55">
        <v>16</v>
      </c>
      <c r="AP11313" s="55">
        <v>7</v>
      </c>
      <c r="AQ11313" s="55">
        <v>8523.5</v>
      </c>
      <c r="AR11313" s="55">
        <v>28500</v>
      </c>
      <c r="AS11313" s="78">
        <f t="shared" si="180"/>
        <v>0.29907017543859649</v>
      </c>
    </row>
    <row r="11314" spans="39:45">
      <c r="AM11314" s="54">
        <v>2020</v>
      </c>
      <c r="AN11314" s="54" t="s">
        <v>186</v>
      </c>
      <c r="AO11314" s="54">
        <v>16</v>
      </c>
      <c r="AP11314" s="54">
        <v>8</v>
      </c>
      <c r="AQ11314" s="54">
        <v>17069</v>
      </c>
      <c r="AR11314" s="55">
        <v>28500</v>
      </c>
      <c r="AS11314" s="78">
        <f t="shared" si="180"/>
        <v>0.5989122807017544</v>
      </c>
    </row>
    <row r="11315" spans="39:45">
      <c r="AM11315" s="55">
        <v>2020</v>
      </c>
      <c r="AN11315" s="55" t="s">
        <v>186</v>
      </c>
      <c r="AO11315" s="55">
        <v>16</v>
      </c>
      <c r="AP11315" s="55">
        <v>9</v>
      </c>
      <c r="AQ11315" s="55">
        <v>28873</v>
      </c>
      <c r="AR11315" s="55">
        <v>28500</v>
      </c>
      <c r="AS11315" s="78">
        <f t="shared" si="180"/>
        <v>1.0130877192982457</v>
      </c>
    </row>
    <row r="11316" spans="39:45">
      <c r="AM11316" s="54">
        <v>2020</v>
      </c>
      <c r="AN11316" s="54" t="s">
        <v>186</v>
      </c>
      <c r="AO11316" s="54">
        <v>16</v>
      </c>
      <c r="AP11316" s="54">
        <v>10</v>
      </c>
      <c r="AQ11316" s="54">
        <v>35061</v>
      </c>
      <c r="AR11316" s="55">
        <v>28500</v>
      </c>
      <c r="AS11316" s="78">
        <f t="shared" si="180"/>
        <v>1.2302105263157894</v>
      </c>
    </row>
    <row r="11317" spans="39:45">
      <c r="AM11317" s="55">
        <v>2020</v>
      </c>
      <c r="AN11317" s="55" t="s">
        <v>186</v>
      </c>
      <c r="AO11317" s="55">
        <v>16</v>
      </c>
      <c r="AP11317" s="55">
        <v>11</v>
      </c>
      <c r="AQ11317" s="55">
        <v>35425</v>
      </c>
      <c r="AR11317" s="55">
        <v>28500</v>
      </c>
      <c r="AS11317" s="78">
        <f t="shared" si="180"/>
        <v>1.2429824561403509</v>
      </c>
    </row>
    <row r="11318" spans="39:45">
      <c r="AM11318" s="54">
        <v>2020</v>
      </c>
      <c r="AN11318" s="54" t="s">
        <v>186</v>
      </c>
      <c r="AO11318" s="54">
        <v>16</v>
      </c>
      <c r="AP11318" s="54">
        <v>12</v>
      </c>
      <c r="AQ11318" s="54">
        <v>23085</v>
      </c>
      <c r="AR11318" s="55">
        <v>28500</v>
      </c>
      <c r="AS11318" s="78">
        <f t="shared" si="180"/>
        <v>0.81</v>
      </c>
    </row>
    <row r="11319" spans="39:45">
      <c r="AM11319" s="55">
        <v>2020</v>
      </c>
      <c r="AN11319" s="55" t="s">
        <v>186</v>
      </c>
      <c r="AO11319" s="55">
        <v>16</v>
      </c>
      <c r="AP11319" s="55">
        <v>13</v>
      </c>
      <c r="AQ11319" s="55">
        <v>9783</v>
      </c>
      <c r="AR11319" s="55">
        <v>28500</v>
      </c>
      <c r="AS11319" s="78">
        <f t="shared" si="180"/>
        <v>0.34326315789473683</v>
      </c>
    </row>
    <row r="11320" spans="39:45">
      <c r="AM11320" s="54">
        <v>2020</v>
      </c>
      <c r="AN11320" s="54" t="s">
        <v>186</v>
      </c>
      <c r="AO11320" s="54">
        <v>16</v>
      </c>
      <c r="AP11320" s="54">
        <v>14</v>
      </c>
      <c r="AQ11320" s="54">
        <v>8619.5</v>
      </c>
      <c r="AR11320" s="55">
        <v>28500</v>
      </c>
      <c r="AS11320" s="78">
        <f t="shared" si="180"/>
        <v>0.30243859649122806</v>
      </c>
    </row>
    <row r="11321" spans="39:45">
      <c r="AM11321" s="55">
        <v>2020</v>
      </c>
      <c r="AN11321" s="55" t="s">
        <v>186</v>
      </c>
      <c r="AO11321" s="55">
        <v>16</v>
      </c>
      <c r="AP11321" s="55">
        <v>15</v>
      </c>
      <c r="AQ11321" s="55">
        <v>8368.5</v>
      </c>
      <c r="AR11321" s="55">
        <v>28500</v>
      </c>
      <c r="AS11321" s="78">
        <f t="shared" si="180"/>
        <v>0.29363157894736841</v>
      </c>
    </row>
    <row r="11322" spans="39:45">
      <c r="AM11322" s="54">
        <v>2020</v>
      </c>
      <c r="AN11322" s="54" t="s">
        <v>186</v>
      </c>
      <c r="AO11322" s="54">
        <v>16</v>
      </c>
      <c r="AP11322" s="54">
        <v>16</v>
      </c>
      <c r="AQ11322" s="54">
        <v>9988.5</v>
      </c>
      <c r="AR11322" s="55">
        <v>28500</v>
      </c>
      <c r="AS11322" s="78">
        <f t="shared" si="180"/>
        <v>0.35047368421052633</v>
      </c>
    </row>
    <row r="11323" spans="39:45">
      <c r="AM11323" s="55">
        <v>2020</v>
      </c>
      <c r="AN11323" s="55" t="s">
        <v>186</v>
      </c>
      <c r="AO11323" s="55">
        <v>16</v>
      </c>
      <c r="AP11323" s="55">
        <v>17</v>
      </c>
      <c r="AQ11323" s="55">
        <v>3414.5</v>
      </c>
      <c r="AR11323" s="55">
        <v>28500</v>
      </c>
      <c r="AS11323" s="78">
        <f t="shared" si="180"/>
        <v>0.11980701754385965</v>
      </c>
    </row>
    <row r="11324" spans="39:45">
      <c r="AM11324" s="54">
        <v>2020</v>
      </c>
      <c r="AN11324" s="54" t="s">
        <v>186</v>
      </c>
      <c r="AO11324" s="54">
        <v>16</v>
      </c>
      <c r="AP11324" s="54">
        <v>18</v>
      </c>
      <c r="AQ11324" s="54">
        <v>754.5</v>
      </c>
      <c r="AR11324" s="55">
        <v>28500</v>
      </c>
      <c r="AS11324" s="78">
        <f t="shared" si="180"/>
        <v>2.6473684210526316E-2</v>
      </c>
    </row>
    <row r="11325" spans="39:45">
      <c r="AM11325" s="55">
        <v>2020</v>
      </c>
      <c r="AN11325" s="55" t="s">
        <v>186</v>
      </c>
      <c r="AO11325" s="55">
        <v>16</v>
      </c>
      <c r="AP11325" s="55">
        <v>19</v>
      </c>
      <c r="AQ11325" s="55">
        <v>0</v>
      </c>
      <c r="AR11325" s="55">
        <v>28500</v>
      </c>
      <c r="AS11325" s="78">
        <f t="shared" si="180"/>
        <v>0</v>
      </c>
    </row>
    <row r="11326" spans="39:45">
      <c r="AM11326" s="54">
        <v>2020</v>
      </c>
      <c r="AN11326" s="54" t="s">
        <v>186</v>
      </c>
      <c r="AO11326" s="54">
        <v>16</v>
      </c>
      <c r="AP11326" s="54">
        <v>20</v>
      </c>
      <c r="AQ11326" s="54">
        <v>0</v>
      </c>
      <c r="AR11326" s="55">
        <v>28500</v>
      </c>
      <c r="AS11326" s="78">
        <f t="shared" si="180"/>
        <v>0</v>
      </c>
    </row>
    <row r="11327" spans="39:45">
      <c r="AM11327" s="55">
        <v>2020</v>
      </c>
      <c r="AN11327" s="55" t="s">
        <v>186</v>
      </c>
      <c r="AO11327" s="55">
        <v>16</v>
      </c>
      <c r="AP11327" s="55">
        <v>21</v>
      </c>
      <c r="AQ11327" s="55">
        <v>0</v>
      </c>
      <c r="AR11327" s="55">
        <v>28500</v>
      </c>
      <c r="AS11327" s="78">
        <f t="shared" si="180"/>
        <v>0</v>
      </c>
    </row>
    <row r="11328" spans="39:45">
      <c r="AM11328" s="54">
        <v>2020</v>
      </c>
      <c r="AN11328" s="54" t="s">
        <v>186</v>
      </c>
      <c r="AO11328" s="54">
        <v>16</v>
      </c>
      <c r="AP11328" s="54">
        <v>22</v>
      </c>
      <c r="AQ11328" s="54">
        <v>0</v>
      </c>
      <c r="AR11328" s="55">
        <v>28500</v>
      </c>
      <c r="AS11328" s="78">
        <f t="shared" si="180"/>
        <v>0</v>
      </c>
    </row>
    <row r="11329" spans="39:45">
      <c r="AM11329" s="55">
        <v>2020</v>
      </c>
      <c r="AN11329" s="55" t="s">
        <v>186</v>
      </c>
      <c r="AO11329" s="55">
        <v>16</v>
      </c>
      <c r="AP11329" s="55">
        <v>23</v>
      </c>
      <c r="AQ11329" s="55">
        <v>0</v>
      </c>
      <c r="AR11329" s="55">
        <v>28500</v>
      </c>
      <c r="AS11329" s="78">
        <f t="shared" si="180"/>
        <v>0</v>
      </c>
    </row>
    <row r="11330" spans="39:45">
      <c r="AM11330" s="54">
        <v>2020</v>
      </c>
      <c r="AN11330" s="54" t="s">
        <v>186</v>
      </c>
      <c r="AO11330" s="54">
        <v>17</v>
      </c>
      <c r="AP11330" s="54">
        <v>24</v>
      </c>
      <c r="AQ11330" s="54">
        <v>0</v>
      </c>
      <c r="AR11330" s="55">
        <v>28500</v>
      </c>
      <c r="AS11330" s="78">
        <f t="shared" ref="AS11330:AS11393" si="181">AQ11330/AR11330</f>
        <v>0</v>
      </c>
    </row>
    <row r="11331" spans="39:45">
      <c r="AM11331" s="55">
        <v>2020</v>
      </c>
      <c r="AN11331" s="55" t="s">
        <v>186</v>
      </c>
      <c r="AO11331" s="55">
        <v>17</v>
      </c>
      <c r="AP11331" s="55">
        <v>1</v>
      </c>
      <c r="AQ11331" s="55">
        <v>0</v>
      </c>
      <c r="AR11331" s="55">
        <v>28500</v>
      </c>
      <c r="AS11331" s="78">
        <f t="shared" si="181"/>
        <v>0</v>
      </c>
    </row>
    <row r="11332" spans="39:45">
      <c r="AM11332" s="54">
        <v>2020</v>
      </c>
      <c r="AN11332" s="54" t="s">
        <v>186</v>
      </c>
      <c r="AO11332" s="54">
        <v>17</v>
      </c>
      <c r="AP11332" s="54">
        <v>2</v>
      </c>
      <c r="AQ11332" s="54">
        <v>0</v>
      </c>
      <c r="AR11332" s="55">
        <v>28500</v>
      </c>
      <c r="AS11332" s="78">
        <f t="shared" si="181"/>
        <v>0</v>
      </c>
    </row>
    <row r="11333" spans="39:45">
      <c r="AM11333" s="55">
        <v>2020</v>
      </c>
      <c r="AN11333" s="55" t="s">
        <v>186</v>
      </c>
      <c r="AO11333" s="55">
        <v>17</v>
      </c>
      <c r="AP11333" s="55">
        <v>3</v>
      </c>
      <c r="AQ11333" s="55">
        <v>0</v>
      </c>
      <c r="AR11333" s="55">
        <v>28500</v>
      </c>
      <c r="AS11333" s="78">
        <f t="shared" si="181"/>
        <v>0</v>
      </c>
    </row>
    <row r="11334" spans="39:45">
      <c r="AM11334" s="54">
        <v>2020</v>
      </c>
      <c r="AN11334" s="54" t="s">
        <v>186</v>
      </c>
      <c r="AO11334" s="54">
        <v>17</v>
      </c>
      <c r="AP11334" s="54">
        <v>4</v>
      </c>
      <c r="AQ11334" s="54">
        <v>0</v>
      </c>
      <c r="AR11334" s="55">
        <v>28500</v>
      </c>
      <c r="AS11334" s="78">
        <f t="shared" si="181"/>
        <v>0</v>
      </c>
    </row>
    <row r="11335" spans="39:45">
      <c r="AM11335" s="55">
        <v>2020</v>
      </c>
      <c r="AN11335" s="55" t="s">
        <v>186</v>
      </c>
      <c r="AO11335" s="55">
        <v>17</v>
      </c>
      <c r="AP11335" s="55">
        <v>5</v>
      </c>
      <c r="AQ11335" s="55">
        <v>0</v>
      </c>
      <c r="AR11335" s="55">
        <v>28500</v>
      </c>
      <c r="AS11335" s="78">
        <f t="shared" si="181"/>
        <v>0</v>
      </c>
    </row>
    <row r="11336" spans="39:45">
      <c r="AM11336" s="54">
        <v>2020</v>
      </c>
      <c r="AN11336" s="54" t="s">
        <v>186</v>
      </c>
      <c r="AO11336" s="54">
        <v>17</v>
      </c>
      <c r="AP11336" s="54">
        <v>6</v>
      </c>
      <c r="AQ11336" s="54">
        <v>2280</v>
      </c>
      <c r="AR11336" s="55">
        <v>28500</v>
      </c>
      <c r="AS11336" s="78">
        <f t="shared" si="181"/>
        <v>0.08</v>
      </c>
    </row>
    <row r="11337" spans="39:45">
      <c r="AM11337" s="55">
        <v>2020</v>
      </c>
      <c r="AN11337" s="55" t="s">
        <v>186</v>
      </c>
      <c r="AO11337" s="55">
        <v>17</v>
      </c>
      <c r="AP11337" s="55">
        <v>7</v>
      </c>
      <c r="AQ11337" s="55">
        <v>10884</v>
      </c>
      <c r="AR11337" s="55">
        <v>28500</v>
      </c>
      <c r="AS11337" s="78">
        <f t="shared" si="181"/>
        <v>0.38189473684210529</v>
      </c>
    </row>
    <row r="11338" spans="39:45">
      <c r="AM11338" s="54">
        <v>2020</v>
      </c>
      <c r="AN11338" s="54" t="s">
        <v>186</v>
      </c>
      <c r="AO11338" s="54">
        <v>17</v>
      </c>
      <c r="AP11338" s="54">
        <v>8</v>
      </c>
      <c r="AQ11338" s="54">
        <v>13649</v>
      </c>
      <c r="AR11338" s="55">
        <v>28500</v>
      </c>
      <c r="AS11338" s="78">
        <f t="shared" si="181"/>
        <v>0.4789122807017544</v>
      </c>
    </row>
    <row r="11339" spans="39:45">
      <c r="AM11339" s="55">
        <v>2020</v>
      </c>
      <c r="AN11339" s="55" t="s">
        <v>186</v>
      </c>
      <c r="AO11339" s="55">
        <v>17</v>
      </c>
      <c r="AP11339" s="55">
        <v>9</v>
      </c>
      <c r="AQ11339" s="55">
        <v>24686.5</v>
      </c>
      <c r="AR11339" s="55">
        <v>28500</v>
      </c>
      <c r="AS11339" s="78">
        <f t="shared" si="181"/>
        <v>0.8661929824561404</v>
      </c>
    </row>
    <row r="11340" spans="39:45">
      <c r="AM11340" s="54">
        <v>2020</v>
      </c>
      <c r="AN11340" s="54" t="s">
        <v>186</v>
      </c>
      <c r="AO11340" s="54">
        <v>17</v>
      </c>
      <c r="AP11340" s="54">
        <v>10</v>
      </c>
      <c r="AQ11340" s="54">
        <v>17733</v>
      </c>
      <c r="AR11340" s="55">
        <v>28500</v>
      </c>
      <c r="AS11340" s="78">
        <f t="shared" si="181"/>
        <v>0.62221052631578944</v>
      </c>
    </row>
    <row r="11341" spans="39:45">
      <c r="AM11341" s="55">
        <v>2020</v>
      </c>
      <c r="AN11341" s="55" t="s">
        <v>186</v>
      </c>
      <c r="AO11341" s="55">
        <v>17</v>
      </c>
      <c r="AP11341" s="55">
        <v>11</v>
      </c>
      <c r="AQ11341" s="55">
        <v>9552.5</v>
      </c>
      <c r="AR11341" s="55">
        <v>28500</v>
      </c>
      <c r="AS11341" s="78">
        <f t="shared" si="181"/>
        <v>0.33517543859649124</v>
      </c>
    </row>
    <row r="11342" spans="39:45">
      <c r="AM11342" s="54">
        <v>2020</v>
      </c>
      <c r="AN11342" s="54" t="s">
        <v>186</v>
      </c>
      <c r="AO11342" s="54">
        <v>17</v>
      </c>
      <c r="AP11342" s="54">
        <v>12</v>
      </c>
      <c r="AQ11342" s="54">
        <v>19651</v>
      </c>
      <c r="AR11342" s="55">
        <v>28500</v>
      </c>
      <c r="AS11342" s="78">
        <f t="shared" si="181"/>
        <v>0.68950877192982452</v>
      </c>
    </row>
    <row r="11343" spans="39:45">
      <c r="AM11343" s="55">
        <v>2020</v>
      </c>
      <c r="AN11343" s="55" t="s">
        <v>186</v>
      </c>
      <c r="AO11343" s="55">
        <v>17</v>
      </c>
      <c r="AP11343" s="55">
        <v>13</v>
      </c>
      <c r="AQ11343" s="55">
        <v>12550.5</v>
      </c>
      <c r="AR11343" s="55">
        <v>28500</v>
      </c>
      <c r="AS11343" s="78">
        <f t="shared" si="181"/>
        <v>0.44036842105263158</v>
      </c>
    </row>
    <row r="11344" spans="39:45">
      <c r="AM11344" s="54">
        <v>2020</v>
      </c>
      <c r="AN11344" s="54" t="s">
        <v>186</v>
      </c>
      <c r="AO11344" s="54">
        <v>17</v>
      </c>
      <c r="AP11344" s="54">
        <v>14</v>
      </c>
      <c r="AQ11344" s="54">
        <v>4208.5</v>
      </c>
      <c r="AR11344" s="55">
        <v>28500</v>
      </c>
      <c r="AS11344" s="78">
        <f t="shared" si="181"/>
        <v>0.14766666666666667</v>
      </c>
    </row>
    <row r="11345" spans="39:45">
      <c r="AM11345" s="55">
        <v>2020</v>
      </c>
      <c r="AN11345" s="55" t="s">
        <v>186</v>
      </c>
      <c r="AO11345" s="55">
        <v>17</v>
      </c>
      <c r="AP11345" s="55">
        <v>15</v>
      </c>
      <c r="AQ11345" s="55">
        <v>5316</v>
      </c>
      <c r="AR11345" s="55">
        <v>28500</v>
      </c>
      <c r="AS11345" s="78">
        <f t="shared" si="181"/>
        <v>0.18652631578947368</v>
      </c>
    </row>
    <row r="11346" spans="39:45">
      <c r="AM11346" s="54">
        <v>2020</v>
      </c>
      <c r="AN11346" s="54" t="s">
        <v>186</v>
      </c>
      <c r="AO11346" s="54">
        <v>17</v>
      </c>
      <c r="AP11346" s="54">
        <v>16</v>
      </c>
      <c r="AQ11346" s="54">
        <v>3722.5</v>
      </c>
      <c r="AR11346" s="55">
        <v>28500</v>
      </c>
      <c r="AS11346" s="78">
        <f t="shared" si="181"/>
        <v>0.13061403508771929</v>
      </c>
    </row>
    <row r="11347" spans="39:45">
      <c r="AM11347" s="55">
        <v>2020</v>
      </c>
      <c r="AN11347" s="55" t="s">
        <v>186</v>
      </c>
      <c r="AO11347" s="55">
        <v>17</v>
      </c>
      <c r="AP11347" s="55">
        <v>17</v>
      </c>
      <c r="AQ11347" s="55">
        <v>5569</v>
      </c>
      <c r="AR11347" s="55">
        <v>28500</v>
      </c>
      <c r="AS11347" s="78">
        <f t="shared" si="181"/>
        <v>0.19540350877192983</v>
      </c>
    </row>
    <row r="11348" spans="39:45">
      <c r="AM11348" s="54">
        <v>2020</v>
      </c>
      <c r="AN11348" s="54" t="s">
        <v>186</v>
      </c>
      <c r="AO11348" s="54">
        <v>17</v>
      </c>
      <c r="AP11348" s="54">
        <v>18</v>
      </c>
      <c r="AQ11348" s="54">
        <v>571</v>
      </c>
      <c r="AR11348" s="55">
        <v>28500</v>
      </c>
      <c r="AS11348" s="78">
        <f t="shared" si="181"/>
        <v>2.0035087719298246E-2</v>
      </c>
    </row>
    <row r="11349" spans="39:45">
      <c r="AM11349" s="55">
        <v>2020</v>
      </c>
      <c r="AN11349" s="55" t="s">
        <v>186</v>
      </c>
      <c r="AO11349" s="55">
        <v>17</v>
      </c>
      <c r="AP11349" s="55">
        <v>19</v>
      </c>
      <c r="AQ11349" s="55">
        <v>0</v>
      </c>
      <c r="AR11349" s="55">
        <v>28500</v>
      </c>
      <c r="AS11349" s="78">
        <f t="shared" si="181"/>
        <v>0</v>
      </c>
    </row>
    <row r="11350" spans="39:45">
      <c r="AM11350" s="54">
        <v>2020</v>
      </c>
      <c r="AN11350" s="54" t="s">
        <v>186</v>
      </c>
      <c r="AO11350" s="54">
        <v>17</v>
      </c>
      <c r="AP11350" s="54">
        <v>20</v>
      </c>
      <c r="AQ11350" s="54">
        <v>0</v>
      </c>
      <c r="AR11350" s="55">
        <v>28500</v>
      </c>
      <c r="AS11350" s="78">
        <f t="shared" si="181"/>
        <v>0</v>
      </c>
    </row>
    <row r="11351" spans="39:45">
      <c r="AM11351" s="55">
        <v>2020</v>
      </c>
      <c r="AN11351" s="55" t="s">
        <v>186</v>
      </c>
      <c r="AO11351" s="55">
        <v>17</v>
      </c>
      <c r="AP11351" s="55">
        <v>21</v>
      </c>
      <c r="AQ11351" s="55">
        <v>0</v>
      </c>
      <c r="AR11351" s="55">
        <v>28500</v>
      </c>
      <c r="AS11351" s="78">
        <f t="shared" si="181"/>
        <v>0</v>
      </c>
    </row>
    <row r="11352" spans="39:45">
      <c r="AM11352" s="54">
        <v>2020</v>
      </c>
      <c r="AN11352" s="54" t="s">
        <v>186</v>
      </c>
      <c r="AO11352" s="54">
        <v>17</v>
      </c>
      <c r="AP11352" s="54">
        <v>22</v>
      </c>
      <c r="AQ11352" s="54">
        <v>0</v>
      </c>
      <c r="AR11352" s="55">
        <v>28500</v>
      </c>
      <c r="AS11352" s="78">
        <f t="shared" si="181"/>
        <v>0</v>
      </c>
    </row>
    <row r="11353" spans="39:45">
      <c r="AM11353" s="55">
        <v>2020</v>
      </c>
      <c r="AN11353" s="55" t="s">
        <v>186</v>
      </c>
      <c r="AO11353" s="55">
        <v>17</v>
      </c>
      <c r="AP11353" s="55">
        <v>23</v>
      </c>
      <c r="AQ11353" s="55">
        <v>0</v>
      </c>
      <c r="AR11353" s="55">
        <v>28500</v>
      </c>
      <c r="AS11353" s="78">
        <f t="shared" si="181"/>
        <v>0</v>
      </c>
    </row>
    <row r="11354" spans="39:45">
      <c r="AM11354" s="54">
        <v>2020</v>
      </c>
      <c r="AN11354" s="54" t="s">
        <v>186</v>
      </c>
      <c r="AO11354" s="54">
        <v>18</v>
      </c>
      <c r="AP11354" s="54">
        <v>24</v>
      </c>
      <c r="AQ11354" s="54">
        <v>0</v>
      </c>
      <c r="AR11354" s="55">
        <v>28500</v>
      </c>
      <c r="AS11354" s="78">
        <f t="shared" si="181"/>
        <v>0</v>
      </c>
    </row>
    <row r="11355" spans="39:45">
      <c r="AM11355" s="55">
        <v>2020</v>
      </c>
      <c r="AN11355" s="55" t="s">
        <v>186</v>
      </c>
      <c r="AO11355" s="55">
        <v>18</v>
      </c>
      <c r="AP11355" s="55">
        <v>1</v>
      </c>
      <c r="AQ11355" s="55">
        <v>0</v>
      </c>
      <c r="AR11355" s="55">
        <v>28500</v>
      </c>
      <c r="AS11355" s="78">
        <f t="shared" si="181"/>
        <v>0</v>
      </c>
    </row>
    <row r="11356" spans="39:45">
      <c r="AM11356" s="54">
        <v>2020</v>
      </c>
      <c r="AN11356" s="54" t="s">
        <v>186</v>
      </c>
      <c r="AO11356" s="54">
        <v>18</v>
      </c>
      <c r="AP11356" s="54">
        <v>2</v>
      </c>
      <c r="AQ11356" s="54">
        <v>0</v>
      </c>
      <c r="AR11356" s="55">
        <v>28500</v>
      </c>
      <c r="AS11356" s="78">
        <f t="shared" si="181"/>
        <v>0</v>
      </c>
    </row>
    <row r="11357" spans="39:45">
      <c r="AM11357" s="55">
        <v>2020</v>
      </c>
      <c r="AN11357" s="55" t="s">
        <v>186</v>
      </c>
      <c r="AO11357" s="55">
        <v>18</v>
      </c>
      <c r="AP11357" s="55">
        <v>3</v>
      </c>
      <c r="AQ11357" s="55">
        <v>0</v>
      </c>
      <c r="AR11357" s="55">
        <v>28500</v>
      </c>
      <c r="AS11357" s="78">
        <f t="shared" si="181"/>
        <v>0</v>
      </c>
    </row>
    <row r="11358" spans="39:45">
      <c r="AM11358" s="54">
        <v>2020</v>
      </c>
      <c r="AN11358" s="54" t="s">
        <v>186</v>
      </c>
      <c r="AO11358" s="54">
        <v>18</v>
      </c>
      <c r="AP11358" s="54">
        <v>4</v>
      </c>
      <c r="AQ11358" s="54">
        <v>0</v>
      </c>
      <c r="AR11358" s="55">
        <v>28500</v>
      </c>
      <c r="AS11358" s="78">
        <f t="shared" si="181"/>
        <v>0</v>
      </c>
    </row>
    <row r="11359" spans="39:45">
      <c r="AM11359" s="55">
        <v>2020</v>
      </c>
      <c r="AN11359" s="55" t="s">
        <v>186</v>
      </c>
      <c r="AO11359" s="55">
        <v>18</v>
      </c>
      <c r="AP11359" s="55">
        <v>5</v>
      </c>
      <c r="AQ11359" s="55">
        <v>0</v>
      </c>
      <c r="AR11359" s="55">
        <v>28500</v>
      </c>
      <c r="AS11359" s="78">
        <f t="shared" si="181"/>
        <v>0</v>
      </c>
    </row>
    <row r="11360" spans="39:45">
      <c r="AM11360" s="54">
        <v>2020</v>
      </c>
      <c r="AN11360" s="54" t="s">
        <v>186</v>
      </c>
      <c r="AO11360" s="54">
        <v>18</v>
      </c>
      <c r="AP11360" s="54">
        <v>6</v>
      </c>
      <c r="AQ11360" s="54">
        <v>2102</v>
      </c>
      <c r="AR11360" s="55">
        <v>28500</v>
      </c>
      <c r="AS11360" s="78">
        <f t="shared" si="181"/>
        <v>7.3754385964912281E-2</v>
      </c>
    </row>
    <row r="11361" spans="39:45">
      <c r="AM11361" s="55">
        <v>2020</v>
      </c>
      <c r="AN11361" s="55" t="s">
        <v>186</v>
      </c>
      <c r="AO11361" s="55">
        <v>18</v>
      </c>
      <c r="AP11361" s="55">
        <v>7</v>
      </c>
      <c r="AQ11361" s="55">
        <v>9304.5</v>
      </c>
      <c r="AR11361" s="55">
        <v>28500</v>
      </c>
      <c r="AS11361" s="78">
        <f t="shared" si="181"/>
        <v>0.3264736842105263</v>
      </c>
    </row>
    <row r="11362" spans="39:45">
      <c r="AM11362" s="54">
        <v>2020</v>
      </c>
      <c r="AN11362" s="54" t="s">
        <v>186</v>
      </c>
      <c r="AO11362" s="54">
        <v>18</v>
      </c>
      <c r="AP11362" s="54">
        <v>8</v>
      </c>
      <c r="AQ11362" s="54">
        <v>7355.5</v>
      </c>
      <c r="AR11362" s="55">
        <v>28500</v>
      </c>
      <c r="AS11362" s="78">
        <f t="shared" si="181"/>
        <v>0.25808771929824559</v>
      </c>
    </row>
    <row r="11363" spans="39:45">
      <c r="AM11363" s="55">
        <v>2020</v>
      </c>
      <c r="AN11363" s="55" t="s">
        <v>186</v>
      </c>
      <c r="AO11363" s="55">
        <v>18</v>
      </c>
      <c r="AP11363" s="55">
        <v>9</v>
      </c>
      <c r="AQ11363" s="55">
        <v>6145.5</v>
      </c>
      <c r="AR11363" s="55">
        <v>28500</v>
      </c>
      <c r="AS11363" s="78">
        <f t="shared" si="181"/>
        <v>0.21563157894736842</v>
      </c>
    </row>
    <row r="11364" spans="39:45">
      <c r="AM11364" s="54">
        <v>2020</v>
      </c>
      <c r="AN11364" s="54" t="s">
        <v>186</v>
      </c>
      <c r="AO11364" s="54">
        <v>18</v>
      </c>
      <c r="AP11364" s="54">
        <v>10</v>
      </c>
      <c r="AQ11364" s="54">
        <v>4737.5</v>
      </c>
      <c r="AR11364" s="55">
        <v>28500</v>
      </c>
      <c r="AS11364" s="78">
        <f t="shared" si="181"/>
        <v>0.16622807017543859</v>
      </c>
    </row>
    <row r="11365" spans="39:45">
      <c r="AM11365" s="55">
        <v>2020</v>
      </c>
      <c r="AN11365" s="55" t="s">
        <v>186</v>
      </c>
      <c r="AO11365" s="55">
        <v>18</v>
      </c>
      <c r="AP11365" s="55">
        <v>11</v>
      </c>
      <c r="AQ11365" s="55">
        <v>6445.5</v>
      </c>
      <c r="AR11365" s="55">
        <v>28500</v>
      </c>
      <c r="AS11365" s="78">
        <f t="shared" si="181"/>
        <v>0.22615789473684211</v>
      </c>
    </row>
    <row r="11366" spans="39:45">
      <c r="AM11366" s="54">
        <v>2020</v>
      </c>
      <c r="AN11366" s="54" t="s">
        <v>186</v>
      </c>
      <c r="AO11366" s="54">
        <v>18</v>
      </c>
      <c r="AP11366" s="54">
        <v>12</v>
      </c>
      <c r="AQ11366" s="54">
        <v>14840.5</v>
      </c>
      <c r="AR11366" s="55">
        <v>28500</v>
      </c>
      <c r="AS11366" s="78">
        <f t="shared" si="181"/>
        <v>0.52071929824561403</v>
      </c>
    </row>
    <row r="11367" spans="39:45">
      <c r="AM11367" s="55">
        <v>2020</v>
      </c>
      <c r="AN11367" s="55" t="s">
        <v>186</v>
      </c>
      <c r="AO11367" s="55">
        <v>18</v>
      </c>
      <c r="AP11367" s="55">
        <v>13</v>
      </c>
      <c r="AQ11367" s="55">
        <v>11939.5</v>
      </c>
      <c r="AR11367" s="55">
        <v>28500</v>
      </c>
      <c r="AS11367" s="78">
        <f t="shared" si="181"/>
        <v>0.41892982456140349</v>
      </c>
    </row>
    <row r="11368" spans="39:45">
      <c r="AM11368" s="54">
        <v>2020</v>
      </c>
      <c r="AN11368" s="54" t="s">
        <v>186</v>
      </c>
      <c r="AO11368" s="54">
        <v>18</v>
      </c>
      <c r="AP11368" s="54">
        <v>14</v>
      </c>
      <c r="AQ11368" s="54">
        <v>7955.5</v>
      </c>
      <c r="AR11368" s="55">
        <v>28500</v>
      </c>
      <c r="AS11368" s="78">
        <f t="shared" si="181"/>
        <v>0.27914035087719297</v>
      </c>
    </row>
    <row r="11369" spans="39:45">
      <c r="AM11369" s="55">
        <v>2020</v>
      </c>
      <c r="AN11369" s="55" t="s">
        <v>186</v>
      </c>
      <c r="AO11369" s="55">
        <v>18</v>
      </c>
      <c r="AP11369" s="55">
        <v>15</v>
      </c>
      <c r="AQ11369" s="55">
        <v>6605</v>
      </c>
      <c r="AR11369" s="55">
        <v>28500</v>
      </c>
      <c r="AS11369" s="78">
        <f t="shared" si="181"/>
        <v>0.23175438596491227</v>
      </c>
    </row>
    <row r="11370" spans="39:45">
      <c r="AM11370" s="54">
        <v>2020</v>
      </c>
      <c r="AN11370" s="54" t="s">
        <v>186</v>
      </c>
      <c r="AO11370" s="54">
        <v>18</v>
      </c>
      <c r="AP11370" s="54">
        <v>16</v>
      </c>
      <c r="AQ11370" s="54">
        <v>7142.5</v>
      </c>
      <c r="AR11370" s="55">
        <v>28500</v>
      </c>
      <c r="AS11370" s="78">
        <f t="shared" si="181"/>
        <v>0.25061403508771929</v>
      </c>
    </row>
    <row r="11371" spans="39:45">
      <c r="AM11371" s="55">
        <v>2020</v>
      </c>
      <c r="AN11371" s="55" t="s">
        <v>186</v>
      </c>
      <c r="AO11371" s="55">
        <v>18</v>
      </c>
      <c r="AP11371" s="55">
        <v>17</v>
      </c>
      <c r="AQ11371" s="55">
        <v>4024.5</v>
      </c>
      <c r="AR11371" s="55">
        <v>28500</v>
      </c>
      <c r="AS11371" s="78">
        <f t="shared" si="181"/>
        <v>0.14121052631578948</v>
      </c>
    </row>
    <row r="11372" spans="39:45">
      <c r="AM11372" s="54">
        <v>2020</v>
      </c>
      <c r="AN11372" s="54" t="s">
        <v>186</v>
      </c>
      <c r="AO11372" s="54">
        <v>18</v>
      </c>
      <c r="AP11372" s="54">
        <v>18</v>
      </c>
      <c r="AQ11372" s="54">
        <v>828.5</v>
      </c>
      <c r="AR11372" s="55">
        <v>28500</v>
      </c>
      <c r="AS11372" s="78">
        <f t="shared" si="181"/>
        <v>2.9070175438596493E-2</v>
      </c>
    </row>
    <row r="11373" spans="39:45">
      <c r="AM11373" s="55">
        <v>2020</v>
      </c>
      <c r="AN11373" s="55" t="s">
        <v>186</v>
      </c>
      <c r="AO11373" s="55">
        <v>18</v>
      </c>
      <c r="AP11373" s="55">
        <v>19</v>
      </c>
      <c r="AQ11373" s="55">
        <v>0</v>
      </c>
      <c r="AR11373" s="55">
        <v>28500</v>
      </c>
      <c r="AS11373" s="78">
        <f t="shared" si="181"/>
        <v>0</v>
      </c>
    </row>
    <row r="11374" spans="39:45">
      <c r="AM11374" s="54">
        <v>2020</v>
      </c>
      <c r="AN11374" s="54" t="s">
        <v>186</v>
      </c>
      <c r="AO11374" s="54">
        <v>18</v>
      </c>
      <c r="AP11374" s="54">
        <v>20</v>
      </c>
      <c r="AQ11374" s="54">
        <v>0</v>
      </c>
      <c r="AR11374" s="55">
        <v>28500</v>
      </c>
      <c r="AS11374" s="78">
        <f t="shared" si="181"/>
        <v>0</v>
      </c>
    </row>
    <row r="11375" spans="39:45">
      <c r="AM11375" s="55">
        <v>2020</v>
      </c>
      <c r="AN11375" s="55" t="s">
        <v>186</v>
      </c>
      <c r="AO11375" s="55">
        <v>18</v>
      </c>
      <c r="AP11375" s="55">
        <v>21</v>
      </c>
      <c r="AQ11375" s="55">
        <v>0</v>
      </c>
      <c r="AR11375" s="55">
        <v>28500</v>
      </c>
      <c r="AS11375" s="78">
        <f t="shared" si="181"/>
        <v>0</v>
      </c>
    </row>
    <row r="11376" spans="39:45">
      <c r="AM11376" s="54">
        <v>2020</v>
      </c>
      <c r="AN11376" s="54" t="s">
        <v>186</v>
      </c>
      <c r="AO11376" s="54">
        <v>18</v>
      </c>
      <c r="AP11376" s="54">
        <v>22</v>
      </c>
      <c r="AQ11376" s="54">
        <v>0</v>
      </c>
      <c r="AR11376" s="55">
        <v>28500</v>
      </c>
      <c r="AS11376" s="78">
        <f t="shared" si="181"/>
        <v>0</v>
      </c>
    </row>
    <row r="11377" spans="39:45">
      <c r="AM11377" s="55">
        <v>2020</v>
      </c>
      <c r="AN11377" s="55" t="s">
        <v>186</v>
      </c>
      <c r="AO11377" s="55">
        <v>18</v>
      </c>
      <c r="AP11377" s="55">
        <v>23</v>
      </c>
      <c r="AQ11377" s="55">
        <v>0</v>
      </c>
      <c r="AR11377" s="55">
        <v>28500</v>
      </c>
      <c r="AS11377" s="78">
        <f t="shared" si="181"/>
        <v>0</v>
      </c>
    </row>
    <row r="11378" spans="39:45">
      <c r="AM11378" s="54">
        <v>2020</v>
      </c>
      <c r="AN11378" s="54" t="s">
        <v>186</v>
      </c>
      <c r="AO11378" s="54">
        <v>19</v>
      </c>
      <c r="AP11378" s="54">
        <v>24</v>
      </c>
      <c r="AQ11378" s="54">
        <v>0</v>
      </c>
      <c r="AR11378" s="55">
        <v>28500</v>
      </c>
      <c r="AS11378" s="78">
        <f t="shared" si="181"/>
        <v>0</v>
      </c>
    </row>
    <row r="11379" spans="39:45">
      <c r="AM11379" s="55">
        <v>2020</v>
      </c>
      <c r="AN11379" s="55" t="s">
        <v>186</v>
      </c>
      <c r="AO11379" s="55">
        <v>19</v>
      </c>
      <c r="AP11379" s="55">
        <v>1</v>
      </c>
      <c r="AQ11379" s="55">
        <v>0</v>
      </c>
      <c r="AR11379" s="55">
        <v>28500</v>
      </c>
      <c r="AS11379" s="78">
        <f t="shared" si="181"/>
        <v>0</v>
      </c>
    </row>
    <row r="11380" spans="39:45">
      <c r="AM11380" s="54">
        <v>2020</v>
      </c>
      <c r="AN11380" s="54" t="s">
        <v>186</v>
      </c>
      <c r="AO11380" s="54">
        <v>19</v>
      </c>
      <c r="AP11380" s="54">
        <v>2</v>
      </c>
      <c r="AQ11380" s="54">
        <v>0</v>
      </c>
      <c r="AR11380" s="55">
        <v>28500</v>
      </c>
      <c r="AS11380" s="78">
        <f t="shared" si="181"/>
        <v>0</v>
      </c>
    </row>
    <row r="11381" spans="39:45">
      <c r="AM11381" s="55">
        <v>2020</v>
      </c>
      <c r="AN11381" s="55" t="s">
        <v>186</v>
      </c>
      <c r="AO11381" s="55">
        <v>19</v>
      </c>
      <c r="AP11381" s="55">
        <v>3</v>
      </c>
      <c r="AQ11381" s="55">
        <v>0</v>
      </c>
      <c r="AR11381" s="55">
        <v>28500</v>
      </c>
      <c r="AS11381" s="78">
        <f t="shared" si="181"/>
        <v>0</v>
      </c>
    </row>
    <row r="11382" spans="39:45">
      <c r="AM11382" s="54">
        <v>2020</v>
      </c>
      <c r="AN11382" s="54" t="s">
        <v>186</v>
      </c>
      <c r="AO11382" s="54">
        <v>19</v>
      </c>
      <c r="AP11382" s="54">
        <v>4</v>
      </c>
      <c r="AQ11382" s="54">
        <v>0</v>
      </c>
      <c r="AR11382" s="55">
        <v>28500</v>
      </c>
      <c r="AS11382" s="78">
        <f t="shared" si="181"/>
        <v>0</v>
      </c>
    </row>
    <row r="11383" spans="39:45">
      <c r="AM11383" s="55">
        <v>2020</v>
      </c>
      <c r="AN11383" s="55" t="s">
        <v>186</v>
      </c>
      <c r="AO11383" s="55">
        <v>19</v>
      </c>
      <c r="AP11383" s="55">
        <v>5</v>
      </c>
      <c r="AQ11383" s="55">
        <v>0</v>
      </c>
      <c r="AR11383" s="55">
        <v>28500</v>
      </c>
      <c r="AS11383" s="78">
        <f t="shared" si="181"/>
        <v>0</v>
      </c>
    </row>
    <row r="11384" spans="39:45">
      <c r="AM11384" s="54">
        <v>2020</v>
      </c>
      <c r="AN11384" s="54" t="s">
        <v>186</v>
      </c>
      <c r="AO11384" s="54">
        <v>19</v>
      </c>
      <c r="AP11384" s="54">
        <v>6</v>
      </c>
      <c r="AQ11384" s="54">
        <v>2462</v>
      </c>
      <c r="AR11384" s="55">
        <v>28500</v>
      </c>
      <c r="AS11384" s="78">
        <f t="shared" si="181"/>
        <v>8.6385964912280705E-2</v>
      </c>
    </row>
    <row r="11385" spans="39:45">
      <c r="AM11385" s="55">
        <v>2020</v>
      </c>
      <c r="AN11385" s="55" t="s">
        <v>186</v>
      </c>
      <c r="AO11385" s="55">
        <v>19</v>
      </c>
      <c r="AP11385" s="55">
        <v>7</v>
      </c>
      <c r="AQ11385" s="55">
        <v>12457.5</v>
      </c>
      <c r="AR11385" s="55">
        <v>28500</v>
      </c>
      <c r="AS11385" s="78">
        <f t="shared" si="181"/>
        <v>0.43710526315789472</v>
      </c>
    </row>
    <row r="11386" spans="39:45">
      <c r="AM11386" s="54">
        <v>2020</v>
      </c>
      <c r="AN11386" s="54" t="s">
        <v>186</v>
      </c>
      <c r="AO11386" s="54">
        <v>19</v>
      </c>
      <c r="AP11386" s="54">
        <v>8</v>
      </c>
      <c r="AQ11386" s="54">
        <v>24034.5</v>
      </c>
      <c r="AR11386" s="55">
        <v>28500</v>
      </c>
      <c r="AS11386" s="78">
        <f t="shared" si="181"/>
        <v>0.84331578947368424</v>
      </c>
    </row>
    <row r="11387" spans="39:45">
      <c r="AM11387" s="55">
        <v>2020</v>
      </c>
      <c r="AN11387" s="55" t="s">
        <v>186</v>
      </c>
      <c r="AO11387" s="55">
        <v>19</v>
      </c>
      <c r="AP11387" s="55">
        <v>9</v>
      </c>
      <c r="AQ11387" s="55">
        <v>32998.5</v>
      </c>
      <c r="AR11387" s="55">
        <v>28500</v>
      </c>
      <c r="AS11387" s="78">
        <f t="shared" si="181"/>
        <v>1.1578421052631578</v>
      </c>
    </row>
    <row r="11388" spans="39:45">
      <c r="AM11388" s="54">
        <v>2020</v>
      </c>
      <c r="AN11388" s="54" t="s">
        <v>186</v>
      </c>
      <c r="AO11388" s="54">
        <v>19</v>
      </c>
      <c r="AP11388" s="54">
        <v>10</v>
      </c>
      <c r="AQ11388" s="54">
        <v>39324.5</v>
      </c>
      <c r="AR11388" s="55">
        <v>28500</v>
      </c>
      <c r="AS11388" s="78">
        <f t="shared" si="181"/>
        <v>1.3798070175438597</v>
      </c>
    </row>
    <row r="11389" spans="39:45">
      <c r="AM11389" s="55">
        <v>2020</v>
      </c>
      <c r="AN11389" s="55" t="s">
        <v>186</v>
      </c>
      <c r="AO11389" s="55">
        <v>19</v>
      </c>
      <c r="AP11389" s="55">
        <v>11</v>
      </c>
      <c r="AQ11389" s="55">
        <v>43581</v>
      </c>
      <c r="AR11389" s="55">
        <v>28500</v>
      </c>
      <c r="AS11389" s="78">
        <f t="shared" si="181"/>
        <v>1.529157894736842</v>
      </c>
    </row>
    <row r="11390" spans="39:45">
      <c r="AM11390" s="54">
        <v>2020</v>
      </c>
      <c r="AN11390" s="54" t="s">
        <v>186</v>
      </c>
      <c r="AO11390" s="54">
        <v>19</v>
      </c>
      <c r="AP11390" s="54">
        <v>12</v>
      </c>
      <c r="AQ11390" s="54">
        <v>44102.5</v>
      </c>
      <c r="AR11390" s="55">
        <v>28500</v>
      </c>
      <c r="AS11390" s="78">
        <f t="shared" si="181"/>
        <v>1.5474561403508771</v>
      </c>
    </row>
    <row r="11391" spans="39:45">
      <c r="AM11391" s="55">
        <v>2020</v>
      </c>
      <c r="AN11391" s="55" t="s">
        <v>186</v>
      </c>
      <c r="AO11391" s="55">
        <v>19</v>
      </c>
      <c r="AP11391" s="55">
        <v>13</v>
      </c>
      <c r="AQ11391" s="55">
        <v>41770.5</v>
      </c>
      <c r="AR11391" s="55">
        <v>28500</v>
      </c>
      <c r="AS11391" s="78">
        <f t="shared" si="181"/>
        <v>1.4656315789473684</v>
      </c>
    </row>
    <row r="11392" spans="39:45">
      <c r="AM11392" s="54">
        <v>2020</v>
      </c>
      <c r="AN11392" s="54" t="s">
        <v>186</v>
      </c>
      <c r="AO11392" s="54">
        <v>19</v>
      </c>
      <c r="AP11392" s="54">
        <v>14</v>
      </c>
      <c r="AQ11392" s="54">
        <v>36658.5</v>
      </c>
      <c r="AR11392" s="55">
        <v>28500</v>
      </c>
      <c r="AS11392" s="78">
        <f t="shared" si="181"/>
        <v>1.2862631578947368</v>
      </c>
    </row>
    <row r="11393" spans="39:45">
      <c r="AM11393" s="55">
        <v>2020</v>
      </c>
      <c r="AN11393" s="55" t="s">
        <v>186</v>
      </c>
      <c r="AO11393" s="55">
        <v>19</v>
      </c>
      <c r="AP11393" s="55">
        <v>15</v>
      </c>
      <c r="AQ11393" s="55">
        <v>29069.5</v>
      </c>
      <c r="AR11393" s="55">
        <v>28500</v>
      </c>
      <c r="AS11393" s="78">
        <f t="shared" si="181"/>
        <v>1.0199824561403508</v>
      </c>
    </row>
    <row r="11394" spans="39:45">
      <c r="AM11394" s="54">
        <v>2020</v>
      </c>
      <c r="AN11394" s="54" t="s">
        <v>186</v>
      </c>
      <c r="AO11394" s="54">
        <v>19</v>
      </c>
      <c r="AP11394" s="54">
        <v>16</v>
      </c>
      <c r="AQ11394" s="54">
        <v>19129.5</v>
      </c>
      <c r="AR11394" s="55">
        <v>28500</v>
      </c>
      <c r="AS11394" s="78">
        <f t="shared" ref="AS11394:AS11457" si="182">AQ11394/AR11394</f>
        <v>0.67121052631578948</v>
      </c>
    </row>
    <row r="11395" spans="39:45">
      <c r="AM11395" s="55">
        <v>2020</v>
      </c>
      <c r="AN11395" s="55" t="s">
        <v>186</v>
      </c>
      <c r="AO11395" s="55">
        <v>19</v>
      </c>
      <c r="AP11395" s="55">
        <v>17</v>
      </c>
      <c r="AQ11395" s="55">
        <v>7669</v>
      </c>
      <c r="AR11395" s="55">
        <v>28500</v>
      </c>
      <c r="AS11395" s="78">
        <f t="shared" si="182"/>
        <v>0.2690877192982456</v>
      </c>
    </row>
    <row r="11396" spans="39:45">
      <c r="AM11396" s="54">
        <v>2020</v>
      </c>
      <c r="AN11396" s="54" t="s">
        <v>186</v>
      </c>
      <c r="AO11396" s="54">
        <v>19</v>
      </c>
      <c r="AP11396" s="54">
        <v>18</v>
      </c>
      <c r="AQ11396" s="54">
        <v>802.5</v>
      </c>
      <c r="AR11396" s="55">
        <v>28500</v>
      </c>
      <c r="AS11396" s="78">
        <f t="shared" si="182"/>
        <v>2.8157894736842104E-2</v>
      </c>
    </row>
    <row r="11397" spans="39:45">
      <c r="AM11397" s="55">
        <v>2020</v>
      </c>
      <c r="AN11397" s="55" t="s">
        <v>186</v>
      </c>
      <c r="AO11397" s="55">
        <v>19</v>
      </c>
      <c r="AP11397" s="55">
        <v>19</v>
      </c>
      <c r="AQ11397" s="55">
        <v>0</v>
      </c>
      <c r="AR11397" s="55">
        <v>28500</v>
      </c>
      <c r="AS11397" s="78">
        <f t="shared" si="182"/>
        <v>0</v>
      </c>
    </row>
    <row r="11398" spans="39:45">
      <c r="AM11398" s="54">
        <v>2020</v>
      </c>
      <c r="AN11398" s="54" t="s">
        <v>186</v>
      </c>
      <c r="AO11398" s="54">
        <v>19</v>
      </c>
      <c r="AP11398" s="54">
        <v>20</v>
      </c>
      <c r="AQ11398" s="54">
        <v>0</v>
      </c>
      <c r="AR11398" s="55">
        <v>28500</v>
      </c>
      <c r="AS11398" s="78">
        <f t="shared" si="182"/>
        <v>0</v>
      </c>
    </row>
    <row r="11399" spans="39:45">
      <c r="AM11399" s="55">
        <v>2020</v>
      </c>
      <c r="AN11399" s="55" t="s">
        <v>186</v>
      </c>
      <c r="AO11399" s="55">
        <v>19</v>
      </c>
      <c r="AP11399" s="55">
        <v>21</v>
      </c>
      <c r="AQ11399" s="55">
        <v>0</v>
      </c>
      <c r="AR11399" s="55">
        <v>28500</v>
      </c>
      <c r="AS11399" s="78">
        <f t="shared" si="182"/>
        <v>0</v>
      </c>
    </row>
    <row r="11400" spans="39:45">
      <c r="AM11400" s="54">
        <v>2020</v>
      </c>
      <c r="AN11400" s="54" t="s">
        <v>186</v>
      </c>
      <c r="AO11400" s="54">
        <v>19</v>
      </c>
      <c r="AP11400" s="54">
        <v>22</v>
      </c>
      <c r="AQ11400" s="54">
        <v>0</v>
      </c>
      <c r="AR11400" s="55">
        <v>28500</v>
      </c>
      <c r="AS11400" s="78">
        <f t="shared" si="182"/>
        <v>0</v>
      </c>
    </row>
    <row r="11401" spans="39:45">
      <c r="AM11401" s="55">
        <v>2020</v>
      </c>
      <c r="AN11401" s="55" t="s">
        <v>186</v>
      </c>
      <c r="AO11401" s="55">
        <v>19</v>
      </c>
      <c r="AP11401" s="55">
        <v>23</v>
      </c>
      <c r="AQ11401" s="55">
        <v>0</v>
      </c>
      <c r="AR11401" s="55">
        <v>28500</v>
      </c>
      <c r="AS11401" s="78">
        <f t="shared" si="182"/>
        <v>0</v>
      </c>
    </row>
    <row r="11402" spans="39:45">
      <c r="AM11402" s="54">
        <v>2020</v>
      </c>
      <c r="AN11402" s="54" t="s">
        <v>186</v>
      </c>
      <c r="AO11402" s="54">
        <v>20</v>
      </c>
      <c r="AP11402" s="54">
        <v>24</v>
      </c>
      <c r="AQ11402" s="54">
        <v>0</v>
      </c>
      <c r="AR11402" s="55">
        <v>28500</v>
      </c>
      <c r="AS11402" s="78">
        <f t="shared" si="182"/>
        <v>0</v>
      </c>
    </row>
    <row r="11403" spans="39:45">
      <c r="AM11403" s="55">
        <v>2020</v>
      </c>
      <c r="AN11403" s="55" t="s">
        <v>186</v>
      </c>
      <c r="AO11403" s="55">
        <v>20</v>
      </c>
      <c r="AP11403" s="55">
        <v>1</v>
      </c>
      <c r="AQ11403" s="55">
        <v>0</v>
      </c>
      <c r="AR11403" s="55">
        <v>28500</v>
      </c>
      <c r="AS11403" s="78">
        <f t="shared" si="182"/>
        <v>0</v>
      </c>
    </row>
    <row r="11404" spans="39:45">
      <c r="AM11404" s="54">
        <v>2020</v>
      </c>
      <c r="AN11404" s="54" t="s">
        <v>186</v>
      </c>
      <c r="AO11404" s="54">
        <v>20</v>
      </c>
      <c r="AP11404" s="54">
        <v>2</v>
      </c>
      <c r="AQ11404" s="54">
        <v>0</v>
      </c>
      <c r="AR11404" s="55">
        <v>28500</v>
      </c>
      <c r="AS11404" s="78">
        <f t="shared" si="182"/>
        <v>0</v>
      </c>
    </row>
    <row r="11405" spans="39:45">
      <c r="AM11405" s="55">
        <v>2020</v>
      </c>
      <c r="AN11405" s="55" t="s">
        <v>186</v>
      </c>
      <c r="AO11405" s="55">
        <v>20</v>
      </c>
      <c r="AP11405" s="55">
        <v>3</v>
      </c>
      <c r="AQ11405" s="55">
        <v>0</v>
      </c>
      <c r="AR11405" s="55">
        <v>28500</v>
      </c>
      <c r="AS11405" s="78">
        <f t="shared" si="182"/>
        <v>0</v>
      </c>
    </row>
    <row r="11406" spans="39:45">
      <c r="AM11406" s="54">
        <v>2020</v>
      </c>
      <c r="AN11406" s="54" t="s">
        <v>186</v>
      </c>
      <c r="AO11406" s="54">
        <v>20</v>
      </c>
      <c r="AP11406" s="54">
        <v>4</v>
      </c>
      <c r="AQ11406" s="54">
        <v>0</v>
      </c>
      <c r="AR11406" s="55">
        <v>28500</v>
      </c>
      <c r="AS11406" s="78">
        <f t="shared" si="182"/>
        <v>0</v>
      </c>
    </row>
    <row r="11407" spans="39:45">
      <c r="AM11407" s="55">
        <v>2020</v>
      </c>
      <c r="AN11407" s="55" t="s">
        <v>186</v>
      </c>
      <c r="AO11407" s="55">
        <v>20</v>
      </c>
      <c r="AP11407" s="55">
        <v>5</v>
      </c>
      <c r="AQ11407" s="55">
        <v>0</v>
      </c>
      <c r="AR11407" s="55">
        <v>28500</v>
      </c>
      <c r="AS11407" s="78">
        <f t="shared" si="182"/>
        <v>0</v>
      </c>
    </row>
    <row r="11408" spans="39:45">
      <c r="AM11408" s="54">
        <v>2020</v>
      </c>
      <c r="AN11408" s="54" t="s">
        <v>186</v>
      </c>
      <c r="AO11408" s="54">
        <v>20</v>
      </c>
      <c r="AP11408" s="54">
        <v>6</v>
      </c>
      <c r="AQ11408" s="54">
        <v>2319.5</v>
      </c>
      <c r="AR11408" s="55">
        <v>28500</v>
      </c>
      <c r="AS11408" s="78">
        <f t="shared" si="182"/>
        <v>8.1385964912280701E-2</v>
      </c>
    </row>
    <row r="11409" spans="39:45">
      <c r="AM11409" s="55">
        <v>2020</v>
      </c>
      <c r="AN11409" s="55" t="s">
        <v>186</v>
      </c>
      <c r="AO11409" s="55">
        <v>20</v>
      </c>
      <c r="AP11409" s="55">
        <v>7</v>
      </c>
      <c r="AQ11409" s="55">
        <v>13001.5</v>
      </c>
      <c r="AR11409" s="55">
        <v>28500</v>
      </c>
      <c r="AS11409" s="78">
        <f t="shared" si="182"/>
        <v>0.45619298245614037</v>
      </c>
    </row>
    <row r="11410" spans="39:45">
      <c r="AM11410" s="54">
        <v>2020</v>
      </c>
      <c r="AN11410" s="54" t="s">
        <v>186</v>
      </c>
      <c r="AO11410" s="54">
        <v>20</v>
      </c>
      <c r="AP11410" s="54">
        <v>8</v>
      </c>
      <c r="AQ11410" s="54">
        <v>24390.5</v>
      </c>
      <c r="AR11410" s="55">
        <v>28500</v>
      </c>
      <c r="AS11410" s="78">
        <f t="shared" si="182"/>
        <v>0.85580701754385968</v>
      </c>
    </row>
    <row r="11411" spans="39:45">
      <c r="AM11411" s="55">
        <v>2020</v>
      </c>
      <c r="AN11411" s="55" t="s">
        <v>186</v>
      </c>
      <c r="AO11411" s="55">
        <v>20</v>
      </c>
      <c r="AP11411" s="55">
        <v>9</v>
      </c>
      <c r="AQ11411" s="55">
        <v>34155</v>
      </c>
      <c r="AR11411" s="55">
        <v>28500</v>
      </c>
      <c r="AS11411" s="78">
        <f t="shared" si="182"/>
        <v>1.1984210526315791</v>
      </c>
    </row>
    <row r="11412" spans="39:45">
      <c r="AM11412" s="54">
        <v>2020</v>
      </c>
      <c r="AN11412" s="54" t="s">
        <v>186</v>
      </c>
      <c r="AO11412" s="54">
        <v>20</v>
      </c>
      <c r="AP11412" s="54">
        <v>10</v>
      </c>
      <c r="AQ11412" s="54">
        <v>40738</v>
      </c>
      <c r="AR11412" s="55">
        <v>28500</v>
      </c>
      <c r="AS11412" s="78">
        <f t="shared" si="182"/>
        <v>1.4294035087719299</v>
      </c>
    </row>
    <row r="11413" spans="39:45">
      <c r="AM11413" s="55">
        <v>2020</v>
      </c>
      <c r="AN11413" s="55" t="s">
        <v>186</v>
      </c>
      <c r="AO11413" s="55">
        <v>20</v>
      </c>
      <c r="AP11413" s="55">
        <v>11</v>
      </c>
      <c r="AQ11413" s="55">
        <v>44435</v>
      </c>
      <c r="AR11413" s="55">
        <v>28500</v>
      </c>
      <c r="AS11413" s="78">
        <f t="shared" si="182"/>
        <v>1.5591228070175438</v>
      </c>
    </row>
    <row r="11414" spans="39:45">
      <c r="AM11414" s="54">
        <v>2020</v>
      </c>
      <c r="AN11414" s="54" t="s">
        <v>186</v>
      </c>
      <c r="AO11414" s="54">
        <v>20</v>
      </c>
      <c r="AP11414" s="54">
        <v>12</v>
      </c>
      <c r="AQ11414" s="54">
        <v>45451.5</v>
      </c>
      <c r="AR11414" s="55">
        <v>28500</v>
      </c>
      <c r="AS11414" s="78">
        <f t="shared" si="182"/>
        <v>1.5947894736842105</v>
      </c>
    </row>
    <row r="11415" spans="39:45">
      <c r="AM11415" s="55">
        <v>2020</v>
      </c>
      <c r="AN11415" s="55" t="s">
        <v>186</v>
      </c>
      <c r="AO11415" s="55">
        <v>20</v>
      </c>
      <c r="AP11415" s="55">
        <v>13</v>
      </c>
      <c r="AQ11415" s="55">
        <v>43060.5</v>
      </c>
      <c r="AR11415" s="55">
        <v>28500</v>
      </c>
      <c r="AS11415" s="78">
        <f t="shared" si="182"/>
        <v>1.5108947368421053</v>
      </c>
    </row>
    <row r="11416" spans="39:45">
      <c r="AM11416" s="54">
        <v>2020</v>
      </c>
      <c r="AN11416" s="54" t="s">
        <v>186</v>
      </c>
      <c r="AO11416" s="54">
        <v>20</v>
      </c>
      <c r="AP11416" s="54">
        <v>14</v>
      </c>
      <c r="AQ11416" s="54">
        <v>37531</v>
      </c>
      <c r="AR11416" s="55">
        <v>28500</v>
      </c>
      <c r="AS11416" s="78">
        <f t="shared" si="182"/>
        <v>1.3168771929824561</v>
      </c>
    </row>
    <row r="11417" spans="39:45">
      <c r="AM11417" s="55">
        <v>2020</v>
      </c>
      <c r="AN11417" s="55" t="s">
        <v>186</v>
      </c>
      <c r="AO11417" s="55">
        <v>20</v>
      </c>
      <c r="AP11417" s="55">
        <v>15</v>
      </c>
      <c r="AQ11417" s="55">
        <v>29678.5</v>
      </c>
      <c r="AR11417" s="55">
        <v>28500</v>
      </c>
      <c r="AS11417" s="78">
        <f t="shared" si="182"/>
        <v>1.0413508771929825</v>
      </c>
    </row>
    <row r="11418" spans="39:45">
      <c r="AM11418" s="54">
        <v>2020</v>
      </c>
      <c r="AN11418" s="54" t="s">
        <v>186</v>
      </c>
      <c r="AO11418" s="54">
        <v>20</v>
      </c>
      <c r="AP11418" s="54">
        <v>16</v>
      </c>
      <c r="AQ11418" s="54">
        <v>19468</v>
      </c>
      <c r="AR11418" s="55">
        <v>28500</v>
      </c>
      <c r="AS11418" s="78">
        <f t="shared" si="182"/>
        <v>0.68308771929824563</v>
      </c>
    </row>
    <row r="11419" spans="39:45">
      <c r="AM11419" s="55">
        <v>2020</v>
      </c>
      <c r="AN11419" s="55" t="s">
        <v>186</v>
      </c>
      <c r="AO11419" s="55">
        <v>20</v>
      </c>
      <c r="AP11419" s="55">
        <v>17</v>
      </c>
      <c r="AQ11419" s="55">
        <v>7803.5</v>
      </c>
      <c r="AR11419" s="55">
        <v>28500</v>
      </c>
      <c r="AS11419" s="78">
        <f t="shared" si="182"/>
        <v>0.27380701754385967</v>
      </c>
    </row>
    <row r="11420" spans="39:45">
      <c r="AM11420" s="54">
        <v>2020</v>
      </c>
      <c r="AN11420" s="54" t="s">
        <v>186</v>
      </c>
      <c r="AO11420" s="54">
        <v>20</v>
      </c>
      <c r="AP11420" s="54">
        <v>18</v>
      </c>
      <c r="AQ11420" s="54">
        <v>862</v>
      </c>
      <c r="AR11420" s="55">
        <v>28500</v>
      </c>
      <c r="AS11420" s="78">
        <f t="shared" si="182"/>
        <v>3.0245614035087718E-2</v>
      </c>
    </row>
    <row r="11421" spans="39:45">
      <c r="AM11421" s="55">
        <v>2020</v>
      </c>
      <c r="AN11421" s="55" t="s">
        <v>186</v>
      </c>
      <c r="AO11421" s="55">
        <v>20</v>
      </c>
      <c r="AP11421" s="55">
        <v>19</v>
      </c>
      <c r="AQ11421" s="55">
        <v>0</v>
      </c>
      <c r="AR11421" s="55">
        <v>28500</v>
      </c>
      <c r="AS11421" s="78">
        <f t="shared" si="182"/>
        <v>0</v>
      </c>
    </row>
    <row r="11422" spans="39:45">
      <c r="AM11422" s="54">
        <v>2020</v>
      </c>
      <c r="AN11422" s="54" t="s">
        <v>186</v>
      </c>
      <c r="AO11422" s="54">
        <v>20</v>
      </c>
      <c r="AP11422" s="54">
        <v>20</v>
      </c>
      <c r="AQ11422" s="54">
        <v>0</v>
      </c>
      <c r="AR11422" s="55">
        <v>28500</v>
      </c>
      <c r="AS11422" s="78">
        <f t="shared" si="182"/>
        <v>0</v>
      </c>
    </row>
    <row r="11423" spans="39:45">
      <c r="AM11423" s="55">
        <v>2020</v>
      </c>
      <c r="AN11423" s="55" t="s">
        <v>186</v>
      </c>
      <c r="AO11423" s="55">
        <v>20</v>
      </c>
      <c r="AP11423" s="55">
        <v>21</v>
      </c>
      <c r="AQ11423" s="55">
        <v>0</v>
      </c>
      <c r="AR11423" s="55">
        <v>28500</v>
      </c>
      <c r="AS11423" s="78">
        <f t="shared" si="182"/>
        <v>0</v>
      </c>
    </row>
    <row r="11424" spans="39:45">
      <c r="AM11424" s="54">
        <v>2020</v>
      </c>
      <c r="AN11424" s="54" t="s">
        <v>186</v>
      </c>
      <c r="AO11424" s="54">
        <v>20</v>
      </c>
      <c r="AP11424" s="54">
        <v>22</v>
      </c>
      <c r="AQ11424" s="54">
        <v>0</v>
      </c>
      <c r="AR11424" s="55">
        <v>28500</v>
      </c>
      <c r="AS11424" s="78">
        <f t="shared" si="182"/>
        <v>0</v>
      </c>
    </row>
    <row r="11425" spans="39:45">
      <c r="AM11425" s="55">
        <v>2020</v>
      </c>
      <c r="AN11425" s="55" t="s">
        <v>186</v>
      </c>
      <c r="AO11425" s="55">
        <v>20</v>
      </c>
      <c r="AP11425" s="55">
        <v>23</v>
      </c>
      <c r="AQ11425" s="55">
        <v>0</v>
      </c>
      <c r="AR11425" s="55">
        <v>28500</v>
      </c>
      <c r="AS11425" s="78">
        <f t="shared" si="182"/>
        <v>0</v>
      </c>
    </row>
    <row r="11426" spans="39:45">
      <c r="AM11426" s="54">
        <v>2020</v>
      </c>
      <c r="AN11426" s="54" t="s">
        <v>186</v>
      </c>
      <c r="AO11426" s="54">
        <v>21</v>
      </c>
      <c r="AP11426" s="54">
        <v>24</v>
      </c>
      <c r="AQ11426" s="54">
        <v>0</v>
      </c>
      <c r="AR11426" s="55">
        <v>28500</v>
      </c>
      <c r="AS11426" s="78">
        <f t="shared" si="182"/>
        <v>0</v>
      </c>
    </row>
    <row r="11427" spans="39:45">
      <c r="AM11427" s="55">
        <v>2020</v>
      </c>
      <c r="AN11427" s="55" t="s">
        <v>186</v>
      </c>
      <c r="AO11427" s="55">
        <v>21</v>
      </c>
      <c r="AP11427" s="55">
        <v>1</v>
      </c>
      <c r="AQ11427" s="55">
        <v>0</v>
      </c>
      <c r="AR11427" s="55">
        <v>28500</v>
      </c>
      <c r="AS11427" s="78">
        <f t="shared" si="182"/>
        <v>0</v>
      </c>
    </row>
    <row r="11428" spans="39:45">
      <c r="AM11428" s="54">
        <v>2020</v>
      </c>
      <c r="AN11428" s="54" t="s">
        <v>186</v>
      </c>
      <c r="AO11428" s="54">
        <v>21</v>
      </c>
      <c r="AP11428" s="54">
        <v>2</v>
      </c>
      <c r="AQ11428" s="54">
        <v>0</v>
      </c>
      <c r="AR11428" s="55">
        <v>28500</v>
      </c>
      <c r="AS11428" s="78">
        <f t="shared" si="182"/>
        <v>0</v>
      </c>
    </row>
    <row r="11429" spans="39:45">
      <c r="AM11429" s="55">
        <v>2020</v>
      </c>
      <c r="AN11429" s="55" t="s">
        <v>186</v>
      </c>
      <c r="AO11429" s="55">
        <v>21</v>
      </c>
      <c r="AP11429" s="55">
        <v>3</v>
      </c>
      <c r="AQ11429" s="55">
        <v>0</v>
      </c>
      <c r="AR11429" s="55">
        <v>28500</v>
      </c>
      <c r="AS11429" s="78">
        <f t="shared" si="182"/>
        <v>0</v>
      </c>
    </row>
    <row r="11430" spans="39:45">
      <c r="AM11430" s="54">
        <v>2020</v>
      </c>
      <c r="AN11430" s="54" t="s">
        <v>186</v>
      </c>
      <c r="AO11430" s="54">
        <v>21</v>
      </c>
      <c r="AP11430" s="54">
        <v>4</v>
      </c>
      <c r="AQ11430" s="54">
        <v>0</v>
      </c>
      <c r="AR11430" s="55">
        <v>28500</v>
      </c>
      <c r="AS11430" s="78">
        <f t="shared" si="182"/>
        <v>0</v>
      </c>
    </row>
    <row r="11431" spans="39:45">
      <c r="AM11431" s="55">
        <v>2020</v>
      </c>
      <c r="AN11431" s="55" t="s">
        <v>186</v>
      </c>
      <c r="AO11431" s="55">
        <v>21</v>
      </c>
      <c r="AP11431" s="55">
        <v>5</v>
      </c>
      <c r="AQ11431" s="55">
        <v>0</v>
      </c>
      <c r="AR11431" s="55">
        <v>28500</v>
      </c>
      <c r="AS11431" s="78">
        <f t="shared" si="182"/>
        <v>0</v>
      </c>
    </row>
    <row r="11432" spans="39:45">
      <c r="AM11432" s="54">
        <v>2020</v>
      </c>
      <c r="AN11432" s="54" t="s">
        <v>186</v>
      </c>
      <c r="AO11432" s="54">
        <v>21</v>
      </c>
      <c r="AP11432" s="54">
        <v>6</v>
      </c>
      <c r="AQ11432" s="54">
        <v>2393</v>
      </c>
      <c r="AR11432" s="55">
        <v>28500</v>
      </c>
      <c r="AS11432" s="78">
        <f t="shared" si="182"/>
        <v>8.3964912280701756E-2</v>
      </c>
    </row>
    <row r="11433" spans="39:45">
      <c r="AM11433" s="55">
        <v>2020</v>
      </c>
      <c r="AN11433" s="55" t="s">
        <v>186</v>
      </c>
      <c r="AO11433" s="55">
        <v>21</v>
      </c>
      <c r="AP11433" s="55">
        <v>7</v>
      </c>
      <c r="AQ11433" s="55">
        <v>12850.5</v>
      </c>
      <c r="AR11433" s="55">
        <v>28500</v>
      </c>
      <c r="AS11433" s="78">
        <f t="shared" si="182"/>
        <v>0.45089473684210524</v>
      </c>
    </row>
    <row r="11434" spans="39:45">
      <c r="AM11434" s="54">
        <v>2020</v>
      </c>
      <c r="AN11434" s="54" t="s">
        <v>186</v>
      </c>
      <c r="AO11434" s="54">
        <v>21</v>
      </c>
      <c r="AP11434" s="54">
        <v>8</v>
      </c>
      <c r="AQ11434" s="54">
        <v>24340</v>
      </c>
      <c r="AR11434" s="55">
        <v>28500</v>
      </c>
      <c r="AS11434" s="78">
        <f t="shared" si="182"/>
        <v>0.85403508771929826</v>
      </c>
    </row>
    <row r="11435" spans="39:45">
      <c r="AM11435" s="55">
        <v>2020</v>
      </c>
      <c r="AN11435" s="55" t="s">
        <v>186</v>
      </c>
      <c r="AO11435" s="55">
        <v>21</v>
      </c>
      <c r="AP11435" s="55">
        <v>9</v>
      </c>
      <c r="AQ11435" s="55">
        <v>33815.5</v>
      </c>
      <c r="AR11435" s="55">
        <v>28500</v>
      </c>
      <c r="AS11435" s="78">
        <f t="shared" si="182"/>
        <v>1.1865087719298246</v>
      </c>
    </row>
    <row r="11436" spans="39:45">
      <c r="AM11436" s="54">
        <v>2020</v>
      </c>
      <c r="AN11436" s="54" t="s">
        <v>186</v>
      </c>
      <c r="AO11436" s="54">
        <v>21</v>
      </c>
      <c r="AP11436" s="54">
        <v>10</v>
      </c>
      <c r="AQ11436" s="54">
        <v>40351</v>
      </c>
      <c r="AR11436" s="55">
        <v>28500</v>
      </c>
      <c r="AS11436" s="78">
        <f t="shared" si="182"/>
        <v>1.4158245614035088</v>
      </c>
    </row>
    <row r="11437" spans="39:45">
      <c r="AM11437" s="55">
        <v>2020</v>
      </c>
      <c r="AN11437" s="55" t="s">
        <v>186</v>
      </c>
      <c r="AO11437" s="55">
        <v>21</v>
      </c>
      <c r="AP11437" s="55">
        <v>11</v>
      </c>
      <c r="AQ11437" s="55">
        <v>44159</v>
      </c>
      <c r="AR11437" s="55">
        <v>28500</v>
      </c>
      <c r="AS11437" s="78">
        <f t="shared" si="182"/>
        <v>1.5494385964912281</v>
      </c>
    </row>
    <row r="11438" spans="39:45">
      <c r="AM11438" s="54">
        <v>2020</v>
      </c>
      <c r="AN11438" s="54" t="s">
        <v>186</v>
      </c>
      <c r="AO11438" s="54">
        <v>21</v>
      </c>
      <c r="AP11438" s="54">
        <v>12</v>
      </c>
      <c r="AQ11438" s="54">
        <v>45243.5</v>
      </c>
      <c r="AR11438" s="55">
        <v>28500</v>
      </c>
      <c r="AS11438" s="78">
        <f t="shared" si="182"/>
        <v>1.5874912280701754</v>
      </c>
    </row>
    <row r="11439" spans="39:45">
      <c r="AM11439" s="55">
        <v>2020</v>
      </c>
      <c r="AN11439" s="55" t="s">
        <v>186</v>
      </c>
      <c r="AO11439" s="55">
        <v>21</v>
      </c>
      <c r="AP11439" s="55">
        <v>13</v>
      </c>
      <c r="AQ11439" s="55">
        <v>42475.5</v>
      </c>
      <c r="AR11439" s="55">
        <v>28500</v>
      </c>
      <c r="AS11439" s="78">
        <f t="shared" si="182"/>
        <v>1.4903684210526316</v>
      </c>
    </row>
    <row r="11440" spans="39:45">
      <c r="AM11440" s="54">
        <v>2020</v>
      </c>
      <c r="AN11440" s="54" t="s">
        <v>186</v>
      </c>
      <c r="AO11440" s="54">
        <v>21</v>
      </c>
      <c r="AP11440" s="54">
        <v>14</v>
      </c>
      <c r="AQ11440" s="54">
        <v>37117.5</v>
      </c>
      <c r="AR11440" s="55">
        <v>28500</v>
      </c>
      <c r="AS11440" s="78">
        <f t="shared" si="182"/>
        <v>1.3023684210526316</v>
      </c>
    </row>
    <row r="11441" spans="39:45">
      <c r="AM11441" s="55">
        <v>2020</v>
      </c>
      <c r="AN11441" s="55" t="s">
        <v>186</v>
      </c>
      <c r="AO11441" s="55">
        <v>21</v>
      </c>
      <c r="AP11441" s="55">
        <v>15</v>
      </c>
      <c r="AQ11441" s="55">
        <v>29098</v>
      </c>
      <c r="AR11441" s="55">
        <v>28500</v>
      </c>
      <c r="AS11441" s="78">
        <f t="shared" si="182"/>
        <v>1.0209824561403509</v>
      </c>
    </row>
    <row r="11442" spans="39:45">
      <c r="AM11442" s="54">
        <v>2020</v>
      </c>
      <c r="AN11442" s="54" t="s">
        <v>186</v>
      </c>
      <c r="AO11442" s="54">
        <v>21</v>
      </c>
      <c r="AP11442" s="54">
        <v>16</v>
      </c>
      <c r="AQ11442" s="54">
        <v>18727</v>
      </c>
      <c r="AR11442" s="55">
        <v>28500</v>
      </c>
      <c r="AS11442" s="78">
        <f t="shared" si="182"/>
        <v>0.65708771929824561</v>
      </c>
    </row>
    <row r="11443" spans="39:45">
      <c r="AM11443" s="55">
        <v>2020</v>
      </c>
      <c r="AN11443" s="55" t="s">
        <v>186</v>
      </c>
      <c r="AO11443" s="55">
        <v>21</v>
      </c>
      <c r="AP11443" s="55">
        <v>17</v>
      </c>
      <c r="AQ11443" s="55">
        <v>7544</v>
      </c>
      <c r="AR11443" s="55">
        <v>28500</v>
      </c>
      <c r="AS11443" s="78">
        <f t="shared" si="182"/>
        <v>0.26470175438596494</v>
      </c>
    </row>
    <row r="11444" spans="39:45">
      <c r="AM11444" s="54">
        <v>2020</v>
      </c>
      <c r="AN11444" s="54" t="s">
        <v>186</v>
      </c>
      <c r="AO11444" s="54">
        <v>21</v>
      </c>
      <c r="AP11444" s="54">
        <v>18</v>
      </c>
      <c r="AQ11444" s="54">
        <v>1043.5</v>
      </c>
      <c r="AR11444" s="55">
        <v>28500</v>
      </c>
      <c r="AS11444" s="78">
        <f t="shared" si="182"/>
        <v>3.66140350877193E-2</v>
      </c>
    </row>
    <row r="11445" spans="39:45">
      <c r="AM11445" s="55">
        <v>2020</v>
      </c>
      <c r="AN11445" s="55" t="s">
        <v>186</v>
      </c>
      <c r="AO11445" s="55">
        <v>21</v>
      </c>
      <c r="AP11445" s="55">
        <v>19</v>
      </c>
      <c r="AQ11445" s="55">
        <v>0</v>
      </c>
      <c r="AR11445" s="55">
        <v>28500</v>
      </c>
      <c r="AS11445" s="78">
        <f t="shared" si="182"/>
        <v>0</v>
      </c>
    </row>
    <row r="11446" spans="39:45">
      <c r="AM11446" s="54">
        <v>2020</v>
      </c>
      <c r="AN11446" s="54" t="s">
        <v>186</v>
      </c>
      <c r="AO11446" s="54">
        <v>21</v>
      </c>
      <c r="AP11446" s="54">
        <v>20</v>
      </c>
      <c r="AQ11446" s="54">
        <v>0</v>
      </c>
      <c r="AR11446" s="55">
        <v>28500</v>
      </c>
      <c r="AS11446" s="78">
        <f t="shared" si="182"/>
        <v>0</v>
      </c>
    </row>
    <row r="11447" spans="39:45">
      <c r="AM11447" s="55">
        <v>2020</v>
      </c>
      <c r="AN11447" s="55" t="s">
        <v>186</v>
      </c>
      <c r="AO11447" s="55">
        <v>21</v>
      </c>
      <c r="AP11447" s="55">
        <v>21</v>
      </c>
      <c r="AQ11447" s="55">
        <v>0</v>
      </c>
      <c r="AR11447" s="55">
        <v>28500</v>
      </c>
      <c r="AS11447" s="78">
        <f t="shared" si="182"/>
        <v>0</v>
      </c>
    </row>
    <row r="11448" spans="39:45">
      <c r="AM11448" s="54">
        <v>2020</v>
      </c>
      <c r="AN11448" s="54" t="s">
        <v>186</v>
      </c>
      <c r="AO11448" s="54">
        <v>21</v>
      </c>
      <c r="AP11448" s="54">
        <v>22</v>
      </c>
      <c r="AQ11448" s="54">
        <v>0</v>
      </c>
      <c r="AR11448" s="55">
        <v>28500</v>
      </c>
      <c r="AS11448" s="78">
        <f t="shared" si="182"/>
        <v>0</v>
      </c>
    </row>
    <row r="11449" spans="39:45">
      <c r="AM11449" s="55">
        <v>2020</v>
      </c>
      <c r="AN11449" s="55" t="s">
        <v>186</v>
      </c>
      <c r="AO11449" s="55">
        <v>21</v>
      </c>
      <c r="AP11449" s="55">
        <v>23</v>
      </c>
      <c r="AQ11449" s="55">
        <v>0</v>
      </c>
      <c r="AR11449" s="55">
        <v>28500</v>
      </c>
      <c r="AS11449" s="78">
        <f t="shared" si="182"/>
        <v>0</v>
      </c>
    </row>
    <row r="11450" spans="39:45">
      <c r="AM11450" s="54">
        <v>2020</v>
      </c>
      <c r="AN11450" s="54" t="s">
        <v>186</v>
      </c>
      <c r="AO11450" s="54">
        <v>22</v>
      </c>
      <c r="AP11450" s="54">
        <v>24</v>
      </c>
      <c r="AQ11450" s="54">
        <v>0</v>
      </c>
      <c r="AR11450" s="55">
        <v>28500</v>
      </c>
      <c r="AS11450" s="78">
        <f t="shared" si="182"/>
        <v>0</v>
      </c>
    </row>
    <row r="11451" spans="39:45">
      <c r="AM11451" s="55">
        <v>2020</v>
      </c>
      <c r="AN11451" s="55" t="s">
        <v>186</v>
      </c>
      <c r="AO11451" s="55">
        <v>22</v>
      </c>
      <c r="AP11451" s="55">
        <v>1</v>
      </c>
      <c r="AQ11451" s="55">
        <v>0</v>
      </c>
      <c r="AR11451" s="55">
        <v>28500</v>
      </c>
      <c r="AS11451" s="78">
        <f t="shared" si="182"/>
        <v>0</v>
      </c>
    </row>
    <row r="11452" spans="39:45">
      <c r="AM11452" s="54">
        <v>2020</v>
      </c>
      <c r="AN11452" s="54" t="s">
        <v>186</v>
      </c>
      <c r="AO11452" s="54">
        <v>22</v>
      </c>
      <c r="AP11452" s="54">
        <v>2</v>
      </c>
      <c r="AQ11452" s="54">
        <v>0</v>
      </c>
      <c r="AR11452" s="55">
        <v>28500</v>
      </c>
      <c r="AS11452" s="78">
        <f t="shared" si="182"/>
        <v>0</v>
      </c>
    </row>
    <row r="11453" spans="39:45">
      <c r="AM11453" s="55">
        <v>2020</v>
      </c>
      <c r="AN11453" s="55" t="s">
        <v>186</v>
      </c>
      <c r="AO11453" s="55">
        <v>22</v>
      </c>
      <c r="AP11453" s="55">
        <v>3</v>
      </c>
      <c r="AQ11453" s="55">
        <v>0</v>
      </c>
      <c r="AR11453" s="55">
        <v>28500</v>
      </c>
      <c r="AS11453" s="78">
        <f t="shared" si="182"/>
        <v>0</v>
      </c>
    </row>
    <row r="11454" spans="39:45">
      <c r="AM11454" s="54">
        <v>2020</v>
      </c>
      <c r="AN11454" s="54" t="s">
        <v>186</v>
      </c>
      <c r="AO11454" s="54">
        <v>22</v>
      </c>
      <c r="AP11454" s="54">
        <v>4</v>
      </c>
      <c r="AQ11454" s="54">
        <v>0</v>
      </c>
      <c r="AR11454" s="55">
        <v>28500</v>
      </c>
      <c r="AS11454" s="78">
        <f t="shared" si="182"/>
        <v>0</v>
      </c>
    </row>
    <row r="11455" spans="39:45">
      <c r="AM11455" s="55">
        <v>2020</v>
      </c>
      <c r="AN11455" s="55" t="s">
        <v>186</v>
      </c>
      <c r="AO11455" s="55">
        <v>22</v>
      </c>
      <c r="AP11455" s="55">
        <v>5</v>
      </c>
      <c r="AQ11455" s="55">
        <v>0</v>
      </c>
      <c r="AR11455" s="55">
        <v>28500</v>
      </c>
      <c r="AS11455" s="78">
        <f t="shared" si="182"/>
        <v>0</v>
      </c>
    </row>
    <row r="11456" spans="39:45">
      <c r="AM11456" s="54">
        <v>2020</v>
      </c>
      <c r="AN11456" s="54" t="s">
        <v>186</v>
      </c>
      <c r="AO11456" s="54">
        <v>22</v>
      </c>
      <c r="AP11456" s="54">
        <v>6</v>
      </c>
      <c r="AQ11456" s="54">
        <v>2553.5</v>
      </c>
      <c r="AR11456" s="55">
        <v>28500</v>
      </c>
      <c r="AS11456" s="78">
        <f t="shared" si="182"/>
        <v>8.9596491228070174E-2</v>
      </c>
    </row>
    <row r="11457" spans="39:45">
      <c r="AM11457" s="55">
        <v>2020</v>
      </c>
      <c r="AN11457" s="55" t="s">
        <v>186</v>
      </c>
      <c r="AO11457" s="55">
        <v>22</v>
      </c>
      <c r="AP11457" s="55">
        <v>7</v>
      </c>
      <c r="AQ11457" s="55">
        <v>13025.5</v>
      </c>
      <c r="AR11457" s="55">
        <v>28500</v>
      </c>
      <c r="AS11457" s="78">
        <f t="shared" si="182"/>
        <v>0.45703508771929824</v>
      </c>
    </row>
    <row r="11458" spans="39:45">
      <c r="AM11458" s="54">
        <v>2020</v>
      </c>
      <c r="AN11458" s="54" t="s">
        <v>186</v>
      </c>
      <c r="AO11458" s="54">
        <v>22</v>
      </c>
      <c r="AP11458" s="54">
        <v>8</v>
      </c>
      <c r="AQ11458" s="54">
        <v>24118</v>
      </c>
      <c r="AR11458" s="55">
        <v>28500</v>
      </c>
      <c r="AS11458" s="78">
        <f t="shared" ref="AS11458:AS11521" si="183">AQ11458/AR11458</f>
        <v>0.84624561403508769</v>
      </c>
    </row>
    <row r="11459" spans="39:45">
      <c r="AM11459" s="55">
        <v>2020</v>
      </c>
      <c r="AN11459" s="55" t="s">
        <v>186</v>
      </c>
      <c r="AO11459" s="55">
        <v>22</v>
      </c>
      <c r="AP11459" s="55">
        <v>9</v>
      </c>
      <c r="AQ11459" s="55">
        <v>33042.5</v>
      </c>
      <c r="AR11459" s="55">
        <v>28500</v>
      </c>
      <c r="AS11459" s="78">
        <f t="shared" si="183"/>
        <v>1.1593859649122806</v>
      </c>
    </row>
    <row r="11460" spans="39:45">
      <c r="AM11460" s="54">
        <v>2020</v>
      </c>
      <c r="AN11460" s="54" t="s">
        <v>186</v>
      </c>
      <c r="AO11460" s="54">
        <v>22</v>
      </c>
      <c r="AP11460" s="54">
        <v>10</v>
      </c>
      <c r="AQ11460" s="54">
        <v>39668</v>
      </c>
      <c r="AR11460" s="55">
        <v>28500</v>
      </c>
      <c r="AS11460" s="78">
        <f t="shared" si="183"/>
        <v>1.391859649122807</v>
      </c>
    </row>
    <row r="11461" spans="39:45">
      <c r="AM11461" s="55">
        <v>2020</v>
      </c>
      <c r="AN11461" s="55" t="s">
        <v>186</v>
      </c>
      <c r="AO11461" s="55">
        <v>22</v>
      </c>
      <c r="AP11461" s="55">
        <v>11</v>
      </c>
      <c r="AQ11461" s="55">
        <v>43512</v>
      </c>
      <c r="AR11461" s="55">
        <v>28500</v>
      </c>
      <c r="AS11461" s="78">
        <f t="shared" si="183"/>
        <v>1.5267368421052632</v>
      </c>
    </row>
    <row r="11462" spans="39:45">
      <c r="AM11462" s="54">
        <v>2020</v>
      </c>
      <c r="AN11462" s="54" t="s">
        <v>186</v>
      </c>
      <c r="AO11462" s="54">
        <v>22</v>
      </c>
      <c r="AP11462" s="54">
        <v>12</v>
      </c>
      <c r="AQ11462" s="54">
        <v>44342.5</v>
      </c>
      <c r="AR11462" s="55">
        <v>28500</v>
      </c>
      <c r="AS11462" s="78">
        <f t="shared" si="183"/>
        <v>1.5558771929824562</v>
      </c>
    </row>
    <row r="11463" spans="39:45">
      <c r="AM11463" s="55">
        <v>2020</v>
      </c>
      <c r="AN11463" s="55" t="s">
        <v>186</v>
      </c>
      <c r="AO11463" s="55">
        <v>22</v>
      </c>
      <c r="AP11463" s="55">
        <v>13</v>
      </c>
      <c r="AQ11463" s="55">
        <v>41795</v>
      </c>
      <c r="AR11463" s="55">
        <v>28500</v>
      </c>
      <c r="AS11463" s="78">
        <f t="shared" si="183"/>
        <v>1.4664912280701754</v>
      </c>
    </row>
    <row r="11464" spans="39:45">
      <c r="AM11464" s="54">
        <v>2020</v>
      </c>
      <c r="AN11464" s="54" t="s">
        <v>186</v>
      </c>
      <c r="AO11464" s="54">
        <v>22</v>
      </c>
      <c r="AP11464" s="54">
        <v>14</v>
      </c>
      <c r="AQ11464" s="54">
        <v>36891.5</v>
      </c>
      <c r="AR11464" s="55">
        <v>28500</v>
      </c>
      <c r="AS11464" s="78">
        <f t="shared" si="183"/>
        <v>1.2944385964912282</v>
      </c>
    </row>
    <row r="11465" spans="39:45">
      <c r="AM11465" s="55">
        <v>2020</v>
      </c>
      <c r="AN11465" s="55" t="s">
        <v>186</v>
      </c>
      <c r="AO11465" s="55">
        <v>22</v>
      </c>
      <c r="AP11465" s="55">
        <v>15</v>
      </c>
      <c r="AQ11465" s="55">
        <v>29227</v>
      </c>
      <c r="AR11465" s="55">
        <v>28500</v>
      </c>
      <c r="AS11465" s="78">
        <f t="shared" si="183"/>
        <v>1.0255087719298246</v>
      </c>
    </row>
    <row r="11466" spans="39:45">
      <c r="AM11466" s="54">
        <v>2020</v>
      </c>
      <c r="AN11466" s="54" t="s">
        <v>186</v>
      </c>
      <c r="AO11466" s="54">
        <v>22</v>
      </c>
      <c r="AP11466" s="54">
        <v>16</v>
      </c>
      <c r="AQ11466" s="54">
        <v>19064.5</v>
      </c>
      <c r="AR11466" s="55">
        <v>28500</v>
      </c>
      <c r="AS11466" s="78">
        <f t="shared" si="183"/>
        <v>0.66892982456140349</v>
      </c>
    </row>
    <row r="11467" spans="39:45">
      <c r="AM11467" s="55">
        <v>2020</v>
      </c>
      <c r="AN11467" s="55" t="s">
        <v>186</v>
      </c>
      <c r="AO11467" s="55">
        <v>22</v>
      </c>
      <c r="AP11467" s="55">
        <v>17</v>
      </c>
      <c r="AQ11467" s="55">
        <v>7736.5</v>
      </c>
      <c r="AR11467" s="55">
        <v>28500</v>
      </c>
      <c r="AS11467" s="78">
        <f t="shared" si="183"/>
        <v>0.27145614035087717</v>
      </c>
    </row>
    <row r="11468" spans="39:45">
      <c r="AM11468" s="54">
        <v>2020</v>
      </c>
      <c r="AN11468" s="54" t="s">
        <v>186</v>
      </c>
      <c r="AO11468" s="54">
        <v>22</v>
      </c>
      <c r="AP11468" s="54">
        <v>18</v>
      </c>
      <c r="AQ11468" s="54">
        <v>976</v>
      </c>
      <c r="AR11468" s="55">
        <v>28500</v>
      </c>
      <c r="AS11468" s="78">
        <f t="shared" si="183"/>
        <v>3.4245614035087718E-2</v>
      </c>
    </row>
    <row r="11469" spans="39:45">
      <c r="AM11469" s="55">
        <v>2020</v>
      </c>
      <c r="AN11469" s="55" t="s">
        <v>186</v>
      </c>
      <c r="AO11469" s="55">
        <v>22</v>
      </c>
      <c r="AP11469" s="55">
        <v>19</v>
      </c>
      <c r="AQ11469" s="55">
        <v>0</v>
      </c>
      <c r="AR11469" s="55">
        <v>28500</v>
      </c>
      <c r="AS11469" s="78">
        <f t="shared" si="183"/>
        <v>0</v>
      </c>
    </row>
    <row r="11470" spans="39:45">
      <c r="AM11470" s="54">
        <v>2020</v>
      </c>
      <c r="AN11470" s="54" t="s">
        <v>186</v>
      </c>
      <c r="AO11470" s="54">
        <v>22</v>
      </c>
      <c r="AP11470" s="54">
        <v>20</v>
      </c>
      <c r="AQ11470" s="54">
        <v>0</v>
      </c>
      <c r="AR11470" s="55">
        <v>28500</v>
      </c>
      <c r="AS11470" s="78">
        <f t="shared" si="183"/>
        <v>0</v>
      </c>
    </row>
    <row r="11471" spans="39:45">
      <c r="AM11471" s="55">
        <v>2020</v>
      </c>
      <c r="AN11471" s="55" t="s">
        <v>186</v>
      </c>
      <c r="AO11471" s="55">
        <v>22</v>
      </c>
      <c r="AP11471" s="55">
        <v>21</v>
      </c>
      <c r="AQ11471" s="55">
        <v>0</v>
      </c>
      <c r="AR11471" s="55">
        <v>28500</v>
      </c>
      <c r="AS11471" s="78">
        <f t="shared" si="183"/>
        <v>0</v>
      </c>
    </row>
    <row r="11472" spans="39:45">
      <c r="AM11472" s="54">
        <v>2020</v>
      </c>
      <c r="AN11472" s="54" t="s">
        <v>186</v>
      </c>
      <c r="AO11472" s="54">
        <v>22</v>
      </c>
      <c r="AP11472" s="54">
        <v>22</v>
      </c>
      <c r="AQ11472" s="54">
        <v>0</v>
      </c>
      <c r="AR11472" s="55">
        <v>28500</v>
      </c>
      <c r="AS11472" s="78">
        <f t="shared" si="183"/>
        <v>0</v>
      </c>
    </row>
    <row r="11473" spans="39:45">
      <c r="AM11473" s="55">
        <v>2020</v>
      </c>
      <c r="AN11473" s="55" t="s">
        <v>186</v>
      </c>
      <c r="AO11473" s="55">
        <v>22</v>
      </c>
      <c r="AP11473" s="55">
        <v>23</v>
      </c>
      <c r="AQ11473" s="55">
        <v>0</v>
      </c>
      <c r="AR11473" s="55">
        <v>28500</v>
      </c>
      <c r="AS11473" s="78">
        <f t="shared" si="183"/>
        <v>0</v>
      </c>
    </row>
    <row r="11474" spans="39:45">
      <c r="AM11474" s="54">
        <v>2020</v>
      </c>
      <c r="AN11474" s="54" t="s">
        <v>186</v>
      </c>
      <c r="AO11474" s="54">
        <v>23</v>
      </c>
      <c r="AP11474" s="54">
        <v>24</v>
      </c>
      <c r="AQ11474" s="54">
        <v>0</v>
      </c>
      <c r="AR11474" s="55">
        <v>28500</v>
      </c>
      <c r="AS11474" s="78">
        <f t="shared" si="183"/>
        <v>0</v>
      </c>
    </row>
    <row r="11475" spans="39:45">
      <c r="AM11475" s="55">
        <v>2020</v>
      </c>
      <c r="AN11475" s="55" t="s">
        <v>186</v>
      </c>
      <c r="AO11475" s="55">
        <v>23</v>
      </c>
      <c r="AP11475" s="55">
        <v>1</v>
      </c>
      <c r="AQ11475" s="55">
        <v>0</v>
      </c>
      <c r="AR11475" s="55">
        <v>28500</v>
      </c>
      <c r="AS11475" s="78">
        <f t="shared" si="183"/>
        <v>0</v>
      </c>
    </row>
    <row r="11476" spans="39:45">
      <c r="AM11476" s="54">
        <v>2020</v>
      </c>
      <c r="AN11476" s="54" t="s">
        <v>186</v>
      </c>
      <c r="AO11476" s="54">
        <v>23</v>
      </c>
      <c r="AP11476" s="54">
        <v>2</v>
      </c>
      <c r="AQ11476" s="54">
        <v>0</v>
      </c>
      <c r="AR11476" s="55">
        <v>28500</v>
      </c>
      <c r="AS11476" s="78">
        <f t="shared" si="183"/>
        <v>0</v>
      </c>
    </row>
    <row r="11477" spans="39:45">
      <c r="AM11477" s="55">
        <v>2020</v>
      </c>
      <c r="AN11477" s="55" t="s">
        <v>186</v>
      </c>
      <c r="AO11477" s="55">
        <v>23</v>
      </c>
      <c r="AP11477" s="55">
        <v>3</v>
      </c>
      <c r="AQ11477" s="55">
        <v>0</v>
      </c>
      <c r="AR11477" s="55">
        <v>28500</v>
      </c>
      <c r="AS11477" s="78">
        <f t="shared" si="183"/>
        <v>0</v>
      </c>
    </row>
    <row r="11478" spans="39:45">
      <c r="AM11478" s="54">
        <v>2020</v>
      </c>
      <c r="AN11478" s="54" t="s">
        <v>186</v>
      </c>
      <c r="AO11478" s="54">
        <v>23</v>
      </c>
      <c r="AP11478" s="54">
        <v>4</v>
      </c>
      <c r="AQ11478" s="54">
        <v>0</v>
      </c>
      <c r="AR11478" s="55">
        <v>28500</v>
      </c>
      <c r="AS11478" s="78">
        <f t="shared" si="183"/>
        <v>0</v>
      </c>
    </row>
    <row r="11479" spans="39:45">
      <c r="AM11479" s="55">
        <v>2020</v>
      </c>
      <c r="AN11479" s="55" t="s">
        <v>186</v>
      </c>
      <c r="AO11479" s="55">
        <v>23</v>
      </c>
      <c r="AP11479" s="55">
        <v>5</v>
      </c>
      <c r="AQ11479" s="55">
        <v>5.5</v>
      </c>
      <c r="AR11479" s="55">
        <v>28500</v>
      </c>
      <c r="AS11479" s="78">
        <f t="shared" si="183"/>
        <v>1.9298245614035088E-4</v>
      </c>
    </row>
    <row r="11480" spans="39:45">
      <c r="AM11480" s="54">
        <v>2020</v>
      </c>
      <c r="AN11480" s="54" t="s">
        <v>186</v>
      </c>
      <c r="AO11480" s="54">
        <v>23</v>
      </c>
      <c r="AP11480" s="54">
        <v>6</v>
      </c>
      <c r="AQ11480" s="54">
        <v>2713.5</v>
      </c>
      <c r="AR11480" s="55">
        <v>28500</v>
      </c>
      <c r="AS11480" s="78">
        <f t="shared" si="183"/>
        <v>9.5210526315789468E-2</v>
      </c>
    </row>
    <row r="11481" spans="39:45">
      <c r="AM11481" s="55">
        <v>2020</v>
      </c>
      <c r="AN11481" s="55" t="s">
        <v>186</v>
      </c>
      <c r="AO11481" s="55">
        <v>23</v>
      </c>
      <c r="AP11481" s="55">
        <v>7</v>
      </c>
      <c r="AQ11481" s="55">
        <v>12959</v>
      </c>
      <c r="AR11481" s="55">
        <v>28500</v>
      </c>
      <c r="AS11481" s="78">
        <f t="shared" si="183"/>
        <v>0.45470175438596488</v>
      </c>
    </row>
    <row r="11482" spans="39:45">
      <c r="AM11482" s="54">
        <v>2020</v>
      </c>
      <c r="AN11482" s="54" t="s">
        <v>186</v>
      </c>
      <c r="AO11482" s="54">
        <v>23</v>
      </c>
      <c r="AP11482" s="54">
        <v>8</v>
      </c>
      <c r="AQ11482" s="54">
        <v>23674</v>
      </c>
      <c r="AR11482" s="55">
        <v>28500</v>
      </c>
      <c r="AS11482" s="78">
        <f t="shared" si="183"/>
        <v>0.83066666666666666</v>
      </c>
    </row>
    <row r="11483" spans="39:45">
      <c r="AM11483" s="55">
        <v>2020</v>
      </c>
      <c r="AN11483" s="55" t="s">
        <v>186</v>
      </c>
      <c r="AO11483" s="55">
        <v>23</v>
      </c>
      <c r="AP11483" s="55">
        <v>9</v>
      </c>
      <c r="AQ11483" s="55">
        <v>32438.5</v>
      </c>
      <c r="AR11483" s="55">
        <v>28500</v>
      </c>
      <c r="AS11483" s="78">
        <f t="shared" si="183"/>
        <v>1.1381929824561403</v>
      </c>
    </row>
    <row r="11484" spans="39:45">
      <c r="AM11484" s="54">
        <v>2020</v>
      </c>
      <c r="AN11484" s="54" t="s">
        <v>186</v>
      </c>
      <c r="AO11484" s="54">
        <v>23</v>
      </c>
      <c r="AP11484" s="54">
        <v>10</v>
      </c>
      <c r="AQ11484" s="54">
        <v>38360</v>
      </c>
      <c r="AR11484" s="55">
        <v>28500</v>
      </c>
      <c r="AS11484" s="78">
        <f t="shared" si="183"/>
        <v>1.3459649122807018</v>
      </c>
    </row>
    <row r="11485" spans="39:45">
      <c r="AM11485" s="55">
        <v>2020</v>
      </c>
      <c r="AN11485" s="55" t="s">
        <v>186</v>
      </c>
      <c r="AO11485" s="55">
        <v>23</v>
      </c>
      <c r="AP11485" s="55">
        <v>11</v>
      </c>
      <c r="AQ11485" s="55">
        <v>41887</v>
      </c>
      <c r="AR11485" s="55">
        <v>28500</v>
      </c>
      <c r="AS11485" s="78">
        <f t="shared" si="183"/>
        <v>1.469719298245614</v>
      </c>
    </row>
    <row r="11486" spans="39:45">
      <c r="AM11486" s="54">
        <v>2020</v>
      </c>
      <c r="AN11486" s="54" t="s">
        <v>186</v>
      </c>
      <c r="AO11486" s="54">
        <v>23</v>
      </c>
      <c r="AP11486" s="54">
        <v>12</v>
      </c>
      <c r="AQ11486" s="54">
        <v>42405</v>
      </c>
      <c r="AR11486" s="55">
        <v>28500</v>
      </c>
      <c r="AS11486" s="78">
        <f t="shared" si="183"/>
        <v>1.4878947368421052</v>
      </c>
    </row>
    <row r="11487" spans="39:45">
      <c r="AM11487" s="55">
        <v>2020</v>
      </c>
      <c r="AN11487" s="55" t="s">
        <v>186</v>
      </c>
      <c r="AO11487" s="55">
        <v>23</v>
      </c>
      <c r="AP11487" s="55">
        <v>13</v>
      </c>
      <c r="AQ11487" s="55">
        <v>39764</v>
      </c>
      <c r="AR11487" s="55">
        <v>28500</v>
      </c>
      <c r="AS11487" s="78">
        <f t="shared" si="183"/>
        <v>1.3952280701754387</v>
      </c>
    </row>
    <row r="11488" spans="39:45">
      <c r="AM11488" s="54">
        <v>2020</v>
      </c>
      <c r="AN11488" s="54" t="s">
        <v>186</v>
      </c>
      <c r="AO11488" s="54">
        <v>23</v>
      </c>
      <c r="AP11488" s="54">
        <v>14</v>
      </c>
      <c r="AQ11488" s="54">
        <v>34990.5</v>
      </c>
      <c r="AR11488" s="55">
        <v>28500</v>
      </c>
      <c r="AS11488" s="78">
        <f t="shared" si="183"/>
        <v>1.2277368421052632</v>
      </c>
    </row>
    <row r="11489" spans="39:45">
      <c r="AM11489" s="55">
        <v>2020</v>
      </c>
      <c r="AN11489" s="55" t="s">
        <v>186</v>
      </c>
      <c r="AO11489" s="55">
        <v>23</v>
      </c>
      <c r="AP11489" s="55">
        <v>15</v>
      </c>
      <c r="AQ11489" s="55">
        <v>27612.5</v>
      </c>
      <c r="AR11489" s="55">
        <v>28500</v>
      </c>
      <c r="AS11489" s="78">
        <f t="shared" si="183"/>
        <v>0.96885964912280698</v>
      </c>
    </row>
    <row r="11490" spans="39:45">
      <c r="AM11490" s="54">
        <v>2020</v>
      </c>
      <c r="AN11490" s="54" t="s">
        <v>186</v>
      </c>
      <c r="AO11490" s="54">
        <v>23</v>
      </c>
      <c r="AP11490" s="54">
        <v>16</v>
      </c>
      <c r="AQ11490" s="54">
        <v>18182.5</v>
      </c>
      <c r="AR11490" s="55">
        <v>28500</v>
      </c>
      <c r="AS11490" s="78">
        <f t="shared" si="183"/>
        <v>0.63798245614035087</v>
      </c>
    </row>
    <row r="11491" spans="39:45">
      <c r="AM11491" s="55">
        <v>2020</v>
      </c>
      <c r="AN11491" s="55" t="s">
        <v>186</v>
      </c>
      <c r="AO11491" s="55">
        <v>23</v>
      </c>
      <c r="AP11491" s="55">
        <v>17</v>
      </c>
      <c r="AQ11491" s="55">
        <v>7581</v>
      </c>
      <c r="AR11491" s="55">
        <v>28500</v>
      </c>
      <c r="AS11491" s="78">
        <f t="shared" si="183"/>
        <v>0.26600000000000001</v>
      </c>
    </row>
    <row r="11492" spans="39:45">
      <c r="AM11492" s="54">
        <v>2020</v>
      </c>
      <c r="AN11492" s="54" t="s">
        <v>186</v>
      </c>
      <c r="AO11492" s="54">
        <v>23</v>
      </c>
      <c r="AP11492" s="54">
        <v>18</v>
      </c>
      <c r="AQ11492" s="54">
        <v>839</v>
      </c>
      <c r="AR11492" s="55">
        <v>28500</v>
      </c>
      <c r="AS11492" s="78">
        <f t="shared" si="183"/>
        <v>2.943859649122807E-2</v>
      </c>
    </row>
    <row r="11493" spans="39:45">
      <c r="AM11493" s="55">
        <v>2020</v>
      </c>
      <c r="AN11493" s="55" t="s">
        <v>186</v>
      </c>
      <c r="AO11493" s="55">
        <v>23</v>
      </c>
      <c r="AP11493" s="55">
        <v>19</v>
      </c>
      <c r="AQ11493" s="55">
        <v>0</v>
      </c>
      <c r="AR11493" s="55">
        <v>28500</v>
      </c>
      <c r="AS11493" s="78">
        <f t="shared" si="183"/>
        <v>0</v>
      </c>
    </row>
    <row r="11494" spans="39:45">
      <c r="AM11494" s="54">
        <v>2020</v>
      </c>
      <c r="AN11494" s="54" t="s">
        <v>186</v>
      </c>
      <c r="AO11494" s="54">
        <v>23</v>
      </c>
      <c r="AP11494" s="54">
        <v>20</v>
      </c>
      <c r="AQ11494" s="54">
        <v>0</v>
      </c>
      <c r="AR11494" s="55">
        <v>28500</v>
      </c>
      <c r="AS11494" s="78">
        <f t="shared" si="183"/>
        <v>0</v>
      </c>
    </row>
    <row r="11495" spans="39:45">
      <c r="AM11495" s="55">
        <v>2020</v>
      </c>
      <c r="AN11495" s="55" t="s">
        <v>186</v>
      </c>
      <c r="AO11495" s="55">
        <v>23</v>
      </c>
      <c r="AP11495" s="55">
        <v>21</v>
      </c>
      <c r="AQ11495" s="55">
        <v>0</v>
      </c>
      <c r="AR11495" s="55">
        <v>28500</v>
      </c>
      <c r="AS11495" s="78">
        <f t="shared" si="183"/>
        <v>0</v>
      </c>
    </row>
    <row r="11496" spans="39:45">
      <c r="AM11496" s="54">
        <v>2020</v>
      </c>
      <c r="AN11496" s="54" t="s">
        <v>186</v>
      </c>
      <c r="AO11496" s="54">
        <v>23</v>
      </c>
      <c r="AP11496" s="54">
        <v>22</v>
      </c>
      <c r="AQ11496" s="54">
        <v>0</v>
      </c>
      <c r="AR11496" s="55">
        <v>28500</v>
      </c>
      <c r="AS11496" s="78">
        <f t="shared" si="183"/>
        <v>0</v>
      </c>
    </row>
    <row r="11497" spans="39:45">
      <c r="AM11497" s="55">
        <v>2020</v>
      </c>
      <c r="AN11497" s="55" t="s">
        <v>186</v>
      </c>
      <c r="AO11497" s="55">
        <v>23</v>
      </c>
      <c r="AP11497" s="55">
        <v>23</v>
      </c>
      <c r="AQ11497" s="55">
        <v>0</v>
      </c>
      <c r="AR11497" s="55">
        <v>28500</v>
      </c>
      <c r="AS11497" s="78">
        <f t="shared" si="183"/>
        <v>0</v>
      </c>
    </row>
    <row r="11498" spans="39:45">
      <c r="AM11498" s="54">
        <v>2020</v>
      </c>
      <c r="AN11498" s="54" t="s">
        <v>186</v>
      </c>
      <c r="AO11498" s="54">
        <v>24</v>
      </c>
      <c r="AP11498" s="54">
        <v>24</v>
      </c>
      <c r="AQ11498" s="54">
        <v>0</v>
      </c>
      <c r="AR11498" s="55">
        <v>28500</v>
      </c>
      <c r="AS11498" s="78">
        <f t="shared" si="183"/>
        <v>0</v>
      </c>
    </row>
    <row r="11499" spans="39:45">
      <c r="AM11499" s="55">
        <v>2020</v>
      </c>
      <c r="AN11499" s="55" t="s">
        <v>186</v>
      </c>
      <c r="AO11499" s="55">
        <v>24</v>
      </c>
      <c r="AP11499" s="55">
        <v>1</v>
      </c>
      <c r="AQ11499" s="55">
        <v>0</v>
      </c>
      <c r="AR11499" s="55">
        <v>28500</v>
      </c>
      <c r="AS11499" s="78">
        <f t="shared" si="183"/>
        <v>0</v>
      </c>
    </row>
    <row r="11500" spans="39:45">
      <c r="AM11500" s="54">
        <v>2020</v>
      </c>
      <c r="AN11500" s="54" t="s">
        <v>186</v>
      </c>
      <c r="AO11500" s="54">
        <v>24</v>
      </c>
      <c r="AP11500" s="54">
        <v>2</v>
      </c>
      <c r="AQ11500" s="54">
        <v>0</v>
      </c>
      <c r="AR11500" s="55">
        <v>28500</v>
      </c>
      <c r="AS11500" s="78">
        <f t="shared" si="183"/>
        <v>0</v>
      </c>
    </row>
    <row r="11501" spans="39:45">
      <c r="AM11501" s="55">
        <v>2020</v>
      </c>
      <c r="AN11501" s="55" t="s">
        <v>186</v>
      </c>
      <c r="AO11501" s="55">
        <v>24</v>
      </c>
      <c r="AP11501" s="55">
        <v>3</v>
      </c>
      <c r="AQ11501" s="55">
        <v>0</v>
      </c>
      <c r="AR11501" s="55">
        <v>28500</v>
      </c>
      <c r="AS11501" s="78">
        <f t="shared" si="183"/>
        <v>0</v>
      </c>
    </row>
    <row r="11502" spans="39:45">
      <c r="AM11502" s="54">
        <v>2020</v>
      </c>
      <c r="AN11502" s="54" t="s">
        <v>186</v>
      </c>
      <c r="AO11502" s="54">
        <v>24</v>
      </c>
      <c r="AP11502" s="54">
        <v>4</v>
      </c>
      <c r="AQ11502" s="54">
        <v>0</v>
      </c>
      <c r="AR11502" s="55">
        <v>28500</v>
      </c>
      <c r="AS11502" s="78">
        <f t="shared" si="183"/>
        <v>0</v>
      </c>
    </row>
    <row r="11503" spans="39:45">
      <c r="AM11503" s="55">
        <v>2020</v>
      </c>
      <c r="AN11503" s="55" t="s">
        <v>186</v>
      </c>
      <c r="AO11503" s="55">
        <v>24</v>
      </c>
      <c r="AP11503" s="55">
        <v>5</v>
      </c>
      <c r="AQ11503" s="55">
        <v>40.5</v>
      </c>
      <c r="AR11503" s="55">
        <v>28500</v>
      </c>
      <c r="AS11503" s="78">
        <f t="shared" si="183"/>
        <v>1.4210526315789475E-3</v>
      </c>
    </row>
    <row r="11504" spans="39:45">
      <c r="AM11504" s="54">
        <v>2020</v>
      </c>
      <c r="AN11504" s="54" t="s">
        <v>186</v>
      </c>
      <c r="AO11504" s="54">
        <v>24</v>
      </c>
      <c r="AP11504" s="54">
        <v>6</v>
      </c>
      <c r="AQ11504" s="54">
        <v>2848</v>
      </c>
      <c r="AR11504" s="55">
        <v>28500</v>
      </c>
      <c r="AS11504" s="78">
        <f t="shared" si="183"/>
        <v>9.9929824561403507E-2</v>
      </c>
    </row>
    <row r="11505" spans="39:45">
      <c r="AM11505" s="55">
        <v>2020</v>
      </c>
      <c r="AN11505" s="55" t="s">
        <v>186</v>
      </c>
      <c r="AO11505" s="55">
        <v>24</v>
      </c>
      <c r="AP11505" s="55">
        <v>7</v>
      </c>
      <c r="AQ11505" s="55">
        <v>12311.5</v>
      </c>
      <c r="AR11505" s="55">
        <v>28500</v>
      </c>
      <c r="AS11505" s="78">
        <f t="shared" si="183"/>
        <v>0.43198245614035086</v>
      </c>
    </row>
    <row r="11506" spans="39:45">
      <c r="AM11506" s="54">
        <v>2020</v>
      </c>
      <c r="AN11506" s="54" t="s">
        <v>186</v>
      </c>
      <c r="AO11506" s="54">
        <v>24</v>
      </c>
      <c r="AP11506" s="54">
        <v>8</v>
      </c>
      <c r="AQ11506" s="54">
        <v>23027.5</v>
      </c>
      <c r="AR11506" s="55">
        <v>28500</v>
      </c>
      <c r="AS11506" s="78">
        <f t="shared" si="183"/>
        <v>0.80798245614035091</v>
      </c>
    </row>
    <row r="11507" spans="39:45">
      <c r="AM11507" s="55">
        <v>2020</v>
      </c>
      <c r="AN11507" s="55" t="s">
        <v>186</v>
      </c>
      <c r="AO11507" s="55">
        <v>24</v>
      </c>
      <c r="AP11507" s="55">
        <v>9</v>
      </c>
      <c r="AQ11507" s="55">
        <v>31437.5</v>
      </c>
      <c r="AR11507" s="55">
        <v>28500</v>
      </c>
      <c r="AS11507" s="78">
        <f t="shared" si="183"/>
        <v>1.1030701754385965</v>
      </c>
    </row>
    <row r="11508" spans="39:45">
      <c r="AM11508" s="54">
        <v>2020</v>
      </c>
      <c r="AN11508" s="54" t="s">
        <v>186</v>
      </c>
      <c r="AO11508" s="54">
        <v>24</v>
      </c>
      <c r="AP11508" s="54">
        <v>10</v>
      </c>
      <c r="AQ11508" s="54">
        <v>37550.5</v>
      </c>
      <c r="AR11508" s="55">
        <v>28500</v>
      </c>
      <c r="AS11508" s="78">
        <f t="shared" si="183"/>
        <v>1.3175614035087719</v>
      </c>
    </row>
    <row r="11509" spans="39:45">
      <c r="AM11509" s="55">
        <v>2020</v>
      </c>
      <c r="AN11509" s="55" t="s">
        <v>186</v>
      </c>
      <c r="AO11509" s="55">
        <v>24</v>
      </c>
      <c r="AP11509" s="55">
        <v>11</v>
      </c>
      <c r="AQ11509" s="55">
        <v>40742</v>
      </c>
      <c r="AR11509" s="55">
        <v>28500</v>
      </c>
      <c r="AS11509" s="78">
        <f t="shared" si="183"/>
        <v>1.4295438596491228</v>
      </c>
    </row>
    <row r="11510" spans="39:45">
      <c r="AM11510" s="54">
        <v>2020</v>
      </c>
      <c r="AN11510" s="54" t="s">
        <v>186</v>
      </c>
      <c r="AO11510" s="54">
        <v>24</v>
      </c>
      <c r="AP11510" s="54">
        <v>12</v>
      </c>
      <c r="AQ11510" s="54">
        <v>40959</v>
      </c>
      <c r="AR11510" s="55">
        <v>28500</v>
      </c>
      <c r="AS11510" s="78">
        <f t="shared" si="183"/>
        <v>1.4371578947368422</v>
      </c>
    </row>
    <row r="11511" spans="39:45">
      <c r="AM11511" s="55">
        <v>2020</v>
      </c>
      <c r="AN11511" s="55" t="s">
        <v>186</v>
      </c>
      <c r="AO11511" s="55">
        <v>24</v>
      </c>
      <c r="AP11511" s="55">
        <v>13</v>
      </c>
      <c r="AQ11511" s="55">
        <v>38836</v>
      </c>
      <c r="AR11511" s="55">
        <v>28500</v>
      </c>
      <c r="AS11511" s="78">
        <f t="shared" si="183"/>
        <v>1.3626666666666667</v>
      </c>
    </row>
    <row r="11512" spans="39:45">
      <c r="AM11512" s="54">
        <v>2020</v>
      </c>
      <c r="AN11512" s="54" t="s">
        <v>186</v>
      </c>
      <c r="AO11512" s="54">
        <v>24</v>
      </c>
      <c r="AP11512" s="54">
        <v>14</v>
      </c>
      <c r="AQ11512" s="54">
        <v>34241</v>
      </c>
      <c r="AR11512" s="55">
        <v>28500</v>
      </c>
      <c r="AS11512" s="78">
        <f t="shared" si="183"/>
        <v>1.201438596491228</v>
      </c>
    </row>
    <row r="11513" spans="39:45">
      <c r="AM11513" s="55">
        <v>2020</v>
      </c>
      <c r="AN11513" s="55" t="s">
        <v>186</v>
      </c>
      <c r="AO11513" s="55">
        <v>24</v>
      </c>
      <c r="AP11513" s="55">
        <v>15</v>
      </c>
      <c r="AQ11513" s="55">
        <v>26806</v>
      </c>
      <c r="AR11513" s="55">
        <v>28500</v>
      </c>
      <c r="AS11513" s="78">
        <f t="shared" si="183"/>
        <v>0.94056140350877193</v>
      </c>
    </row>
    <row r="11514" spans="39:45">
      <c r="AM11514" s="54">
        <v>2020</v>
      </c>
      <c r="AN11514" s="54" t="s">
        <v>186</v>
      </c>
      <c r="AO11514" s="54">
        <v>24</v>
      </c>
      <c r="AP11514" s="54">
        <v>16</v>
      </c>
      <c r="AQ11514" s="54">
        <v>15575.5</v>
      </c>
      <c r="AR11514" s="55">
        <v>28500</v>
      </c>
      <c r="AS11514" s="78">
        <f t="shared" si="183"/>
        <v>0.54650877192982461</v>
      </c>
    </row>
    <row r="11515" spans="39:45">
      <c r="AM11515" s="55">
        <v>2020</v>
      </c>
      <c r="AN11515" s="55" t="s">
        <v>186</v>
      </c>
      <c r="AO11515" s="55">
        <v>24</v>
      </c>
      <c r="AP11515" s="55">
        <v>17</v>
      </c>
      <c r="AQ11515" s="55">
        <v>7188</v>
      </c>
      <c r="AR11515" s="55">
        <v>28500</v>
      </c>
      <c r="AS11515" s="78">
        <f t="shared" si="183"/>
        <v>0.2522105263157895</v>
      </c>
    </row>
    <row r="11516" spans="39:45">
      <c r="AM11516" s="54">
        <v>2020</v>
      </c>
      <c r="AN11516" s="54" t="s">
        <v>186</v>
      </c>
      <c r="AO11516" s="54">
        <v>24</v>
      </c>
      <c r="AP11516" s="54">
        <v>18</v>
      </c>
      <c r="AQ11516" s="54">
        <v>1312.5</v>
      </c>
      <c r="AR11516" s="55">
        <v>28500</v>
      </c>
      <c r="AS11516" s="78">
        <f t="shared" si="183"/>
        <v>4.6052631578947366E-2</v>
      </c>
    </row>
    <row r="11517" spans="39:45">
      <c r="AM11517" s="55">
        <v>2020</v>
      </c>
      <c r="AN11517" s="55" t="s">
        <v>186</v>
      </c>
      <c r="AO11517" s="55">
        <v>24</v>
      </c>
      <c r="AP11517" s="55">
        <v>19</v>
      </c>
      <c r="AQ11517" s="55">
        <v>0</v>
      </c>
      <c r="AR11517" s="55">
        <v>28500</v>
      </c>
      <c r="AS11517" s="78">
        <f t="shared" si="183"/>
        <v>0</v>
      </c>
    </row>
    <row r="11518" spans="39:45">
      <c r="AM11518" s="54">
        <v>2020</v>
      </c>
      <c r="AN11518" s="54" t="s">
        <v>186</v>
      </c>
      <c r="AO11518" s="54">
        <v>24</v>
      </c>
      <c r="AP11518" s="54">
        <v>20</v>
      </c>
      <c r="AQ11518" s="54">
        <v>0</v>
      </c>
      <c r="AR11518" s="55">
        <v>28500</v>
      </c>
      <c r="AS11518" s="78">
        <f t="shared" si="183"/>
        <v>0</v>
      </c>
    </row>
    <row r="11519" spans="39:45">
      <c r="AM11519" s="55">
        <v>2020</v>
      </c>
      <c r="AN11519" s="55" t="s">
        <v>186</v>
      </c>
      <c r="AO11519" s="55">
        <v>24</v>
      </c>
      <c r="AP11519" s="55">
        <v>21</v>
      </c>
      <c r="AQ11519" s="55">
        <v>0</v>
      </c>
      <c r="AR11519" s="55">
        <v>28500</v>
      </c>
      <c r="AS11519" s="78">
        <f t="shared" si="183"/>
        <v>0</v>
      </c>
    </row>
    <row r="11520" spans="39:45">
      <c r="AM11520" s="54">
        <v>2020</v>
      </c>
      <c r="AN11520" s="54" t="s">
        <v>186</v>
      </c>
      <c r="AO11520" s="54">
        <v>24</v>
      </c>
      <c r="AP11520" s="54">
        <v>22</v>
      </c>
      <c r="AQ11520" s="54">
        <v>0</v>
      </c>
      <c r="AR11520" s="55">
        <v>28500</v>
      </c>
      <c r="AS11520" s="78">
        <f t="shared" si="183"/>
        <v>0</v>
      </c>
    </row>
    <row r="11521" spans="39:45">
      <c r="AM11521" s="55">
        <v>2020</v>
      </c>
      <c r="AN11521" s="55" t="s">
        <v>186</v>
      </c>
      <c r="AO11521" s="55">
        <v>24</v>
      </c>
      <c r="AP11521" s="55">
        <v>23</v>
      </c>
      <c r="AQ11521" s="55">
        <v>0</v>
      </c>
      <c r="AR11521" s="55">
        <v>28500</v>
      </c>
      <c r="AS11521" s="78">
        <f t="shared" si="183"/>
        <v>0</v>
      </c>
    </row>
    <row r="11522" spans="39:45">
      <c r="AM11522" s="54">
        <v>2020</v>
      </c>
      <c r="AN11522" s="54" t="s">
        <v>186</v>
      </c>
      <c r="AO11522" s="54">
        <v>25</v>
      </c>
      <c r="AP11522" s="54">
        <v>24</v>
      </c>
      <c r="AQ11522" s="54">
        <v>0</v>
      </c>
      <c r="AR11522" s="55">
        <v>28500</v>
      </c>
      <c r="AS11522" s="78">
        <f t="shared" ref="AS11522:AS11585" si="184">AQ11522/AR11522</f>
        <v>0</v>
      </c>
    </row>
    <row r="11523" spans="39:45">
      <c r="AM11523" s="55">
        <v>2020</v>
      </c>
      <c r="AN11523" s="55" t="s">
        <v>186</v>
      </c>
      <c r="AO11523" s="55">
        <v>25</v>
      </c>
      <c r="AP11523" s="55">
        <v>1</v>
      </c>
      <c r="AQ11523" s="55">
        <v>0</v>
      </c>
      <c r="AR11523" s="55">
        <v>28500</v>
      </c>
      <c r="AS11523" s="78">
        <f t="shared" si="184"/>
        <v>0</v>
      </c>
    </row>
    <row r="11524" spans="39:45">
      <c r="AM11524" s="54">
        <v>2020</v>
      </c>
      <c r="AN11524" s="54" t="s">
        <v>186</v>
      </c>
      <c r="AO11524" s="54">
        <v>25</v>
      </c>
      <c r="AP11524" s="54">
        <v>2</v>
      </c>
      <c r="AQ11524" s="54">
        <v>0</v>
      </c>
      <c r="AR11524" s="55">
        <v>28500</v>
      </c>
      <c r="AS11524" s="78">
        <f t="shared" si="184"/>
        <v>0</v>
      </c>
    </row>
    <row r="11525" spans="39:45">
      <c r="AM11525" s="55">
        <v>2020</v>
      </c>
      <c r="AN11525" s="55" t="s">
        <v>186</v>
      </c>
      <c r="AO11525" s="55">
        <v>25</v>
      </c>
      <c r="AP11525" s="55">
        <v>3</v>
      </c>
      <c r="AQ11525" s="55">
        <v>0</v>
      </c>
      <c r="AR11525" s="55">
        <v>28500</v>
      </c>
      <c r="AS11525" s="78">
        <f t="shared" si="184"/>
        <v>0</v>
      </c>
    </row>
    <row r="11526" spans="39:45">
      <c r="AM11526" s="54">
        <v>2020</v>
      </c>
      <c r="AN11526" s="54" t="s">
        <v>186</v>
      </c>
      <c r="AO11526" s="54">
        <v>25</v>
      </c>
      <c r="AP11526" s="54">
        <v>4</v>
      </c>
      <c r="AQ11526" s="54">
        <v>0</v>
      </c>
      <c r="AR11526" s="55">
        <v>28500</v>
      </c>
      <c r="AS11526" s="78">
        <f t="shared" si="184"/>
        <v>0</v>
      </c>
    </row>
    <row r="11527" spans="39:45">
      <c r="AM11527" s="55">
        <v>2020</v>
      </c>
      <c r="AN11527" s="55" t="s">
        <v>186</v>
      </c>
      <c r="AO11527" s="55">
        <v>25</v>
      </c>
      <c r="AP11527" s="55">
        <v>5</v>
      </c>
      <c r="AQ11527" s="55">
        <v>0</v>
      </c>
      <c r="AR11527" s="55">
        <v>28500</v>
      </c>
      <c r="AS11527" s="78">
        <f t="shared" si="184"/>
        <v>0</v>
      </c>
    </row>
    <row r="11528" spans="39:45">
      <c r="AM11528" s="54">
        <v>2020</v>
      </c>
      <c r="AN11528" s="54" t="s">
        <v>186</v>
      </c>
      <c r="AO11528" s="54">
        <v>25</v>
      </c>
      <c r="AP11528" s="54">
        <v>6</v>
      </c>
      <c r="AQ11528" s="54">
        <v>2292.5</v>
      </c>
      <c r="AR11528" s="55">
        <v>28500</v>
      </c>
      <c r="AS11528" s="78">
        <f t="shared" si="184"/>
        <v>8.0438596491228073E-2</v>
      </c>
    </row>
    <row r="11529" spans="39:45">
      <c r="AM11529" s="55">
        <v>2020</v>
      </c>
      <c r="AN11529" s="55" t="s">
        <v>186</v>
      </c>
      <c r="AO11529" s="55">
        <v>25</v>
      </c>
      <c r="AP11529" s="55">
        <v>7</v>
      </c>
      <c r="AQ11529" s="55">
        <v>5473</v>
      </c>
      <c r="AR11529" s="55">
        <v>28500</v>
      </c>
      <c r="AS11529" s="78">
        <f t="shared" si="184"/>
        <v>0.19203508771929825</v>
      </c>
    </row>
    <row r="11530" spans="39:45">
      <c r="AM11530" s="54">
        <v>2020</v>
      </c>
      <c r="AN11530" s="54" t="s">
        <v>186</v>
      </c>
      <c r="AO11530" s="54">
        <v>25</v>
      </c>
      <c r="AP11530" s="54">
        <v>8</v>
      </c>
      <c r="AQ11530" s="54">
        <v>6748.5</v>
      </c>
      <c r="AR11530" s="55">
        <v>28500</v>
      </c>
      <c r="AS11530" s="78">
        <f t="shared" si="184"/>
        <v>0.23678947368421052</v>
      </c>
    </row>
    <row r="11531" spans="39:45">
      <c r="AM11531" s="55">
        <v>2020</v>
      </c>
      <c r="AN11531" s="55" t="s">
        <v>186</v>
      </c>
      <c r="AO11531" s="55">
        <v>25</v>
      </c>
      <c r="AP11531" s="55">
        <v>9</v>
      </c>
      <c r="AQ11531" s="55">
        <v>11757</v>
      </c>
      <c r="AR11531" s="55">
        <v>28500</v>
      </c>
      <c r="AS11531" s="78">
        <f t="shared" si="184"/>
        <v>0.41252631578947369</v>
      </c>
    </row>
    <row r="11532" spans="39:45">
      <c r="AM11532" s="54">
        <v>2020</v>
      </c>
      <c r="AN11532" s="54" t="s">
        <v>186</v>
      </c>
      <c r="AO11532" s="54">
        <v>25</v>
      </c>
      <c r="AP11532" s="54">
        <v>10</v>
      </c>
      <c r="AQ11532" s="54">
        <v>12526.5</v>
      </c>
      <c r="AR11532" s="55">
        <v>28500</v>
      </c>
      <c r="AS11532" s="78">
        <f t="shared" si="184"/>
        <v>0.43952631578947371</v>
      </c>
    </row>
    <row r="11533" spans="39:45">
      <c r="AM11533" s="55">
        <v>2020</v>
      </c>
      <c r="AN11533" s="55" t="s">
        <v>186</v>
      </c>
      <c r="AO11533" s="55">
        <v>25</v>
      </c>
      <c r="AP11533" s="55">
        <v>11</v>
      </c>
      <c r="AQ11533" s="55">
        <v>39678</v>
      </c>
      <c r="AR11533" s="55">
        <v>28500</v>
      </c>
      <c r="AS11533" s="78">
        <f t="shared" si="184"/>
        <v>1.3922105263157896</v>
      </c>
    </row>
    <row r="11534" spans="39:45">
      <c r="AM11534" s="54">
        <v>2020</v>
      </c>
      <c r="AN11534" s="54" t="s">
        <v>186</v>
      </c>
      <c r="AO11534" s="54">
        <v>25</v>
      </c>
      <c r="AP11534" s="54">
        <v>12</v>
      </c>
      <c r="AQ11534" s="54">
        <v>42694</v>
      </c>
      <c r="AR11534" s="55">
        <v>28500</v>
      </c>
      <c r="AS11534" s="78">
        <f t="shared" si="184"/>
        <v>1.4980350877192983</v>
      </c>
    </row>
    <row r="11535" spans="39:45">
      <c r="AM11535" s="55">
        <v>2020</v>
      </c>
      <c r="AN11535" s="55" t="s">
        <v>186</v>
      </c>
      <c r="AO11535" s="55">
        <v>25</v>
      </c>
      <c r="AP11535" s="55">
        <v>13</v>
      </c>
      <c r="AQ11535" s="55">
        <v>40485</v>
      </c>
      <c r="AR11535" s="55">
        <v>28500</v>
      </c>
      <c r="AS11535" s="78">
        <f t="shared" si="184"/>
        <v>1.4205263157894736</v>
      </c>
    </row>
    <row r="11536" spans="39:45">
      <c r="AM11536" s="54">
        <v>2020</v>
      </c>
      <c r="AN11536" s="54" t="s">
        <v>186</v>
      </c>
      <c r="AO11536" s="54">
        <v>25</v>
      </c>
      <c r="AP11536" s="54">
        <v>14</v>
      </c>
      <c r="AQ11536" s="54">
        <v>35903.5</v>
      </c>
      <c r="AR11536" s="55">
        <v>28500</v>
      </c>
      <c r="AS11536" s="78">
        <f t="shared" si="184"/>
        <v>1.2597719298245613</v>
      </c>
    </row>
    <row r="11537" spans="39:45">
      <c r="AM11537" s="55">
        <v>2020</v>
      </c>
      <c r="AN11537" s="55" t="s">
        <v>186</v>
      </c>
      <c r="AO11537" s="55">
        <v>25</v>
      </c>
      <c r="AP11537" s="55">
        <v>15</v>
      </c>
      <c r="AQ11537" s="55">
        <v>28550</v>
      </c>
      <c r="AR11537" s="55">
        <v>28500</v>
      </c>
      <c r="AS11537" s="78">
        <f t="shared" si="184"/>
        <v>1.0017543859649123</v>
      </c>
    </row>
    <row r="11538" spans="39:45">
      <c r="AM11538" s="54">
        <v>2020</v>
      </c>
      <c r="AN11538" s="54" t="s">
        <v>186</v>
      </c>
      <c r="AO11538" s="54">
        <v>25</v>
      </c>
      <c r="AP11538" s="54">
        <v>16</v>
      </c>
      <c r="AQ11538" s="54">
        <v>18881.5</v>
      </c>
      <c r="AR11538" s="55">
        <v>28500</v>
      </c>
      <c r="AS11538" s="78">
        <f t="shared" si="184"/>
        <v>0.6625087719298246</v>
      </c>
    </row>
    <row r="11539" spans="39:45">
      <c r="AM11539" s="55">
        <v>2020</v>
      </c>
      <c r="AN11539" s="55" t="s">
        <v>186</v>
      </c>
      <c r="AO11539" s="55">
        <v>25</v>
      </c>
      <c r="AP11539" s="55">
        <v>17</v>
      </c>
      <c r="AQ11539" s="55">
        <v>7878</v>
      </c>
      <c r="AR11539" s="55">
        <v>28500</v>
      </c>
      <c r="AS11539" s="78">
        <f t="shared" si="184"/>
        <v>0.27642105263157896</v>
      </c>
    </row>
    <row r="11540" spans="39:45">
      <c r="AM11540" s="54">
        <v>2020</v>
      </c>
      <c r="AN11540" s="54" t="s">
        <v>186</v>
      </c>
      <c r="AO11540" s="54">
        <v>25</v>
      </c>
      <c r="AP11540" s="54">
        <v>18</v>
      </c>
      <c r="AQ11540" s="54">
        <v>923</v>
      </c>
      <c r="AR11540" s="55">
        <v>28500</v>
      </c>
      <c r="AS11540" s="78">
        <f t="shared" si="184"/>
        <v>3.2385964912280699E-2</v>
      </c>
    </row>
    <row r="11541" spans="39:45">
      <c r="AM11541" s="55">
        <v>2020</v>
      </c>
      <c r="AN11541" s="55" t="s">
        <v>186</v>
      </c>
      <c r="AO11541" s="55">
        <v>25</v>
      </c>
      <c r="AP11541" s="55">
        <v>19</v>
      </c>
      <c r="AQ11541" s="55">
        <v>0</v>
      </c>
      <c r="AR11541" s="55">
        <v>28500</v>
      </c>
      <c r="AS11541" s="78">
        <f t="shared" si="184"/>
        <v>0</v>
      </c>
    </row>
    <row r="11542" spans="39:45">
      <c r="AM11542" s="54">
        <v>2020</v>
      </c>
      <c r="AN11542" s="54" t="s">
        <v>186</v>
      </c>
      <c r="AO11542" s="54">
        <v>25</v>
      </c>
      <c r="AP11542" s="54">
        <v>20</v>
      </c>
      <c r="AQ11542" s="54">
        <v>0</v>
      </c>
      <c r="AR11542" s="55">
        <v>28500</v>
      </c>
      <c r="AS11542" s="78">
        <f t="shared" si="184"/>
        <v>0</v>
      </c>
    </row>
    <row r="11543" spans="39:45">
      <c r="AM11543" s="55">
        <v>2020</v>
      </c>
      <c r="AN11543" s="55" t="s">
        <v>186</v>
      </c>
      <c r="AO11543" s="55">
        <v>25</v>
      </c>
      <c r="AP11543" s="55">
        <v>21</v>
      </c>
      <c r="AQ11543" s="55">
        <v>0</v>
      </c>
      <c r="AR11543" s="55">
        <v>28500</v>
      </c>
      <c r="AS11543" s="78">
        <f t="shared" si="184"/>
        <v>0</v>
      </c>
    </row>
    <row r="11544" spans="39:45">
      <c r="AM11544" s="54">
        <v>2020</v>
      </c>
      <c r="AN11544" s="54" t="s">
        <v>186</v>
      </c>
      <c r="AO11544" s="54">
        <v>25</v>
      </c>
      <c r="AP11544" s="54">
        <v>22</v>
      </c>
      <c r="AQ11544" s="54">
        <v>0</v>
      </c>
      <c r="AR11544" s="55">
        <v>28500</v>
      </c>
      <c r="AS11544" s="78">
        <f t="shared" si="184"/>
        <v>0</v>
      </c>
    </row>
    <row r="11545" spans="39:45">
      <c r="AM11545" s="55">
        <v>2020</v>
      </c>
      <c r="AN11545" s="55" t="s">
        <v>186</v>
      </c>
      <c r="AO11545" s="55">
        <v>25</v>
      </c>
      <c r="AP11545" s="55">
        <v>23</v>
      </c>
      <c r="AQ11545" s="55">
        <v>0</v>
      </c>
      <c r="AR11545" s="55">
        <v>28500</v>
      </c>
      <c r="AS11545" s="78">
        <f t="shared" si="184"/>
        <v>0</v>
      </c>
    </row>
    <row r="11546" spans="39:45">
      <c r="AM11546" s="54">
        <v>2020</v>
      </c>
      <c r="AN11546" s="54" t="s">
        <v>186</v>
      </c>
      <c r="AO11546" s="54">
        <v>26</v>
      </c>
      <c r="AP11546" s="54">
        <v>24</v>
      </c>
      <c r="AQ11546" s="54">
        <v>0</v>
      </c>
      <c r="AR11546" s="55">
        <v>28500</v>
      </c>
      <c r="AS11546" s="78">
        <f t="shared" si="184"/>
        <v>0</v>
      </c>
    </row>
    <row r="11547" spans="39:45">
      <c r="AM11547" s="55">
        <v>2020</v>
      </c>
      <c r="AN11547" s="55" t="s">
        <v>186</v>
      </c>
      <c r="AO11547" s="55">
        <v>26</v>
      </c>
      <c r="AP11547" s="55">
        <v>1</v>
      </c>
      <c r="AQ11547" s="55">
        <v>0</v>
      </c>
      <c r="AR11547" s="55">
        <v>28500</v>
      </c>
      <c r="AS11547" s="78">
        <f t="shared" si="184"/>
        <v>0</v>
      </c>
    </row>
    <row r="11548" spans="39:45">
      <c r="AM11548" s="54">
        <v>2020</v>
      </c>
      <c r="AN11548" s="54" t="s">
        <v>186</v>
      </c>
      <c r="AO11548" s="54">
        <v>26</v>
      </c>
      <c r="AP11548" s="54">
        <v>2</v>
      </c>
      <c r="AQ11548" s="54">
        <v>0</v>
      </c>
      <c r="AR11548" s="55">
        <v>28500</v>
      </c>
      <c r="AS11548" s="78">
        <f t="shared" si="184"/>
        <v>0</v>
      </c>
    </row>
    <row r="11549" spans="39:45">
      <c r="AM11549" s="55">
        <v>2020</v>
      </c>
      <c r="AN11549" s="55" t="s">
        <v>186</v>
      </c>
      <c r="AO11549" s="55">
        <v>26</v>
      </c>
      <c r="AP11549" s="55">
        <v>3</v>
      </c>
      <c r="AQ11549" s="55">
        <v>0</v>
      </c>
      <c r="AR11549" s="55">
        <v>28500</v>
      </c>
      <c r="AS11549" s="78">
        <f t="shared" si="184"/>
        <v>0</v>
      </c>
    </row>
    <row r="11550" spans="39:45">
      <c r="AM11550" s="54">
        <v>2020</v>
      </c>
      <c r="AN11550" s="54" t="s">
        <v>186</v>
      </c>
      <c r="AO11550" s="54">
        <v>26</v>
      </c>
      <c r="AP11550" s="54">
        <v>4</v>
      </c>
      <c r="AQ11550" s="54">
        <v>0</v>
      </c>
      <c r="AR11550" s="55">
        <v>28500</v>
      </c>
      <c r="AS11550" s="78">
        <f t="shared" si="184"/>
        <v>0</v>
      </c>
    </row>
    <row r="11551" spans="39:45">
      <c r="AM11551" s="55">
        <v>2020</v>
      </c>
      <c r="AN11551" s="55" t="s">
        <v>186</v>
      </c>
      <c r="AO11551" s="55">
        <v>26</v>
      </c>
      <c r="AP11551" s="55">
        <v>5</v>
      </c>
      <c r="AQ11551" s="55">
        <v>196</v>
      </c>
      <c r="AR11551" s="55">
        <v>28500</v>
      </c>
      <c r="AS11551" s="78">
        <f t="shared" si="184"/>
        <v>6.8771929824561406E-3</v>
      </c>
    </row>
    <row r="11552" spans="39:45">
      <c r="AM11552" s="54">
        <v>2020</v>
      </c>
      <c r="AN11552" s="54" t="s">
        <v>186</v>
      </c>
      <c r="AO11552" s="54">
        <v>26</v>
      </c>
      <c r="AP11552" s="54">
        <v>6</v>
      </c>
      <c r="AQ11552" s="54">
        <v>2766</v>
      </c>
      <c r="AR11552" s="55">
        <v>28500</v>
      </c>
      <c r="AS11552" s="78">
        <f t="shared" si="184"/>
        <v>9.7052631578947363E-2</v>
      </c>
    </row>
    <row r="11553" spans="39:45">
      <c r="AM11553" s="55">
        <v>2020</v>
      </c>
      <c r="AN11553" s="55" t="s">
        <v>186</v>
      </c>
      <c r="AO11553" s="55">
        <v>26</v>
      </c>
      <c r="AP11553" s="55">
        <v>7</v>
      </c>
      <c r="AQ11553" s="55">
        <v>13348.5</v>
      </c>
      <c r="AR11553" s="55">
        <v>28500</v>
      </c>
      <c r="AS11553" s="78">
        <f t="shared" si="184"/>
        <v>0.4683684210526316</v>
      </c>
    </row>
    <row r="11554" spans="39:45">
      <c r="AM11554" s="54">
        <v>2020</v>
      </c>
      <c r="AN11554" s="54" t="s">
        <v>186</v>
      </c>
      <c r="AO11554" s="54">
        <v>26</v>
      </c>
      <c r="AP11554" s="54">
        <v>8</v>
      </c>
      <c r="AQ11554" s="54">
        <v>23938.5</v>
      </c>
      <c r="AR11554" s="55">
        <v>28500</v>
      </c>
      <c r="AS11554" s="78">
        <f t="shared" si="184"/>
        <v>0.83994736842105266</v>
      </c>
    </row>
    <row r="11555" spans="39:45">
      <c r="AM11555" s="55">
        <v>2020</v>
      </c>
      <c r="AN11555" s="55" t="s">
        <v>186</v>
      </c>
      <c r="AO11555" s="55">
        <v>26</v>
      </c>
      <c r="AP11555" s="55">
        <v>9</v>
      </c>
      <c r="AQ11555" s="55">
        <v>32070.5</v>
      </c>
      <c r="AR11555" s="55">
        <v>28500</v>
      </c>
      <c r="AS11555" s="78">
        <f t="shared" si="184"/>
        <v>1.125280701754386</v>
      </c>
    </row>
    <row r="11556" spans="39:45">
      <c r="AM11556" s="54">
        <v>2020</v>
      </c>
      <c r="AN11556" s="54" t="s">
        <v>186</v>
      </c>
      <c r="AO11556" s="54">
        <v>26</v>
      </c>
      <c r="AP11556" s="54">
        <v>10</v>
      </c>
      <c r="AQ11556" s="54">
        <v>37833.5</v>
      </c>
      <c r="AR11556" s="55">
        <v>28500</v>
      </c>
      <c r="AS11556" s="78">
        <f t="shared" si="184"/>
        <v>1.3274912280701754</v>
      </c>
    </row>
    <row r="11557" spans="39:45">
      <c r="AM11557" s="55">
        <v>2020</v>
      </c>
      <c r="AN11557" s="55" t="s">
        <v>186</v>
      </c>
      <c r="AO11557" s="55">
        <v>26</v>
      </c>
      <c r="AP11557" s="55">
        <v>11</v>
      </c>
      <c r="AQ11557" s="55">
        <v>40680.5</v>
      </c>
      <c r="AR11557" s="55">
        <v>28500</v>
      </c>
      <c r="AS11557" s="78">
        <f t="shared" si="184"/>
        <v>1.4273859649122806</v>
      </c>
    </row>
    <row r="11558" spans="39:45">
      <c r="AM11558" s="54">
        <v>2020</v>
      </c>
      <c r="AN11558" s="54" t="s">
        <v>186</v>
      </c>
      <c r="AO11558" s="54">
        <v>26</v>
      </c>
      <c r="AP11558" s="54">
        <v>12</v>
      </c>
      <c r="AQ11558" s="54">
        <v>41005.5</v>
      </c>
      <c r="AR11558" s="55">
        <v>28500</v>
      </c>
      <c r="AS11558" s="78">
        <f t="shared" si="184"/>
        <v>1.4387894736842106</v>
      </c>
    </row>
    <row r="11559" spans="39:45">
      <c r="AM11559" s="55">
        <v>2020</v>
      </c>
      <c r="AN11559" s="55" t="s">
        <v>186</v>
      </c>
      <c r="AO11559" s="55">
        <v>26</v>
      </c>
      <c r="AP11559" s="55">
        <v>13</v>
      </c>
      <c r="AQ11559" s="55">
        <v>38980</v>
      </c>
      <c r="AR11559" s="55">
        <v>28500</v>
      </c>
      <c r="AS11559" s="78">
        <f t="shared" si="184"/>
        <v>1.3677192982456141</v>
      </c>
    </row>
    <row r="11560" spans="39:45">
      <c r="AM11560" s="54">
        <v>2020</v>
      </c>
      <c r="AN11560" s="54" t="s">
        <v>186</v>
      </c>
      <c r="AO11560" s="54">
        <v>26</v>
      </c>
      <c r="AP11560" s="54">
        <v>14</v>
      </c>
      <c r="AQ11560" s="54">
        <v>33376</v>
      </c>
      <c r="AR11560" s="55">
        <v>28500</v>
      </c>
      <c r="AS11560" s="78">
        <f t="shared" si="184"/>
        <v>1.1710877192982456</v>
      </c>
    </row>
    <row r="11561" spans="39:45">
      <c r="AM11561" s="55">
        <v>2020</v>
      </c>
      <c r="AN11561" s="55" t="s">
        <v>186</v>
      </c>
      <c r="AO11561" s="55">
        <v>26</v>
      </c>
      <c r="AP11561" s="55">
        <v>15</v>
      </c>
      <c r="AQ11561" s="55">
        <v>27558</v>
      </c>
      <c r="AR11561" s="55">
        <v>28500</v>
      </c>
      <c r="AS11561" s="78">
        <f t="shared" si="184"/>
        <v>0.96694736842105267</v>
      </c>
    </row>
    <row r="11562" spans="39:45">
      <c r="AM11562" s="54">
        <v>2020</v>
      </c>
      <c r="AN11562" s="54" t="s">
        <v>186</v>
      </c>
      <c r="AO11562" s="54">
        <v>26</v>
      </c>
      <c r="AP11562" s="54">
        <v>16</v>
      </c>
      <c r="AQ11562" s="54">
        <v>18248.5</v>
      </c>
      <c r="AR11562" s="55">
        <v>28500</v>
      </c>
      <c r="AS11562" s="78">
        <f t="shared" si="184"/>
        <v>0.64029824561403503</v>
      </c>
    </row>
    <row r="11563" spans="39:45">
      <c r="AM11563" s="55">
        <v>2020</v>
      </c>
      <c r="AN11563" s="55" t="s">
        <v>186</v>
      </c>
      <c r="AO11563" s="55">
        <v>26</v>
      </c>
      <c r="AP11563" s="55">
        <v>17</v>
      </c>
      <c r="AQ11563" s="55">
        <v>7659.5</v>
      </c>
      <c r="AR11563" s="55">
        <v>28500</v>
      </c>
      <c r="AS11563" s="78">
        <f t="shared" si="184"/>
        <v>0.2687543859649123</v>
      </c>
    </row>
    <row r="11564" spans="39:45">
      <c r="AM11564" s="54">
        <v>2020</v>
      </c>
      <c r="AN11564" s="54" t="s">
        <v>186</v>
      </c>
      <c r="AO11564" s="54">
        <v>26</v>
      </c>
      <c r="AP11564" s="54">
        <v>18</v>
      </c>
      <c r="AQ11564" s="54">
        <v>1028.5</v>
      </c>
      <c r="AR11564" s="55">
        <v>28500</v>
      </c>
      <c r="AS11564" s="78">
        <f t="shared" si="184"/>
        <v>3.6087719298245613E-2</v>
      </c>
    </row>
    <row r="11565" spans="39:45">
      <c r="AM11565" s="55">
        <v>2020</v>
      </c>
      <c r="AN11565" s="55" t="s">
        <v>186</v>
      </c>
      <c r="AO11565" s="55">
        <v>26</v>
      </c>
      <c r="AP11565" s="55">
        <v>19</v>
      </c>
      <c r="AQ11565" s="55">
        <v>0</v>
      </c>
      <c r="AR11565" s="55">
        <v>28500</v>
      </c>
      <c r="AS11565" s="78">
        <f t="shared" si="184"/>
        <v>0</v>
      </c>
    </row>
    <row r="11566" spans="39:45">
      <c r="AM11566" s="54">
        <v>2020</v>
      </c>
      <c r="AN11566" s="54" t="s">
        <v>186</v>
      </c>
      <c r="AO11566" s="54">
        <v>26</v>
      </c>
      <c r="AP11566" s="54">
        <v>20</v>
      </c>
      <c r="AQ11566" s="54">
        <v>0</v>
      </c>
      <c r="AR11566" s="55">
        <v>28500</v>
      </c>
      <c r="AS11566" s="78">
        <f t="shared" si="184"/>
        <v>0</v>
      </c>
    </row>
    <row r="11567" spans="39:45">
      <c r="AM11567" s="55">
        <v>2020</v>
      </c>
      <c r="AN11567" s="55" t="s">
        <v>186</v>
      </c>
      <c r="AO11567" s="55">
        <v>26</v>
      </c>
      <c r="AP11567" s="55">
        <v>21</v>
      </c>
      <c r="AQ11567" s="55">
        <v>0</v>
      </c>
      <c r="AR11567" s="55">
        <v>28500</v>
      </c>
      <c r="AS11567" s="78">
        <f t="shared" si="184"/>
        <v>0</v>
      </c>
    </row>
    <row r="11568" spans="39:45">
      <c r="AM11568" s="54">
        <v>2020</v>
      </c>
      <c r="AN11568" s="54" t="s">
        <v>186</v>
      </c>
      <c r="AO11568" s="54">
        <v>26</v>
      </c>
      <c r="AP11568" s="54">
        <v>22</v>
      </c>
      <c r="AQ11568" s="54">
        <v>0</v>
      </c>
      <c r="AR11568" s="55">
        <v>28500</v>
      </c>
      <c r="AS11568" s="78">
        <f t="shared" si="184"/>
        <v>0</v>
      </c>
    </row>
    <row r="11569" spans="39:45">
      <c r="AM11569" s="55">
        <v>2020</v>
      </c>
      <c r="AN11569" s="55" t="s">
        <v>186</v>
      </c>
      <c r="AO11569" s="55">
        <v>26</v>
      </c>
      <c r="AP11569" s="55">
        <v>23</v>
      </c>
      <c r="AQ11569" s="55">
        <v>0</v>
      </c>
      <c r="AR11569" s="55">
        <v>28500</v>
      </c>
      <c r="AS11569" s="78">
        <f t="shared" si="184"/>
        <v>0</v>
      </c>
    </row>
    <row r="11570" spans="39:45">
      <c r="AM11570" s="54">
        <v>2020</v>
      </c>
      <c r="AN11570" s="54" t="s">
        <v>186</v>
      </c>
      <c r="AO11570" s="54">
        <v>27</v>
      </c>
      <c r="AP11570" s="54">
        <v>24</v>
      </c>
      <c r="AQ11570" s="54">
        <v>0</v>
      </c>
      <c r="AR11570" s="55">
        <v>28500</v>
      </c>
      <c r="AS11570" s="78">
        <f t="shared" si="184"/>
        <v>0</v>
      </c>
    </row>
    <row r="11571" spans="39:45">
      <c r="AM11571" s="55">
        <v>2020</v>
      </c>
      <c r="AN11571" s="55" t="s">
        <v>186</v>
      </c>
      <c r="AO11571" s="55">
        <v>27</v>
      </c>
      <c r="AP11571" s="55">
        <v>1</v>
      </c>
      <c r="AQ11571" s="55">
        <v>0</v>
      </c>
      <c r="AR11571" s="55">
        <v>28500</v>
      </c>
      <c r="AS11571" s="78">
        <f t="shared" si="184"/>
        <v>0</v>
      </c>
    </row>
    <row r="11572" spans="39:45">
      <c r="AM11572" s="54">
        <v>2020</v>
      </c>
      <c r="AN11572" s="54" t="s">
        <v>186</v>
      </c>
      <c r="AO11572" s="54">
        <v>27</v>
      </c>
      <c r="AP11572" s="54">
        <v>2</v>
      </c>
      <c r="AQ11572" s="54">
        <v>0</v>
      </c>
      <c r="AR11572" s="55">
        <v>28500</v>
      </c>
      <c r="AS11572" s="78">
        <f t="shared" si="184"/>
        <v>0</v>
      </c>
    </row>
    <row r="11573" spans="39:45">
      <c r="AM11573" s="55">
        <v>2020</v>
      </c>
      <c r="AN11573" s="55" t="s">
        <v>186</v>
      </c>
      <c r="AO11573" s="55">
        <v>27</v>
      </c>
      <c r="AP11573" s="55">
        <v>3</v>
      </c>
      <c r="AQ11573" s="55">
        <v>0</v>
      </c>
      <c r="AR11573" s="55">
        <v>28500</v>
      </c>
      <c r="AS11573" s="78">
        <f t="shared" si="184"/>
        <v>0</v>
      </c>
    </row>
    <row r="11574" spans="39:45">
      <c r="AM11574" s="54">
        <v>2020</v>
      </c>
      <c r="AN11574" s="54" t="s">
        <v>186</v>
      </c>
      <c r="AO11574" s="54">
        <v>27</v>
      </c>
      <c r="AP11574" s="54">
        <v>4</v>
      </c>
      <c r="AQ11574" s="54">
        <v>0</v>
      </c>
      <c r="AR11574" s="55">
        <v>28500</v>
      </c>
      <c r="AS11574" s="78">
        <f t="shared" si="184"/>
        <v>0</v>
      </c>
    </row>
    <row r="11575" spans="39:45">
      <c r="AM11575" s="55">
        <v>2020</v>
      </c>
      <c r="AN11575" s="55" t="s">
        <v>186</v>
      </c>
      <c r="AO11575" s="55">
        <v>27</v>
      </c>
      <c r="AP11575" s="55">
        <v>5</v>
      </c>
      <c r="AQ11575" s="55">
        <v>191.5</v>
      </c>
      <c r="AR11575" s="55">
        <v>28500</v>
      </c>
      <c r="AS11575" s="78">
        <f t="shared" si="184"/>
        <v>6.7192982456140355E-3</v>
      </c>
    </row>
    <row r="11576" spans="39:45">
      <c r="AM11576" s="54">
        <v>2020</v>
      </c>
      <c r="AN11576" s="54" t="s">
        <v>186</v>
      </c>
      <c r="AO11576" s="54">
        <v>27</v>
      </c>
      <c r="AP11576" s="54">
        <v>6</v>
      </c>
      <c r="AQ11576" s="54">
        <v>3136</v>
      </c>
      <c r="AR11576" s="55">
        <v>28500</v>
      </c>
      <c r="AS11576" s="78">
        <f t="shared" si="184"/>
        <v>0.11003508771929825</v>
      </c>
    </row>
    <row r="11577" spans="39:45">
      <c r="AM11577" s="55">
        <v>2020</v>
      </c>
      <c r="AN11577" s="55" t="s">
        <v>186</v>
      </c>
      <c r="AO11577" s="55">
        <v>27</v>
      </c>
      <c r="AP11577" s="55">
        <v>7</v>
      </c>
      <c r="AQ11577" s="55">
        <v>7846</v>
      </c>
      <c r="AR11577" s="55">
        <v>28500</v>
      </c>
      <c r="AS11577" s="78">
        <f t="shared" si="184"/>
        <v>0.2752982456140351</v>
      </c>
    </row>
    <row r="11578" spans="39:45">
      <c r="AM11578" s="54">
        <v>2020</v>
      </c>
      <c r="AN11578" s="54" t="s">
        <v>186</v>
      </c>
      <c r="AO11578" s="54">
        <v>27</v>
      </c>
      <c r="AP11578" s="54">
        <v>8</v>
      </c>
      <c r="AQ11578" s="54">
        <v>8270</v>
      </c>
      <c r="AR11578" s="55">
        <v>28500</v>
      </c>
      <c r="AS11578" s="78">
        <f t="shared" si="184"/>
        <v>0.29017543859649125</v>
      </c>
    </row>
    <row r="11579" spans="39:45">
      <c r="AM11579" s="55">
        <v>2020</v>
      </c>
      <c r="AN11579" s="55" t="s">
        <v>186</v>
      </c>
      <c r="AO11579" s="55">
        <v>27</v>
      </c>
      <c r="AP11579" s="55">
        <v>9</v>
      </c>
      <c r="AQ11579" s="55">
        <v>20007.5</v>
      </c>
      <c r="AR11579" s="55">
        <v>28500</v>
      </c>
      <c r="AS11579" s="78">
        <f t="shared" si="184"/>
        <v>0.7020175438596491</v>
      </c>
    </row>
    <row r="11580" spans="39:45">
      <c r="AM11580" s="54">
        <v>2020</v>
      </c>
      <c r="AN11580" s="54" t="s">
        <v>186</v>
      </c>
      <c r="AO11580" s="54">
        <v>27</v>
      </c>
      <c r="AP11580" s="54">
        <v>10</v>
      </c>
      <c r="AQ11580" s="54">
        <v>9174</v>
      </c>
      <c r="AR11580" s="55">
        <v>28500</v>
      </c>
      <c r="AS11580" s="78">
        <f t="shared" si="184"/>
        <v>0.32189473684210529</v>
      </c>
    </row>
    <row r="11581" spans="39:45">
      <c r="AM11581" s="55">
        <v>2020</v>
      </c>
      <c r="AN11581" s="55" t="s">
        <v>186</v>
      </c>
      <c r="AO11581" s="55">
        <v>27</v>
      </c>
      <c r="AP11581" s="55">
        <v>11</v>
      </c>
      <c r="AQ11581" s="55">
        <v>26211</v>
      </c>
      <c r="AR11581" s="55">
        <v>28500</v>
      </c>
      <c r="AS11581" s="78">
        <f t="shared" si="184"/>
        <v>0.91968421052631577</v>
      </c>
    </row>
    <row r="11582" spans="39:45">
      <c r="AM11582" s="54">
        <v>2020</v>
      </c>
      <c r="AN11582" s="54" t="s">
        <v>186</v>
      </c>
      <c r="AO11582" s="54">
        <v>27</v>
      </c>
      <c r="AP11582" s="54">
        <v>12</v>
      </c>
      <c r="AQ11582" s="54">
        <v>15503</v>
      </c>
      <c r="AR11582" s="55">
        <v>28500</v>
      </c>
      <c r="AS11582" s="78">
        <f t="shared" si="184"/>
        <v>0.54396491228070176</v>
      </c>
    </row>
    <row r="11583" spans="39:45">
      <c r="AM11583" s="55">
        <v>2020</v>
      </c>
      <c r="AN11583" s="55" t="s">
        <v>186</v>
      </c>
      <c r="AO11583" s="55">
        <v>27</v>
      </c>
      <c r="AP11583" s="55">
        <v>13</v>
      </c>
      <c r="AQ11583" s="55">
        <v>20601.5</v>
      </c>
      <c r="AR11583" s="55">
        <v>28500</v>
      </c>
      <c r="AS11583" s="78">
        <f t="shared" si="184"/>
        <v>0.72285964912280698</v>
      </c>
    </row>
    <row r="11584" spans="39:45">
      <c r="AM11584" s="54">
        <v>2020</v>
      </c>
      <c r="AN11584" s="54" t="s">
        <v>186</v>
      </c>
      <c r="AO11584" s="54">
        <v>27</v>
      </c>
      <c r="AP11584" s="54">
        <v>14</v>
      </c>
      <c r="AQ11584" s="54">
        <v>26601.5</v>
      </c>
      <c r="AR11584" s="55">
        <v>28500</v>
      </c>
      <c r="AS11584" s="78">
        <f t="shared" si="184"/>
        <v>0.93338596491228065</v>
      </c>
    </row>
    <row r="11585" spans="39:45">
      <c r="AM11585" s="55">
        <v>2020</v>
      </c>
      <c r="AN11585" s="55" t="s">
        <v>186</v>
      </c>
      <c r="AO11585" s="55">
        <v>27</v>
      </c>
      <c r="AP11585" s="55">
        <v>15</v>
      </c>
      <c r="AQ11585" s="55">
        <v>21497.5</v>
      </c>
      <c r="AR11585" s="55">
        <v>28500</v>
      </c>
      <c r="AS11585" s="78">
        <f t="shared" si="184"/>
        <v>0.75429824561403513</v>
      </c>
    </row>
    <row r="11586" spans="39:45">
      <c r="AM11586" s="54">
        <v>2020</v>
      </c>
      <c r="AN11586" s="54" t="s">
        <v>186</v>
      </c>
      <c r="AO11586" s="54">
        <v>27</v>
      </c>
      <c r="AP11586" s="54">
        <v>16</v>
      </c>
      <c r="AQ11586" s="54">
        <v>14762</v>
      </c>
      <c r="AR11586" s="55">
        <v>28500</v>
      </c>
      <c r="AS11586" s="78">
        <f t="shared" ref="AS11586:AS11649" si="185">AQ11586/AR11586</f>
        <v>0.51796491228070174</v>
      </c>
    </row>
    <row r="11587" spans="39:45">
      <c r="AM11587" s="55">
        <v>2020</v>
      </c>
      <c r="AN11587" s="55" t="s">
        <v>186</v>
      </c>
      <c r="AO11587" s="55">
        <v>27</v>
      </c>
      <c r="AP11587" s="55">
        <v>17</v>
      </c>
      <c r="AQ11587" s="55">
        <v>5307.5</v>
      </c>
      <c r="AR11587" s="55">
        <v>28500</v>
      </c>
      <c r="AS11587" s="78">
        <f t="shared" si="185"/>
        <v>0.1862280701754386</v>
      </c>
    </row>
    <row r="11588" spans="39:45">
      <c r="AM11588" s="54">
        <v>2020</v>
      </c>
      <c r="AN11588" s="54" t="s">
        <v>186</v>
      </c>
      <c r="AO11588" s="54">
        <v>27</v>
      </c>
      <c r="AP11588" s="54">
        <v>18</v>
      </c>
      <c r="AQ11588" s="54">
        <v>577.5</v>
      </c>
      <c r="AR11588" s="55">
        <v>28500</v>
      </c>
      <c r="AS11588" s="78">
        <f t="shared" si="185"/>
        <v>2.0263157894736841E-2</v>
      </c>
    </row>
    <row r="11589" spans="39:45">
      <c r="AM11589" s="55">
        <v>2020</v>
      </c>
      <c r="AN11589" s="55" t="s">
        <v>186</v>
      </c>
      <c r="AO11589" s="55">
        <v>27</v>
      </c>
      <c r="AP11589" s="55">
        <v>19</v>
      </c>
      <c r="AQ11589" s="55">
        <v>0</v>
      </c>
      <c r="AR11589" s="55">
        <v>28500</v>
      </c>
      <c r="AS11589" s="78">
        <f t="shared" si="185"/>
        <v>0</v>
      </c>
    </row>
    <row r="11590" spans="39:45">
      <c r="AM11590" s="54">
        <v>2020</v>
      </c>
      <c r="AN11590" s="54" t="s">
        <v>186</v>
      </c>
      <c r="AO11590" s="54">
        <v>27</v>
      </c>
      <c r="AP11590" s="54">
        <v>20</v>
      </c>
      <c r="AQ11590" s="54">
        <v>0</v>
      </c>
      <c r="AR11590" s="55">
        <v>28500</v>
      </c>
      <c r="AS11590" s="78">
        <f t="shared" si="185"/>
        <v>0</v>
      </c>
    </row>
    <row r="11591" spans="39:45">
      <c r="AM11591" s="55">
        <v>2020</v>
      </c>
      <c r="AN11591" s="55" t="s">
        <v>186</v>
      </c>
      <c r="AO11591" s="55">
        <v>27</v>
      </c>
      <c r="AP11591" s="55">
        <v>21</v>
      </c>
      <c r="AQ11591" s="55">
        <v>0</v>
      </c>
      <c r="AR11591" s="55">
        <v>28500</v>
      </c>
      <c r="AS11591" s="78">
        <f t="shared" si="185"/>
        <v>0</v>
      </c>
    </row>
    <row r="11592" spans="39:45">
      <c r="AM11592" s="54">
        <v>2020</v>
      </c>
      <c r="AN11592" s="54" t="s">
        <v>186</v>
      </c>
      <c r="AO11592" s="54">
        <v>27</v>
      </c>
      <c r="AP11592" s="54">
        <v>22</v>
      </c>
      <c r="AQ11592" s="54">
        <v>0</v>
      </c>
      <c r="AR11592" s="55">
        <v>28500</v>
      </c>
      <c r="AS11592" s="78">
        <f t="shared" si="185"/>
        <v>0</v>
      </c>
    </row>
    <row r="11593" spans="39:45">
      <c r="AM11593" s="55">
        <v>2020</v>
      </c>
      <c r="AN11593" s="55" t="s">
        <v>186</v>
      </c>
      <c r="AO11593" s="55">
        <v>27</v>
      </c>
      <c r="AP11593" s="55">
        <v>23</v>
      </c>
      <c r="AQ11593" s="55">
        <v>0</v>
      </c>
      <c r="AR11593" s="55">
        <v>28500</v>
      </c>
      <c r="AS11593" s="78">
        <f t="shared" si="185"/>
        <v>0</v>
      </c>
    </row>
    <row r="11594" spans="39:45">
      <c r="AM11594" s="54">
        <v>2020</v>
      </c>
      <c r="AN11594" s="54" t="s">
        <v>186</v>
      </c>
      <c r="AO11594" s="54">
        <v>28</v>
      </c>
      <c r="AP11594" s="54">
        <v>24</v>
      </c>
      <c r="AQ11594" s="54">
        <v>0</v>
      </c>
      <c r="AR11594" s="55">
        <v>28500</v>
      </c>
      <c r="AS11594" s="78">
        <f t="shared" si="185"/>
        <v>0</v>
      </c>
    </row>
    <row r="11595" spans="39:45">
      <c r="AM11595" s="55">
        <v>2020</v>
      </c>
      <c r="AN11595" s="55" t="s">
        <v>186</v>
      </c>
      <c r="AO11595" s="55">
        <v>28</v>
      </c>
      <c r="AP11595" s="55">
        <v>1</v>
      </c>
      <c r="AQ11595" s="55">
        <v>0</v>
      </c>
      <c r="AR11595" s="55">
        <v>28500</v>
      </c>
      <c r="AS11595" s="78">
        <f t="shared" si="185"/>
        <v>0</v>
      </c>
    </row>
    <row r="11596" spans="39:45">
      <c r="AM11596" s="54">
        <v>2020</v>
      </c>
      <c r="AN11596" s="54" t="s">
        <v>186</v>
      </c>
      <c r="AO11596" s="54">
        <v>28</v>
      </c>
      <c r="AP11596" s="54">
        <v>2</v>
      </c>
      <c r="AQ11596" s="54">
        <v>0</v>
      </c>
      <c r="AR11596" s="55">
        <v>28500</v>
      </c>
      <c r="AS11596" s="78">
        <f t="shared" si="185"/>
        <v>0</v>
      </c>
    </row>
    <row r="11597" spans="39:45">
      <c r="AM11597" s="55">
        <v>2020</v>
      </c>
      <c r="AN11597" s="55" t="s">
        <v>186</v>
      </c>
      <c r="AO11597" s="55">
        <v>28</v>
      </c>
      <c r="AP11597" s="55">
        <v>3</v>
      </c>
      <c r="AQ11597" s="55">
        <v>0</v>
      </c>
      <c r="AR11597" s="55">
        <v>28500</v>
      </c>
      <c r="AS11597" s="78">
        <f t="shared" si="185"/>
        <v>0</v>
      </c>
    </row>
    <row r="11598" spans="39:45">
      <c r="AM11598" s="54">
        <v>2020</v>
      </c>
      <c r="AN11598" s="54" t="s">
        <v>186</v>
      </c>
      <c r="AO11598" s="54">
        <v>28</v>
      </c>
      <c r="AP11598" s="54">
        <v>4</v>
      </c>
      <c r="AQ11598" s="54">
        <v>0</v>
      </c>
      <c r="AR11598" s="55">
        <v>28500</v>
      </c>
      <c r="AS11598" s="78">
        <f t="shared" si="185"/>
        <v>0</v>
      </c>
    </row>
    <row r="11599" spans="39:45">
      <c r="AM11599" s="55">
        <v>2020</v>
      </c>
      <c r="AN11599" s="55" t="s">
        <v>186</v>
      </c>
      <c r="AO11599" s="55">
        <v>28</v>
      </c>
      <c r="AP11599" s="55">
        <v>5</v>
      </c>
      <c r="AQ11599" s="55">
        <v>121</v>
      </c>
      <c r="AR11599" s="55">
        <v>28500</v>
      </c>
      <c r="AS11599" s="78">
        <f t="shared" si="185"/>
        <v>4.2456140350877192E-3</v>
      </c>
    </row>
    <row r="11600" spans="39:45">
      <c r="AM11600" s="54">
        <v>2020</v>
      </c>
      <c r="AN11600" s="54" t="s">
        <v>186</v>
      </c>
      <c r="AO11600" s="54">
        <v>28</v>
      </c>
      <c r="AP11600" s="54">
        <v>6</v>
      </c>
      <c r="AQ11600" s="54">
        <v>2686</v>
      </c>
      <c r="AR11600" s="55">
        <v>28500</v>
      </c>
      <c r="AS11600" s="78">
        <f t="shared" si="185"/>
        <v>9.4245614035087716E-2</v>
      </c>
    </row>
    <row r="11601" spans="39:45">
      <c r="AM11601" s="55">
        <v>2020</v>
      </c>
      <c r="AN11601" s="55" t="s">
        <v>186</v>
      </c>
      <c r="AO11601" s="55">
        <v>28</v>
      </c>
      <c r="AP11601" s="55">
        <v>7</v>
      </c>
      <c r="AQ11601" s="55">
        <v>707</v>
      </c>
      <c r="AR11601" s="55">
        <v>28500</v>
      </c>
      <c r="AS11601" s="78">
        <f t="shared" si="185"/>
        <v>2.4807017543859649E-2</v>
      </c>
    </row>
    <row r="11602" spans="39:45">
      <c r="AM11602" s="54">
        <v>2020</v>
      </c>
      <c r="AN11602" s="54" t="s">
        <v>186</v>
      </c>
      <c r="AO11602" s="54">
        <v>28</v>
      </c>
      <c r="AP11602" s="54">
        <v>8</v>
      </c>
      <c r="AQ11602" s="54">
        <v>1725.5</v>
      </c>
      <c r="AR11602" s="55">
        <v>28500</v>
      </c>
      <c r="AS11602" s="78">
        <f t="shared" si="185"/>
        <v>6.054385964912281E-2</v>
      </c>
    </row>
    <row r="11603" spans="39:45">
      <c r="AM11603" s="55">
        <v>2020</v>
      </c>
      <c r="AN11603" s="55" t="s">
        <v>186</v>
      </c>
      <c r="AO11603" s="55">
        <v>28</v>
      </c>
      <c r="AP11603" s="55">
        <v>9</v>
      </c>
      <c r="AQ11603" s="55">
        <v>3165.5</v>
      </c>
      <c r="AR11603" s="55">
        <v>28500</v>
      </c>
      <c r="AS11603" s="78">
        <f t="shared" si="185"/>
        <v>0.11107017543859649</v>
      </c>
    </row>
    <row r="11604" spans="39:45">
      <c r="AM11604" s="54">
        <v>2020</v>
      </c>
      <c r="AN11604" s="54" t="s">
        <v>186</v>
      </c>
      <c r="AO11604" s="54">
        <v>28</v>
      </c>
      <c r="AP11604" s="54">
        <v>10</v>
      </c>
      <c r="AQ11604" s="54">
        <v>3869</v>
      </c>
      <c r="AR11604" s="55">
        <v>28500</v>
      </c>
      <c r="AS11604" s="78">
        <f t="shared" si="185"/>
        <v>0.13575438596491229</v>
      </c>
    </row>
    <row r="11605" spans="39:45">
      <c r="AM11605" s="55">
        <v>2020</v>
      </c>
      <c r="AN11605" s="55" t="s">
        <v>186</v>
      </c>
      <c r="AO11605" s="55">
        <v>28</v>
      </c>
      <c r="AP11605" s="55">
        <v>11</v>
      </c>
      <c r="AQ11605" s="55">
        <v>4694.5</v>
      </c>
      <c r="AR11605" s="55">
        <v>28500</v>
      </c>
      <c r="AS11605" s="78">
        <f t="shared" si="185"/>
        <v>0.16471929824561404</v>
      </c>
    </row>
    <row r="11606" spans="39:45">
      <c r="AM11606" s="54">
        <v>2020</v>
      </c>
      <c r="AN11606" s="54" t="s">
        <v>186</v>
      </c>
      <c r="AO11606" s="54">
        <v>28</v>
      </c>
      <c r="AP11606" s="54">
        <v>12</v>
      </c>
      <c r="AQ11606" s="54">
        <v>4058</v>
      </c>
      <c r="AR11606" s="55">
        <v>28500</v>
      </c>
      <c r="AS11606" s="78">
        <f t="shared" si="185"/>
        <v>0.1423859649122807</v>
      </c>
    </row>
    <row r="11607" spans="39:45">
      <c r="AM11607" s="55">
        <v>2020</v>
      </c>
      <c r="AN11607" s="55" t="s">
        <v>186</v>
      </c>
      <c r="AO11607" s="55">
        <v>28</v>
      </c>
      <c r="AP11607" s="55">
        <v>13</v>
      </c>
      <c r="AQ11607" s="55">
        <v>3624</v>
      </c>
      <c r="AR11607" s="55">
        <v>28500</v>
      </c>
      <c r="AS11607" s="78">
        <f t="shared" si="185"/>
        <v>0.12715789473684211</v>
      </c>
    </row>
    <row r="11608" spans="39:45">
      <c r="AM11608" s="54">
        <v>2020</v>
      </c>
      <c r="AN11608" s="54" t="s">
        <v>186</v>
      </c>
      <c r="AO11608" s="54">
        <v>28</v>
      </c>
      <c r="AP11608" s="54">
        <v>14</v>
      </c>
      <c r="AQ11608" s="54">
        <v>1755</v>
      </c>
      <c r="AR11608" s="55">
        <v>28500</v>
      </c>
      <c r="AS11608" s="78">
        <f t="shared" si="185"/>
        <v>6.1578947368421053E-2</v>
      </c>
    </row>
    <row r="11609" spans="39:45">
      <c r="AM11609" s="55">
        <v>2020</v>
      </c>
      <c r="AN11609" s="55" t="s">
        <v>186</v>
      </c>
      <c r="AO11609" s="55">
        <v>28</v>
      </c>
      <c r="AP11609" s="55">
        <v>15</v>
      </c>
      <c r="AQ11609" s="55">
        <v>4138</v>
      </c>
      <c r="AR11609" s="55">
        <v>28500</v>
      </c>
      <c r="AS11609" s="78">
        <f t="shared" si="185"/>
        <v>0.14519298245614035</v>
      </c>
    </row>
    <row r="11610" spans="39:45">
      <c r="AM11610" s="54">
        <v>2020</v>
      </c>
      <c r="AN11610" s="54" t="s">
        <v>186</v>
      </c>
      <c r="AO11610" s="54">
        <v>28</v>
      </c>
      <c r="AP11610" s="54">
        <v>16</v>
      </c>
      <c r="AQ11610" s="54">
        <v>9314.5</v>
      </c>
      <c r="AR11610" s="55">
        <v>28500</v>
      </c>
      <c r="AS11610" s="78">
        <f t="shared" si="185"/>
        <v>0.3268245614035088</v>
      </c>
    </row>
    <row r="11611" spans="39:45">
      <c r="AM11611" s="55">
        <v>2020</v>
      </c>
      <c r="AN11611" s="55" t="s">
        <v>186</v>
      </c>
      <c r="AO11611" s="55">
        <v>28</v>
      </c>
      <c r="AP11611" s="55">
        <v>17</v>
      </c>
      <c r="AQ11611" s="55">
        <v>1397</v>
      </c>
      <c r="AR11611" s="55">
        <v>28500</v>
      </c>
      <c r="AS11611" s="78">
        <f t="shared" si="185"/>
        <v>4.9017543859649119E-2</v>
      </c>
    </row>
    <row r="11612" spans="39:45">
      <c r="AM11612" s="54">
        <v>2020</v>
      </c>
      <c r="AN11612" s="54" t="s">
        <v>186</v>
      </c>
      <c r="AO11612" s="54">
        <v>28</v>
      </c>
      <c r="AP11612" s="54">
        <v>18</v>
      </c>
      <c r="AQ11612" s="54">
        <v>753</v>
      </c>
      <c r="AR11612" s="55">
        <v>28500</v>
      </c>
      <c r="AS11612" s="78">
        <f t="shared" si="185"/>
        <v>2.6421052631578946E-2</v>
      </c>
    </row>
    <row r="11613" spans="39:45">
      <c r="AM11613" s="55">
        <v>2020</v>
      </c>
      <c r="AN11613" s="55" t="s">
        <v>186</v>
      </c>
      <c r="AO11613" s="55">
        <v>28</v>
      </c>
      <c r="AP11613" s="55">
        <v>19</v>
      </c>
      <c r="AQ11613" s="55">
        <v>0</v>
      </c>
      <c r="AR11613" s="55">
        <v>28500</v>
      </c>
      <c r="AS11613" s="78">
        <f t="shared" si="185"/>
        <v>0</v>
      </c>
    </row>
    <row r="11614" spans="39:45">
      <c r="AM11614" s="54">
        <v>2020</v>
      </c>
      <c r="AN11614" s="54" t="s">
        <v>186</v>
      </c>
      <c r="AO11614" s="54">
        <v>28</v>
      </c>
      <c r="AP11614" s="54">
        <v>20</v>
      </c>
      <c r="AQ11614" s="54">
        <v>0</v>
      </c>
      <c r="AR11614" s="55">
        <v>28500</v>
      </c>
      <c r="AS11614" s="78">
        <f t="shared" si="185"/>
        <v>0</v>
      </c>
    </row>
    <row r="11615" spans="39:45">
      <c r="AM11615" s="55">
        <v>2020</v>
      </c>
      <c r="AN11615" s="55" t="s">
        <v>186</v>
      </c>
      <c r="AO11615" s="55">
        <v>28</v>
      </c>
      <c r="AP11615" s="55">
        <v>21</v>
      </c>
      <c r="AQ11615" s="55">
        <v>0</v>
      </c>
      <c r="AR11615" s="55">
        <v>28500</v>
      </c>
      <c r="AS11615" s="78">
        <f t="shared" si="185"/>
        <v>0</v>
      </c>
    </row>
    <row r="11616" spans="39:45">
      <c r="AM11616" s="54">
        <v>2020</v>
      </c>
      <c r="AN11616" s="54" t="s">
        <v>186</v>
      </c>
      <c r="AO11616" s="54">
        <v>28</v>
      </c>
      <c r="AP11616" s="54">
        <v>22</v>
      </c>
      <c r="AQ11616" s="54">
        <v>0</v>
      </c>
      <c r="AR11616" s="55">
        <v>28500</v>
      </c>
      <c r="AS11616" s="78">
        <f t="shared" si="185"/>
        <v>0</v>
      </c>
    </row>
    <row r="11617" spans="39:45">
      <c r="AM11617" s="55">
        <v>2020</v>
      </c>
      <c r="AN11617" s="55" t="s">
        <v>186</v>
      </c>
      <c r="AO11617" s="55">
        <v>28</v>
      </c>
      <c r="AP11617" s="55">
        <v>23</v>
      </c>
      <c r="AQ11617" s="55">
        <v>0</v>
      </c>
      <c r="AR11617" s="55">
        <v>28500</v>
      </c>
      <c r="AS11617" s="78">
        <f t="shared" si="185"/>
        <v>0</v>
      </c>
    </row>
    <row r="11618" spans="39:45">
      <c r="AM11618" s="54">
        <v>2020</v>
      </c>
      <c r="AN11618" s="54" t="s">
        <v>186</v>
      </c>
      <c r="AO11618" s="54">
        <v>29</v>
      </c>
      <c r="AP11618" s="54">
        <v>24</v>
      </c>
      <c r="AQ11618" s="54">
        <v>0</v>
      </c>
      <c r="AR11618" s="55">
        <v>28500</v>
      </c>
      <c r="AS11618" s="78">
        <f t="shared" si="185"/>
        <v>0</v>
      </c>
    </row>
    <row r="11619" spans="39:45">
      <c r="AM11619" s="55">
        <v>2020</v>
      </c>
      <c r="AN11619" s="55" t="s">
        <v>186</v>
      </c>
      <c r="AO11619" s="55">
        <v>29</v>
      </c>
      <c r="AP11619" s="55">
        <v>1</v>
      </c>
      <c r="AQ11619" s="55">
        <v>0</v>
      </c>
      <c r="AR11619" s="55">
        <v>28500</v>
      </c>
      <c r="AS11619" s="78">
        <f t="shared" si="185"/>
        <v>0</v>
      </c>
    </row>
    <row r="11620" spans="39:45">
      <c r="AM11620" s="54">
        <v>2020</v>
      </c>
      <c r="AN11620" s="54" t="s">
        <v>186</v>
      </c>
      <c r="AO11620" s="54">
        <v>29</v>
      </c>
      <c r="AP11620" s="54">
        <v>2</v>
      </c>
      <c r="AQ11620" s="54">
        <v>0</v>
      </c>
      <c r="AR11620" s="55">
        <v>28500</v>
      </c>
      <c r="AS11620" s="78">
        <f t="shared" si="185"/>
        <v>0</v>
      </c>
    </row>
    <row r="11621" spans="39:45">
      <c r="AM11621" s="55">
        <v>2020</v>
      </c>
      <c r="AN11621" s="55" t="s">
        <v>186</v>
      </c>
      <c r="AO11621" s="55">
        <v>29</v>
      </c>
      <c r="AP11621" s="55">
        <v>3</v>
      </c>
      <c r="AQ11621" s="55">
        <v>0</v>
      </c>
      <c r="AR11621" s="55">
        <v>28500</v>
      </c>
      <c r="AS11621" s="78">
        <f t="shared" si="185"/>
        <v>0</v>
      </c>
    </row>
    <row r="11622" spans="39:45">
      <c r="AM11622" s="54">
        <v>2020</v>
      </c>
      <c r="AN11622" s="54" t="s">
        <v>186</v>
      </c>
      <c r="AO11622" s="54">
        <v>29</v>
      </c>
      <c r="AP11622" s="54">
        <v>4</v>
      </c>
      <c r="AQ11622" s="54">
        <v>0</v>
      </c>
      <c r="AR11622" s="55">
        <v>28500</v>
      </c>
      <c r="AS11622" s="78">
        <f t="shared" si="185"/>
        <v>0</v>
      </c>
    </row>
    <row r="11623" spans="39:45">
      <c r="AM11623" s="55">
        <v>2020</v>
      </c>
      <c r="AN11623" s="55" t="s">
        <v>186</v>
      </c>
      <c r="AO11623" s="55">
        <v>29</v>
      </c>
      <c r="AP11623" s="55">
        <v>5</v>
      </c>
      <c r="AQ11623" s="55">
        <v>39.5</v>
      </c>
      <c r="AR11623" s="55">
        <v>28500</v>
      </c>
      <c r="AS11623" s="78">
        <f t="shared" si="185"/>
        <v>1.3859649122807017E-3</v>
      </c>
    </row>
    <row r="11624" spans="39:45">
      <c r="AM11624" s="54">
        <v>2020</v>
      </c>
      <c r="AN11624" s="54" t="s">
        <v>186</v>
      </c>
      <c r="AO11624" s="54">
        <v>29</v>
      </c>
      <c r="AP11624" s="54">
        <v>6</v>
      </c>
      <c r="AQ11624" s="54">
        <v>1220.5</v>
      </c>
      <c r="AR11624" s="55">
        <v>28500</v>
      </c>
      <c r="AS11624" s="78">
        <f t="shared" si="185"/>
        <v>4.2824561403508772E-2</v>
      </c>
    </row>
    <row r="11625" spans="39:45">
      <c r="AM11625" s="55">
        <v>2020</v>
      </c>
      <c r="AN11625" s="55" t="s">
        <v>186</v>
      </c>
      <c r="AO11625" s="55">
        <v>29</v>
      </c>
      <c r="AP11625" s="55">
        <v>7</v>
      </c>
      <c r="AQ11625" s="55">
        <v>13006.5</v>
      </c>
      <c r="AR11625" s="55">
        <v>28500</v>
      </c>
      <c r="AS11625" s="78">
        <f t="shared" si="185"/>
        <v>0.45636842105263159</v>
      </c>
    </row>
    <row r="11626" spans="39:45">
      <c r="AM11626" s="54">
        <v>2020</v>
      </c>
      <c r="AN11626" s="54" t="s">
        <v>186</v>
      </c>
      <c r="AO11626" s="54">
        <v>29</v>
      </c>
      <c r="AP11626" s="54">
        <v>8</v>
      </c>
      <c r="AQ11626" s="54">
        <v>13746.5</v>
      </c>
      <c r="AR11626" s="55">
        <v>28500</v>
      </c>
      <c r="AS11626" s="78">
        <f t="shared" si="185"/>
        <v>0.48233333333333334</v>
      </c>
    </row>
    <row r="11627" spans="39:45">
      <c r="AM11627" s="55">
        <v>2020</v>
      </c>
      <c r="AN11627" s="55" t="s">
        <v>186</v>
      </c>
      <c r="AO11627" s="55">
        <v>29</v>
      </c>
      <c r="AP11627" s="55">
        <v>9</v>
      </c>
      <c r="AQ11627" s="55">
        <v>23619</v>
      </c>
      <c r="AR11627" s="55">
        <v>28500</v>
      </c>
      <c r="AS11627" s="78">
        <f t="shared" si="185"/>
        <v>0.82873684210526311</v>
      </c>
    </row>
    <row r="11628" spans="39:45">
      <c r="AM11628" s="54">
        <v>2020</v>
      </c>
      <c r="AN11628" s="54" t="s">
        <v>186</v>
      </c>
      <c r="AO11628" s="54">
        <v>29</v>
      </c>
      <c r="AP11628" s="54">
        <v>10</v>
      </c>
      <c r="AQ11628" s="54">
        <v>10227.5</v>
      </c>
      <c r="AR11628" s="55">
        <v>28500</v>
      </c>
      <c r="AS11628" s="78">
        <f t="shared" si="185"/>
        <v>0.35885964912280705</v>
      </c>
    </row>
    <row r="11629" spans="39:45">
      <c r="AM11629" s="55">
        <v>2020</v>
      </c>
      <c r="AN11629" s="55" t="s">
        <v>186</v>
      </c>
      <c r="AO11629" s="55">
        <v>29</v>
      </c>
      <c r="AP11629" s="55">
        <v>11</v>
      </c>
      <c r="AQ11629" s="55">
        <v>13277</v>
      </c>
      <c r="AR11629" s="55">
        <v>28500</v>
      </c>
      <c r="AS11629" s="78">
        <f t="shared" si="185"/>
        <v>0.46585964912280703</v>
      </c>
    </row>
    <row r="11630" spans="39:45">
      <c r="AM11630" s="54">
        <v>2020</v>
      </c>
      <c r="AN11630" s="54" t="s">
        <v>186</v>
      </c>
      <c r="AO11630" s="54">
        <v>29</v>
      </c>
      <c r="AP11630" s="54">
        <v>12</v>
      </c>
      <c r="AQ11630" s="54">
        <v>12783.5</v>
      </c>
      <c r="AR11630" s="55">
        <v>28500</v>
      </c>
      <c r="AS11630" s="78">
        <f t="shared" si="185"/>
        <v>0.4485438596491228</v>
      </c>
    </row>
    <row r="11631" spans="39:45">
      <c r="AM11631" s="55">
        <v>2020</v>
      </c>
      <c r="AN11631" s="55" t="s">
        <v>186</v>
      </c>
      <c r="AO11631" s="55">
        <v>29</v>
      </c>
      <c r="AP11631" s="55">
        <v>13</v>
      </c>
      <c r="AQ11631" s="55">
        <v>6867</v>
      </c>
      <c r="AR11631" s="55">
        <v>28500</v>
      </c>
      <c r="AS11631" s="78">
        <f t="shared" si="185"/>
        <v>0.24094736842105263</v>
      </c>
    </row>
    <row r="11632" spans="39:45">
      <c r="AM11632" s="54">
        <v>2020</v>
      </c>
      <c r="AN11632" s="54" t="s">
        <v>186</v>
      </c>
      <c r="AO11632" s="54">
        <v>29</v>
      </c>
      <c r="AP11632" s="54">
        <v>14</v>
      </c>
      <c r="AQ11632" s="54">
        <v>5614</v>
      </c>
      <c r="AR11632" s="55">
        <v>28500</v>
      </c>
      <c r="AS11632" s="78">
        <f t="shared" si="185"/>
        <v>0.19698245614035087</v>
      </c>
    </row>
    <row r="11633" spans="39:45">
      <c r="AM11633" s="55">
        <v>2020</v>
      </c>
      <c r="AN11633" s="55" t="s">
        <v>186</v>
      </c>
      <c r="AO11633" s="55">
        <v>29</v>
      </c>
      <c r="AP11633" s="55">
        <v>15</v>
      </c>
      <c r="AQ11633" s="55">
        <v>8924</v>
      </c>
      <c r="AR11633" s="55">
        <v>28500</v>
      </c>
      <c r="AS11633" s="78">
        <f t="shared" si="185"/>
        <v>0.31312280701754386</v>
      </c>
    </row>
    <row r="11634" spans="39:45">
      <c r="AM11634" s="54">
        <v>2020</v>
      </c>
      <c r="AN11634" s="54" t="s">
        <v>186</v>
      </c>
      <c r="AO11634" s="54">
        <v>29</v>
      </c>
      <c r="AP11634" s="54">
        <v>16</v>
      </c>
      <c r="AQ11634" s="54">
        <v>7068</v>
      </c>
      <c r="AR11634" s="55">
        <v>28500</v>
      </c>
      <c r="AS11634" s="78">
        <f t="shared" si="185"/>
        <v>0.248</v>
      </c>
    </row>
    <row r="11635" spans="39:45">
      <c r="AM11635" s="55">
        <v>2020</v>
      </c>
      <c r="AN11635" s="55" t="s">
        <v>186</v>
      </c>
      <c r="AO11635" s="55">
        <v>29</v>
      </c>
      <c r="AP11635" s="55">
        <v>17</v>
      </c>
      <c r="AQ11635" s="55">
        <v>4339.5</v>
      </c>
      <c r="AR11635" s="55">
        <v>28500</v>
      </c>
      <c r="AS11635" s="78">
        <f t="shared" si="185"/>
        <v>0.15226315789473685</v>
      </c>
    </row>
    <row r="11636" spans="39:45">
      <c r="AM11636" s="54">
        <v>2020</v>
      </c>
      <c r="AN11636" s="54" t="s">
        <v>186</v>
      </c>
      <c r="AO11636" s="54">
        <v>29</v>
      </c>
      <c r="AP11636" s="54">
        <v>18</v>
      </c>
      <c r="AQ11636" s="54">
        <v>1409.5</v>
      </c>
      <c r="AR11636" s="55">
        <v>28500</v>
      </c>
      <c r="AS11636" s="78">
        <f t="shared" si="185"/>
        <v>4.9456140350877191E-2</v>
      </c>
    </row>
    <row r="11637" spans="39:45">
      <c r="AM11637" s="55">
        <v>2020</v>
      </c>
      <c r="AN11637" s="55" t="s">
        <v>186</v>
      </c>
      <c r="AO11637" s="55">
        <v>29</v>
      </c>
      <c r="AP11637" s="55">
        <v>19</v>
      </c>
      <c r="AQ11637" s="55">
        <v>0</v>
      </c>
      <c r="AR11637" s="55">
        <v>28500</v>
      </c>
      <c r="AS11637" s="78">
        <f t="shared" si="185"/>
        <v>0</v>
      </c>
    </row>
    <row r="11638" spans="39:45">
      <c r="AM11638" s="54">
        <v>2020</v>
      </c>
      <c r="AN11638" s="54" t="s">
        <v>186</v>
      </c>
      <c r="AO11638" s="54">
        <v>29</v>
      </c>
      <c r="AP11638" s="54">
        <v>20</v>
      </c>
      <c r="AQ11638" s="54">
        <v>0</v>
      </c>
      <c r="AR11638" s="55">
        <v>28500</v>
      </c>
      <c r="AS11638" s="78">
        <f t="shared" si="185"/>
        <v>0</v>
      </c>
    </row>
    <row r="11639" spans="39:45">
      <c r="AM11639" s="55">
        <v>2020</v>
      </c>
      <c r="AN11639" s="55" t="s">
        <v>186</v>
      </c>
      <c r="AO11639" s="55">
        <v>29</v>
      </c>
      <c r="AP11639" s="55">
        <v>21</v>
      </c>
      <c r="AQ11639" s="55">
        <v>0</v>
      </c>
      <c r="AR11639" s="55">
        <v>28500</v>
      </c>
      <c r="AS11639" s="78">
        <f t="shared" si="185"/>
        <v>0</v>
      </c>
    </row>
    <row r="11640" spans="39:45">
      <c r="AM11640" s="54">
        <v>2020</v>
      </c>
      <c r="AN11640" s="54" t="s">
        <v>186</v>
      </c>
      <c r="AO11640" s="54">
        <v>29</v>
      </c>
      <c r="AP11640" s="54">
        <v>22</v>
      </c>
      <c r="AQ11640" s="54">
        <v>0</v>
      </c>
      <c r="AR11640" s="55">
        <v>28500</v>
      </c>
      <c r="AS11640" s="78">
        <f t="shared" si="185"/>
        <v>0</v>
      </c>
    </row>
    <row r="11641" spans="39:45">
      <c r="AM11641" s="55">
        <v>2020</v>
      </c>
      <c r="AN11641" s="55" t="s">
        <v>186</v>
      </c>
      <c r="AO11641" s="55">
        <v>29</v>
      </c>
      <c r="AP11641" s="55">
        <v>23</v>
      </c>
      <c r="AQ11641" s="55">
        <v>0</v>
      </c>
      <c r="AR11641" s="55">
        <v>28500</v>
      </c>
      <c r="AS11641" s="78">
        <f t="shared" si="185"/>
        <v>0</v>
      </c>
    </row>
    <row r="11642" spans="39:45">
      <c r="AM11642" s="54">
        <v>2020</v>
      </c>
      <c r="AN11642" s="54" t="s">
        <v>186</v>
      </c>
      <c r="AO11642" s="54">
        <v>30</v>
      </c>
      <c r="AP11642" s="54">
        <v>24</v>
      </c>
      <c r="AQ11642" s="54">
        <v>0</v>
      </c>
      <c r="AR11642" s="55">
        <v>28500</v>
      </c>
      <c r="AS11642" s="78">
        <f t="shared" si="185"/>
        <v>0</v>
      </c>
    </row>
    <row r="11643" spans="39:45">
      <c r="AM11643" s="55">
        <v>2020</v>
      </c>
      <c r="AN11643" s="55" t="s">
        <v>186</v>
      </c>
      <c r="AO11643" s="55">
        <v>30</v>
      </c>
      <c r="AP11643" s="55">
        <v>1</v>
      </c>
      <c r="AQ11643" s="55">
        <v>0</v>
      </c>
      <c r="AR11643" s="55">
        <v>28500</v>
      </c>
      <c r="AS11643" s="78">
        <f t="shared" si="185"/>
        <v>0</v>
      </c>
    </row>
    <row r="11644" spans="39:45">
      <c r="AM11644" s="54">
        <v>2020</v>
      </c>
      <c r="AN11644" s="54" t="s">
        <v>186</v>
      </c>
      <c r="AO11644" s="54">
        <v>30</v>
      </c>
      <c r="AP11644" s="54">
        <v>2</v>
      </c>
      <c r="AQ11644" s="54">
        <v>0</v>
      </c>
      <c r="AR11644" s="55">
        <v>28500</v>
      </c>
      <c r="AS11644" s="78">
        <f t="shared" si="185"/>
        <v>0</v>
      </c>
    </row>
    <row r="11645" spans="39:45">
      <c r="AM11645" s="55">
        <v>2020</v>
      </c>
      <c r="AN11645" s="55" t="s">
        <v>186</v>
      </c>
      <c r="AO11645" s="55">
        <v>30</v>
      </c>
      <c r="AP11645" s="55">
        <v>3</v>
      </c>
      <c r="AQ11645" s="55">
        <v>0</v>
      </c>
      <c r="AR11645" s="55">
        <v>28500</v>
      </c>
      <c r="AS11645" s="78">
        <f t="shared" si="185"/>
        <v>0</v>
      </c>
    </row>
    <row r="11646" spans="39:45">
      <c r="AM11646" s="54">
        <v>2020</v>
      </c>
      <c r="AN11646" s="54" t="s">
        <v>186</v>
      </c>
      <c r="AO11646" s="54">
        <v>30</v>
      </c>
      <c r="AP11646" s="54">
        <v>4</v>
      </c>
      <c r="AQ11646" s="54">
        <v>0</v>
      </c>
      <c r="AR11646" s="55">
        <v>28500</v>
      </c>
      <c r="AS11646" s="78">
        <f t="shared" si="185"/>
        <v>0</v>
      </c>
    </row>
    <row r="11647" spans="39:45">
      <c r="AM11647" s="55">
        <v>2020</v>
      </c>
      <c r="AN11647" s="55" t="s">
        <v>186</v>
      </c>
      <c r="AO11647" s="55">
        <v>30</v>
      </c>
      <c r="AP11647" s="55">
        <v>5</v>
      </c>
      <c r="AQ11647" s="55">
        <v>405.5</v>
      </c>
      <c r="AR11647" s="55">
        <v>28500</v>
      </c>
      <c r="AS11647" s="78">
        <f t="shared" si="185"/>
        <v>1.4228070175438597E-2</v>
      </c>
    </row>
    <row r="11648" spans="39:45">
      <c r="AM11648" s="54">
        <v>2020</v>
      </c>
      <c r="AN11648" s="54" t="s">
        <v>186</v>
      </c>
      <c r="AO11648" s="54">
        <v>30</v>
      </c>
      <c r="AP11648" s="54">
        <v>6</v>
      </c>
      <c r="AQ11648" s="54">
        <v>3267</v>
      </c>
      <c r="AR11648" s="55">
        <v>28500</v>
      </c>
      <c r="AS11648" s="78">
        <f t="shared" si="185"/>
        <v>0.11463157894736842</v>
      </c>
    </row>
    <row r="11649" spans="39:45">
      <c r="AM11649" s="55">
        <v>2020</v>
      </c>
      <c r="AN11649" s="55" t="s">
        <v>186</v>
      </c>
      <c r="AO11649" s="55">
        <v>30</v>
      </c>
      <c r="AP11649" s="55">
        <v>7</v>
      </c>
      <c r="AQ11649" s="55">
        <v>3253.5</v>
      </c>
      <c r="AR11649" s="55">
        <v>28500</v>
      </c>
      <c r="AS11649" s="78">
        <f t="shared" si="185"/>
        <v>0.11415789473684211</v>
      </c>
    </row>
    <row r="11650" spans="39:45">
      <c r="AM11650" s="54">
        <v>2020</v>
      </c>
      <c r="AN11650" s="54" t="s">
        <v>186</v>
      </c>
      <c r="AO11650" s="54">
        <v>30</v>
      </c>
      <c r="AP11650" s="54">
        <v>8</v>
      </c>
      <c r="AQ11650" s="54">
        <v>8321.5</v>
      </c>
      <c r="AR11650" s="55">
        <v>28500</v>
      </c>
      <c r="AS11650" s="78">
        <f t="shared" ref="AS11650:AS11713" si="186">AQ11650/AR11650</f>
        <v>0.2919824561403509</v>
      </c>
    </row>
    <row r="11651" spans="39:45">
      <c r="AM11651" s="55">
        <v>2020</v>
      </c>
      <c r="AN11651" s="55" t="s">
        <v>186</v>
      </c>
      <c r="AO11651" s="55">
        <v>30</v>
      </c>
      <c r="AP11651" s="55">
        <v>9</v>
      </c>
      <c r="AQ11651" s="55">
        <v>21296.5</v>
      </c>
      <c r="AR11651" s="55">
        <v>28500</v>
      </c>
      <c r="AS11651" s="78">
        <f t="shared" si="186"/>
        <v>0.74724561403508771</v>
      </c>
    </row>
    <row r="11652" spans="39:45">
      <c r="AM11652" s="54">
        <v>2020</v>
      </c>
      <c r="AN11652" s="54" t="s">
        <v>186</v>
      </c>
      <c r="AO11652" s="54">
        <v>30</v>
      </c>
      <c r="AP11652" s="54">
        <v>10</v>
      </c>
      <c r="AQ11652" s="54">
        <v>20387</v>
      </c>
      <c r="AR11652" s="55">
        <v>28500</v>
      </c>
      <c r="AS11652" s="78">
        <f t="shared" si="186"/>
        <v>0.71533333333333338</v>
      </c>
    </row>
    <row r="11653" spans="39:45">
      <c r="AM11653" s="55">
        <v>2020</v>
      </c>
      <c r="AN11653" s="55" t="s">
        <v>186</v>
      </c>
      <c r="AO11653" s="55">
        <v>30</v>
      </c>
      <c r="AP11653" s="55">
        <v>11</v>
      </c>
      <c r="AQ11653" s="55">
        <v>26333.5</v>
      </c>
      <c r="AR11653" s="55">
        <v>28500</v>
      </c>
      <c r="AS11653" s="78">
        <f t="shared" si="186"/>
        <v>0.92398245614035091</v>
      </c>
    </row>
    <row r="11654" spans="39:45">
      <c r="AM11654" s="54">
        <v>2020</v>
      </c>
      <c r="AN11654" s="54" t="s">
        <v>186</v>
      </c>
      <c r="AO11654" s="54">
        <v>30</v>
      </c>
      <c r="AP11654" s="54">
        <v>12</v>
      </c>
      <c r="AQ11654" s="54">
        <v>13087.5</v>
      </c>
      <c r="AR11654" s="55">
        <v>28500</v>
      </c>
      <c r="AS11654" s="78">
        <f t="shared" si="186"/>
        <v>0.45921052631578946</v>
      </c>
    </row>
    <row r="11655" spans="39:45">
      <c r="AM11655" s="55">
        <v>2020</v>
      </c>
      <c r="AN11655" s="55" t="s">
        <v>186</v>
      </c>
      <c r="AO11655" s="55">
        <v>30</v>
      </c>
      <c r="AP11655" s="55">
        <v>13</v>
      </c>
      <c r="AQ11655" s="55">
        <v>5944</v>
      </c>
      <c r="AR11655" s="55">
        <v>28500</v>
      </c>
      <c r="AS11655" s="78">
        <f t="shared" si="186"/>
        <v>0.20856140350877192</v>
      </c>
    </row>
    <row r="11656" spans="39:45">
      <c r="AM11656" s="54">
        <v>2020</v>
      </c>
      <c r="AN11656" s="54" t="s">
        <v>186</v>
      </c>
      <c r="AO11656" s="54">
        <v>30</v>
      </c>
      <c r="AP11656" s="54">
        <v>14</v>
      </c>
      <c r="AQ11656" s="54">
        <v>2679</v>
      </c>
      <c r="AR11656" s="55">
        <v>28500</v>
      </c>
      <c r="AS11656" s="78">
        <f t="shared" si="186"/>
        <v>9.4E-2</v>
      </c>
    </row>
    <row r="11657" spans="39:45">
      <c r="AM11657" s="55">
        <v>2020</v>
      </c>
      <c r="AN11657" s="55" t="s">
        <v>186</v>
      </c>
      <c r="AO11657" s="55">
        <v>30</v>
      </c>
      <c r="AP11657" s="55">
        <v>15</v>
      </c>
      <c r="AQ11657" s="55">
        <v>15699.5</v>
      </c>
      <c r="AR11657" s="55">
        <v>28500</v>
      </c>
      <c r="AS11657" s="78">
        <f t="shared" si="186"/>
        <v>0.55085964912280705</v>
      </c>
    </row>
    <row r="11658" spans="39:45">
      <c r="AM11658" s="54">
        <v>2020</v>
      </c>
      <c r="AN11658" s="54" t="s">
        <v>186</v>
      </c>
      <c r="AO11658" s="54">
        <v>30</v>
      </c>
      <c r="AP11658" s="54">
        <v>16</v>
      </c>
      <c r="AQ11658" s="54">
        <v>8334</v>
      </c>
      <c r="AR11658" s="55">
        <v>28500</v>
      </c>
      <c r="AS11658" s="78">
        <f t="shared" si="186"/>
        <v>0.29242105263157897</v>
      </c>
    </row>
    <row r="11659" spans="39:45">
      <c r="AM11659" s="55">
        <v>2020</v>
      </c>
      <c r="AN11659" s="55" t="s">
        <v>186</v>
      </c>
      <c r="AO11659" s="55">
        <v>30</v>
      </c>
      <c r="AP11659" s="55">
        <v>17</v>
      </c>
      <c r="AQ11659" s="55">
        <v>7763</v>
      </c>
      <c r="AR11659" s="55">
        <v>28500</v>
      </c>
      <c r="AS11659" s="78">
        <f t="shared" si="186"/>
        <v>0.27238596491228068</v>
      </c>
    </row>
    <row r="11660" spans="39:45">
      <c r="AM11660" s="54">
        <v>2020</v>
      </c>
      <c r="AN11660" s="54" t="s">
        <v>186</v>
      </c>
      <c r="AO11660" s="54">
        <v>30</v>
      </c>
      <c r="AP11660" s="54">
        <v>18</v>
      </c>
      <c r="AQ11660" s="54">
        <v>1094.5</v>
      </c>
      <c r="AR11660" s="55">
        <v>28500</v>
      </c>
      <c r="AS11660" s="78">
        <f t="shared" si="186"/>
        <v>3.8403508771929822E-2</v>
      </c>
    </row>
    <row r="11661" spans="39:45">
      <c r="AM11661" s="55">
        <v>2020</v>
      </c>
      <c r="AN11661" s="55" t="s">
        <v>186</v>
      </c>
      <c r="AO11661" s="55">
        <v>30</v>
      </c>
      <c r="AP11661" s="55">
        <v>19</v>
      </c>
      <c r="AQ11661" s="55">
        <v>0</v>
      </c>
      <c r="AR11661" s="55">
        <v>28500</v>
      </c>
      <c r="AS11661" s="78">
        <f t="shared" si="186"/>
        <v>0</v>
      </c>
    </row>
    <row r="11662" spans="39:45">
      <c r="AM11662" s="54">
        <v>2020</v>
      </c>
      <c r="AN11662" s="54" t="s">
        <v>186</v>
      </c>
      <c r="AO11662" s="54">
        <v>30</v>
      </c>
      <c r="AP11662" s="54">
        <v>20</v>
      </c>
      <c r="AQ11662" s="54">
        <v>0</v>
      </c>
      <c r="AR11662" s="55">
        <v>28500</v>
      </c>
      <c r="AS11662" s="78">
        <f t="shared" si="186"/>
        <v>0</v>
      </c>
    </row>
    <row r="11663" spans="39:45">
      <c r="AM11663" s="55">
        <v>2020</v>
      </c>
      <c r="AN11663" s="55" t="s">
        <v>186</v>
      </c>
      <c r="AO11663" s="55">
        <v>30</v>
      </c>
      <c r="AP11663" s="55">
        <v>21</v>
      </c>
      <c r="AQ11663" s="55">
        <v>0</v>
      </c>
      <c r="AR11663" s="55">
        <v>28500</v>
      </c>
      <c r="AS11663" s="78">
        <f t="shared" si="186"/>
        <v>0</v>
      </c>
    </row>
    <row r="11664" spans="39:45">
      <c r="AM11664" s="54">
        <v>2020</v>
      </c>
      <c r="AN11664" s="54" t="s">
        <v>186</v>
      </c>
      <c r="AO11664" s="54">
        <v>30</v>
      </c>
      <c r="AP11664" s="54">
        <v>22</v>
      </c>
      <c r="AQ11664" s="54">
        <v>0</v>
      </c>
      <c r="AR11664" s="55">
        <v>28500</v>
      </c>
      <c r="AS11664" s="78">
        <f t="shared" si="186"/>
        <v>0</v>
      </c>
    </row>
    <row r="11665" spans="39:45">
      <c r="AM11665" s="55">
        <v>2020</v>
      </c>
      <c r="AN11665" s="55" t="s">
        <v>186</v>
      </c>
      <c r="AO11665" s="55">
        <v>30</v>
      </c>
      <c r="AP11665" s="55">
        <v>23</v>
      </c>
      <c r="AQ11665" s="55">
        <v>0</v>
      </c>
      <c r="AR11665" s="55">
        <v>28500</v>
      </c>
      <c r="AS11665" s="78">
        <f t="shared" si="186"/>
        <v>0</v>
      </c>
    </row>
    <row r="11666" spans="39:45">
      <c r="AM11666" s="54">
        <v>2020</v>
      </c>
      <c r="AN11666" s="54" t="s">
        <v>96</v>
      </c>
      <c r="AO11666" s="54">
        <v>1</v>
      </c>
      <c r="AP11666" s="54">
        <v>24</v>
      </c>
      <c r="AQ11666" s="54">
        <v>0</v>
      </c>
      <c r="AR11666" s="55">
        <v>28500</v>
      </c>
      <c r="AS11666" s="78">
        <f t="shared" si="186"/>
        <v>0</v>
      </c>
    </row>
    <row r="11667" spans="39:45">
      <c r="AM11667" s="55">
        <v>2020</v>
      </c>
      <c r="AN11667" s="55" t="s">
        <v>96</v>
      </c>
      <c r="AO11667" s="55">
        <v>1</v>
      </c>
      <c r="AP11667" s="55">
        <v>1</v>
      </c>
      <c r="AQ11667" s="55">
        <v>0</v>
      </c>
      <c r="AR11667" s="55">
        <v>28500</v>
      </c>
      <c r="AS11667" s="78">
        <f t="shared" si="186"/>
        <v>0</v>
      </c>
    </row>
    <row r="11668" spans="39:45">
      <c r="AM11668" s="54">
        <v>2020</v>
      </c>
      <c r="AN11668" s="54" t="s">
        <v>96</v>
      </c>
      <c r="AO11668" s="54">
        <v>1</v>
      </c>
      <c r="AP11668" s="54">
        <v>2</v>
      </c>
      <c r="AQ11668" s="54">
        <v>0</v>
      </c>
      <c r="AR11668" s="55">
        <v>28500</v>
      </c>
      <c r="AS11668" s="78">
        <f t="shared" si="186"/>
        <v>0</v>
      </c>
    </row>
    <row r="11669" spans="39:45">
      <c r="AM11669" s="55">
        <v>2020</v>
      </c>
      <c r="AN11669" s="55" t="s">
        <v>96</v>
      </c>
      <c r="AO11669" s="55">
        <v>1</v>
      </c>
      <c r="AP11669" s="55">
        <v>3</v>
      </c>
      <c r="AQ11669" s="55">
        <v>0</v>
      </c>
      <c r="AR11669" s="55">
        <v>28500</v>
      </c>
      <c r="AS11669" s="78">
        <f t="shared" si="186"/>
        <v>0</v>
      </c>
    </row>
    <row r="11670" spans="39:45">
      <c r="AM11670" s="54">
        <v>2020</v>
      </c>
      <c r="AN11670" s="54" t="s">
        <v>96</v>
      </c>
      <c r="AO11670" s="54">
        <v>1</v>
      </c>
      <c r="AP11670" s="54">
        <v>4</v>
      </c>
      <c r="AQ11670" s="54">
        <v>0</v>
      </c>
      <c r="AR11670" s="55">
        <v>28500</v>
      </c>
      <c r="AS11670" s="78">
        <f t="shared" si="186"/>
        <v>0</v>
      </c>
    </row>
    <row r="11671" spans="39:45">
      <c r="AM11671" s="55">
        <v>2020</v>
      </c>
      <c r="AN11671" s="55" t="s">
        <v>96</v>
      </c>
      <c r="AO11671" s="55">
        <v>1</v>
      </c>
      <c r="AP11671" s="55">
        <v>5</v>
      </c>
      <c r="AQ11671" s="55">
        <v>295</v>
      </c>
      <c r="AR11671" s="55">
        <v>28500</v>
      </c>
      <c r="AS11671" s="78">
        <f t="shared" si="186"/>
        <v>1.0350877192982456E-2</v>
      </c>
    </row>
    <row r="11672" spans="39:45">
      <c r="AM11672" s="54">
        <v>2020</v>
      </c>
      <c r="AN11672" s="54" t="s">
        <v>96</v>
      </c>
      <c r="AO11672" s="54">
        <v>1</v>
      </c>
      <c r="AP11672" s="54">
        <v>6</v>
      </c>
      <c r="AQ11672" s="54">
        <v>1658</v>
      </c>
      <c r="AR11672" s="55">
        <v>28500</v>
      </c>
      <c r="AS11672" s="78">
        <f t="shared" si="186"/>
        <v>5.8175438596491227E-2</v>
      </c>
    </row>
    <row r="11673" spans="39:45">
      <c r="AM11673" s="55">
        <v>2020</v>
      </c>
      <c r="AN11673" s="55" t="s">
        <v>96</v>
      </c>
      <c r="AO11673" s="55">
        <v>1</v>
      </c>
      <c r="AP11673" s="55">
        <v>7</v>
      </c>
      <c r="AQ11673" s="55">
        <v>7305.5</v>
      </c>
      <c r="AR11673" s="55">
        <v>28500</v>
      </c>
      <c r="AS11673" s="78">
        <f t="shared" si="186"/>
        <v>0.25633333333333336</v>
      </c>
    </row>
    <row r="11674" spans="39:45">
      <c r="AM11674" s="54">
        <v>2020</v>
      </c>
      <c r="AN11674" s="54" t="s">
        <v>96</v>
      </c>
      <c r="AO11674" s="54">
        <v>1</v>
      </c>
      <c r="AP11674" s="54">
        <v>8</v>
      </c>
      <c r="AQ11674" s="54">
        <v>18906</v>
      </c>
      <c r="AR11674" s="55">
        <v>28500</v>
      </c>
      <c r="AS11674" s="78">
        <f t="shared" si="186"/>
        <v>0.66336842105263161</v>
      </c>
    </row>
    <row r="11675" spans="39:45">
      <c r="AM11675" s="55">
        <v>2020</v>
      </c>
      <c r="AN11675" s="55" t="s">
        <v>96</v>
      </c>
      <c r="AO11675" s="55">
        <v>1</v>
      </c>
      <c r="AP11675" s="55">
        <v>9</v>
      </c>
      <c r="AQ11675" s="55">
        <v>22073</v>
      </c>
      <c r="AR11675" s="55">
        <v>28500</v>
      </c>
      <c r="AS11675" s="78">
        <f t="shared" si="186"/>
        <v>0.77449122807017545</v>
      </c>
    </row>
    <row r="11676" spans="39:45">
      <c r="AM11676" s="54">
        <v>2020</v>
      </c>
      <c r="AN11676" s="54" t="s">
        <v>96</v>
      </c>
      <c r="AO11676" s="54">
        <v>1</v>
      </c>
      <c r="AP11676" s="54">
        <v>10</v>
      </c>
      <c r="AQ11676" s="54">
        <v>21966</v>
      </c>
      <c r="AR11676" s="55">
        <v>28500</v>
      </c>
      <c r="AS11676" s="78">
        <f t="shared" si="186"/>
        <v>0.77073684210526316</v>
      </c>
    </row>
    <row r="11677" spans="39:45">
      <c r="AM11677" s="55">
        <v>2020</v>
      </c>
      <c r="AN11677" s="55" t="s">
        <v>96</v>
      </c>
      <c r="AO11677" s="55">
        <v>1</v>
      </c>
      <c r="AP11677" s="55">
        <v>11</v>
      </c>
      <c r="AQ11677" s="55">
        <v>39035</v>
      </c>
      <c r="AR11677" s="55">
        <v>28500</v>
      </c>
      <c r="AS11677" s="78">
        <f t="shared" si="186"/>
        <v>1.3696491228070176</v>
      </c>
    </row>
    <row r="11678" spans="39:45">
      <c r="AM11678" s="54">
        <v>2020</v>
      </c>
      <c r="AN11678" s="54" t="s">
        <v>96</v>
      </c>
      <c r="AO11678" s="54">
        <v>1</v>
      </c>
      <c r="AP11678" s="54">
        <v>12</v>
      </c>
      <c r="AQ11678" s="54">
        <v>3392</v>
      </c>
      <c r="AR11678" s="55">
        <v>28500</v>
      </c>
      <c r="AS11678" s="78">
        <f t="shared" si="186"/>
        <v>0.11901754385964912</v>
      </c>
    </row>
    <row r="11679" spans="39:45">
      <c r="AM11679" s="55">
        <v>2020</v>
      </c>
      <c r="AN11679" s="55" t="s">
        <v>96</v>
      </c>
      <c r="AO11679" s="55">
        <v>1</v>
      </c>
      <c r="AP11679" s="55">
        <v>13</v>
      </c>
      <c r="AQ11679" s="55">
        <v>40302</v>
      </c>
      <c r="AR11679" s="55">
        <v>28500</v>
      </c>
      <c r="AS11679" s="78">
        <f t="shared" si="186"/>
        <v>1.4141052631578948</v>
      </c>
    </row>
    <row r="11680" spans="39:45">
      <c r="AM11680" s="54">
        <v>2020</v>
      </c>
      <c r="AN11680" s="54" t="s">
        <v>96</v>
      </c>
      <c r="AO11680" s="54">
        <v>1</v>
      </c>
      <c r="AP11680" s="54">
        <v>14</v>
      </c>
      <c r="AQ11680" s="54">
        <v>7887.5</v>
      </c>
      <c r="AR11680" s="55">
        <v>28500</v>
      </c>
      <c r="AS11680" s="78">
        <f t="shared" si="186"/>
        <v>0.27675438596491231</v>
      </c>
    </row>
    <row r="11681" spans="39:45">
      <c r="AM11681" s="55">
        <v>2020</v>
      </c>
      <c r="AN11681" s="55" t="s">
        <v>96</v>
      </c>
      <c r="AO11681" s="55">
        <v>1</v>
      </c>
      <c r="AP11681" s="55">
        <v>15</v>
      </c>
      <c r="AQ11681" s="55">
        <v>16808</v>
      </c>
      <c r="AR11681" s="55">
        <v>28500</v>
      </c>
      <c r="AS11681" s="78">
        <f t="shared" si="186"/>
        <v>0.58975438596491225</v>
      </c>
    </row>
    <row r="11682" spans="39:45">
      <c r="AM11682" s="54">
        <v>2020</v>
      </c>
      <c r="AN11682" s="54" t="s">
        <v>96</v>
      </c>
      <c r="AO11682" s="54">
        <v>1</v>
      </c>
      <c r="AP11682" s="54">
        <v>16</v>
      </c>
      <c r="AQ11682" s="54">
        <v>16957</v>
      </c>
      <c r="AR11682" s="55">
        <v>28500</v>
      </c>
      <c r="AS11682" s="78">
        <f t="shared" si="186"/>
        <v>0.59498245614035083</v>
      </c>
    </row>
    <row r="11683" spans="39:45">
      <c r="AM11683" s="55">
        <v>2020</v>
      </c>
      <c r="AN11683" s="55" t="s">
        <v>96</v>
      </c>
      <c r="AO11683" s="55">
        <v>1</v>
      </c>
      <c r="AP11683" s="55">
        <v>17</v>
      </c>
      <c r="AQ11683" s="55">
        <v>3981</v>
      </c>
      <c r="AR11683" s="55">
        <v>28500</v>
      </c>
      <c r="AS11683" s="78">
        <f t="shared" si="186"/>
        <v>0.1396842105263158</v>
      </c>
    </row>
    <row r="11684" spans="39:45">
      <c r="AM11684" s="54">
        <v>2020</v>
      </c>
      <c r="AN11684" s="54" t="s">
        <v>96</v>
      </c>
      <c r="AO11684" s="54">
        <v>1</v>
      </c>
      <c r="AP11684" s="54">
        <v>18</v>
      </c>
      <c r="AQ11684" s="54">
        <v>1082.5</v>
      </c>
      <c r="AR11684" s="55">
        <v>28500</v>
      </c>
      <c r="AS11684" s="78">
        <f t="shared" si="186"/>
        <v>3.7982456140350875E-2</v>
      </c>
    </row>
    <row r="11685" spans="39:45">
      <c r="AM11685" s="55">
        <v>2020</v>
      </c>
      <c r="AN11685" s="55" t="s">
        <v>96</v>
      </c>
      <c r="AO11685" s="55">
        <v>1</v>
      </c>
      <c r="AP11685" s="55">
        <v>19</v>
      </c>
      <c r="AQ11685" s="55">
        <v>0</v>
      </c>
      <c r="AR11685" s="55">
        <v>28500</v>
      </c>
      <c r="AS11685" s="78">
        <f t="shared" si="186"/>
        <v>0</v>
      </c>
    </row>
    <row r="11686" spans="39:45">
      <c r="AM11686" s="54">
        <v>2020</v>
      </c>
      <c r="AN11686" s="54" t="s">
        <v>96</v>
      </c>
      <c r="AO11686" s="54">
        <v>1</v>
      </c>
      <c r="AP11686" s="54">
        <v>20</v>
      </c>
      <c r="AQ11686" s="54">
        <v>0</v>
      </c>
      <c r="AR11686" s="55">
        <v>28500</v>
      </c>
      <c r="AS11686" s="78">
        <f t="shared" si="186"/>
        <v>0</v>
      </c>
    </row>
    <row r="11687" spans="39:45">
      <c r="AM11687" s="55">
        <v>2020</v>
      </c>
      <c r="AN11687" s="55" t="s">
        <v>96</v>
      </c>
      <c r="AO11687" s="55">
        <v>1</v>
      </c>
      <c r="AP11687" s="55">
        <v>21</v>
      </c>
      <c r="AQ11687" s="55">
        <v>0</v>
      </c>
      <c r="AR11687" s="55">
        <v>28500</v>
      </c>
      <c r="AS11687" s="78">
        <f t="shared" si="186"/>
        <v>0</v>
      </c>
    </row>
    <row r="11688" spans="39:45">
      <c r="AM11688" s="54">
        <v>2020</v>
      </c>
      <c r="AN11688" s="54" t="s">
        <v>96</v>
      </c>
      <c r="AO11688" s="54">
        <v>1</v>
      </c>
      <c r="AP11688" s="54">
        <v>22</v>
      </c>
      <c r="AQ11688" s="54">
        <v>0</v>
      </c>
      <c r="AR11688" s="55">
        <v>28500</v>
      </c>
      <c r="AS11688" s="78">
        <f t="shared" si="186"/>
        <v>0</v>
      </c>
    </row>
    <row r="11689" spans="39:45">
      <c r="AM11689" s="55">
        <v>2020</v>
      </c>
      <c r="AN11689" s="55" t="s">
        <v>96</v>
      </c>
      <c r="AO11689" s="55">
        <v>1</v>
      </c>
      <c r="AP11689" s="55">
        <v>23</v>
      </c>
      <c r="AQ11689" s="55">
        <v>0</v>
      </c>
      <c r="AR11689" s="55">
        <v>28500</v>
      </c>
      <c r="AS11689" s="78">
        <f t="shared" si="186"/>
        <v>0</v>
      </c>
    </row>
    <row r="11690" spans="39:45">
      <c r="AM11690" s="54">
        <v>2020</v>
      </c>
      <c r="AN11690" s="54" t="s">
        <v>96</v>
      </c>
      <c r="AO11690" s="54">
        <v>2</v>
      </c>
      <c r="AP11690" s="54">
        <v>24</v>
      </c>
      <c r="AQ11690" s="54">
        <v>0</v>
      </c>
      <c r="AR11690" s="55">
        <v>28500</v>
      </c>
      <c r="AS11690" s="78">
        <f t="shared" si="186"/>
        <v>0</v>
      </c>
    </row>
    <row r="11691" spans="39:45">
      <c r="AM11691" s="55">
        <v>2020</v>
      </c>
      <c r="AN11691" s="55" t="s">
        <v>96</v>
      </c>
      <c r="AO11691" s="55">
        <v>2</v>
      </c>
      <c r="AP11691" s="55">
        <v>1</v>
      </c>
      <c r="AQ11691" s="55">
        <v>0</v>
      </c>
      <c r="AR11691" s="55">
        <v>28500</v>
      </c>
      <c r="AS11691" s="78">
        <f t="shared" si="186"/>
        <v>0</v>
      </c>
    </row>
    <row r="11692" spans="39:45">
      <c r="AM11692" s="54">
        <v>2020</v>
      </c>
      <c r="AN11692" s="54" t="s">
        <v>96</v>
      </c>
      <c r="AO11692" s="54">
        <v>2</v>
      </c>
      <c r="AP11692" s="54">
        <v>2</v>
      </c>
      <c r="AQ11692" s="54">
        <v>0</v>
      </c>
      <c r="AR11692" s="55">
        <v>28500</v>
      </c>
      <c r="AS11692" s="78">
        <f t="shared" si="186"/>
        <v>0</v>
      </c>
    </row>
    <row r="11693" spans="39:45">
      <c r="AM11693" s="55">
        <v>2020</v>
      </c>
      <c r="AN11693" s="55" t="s">
        <v>96</v>
      </c>
      <c r="AO11693" s="55">
        <v>2</v>
      </c>
      <c r="AP11693" s="55">
        <v>3</v>
      </c>
      <c r="AQ11693" s="55">
        <v>0</v>
      </c>
      <c r="AR11693" s="55">
        <v>28500</v>
      </c>
      <c r="AS11693" s="78">
        <f t="shared" si="186"/>
        <v>0</v>
      </c>
    </row>
    <row r="11694" spans="39:45">
      <c r="AM11694" s="54">
        <v>2020</v>
      </c>
      <c r="AN11694" s="54" t="s">
        <v>96</v>
      </c>
      <c r="AO11694" s="54">
        <v>2</v>
      </c>
      <c r="AP11694" s="54">
        <v>4</v>
      </c>
      <c r="AQ11694" s="54">
        <v>0</v>
      </c>
      <c r="AR11694" s="55">
        <v>28500</v>
      </c>
      <c r="AS11694" s="78">
        <f t="shared" si="186"/>
        <v>0</v>
      </c>
    </row>
    <row r="11695" spans="39:45">
      <c r="AM11695" s="55">
        <v>2020</v>
      </c>
      <c r="AN11695" s="55" t="s">
        <v>96</v>
      </c>
      <c r="AO11695" s="55">
        <v>2</v>
      </c>
      <c r="AP11695" s="55">
        <v>5</v>
      </c>
      <c r="AQ11695" s="55">
        <v>551</v>
      </c>
      <c r="AR11695" s="55">
        <v>28500</v>
      </c>
      <c r="AS11695" s="78">
        <f t="shared" si="186"/>
        <v>1.9333333333333334E-2</v>
      </c>
    </row>
    <row r="11696" spans="39:45">
      <c r="AM11696" s="54">
        <v>2020</v>
      </c>
      <c r="AN11696" s="54" t="s">
        <v>96</v>
      </c>
      <c r="AO11696" s="54">
        <v>2</v>
      </c>
      <c r="AP11696" s="54">
        <v>6</v>
      </c>
      <c r="AQ11696" s="54">
        <v>3067.5</v>
      </c>
      <c r="AR11696" s="55">
        <v>28500</v>
      </c>
      <c r="AS11696" s="78">
        <f t="shared" si="186"/>
        <v>0.10763157894736843</v>
      </c>
    </row>
    <row r="11697" spans="39:45">
      <c r="AM11697" s="55">
        <v>2020</v>
      </c>
      <c r="AN11697" s="55" t="s">
        <v>96</v>
      </c>
      <c r="AO11697" s="55">
        <v>2</v>
      </c>
      <c r="AP11697" s="55">
        <v>7</v>
      </c>
      <c r="AQ11697" s="55">
        <v>14046.5</v>
      </c>
      <c r="AR11697" s="55">
        <v>28500</v>
      </c>
      <c r="AS11697" s="78">
        <f t="shared" si="186"/>
        <v>0.492859649122807</v>
      </c>
    </row>
    <row r="11698" spans="39:45">
      <c r="AM11698" s="54">
        <v>2020</v>
      </c>
      <c r="AN11698" s="54" t="s">
        <v>96</v>
      </c>
      <c r="AO11698" s="54">
        <v>2</v>
      </c>
      <c r="AP11698" s="54">
        <v>8</v>
      </c>
      <c r="AQ11698" s="54">
        <v>23200.5</v>
      </c>
      <c r="AR11698" s="55">
        <v>28500</v>
      </c>
      <c r="AS11698" s="78">
        <f t="shared" si="186"/>
        <v>0.81405263157894736</v>
      </c>
    </row>
    <row r="11699" spans="39:45">
      <c r="AM11699" s="55">
        <v>2020</v>
      </c>
      <c r="AN11699" s="55" t="s">
        <v>96</v>
      </c>
      <c r="AO11699" s="55">
        <v>2</v>
      </c>
      <c r="AP11699" s="55">
        <v>9</v>
      </c>
      <c r="AQ11699" s="55">
        <v>30028</v>
      </c>
      <c r="AR11699" s="55">
        <v>28500</v>
      </c>
      <c r="AS11699" s="78">
        <f t="shared" si="186"/>
        <v>1.0536140350877192</v>
      </c>
    </row>
    <row r="11700" spans="39:45">
      <c r="AM11700" s="54">
        <v>2020</v>
      </c>
      <c r="AN11700" s="54" t="s">
        <v>96</v>
      </c>
      <c r="AO11700" s="54">
        <v>2</v>
      </c>
      <c r="AP11700" s="54">
        <v>10</v>
      </c>
      <c r="AQ11700" s="54">
        <v>34441</v>
      </c>
      <c r="AR11700" s="55">
        <v>28500</v>
      </c>
      <c r="AS11700" s="78">
        <f t="shared" si="186"/>
        <v>1.2084561403508771</v>
      </c>
    </row>
    <row r="11701" spans="39:45">
      <c r="AM11701" s="55">
        <v>2020</v>
      </c>
      <c r="AN11701" s="55" t="s">
        <v>96</v>
      </c>
      <c r="AO11701" s="55">
        <v>2</v>
      </c>
      <c r="AP11701" s="55">
        <v>11</v>
      </c>
      <c r="AQ11701" s="55">
        <v>36464.5</v>
      </c>
      <c r="AR11701" s="55">
        <v>28500</v>
      </c>
      <c r="AS11701" s="78">
        <f t="shared" si="186"/>
        <v>1.2794561403508773</v>
      </c>
    </row>
    <row r="11702" spans="39:45">
      <c r="AM11702" s="54">
        <v>2020</v>
      </c>
      <c r="AN11702" s="54" t="s">
        <v>96</v>
      </c>
      <c r="AO11702" s="54">
        <v>2</v>
      </c>
      <c r="AP11702" s="54">
        <v>12</v>
      </c>
      <c r="AQ11702" s="54">
        <v>34305.5</v>
      </c>
      <c r="AR11702" s="55">
        <v>28500</v>
      </c>
      <c r="AS11702" s="78">
        <f t="shared" si="186"/>
        <v>1.2037017543859649</v>
      </c>
    </row>
    <row r="11703" spans="39:45">
      <c r="AM11703" s="55">
        <v>2020</v>
      </c>
      <c r="AN11703" s="55" t="s">
        <v>96</v>
      </c>
      <c r="AO11703" s="55">
        <v>2</v>
      </c>
      <c r="AP11703" s="55">
        <v>13</v>
      </c>
      <c r="AQ11703" s="55">
        <v>24806</v>
      </c>
      <c r="AR11703" s="55">
        <v>28500</v>
      </c>
      <c r="AS11703" s="78">
        <f t="shared" si="186"/>
        <v>0.87038596491228071</v>
      </c>
    </row>
    <row r="11704" spans="39:45">
      <c r="AM11704" s="54">
        <v>2020</v>
      </c>
      <c r="AN11704" s="54" t="s">
        <v>96</v>
      </c>
      <c r="AO11704" s="54">
        <v>2</v>
      </c>
      <c r="AP11704" s="54">
        <v>14</v>
      </c>
      <c r="AQ11704" s="54">
        <v>22614</v>
      </c>
      <c r="AR11704" s="55">
        <v>28500</v>
      </c>
      <c r="AS11704" s="78">
        <f t="shared" si="186"/>
        <v>0.79347368421052633</v>
      </c>
    </row>
    <row r="11705" spans="39:45">
      <c r="AM11705" s="55">
        <v>2020</v>
      </c>
      <c r="AN11705" s="55" t="s">
        <v>96</v>
      </c>
      <c r="AO11705" s="55">
        <v>2</v>
      </c>
      <c r="AP11705" s="55">
        <v>15</v>
      </c>
      <c r="AQ11705" s="55">
        <v>19818.5</v>
      </c>
      <c r="AR11705" s="55">
        <v>28500</v>
      </c>
      <c r="AS11705" s="78">
        <f t="shared" si="186"/>
        <v>0.69538596491228066</v>
      </c>
    </row>
    <row r="11706" spans="39:45">
      <c r="AM11706" s="54">
        <v>2020</v>
      </c>
      <c r="AN11706" s="54" t="s">
        <v>96</v>
      </c>
      <c r="AO11706" s="54">
        <v>2</v>
      </c>
      <c r="AP11706" s="54">
        <v>16</v>
      </c>
      <c r="AQ11706" s="54">
        <v>11668</v>
      </c>
      <c r="AR11706" s="55">
        <v>28500</v>
      </c>
      <c r="AS11706" s="78">
        <f t="shared" si="186"/>
        <v>0.40940350877192982</v>
      </c>
    </row>
    <row r="11707" spans="39:45">
      <c r="AM11707" s="55">
        <v>2020</v>
      </c>
      <c r="AN11707" s="55" t="s">
        <v>96</v>
      </c>
      <c r="AO11707" s="55">
        <v>2</v>
      </c>
      <c r="AP11707" s="55">
        <v>17</v>
      </c>
      <c r="AQ11707" s="55">
        <v>5827.5</v>
      </c>
      <c r="AR11707" s="55">
        <v>28500</v>
      </c>
      <c r="AS11707" s="78">
        <f t="shared" si="186"/>
        <v>0.20447368421052631</v>
      </c>
    </row>
    <row r="11708" spans="39:45">
      <c r="AM11708" s="54">
        <v>2020</v>
      </c>
      <c r="AN11708" s="54" t="s">
        <v>96</v>
      </c>
      <c r="AO11708" s="54">
        <v>2</v>
      </c>
      <c r="AP11708" s="54">
        <v>18</v>
      </c>
      <c r="AQ11708" s="54">
        <v>1793.5</v>
      </c>
      <c r="AR11708" s="55">
        <v>28500</v>
      </c>
      <c r="AS11708" s="78">
        <f t="shared" si="186"/>
        <v>6.2929824561403502E-2</v>
      </c>
    </row>
    <row r="11709" spans="39:45">
      <c r="AM11709" s="55">
        <v>2020</v>
      </c>
      <c r="AN11709" s="55" t="s">
        <v>96</v>
      </c>
      <c r="AO11709" s="55">
        <v>2</v>
      </c>
      <c r="AP11709" s="55">
        <v>19</v>
      </c>
      <c r="AQ11709" s="55">
        <v>0</v>
      </c>
      <c r="AR11709" s="55">
        <v>28500</v>
      </c>
      <c r="AS11709" s="78">
        <f t="shared" si="186"/>
        <v>0</v>
      </c>
    </row>
    <row r="11710" spans="39:45">
      <c r="AM11710" s="54">
        <v>2020</v>
      </c>
      <c r="AN11710" s="54" t="s">
        <v>96</v>
      </c>
      <c r="AO11710" s="54">
        <v>2</v>
      </c>
      <c r="AP11710" s="54">
        <v>20</v>
      </c>
      <c r="AQ11710" s="54">
        <v>0</v>
      </c>
      <c r="AR11710" s="55">
        <v>28500</v>
      </c>
      <c r="AS11710" s="78">
        <f t="shared" si="186"/>
        <v>0</v>
      </c>
    </row>
    <row r="11711" spans="39:45">
      <c r="AM11711" s="55">
        <v>2020</v>
      </c>
      <c r="AN11711" s="55" t="s">
        <v>96</v>
      </c>
      <c r="AO11711" s="55">
        <v>2</v>
      </c>
      <c r="AP11711" s="55">
        <v>21</v>
      </c>
      <c r="AQ11711" s="55">
        <v>0</v>
      </c>
      <c r="AR11711" s="55">
        <v>28500</v>
      </c>
      <c r="AS11711" s="78">
        <f t="shared" si="186"/>
        <v>0</v>
      </c>
    </row>
    <row r="11712" spans="39:45">
      <c r="AM11712" s="54">
        <v>2020</v>
      </c>
      <c r="AN11712" s="54" t="s">
        <v>96</v>
      </c>
      <c r="AO11712" s="54">
        <v>2</v>
      </c>
      <c r="AP11712" s="54">
        <v>22</v>
      </c>
      <c r="AQ11712" s="54">
        <v>0</v>
      </c>
      <c r="AR11712" s="55">
        <v>28500</v>
      </c>
      <c r="AS11712" s="78">
        <f t="shared" si="186"/>
        <v>0</v>
      </c>
    </row>
    <row r="11713" spans="39:45">
      <c r="AM11713" s="55">
        <v>2020</v>
      </c>
      <c r="AN11713" s="55" t="s">
        <v>96</v>
      </c>
      <c r="AO11713" s="55">
        <v>2</v>
      </c>
      <c r="AP11713" s="55">
        <v>23</v>
      </c>
      <c r="AQ11713" s="55">
        <v>0</v>
      </c>
      <c r="AR11713" s="55">
        <v>28500</v>
      </c>
      <c r="AS11713" s="78">
        <f t="shared" si="186"/>
        <v>0</v>
      </c>
    </row>
    <row r="11714" spans="39:45">
      <c r="AM11714" s="54">
        <v>2020</v>
      </c>
      <c r="AN11714" s="54" t="s">
        <v>96</v>
      </c>
      <c r="AO11714" s="54">
        <v>3</v>
      </c>
      <c r="AP11714" s="54">
        <v>24</v>
      </c>
      <c r="AQ11714" s="54">
        <v>0</v>
      </c>
      <c r="AR11714" s="55">
        <v>28500</v>
      </c>
      <c r="AS11714" s="78">
        <f t="shared" ref="AS11714:AS11777" si="187">AQ11714/AR11714</f>
        <v>0</v>
      </c>
    </row>
    <row r="11715" spans="39:45">
      <c r="AM11715" s="55">
        <v>2020</v>
      </c>
      <c r="AN11715" s="55" t="s">
        <v>96</v>
      </c>
      <c r="AO11715" s="55">
        <v>3</v>
      </c>
      <c r="AP11715" s="55">
        <v>1</v>
      </c>
      <c r="AQ11715" s="55">
        <v>0</v>
      </c>
      <c r="AR11715" s="55">
        <v>28500</v>
      </c>
      <c r="AS11715" s="78">
        <f t="shared" si="187"/>
        <v>0</v>
      </c>
    </row>
    <row r="11716" spans="39:45">
      <c r="AM11716" s="54">
        <v>2020</v>
      </c>
      <c r="AN11716" s="54" t="s">
        <v>96</v>
      </c>
      <c r="AO11716" s="54">
        <v>3</v>
      </c>
      <c r="AP11716" s="54">
        <v>2</v>
      </c>
      <c r="AQ11716" s="54">
        <v>0</v>
      </c>
      <c r="AR11716" s="55">
        <v>28500</v>
      </c>
      <c r="AS11716" s="78">
        <f t="shared" si="187"/>
        <v>0</v>
      </c>
    </row>
    <row r="11717" spans="39:45">
      <c r="AM11717" s="55">
        <v>2020</v>
      </c>
      <c r="AN11717" s="55" t="s">
        <v>96</v>
      </c>
      <c r="AO11717" s="55">
        <v>3</v>
      </c>
      <c r="AP11717" s="55">
        <v>3</v>
      </c>
      <c r="AQ11717" s="55">
        <v>0</v>
      </c>
      <c r="AR11717" s="55">
        <v>28500</v>
      </c>
      <c r="AS11717" s="78">
        <f t="shared" si="187"/>
        <v>0</v>
      </c>
    </row>
    <row r="11718" spans="39:45">
      <c r="AM11718" s="54">
        <v>2020</v>
      </c>
      <c r="AN11718" s="54" t="s">
        <v>96</v>
      </c>
      <c r="AO11718" s="54">
        <v>3</v>
      </c>
      <c r="AP11718" s="54">
        <v>4</v>
      </c>
      <c r="AQ11718" s="54">
        <v>0</v>
      </c>
      <c r="AR11718" s="55">
        <v>28500</v>
      </c>
      <c r="AS11718" s="78">
        <f t="shared" si="187"/>
        <v>0</v>
      </c>
    </row>
    <row r="11719" spans="39:45">
      <c r="AM11719" s="55">
        <v>2020</v>
      </c>
      <c r="AN11719" s="55" t="s">
        <v>96</v>
      </c>
      <c r="AO11719" s="55">
        <v>3</v>
      </c>
      <c r="AP11719" s="55">
        <v>5</v>
      </c>
      <c r="AQ11719" s="55">
        <v>579</v>
      </c>
      <c r="AR11719" s="55">
        <v>28500</v>
      </c>
      <c r="AS11719" s="78">
        <f t="shared" si="187"/>
        <v>2.0315789473684211E-2</v>
      </c>
    </row>
    <row r="11720" spans="39:45">
      <c r="AM11720" s="54">
        <v>2020</v>
      </c>
      <c r="AN11720" s="54" t="s">
        <v>96</v>
      </c>
      <c r="AO11720" s="54">
        <v>3</v>
      </c>
      <c r="AP11720" s="54">
        <v>6</v>
      </c>
      <c r="AQ11720" s="54">
        <v>2537</v>
      </c>
      <c r="AR11720" s="55">
        <v>28500</v>
      </c>
      <c r="AS11720" s="78">
        <f t="shared" si="187"/>
        <v>8.901754385964912E-2</v>
      </c>
    </row>
    <row r="11721" spans="39:45">
      <c r="AM11721" s="55">
        <v>2020</v>
      </c>
      <c r="AN11721" s="55" t="s">
        <v>96</v>
      </c>
      <c r="AO11721" s="55">
        <v>3</v>
      </c>
      <c r="AP11721" s="55">
        <v>7</v>
      </c>
      <c r="AQ11721" s="55">
        <v>8577.5</v>
      </c>
      <c r="AR11721" s="55">
        <v>28500</v>
      </c>
      <c r="AS11721" s="78">
        <f t="shared" si="187"/>
        <v>0.30096491228070177</v>
      </c>
    </row>
    <row r="11722" spans="39:45">
      <c r="AM11722" s="54">
        <v>2020</v>
      </c>
      <c r="AN11722" s="54" t="s">
        <v>96</v>
      </c>
      <c r="AO11722" s="54">
        <v>3</v>
      </c>
      <c r="AP11722" s="54">
        <v>8</v>
      </c>
      <c r="AQ11722" s="54">
        <v>12755.5</v>
      </c>
      <c r="AR11722" s="55">
        <v>28500</v>
      </c>
      <c r="AS11722" s="78">
        <f t="shared" si="187"/>
        <v>0.44756140350877194</v>
      </c>
    </row>
    <row r="11723" spans="39:45">
      <c r="AM11723" s="55">
        <v>2020</v>
      </c>
      <c r="AN11723" s="55" t="s">
        <v>96</v>
      </c>
      <c r="AO11723" s="55">
        <v>3</v>
      </c>
      <c r="AP11723" s="55">
        <v>9</v>
      </c>
      <c r="AQ11723" s="55">
        <v>13813.5</v>
      </c>
      <c r="AR11723" s="55">
        <v>28500</v>
      </c>
      <c r="AS11723" s="78">
        <f t="shared" si="187"/>
        <v>0.48468421052631577</v>
      </c>
    </row>
    <row r="11724" spans="39:45">
      <c r="AM11724" s="54">
        <v>2020</v>
      </c>
      <c r="AN11724" s="54" t="s">
        <v>96</v>
      </c>
      <c r="AO11724" s="54">
        <v>3</v>
      </c>
      <c r="AP11724" s="54">
        <v>10</v>
      </c>
      <c r="AQ11724" s="54">
        <v>9688.5</v>
      </c>
      <c r="AR11724" s="55">
        <v>28500</v>
      </c>
      <c r="AS11724" s="78">
        <f t="shared" si="187"/>
        <v>0.33994736842105261</v>
      </c>
    </row>
    <row r="11725" spans="39:45">
      <c r="AM11725" s="55">
        <v>2020</v>
      </c>
      <c r="AN11725" s="55" t="s">
        <v>96</v>
      </c>
      <c r="AO11725" s="55">
        <v>3</v>
      </c>
      <c r="AP11725" s="55">
        <v>11</v>
      </c>
      <c r="AQ11725" s="55">
        <v>9953</v>
      </c>
      <c r="AR11725" s="55">
        <v>28500</v>
      </c>
      <c r="AS11725" s="78">
        <f t="shared" si="187"/>
        <v>0.34922807017543861</v>
      </c>
    </row>
    <row r="11726" spans="39:45">
      <c r="AM11726" s="54">
        <v>2020</v>
      </c>
      <c r="AN11726" s="54" t="s">
        <v>96</v>
      </c>
      <c r="AO11726" s="54">
        <v>3</v>
      </c>
      <c r="AP11726" s="54">
        <v>12</v>
      </c>
      <c r="AQ11726" s="54">
        <v>9187</v>
      </c>
      <c r="AR11726" s="55">
        <v>28500</v>
      </c>
      <c r="AS11726" s="78">
        <f t="shared" si="187"/>
        <v>0.32235087719298244</v>
      </c>
    </row>
    <row r="11727" spans="39:45">
      <c r="AM11727" s="55">
        <v>2020</v>
      </c>
      <c r="AN11727" s="55" t="s">
        <v>96</v>
      </c>
      <c r="AO11727" s="55">
        <v>3</v>
      </c>
      <c r="AP11727" s="55">
        <v>13</v>
      </c>
      <c r="AQ11727" s="55">
        <v>5226.5</v>
      </c>
      <c r="AR11727" s="55">
        <v>28500</v>
      </c>
      <c r="AS11727" s="78">
        <f t="shared" si="187"/>
        <v>0.18338596491228071</v>
      </c>
    </row>
    <row r="11728" spans="39:45">
      <c r="AM11728" s="54">
        <v>2020</v>
      </c>
      <c r="AN11728" s="54" t="s">
        <v>96</v>
      </c>
      <c r="AO11728" s="54">
        <v>3</v>
      </c>
      <c r="AP11728" s="54">
        <v>14</v>
      </c>
      <c r="AQ11728" s="54">
        <v>4797</v>
      </c>
      <c r="AR11728" s="55">
        <v>28500</v>
      </c>
      <c r="AS11728" s="78">
        <f t="shared" si="187"/>
        <v>0.16831578947368422</v>
      </c>
    </row>
    <row r="11729" spans="39:45">
      <c r="AM11729" s="55">
        <v>2020</v>
      </c>
      <c r="AN11729" s="55" t="s">
        <v>96</v>
      </c>
      <c r="AO11729" s="55">
        <v>3</v>
      </c>
      <c r="AP11729" s="55">
        <v>15</v>
      </c>
      <c r="AQ11729" s="55">
        <v>4679.5</v>
      </c>
      <c r="AR11729" s="55">
        <v>28500</v>
      </c>
      <c r="AS11729" s="78">
        <f t="shared" si="187"/>
        <v>0.16419298245614036</v>
      </c>
    </row>
    <row r="11730" spans="39:45">
      <c r="AM11730" s="54">
        <v>2020</v>
      </c>
      <c r="AN11730" s="54" t="s">
        <v>96</v>
      </c>
      <c r="AO11730" s="54">
        <v>3</v>
      </c>
      <c r="AP11730" s="54">
        <v>16</v>
      </c>
      <c r="AQ11730" s="54">
        <v>5116.5</v>
      </c>
      <c r="AR11730" s="55">
        <v>28500</v>
      </c>
      <c r="AS11730" s="78">
        <f t="shared" si="187"/>
        <v>0.17952631578947367</v>
      </c>
    </row>
    <row r="11731" spans="39:45">
      <c r="AM11731" s="55">
        <v>2020</v>
      </c>
      <c r="AN11731" s="55" t="s">
        <v>96</v>
      </c>
      <c r="AO11731" s="55">
        <v>3</v>
      </c>
      <c r="AP11731" s="55">
        <v>17</v>
      </c>
      <c r="AQ11731" s="55">
        <v>3148.5</v>
      </c>
      <c r="AR11731" s="55">
        <v>28500</v>
      </c>
      <c r="AS11731" s="78">
        <f t="shared" si="187"/>
        <v>0.11047368421052632</v>
      </c>
    </row>
    <row r="11732" spans="39:45">
      <c r="AM11732" s="54">
        <v>2020</v>
      </c>
      <c r="AN11732" s="54" t="s">
        <v>96</v>
      </c>
      <c r="AO11732" s="54">
        <v>3</v>
      </c>
      <c r="AP11732" s="54">
        <v>18</v>
      </c>
      <c r="AQ11732" s="54">
        <v>1010.5</v>
      </c>
      <c r="AR11732" s="55">
        <v>28500</v>
      </c>
      <c r="AS11732" s="78">
        <f t="shared" si="187"/>
        <v>3.5456140350877192E-2</v>
      </c>
    </row>
    <row r="11733" spans="39:45">
      <c r="AM11733" s="55">
        <v>2020</v>
      </c>
      <c r="AN11733" s="55" t="s">
        <v>96</v>
      </c>
      <c r="AO11733" s="55">
        <v>3</v>
      </c>
      <c r="AP11733" s="55">
        <v>19</v>
      </c>
      <c r="AQ11733" s="55">
        <v>0</v>
      </c>
      <c r="AR11733" s="55">
        <v>28500</v>
      </c>
      <c r="AS11733" s="78">
        <f t="shared" si="187"/>
        <v>0</v>
      </c>
    </row>
    <row r="11734" spans="39:45">
      <c r="AM11734" s="54">
        <v>2020</v>
      </c>
      <c r="AN11734" s="54" t="s">
        <v>96</v>
      </c>
      <c r="AO11734" s="54">
        <v>3</v>
      </c>
      <c r="AP11734" s="54">
        <v>20</v>
      </c>
      <c r="AQ11734" s="54">
        <v>0</v>
      </c>
      <c r="AR11734" s="55">
        <v>28500</v>
      </c>
      <c r="AS11734" s="78">
        <f t="shared" si="187"/>
        <v>0</v>
      </c>
    </row>
    <row r="11735" spans="39:45">
      <c r="AM11735" s="55">
        <v>2020</v>
      </c>
      <c r="AN11735" s="55" t="s">
        <v>96</v>
      </c>
      <c r="AO11735" s="55">
        <v>3</v>
      </c>
      <c r="AP11735" s="55">
        <v>21</v>
      </c>
      <c r="AQ11735" s="55">
        <v>0</v>
      </c>
      <c r="AR11735" s="55">
        <v>28500</v>
      </c>
      <c r="AS11735" s="78">
        <f t="shared" si="187"/>
        <v>0</v>
      </c>
    </row>
    <row r="11736" spans="39:45">
      <c r="AM11736" s="54">
        <v>2020</v>
      </c>
      <c r="AN11736" s="54" t="s">
        <v>96</v>
      </c>
      <c r="AO11736" s="54">
        <v>3</v>
      </c>
      <c r="AP11736" s="54">
        <v>22</v>
      </c>
      <c r="AQ11736" s="54">
        <v>0</v>
      </c>
      <c r="AR11736" s="55">
        <v>28500</v>
      </c>
      <c r="AS11736" s="78">
        <f t="shared" si="187"/>
        <v>0</v>
      </c>
    </row>
    <row r="11737" spans="39:45">
      <c r="AM11737" s="55">
        <v>2020</v>
      </c>
      <c r="AN11737" s="55" t="s">
        <v>96</v>
      </c>
      <c r="AO11737" s="55">
        <v>3</v>
      </c>
      <c r="AP11737" s="55">
        <v>23</v>
      </c>
      <c r="AQ11737" s="55">
        <v>0</v>
      </c>
      <c r="AR11737" s="55">
        <v>28500</v>
      </c>
      <c r="AS11737" s="78">
        <f t="shared" si="187"/>
        <v>0</v>
      </c>
    </row>
    <row r="11738" spans="39:45">
      <c r="AM11738" s="54">
        <v>2020</v>
      </c>
      <c r="AN11738" s="54" t="s">
        <v>96</v>
      </c>
      <c r="AO11738" s="54">
        <v>4</v>
      </c>
      <c r="AP11738" s="54">
        <v>24</v>
      </c>
      <c r="AQ11738" s="54">
        <v>0</v>
      </c>
      <c r="AR11738" s="55">
        <v>28500</v>
      </c>
      <c r="AS11738" s="78">
        <f t="shared" si="187"/>
        <v>0</v>
      </c>
    </row>
    <row r="11739" spans="39:45">
      <c r="AM11739" s="55">
        <v>2020</v>
      </c>
      <c r="AN11739" s="55" t="s">
        <v>96</v>
      </c>
      <c r="AO11739" s="55">
        <v>4</v>
      </c>
      <c r="AP11739" s="55">
        <v>1</v>
      </c>
      <c r="AQ11739" s="55">
        <v>0</v>
      </c>
      <c r="AR11739" s="55">
        <v>28500</v>
      </c>
      <c r="AS11739" s="78">
        <f t="shared" si="187"/>
        <v>0</v>
      </c>
    </row>
    <row r="11740" spans="39:45">
      <c r="AM11740" s="54">
        <v>2020</v>
      </c>
      <c r="AN11740" s="54" t="s">
        <v>96</v>
      </c>
      <c r="AO11740" s="54">
        <v>4</v>
      </c>
      <c r="AP11740" s="54">
        <v>2</v>
      </c>
      <c r="AQ11740" s="54">
        <v>0</v>
      </c>
      <c r="AR11740" s="55">
        <v>28500</v>
      </c>
      <c r="AS11740" s="78">
        <f t="shared" si="187"/>
        <v>0</v>
      </c>
    </row>
    <row r="11741" spans="39:45">
      <c r="AM11741" s="55">
        <v>2020</v>
      </c>
      <c r="AN11741" s="55" t="s">
        <v>96</v>
      </c>
      <c r="AO11741" s="55">
        <v>4</v>
      </c>
      <c r="AP11741" s="55">
        <v>3</v>
      </c>
      <c r="AQ11741" s="55">
        <v>0</v>
      </c>
      <c r="AR11741" s="55">
        <v>28500</v>
      </c>
      <c r="AS11741" s="78">
        <f t="shared" si="187"/>
        <v>0</v>
      </c>
    </row>
    <row r="11742" spans="39:45">
      <c r="AM11742" s="54">
        <v>2020</v>
      </c>
      <c r="AN11742" s="54" t="s">
        <v>96</v>
      </c>
      <c r="AO11742" s="54">
        <v>4</v>
      </c>
      <c r="AP11742" s="54">
        <v>4</v>
      </c>
      <c r="AQ11742" s="54">
        <v>0</v>
      </c>
      <c r="AR11742" s="55">
        <v>28500</v>
      </c>
      <c r="AS11742" s="78">
        <f t="shared" si="187"/>
        <v>0</v>
      </c>
    </row>
    <row r="11743" spans="39:45">
      <c r="AM11743" s="55">
        <v>2020</v>
      </c>
      <c r="AN11743" s="55" t="s">
        <v>96</v>
      </c>
      <c r="AO11743" s="55">
        <v>4</v>
      </c>
      <c r="AP11743" s="55">
        <v>5</v>
      </c>
      <c r="AQ11743" s="55">
        <v>58</v>
      </c>
      <c r="AR11743" s="55">
        <v>28500</v>
      </c>
      <c r="AS11743" s="78">
        <f t="shared" si="187"/>
        <v>2.0350877192982456E-3</v>
      </c>
    </row>
    <row r="11744" spans="39:45">
      <c r="AM11744" s="54">
        <v>2020</v>
      </c>
      <c r="AN11744" s="54" t="s">
        <v>96</v>
      </c>
      <c r="AO11744" s="54">
        <v>4</v>
      </c>
      <c r="AP11744" s="54">
        <v>6</v>
      </c>
      <c r="AQ11744" s="54">
        <v>3683.5</v>
      </c>
      <c r="AR11744" s="55">
        <v>28500</v>
      </c>
      <c r="AS11744" s="78">
        <f t="shared" si="187"/>
        <v>0.12924561403508772</v>
      </c>
    </row>
    <row r="11745" spans="39:45">
      <c r="AM11745" s="55">
        <v>2020</v>
      </c>
      <c r="AN11745" s="55" t="s">
        <v>96</v>
      </c>
      <c r="AO11745" s="55">
        <v>4</v>
      </c>
      <c r="AP11745" s="55">
        <v>7</v>
      </c>
      <c r="AQ11745" s="55">
        <v>10358</v>
      </c>
      <c r="AR11745" s="55">
        <v>28500</v>
      </c>
      <c r="AS11745" s="78">
        <f t="shared" si="187"/>
        <v>0.36343859649122806</v>
      </c>
    </row>
    <row r="11746" spans="39:45">
      <c r="AM11746" s="54">
        <v>2020</v>
      </c>
      <c r="AN11746" s="54" t="s">
        <v>96</v>
      </c>
      <c r="AO11746" s="54">
        <v>4</v>
      </c>
      <c r="AP11746" s="54">
        <v>8</v>
      </c>
      <c r="AQ11746" s="54">
        <v>21131</v>
      </c>
      <c r="AR11746" s="55">
        <v>28500</v>
      </c>
      <c r="AS11746" s="78">
        <f t="shared" si="187"/>
        <v>0.74143859649122812</v>
      </c>
    </row>
    <row r="11747" spans="39:45">
      <c r="AM11747" s="55">
        <v>2020</v>
      </c>
      <c r="AN11747" s="55" t="s">
        <v>96</v>
      </c>
      <c r="AO11747" s="55">
        <v>4</v>
      </c>
      <c r="AP11747" s="55">
        <v>9</v>
      </c>
      <c r="AQ11747" s="55">
        <v>28630</v>
      </c>
      <c r="AR11747" s="55">
        <v>28500</v>
      </c>
      <c r="AS11747" s="78">
        <f t="shared" si="187"/>
        <v>1.004561403508772</v>
      </c>
    </row>
    <row r="11748" spans="39:45">
      <c r="AM11748" s="54">
        <v>2020</v>
      </c>
      <c r="AN11748" s="54" t="s">
        <v>96</v>
      </c>
      <c r="AO11748" s="54">
        <v>4</v>
      </c>
      <c r="AP11748" s="54">
        <v>10</v>
      </c>
      <c r="AQ11748" s="54">
        <v>24173.5</v>
      </c>
      <c r="AR11748" s="55">
        <v>28500</v>
      </c>
      <c r="AS11748" s="78">
        <f t="shared" si="187"/>
        <v>0.84819298245614039</v>
      </c>
    </row>
    <row r="11749" spans="39:45">
      <c r="AM11749" s="55">
        <v>2020</v>
      </c>
      <c r="AN11749" s="55" t="s">
        <v>96</v>
      </c>
      <c r="AO11749" s="55">
        <v>4</v>
      </c>
      <c r="AP11749" s="55">
        <v>11</v>
      </c>
      <c r="AQ11749" s="55">
        <v>37493.5</v>
      </c>
      <c r="AR11749" s="55">
        <v>28500</v>
      </c>
      <c r="AS11749" s="78">
        <f t="shared" si="187"/>
        <v>1.3155614035087719</v>
      </c>
    </row>
    <row r="11750" spans="39:45">
      <c r="AM11750" s="54">
        <v>2020</v>
      </c>
      <c r="AN11750" s="54" t="s">
        <v>96</v>
      </c>
      <c r="AO11750" s="54">
        <v>4</v>
      </c>
      <c r="AP11750" s="54">
        <v>12</v>
      </c>
      <c r="AQ11750" s="54">
        <v>38066.5</v>
      </c>
      <c r="AR11750" s="55">
        <v>28500</v>
      </c>
      <c r="AS11750" s="78">
        <f t="shared" si="187"/>
        <v>1.3356666666666666</v>
      </c>
    </row>
    <row r="11751" spans="39:45">
      <c r="AM11751" s="55">
        <v>2020</v>
      </c>
      <c r="AN11751" s="55" t="s">
        <v>96</v>
      </c>
      <c r="AO11751" s="55">
        <v>4</v>
      </c>
      <c r="AP11751" s="55">
        <v>13</v>
      </c>
      <c r="AQ11751" s="55">
        <v>39818</v>
      </c>
      <c r="AR11751" s="55">
        <v>28500</v>
      </c>
      <c r="AS11751" s="78">
        <f t="shared" si="187"/>
        <v>1.3971228070175439</v>
      </c>
    </row>
    <row r="11752" spans="39:45">
      <c r="AM11752" s="54">
        <v>2020</v>
      </c>
      <c r="AN11752" s="54" t="s">
        <v>96</v>
      </c>
      <c r="AO11752" s="54">
        <v>4</v>
      </c>
      <c r="AP11752" s="54">
        <v>14</v>
      </c>
      <c r="AQ11752" s="54">
        <v>35865.5</v>
      </c>
      <c r="AR11752" s="55">
        <v>28500</v>
      </c>
      <c r="AS11752" s="78">
        <f t="shared" si="187"/>
        <v>1.2584385964912281</v>
      </c>
    </row>
    <row r="11753" spans="39:45">
      <c r="AM11753" s="55">
        <v>2020</v>
      </c>
      <c r="AN11753" s="55" t="s">
        <v>96</v>
      </c>
      <c r="AO11753" s="55">
        <v>4</v>
      </c>
      <c r="AP11753" s="55">
        <v>15</v>
      </c>
      <c r="AQ11753" s="55">
        <v>28419</v>
      </c>
      <c r="AR11753" s="55">
        <v>28500</v>
      </c>
      <c r="AS11753" s="78">
        <f t="shared" si="187"/>
        <v>0.99715789473684213</v>
      </c>
    </row>
    <row r="11754" spans="39:45">
      <c r="AM11754" s="54">
        <v>2020</v>
      </c>
      <c r="AN11754" s="54" t="s">
        <v>96</v>
      </c>
      <c r="AO11754" s="54">
        <v>4</v>
      </c>
      <c r="AP11754" s="54">
        <v>16</v>
      </c>
      <c r="AQ11754" s="54">
        <v>18622.5</v>
      </c>
      <c r="AR11754" s="55">
        <v>28500</v>
      </c>
      <c r="AS11754" s="78">
        <f t="shared" si="187"/>
        <v>0.6534210526315789</v>
      </c>
    </row>
    <row r="11755" spans="39:45">
      <c r="AM11755" s="55">
        <v>2020</v>
      </c>
      <c r="AN11755" s="55" t="s">
        <v>96</v>
      </c>
      <c r="AO11755" s="55">
        <v>4</v>
      </c>
      <c r="AP11755" s="55">
        <v>17</v>
      </c>
      <c r="AQ11755" s="55">
        <v>7959.5</v>
      </c>
      <c r="AR11755" s="55">
        <v>28500</v>
      </c>
      <c r="AS11755" s="78">
        <f t="shared" si="187"/>
        <v>0.27928070175438596</v>
      </c>
    </row>
    <row r="11756" spans="39:45">
      <c r="AM11756" s="54">
        <v>2020</v>
      </c>
      <c r="AN11756" s="54" t="s">
        <v>96</v>
      </c>
      <c r="AO11756" s="54">
        <v>4</v>
      </c>
      <c r="AP11756" s="54">
        <v>18</v>
      </c>
      <c r="AQ11756" s="54">
        <v>1911.5</v>
      </c>
      <c r="AR11756" s="55">
        <v>28500</v>
      </c>
      <c r="AS11756" s="78">
        <f t="shared" si="187"/>
        <v>6.7070175438596488E-2</v>
      </c>
    </row>
    <row r="11757" spans="39:45">
      <c r="AM11757" s="55">
        <v>2020</v>
      </c>
      <c r="AN11757" s="55" t="s">
        <v>96</v>
      </c>
      <c r="AO11757" s="55">
        <v>4</v>
      </c>
      <c r="AP11757" s="55">
        <v>19</v>
      </c>
      <c r="AQ11757" s="55">
        <v>0</v>
      </c>
      <c r="AR11757" s="55">
        <v>28500</v>
      </c>
      <c r="AS11757" s="78">
        <f t="shared" si="187"/>
        <v>0</v>
      </c>
    </row>
    <row r="11758" spans="39:45">
      <c r="AM11758" s="54">
        <v>2020</v>
      </c>
      <c r="AN11758" s="54" t="s">
        <v>96</v>
      </c>
      <c r="AO11758" s="54">
        <v>4</v>
      </c>
      <c r="AP11758" s="54">
        <v>20</v>
      </c>
      <c r="AQ11758" s="54">
        <v>0</v>
      </c>
      <c r="AR11758" s="55">
        <v>28500</v>
      </c>
      <c r="AS11758" s="78">
        <f t="shared" si="187"/>
        <v>0</v>
      </c>
    </row>
    <row r="11759" spans="39:45">
      <c r="AM11759" s="55">
        <v>2020</v>
      </c>
      <c r="AN11759" s="55" t="s">
        <v>96</v>
      </c>
      <c r="AO11759" s="55">
        <v>4</v>
      </c>
      <c r="AP11759" s="55">
        <v>21</v>
      </c>
      <c r="AQ11759" s="55">
        <v>0</v>
      </c>
      <c r="AR11759" s="55">
        <v>28500</v>
      </c>
      <c r="AS11759" s="78">
        <f t="shared" si="187"/>
        <v>0</v>
      </c>
    </row>
    <row r="11760" spans="39:45">
      <c r="AM11760" s="54">
        <v>2020</v>
      </c>
      <c r="AN11760" s="54" t="s">
        <v>96</v>
      </c>
      <c r="AO11760" s="54">
        <v>4</v>
      </c>
      <c r="AP11760" s="54">
        <v>22</v>
      </c>
      <c r="AQ11760" s="54">
        <v>0</v>
      </c>
      <c r="AR11760" s="55">
        <v>28500</v>
      </c>
      <c r="AS11760" s="78">
        <f t="shared" si="187"/>
        <v>0</v>
      </c>
    </row>
    <row r="11761" spans="39:45">
      <c r="AM11761" s="55">
        <v>2020</v>
      </c>
      <c r="AN11761" s="55" t="s">
        <v>96</v>
      </c>
      <c r="AO11761" s="55">
        <v>4</v>
      </c>
      <c r="AP11761" s="55">
        <v>23</v>
      </c>
      <c r="AQ11761" s="55">
        <v>0</v>
      </c>
      <c r="AR11761" s="55">
        <v>28500</v>
      </c>
      <c r="AS11761" s="78">
        <f t="shared" si="187"/>
        <v>0</v>
      </c>
    </row>
    <row r="11762" spans="39:45">
      <c r="AM11762" s="54">
        <v>2020</v>
      </c>
      <c r="AN11762" s="54" t="s">
        <v>96</v>
      </c>
      <c r="AO11762" s="54">
        <v>5</v>
      </c>
      <c r="AP11762" s="54">
        <v>24</v>
      </c>
      <c r="AQ11762" s="54">
        <v>0</v>
      </c>
      <c r="AR11762" s="55">
        <v>28500</v>
      </c>
      <c r="AS11762" s="78">
        <f t="shared" si="187"/>
        <v>0</v>
      </c>
    </row>
    <row r="11763" spans="39:45">
      <c r="AM11763" s="55">
        <v>2020</v>
      </c>
      <c r="AN11763" s="55" t="s">
        <v>96</v>
      </c>
      <c r="AO11763" s="55">
        <v>5</v>
      </c>
      <c r="AP11763" s="55">
        <v>1</v>
      </c>
      <c r="AQ11763" s="55">
        <v>0</v>
      </c>
      <c r="AR11763" s="55">
        <v>28500</v>
      </c>
      <c r="AS11763" s="78">
        <f t="shared" si="187"/>
        <v>0</v>
      </c>
    </row>
    <row r="11764" spans="39:45">
      <c r="AM11764" s="54">
        <v>2020</v>
      </c>
      <c r="AN11764" s="54" t="s">
        <v>96</v>
      </c>
      <c r="AO11764" s="54">
        <v>5</v>
      </c>
      <c r="AP11764" s="54">
        <v>2</v>
      </c>
      <c r="AQ11764" s="54">
        <v>0</v>
      </c>
      <c r="AR11764" s="55">
        <v>28500</v>
      </c>
      <c r="AS11764" s="78">
        <f t="shared" si="187"/>
        <v>0</v>
      </c>
    </row>
    <row r="11765" spans="39:45">
      <c r="AM11765" s="55">
        <v>2020</v>
      </c>
      <c r="AN11765" s="55" t="s">
        <v>96</v>
      </c>
      <c r="AO11765" s="55">
        <v>5</v>
      </c>
      <c r="AP11765" s="55">
        <v>3</v>
      </c>
      <c r="AQ11765" s="55">
        <v>0</v>
      </c>
      <c r="AR11765" s="55">
        <v>28500</v>
      </c>
      <c r="AS11765" s="78">
        <f t="shared" si="187"/>
        <v>0</v>
      </c>
    </row>
    <row r="11766" spans="39:45">
      <c r="AM11766" s="54">
        <v>2020</v>
      </c>
      <c r="AN11766" s="54" t="s">
        <v>96</v>
      </c>
      <c r="AO11766" s="54">
        <v>5</v>
      </c>
      <c r="AP11766" s="54">
        <v>4</v>
      </c>
      <c r="AQ11766" s="54">
        <v>0</v>
      </c>
      <c r="AR11766" s="55">
        <v>28500</v>
      </c>
      <c r="AS11766" s="78">
        <f t="shared" si="187"/>
        <v>0</v>
      </c>
    </row>
    <row r="11767" spans="39:45">
      <c r="AM11767" s="55">
        <v>2020</v>
      </c>
      <c r="AN11767" s="55" t="s">
        <v>96</v>
      </c>
      <c r="AO11767" s="55">
        <v>5</v>
      </c>
      <c r="AP11767" s="55">
        <v>5</v>
      </c>
      <c r="AQ11767" s="55">
        <v>517</v>
      </c>
      <c r="AR11767" s="55">
        <v>28500</v>
      </c>
      <c r="AS11767" s="78">
        <f t="shared" si="187"/>
        <v>1.8140350877192981E-2</v>
      </c>
    </row>
    <row r="11768" spans="39:45">
      <c r="AM11768" s="54">
        <v>2020</v>
      </c>
      <c r="AN11768" s="54" t="s">
        <v>96</v>
      </c>
      <c r="AO11768" s="54">
        <v>5</v>
      </c>
      <c r="AP11768" s="54">
        <v>6</v>
      </c>
      <c r="AQ11768" s="54">
        <v>3600.5</v>
      </c>
      <c r="AR11768" s="55">
        <v>28500</v>
      </c>
      <c r="AS11768" s="78">
        <f t="shared" si="187"/>
        <v>0.12633333333333333</v>
      </c>
    </row>
    <row r="11769" spans="39:45">
      <c r="AM11769" s="55">
        <v>2020</v>
      </c>
      <c r="AN11769" s="55" t="s">
        <v>96</v>
      </c>
      <c r="AO11769" s="55">
        <v>5</v>
      </c>
      <c r="AP11769" s="55">
        <v>7</v>
      </c>
      <c r="AQ11769" s="55">
        <v>6863.5</v>
      </c>
      <c r="AR11769" s="55">
        <v>28500</v>
      </c>
      <c r="AS11769" s="78">
        <f t="shared" si="187"/>
        <v>0.24082456140350877</v>
      </c>
    </row>
    <row r="11770" spans="39:45">
      <c r="AM11770" s="54">
        <v>2020</v>
      </c>
      <c r="AN11770" s="54" t="s">
        <v>96</v>
      </c>
      <c r="AO11770" s="54">
        <v>5</v>
      </c>
      <c r="AP11770" s="54">
        <v>8</v>
      </c>
      <c r="AQ11770" s="54">
        <v>17385.5</v>
      </c>
      <c r="AR11770" s="55">
        <v>28500</v>
      </c>
      <c r="AS11770" s="78">
        <f t="shared" si="187"/>
        <v>0.61001754385964913</v>
      </c>
    </row>
    <row r="11771" spans="39:45">
      <c r="AM11771" s="55">
        <v>2020</v>
      </c>
      <c r="AN11771" s="55" t="s">
        <v>96</v>
      </c>
      <c r="AO11771" s="55">
        <v>5</v>
      </c>
      <c r="AP11771" s="55">
        <v>9</v>
      </c>
      <c r="AQ11771" s="55">
        <v>22389.5</v>
      </c>
      <c r="AR11771" s="55">
        <v>28500</v>
      </c>
      <c r="AS11771" s="78">
        <f t="shared" si="187"/>
        <v>0.78559649122807018</v>
      </c>
    </row>
    <row r="11772" spans="39:45">
      <c r="AM11772" s="54">
        <v>2020</v>
      </c>
      <c r="AN11772" s="54" t="s">
        <v>96</v>
      </c>
      <c r="AO11772" s="54">
        <v>5</v>
      </c>
      <c r="AP11772" s="54">
        <v>10</v>
      </c>
      <c r="AQ11772" s="54">
        <v>35580</v>
      </c>
      <c r="AR11772" s="55">
        <v>28500</v>
      </c>
      <c r="AS11772" s="78">
        <f t="shared" si="187"/>
        <v>1.2484210526315789</v>
      </c>
    </row>
    <row r="11773" spans="39:45">
      <c r="AM11773" s="55">
        <v>2020</v>
      </c>
      <c r="AN11773" s="55" t="s">
        <v>96</v>
      </c>
      <c r="AO11773" s="55">
        <v>5</v>
      </c>
      <c r="AP11773" s="55">
        <v>11</v>
      </c>
      <c r="AQ11773" s="55">
        <v>42204.5</v>
      </c>
      <c r="AR11773" s="55">
        <v>28500</v>
      </c>
      <c r="AS11773" s="78">
        <f t="shared" si="187"/>
        <v>1.480859649122807</v>
      </c>
    </row>
    <row r="11774" spans="39:45">
      <c r="AM11774" s="54">
        <v>2020</v>
      </c>
      <c r="AN11774" s="54" t="s">
        <v>96</v>
      </c>
      <c r="AO11774" s="54">
        <v>5</v>
      </c>
      <c r="AP11774" s="54">
        <v>12</v>
      </c>
      <c r="AQ11774" s="54">
        <v>44384.5</v>
      </c>
      <c r="AR11774" s="55">
        <v>28500</v>
      </c>
      <c r="AS11774" s="78">
        <f t="shared" si="187"/>
        <v>1.5573508771929825</v>
      </c>
    </row>
    <row r="11775" spans="39:45">
      <c r="AM11775" s="55">
        <v>2020</v>
      </c>
      <c r="AN11775" s="55" t="s">
        <v>96</v>
      </c>
      <c r="AO11775" s="55">
        <v>5</v>
      </c>
      <c r="AP11775" s="55">
        <v>13</v>
      </c>
      <c r="AQ11775" s="55">
        <v>42583</v>
      </c>
      <c r="AR11775" s="55">
        <v>28500</v>
      </c>
      <c r="AS11775" s="78">
        <f t="shared" si="187"/>
        <v>1.4941403508771929</v>
      </c>
    </row>
    <row r="11776" spans="39:45">
      <c r="AM11776" s="54">
        <v>2020</v>
      </c>
      <c r="AN11776" s="54" t="s">
        <v>96</v>
      </c>
      <c r="AO11776" s="54">
        <v>5</v>
      </c>
      <c r="AP11776" s="54">
        <v>14</v>
      </c>
      <c r="AQ11776" s="54">
        <v>37126.5</v>
      </c>
      <c r="AR11776" s="55">
        <v>28500</v>
      </c>
      <c r="AS11776" s="78">
        <f t="shared" si="187"/>
        <v>1.3026842105263159</v>
      </c>
    </row>
    <row r="11777" spans="39:45">
      <c r="AM11777" s="55">
        <v>2020</v>
      </c>
      <c r="AN11777" s="55" t="s">
        <v>96</v>
      </c>
      <c r="AO11777" s="55">
        <v>5</v>
      </c>
      <c r="AP11777" s="55">
        <v>15</v>
      </c>
      <c r="AQ11777" s="55">
        <v>29753.5</v>
      </c>
      <c r="AR11777" s="55">
        <v>28500</v>
      </c>
      <c r="AS11777" s="78">
        <f t="shared" si="187"/>
        <v>1.0439824561403508</v>
      </c>
    </row>
    <row r="11778" spans="39:45">
      <c r="AM11778" s="54">
        <v>2020</v>
      </c>
      <c r="AN11778" s="54" t="s">
        <v>96</v>
      </c>
      <c r="AO11778" s="54">
        <v>5</v>
      </c>
      <c r="AP11778" s="54">
        <v>16</v>
      </c>
      <c r="AQ11778" s="54">
        <v>19792.5</v>
      </c>
      <c r="AR11778" s="55">
        <v>28500</v>
      </c>
      <c r="AS11778" s="78">
        <f t="shared" ref="AS11778:AS11841" si="188">AQ11778/AR11778</f>
        <v>0.69447368421052635</v>
      </c>
    </row>
    <row r="11779" spans="39:45">
      <c r="AM11779" s="55">
        <v>2020</v>
      </c>
      <c r="AN11779" s="55" t="s">
        <v>96</v>
      </c>
      <c r="AO11779" s="55">
        <v>5</v>
      </c>
      <c r="AP11779" s="55">
        <v>17</v>
      </c>
      <c r="AQ11779" s="55">
        <v>8434</v>
      </c>
      <c r="AR11779" s="55">
        <v>28500</v>
      </c>
      <c r="AS11779" s="78">
        <f t="shared" si="188"/>
        <v>0.29592982456140349</v>
      </c>
    </row>
    <row r="11780" spans="39:45">
      <c r="AM11780" s="54">
        <v>2020</v>
      </c>
      <c r="AN11780" s="54" t="s">
        <v>96</v>
      </c>
      <c r="AO11780" s="54">
        <v>5</v>
      </c>
      <c r="AP11780" s="54">
        <v>18</v>
      </c>
      <c r="AQ11780" s="54">
        <v>1587.5</v>
      </c>
      <c r="AR11780" s="55">
        <v>28500</v>
      </c>
      <c r="AS11780" s="78">
        <f t="shared" si="188"/>
        <v>5.5701754385964912E-2</v>
      </c>
    </row>
    <row r="11781" spans="39:45">
      <c r="AM11781" s="55">
        <v>2020</v>
      </c>
      <c r="AN11781" s="55" t="s">
        <v>96</v>
      </c>
      <c r="AO11781" s="55">
        <v>5</v>
      </c>
      <c r="AP11781" s="55">
        <v>19</v>
      </c>
      <c r="AQ11781" s="55">
        <v>0</v>
      </c>
      <c r="AR11781" s="55">
        <v>28500</v>
      </c>
      <c r="AS11781" s="78">
        <f t="shared" si="188"/>
        <v>0</v>
      </c>
    </row>
    <row r="11782" spans="39:45">
      <c r="AM11782" s="54">
        <v>2020</v>
      </c>
      <c r="AN11782" s="54" t="s">
        <v>96</v>
      </c>
      <c r="AO11782" s="54">
        <v>5</v>
      </c>
      <c r="AP11782" s="54">
        <v>20</v>
      </c>
      <c r="AQ11782" s="54">
        <v>0</v>
      </c>
      <c r="AR11782" s="55">
        <v>28500</v>
      </c>
      <c r="AS11782" s="78">
        <f t="shared" si="188"/>
        <v>0</v>
      </c>
    </row>
    <row r="11783" spans="39:45">
      <c r="AM11783" s="55">
        <v>2020</v>
      </c>
      <c r="AN11783" s="55" t="s">
        <v>96</v>
      </c>
      <c r="AO11783" s="55">
        <v>5</v>
      </c>
      <c r="AP11783" s="55">
        <v>21</v>
      </c>
      <c r="AQ11783" s="55">
        <v>0</v>
      </c>
      <c r="AR11783" s="55">
        <v>28500</v>
      </c>
      <c r="AS11783" s="78">
        <f t="shared" si="188"/>
        <v>0</v>
      </c>
    </row>
    <row r="11784" spans="39:45">
      <c r="AM11784" s="54">
        <v>2020</v>
      </c>
      <c r="AN11784" s="54" t="s">
        <v>96</v>
      </c>
      <c r="AO11784" s="54">
        <v>5</v>
      </c>
      <c r="AP11784" s="54">
        <v>22</v>
      </c>
      <c r="AQ11784" s="54">
        <v>0</v>
      </c>
      <c r="AR11784" s="55">
        <v>28500</v>
      </c>
      <c r="AS11784" s="78">
        <f t="shared" si="188"/>
        <v>0</v>
      </c>
    </row>
    <row r="11785" spans="39:45">
      <c r="AM11785" s="55">
        <v>2020</v>
      </c>
      <c r="AN11785" s="55" t="s">
        <v>96</v>
      </c>
      <c r="AO11785" s="55">
        <v>5</v>
      </c>
      <c r="AP11785" s="55">
        <v>23</v>
      </c>
      <c r="AQ11785" s="55">
        <v>0</v>
      </c>
      <c r="AR11785" s="55">
        <v>28500</v>
      </c>
      <c r="AS11785" s="78">
        <f t="shared" si="188"/>
        <v>0</v>
      </c>
    </row>
    <row r="11786" spans="39:45">
      <c r="AM11786" s="54">
        <v>2020</v>
      </c>
      <c r="AN11786" s="54" t="s">
        <v>96</v>
      </c>
      <c r="AO11786" s="54">
        <v>6</v>
      </c>
      <c r="AP11786" s="54">
        <v>24</v>
      </c>
      <c r="AQ11786" s="54">
        <v>0</v>
      </c>
      <c r="AR11786" s="55">
        <v>28500</v>
      </c>
      <c r="AS11786" s="78">
        <f t="shared" si="188"/>
        <v>0</v>
      </c>
    </row>
    <row r="11787" spans="39:45">
      <c r="AM11787" s="55">
        <v>2020</v>
      </c>
      <c r="AN11787" s="55" t="s">
        <v>96</v>
      </c>
      <c r="AO11787" s="55">
        <v>6</v>
      </c>
      <c r="AP11787" s="55">
        <v>1</v>
      </c>
      <c r="AQ11787" s="55">
        <v>0</v>
      </c>
      <c r="AR11787" s="55">
        <v>28500</v>
      </c>
      <c r="AS11787" s="78">
        <f t="shared" si="188"/>
        <v>0</v>
      </c>
    </row>
    <row r="11788" spans="39:45">
      <c r="AM11788" s="54">
        <v>2020</v>
      </c>
      <c r="AN11788" s="54" t="s">
        <v>96</v>
      </c>
      <c r="AO11788" s="54">
        <v>6</v>
      </c>
      <c r="AP11788" s="54">
        <v>2</v>
      </c>
      <c r="AQ11788" s="54">
        <v>0</v>
      </c>
      <c r="AR11788" s="55">
        <v>28500</v>
      </c>
      <c r="AS11788" s="78">
        <f t="shared" si="188"/>
        <v>0</v>
      </c>
    </row>
    <row r="11789" spans="39:45">
      <c r="AM11789" s="55">
        <v>2020</v>
      </c>
      <c r="AN11789" s="55" t="s">
        <v>96</v>
      </c>
      <c r="AO11789" s="55">
        <v>6</v>
      </c>
      <c r="AP11789" s="55">
        <v>3</v>
      </c>
      <c r="AQ11789" s="55">
        <v>0</v>
      </c>
      <c r="AR11789" s="55">
        <v>28500</v>
      </c>
      <c r="AS11789" s="78">
        <f t="shared" si="188"/>
        <v>0</v>
      </c>
    </row>
    <row r="11790" spans="39:45">
      <c r="AM11790" s="54">
        <v>2020</v>
      </c>
      <c r="AN11790" s="54" t="s">
        <v>96</v>
      </c>
      <c r="AO11790" s="54">
        <v>6</v>
      </c>
      <c r="AP11790" s="54">
        <v>4</v>
      </c>
      <c r="AQ11790" s="54">
        <v>0</v>
      </c>
      <c r="AR11790" s="55">
        <v>28500</v>
      </c>
      <c r="AS11790" s="78">
        <f t="shared" si="188"/>
        <v>0</v>
      </c>
    </row>
    <row r="11791" spans="39:45">
      <c r="AM11791" s="55">
        <v>2020</v>
      </c>
      <c r="AN11791" s="55" t="s">
        <v>96</v>
      </c>
      <c r="AO11791" s="55">
        <v>6</v>
      </c>
      <c r="AP11791" s="55">
        <v>5</v>
      </c>
      <c r="AQ11791" s="55">
        <v>704</v>
      </c>
      <c r="AR11791" s="55">
        <v>28500</v>
      </c>
      <c r="AS11791" s="78">
        <f t="shared" si="188"/>
        <v>2.4701754385964912E-2</v>
      </c>
    </row>
    <row r="11792" spans="39:45">
      <c r="AM11792" s="54">
        <v>2020</v>
      </c>
      <c r="AN11792" s="54" t="s">
        <v>96</v>
      </c>
      <c r="AO11792" s="54">
        <v>6</v>
      </c>
      <c r="AP11792" s="54">
        <v>6</v>
      </c>
      <c r="AQ11792" s="54">
        <v>3487</v>
      </c>
      <c r="AR11792" s="55">
        <v>28500</v>
      </c>
      <c r="AS11792" s="78">
        <f t="shared" si="188"/>
        <v>0.12235087719298246</v>
      </c>
    </row>
    <row r="11793" spans="39:45">
      <c r="AM11793" s="55">
        <v>2020</v>
      </c>
      <c r="AN11793" s="55" t="s">
        <v>96</v>
      </c>
      <c r="AO11793" s="55">
        <v>6</v>
      </c>
      <c r="AP11793" s="55">
        <v>7</v>
      </c>
      <c r="AQ11793" s="55">
        <v>14099.5</v>
      </c>
      <c r="AR11793" s="55">
        <v>28500</v>
      </c>
      <c r="AS11793" s="78">
        <f t="shared" si="188"/>
        <v>0.49471929824561406</v>
      </c>
    </row>
    <row r="11794" spans="39:45">
      <c r="AM11794" s="54">
        <v>2020</v>
      </c>
      <c r="AN11794" s="54" t="s">
        <v>96</v>
      </c>
      <c r="AO11794" s="54">
        <v>6</v>
      </c>
      <c r="AP11794" s="54">
        <v>8</v>
      </c>
      <c r="AQ11794" s="54">
        <v>24505</v>
      </c>
      <c r="AR11794" s="55">
        <v>28500</v>
      </c>
      <c r="AS11794" s="78">
        <f t="shared" si="188"/>
        <v>0.85982456140350882</v>
      </c>
    </row>
    <row r="11795" spans="39:45">
      <c r="AM11795" s="55">
        <v>2020</v>
      </c>
      <c r="AN11795" s="55" t="s">
        <v>96</v>
      </c>
      <c r="AO11795" s="55">
        <v>6</v>
      </c>
      <c r="AP11795" s="55">
        <v>9</v>
      </c>
      <c r="AQ11795" s="55">
        <v>32693.5</v>
      </c>
      <c r="AR11795" s="55">
        <v>28500</v>
      </c>
      <c r="AS11795" s="78">
        <f t="shared" si="188"/>
        <v>1.1471403508771929</v>
      </c>
    </row>
    <row r="11796" spans="39:45">
      <c r="AM11796" s="54">
        <v>2020</v>
      </c>
      <c r="AN11796" s="54" t="s">
        <v>96</v>
      </c>
      <c r="AO11796" s="54">
        <v>6</v>
      </c>
      <c r="AP11796" s="54">
        <v>10</v>
      </c>
      <c r="AQ11796" s="54">
        <v>38578</v>
      </c>
      <c r="AR11796" s="55">
        <v>28500</v>
      </c>
      <c r="AS11796" s="78">
        <f t="shared" si="188"/>
        <v>1.3536140350877193</v>
      </c>
    </row>
    <row r="11797" spans="39:45">
      <c r="AM11797" s="55">
        <v>2020</v>
      </c>
      <c r="AN11797" s="55" t="s">
        <v>96</v>
      </c>
      <c r="AO11797" s="55">
        <v>6</v>
      </c>
      <c r="AP11797" s="55">
        <v>11</v>
      </c>
      <c r="AQ11797" s="55">
        <v>42054.5</v>
      </c>
      <c r="AR11797" s="55">
        <v>28500</v>
      </c>
      <c r="AS11797" s="78">
        <f t="shared" si="188"/>
        <v>1.4755964912280701</v>
      </c>
    </row>
    <row r="11798" spans="39:45">
      <c r="AM11798" s="54">
        <v>2020</v>
      </c>
      <c r="AN11798" s="54" t="s">
        <v>96</v>
      </c>
      <c r="AO11798" s="54">
        <v>6</v>
      </c>
      <c r="AP11798" s="54">
        <v>12</v>
      </c>
      <c r="AQ11798" s="54">
        <v>42946</v>
      </c>
      <c r="AR11798" s="55">
        <v>28500</v>
      </c>
      <c r="AS11798" s="78">
        <f t="shared" si="188"/>
        <v>1.506877192982456</v>
      </c>
    </row>
    <row r="11799" spans="39:45">
      <c r="AM11799" s="55">
        <v>2020</v>
      </c>
      <c r="AN11799" s="55" t="s">
        <v>96</v>
      </c>
      <c r="AO11799" s="55">
        <v>6</v>
      </c>
      <c r="AP11799" s="55">
        <v>13</v>
      </c>
      <c r="AQ11799" s="55">
        <v>40469.5</v>
      </c>
      <c r="AR11799" s="55">
        <v>28500</v>
      </c>
      <c r="AS11799" s="78">
        <f t="shared" si="188"/>
        <v>1.4199824561403509</v>
      </c>
    </row>
    <row r="11800" spans="39:45">
      <c r="AM11800" s="54">
        <v>2020</v>
      </c>
      <c r="AN11800" s="54" t="s">
        <v>96</v>
      </c>
      <c r="AO11800" s="54">
        <v>6</v>
      </c>
      <c r="AP11800" s="54">
        <v>14</v>
      </c>
      <c r="AQ11800" s="54">
        <v>35505.5</v>
      </c>
      <c r="AR11800" s="55">
        <v>28500</v>
      </c>
      <c r="AS11800" s="78">
        <f t="shared" si="188"/>
        <v>1.2458070175438596</v>
      </c>
    </row>
    <row r="11801" spans="39:45">
      <c r="AM11801" s="55">
        <v>2020</v>
      </c>
      <c r="AN11801" s="55" t="s">
        <v>96</v>
      </c>
      <c r="AO11801" s="55">
        <v>6</v>
      </c>
      <c r="AP11801" s="55">
        <v>15</v>
      </c>
      <c r="AQ11801" s="55">
        <v>28692</v>
      </c>
      <c r="AR11801" s="55">
        <v>28500</v>
      </c>
      <c r="AS11801" s="78">
        <f t="shared" si="188"/>
        <v>1.0067368421052632</v>
      </c>
    </row>
    <row r="11802" spans="39:45">
      <c r="AM11802" s="54">
        <v>2020</v>
      </c>
      <c r="AN11802" s="54" t="s">
        <v>96</v>
      </c>
      <c r="AO11802" s="54">
        <v>6</v>
      </c>
      <c r="AP11802" s="54">
        <v>16</v>
      </c>
      <c r="AQ11802" s="54">
        <v>19204.5</v>
      </c>
      <c r="AR11802" s="55">
        <v>28500</v>
      </c>
      <c r="AS11802" s="78">
        <f t="shared" si="188"/>
        <v>0.67384210526315791</v>
      </c>
    </row>
    <row r="11803" spans="39:45">
      <c r="AM11803" s="55">
        <v>2020</v>
      </c>
      <c r="AN11803" s="55" t="s">
        <v>96</v>
      </c>
      <c r="AO11803" s="55">
        <v>6</v>
      </c>
      <c r="AP11803" s="55">
        <v>17</v>
      </c>
      <c r="AQ11803" s="55">
        <v>8257.5</v>
      </c>
      <c r="AR11803" s="55">
        <v>28500</v>
      </c>
      <c r="AS11803" s="78">
        <f t="shared" si="188"/>
        <v>0.28973684210526318</v>
      </c>
    </row>
    <row r="11804" spans="39:45">
      <c r="AM11804" s="54">
        <v>2020</v>
      </c>
      <c r="AN11804" s="54" t="s">
        <v>96</v>
      </c>
      <c r="AO11804" s="54">
        <v>6</v>
      </c>
      <c r="AP11804" s="54">
        <v>18</v>
      </c>
      <c r="AQ11804" s="54">
        <v>1495</v>
      </c>
      <c r="AR11804" s="55">
        <v>28500</v>
      </c>
      <c r="AS11804" s="78">
        <f t="shared" si="188"/>
        <v>5.2456140350877194E-2</v>
      </c>
    </row>
    <row r="11805" spans="39:45">
      <c r="AM11805" s="55">
        <v>2020</v>
      </c>
      <c r="AN11805" s="55" t="s">
        <v>96</v>
      </c>
      <c r="AO11805" s="55">
        <v>6</v>
      </c>
      <c r="AP11805" s="55">
        <v>19</v>
      </c>
      <c r="AQ11805" s="55">
        <v>0</v>
      </c>
      <c r="AR11805" s="55">
        <v>28500</v>
      </c>
      <c r="AS11805" s="78">
        <f t="shared" si="188"/>
        <v>0</v>
      </c>
    </row>
    <row r="11806" spans="39:45">
      <c r="AM11806" s="54">
        <v>2020</v>
      </c>
      <c r="AN11806" s="54" t="s">
        <v>96</v>
      </c>
      <c r="AO11806" s="54">
        <v>6</v>
      </c>
      <c r="AP11806" s="54">
        <v>20</v>
      </c>
      <c r="AQ11806" s="54">
        <v>0</v>
      </c>
      <c r="AR11806" s="55">
        <v>28500</v>
      </c>
      <c r="AS11806" s="78">
        <f t="shared" si="188"/>
        <v>0</v>
      </c>
    </row>
    <row r="11807" spans="39:45">
      <c r="AM11807" s="55">
        <v>2020</v>
      </c>
      <c r="AN11807" s="55" t="s">
        <v>96</v>
      </c>
      <c r="AO11807" s="55">
        <v>6</v>
      </c>
      <c r="AP11807" s="55">
        <v>21</v>
      </c>
      <c r="AQ11807" s="55">
        <v>0</v>
      </c>
      <c r="AR11807" s="55">
        <v>28500</v>
      </c>
      <c r="AS11807" s="78">
        <f t="shared" si="188"/>
        <v>0</v>
      </c>
    </row>
    <row r="11808" spans="39:45">
      <c r="AM11808" s="54">
        <v>2020</v>
      </c>
      <c r="AN11808" s="54" t="s">
        <v>96</v>
      </c>
      <c r="AO11808" s="54">
        <v>6</v>
      </c>
      <c r="AP11808" s="54">
        <v>22</v>
      </c>
      <c r="AQ11808" s="54">
        <v>0</v>
      </c>
      <c r="AR11808" s="55">
        <v>28500</v>
      </c>
      <c r="AS11808" s="78">
        <f t="shared" si="188"/>
        <v>0</v>
      </c>
    </row>
    <row r="11809" spans="39:45">
      <c r="AM11809" s="55">
        <v>2020</v>
      </c>
      <c r="AN11809" s="55" t="s">
        <v>96</v>
      </c>
      <c r="AO11809" s="55">
        <v>6</v>
      </c>
      <c r="AP11809" s="55">
        <v>23</v>
      </c>
      <c r="AQ11809" s="55">
        <v>0</v>
      </c>
      <c r="AR11809" s="55">
        <v>28500</v>
      </c>
      <c r="AS11809" s="78">
        <f t="shared" si="188"/>
        <v>0</v>
      </c>
    </row>
    <row r="11810" spans="39:45">
      <c r="AM11810" s="54">
        <v>2020</v>
      </c>
      <c r="AN11810" s="54" t="s">
        <v>96</v>
      </c>
      <c r="AO11810" s="54">
        <v>7</v>
      </c>
      <c r="AP11810" s="54">
        <v>24</v>
      </c>
      <c r="AQ11810" s="54">
        <v>0</v>
      </c>
      <c r="AR11810" s="55">
        <v>28500</v>
      </c>
      <c r="AS11810" s="78">
        <f t="shared" si="188"/>
        <v>0</v>
      </c>
    </row>
    <row r="11811" spans="39:45">
      <c r="AM11811" s="55">
        <v>2020</v>
      </c>
      <c r="AN11811" s="55" t="s">
        <v>96</v>
      </c>
      <c r="AO11811" s="55">
        <v>7</v>
      </c>
      <c r="AP11811" s="55">
        <v>1</v>
      </c>
      <c r="AQ11811" s="55">
        <v>0</v>
      </c>
      <c r="AR11811" s="55">
        <v>28500</v>
      </c>
      <c r="AS11811" s="78">
        <f t="shared" si="188"/>
        <v>0</v>
      </c>
    </row>
    <row r="11812" spans="39:45">
      <c r="AM11812" s="54">
        <v>2020</v>
      </c>
      <c r="AN11812" s="54" t="s">
        <v>96</v>
      </c>
      <c r="AO11812" s="54">
        <v>7</v>
      </c>
      <c r="AP11812" s="54">
        <v>2</v>
      </c>
      <c r="AQ11812" s="54">
        <v>0</v>
      </c>
      <c r="AR11812" s="55">
        <v>28500</v>
      </c>
      <c r="AS11812" s="78">
        <f t="shared" si="188"/>
        <v>0</v>
      </c>
    </row>
    <row r="11813" spans="39:45">
      <c r="AM11813" s="55">
        <v>2020</v>
      </c>
      <c r="AN11813" s="55" t="s">
        <v>96</v>
      </c>
      <c r="AO11813" s="55">
        <v>7</v>
      </c>
      <c r="AP11813" s="55">
        <v>3</v>
      </c>
      <c r="AQ11813" s="55">
        <v>0</v>
      </c>
      <c r="AR11813" s="55">
        <v>28500</v>
      </c>
      <c r="AS11813" s="78">
        <f t="shared" si="188"/>
        <v>0</v>
      </c>
    </row>
    <row r="11814" spans="39:45">
      <c r="AM11814" s="54">
        <v>2020</v>
      </c>
      <c r="AN11814" s="54" t="s">
        <v>96</v>
      </c>
      <c r="AO11814" s="54">
        <v>7</v>
      </c>
      <c r="AP11814" s="54">
        <v>4</v>
      </c>
      <c r="AQ11814" s="54">
        <v>0</v>
      </c>
      <c r="AR11814" s="55">
        <v>28500</v>
      </c>
      <c r="AS11814" s="78">
        <f t="shared" si="188"/>
        <v>0</v>
      </c>
    </row>
    <row r="11815" spans="39:45">
      <c r="AM11815" s="55">
        <v>2020</v>
      </c>
      <c r="AN11815" s="55" t="s">
        <v>96</v>
      </c>
      <c r="AO11815" s="55">
        <v>7</v>
      </c>
      <c r="AP11815" s="55">
        <v>5</v>
      </c>
      <c r="AQ11815" s="55">
        <v>795</v>
      </c>
      <c r="AR11815" s="55">
        <v>28500</v>
      </c>
      <c r="AS11815" s="78">
        <f t="shared" si="188"/>
        <v>2.7894736842105264E-2</v>
      </c>
    </row>
    <row r="11816" spans="39:45">
      <c r="AM11816" s="54">
        <v>2020</v>
      </c>
      <c r="AN11816" s="54" t="s">
        <v>96</v>
      </c>
      <c r="AO11816" s="54">
        <v>7</v>
      </c>
      <c r="AP11816" s="54">
        <v>6</v>
      </c>
      <c r="AQ11816" s="54">
        <v>3849</v>
      </c>
      <c r="AR11816" s="55">
        <v>28500</v>
      </c>
      <c r="AS11816" s="78">
        <f t="shared" si="188"/>
        <v>0.13505263157894737</v>
      </c>
    </row>
    <row r="11817" spans="39:45">
      <c r="AM11817" s="55">
        <v>2020</v>
      </c>
      <c r="AN11817" s="55" t="s">
        <v>96</v>
      </c>
      <c r="AO11817" s="55">
        <v>7</v>
      </c>
      <c r="AP11817" s="55">
        <v>7</v>
      </c>
      <c r="AQ11817" s="55">
        <v>12987.5</v>
      </c>
      <c r="AR11817" s="55">
        <v>28500</v>
      </c>
      <c r="AS11817" s="78">
        <f t="shared" si="188"/>
        <v>0.45570175438596489</v>
      </c>
    </row>
    <row r="11818" spans="39:45">
      <c r="AM11818" s="54">
        <v>2020</v>
      </c>
      <c r="AN11818" s="54" t="s">
        <v>96</v>
      </c>
      <c r="AO11818" s="54">
        <v>7</v>
      </c>
      <c r="AP11818" s="54">
        <v>8</v>
      </c>
      <c r="AQ11818" s="54">
        <v>21901.5</v>
      </c>
      <c r="AR11818" s="55">
        <v>28500</v>
      </c>
      <c r="AS11818" s="78">
        <f t="shared" si="188"/>
        <v>0.76847368421052631</v>
      </c>
    </row>
    <row r="11819" spans="39:45">
      <c r="AM11819" s="55">
        <v>2020</v>
      </c>
      <c r="AN11819" s="55" t="s">
        <v>96</v>
      </c>
      <c r="AO11819" s="55">
        <v>7</v>
      </c>
      <c r="AP11819" s="55">
        <v>9</v>
      </c>
      <c r="AQ11819" s="55">
        <v>29976</v>
      </c>
      <c r="AR11819" s="55">
        <v>28500</v>
      </c>
      <c r="AS11819" s="78">
        <f t="shared" si="188"/>
        <v>1.0517894736842106</v>
      </c>
    </row>
    <row r="11820" spans="39:45">
      <c r="AM11820" s="54">
        <v>2020</v>
      </c>
      <c r="AN11820" s="54" t="s">
        <v>96</v>
      </c>
      <c r="AO11820" s="54">
        <v>7</v>
      </c>
      <c r="AP11820" s="54">
        <v>10</v>
      </c>
      <c r="AQ11820" s="54">
        <v>35344</v>
      </c>
      <c r="AR11820" s="55">
        <v>28500</v>
      </c>
      <c r="AS11820" s="78">
        <f t="shared" si="188"/>
        <v>1.2401403508771929</v>
      </c>
    </row>
    <row r="11821" spans="39:45">
      <c r="AM11821" s="55">
        <v>2020</v>
      </c>
      <c r="AN11821" s="55" t="s">
        <v>96</v>
      </c>
      <c r="AO11821" s="55">
        <v>7</v>
      </c>
      <c r="AP11821" s="55">
        <v>11</v>
      </c>
      <c r="AQ11821" s="55">
        <v>40468.5</v>
      </c>
      <c r="AR11821" s="55">
        <v>28500</v>
      </c>
      <c r="AS11821" s="78">
        <f t="shared" si="188"/>
        <v>1.4199473684210526</v>
      </c>
    </row>
    <row r="11822" spans="39:45">
      <c r="AM11822" s="54">
        <v>2020</v>
      </c>
      <c r="AN11822" s="54" t="s">
        <v>96</v>
      </c>
      <c r="AO11822" s="54">
        <v>7</v>
      </c>
      <c r="AP11822" s="54">
        <v>12</v>
      </c>
      <c r="AQ11822" s="54">
        <v>40423.5</v>
      </c>
      <c r="AR11822" s="55">
        <v>28500</v>
      </c>
      <c r="AS11822" s="78">
        <f t="shared" si="188"/>
        <v>1.4183684210526315</v>
      </c>
    </row>
    <row r="11823" spans="39:45">
      <c r="AM11823" s="55">
        <v>2020</v>
      </c>
      <c r="AN11823" s="55" t="s">
        <v>96</v>
      </c>
      <c r="AO11823" s="55">
        <v>7</v>
      </c>
      <c r="AP11823" s="55">
        <v>13</v>
      </c>
      <c r="AQ11823" s="55">
        <v>36688.5</v>
      </c>
      <c r="AR11823" s="55">
        <v>28500</v>
      </c>
      <c r="AS11823" s="78">
        <f t="shared" si="188"/>
        <v>1.2873157894736842</v>
      </c>
    </row>
    <row r="11824" spans="39:45">
      <c r="AM11824" s="54">
        <v>2020</v>
      </c>
      <c r="AN11824" s="54" t="s">
        <v>96</v>
      </c>
      <c r="AO11824" s="54">
        <v>7</v>
      </c>
      <c r="AP11824" s="54">
        <v>14</v>
      </c>
      <c r="AQ11824" s="54">
        <v>33229.5</v>
      </c>
      <c r="AR11824" s="55">
        <v>28500</v>
      </c>
      <c r="AS11824" s="78">
        <f t="shared" si="188"/>
        <v>1.1659473684210526</v>
      </c>
    </row>
    <row r="11825" spans="39:45">
      <c r="AM11825" s="55">
        <v>2020</v>
      </c>
      <c r="AN11825" s="55" t="s">
        <v>96</v>
      </c>
      <c r="AO11825" s="55">
        <v>7</v>
      </c>
      <c r="AP11825" s="55">
        <v>15</v>
      </c>
      <c r="AQ11825" s="55">
        <v>25933.5</v>
      </c>
      <c r="AR11825" s="55">
        <v>28500</v>
      </c>
      <c r="AS11825" s="78">
        <f t="shared" si="188"/>
        <v>0.90994736842105262</v>
      </c>
    </row>
    <row r="11826" spans="39:45">
      <c r="AM11826" s="54">
        <v>2020</v>
      </c>
      <c r="AN11826" s="54" t="s">
        <v>96</v>
      </c>
      <c r="AO11826" s="54">
        <v>7</v>
      </c>
      <c r="AP11826" s="54">
        <v>16</v>
      </c>
      <c r="AQ11826" s="54">
        <v>16878.5</v>
      </c>
      <c r="AR11826" s="55">
        <v>28500</v>
      </c>
      <c r="AS11826" s="78">
        <f t="shared" si="188"/>
        <v>0.59222807017543855</v>
      </c>
    </row>
    <row r="11827" spans="39:45">
      <c r="AM11827" s="55">
        <v>2020</v>
      </c>
      <c r="AN11827" s="55" t="s">
        <v>96</v>
      </c>
      <c r="AO11827" s="55">
        <v>7</v>
      </c>
      <c r="AP11827" s="55">
        <v>17</v>
      </c>
      <c r="AQ11827" s="55">
        <v>7885</v>
      </c>
      <c r="AR11827" s="55">
        <v>28500</v>
      </c>
      <c r="AS11827" s="78">
        <f t="shared" si="188"/>
        <v>0.27666666666666667</v>
      </c>
    </row>
    <row r="11828" spans="39:45">
      <c r="AM11828" s="54">
        <v>2020</v>
      </c>
      <c r="AN11828" s="54" t="s">
        <v>96</v>
      </c>
      <c r="AO11828" s="54">
        <v>7</v>
      </c>
      <c r="AP11828" s="54">
        <v>18</v>
      </c>
      <c r="AQ11828" s="54">
        <v>1886.5</v>
      </c>
      <c r="AR11828" s="55">
        <v>28500</v>
      </c>
      <c r="AS11828" s="78">
        <f t="shared" si="188"/>
        <v>6.6192982456140345E-2</v>
      </c>
    </row>
    <row r="11829" spans="39:45">
      <c r="AM11829" s="55">
        <v>2020</v>
      </c>
      <c r="AN11829" s="55" t="s">
        <v>96</v>
      </c>
      <c r="AO11829" s="55">
        <v>7</v>
      </c>
      <c r="AP11829" s="55">
        <v>19</v>
      </c>
      <c r="AQ11829" s="55">
        <v>0</v>
      </c>
      <c r="AR11829" s="55">
        <v>28500</v>
      </c>
      <c r="AS11829" s="78">
        <f t="shared" si="188"/>
        <v>0</v>
      </c>
    </row>
    <row r="11830" spans="39:45">
      <c r="AM11830" s="54">
        <v>2020</v>
      </c>
      <c r="AN11830" s="54" t="s">
        <v>96</v>
      </c>
      <c r="AO11830" s="54">
        <v>7</v>
      </c>
      <c r="AP11830" s="54">
        <v>20</v>
      </c>
      <c r="AQ11830" s="54">
        <v>0</v>
      </c>
      <c r="AR11830" s="55">
        <v>28500</v>
      </c>
      <c r="AS11830" s="78">
        <f t="shared" si="188"/>
        <v>0</v>
      </c>
    </row>
    <row r="11831" spans="39:45">
      <c r="AM11831" s="55">
        <v>2020</v>
      </c>
      <c r="AN11831" s="55" t="s">
        <v>96</v>
      </c>
      <c r="AO11831" s="55">
        <v>7</v>
      </c>
      <c r="AP11831" s="55">
        <v>21</v>
      </c>
      <c r="AQ11831" s="55">
        <v>0</v>
      </c>
      <c r="AR11831" s="55">
        <v>28500</v>
      </c>
      <c r="AS11831" s="78">
        <f t="shared" si="188"/>
        <v>0</v>
      </c>
    </row>
    <row r="11832" spans="39:45">
      <c r="AM11832" s="54">
        <v>2020</v>
      </c>
      <c r="AN11832" s="54" t="s">
        <v>96</v>
      </c>
      <c r="AO11832" s="54">
        <v>7</v>
      </c>
      <c r="AP11832" s="54">
        <v>22</v>
      </c>
      <c r="AQ11832" s="54">
        <v>0</v>
      </c>
      <c r="AR11832" s="55">
        <v>28500</v>
      </c>
      <c r="AS11832" s="78">
        <f t="shared" si="188"/>
        <v>0</v>
      </c>
    </row>
    <row r="11833" spans="39:45">
      <c r="AM11833" s="55">
        <v>2020</v>
      </c>
      <c r="AN11833" s="55" t="s">
        <v>96</v>
      </c>
      <c r="AO11833" s="55">
        <v>7</v>
      </c>
      <c r="AP11833" s="55">
        <v>23</v>
      </c>
      <c r="AQ11833" s="55">
        <v>0</v>
      </c>
      <c r="AR11833" s="55">
        <v>28500</v>
      </c>
      <c r="AS11833" s="78">
        <f t="shared" si="188"/>
        <v>0</v>
      </c>
    </row>
    <row r="11834" spans="39:45">
      <c r="AM11834" s="54">
        <v>2020</v>
      </c>
      <c r="AN11834" s="54" t="s">
        <v>96</v>
      </c>
      <c r="AO11834" s="54">
        <v>8</v>
      </c>
      <c r="AP11834" s="54">
        <v>24</v>
      </c>
      <c r="AQ11834" s="54">
        <v>0</v>
      </c>
      <c r="AR11834" s="55">
        <v>28500</v>
      </c>
      <c r="AS11834" s="78">
        <f t="shared" si="188"/>
        <v>0</v>
      </c>
    </row>
    <row r="11835" spans="39:45">
      <c r="AM11835" s="55">
        <v>2020</v>
      </c>
      <c r="AN11835" s="55" t="s">
        <v>96</v>
      </c>
      <c r="AO11835" s="55">
        <v>8</v>
      </c>
      <c r="AP11835" s="55">
        <v>1</v>
      </c>
      <c r="AQ11835" s="55">
        <v>0</v>
      </c>
      <c r="AR11835" s="55">
        <v>28500</v>
      </c>
      <c r="AS11835" s="78">
        <f t="shared" si="188"/>
        <v>0</v>
      </c>
    </row>
    <row r="11836" spans="39:45">
      <c r="AM11836" s="54">
        <v>2020</v>
      </c>
      <c r="AN11836" s="54" t="s">
        <v>96</v>
      </c>
      <c r="AO11836" s="54">
        <v>8</v>
      </c>
      <c r="AP11836" s="54">
        <v>2</v>
      </c>
      <c r="AQ11836" s="54">
        <v>0</v>
      </c>
      <c r="AR11836" s="55">
        <v>28500</v>
      </c>
      <c r="AS11836" s="78">
        <f t="shared" si="188"/>
        <v>0</v>
      </c>
    </row>
    <row r="11837" spans="39:45">
      <c r="AM11837" s="55">
        <v>2020</v>
      </c>
      <c r="AN11837" s="55" t="s">
        <v>96</v>
      </c>
      <c r="AO11837" s="55">
        <v>8</v>
      </c>
      <c r="AP11837" s="55">
        <v>3</v>
      </c>
      <c r="AQ11837" s="55">
        <v>0</v>
      </c>
      <c r="AR11837" s="55">
        <v>28500</v>
      </c>
      <c r="AS11837" s="78">
        <f t="shared" si="188"/>
        <v>0</v>
      </c>
    </row>
    <row r="11838" spans="39:45">
      <c r="AM11838" s="54">
        <v>2020</v>
      </c>
      <c r="AN11838" s="54" t="s">
        <v>96</v>
      </c>
      <c r="AO11838" s="54">
        <v>8</v>
      </c>
      <c r="AP11838" s="54">
        <v>4</v>
      </c>
      <c r="AQ11838" s="54">
        <v>0</v>
      </c>
      <c r="AR11838" s="55">
        <v>28500</v>
      </c>
      <c r="AS11838" s="78">
        <f t="shared" si="188"/>
        <v>0</v>
      </c>
    </row>
    <row r="11839" spans="39:45">
      <c r="AM11839" s="55">
        <v>2020</v>
      </c>
      <c r="AN11839" s="55" t="s">
        <v>96</v>
      </c>
      <c r="AO11839" s="55">
        <v>8</v>
      </c>
      <c r="AP11839" s="55">
        <v>5</v>
      </c>
      <c r="AQ11839" s="55">
        <v>724.5</v>
      </c>
      <c r="AR11839" s="55">
        <v>28500</v>
      </c>
      <c r="AS11839" s="78">
        <f t="shared" si="188"/>
        <v>2.5421052631578948E-2</v>
      </c>
    </row>
    <row r="11840" spans="39:45">
      <c r="AM11840" s="54">
        <v>2020</v>
      </c>
      <c r="AN11840" s="54" t="s">
        <v>96</v>
      </c>
      <c r="AO11840" s="54">
        <v>8</v>
      </c>
      <c r="AP11840" s="54">
        <v>6</v>
      </c>
      <c r="AQ11840" s="54">
        <v>3513.5</v>
      </c>
      <c r="AR11840" s="55">
        <v>28500</v>
      </c>
      <c r="AS11840" s="78">
        <f t="shared" si="188"/>
        <v>0.12328070175438596</v>
      </c>
    </row>
    <row r="11841" spans="39:45">
      <c r="AM11841" s="55">
        <v>2020</v>
      </c>
      <c r="AN11841" s="55" t="s">
        <v>96</v>
      </c>
      <c r="AO11841" s="55">
        <v>8</v>
      </c>
      <c r="AP11841" s="55">
        <v>7</v>
      </c>
      <c r="AQ11841" s="55">
        <v>13016</v>
      </c>
      <c r="AR11841" s="55">
        <v>28500</v>
      </c>
      <c r="AS11841" s="78">
        <f t="shared" si="188"/>
        <v>0.45670175438596489</v>
      </c>
    </row>
    <row r="11842" spans="39:45">
      <c r="AM11842" s="54">
        <v>2020</v>
      </c>
      <c r="AN11842" s="54" t="s">
        <v>96</v>
      </c>
      <c r="AO11842" s="54">
        <v>8</v>
      </c>
      <c r="AP11842" s="54">
        <v>8</v>
      </c>
      <c r="AQ11842" s="54">
        <v>19849.5</v>
      </c>
      <c r="AR11842" s="55">
        <v>28500</v>
      </c>
      <c r="AS11842" s="78">
        <f t="shared" ref="AS11842:AS11905" si="189">AQ11842/AR11842</f>
        <v>0.69647368421052636</v>
      </c>
    </row>
    <row r="11843" spans="39:45">
      <c r="AM11843" s="55">
        <v>2020</v>
      </c>
      <c r="AN11843" s="55" t="s">
        <v>96</v>
      </c>
      <c r="AO11843" s="55">
        <v>8</v>
      </c>
      <c r="AP11843" s="55">
        <v>9</v>
      </c>
      <c r="AQ11843" s="55">
        <v>24262</v>
      </c>
      <c r="AR11843" s="55">
        <v>28500</v>
      </c>
      <c r="AS11843" s="78">
        <f t="shared" si="189"/>
        <v>0.85129824561403511</v>
      </c>
    </row>
    <row r="11844" spans="39:45">
      <c r="AM11844" s="54">
        <v>2020</v>
      </c>
      <c r="AN11844" s="54" t="s">
        <v>96</v>
      </c>
      <c r="AO11844" s="54">
        <v>8</v>
      </c>
      <c r="AP11844" s="54">
        <v>10</v>
      </c>
      <c r="AQ11844" s="54">
        <v>26134</v>
      </c>
      <c r="AR11844" s="55">
        <v>28500</v>
      </c>
      <c r="AS11844" s="78">
        <f t="shared" si="189"/>
        <v>0.9169824561403509</v>
      </c>
    </row>
    <row r="11845" spans="39:45">
      <c r="AM11845" s="55">
        <v>2020</v>
      </c>
      <c r="AN11845" s="55" t="s">
        <v>96</v>
      </c>
      <c r="AO11845" s="55">
        <v>8</v>
      </c>
      <c r="AP11845" s="55">
        <v>11</v>
      </c>
      <c r="AQ11845" s="55">
        <v>22370</v>
      </c>
      <c r="AR11845" s="55">
        <v>28500</v>
      </c>
      <c r="AS11845" s="78">
        <f t="shared" si="189"/>
        <v>0.78491228070175434</v>
      </c>
    </row>
    <row r="11846" spans="39:45">
      <c r="AM11846" s="54">
        <v>2020</v>
      </c>
      <c r="AN11846" s="54" t="s">
        <v>96</v>
      </c>
      <c r="AO11846" s="54">
        <v>8</v>
      </c>
      <c r="AP11846" s="54">
        <v>12</v>
      </c>
      <c r="AQ11846" s="54">
        <v>39165</v>
      </c>
      <c r="AR11846" s="55">
        <v>28500</v>
      </c>
      <c r="AS11846" s="78">
        <f t="shared" si="189"/>
        <v>1.3742105263157895</v>
      </c>
    </row>
    <row r="11847" spans="39:45">
      <c r="AM11847" s="55">
        <v>2020</v>
      </c>
      <c r="AN11847" s="55" t="s">
        <v>96</v>
      </c>
      <c r="AO11847" s="55">
        <v>8</v>
      </c>
      <c r="AP11847" s="55">
        <v>13</v>
      </c>
      <c r="AQ11847" s="55">
        <v>37771.5</v>
      </c>
      <c r="AR11847" s="55">
        <v>28500</v>
      </c>
      <c r="AS11847" s="78">
        <f t="shared" si="189"/>
        <v>1.3253157894736842</v>
      </c>
    </row>
    <row r="11848" spans="39:45">
      <c r="AM11848" s="54">
        <v>2020</v>
      </c>
      <c r="AN11848" s="54" t="s">
        <v>96</v>
      </c>
      <c r="AO11848" s="54">
        <v>8</v>
      </c>
      <c r="AP11848" s="54">
        <v>14</v>
      </c>
      <c r="AQ11848" s="54">
        <v>33068.5</v>
      </c>
      <c r="AR11848" s="55">
        <v>28500</v>
      </c>
      <c r="AS11848" s="78">
        <f t="shared" si="189"/>
        <v>1.1602982456140352</v>
      </c>
    </row>
    <row r="11849" spans="39:45">
      <c r="AM11849" s="55">
        <v>2020</v>
      </c>
      <c r="AN11849" s="55" t="s">
        <v>96</v>
      </c>
      <c r="AO11849" s="55">
        <v>8</v>
      </c>
      <c r="AP11849" s="55">
        <v>15</v>
      </c>
      <c r="AQ11849" s="55">
        <v>26758</v>
      </c>
      <c r="AR11849" s="55">
        <v>28500</v>
      </c>
      <c r="AS11849" s="78">
        <f t="shared" si="189"/>
        <v>0.93887719298245609</v>
      </c>
    </row>
    <row r="11850" spans="39:45">
      <c r="AM11850" s="54">
        <v>2020</v>
      </c>
      <c r="AN11850" s="54" t="s">
        <v>96</v>
      </c>
      <c r="AO11850" s="54">
        <v>8</v>
      </c>
      <c r="AP11850" s="54">
        <v>16</v>
      </c>
      <c r="AQ11850" s="54">
        <v>18037</v>
      </c>
      <c r="AR11850" s="55">
        <v>28500</v>
      </c>
      <c r="AS11850" s="78">
        <f t="shared" si="189"/>
        <v>0.63287719298245615</v>
      </c>
    </row>
    <row r="11851" spans="39:45">
      <c r="AM11851" s="55">
        <v>2020</v>
      </c>
      <c r="AN11851" s="55" t="s">
        <v>96</v>
      </c>
      <c r="AO11851" s="55">
        <v>8</v>
      </c>
      <c r="AP11851" s="55">
        <v>17</v>
      </c>
      <c r="AQ11851" s="55">
        <v>7828.5</v>
      </c>
      <c r="AR11851" s="55">
        <v>28500</v>
      </c>
      <c r="AS11851" s="78">
        <f t="shared" si="189"/>
        <v>0.27468421052631581</v>
      </c>
    </row>
    <row r="11852" spans="39:45">
      <c r="AM11852" s="54">
        <v>2020</v>
      </c>
      <c r="AN11852" s="54" t="s">
        <v>96</v>
      </c>
      <c r="AO11852" s="54">
        <v>8</v>
      </c>
      <c r="AP11852" s="54">
        <v>18</v>
      </c>
      <c r="AQ11852" s="54">
        <v>1414.5</v>
      </c>
      <c r="AR11852" s="55">
        <v>28500</v>
      </c>
      <c r="AS11852" s="78">
        <f t="shared" si="189"/>
        <v>4.9631578947368422E-2</v>
      </c>
    </row>
    <row r="11853" spans="39:45">
      <c r="AM11853" s="55">
        <v>2020</v>
      </c>
      <c r="AN11853" s="55" t="s">
        <v>96</v>
      </c>
      <c r="AO11853" s="55">
        <v>8</v>
      </c>
      <c r="AP11853" s="55">
        <v>19</v>
      </c>
      <c r="AQ11853" s="55">
        <v>0</v>
      </c>
      <c r="AR11853" s="55">
        <v>28500</v>
      </c>
      <c r="AS11853" s="78">
        <f t="shared" si="189"/>
        <v>0</v>
      </c>
    </row>
    <row r="11854" spans="39:45">
      <c r="AM11854" s="54">
        <v>2020</v>
      </c>
      <c r="AN11854" s="54" t="s">
        <v>96</v>
      </c>
      <c r="AO11854" s="54">
        <v>8</v>
      </c>
      <c r="AP11854" s="54">
        <v>20</v>
      </c>
      <c r="AQ11854" s="54">
        <v>0</v>
      </c>
      <c r="AR11854" s="55">
        <v>28500</v>
      </c>
      <c r="AS11854" s="78">
        <f t="shared" si="189"/>
        <v>0</v>
      </c>
    </row>
    <row r="11855" spans="39:45">
      <c r="AM11855" s="55">
        <v>2020</v>
      </c>
      <c r="AN11855" s="55" t="s">
        <v>96</v>
      </c>
      <c r="AO11855" s="55">
        <v>8</v>
      </c>
      <c r="AP11855" s="55">
        <v>21</v>
      </c>
      <c r="AQ11855" s="55">
        <v>0</v>
      </c>
      <c r="AR11855" s="55">
        <v>28500</v>
      </c>
      <c r="AS11855" s="78">
        <f t="shared" si="189"/>
        <v>0</v>
      </c>
    </row>
    <row r="11856" spans="39:45">
      <c r="AM11856" s="54">
        <v>2020</v>
      </c>
      <c r="AN11856" s="54" t="s">
        <v>96</v>
      </c>
      <c r="AO11856" s="54">
        <v>8</v>
      </c>
      <c r="AP11856" s="54">
        <v>22</v>
      </c>
      <c r="AQ11856" s="54">
        <v>0</v>
      </c>
      <c r="AR11856" s="55">
        <v>28500</v>
      </c>
      <c r="AS11856" s="78">
        <f t="shared" si="189"/>
        <v>0</v>
      </c>
    </row>
    <row r="11857" spans="39:45">
      <c r="AM11857" s="55">
        <v>2020</v>
      </c>
      <c r="AN11857" s="55" t="s">
        <v>96</v>
      </c>
      <c r="AO11857" s="55">
        <v>8</v>
      </c>
      <c r="AP11857" s="55">
        <v>23</v>
      </c>
      <c r="AQ11857" s="55">
        <v>0</v>
      </c>
      <c r="AR11857" s="55">
        <v>28500</v>
      </c>
      <c r="AS11857" s="78">
        <f t="shared" si="189"/>
        <v>0</v>
      </c>
    </row>
    <row r="11858" spans="39:45">
      <c r="AM11858" s="54">
        <v>2020</v>
      </c>
      <c r="AN11858" s="54" t="s">
        <v>96</v>
      </c>
      <c r="AO11858" s="54">
        <v>9</v>
      </c>
      <c r="AP11858" s="54">
        <v>24</v>
      </c>
      <c r="AQ11858" s="54">
        <v>0</v>
      </c>
      <c r="AR11858" s="55">
        <v>28500</v>
      </c>
      <c r="AS11858" s="78">
        <f t="shared" si="189"/>
        <v>0</v>
      </c>
    </row>
    <row r="11859" spans="39:45">
      <c r="AM11859" s="55">
        <v>2020</v>
      </c>
      <c r="AN11859" s="55" t="s">
        <v>96</v>
      </c>
      <c r="AO11859" s="55">
        <v>9</v>
      </c>
      <c r="AP11859" s="55">
        <v>1</v>
      </c>
      <c r="AQ11859" s="55">
        <v>0</v>
      </c>
      <c r="AR11859" s="55">
        <v>28500</v>
      </c>
      <c r="AS11859" s="78">
        <f t="shared" si="189"/>
        <v>0</v>
      </c>
    </row>
    <row r="11860" spans="39:45">
      <c r="AM11860" s="54">
        <v>2020</v>
      </c>
      <c r="AN11860" s="54" t="s">
        <v>96</v>
      </c>
      <c r="AO11860" s="54">
        <v>9</v>
      </c>
      <c r="AP11860" s="54">
        <v>2</v>
      </c>
      <c r="AQ11860" s="54">
        <v>0</v>
      </c>
      <c r="AR11860" s="55">
        <v>28500</v>
      </c>
      <c r="AS11860" s="78">
        <f t="shared" si="189"/>
        <v>0</v>
      </c>
    </row>
    <row r="11861" spans="39:45">
      <c r="AM11861" s="55">
        <v>2020</v>
      </c>
      <c r="AN11861" s="55" t="s">
        <v>96</v>
      </c>
      <c r="AO11861" s="55">
        <v>9</v>
      </c>
      <c r="AP11861" s="55">
        <v>3</v>
      </c>
      <c r="AQ11861" s="55">
        <v>0</v>
      </c>
      <c r="AR11861" s="55">
        <v>28500</v>
      </c>
      <c r="AS11861" s="78">
        <f t="shared" si="189"/>
        <v>0</v>
      </c>
    </row>
    <row r="11862" spans="39:45">
      <c r="AM11862" s="54">
        <v>2020</v>
      </c>
      <c r="AN11862" s="54" t="s">
        <v>96</v>
      </c>
      <c r="AO11862" s="54">
        <v>9</v>
      </c>
      <c r="AP11862" s="54">
        <v>4</v>
      </c>
      <c r="AQ11862" s="54">
        <v>0</v>
      </c>
      <c r="AR11862" s="55">
        <v>28500</v>
      </c>
      <c r="AS11862" s="78">
        <f t="shared" si="189"/>
        <v>0</v>
      </c>
    </row>
    <row r="11863" spans="39:45">
      <c r="AM11863" s="55">
        <v>2020</v>
      </c>
      <c r="AN11863" s="55" t="s">
        <v>96</v>
      </c>
      <c r="AO11863" s="55">
        <v>9</v>
      </c>
      <c r="AP11863" s="55">
        <v>5</v>
      </c>
      <c r="AQ11863" s="55">
        <v>844</v>
      </c>
      <c r="AR11863" s="55">
        <v>28500</v>
      </c>
      <c r="AS11863" s="78">
        <f t="shared" si="189"/>
        <v>2.9614035087719297E-2</v>
      </c>
    </row>
    <row r="11864" spans="39:45">
      <c r="AM11864" s="54">
        <v>2020</v>
      </c>
      <c r="AN11864" s="54" t="s">
        <v>96</v>
      </c>
      <c r="AO11864" s="54">
        <v>9</v>
      </c>
      <c r="AP11864" s="54">
        <v>6</v>
      </c>
      <c r="AQ11864" s="54">
        <v>3636</v>
      </c>
      <c r="AR11864" s="55">
        <v>28500</v>
      </c>
      <c r="AS11864" s="78">
        <f t="shared" si="189"/>
        <v>0.12757894736842104</v>
      </c>
    </row>
    <row r="11865" spans="39:45">
      <c r="AM11865" s="55">
        <v>2020</v>
      </c>
      <c r="AN11865" s="55" t="s">
        <v>96</v>
      </c>
      <c r="AO11865" s="55">
        <v>9</v>
      </c>
      <c r="AP11865" s="55">
        <v>7</v>
      </c>
      <c r="AQ11865" s="55">
        <v>13306</v>
      </c>
      <c r="AR11865" s="55">
        <v>28500</v>
      </c>
      <c r="AS11865" s="78">
        <f t="shared" si="189"/>
        <v>0.46687719298245611</v>
      </c>
    </row>
    <row r="11866" spans="39:45">
      <c r="AM11866" s="54">
        <v>2020</v>
      </c>
      <c r="AN11866" s="54" t="s">
        <v>96</v>
      </c>
      <c r="AO11866" s="54">
        <v>9</v>
      </c>
      <c r="AP11866" s="54">
        <v>8</v>
      </c>
      <c r="AQ11866" s="54">
        <v>23334</v>
      </c>
      <c r="AR11866" s="55">
        <v>28500</v>
      </c>
      <c r="AS11866" s="78">
        <f t="shared" si="189"/>
        <v>0.81873684210526321</v>
      </c>
    </row>
    <row r="11867" spans="39:45">
      <c r="AM11867" s="55">
        <v>2020</v>
      </c>
      <c r="AN11867" s="55" t="s">
        <v>96</v>
      </c>
      <c r="AO11867" s="55">
        <v>9</v>
      </c>
      <c r="AP11867" s="55">
        <v>9</v>
      </c>
      <c r="AQ11867" s="55">
        <v>31255.5</v>
      </c>
      <c r="AR11867" s="55">
        <v>28500</v>
      </c>
      <c r="AS11867" s="78">
        <f t="shared" si="189"/>
        <v>1.0966842105263157</v>
      </c>
    </row>
    <row r="11868" spans="39:45">
      <c r="AM11868" s="54">
        <v>2020</v>
      </c>
      <c r="AN11868" s="54" t="s">
        <v>96</v>
      </c>
      <c r="AO11868" s="54">
        <v>9</v>
      </c>
      <c r="AP11868" s="54">
        <v>10</v>
      </c>
      <c r="AQ11868" s="54">
        <v>37652.5</v>
      </c>
      <c r="AR11868" s="55">
        <v>28500</v>
      </c>
      <c r="AS11868" s="78">
        <f t="shared" si="189"/>
        <v>1.3211403508771931</v>
      </c>
    </row>
    <row r="11869" spans="39:45">
      <c r="AM11869" s="55">
        <v>2020</v>
      </c>
      <c r="AN11869" s="55" t="s">
        <v>96</v>
      </c>
      <c r="AO11869" s="55">
        <v>9</v>
      </c>
      <c r="AP11869" s="55">
        <v>11</v>
      </c>
      <c r="AQ11869" s="55">
        <v>40945.5</v>
      </c>
      <c r="AR11869" s="55">
        <v>28500</v>
      </c>
      <c r="AS11869" s="78">
        <f t="shared" si="189"/>
        <v>1.4366842105263158</v>
      </c>
    </row>
    <row r="11870" spans="39:45">
      <c r="AM11870" s="54">
        <v>2020</v>
      </c>
      <c r="AN11870" s="54" t="s">
        <v>96</v>
      </c>
      <c r="AO11870" s="54">
        <v>9</v>
      </c>
      <c r="AP11870" s="54">
        <v>12</v>
      </c>
      <c r="AQ11870" s="54">
        <v>41160.5</v>
      </c>
      <c r="AR11870" s="55">
        <v>28500</v>
      </c>
      <c r="AS11870" s="78">
        <f t="shared" si="189"/>
        <v>1.4442280701754386</v>
      </c>
    </row>
    <row r="11871" spans="39:45">
      <c r="AM11871" s="55">
        <v>2020</v>
      </c>
      <c r="AN11871" s="55" t="s">
        <v>96</v>
      </c>
      <c r="AO11871" s="55">
        <v>9</v>
      </c>
      <c r="AP11871" s="55">
        <v>13</v>
      </c>
      <c r="AQ11871" s="55">
        <v>38972</v>
      </c>
      <c r="AR11871" s="55">
        <v>28500</v>
      </c>
      <c r="AS11871" s="78">
        <f t="shared" si="189"/>
        <v>1.3674385964912281</v>
      </c>
    </row>
    <row r="11872" spans="39:45">
      <c r="AM11872" s="54">
        <v>2020</v>
      </c>
      <c r="AN11872" s="54" t="s">
        <v>96</v>
      </c>
      <c r="AO11872" s="54">
        <v>9</v>
      </c>
      <c r="AP11872" s="54">
        <v>14</v>
      </c>
      <c r="AQ11872" s="54">
        <v>33875.5</v>
      </c>
      <c r="AR11872" s="55">
        <v>28500</v>
      </c>
      <c r="AS11872" s="78">
        <f t="shared" si="189"/>
        <v>1.1886140350877192</v>
      </c>
    </row>
    <row r="11873" spans="39:45">
      <c r="AM11873" s="55">
        <v>2020</v>
      </c>
      <c r="AN11873" s="55" t="s">
        <v>96</v>
      </c>
      <c r="AO11873" s="55">
        <v>9</v>
      </c>
      <c r="AP11873" s="55">
        <v>15</v>
      </c>
      <c r="AQ11873" s="55">
        <v>26915</v>
      </c>
      <c r="AR11873" s="55">
        <v>28500</v>
      </c>
      <c r="AS11873" s="78">
        <f t="shared" si="189"/>
        <v>0.94438596491228066</v>
      </c>
    </row>
    <row r="11874" spans="39:45">
      <c r="AM11874" s="54">
        <v>2020</v>
      </c>
      <c r="AN11874" s="54" t="s">
        <v>96</v>
      </c>
      <c r="AO11874" s="54">
        <v>9</v>
      </c>
      <c r="AP11874" s="54">
        <v>16</v>
      </c>
      <c r="AQ11874" s="54">
        <v>13762.5</v>
      </c>
      <c r="AR11874" s="55">
        <v>28500</v>
      </c>
      <c r="AS11874" s="78">
        <f t="shared" si="189"/>
        <v>0.48289473684210527</v>
      </c>
    </row>
    <row r="11875" spans="39:45">
      <c r="AM11875" s="55">
        <v>2020</v>
      </c>
      <c r="AN11875" s="55" t="s">
        <v>96</v>
      </c>
      <c r="AO11875" s="55">
        <v>9</v>
      </c>
      <c r="AP11875" s="55">
        <v>17</v>
      </c>
      <c r="AQ11875" s="55">
        <v>7476.5</v>
      </c>
      <c r="AR11875" s="55">
        <v>28500</v>
      </c>
      <c r="AS11875" s="78">
        <f t="shared" si="189"/>
        <v>0.26233333333333331</v>
      </c>
    </row>
    <row r="11876" spans="39:45">
      <c r="AM11876" s="54">
        <v>2020</v>
      </c>
      <c r="AN11876" s="54" t="s">
        <v>96</v>
      </c>
      <c r="AO11876" s="54">
        <v>9</v>
      </c>
      <c r="AP11876" s="54">
        <v>18</v>
      </c>
      <c r="AQ11876" s="54">
        <v>1886</v>
      </c>
      <c r="AR11876" s="55">
        <v>28500</v>
      </c>
      <c r="AS11876" s="78">
        <f t="shared" si="189"/>
        <v>6.6175438596491234E-2</v>
      </c>
    </row>
    <row r="11877" spans="39:45">
      <c r="AM11877" s="55">
        <v>2020</v>
      </c>
      <c r="AN11877" s="55" t="s">
        <v>96</v>
      </c>
      <c r="AO11877" s="55">
        <v>9</v>
      </c>
      <c r="AP11877" s="55">
        <v>19</v>
      </c>
      <c r="AQ11877" s="55">
        <v>0</v>
      </c>
      <c r="AR11877" s="55">
        <v>28500</v>
      </c>
      <c r="AS11877" s="78">
        <f t="shared" si="189"/>
        <v>0</v>
      </c>
    </row>
    <row r="11878" spans="39:45">
      <c r="AM11878" s="54">
        <v>2020</v>
      </c>
      <c r="AN11878" s="54" t="s">
        <v>96</v>
      </c>
      <c r="AO11878" s="54">
        <v>9</v>
      </c>
      <c r="AP11878" s="54">
        <v>20</v>
      </c>
      <c r="AQ11878" s="54">
        <v>0</v>
      </c>
      <c r="AR11878" s="55">
        <v>28500</v>
      </c>
      <c r="AS11878" s="78">
        <f t="shared" si="189"/>
        <v>0</v>
      </c>
    </row>
    <row r="11879" spans="39:45">
      <c r="AM11879" s="55">
        <v>2020</v>
      </c>
      <c r="AN11879" s="55" t="s">
        <v>96</v>
      </c>
      <c r="AO11879" s="55">
        <v>9</v>
      </c>
      <c r="AP11879" s="55">
        <v>21</v>
      </c>
      <c r="AQ11879" s="55">
        <v>0</v>
      </c>
      <c r="AR11879" s="55">
        <v>28500</v>
      </c>
      <c r="AS11879" s="78">
        <f t="shared" si="189"/>
        <v>0</v>
      </c>
    </row>
    <row r="11880" spans="39:45">
      <c r="AM11880" s="54">
        <v>2020</v>
      </c>
      <c r="AN11880" s="54" t="s">
        <v>96</v>
      </c>
      <c r="AO11880" s="54">
        <v>9</v>
      </c>
      <c r="AP11880" s="54">
        <v>22</v>
      </c>
      <c r="AQ11880" s="54">
        <v>0</v>
      </c>
      <c r="AR11880" s="55">
        <v>28500</v>
      </c>
      <c r="AS11880" s="78">
        <f t="shared" si="189"/>
        <v>0</v>
      </c>
    </row>
    <row r="11881" spans="39:45">
      <c r="AM11881" s="55">
        <v>2020</v>
      </c>
      <c r="AN11881" s="55" t="s">
        <v>96</v>
      </c>
      <c r="AO11881" s="55">
        <v>9</v>
      </c>
      <c r="AP11881" s="55">
        <v>23</v>
      </c>
      <c r="AQ11881" s="55">
        <v>0</v>
      </c>
      <c r="AR11881" s="55">
        <v>28500</v>
      </c>
      <c r="AS11881" s="78">
        <f t="shared" si="189"/>
        <v>0</v>
      </c>
    </row>
    <row r="11882" spans="39:45">
      <c r="AM11882" s="54">
        <v>2020</v>
      </c>
      <c r="AN11882" s="54" t="s">
        <v>96</v>
      </c>
      <c r="AO11882" s="54">
        <v>10</v>
      </c>
      <c r="AP11882" s="54">
        <v>24</v>
      </c>
      <c r="AQ11882" s="54">
        <v>0</v>
      </c>
      <c r="AR11882" s="55">
        <v>28500</v>
      </c>
      <c r="AS11882" s="78">
        <f t="shared" si="189"/>
        <v>0</v>
      </c>
    </row>
    <row r="11883" spans="39:45">
      <c r="AM11883" s="55">
        <v>2020</v>
      </c>
      <c r="AN11883" s="55" t="s">
        <v>96</v>
      </c>
      <c r="AO11883" s="55">
        <v>10</v>
      </c>
      <c r="AP11883" s="55">
        <v>1</v>
      </c>
      <c r="AQ11883" s="55">
        <v>0</v>
      </c>
      <c r="AR11883" s="55">
        <v>28500</v>
      </c>
      <c r="AS11883" s="78">
        <f t="shared" si="189"/>
        <v>0</v>
      </c>
    </row>
    <row r="11884" spans="39:45">
      <c r="AM11884" s="54">
        <v>2020</v>
      </c>
      <c r="AN11884" s="54" t="s">
        <v>96</v>
      </c>
      <c r="AO11884" s="54">
        <v>10</v>
      </c>
      <c r="AP11884" s="54">
        <v>2</v>
      </c>
      <c r="AQ11884" s="54">
        <v>0</v>
      </c>
      <c r="AR11884" s="55">
        <v>28500</v>
      </c>
      <c r="AS11884" s="78">
        <f t="shared" si="189"/>
        <v>0</v>
      </c>
    </row>
    <row r="11885" spans="39:45">
      <c r="AM11885" s="55">
        <v>2020</v>
      </c>
      <c r="AN11885" s="55" t="s">
        <v>96</v>
      </c>
      <c r="AO11885" s="55">
        <v>10</v>
      </c>
      <c r="AP11885" s="55">
        <v>3</v>
      </c>
      <c r="AQ11885" s="55">
        <v>0</v>
      </c>
      <c r="AR11885" s="55">
        <v>28500</v>
      </c>
      <c r="AS11885" s="78">
        <f t="shared" si="189"/>
        <v>0</v>
      </c>
    </row>
    <row r="11886" spans="39:45">
      <c r="AM11886" s="54">
        <v>2020</v>
      </c>
      <c r="AN11886" s="54" t="s">
        <v>96</v>
      </c>
      <c r="AO11886" s="54">
        <v>10</v>
      </c>
      <c r="AP11886" s="54">
        <v>4</v>
      </c>
      <c r="AQ11886" s="54">
        <v>0</v>
      </c>
      <c r="AR11886" s="55">
        <v>28500</v>
      </c>
      <c r="AS11886" s="78">
        <f t="shared" si="189"/>
        <v>0</v>
      </c>
    </row>
    <row r="11887" spans="39:45">
      <c r="AM11887" s="55">
        <v>2020</v>
      </c>
      <c r="AN11887" s="55" t="s">
        <v>96</v>
      </c>
      <c r="AO11887" s="55">
        <v>10</v>
      </c>
      <c r="AP11887" s="55">
        <v>5</v>
      </c>
      <c r="AQ11887" s="55">
        <v>927.5</v>
      </c>
      <c r="AR11887" s="55">
        <v>28500</v>
      </c>
      <c r="AS11887" s="78">
        <f t="shared" si="189"/>
        <v>3.2543859649122805E-2</v>
      </c>
    </row>
    <row r="11888" spans="39:45">
      <c r="AM11888" s="54">
        <v>2020</v>
      </c>
      <c r="AN11888" s="54" t="s">
        <v>96</v>
      </c>
      <c r="AO11888" s="54">
        <v>10</v>
      </c>
      <c r="AP11888" s="54">
        <v>6</v>
      </c>
      <c r="AQ11888" s="54">
        <v>4214</v>
      </c>
      <c r="AR11888" s="55">
        <v>28500</v>
      </c>
      <c r="AS11888" s="78">
        <f t="shared" si="189"/>
        <v>0.14785964912280702</v>
      </c>
    </row>
    <row r="11889" spans="39:45">
      <c r="AM11889" s="55">
        <v>2020</v>
      </c>
      <c r="AN11889" s="55" t="s">
        <v>96</v>
      </c>
      <c r="AO11889" s="55">
        <v>10</v>
      </c>
      <c r="AP11889" s="55">
        <v>7</v>
      </c>
      <c r="AQ11889" s="55">
        <v>10523</v>
      </c>
      <c r="AR11889" s="55">
        <v>28500</v>
      </c>
      <c r="AS11889" s="78">
        <f t="shared" si="189"/>
        <v>0.36922807017543857</v>
      </c>
    </row>
    <row r="11890" spans="39:45">
      <c r="AM11890" s="54">
        <v>2020</v>
      </c>
      <c r="AN11890" s="54" t="s">
        <v>96</v>
      </c>
      <c r="AO11890" s="54">
        <v>10</v>
      </c>
      <c r="AP11890" s="54">
        <v>8</v>
      </c>
      <c r="AQ11890" s="54">
        <v>12948.5</v>
      </c>
      <c r="AR11890" s="55">
        <v>28500</v>
      </c>
      <c r="AS11890" s="78">
        <f t="shared" si="189"/>
        <v>0.45433333333333331</v>
      </c>
    </row>
    <row r="11891" spans="39:45">
      <c r="AM11891" s="55">
        <v>2020</v>
      </c>
      <c r="AN11891" s="55" t="s">
        <v>96</v>
      </c>
      <c r="AO11891" s="55">
        <v>10</v>
      </c>
      <c r="AP11891" s="55">
        <v>9</v>
      </c>
      <c r="AQ11891" s="55">
        <v>20568</v>
      </c>
      <c r="AR11891" s="55">
        <v>28500</v>
      </c>
      <c r="AS11891" s="78">
        <f t="shared" si="189"/>
        <v>0.72168421052631582</v>
      </c>
    </row>
    <row r="11892" spans="39:45">
      <c r="AM11892" s="54">
        <v>2020</v>
      </c>
      <c r="AN11892" s="54" t="s">
        <v>96</v>
      </c>
      <c r="AO11892" s="54">
        <v>10</v>
      </c>
      <c r="AP11892" s="54">
        <v>10</v>
      </c>
      <c r="AQ11892" s="54">
        <v>27005</v>
      </c>
      <c r="AR11892" s="55">
        <v>28500</v>
      </c>
      <c r="AS11892" s="78">
        <f t="shared" si="189"/>
        <v>0.9475438596491228</v>
      </c>
    </row>
    <row r="11893" spans="39:45">
      <c r="AM11893" s="55">
        <v>2020</v>
      </c>
      <c r="AN11893" s="55" t="s">
        <v>96</v>
      </c>
      <c r="AO11893" s="55">
        <v>10</v>
      </c>
      <c r="AP11893" s="55">
        <v>11</v>
      </c>
      <c r="AQ11893" s="55">
        <v>19789</v>
      </c>
      <c r="AR11893" s="55">
        <v>28500</v>
      </c>
      <c r="AS11893" s="78">
        <f t="shared" si="189"/>
        <v>0.6943508771929825</v>
      </c>
    </row>
    <row r="11894" spans="39:45">
      <c r="AM11894" s="54">
        <v>2020</v>
      </c>
      <c r="AN11894" s="54" t="s">
        <v>96</v>
      </c>
      <c r="AO11894" s="54">
        <v>10</v>
      </c>
      <c r="AP11894" s="54">
        <v>12</v>
      </c>
      <c r="AQ11894" s="54">
        <v>9567.5</v>
      </c>
      <c r="AR11894" s="55">
        <v>28500</v>
      </c>
      <c r="AS11894" s="78">
        <f t="shared" si="189"/>
        <v>0.33570175438596489</v>
      </c>
    </row>
    <row r="11895" spans="39:45">
      <c r="AM11895" s="55">
        <v>2020</v>
      </c>
      <c r="AN11895" s="55" t="s">
        <v>96</v>
      </c>
      <c r="AO11895" s="55">
        <v>10</v>
      </c>
      <c r="AP11895" s="55">
        <v>13</v>
      </c>
      <c r="AQ11895" s="55">
        <v>5450</v>
      </c>
      <c r="AR11895" s="55">
        <v>28500</v>
      </c>
      <c r="AS11895" s="78">
        <f t="shared" si="189"/>
        <v>0.19122807017543861</v>
      </c>
    </row>
    <row r="11896" spans="39:45">
      <c r="AM11896" s="54">
        <v>2020</v>
      </c>
      <c r="AN11896" s="54" t="s">
        <v>96</v>
      </c>
      <c r="AO11896" s="54">
        <v>10</v>
      </c>
      <c r="AP11896" s="54">
        <v>14</v>
      </c>
      <c r="AQ11896" s="54">
        <v>2617</v>
      </c>
      <c r="AR11896" s="55">
        <v>28500</v>
      </c>
      <c r="AS11896" s="78">
        <f t="shared" si="189"/>
        <v>9.1824561403508767E-2</v>
      </c>
    </row>
    <row r="11897" spans="39:45">
      <c r="AM11897" s="55">
        <v>2020</v>
      </c>
      <c r="AN11897" s="55" t="s">
        <v>96</v>
      </c>
      <c r="AO11897" s="55">
        <v>10</v>
      </c>
      <c r="AP11897" s="55">
        <v>15</v>
      </c>
      <c r="AQ11897" s="55">
        <v>2419.5</v>
      </c>
      <c r="AR11897" s="55">
        <v>28500</v>
      </c>
      <c r="AS11897" s="78">
        <f t="shared" si="189"/>
        <v>8.4894736842105259E-2</v>
      </c>
    </row>
    <row r="11898" spans="39:45">
      <c r="AM11898" s="54">
        <v>2020</v>
      </c>
      <c r="AN11898" s="54" t="s">
        <v>96</v>
      </c>
      <c r="AO11898" s="54">
        <v>10</v>
      </c>
      <c r="AP11898" s="54">
        <v>16</v>
      </c>
      <c r="AQ11898" s="54">
        <v>2111</v>
      </c>
      <c r="AR11898" s="55">
        <v>28500</v>
      </c>
      <c r="AS11898" s="78">
        <f t="shared" si="189"/>
        <v>7.4070175438596494E-2</v>
      </c>
    </row>
    <row r="11899" spans="39:45">
      <c r="AM11899" s="55">
        <v>2020</v>
      </c>
      <c r="AN11899" s="55" t="s">
        <v>96</v>
      </c>
      <c r="AO11899" s="55">
        <v>10</v>
      </c>
      <c r="AP11899" s="55">
        <v>17</v>
      </c>
      <c r="AQ11899" s="55">
        <v>1684.5</v>
      </c>
      <c r="AR11899" s="55">
        <v>28500</v>
      </c>
      <c r="AS11899" s="78">
        <f t="shared" si="189"/>
        <v>5.9105263157894737E-2</v>
      </c>
    </row>
    <row r="11900" spans="39:45">
      <c r="AM11900" s="54">
        <v>2020</v>
      </c>
      <c r="AN11900" s="54" t="s">
        <v>96</v>
      </c>
      <c r="AO11900" s="54">
        <v>10</v>
      </c>
      <c r="AP11900" s="54">
        <v>18</v>
      </c>
      <c r="AQ11900" s="54">
        <v>401</v>
      </c>
      <c r="AR11900" s="55">
        <v>28500</v>
      </c>
      <c r="AS11900" s="78">
        <f t="shared" si="189"/>
        <v>1.4070175438596491E-2</v>
      </c>
    </row>
    <row r="11901" spans="39:45">
      <c r="AM11901" s="55">
        <v>2020</v>
      </c>
      <c r="AN11901" s="55" t="s">
        <v>96</v>
      </c>
      <c r="AO11901" s="55">
        <v>10</v>
      </c>
      <c r="AP11901" s="55">
        <v>19</v>
      </c>
      <c r="AQ11901" s="55">
        <v>0</v>
      </c>
      <c r="AR11901" s="55">
        <v>28500</v>
      </c>
      <c r="AS11901" s="78">
        <f t="shared" si="189"/>
        <v>0</v>
      </c>
    </row>
    <row r="11902" spans="39:45">
      <c r="AM11902" s="54">
        <v>2020</v>
      </c>
      <c r="AN11902" s="54" t="s">
        <v>96</v>
      </c>
      <c r="AO11902" s="54">
        <v>10</v>
      </c>
      <c r="AP11902" s="54">
        <v>20</v>
      </c>
      <c r="AQ11902" s="54">
        <v>0</v>
      </c>
      <c r="AR11902" s="55">
        <v>28500</v>
      </c>
      <c r="AS11902" s="78">
        <f t="shared" si="189"/>
        <v>0</v>
      </c>
    </row>
    <row r="11903" spans="39:45">
      <c r="AM11903" s="55">
        <v>2020</v>
      </c>
      <c r="AN11903" s="55" t="s">
        <v>96</v>
      </c>
      <c r="AO11903" s="55">
        <v>10</v>
      </c>
      <c r="AP11903" s="55">
        <v>21</v>
      </c>
      <c r="AQ11903" s="55">
        <v>0</v>
      </c>
      <c r="AR11903" s="55">
        <v>28500</v>
      </c>
      <c r="AS11903" s="78">
        <f t="shared" si="189"/>
        <v>0</v>
      </c>
    </row>
    <row r="11904" spans="39:45">
      <c r="AM11904" s="54">
        <v>2020</v>
      </c>
      <c r="AN11904" s="54" t="s">
        <v>96</v>
      </c>
      <c r="AO11904" s="54">
        <v>10</v>
      </c>
      <c r="AP11904" s="54">
        <v>22</v>
      </c>
      <c r="AQ11904" s="54">
        <v>0</v>
      </c>
      <c r="AR11904" s="55">
        <v>28500</v>
      </c>
      <c r="AS11904" s="78">
        <f t="shared" si="189"/>
        <v>0</v>
      </c>
    </row>
    <row r="11905" spans="39:45">
      <c r="AM11905" s="55">
        <v>2020</v>
      </c>
      <c r="AN11905" s="55" t="s">
        <v>96</v>
      </c>
      <c r="AO11905" s="55">
        <v>10</v>
      </c>
      <c r="AP11905" s="55">
        <v>23</v>
      </c>
      <c r="AQ11905" s="55">
        <v>0</v>
      </c>
      <c r="AR11905" s="55">
        <v>28500</v>
      </c>
      <c r="AS11905" s="78">
        <f t="shared" si="189"/>
        <v>0</v>
      </c>
    </row>
    <row r="11906" spans="39:45">
      <c r="AM11906" s="54">
        <v>2020</v>
      </c>
      <c r="AN11906" s="54" t="s">
        <v>96</v>
      </c>
      <c r="AO11906" s="54">
        <v>11</v>
      </c>
      <c r="AP11906" s="54">
        <v>24</v>
      </c>
      <c r="AQ11906" s="54">
        <v>0</v>
      </c>
      <c r="AR11906" s="55">
        <v>28500</v>
      </c>
      <c r="AS11906" s="78">
        <f t="shared" ref="AS11906:AS11969" si="190">AQ11906/AR11906</f>
        <v>0</v>
      </c>
    </row>
    <row r="11907" spans="39:45">
      <c r="AM11907" s="55">
        <v>2020</v>
      </c>
      <c r="AN11907" s="55" t="s">
        <v>96</v>
      </c>
      <c r="AO11907" s="55">
        <v>11</v>
      </c>
      <c r="AP11907" s="55">
        <v>1</v>
      </c>
      <c r="AQ11907" s="55">
        <v>0</v>
      </c>
      <c r="AR11907" s="55">
        <v>28500</v>
      </c>
      <c r="AS11907" s="78">
        <f t="shared" si="190"/>
        <v>0</v>
      </c>
    </row>
    <row r="11908" spans="39:45">
      <c r="AM11908" s="54">
        <v>2020</v>
      </c>
      <c r="AN11908" s="54" t="s">
        <v>96</v>
      </c>
      <c r="AO11908" s="54">
        <v>11</v>
      </c>
      <c r="AP11908" s="54">
        <v>2</v>
      </c>
      <c r="AQ11908" s="54">
        <v>0</v>
      </c>
      <c r="AR11908" s="55">
        <v>28500</v>
      </c>
      <c r="AS11908" s="78">
        <f t="shared" si="190"/>
        <v>0</v>
      </c>
    </row>
    <row r="11909" spans="39:45">
      <c r="AM11909" s="55">
        <v>2020</v>
      </c>
      <c r="AN11909" s="55" t="s">
        <v>96</v>
      </c>
      <c r="AO11909" s="55">
        <v>11</v>
      </c>
      <c r="AP11909" s="55">
        <v>3</v>
      </c>
      <c r="AQ11909" s="55">
        <v>0</v>
      </c>
      <c r="AR11909" s="55">
        <v>28500</v>
      </c>
      <c r="AS11909" s="78">
        <f t="shared" si="190"/>
        <v>0</v>
      </c>
    </row>
    <row r="11910" spans="39:45">
      <c r="AM11910" s="54">
        <v>2020</v>
      </c>
      <c r="AN11910" s="54" t="s">
        <v>96</v>
      </c>
      <c r="AO11910" s="54">
        <v>11</v>
      </c>
      <c r="AP11910" s="54">
        <v>4</v>
      </c>
      <c r="AQ11910" s="54">
        <v>0</v>
      </c>
      <c r="AR11910" s="55">
        <v>28500</v>
      </c>
      <c r="AS11910" s="78">
        <f t="shared" si="190"/>
        <v>0</v>
      </c>
    </row>
    <row r="11911" spans="39:45">
      <c r="AM11911" s="55">
        <v>2020</v>
      </c>
      <c r="AN11911" s="55" t="s">
        <v>96</v>
      </c>
      <c r="AO11911" s="55">
        <v>11</v>
      </c>
      <c r="AP11911" s="55">
        <v>5</v>
      </c>
      <c r="AQ11911" s="55">
        <v>735</v>
      </c>
      <c r="AR11911" s="55">
        <v>28500</v>
      </c>
      <c r="AS11911" s="78">
        <f t="shared" si="190"/>
        <v>2.5789473684210525E-2</v>
      </c>
    </row>
    <row r="11912" spans="39:45">
      <c r="AM11912" s="54">
        <v>2020</v>
      </c>
      <c r="AN11912" s="54" t="s">
        <v>96</v>
      </c>
      <c r="AO11912" s="54">
        <v>11</v>
      </c>
      <c r="AP11912" s="54">
        <v>6</v>
      </c>
      <c r="AQ11912" s="54">
        <v>3753</v>
      </c>
      <c r="AR11912" s="55">
        <v>28500</v>
      </c>
      <c r="AS11912" s="78">
        <f t="shared" si="190"/>
        <v>0.13168421052631579</v>
      </c>
    </row>
    <row r="11913" spans="39:45">
      <c r="AM11913" s="55">
        <v>2020</v>
      </c>
      <c r="AN11913" s="55" t="s">
        <v>96</v>
      </c>
      <c r="AO11913" s="55">
        <v>11</v>
      </c>
      <c r="AP11913" s="55">
        <v>7</v>
      </c>
      <c r="AQ11913" s="55">
        <v>14115.5</v>
      </c>
      <c r="AR11913" s="55">
        <v>28500</v>
      </c>
      <c r="AS11913" s="78">
        <f t="shared" si="190"/>
        <v>0.49528070175438599</v>
      </c>
    </row>
    <row r="11914" spans="39:45">
      <c r="AM11914" s="54">
        <v>2020</v>
      </c>
      <c r="AN11914" s="54" t="s">
        <v>96</v>
      </c>
      <c r="AO11914" s="54">
        <v>11</v>
      </c>
      <c r="AP11914" s="54">
        <v>8</v>
      </c>
      <c r="AQ11914" s="54">
        <v>23588.5</v>
      </c>
      <c r="AR11914" s="55">
        <v>28500</v>
      </c>
      <c r="AS11914" s="78">
        <f t="shared" si="190"/>
        <v>0.82766666666666666</v>
      </c>
    </row>
    <row r="11915" spans="39:45">
      <c r="AM11915" s="55">
        <v>2020</v>
      </c>
      <c r="AN11915" s="55" t="s">
        <v>96</v>
      </c>
      <c r="AO11915" s="55">
        <v>11</v>
      </c>
      <c r="AP11915" s="55">
        <v>9</v>
      </c>
      <c r="AQ11915" s="55">
        <v>16795</v>
      </c>
      <c r="AR11915" s="55">
        <v>28500</v>
      </c>
      <c r="AS11915" s="78">
        <f t="shared" si="190"/>
        <v>0.5892982456140351</v>
      </c>
    </row>
    <row r="11916" spans="39:45">
      <c r="AM11916" s="54">
        <v>2020</v>
      </c>
      <c r="AN11916" s="54" t="s">
        <v>96</v>
      </c>
      <c r="AO11916" s="54">
        <v>11</v>
      </c>
      <c r="AP11916" s="54">
        <v>10</v>
      </c>
      <c r="AQ11916" s="54">
        <v>16816.5</v>
      </c>
      <c r="AR11916" s="55">
        <v>28500</v>
      </c>
      <c r="AS11916" s="78">
        <f t="shared" si="190"/>
        <v>0.59005263157894738</v>
      </c>
    </row>
    <row r="11917" spans="39:45">
      <c r="AM11917" s="55">
        <v>2020</v>
      </c>
      <c r="AN11917" s="55" t="s">
        <v>96</v>
      </c>
      <c r="AO11917" s="55">
        <v>11</v>
      </c>
      <c r="AP11917" s="55">
        <v>11</v>
      </c>
      <c r="AQ11917" s="55">
        <v>20360</v>
      </c>
      <c r="AR11917" s="55">
        <v>28500</v>
      </c>
      <c r="AS11917" s="78">
        <f t="shared" si="190"/>
        <v>0.71438596491228068</v>
      </c>
    </row>
    <row r="11918" spans="39:45">
      <c r="AM11918" s="54">
        <v>2020</v>
      </c>
      <c r="AN11918" s="54" t="s">
        <v>96</v>
      </c>
      <c r="AO11918" s="54">
        <v>11</v>
      </c>
      <c r="AP11918" s="54">
        <v>12</v>
      </c>
      <c r="AQ11918" s="54">
        <v>23850.5</v>
      </c>
      <c r="AR11918" s="55">
        <v>28500</v>
      </c>
      <c r="AS11918" s="78">
        <f t="shared" si="190"/>
        <v>0.83685964912280697</v>
      </c>
    </row>
    <row r="11919" spans="39:45">
      <c r="AM11919" s="55">
        <v>2020</v>
      </c>
      <c r="AN11919" s="55" t="s">
        <v>96</v>
      </c>
      <c r="AO11919" s="55">
        <v>11</v>
      </c>
      <c r="AP11919" s="55">
        <v>13</v>
      </c>
      <c r="AQ11919" s="55">
        <v>13654.5</v>
      </c>
      <c r="AR11919" s="55">
        <v>28500</v>
      </c>
      <c r="AS11919" s="78">
        <f t="shared" si="190"/>
        <v>0.47910526315789476</v>
      </c>
    </row>
    <row r="11920" spans="39:45">
      <c r="AM11920" s="54">
        <v>2020</v>
      </c>
      <c r="AN11920" s="54" t="s">
        <v>96</v>
      </c>
      <c r="AO11920" s="54">
        <v>11</v>
      </c>
      <c r="AP11920" s="54">
        <v>14</v>
      </c>
      <c r="AQ11920" s="54">
        <v>17934</v>
      </c>
      <c r="AR11920" s="55">
        <v>28500</v>
      </c>
      <c r="AS11920" s="78">
        <f t="shared" si="190"/>
        <v>0.62926315789473686</v>
      </c>
    </row>
    <row r="11921" spans="39:45">
      <c r="AM11921" s="55">
        <v>2020</v>
      </c>
      <c r="AN11921" s="55" t="s">
        <v>96</v>
      </c>
      <c r="AO11921" s="55">
        <v>11</v>
      </c>
      <c r="AP11921" s="55">
        <v>15</v>
      </c>
      <c r="AQ11921" s="55">
        <v>17315.5</v>
      </c>
      <c r="AR11921" s="55">
        <v>28500</v>
      </c>
      <c r="AS11921" s="78">
        <f t="shared" si="190"/>
        <v>0.60756140350877197</v>
      </c>
    </row>
    <row r="11922" spans="39:45">
      <c r="AM11922" s="54">
        <v>2020</v>
      </c>
      <c r="AN11922" s="54" t="s">
        <v>96</v>
      </c>
      <c r="AO11922" s="54">
        <v>11</v>
      </c>
      <c r="AP11922" s="54">
        <v>16</v>
      </c>
      <c r="AQ11922" s="54">
        <v>16116</v>
      </c>
      <c r="AR11922" s="55">
        <v>28500</v>
      </c>
      <c r="AS11922" s="78">
        <f t="shared" si="190"/>
        <v>0.56547368421052635</v>
      </c>
    </row>
    <row r="11923" spans="39:45">
      <c r="AM11923" s="55">
        <v>2020</v>
      </c>
      <c r="AN11923" s="55" t="s">
        <v>96</v>
      </c>
      <c r="AO11923" s="55">
        <v>11</v>
      </c>
      <c r="AP11923" s="55">
        <v>17</v>
      </c>
      <c r="AQ11923" s="55">
        <v>8719</v>
      </c>
      <c r="AR11923" s="55">
        <v>28500</v>
      </c>
      <c r="AS11923" s="78">
        <f t="shared" si="190"/>
        <v>0.3059298245614035</v>
      </c>
    </row>
    <row r="11924" spans="39:45">
      <c r="AM11924" s="54">
        <v>2020</v>
      </c>
      <c r="AN11924" s="54" t="s">
        <v>96</v>
      </c>
      <c r="AO11924" s="54">
        <v>11</v>
      </c>
      <c r="AP11924" s="54">
        <v>18</v>
      </c>
      <c r="AQ11924" s="54">
        <v>2362.5</v>
      </c>
      <c r="AR11924" s="55">
        <v>28500</v>
      </c>
      <c r="AS11924" s="78">
        <f t="shared" si="190"/>
        <v>8.2894736842105257E-2</v>
      </c>
    </row>
    <row r="11925" spans="39:45">
      <c r="AM11925" s="55">
        <v>2020</v>
      </c>
      <c r="AN11925" s="55" t="s">
        <v>96</v>
      </c>
      <c r="AO11925" s="55">
        <v>11</v>
      </c>
      <c r="AP11925" s="55">
        <v>19</v>
      </c>
      <c r="AQ11925" s="55">
        <v>21.5</v>
      </c>
      <c r="AR11925" s="55">
        <v>28500</v>
      </c>
      <c r="AS11925" s="78">
        <f t="shared" si="190"/>
        <v>7.5438596491228071E-4</v>
      </c>
    </row>
    <row r="11926" spans="39:45">
      <c r="AM11926" s="54">
        <v>2020</v>
      </c>
      <c r="AN11926" s="54" t="s">
        <v>96</v>
      </c>
      <c r="AO11926" s="54">
        <v>11</v>
      </c>
      <c r="AP11926" s="54">
        <v>20</v>
      </c>
      <c r="AQ11926" s="54">
        <v>0</v>
      </c>
      <c r="AR11926" s="55">
        <v>28500</v>
      </c>
      <c r="AS11926" s="78">
        <f t="shared" si="190"/>
        <v>0</v>
      </c>
    </row>
    <row r="11927" spans="39:45">
      <c r="AM11927" s="55">
        <v>2020</v>
      </c>
      <c r="AN11927" s="55" t="s">
        <v>96</v>
      </c>
      <c r="AO11927" s="55">
        <v>11</v>
      </c>
      <c r="AP11927" s="55">
        <v>21</v>
      </c>
      <c r="AQ11927" s="55">
        <v>0</v>
      </c>
      <c r="AR11927" s="55">
        <v>28500</v>
      </c>
      <c r="AS11927" s="78">
        <f t="shared" si="190"/>
        <v>0</v>
      </c>
    </row>
    <row r="11928" spans="39:45">
      <c r="AM11928" s="54">
        <v>2020</v>
      </c>
      <c r="AN11928" s="54" t="s">
        <v>96</v>
      </c>
      <c r="AO11928" s="54">
        <v>11</v>
      </c>
      <c r="AP11928" s="54">
        <v>22</v>
      </c>
      <c r="AQ11928" s="54">
        <v>0</v>
      </c>
      <c r="AR11928" s="55">
        <v>28500</v>
      </c>
      <c r="AS11928" s="78">
        <f t="shared" si="190"/>
        <v>0</v>
      </c>
    </row>
    <row r="11929" spans="39:45">
      <c r="AM11929" s="55">
        <v>2020</v>
      </c>
      <c r="AN11929" s="55" t="s">
        <v>96</v>
      </c>
      <c r="AO11929" s="55">
        <v>11</v>
      </c>
      <c r="AP11929" s="55">
        <v>23</v>
      </c>
      <c r="AQ11929" s="55">
        <v>0</v>
      </c>
      <c r="AR11929" s="55">
        <v>28500</v>
      </c>
      <c r="AS11929" s="78">
        <f t="shared" si="190"/>
        <v>0</v>
      </c>
    </row>
    <row r="11930" spans="39:45">
      <c r="AM11930" s="54">
        <v>2020</v>
      </c>
      <c r="AN11930" s="54" t="s">
        <v>96</v>
      </c>
      <c r="AO11930" s="54">
        <v>12</v>
      </c>
      <c r="AP11930" s="54">
        <v>24</v>
      </c>
      <c r="AQ11930" s="54">
        <v>0</v>
      </c>
      <c r="AR11930" s="55">
        <v>28500</v>
      </c>
      <c r="AS11930" s="78">
        <f t="shared" si="190"/>
        <v>0</v>
      </c>
    </row>
    <row r="11931" spans="39:45">
      <c r="AM11931" s="55">
        <v>2020</v>
      </c>
      <c r="AN11931" s="55" t="s">
        <v>96</v>
      </c>
      <c r="AO11931" s="55">
        <v>12</v>
      </c>
      <c r="AP11931" s="55">
        <v>1</v>
      </c>
      <c r="AQ11931" s="55">
        <v>0</v>
      </c>
      <c r="AR11931" s="55">
        <v>28500</v>
      </c>
      <c r="AS11931" s="78">
        <f t="shared" si="190"/>
        <v>0</v>
      </c>
    </row>
    <row r="11932" spans="39:45">
      <c r="AM11932" s="54">
        <v>2020</v>
      </c>
      <c r="AN11932" s="54" t="s">
        <v>96</v>
      </c>
      <c r="AO11932" s="54">
        <v>12</v>
      </c>
      <c r="AP11932" s="54">
        <v>2</v>
      </c>
      <c r="AQ11932" s="54">
        <v>0</v>
      </c>
      <c r="AR11932" s="55">
        <v>28500</v>
      </c>
      <c r="AS11932" s="78">
        <f t="shared" si="190"/>
        <v>0</v>
      </c>
    </row>
    <row r="11933" spans="39:45">
      <c r="AM11933" s="55">
        <v>2020</v>
      </c>
      <c r="AN11933" s="55" t="s">
        <v>96</v>
      </c>
      <c r="AO11933" s="55">
        <v>12</v>
      </c>
      <c r="AP11933" s="55">
        <v>3</v>
      </c>
      <c r="AQ11933" s="55">
        <v>0</v>
      </c>
      <c r="AR11933" s="55">
        <v>28500</v>
      </c>
      <c r="AS11933" s="78">
        <f t="shared" si="190"/>
        <v>0</v>
      </c>
    </row>
    <row r="11934" spans="39:45">
      <c r="AM11934" s="54">
        <v>2020</v>
      </c>
      <c r="AN11934" s="54" t="s">
        <v>96</v>
      </c>
      <c r="AO11934" s="54">
        <v>12</v>
      </c>
      <c r="AP11934" s="54">
        <v>4</v>
      </c>
      <c r="AQ11934" s="54">
        <v>0</v>
      </c>
      <c r="AR11934" s="55">
        <v>28500</v>
      </c>
      <c r="AS11934" s="78">
        <f t="shared" si="190"/>
        <v>0</v>
      </c>
    </row>
    <row r="11935" spans="39:45">
      <c r="AM11935" s="55">
        <v>2020</v>
      </c>
      <c r="AN11935" s="55" t="s">
        <v>96</v>
      </c>
      <c r="AO11935" s="55">
        <v>12</v>
      </c>
      <c r="AP11935" s="55">
        <v>5</v>
      </c>
      <c r="AQ11935" s="55">
        <v>903.5</v>
      </c>
      <c r="AR11935" s="55">
        <v>28500</v>
      </c>
      <c r="AS11935" s="78">
        <f t="shared" si="190"/>
        <v>3.1701754385964911E-2</v>
      </c>
    </row>
    <row r="11936" spans="39:45">
      <c r="AM11936" s="54">
        <v>2020</v>
      </c>
      <c r="AN11936" s="54" t="s">
        <v>96</v>
      </c>
      <c r="AO11936" s="54">
        <v>12</v>
      </c>
      <c r="AP11936" s="54">
        <v>6</v>
      </c>
      <c r="AQ11936" s="54">
        <v>3653</v>
      </c>
      <c r="AR11936" s="55">
        <v>28500</v>
      </c>
      <c r="AS11936" s="78">
        <f t="shared" si="190"/>
        <v>0.12817543859649122</v>
      </c>
    </row>
    <row r="11937" spans="39:45">
      <c r="AM11937" s="55">
        <v>2020</v>
      </c>
      <c r="AN11937" s="55" t="s">
        <v>96</v>
      </c>
      <c r="AO11937" s="55">
        <v>12</v>
      </c>
      <c r="AP11937" s="55">
        <v>7</v>
      </c>
      <c r="AQ11937" s="55">
        <v>14849.5</v>
      </c>
      <c r="AR11937" s="55">
        <v>28500</v>
      </c>
      <c r="AS11937" s="78">
        <f t="shared" si="190"/>
        <v>0.5210350877192983</v>
      </c>
    </row>
    <row r="11938" spans="39:45">
      <c r="AM11938" s="54">
        <v>2020</v>
      </c>
      <c r="AN11938" s="54" t="s">
        <v>96</v>
      </c>
      <c r="AO11938" s="54">
        <v>12</v>
      </c>
      <c r="AP11938" s="54">
        <v>8</v>
      </c>
      <c r="AQ11938" s="54">
        <v>25238.5</v>
      </c>
      <c r="AR11938" s="55">
        <v>28500</v>
      </c>
      <c r="AS11938" s="78">
        <f t="shared" si="190"/>
        <v>0.88556140350877188</v>
      </c>
    </row>
    <row r="11939" spans="39:45">
      <c r="AM11939" s="55">
        <v>2020</v>
      </c>
      <c r="AN11939" s="55" t="s">
        <v>96</v>
      </c>
      <c r="AO11939" s="55">
        <v>12</v>
      </c>
      <c r="AP11939" s="55">
        <v>9</v>
      </c>
      <c r="AQ11939" s="55">
        <v>33533</v>
      </c>
      <c r="AR11939" s="55">
        <v>28500</v>
      </c>
      <c r="AS11939" s="78">
        <f t="shared" si="190"/>
        <v>1.1765964912280702</v>
      </c>
    </row>
    <row r="11940" spans="39:45">
      <c r="AM11940" s="54">
        <v>2020</v>
      </c>
      <c r="AN11940" s="54" t="s">
        <v>96</v>
      </c>
      <c r="AO11940" s="54">
        <v>12</v>
      </c>
      <c r="AP11940" s="54">
        <v>10</v>
      </c>
      <c r="AQ11940" s="54">
        <v>38274</v>
      </c>
      <c r="AR11940" s="55">
        <v>28500</v>
      </c>
      <c r="AS11940" s="78">
        <f t="shared" si="190"/>
        <v>1.3429473684210527</v>
      </c>
    </row>
    <row r="11941" spans="39:45">
      <c r="AM11941" s="55">
        <v>2020</v>
      </c>
      <c r="AN11941" s="55" t="s">
        <v>96</v>
      </c>
      <c r="AO11941" s="55">
        <v>12</v>
      </c>
      <c r="AP11941" s="55">
        <v>11</v>
      </c>
      <c r="AQ11941" s="55">
        <v>37848.5</v>
      </c>
      <c r="AR11941" s="55">
        <v>28500</v>
      </c>
      <c r="AS11941" s="78">
        <f t="shared" si="190"/>
        <v>1.3280175438596491</v>
      </c>
    </row>
    <row r="11942" spans="39:45">
      <c r="AM11942" s="54">
        <v>2020</v>
      </c>
      <c r="AN11942" s="54" t="s">
        <v>96</v>
      </c>
      <c r="AO11942" s="54">
        <v>12</v>
      </c>
      <c r="AP11942" s="54">
        <v>12</v>
      </c>
      <c r="AQ11942" s="54">
        <v>31381</v>
      </c>
      <c r="AR11942" s="55">
        <v>28500</v>
      </c>
      <c r="AS11942" s="78">
        <f t="shared" si="190"/>
        <v>1.1010877192982456</v>
      </c>
    </row>
    <row r="11943" spans="39:45">
      <c r="AM11943" s="55">
        <v>2020</v>
      </c>
      <c r="AN11943" s="55" t="s">
        <v>96</v>
      </c>
      <c r="AO11943" s="55">
        <v>12</v>
      </c>
      <c r="AP11943" s="55">
        <v>13</v>
      </c>
      <c r="AQ11943" s="55">
        <v>31021</v>
      </c>
      <c r="AR11943" s="55">
        <v>28500</v>
      </c>
      <c r="AS11943" s="78">
        <f t="shared" si="190"/>
        <v>1.0884561403508772</v>
      </c>
    </row>
    <row r="11944" spans="39:45">
      <c r="AM11944" s="54">
        <v>2020</v>
      </c>
      <c r="AN11944" s="54" t="s">
        <v>96</v>
      </c>
      <c r="AO11944" s="54">
        <v>12</v>
      </c>
      <c r="AP11944" s="54">
        <v>14</v>
      </c>
      <c r="AQ11944" s="54">
        <v>23447.5</v>
      </c>
      <c r="AR11944" s="55">
        <v>28500</v>
      </c>
      <c r="AS11944" s="78">
        <f t="shared" si="190"/>
        <v>0.82271929824561407</v>
      </c>
    </row>
    <row r="11945" spans="39:45">
      <c r="AM11945" s="55">
        <v>2020</v>
      </c>
      <c r="AN11945" s="55" t="s">
        <v>96</v>
      </c>
      <c r="AO11945" s="55">
        <v>12</v>
      </c>
      <c r="AP11945" s="55">
        <v>15</v>
      </c>
      <c r="AQ11945" s="55">
        <v>20010.5</v>
      </c>
      <c r="AR11945" s="55">
        <v>28500</v>
      </c>
      <c r="AS11945" s="78">
        <f t="shared" si="190"/>
        <v>0.70212280701754382</v>
      </c>
    </row>
    <row r="11946" spans="39:45">
      <c r="AM11946" s="54">
        <v>2020</v>
      </c>
      <c r="AN11946" s="54" t="s">
        <v>96</v>
      </c>
      <c r="AO11946" s="54">
        <v>12</v>
      </c>
      <c r="AP11946" s="54">
        <v>16</v>
      </c>
      <c r="AQ11946" s="54">
        <v>17092</v>
      </c>
      <c r="AR11946" s="55">
        <v>28500</v>
      </c>
      <c r="AS11946" s="78">
        <f t="shared" si="190"/>
        <v>0.59971929824561399</v>
      </c>
    </row>
    <row r="11947" spans="39:45">
      <c r="AM11947" s="55">
        <v>2020</v>
      </c>
      <c r="AN11947" s="55" t="s">
        <v>96</v>
      </c>
      <c r="AO11947" s="55">
        <v>12</v>
      </c>
      <c r="AP11947" s="55">
        <v>17</v>
      </c>
      <c r="AQ11947" s="55">
        <v>8353</v>
      </c>
      <c r="AR11947" s="55">
        <v>28500</v>
      </c>
      <c r="AS11947" s="78">
        <f t="shared" si="190"/>
        <v>0.29308771929824562</v>
      </c>
    </row>
    <row r="11948" spans="39:45">
      <c r="AM11948" s="54">
        <v>2020</v>
      </c>
      <c r="AN11948" s="54" t="s">
        <v>96</v>
      </c>
      <c r="AO11948" s="54">
        <v>12</v>
      </c>
      <c r="AP11948" s="54">
        <v>18</v>
      </c>
      <c r="AQ11948" s="54">
        <v>1886.5</v>
      </c>
      <c r="AR11948" s="55">
        <v>28500</v>
      </c>
      <c r="AS11948" s="78">
        <f t="shared" si="190"/>
        <v>6.6192982456140345E-2</v>
      </c>
    </row>
    <row r="11949" spans="39:45">
      <c r="AM11949" s="55">
        <v>2020</v>
      </c>
      <c r="AN11949" s="55" t="s">
        <v>96</v>
      </c>
      <c r="AO11949" s="55">
        <v>12</v>
      </c>
      <c r="AP11949" s="55">
        <v>19</v>
      </c>
      <c r="AQ11949" s="55">
        <v>0</v>
      </c>
      <c r="AR11949" s="55">
        <v>28500</v>
      </c>
      <c r="AS11949" s="78">
        <f t="shared" si="190"/>
        <v>0</v>
      </c>
    </row>
    <row r="11950" spans="39:45">
      <c r="AM11950" s="54">
        <v>2020</v>
      </c>
      <c r="AN11950" s="54" t="s">
        <v>96</v>
      </c>
      <c r="AO11950" s="54">
        <v>12</v>
      </c>
      <c r="AP11950" s="54">
        <v>20</v>
      </c>
      <c r="AQ11950" s="54">
        <v>0</v>
      </c>
      <c r="AR11950" s="55">
        <v>28500</v>
      </c>
      <c r="AS11950" s="78">
        <f t="shared" si="190"/>
        <v>0</v>
      </c>
    </row>
    <row r="11951" spans="39:45">
      <c r="AM11951" s="55">
        <v>2020</v>
      </c>
      <c r="AN11951" s="55" t="s">
        <v>96</v>
      </c>
      <c r="AO11951" s="55">
        <v>12</v>
      </c>
      <c r="AP11951" s="55">
        <v>21</v>
      </c>
      <c r="AQ11951" s="55">
        <v>0</v>
      </c>
      <c r="AR11951" s="55">
        <v>28500</v>
      </c>
      <c r="AS11951" s="78">
        <f t="shared" si="190"/>
        <v>0</v>
      </c>
    </row>
    <row r="11952" spans="39:45">
      <c r="AM11952" s="54">
        <v>2020</v>
      </c>
      <c r="AN11952" s="54" t="s">
        <v>96</v>
      </c>
      <c r="AO11952" s="54">
        <v>12</v>
      </c>
      <c r="AP11952" s="54">
        <v>22</v>
      </c>
      <c r="AQ11952" s="54">
        <v>0</v>
      </c>
      <c r="AR11952" s="55">
        <v>28500</v>
      </c>
      <c r="AS11952" s="78">
        <f t="shared" si="190"/>
        <v>0</v>
      </c>
    </row>
    <row r="11953" spans="39:45">
      <c r="AM11953" s="55">
        <v>2020</v>
      </c>
      <c r="AN11953" s="55" t="s">
        <v>96</v>
      </c>
      <c r="AO11953" s="55">
        <v>12</v>
      </c>
      <c r="AP11953" s="55">
        <v>23</v>
      </c>
      <c r="AQ11953" s="55">
        <v>0</v>
      </c>
      <c r="AR11953" s="55">
        <v>28500</v>
      </c>
      <c r="AS11953" s="78">
        <f t="shared" si="190"/>
        <v>0</v>
      </c>
    </row>
    <row r="11954" spans="39:45">
      <c r="AM11954" s="54">
        <v>2020</v>
      </c>
      <c r="AN11954" s="54" t="s">
        <v>96</v>
      </c>
      <c r="AO11954" s="54">
        <v>13</v>
      </c>
      <c r="AP11954" s="54">
        <v>24</v>
      </c>
      <c r="AQ11954" s="54">
        <v>0</v>
      </c>
      <c r="AR11954" s="55">
        <v>28500</v>
      </c>
      <c r="AS11954" s="78">
        <f t="shared" si="190"/>
        <v>0</v>
      </c>
    </row>
    <row r="11955" spans="39:45">
      <c r="AM11955" s="55">
        <v>2020</v>
      </c>
      <c r="AN11955" s="55" t="s">
        <v>96</v>
      </c>
      <c r="AO11955" s="55">
        <v>13</v>
      </c>
      <c r="AP11955" s="55">
        <v>1</v>
      </c>
      <c r="AQ11955" s="55">
        <v>0</v>
      </c>
      <c r="AR11955" s="55">
        <v>28500</v>
      </c>
      <c r="AS11955" s="78">
        <f t="shared" si="190"/>
        <v>0</v>
      </c>
    </row>
    <row r="11956" spans="39:45">
      <c r="AM11956" s="54">
        <v>2020</v>
      </c>
      <c r="AN11956" s="54" t="s">
        <v>96</v>
      </c>
      <c r="AO11956" s="54">
        <v>13</v>
      </c>
      <c r="AP11956" s="54">
        <v>2</v>
      </c>
      <c r="AQ11956" s="54">
        <v>0</v>
      </c>
      <c r="AR11956" s="55">
        <v>28500</v>
      </c>
      <c r="AS11956" s="78">
        <f t="shared" si="190"/>
        <v>0</v>
      </c>
    </row>
    <row r="11957" spans="39:45">
      <c r="AM11957" s="55">
        <v>2020</v>
      </c>
      <c r="AN11957" s="55" t="s">
        <v>96</v>
      </c>
      <c r="AO11957" s="55">
        <v>13</v>
      </c>
      <c r="AP11957" s="55">
        <v>3</v>
      </c>
      <c r="AQ11957" s="55">
        <v>0</v>
      </c>
      <c r="AR11957" s="55">
        <v>28500</v>
      </c>
      <c r="AS11957" s="78">
        <f t="shared" si="190"/>
        <v>0</v>
      </c>
    </row>
    <row r="11958" spans="39:45">
      <c r="AM11958" s="54">
        <v>2020</v>
      </c>
      <c r="AN11958" s="54" t="s">
        <v>96</v>
      </c>
      <c r="AO11958" s="54">
        <v>13</v>
      </c>
      <c r="AP11958" s="54">
        <v>4</v>
      </c>
      <c r="AQ11958" s="54">
        <v>0</v>
      </c>
      <c r="AR11958" s="55">
        <v>28500</v>
      </c>
      <c r="AS11958" s="78">
        <f t="shared" si="190"/>
        <v>0</v>
      </c>
    </row>
    <row r="11959" spans="39:45">
      <c r="AM11959" s="55">
        <v>2020</v>
      </c>
      <c r="AN11959" s="55" t="s">
        <v>96</v>
      </c>
      <c r="AO11959" s="55">
        <v>13</v>
      </c>
      <c r="AP11959" s="55">
        <v>5</v>
      </c>
      <c r="AQ11959" s="55">
        <v>1087</v>
      </c>
      <c r="AR11959" s="55">
        <v>28500</v>
      </c>
      <c r="AS11959" s="78">
        <f t="shared" si="190"/>
        <v>3.8140350877192981E-2</v>
      </c>
    </row>
    <row r="11960" spans="39:45">
      <c r="AM11960" s="54">
        <v>2020</v>
      </c>
      <c r="AN11960" s="54" t="s">
        <v>96</v>
      </c>
      <c r="AO11960" s="54">
        <v>13</v>
      </c>
      <c r="AP11960" s="54">
        <v>6</v>
      </c>
      <c r="AQ11960" s="54">
        <v>4620</v>
      </c>
      <c r="AR11960" s="55">
        <v>28500</v>
      </c>
      <c r="AS11960" s="78">
        <f t="shared" si="190"/>
        <v>0.16210526315789472</v>
      </c>
    </row>
    <row r="11961" spans="39:45">
      <c r="AM11961" s="55">
        <v>2020</v>
      </c>
      <c r="AN11961" s="55" t="s">
        <v>96</v>
      </c>
      <c r="AO11961" s="55">
        <v>13</v>
      </c>
      <c r="AP11961" s="55">
        <v>7</v>
      </c>
      <c r="AQ11961" s="55">
        <v>9403</v>
      </c>
      <c r="AR11961" s="55">
        <v>28500</v>
      </c>
      <c r="AS11961" s="78">
        <f t="shared" si="190"/>
        <v>0.32992982456140352</v>
      </c>
    </row>
    <row r="11962" spans="39:45">
      <c r="AM11962" s="54">
        <v>2020</v>
      </c>
      <c r="AN11962" s="54" t="s">
        <v>96</v>
      </c>
      <c r="AO11962" s="54">
        <v>13</v>
      </c>
      <c r="AP11962" s="54">
        <v>8</v>
      </c>
      <c r="AQ11962" s="54">
        <v>6933</v>
      </c>
      <c r="AR11962" s="55">
        <v>28500</v>
      </c>
      <c r="AS11962" s="78">
        <f t="shared" si="190"/>
        <v>0.24326315789473685</v>
      </c>
    </row>
    <row r="11963" spans="39:45">
      <c r="AM11963" s="55">
        <v>2020</v>
      </c>
      <c r="AN11963" s="55" t="s">
        <v>96</v>
      </c>
      <c r="AO11963" s="55">
        <v>13</v>
      </c>
      <c r="AP11963" s="55">
        <v>9</v>
      </c>
      <c r="AQ11963" s="55">
        <v>13205.5</v>
      </c>
      <c r="AR11963" s="55">
        <v>28500</v>
      </c>
      <c r="AS11963" s="78">
        <f t="shared" si="190"/>
        <v>0.46335087719298246</v>
      </c>
    </row>
    <row r="11964" spans="39:45">
      <c r="AM11964" s="54">
        <v>2020</v>
      </c>
      <c r="AN11964" s="54" t="s">
        <v>96</v>
      </c>
      <c r="AO11964" s="54">
        <v>13</v>
      </c>
      <c r="AP11964" s="54">
        <v>10</v>
      </c>
      <c r="AQ11964" s="54">
        <v>8066.5</v>
      </c>
      <c r="AR11964" s="55">
        <v>28500</v>
      </c>
      <c r="AS11964" s="78">
        <f t="shared" si="190"/>
        <v>0.28303508771929825</v>
      </c>
    </row>
    <row r="11965" spans="39:45">
      <c r="AM11965" s="55">
        <v>2020</v>
      </c>
      <c r="AN11965" s="55" t="s">
        <v>96</v>
      </c>
      <c r="AO11965" s="55">
        <v>13</v>
      </c>
      <c r="AP11965" s="55">
        <v>11</v>
      </c>
      <c r="AQ11965" s="55">
        <v>7199</v>
      </c>
      <c r="AR11965" s="55">
        <v>28500</v>
      </c>
      <c r="AS11965" s="78">
        <f t="shared" si="190"/>
        <v>0.25259649122807015</v>
      </c>
    </row>
    <row r="11966" spans="39:45">
      <c r="AM11966" s="54">
        <v>2020</v>
      </c>
      <c r="AN11966" s="54" t="s">
        <v>96</v>
      </c>
      <c r="AO11966" s="54">
        <v>13</v>
      </c>
      <c r="AP11966" s="54">
        <v>12</v>
      </c>
      <c r="AQ11966" s="54">
        <v>6140.5</v>
      </c>
      <c r="AR11966" s="55">
        <v>28500</v>
      </c>
      <c r="AS11966" s="78">
        <f t="shared" si="190"/>
        <v>0.21545614035087721</v>
      </c>
    </row>
    <row r="11967" spans="39:45">
      <c r="AM11967" s="55">
        <v>2020</v>
      </c>
      <c r="AN11967" s="55" t="s">
        <v>96</v>
      </c>
      <c r="AO11967" s="55">
        <v>13</v>
      </c>
      <c r="AP11967" s="55">
        <v>13</v>
      </c>
      <c r="AQ11967" s="55">
        <v>11583.5</v>
      </c>
      <c r="AR11967" s="55">
        <v>28500</v>
      </c>
      <c r="AS11967" s="78">
        <f t="shared" si="190"/>
        <v>0.40643859649122804</v>
      </c>
    </row>
    <row r="11968" spans="39:45">
      <c r="AM11968" s="54">
        <v>2020</v>
      </c>
      <c r="AN11968" s="54" t="s">
        <v>96</v>
      </c>
      <c r="AO11968" s="54">
        <v>13</v>
      </c>
      <c r="AP11968" s="54">
        <v>14</v>
      </c>
      <c r="AQ11968" s="54">
        <v>12568</v>
      </c>
      <c r="AR11968" s="55">
        <v>28500</v>
      </c>
      <c r="AS11968" s="78">
        <f t="shared" si="190"/>
        <v>0.44098245614035086</v>
      </c>
    </row>
    <row r="11969" spans="39:45">
      <c r="AM11969" s="55">
        <v>2020</v>
      </c>
      <c r="AN11969" s="55" t="s">
        <v>96</v>
      </c>
      <c r="AO11969" s="55">
        <v>13</v>
      </c>
      <c r="AP11969" s="55">
        <v>15</v>
      </c>
      <c r="AQ11969" s="55">
        <v>22174</v>
      </c>
      <c r="AR11969" s="55">
        <v>28500</v>
      </c>
      <c r="AS11969" s="78">
        <f t="shared" si="190"/>
        <v>0.77803508771929819</v>
      </c>
    </row>
    <row r="11970" spans="39:45">
      <c r="AM11970" s="54">
        <v>2020</v>
      </c>
      <c r="AN11970" s="54" t="s">
        <v>96</v>
      </c>
      <c r="AO11970" s="54">
        <v>13</v>
      </c>
      <c r="AP11970" s="54">
        <v>16</v>
      </c>
      <c r="AQ11970" s="54">
        <v>10522.5</v>
      </c>
      <c r="AR11970" s="55">
        <v>28500</v>
      </c>
      <c r="AS11970" s="78">
        <f t="shared" ref="AS11970:AS12033" si="191">AQ11970/AR11970</f>
        <v>0.36921052631578949</v>
      </c>
    </row>
    <row r="11971" spans="39:45">
      <c r="AM11971" s="55">
        <v>2020</v>
      </c>
      <c r="AN11971" s="55" t="s">
        <v>96</v>
      </c>
      <c r="AO11971" s="55">
        <v>13</v>
      </c>
      <c r="AP11971" s="55">
        <v>17</v>
      </c>
      <c r="AQ11971" s="55">
        <v>3118.5</v>
      </c>
      <c r="AR11971" s="55">
        <v>28500</v>
      </c>
      <c r="AS11971" s="78">
        <f t="shared" si="191"/>
        <v>0.10942105263157895</v>
      </c>
    </row>
    <row r="11972" spans="39:45">
      <c r="AM11972" s="54">
        <v>2020</v>
      </c>
      <c r="AN11972" s="54" t="s">
        <v>96</v>
      </c>
      <c r="AO11972" s="54">
        <v>13</v>
      </c>
      <c r="AP11972" s="54">
        <v>18</v>
      </c>
      <c r="AQ11972" s="54">
        <v>1043</v>
      </c>
      <c r="AR11972" s="55">
        <v>28500</v>
      </c>
      <c r="AS11972" s="78">
        <f t="shared" si="191"/>
        <v>3.6596491228070176E-2</v>
      </c>
    </row>
    <row r="11973" spans="39:45">
      <c r="AM11973" s="55">
        <v>2020</v>
      </c>
      <c r="AN11973" s="55" t="s">
        <v>96</v>
      </c>
      <c r="AO11973" s="55">
        <v>13</v>
      </c>
      <c r="AP11973" s="55">
        <v>19</v>
      </c>
      <c r="AQ11973" s="55">
        <v>0</v>
      </c>
      <c r="AR11973" s="55">
        <v>28500</v>
      </c>
      <c r="AS11973" s="78">
        <f t="shared" si="191"/>
        <v>0</v>
      </c>
    </row>
    <row r="11974" spans="39:45">
      <c r="AM11974" s="54">
        <v>2020</v>
      </c>
      <c r="AN11974" s="54" t="s">
        <v>96</v>
      </c>
      <c r="AO11974" s="54">
        <v>13</v>
      </c>
      <c r="AP11974" s="54">
        <v>20</v>
      </c>
      <c r="AQ11974" s="54">
        <v>0</v>
      </c>
      <c r="AR11974" s="55">
        <v>28500</v>
      </c>
      <c r="AS11974" s="78">
        <f t="shared" si="191"/>
        <v>0</v>
      </c>
    </row>
    <row r="11975" spans="39:45">
      <c r="AM11975" s="55">
        <v>2020</v>
      </c>
      <c r="AN11975" s="55" t="s">
        <v>96</v>
      </c>
      <c r="AO11975" s="55">
        <v>13</v>
      </c>
      <c r="AP11975" s="55">
        <v>21</v>
      </c>
      <c r="AQ11975" s="55">
        <v>0</v>
      </c>
      <c r="AR11975" s="55">
        <v>28500</v>
      </c>
      <c r="AS11975" s="78">
        <f t="shared" si="191"/>
        <v>0</v>
      </c>
    </row>
    <row r="11976" spans="39:45">
      <c r="AM11976" s="54">
        <v>2020</v>
      </c>
      <c r="AN11976" s="54" t="s">
        <v>96</v>
      </c>
      <c r="AO11976" s="54">
        <v>13</v>
      </c>
      <c r="AP11976" s="54">
        <v>22</v>
      </c>
      <c r="AQ11976" s="54">
        <v>0</v>
      </c>
      <c r="AR11976" s="55">
        <v>28500</v>
      </c>
      <c r="AS11976" s="78">
        <f t="shared" si="191"/>
        <v>0</v>
      </c>
    </row>
    <row r="11977" spans="39:45">
      <c r="AM11977" s="55">
        <v>2020</v>
      </c>
      <c r="AN11977" s="55" t="s">
        <v>96</v>
      </c>
      <c r="AO11977" s="55">
        <v>13</v>
      </c>
      <c r="AP11977" s="55">
        <v>23</v>
      </c>
      <c r="AQ11977" s="55">
        <v>0</v>
      </c>
      <c r="AR11977" s="55">
        <v>28500</v>
      </c>
      <c r="AS11977" s="78">
        <f t="shared" si="191"/>
        <v>0</v>
      </c>
    </row>
    <row r="11978" spans="39:45">
      <c r="AM11978" s="54">
        <v>2020</v>
      </c>
      <c r="AN11978" s="54" t="s">
        <v>96</v>
      </c>
      <c r="AO11978" s="54">
        <v>14</v>
      </c>
      <c r="AP11978" s="54">
        <v>24</v>
      </c>
      <c r="AQ11978" s="54">
        <v>0</v>
      </c>
      <c r="AR11978" s="55">
        <v>28500</v>
      </c>
      <c r="AS11978" s="78">
        <f t="shared" si="191"/>
        <v>0</v>
      </c>
    </row>
    <row r="11979" spans="39:45">
      <c r="AM11979" s="55">
        <v>2020</v>
      </c>
      <c r="AN11979" s="55" t="s">
        <v>96</v>
      </c>
      <c r="AO11979" s="55">
        <v>14</v>
      </c>
      <c r="AP11979" s="55">
        <v>1</v>
      </c>
      <c r="AQ11979" s="55">
        <v>0</v>
      </c>
      <c r="AR11979" s="55">
        <v>28500</v>
      </c>
      <c r="AS11979" s="78">
        <f t="shared" si="191"/>
        <v>0</v>
      </c>
    </row>
    <row r="11980" spans="39:45">
      <c r="AM11980" s="54">
        <v>2020</v>
      </c>
      <c r="AN11980" s="54" t="s">
        <v>96</v>
      </c>
      <c r="AO11980" s="54">
        <v>14</v>
      </c>
      <c r="AP11980" s="54">
        <v>2</v>
      </c>
      <c r="AQ11980" s="54">
        <v>0</v>
      </c>
      <c r="AR11980" s="55">
        <v>28500</v>
      </c>
      <c r="AS11980" s="78">
        <f t="shared" si="191"/>
        <v>0</v>
      </c>
    </row>
    <row r="11981" spans="39:45">
      <c r="AM11981" s="55">
        <v>2020</v>
      </c>
      <c r="AN11981" s="55" t="s">
        <v>96</v>
      </c>
      <c r="AO11981" s="55">
        <v>14</v>
      </c>
      <c r="AP11981" s="55">
        <v>3</v>
      </c>
      <c r="AQ11981" s="55">
        <v>0</v>
      </c>
      <c r="AR11981" s="55">
        <v>28500</v>
      </c>
      <c r="AS11981" s="78">
        <f t="shared" si="191"/>
        <v>0</v>
      </c>
    </row>
    <row r="11982" spans="39:45">
      <c r="AM11982" s="54">
        <v>2020</v>
      </c>
      <c r="AN11982" s="54" t="s">
        <v>96</v>
      </c>
      <c r="AO11982" s="54">
        <v>14</v>
      </c>
      <c r="AP11982" s="54">
        <v>4</v>
      </c>
      <c r="AQ11982" s="54">
        <v>0</v>
      </c>
      <c r="AR11982" s="55">
        <v>28500</v>
      </c>
      <c r="AS11982" s="78">
        <f t="shared" si="191"/>
        <v>0</v>
      </c>
    </row>
    <row r="11983" spans="39:45">
      <c r="AM11983" s="55">
        <v>2020</v>
      </c>
      <c r="AN11983" s="55" t="s">
        <v>96</v>
      </c>
      <c r="AO11983" s="55">
        <v>14</v>
      </c>
      <c r="AP11983" s="55">
        <v>5</v>
      </c>
      <c r="AQ11983" s="55">
        <v>966.5</v>
      </c>
      <c r="AR11983" s="55">
        <v>28500</v>
      </c>
      <c r="AS11983" s="78">
        <f t="shared" si="191"/>
        <v>3.3912280701754387E-2</v>
      </c>
    </row>
    <row r="11984" spans="39:45">
      <c r="AM11984" s="54">
        <v>2020</v>
      </c>
      <c r="AN11984" s="54" t="s">
        <v>96</v>
      </c>
      <c r="AO11984" s="54">
        <v>14</v>
      </c>
      <c r="AP11984" s="54">
        <v>6</v>
      </c>
      <c r="AQ11984" s="54">
        <v>3721.5</v>
      </c>
      <c r="AR11984" s="55">
        <v>28500</v>
      </c>
      <c r="AS11984" s="78">
        <f t="shared" si="191"/>
        <v>0.13057894736842104</v>
      </c>
    </row>
    <row r="11985" spans="39:45">
      <c r="AM11985" s="55">
        <v>2020</v>
      </c>
      <c r="AN11985" s="55" t="s">
        <v>96</v>
      </c>
      <c r="AO11985" s="55">
        <v>14</v>
      </c>
      <c r="AP11985" s="55">
        <v>7</v>
      </c>
      <c r="AQ11985" s="55">
        <v>13045</v>
      </c>
      <c r="AR11985" s="55">
        <v>28500</v>
      </c>
      <c r="AS11985" s="78">
        <f t="shared" si="191"/>
        <v>0.45771929824561403</v>
      </c>
    </row>
    <row r="11986" spans="39:45">
      <c r="AM11986" s="54">
        <v>2020</v>
      </c>
      <c r="AN11986" s="54" t="s">
        <v>96</v>
      </c>
      <c r="AO11986" s="54">
        <v>14</v>
      </c>
      <c r="AP11986" s="54">
        <v>8</v>
      </c>
      <c r="AQ11986" s="54">
        <v>16869.5</v>
      </c>
      <c r="AR11986" s="55">
        <v>28500</v>
      </c>
      <c r="AS11986" s="78">
        <f t="shared" si="191"/>
        <v>0.59191228070175439</v>
      </c>
    </row>
    <row r="11987" spans="39:45">
      <c r="AM11987" s="55">
        <v>2020</v>
      </c>
      <c r="AN11987" s="55" t="s">
        <v>96</v>
      </c>
      <c r="AO11987" s="55">
        <v>14</v>
      </c>
      <c r="AP11987" s="55">
        <v>9</v>
      </c>
      <c r="AQ11987" s="55">
        <v>20015</v>
      </c>
      <c r="AR11987" s="55">
        <v>28500</v>
      </c>
      <c r="AS11987" s="78">
        <f t="shared" si="191"/>
        <v>0.70228070175438595</v>
      </c>
    </row>
    <row r="11988" spans="39:45">
      <c r="AM11988" s="54">
        <v>2020</v>
      </c>
      <c r="AN11988" s="54" t="s">
        <v>96</v>
      </c>
      <c r="AO11988" s="54">
        <v>14</v>
      </c>
      <c r="AP11988" s="54">
        <v>10</v>
      </c>
      <c r="AQ11988" s="54">
        <v>14119.5</v>
      </c>
      <c r="AR11988" s="55">
        <v>28500</v>
      </c>
      <c r="AS11988" s="78">
        <f t="shared" si="191"/>
        <v>0.49542105263157893</v>
      </c>
    </row>
    <row r="11989" spans="39:45">
      <c r="AM11989" s="55">
        <v>2020</v>
      </c>
      <c r="AN11989" s="55" t="s">
        <v>96</v>
      </c>
      <c r="AO11989" s="55">
        <v>14</v>
      </c>
      <c r="AP11989" s="55">
        <v>11</v>
      </c>
      <c r="AQ11989" s="55">
        <v>6108.5</v>
      </c>
      <c r="AR11989" s="55">
        <v>28500</v>
      </c>
      <c r="AS11989" s="78">
        <f t="shared" si="191"/>
        <v>0.21433333333333332</v>
      </c>
    </row>
    <row r="11990" spans="39:45">
      <c r="AM11990" s="54">
        <v>2020</v>
      </c>
      <c r="AN11990" s="54" t="s">
        <v>96</v>
      </c>
      <c r="AO11990" s="54">
        <v>14</v>
      </c>
      <c r="AP11990" s="54">
        <v>12</v>
      </c>
      <c r="AQ11990" s="54">
        <v>15429</v>
      </c>
      <c r="AR11990" s="55">
        <v>28500</v>
      </c>
      <c r="AS11990" s="78">
        <f t="shared" si="191"/>
        <v>0.54136842105263161</v>
      </c>
    </row>
    <row r="11991" spans="39:45">
      <c r="AM11991" s="55">
        <v>2020</v>
      </c>
      <c r="AN11991" s="55" t="s">
        <v>96</v>
      </c>
      <c r="AO11991" s="55">
        <v>14</v>
      </c>
      <c r="AP11991" s="55">
        <v>13</v>
      </c>
      <c r="AQ11991" s="55">
        <v>14755.5</v>
      </c>
      <c r="AR11991" s="55">
        <v>28500</v>
      </c>
      <c r="AS11991" s="78">
        <f t="shared" si="191"/>
        <v>0.51773684210526316</v>
      </c>
    </row>
    <row r="11992" spans="39:45">
      <c r="AM11992" s="54">
        <v>2020</v>
      </c>
      <c r="AN11992" s="54" t="s">
        <v>96</v>
      </c>
      <c r="AO11992" s="54">
        <v>14</v>
      </c>
      <c r="AP11992" s="54">
        <v>14</v>
      </c>
      <c r="AQ11992" s="54">
        <v>20736.5</v>
      </c>
      <c r="AR11992" s="55">
        <v>28500</v>
      </c>
      <c r="AS11992" s="78">
        <f t="shared" si="191"/>
        <v>0.72759649122807013</v>
      </c>
    </row>
    <row r="11993" spans="39:45">
      <c r="AM11993" s="55">
        <v>2020</v>
      </c>
      <c r="AN11993" s="55" t="s">
        <v>96</v>
      </c>
      <c r="AO11993" s="55">
        <v>14</v>
      </c>
      <c r="AP11993" s="55">
        <v>15</v>
      </c>
      <c r="AQ11993" s="55">
        <v>21944.5</v>
      </c>
      <c r="AR11993" s="55">
        <v>28500</v>
      </c>
      <c r="AS11993" s="78">
        <f t="shared" si="191"/>
        <v>0.76998245614035088</v>
      </c>
    </row>
    <row r="11994" spans="39:45">
      <c r="AM11994" s="54">
        <v>2020</v>
      </c>
      <c r="AN11994" s="54" t="s">
        <v>96</v>
      </c>
      <c r="AO11994" s="54">
        <v>14</v>
      </c>
      <c r="AP11994" s="54">
        <v>16</v>
      </c>
      <c r="AQ11994" s="54">
        <v>17940.5</v>
      </c>
      <c r="AR11994" s="55">
        <v>28500</v>
      </c>
      <c r="AS11994" s="78">
        <f t="shared" si="191"/>
        <v>0.62949122807017543</v>
      </c>
    </row>
    <row r="11995" spans="39:45">
      <c r="AM11995" s="55">
        <v>2020</v>
      </c>
      <c r="AN11995" s="55" t="s">
        <v>96</v>
      </c>
      <c r="AO11995" s="55">
        <v>14</v>
      </c>
      <c r="AP11995" s="55">
        <v>17</v>
      </c>
      <c r="AQ11995" s="55">
        <v>8617</v>
      </c>
      <c r="AR11995" s="55">
        <v>28500</v>
      </c>
      <c r="AS11995" s="78">
        <f t="shared" si="191"/>
        <v>0.30235087719298248</v>
      </c>
    </row>
    <row r="11996" spans="39:45">
      <c r="AM11996" s="54">
        <v>2020</v>
      </c>
      <c r="AN11996" s="54" t="s">
        <v>96</v>
      </c>
      <c r="AO11996" s="54">
        <v>14</v>
      </c>
      <c r="AP11996" s="54">
        <v>18</v>
      </c>
      <c r="AQ11996" s="54">
        <v>1162</v>
      </c>
      <c r="AR11996" s="55">
        <v>28500</v>
      </c>
      <c r="AS11996" s="78">
        <f t="shared" si="191"/>
        <v>4.0771929824561404E-2</v>
      </c>
    </row>
    <row r="11997" spans="39:45">
      <c r="AM11997" s="55">
        <v>2020</v>
      </c>
      <c r="AN11997" s="55" t="s">
        <v>96</v>
      </c>
      <c r="AO11997" s="55">
        <v>14</v>
      </c>
      <c r="AP11997" s="55">
        <v>19</v>
      </c>
      <c r="AQ11997" s="55">
        <v>166</v>
      </c>
      <c r="AR11997" s="55">
        <v>28500</v>
      </c>
      <c r="AS11997" s="78">
        <f t="shared" si="191"/>
        <v>5.8245614035087722E-3</v>
      </c>
    </row>
    <row r="11998" spans="39:45">
      <c r="AM11998" s="54">
        <v>2020</v>
      </c>
      <c r="AN11998" s="54" t="s">
        <v>96</v>
      </c>
      <c r="AO11998" s="54">
        <v>14</v>
      </c>
      <c r="AP11998" s="54">
        <v>20</v>
      </c>
      <c r="AQ11998" s="54">
        <v>0</v>
      </c>
      <c r="AR11998" s="55">
        <v>28500</v>
      </c>
      <c r="AS11998" s="78">
        <f t="shared" si="191"/>
        <v>0</v>
      </c>
    </row>
    <row r="11999" spans="39:45">
      <c r="AM11999" s="55">
        <v>2020</v>
      </c>
      <c r="AN11999" s="55" t="s">
        <v>96</v>
      </c>
      <c r="AO11999" s="55">
        <v>14</v>
      </c>
      <c r="AP11999" s="55">
        <v>21</v>
      </c>
      <c r="AQ11999" s="55">
        <v>0</v>
      </c>
      <c r="AR11999" s="55">
        <v>28500</v>
      </c>
      <c r="AS11999" s="78">
        <f t="shared" si="191"/>
        <v>0</v>
      </c>
    </row>
    <row r="12000" spans="39:45">
      <c r="AM12000" s="54">
        <v>2020</v>
      </c>
      <c r="AN12000" s="54" t="s">
        <v>96</v>
      </c>
      <c r="AO12000" s="54">
        <v>14</v>
      </c>
      <c r="AP12000" s="54">
        <v>22</v>
      </c>
      <c r="AQ12000" s="54">
        <v>0</v>
      </c>
      <c r="AR12000" s="55">
        <v>28500</v>
      </c>
      <c r="AS12000" s="78">
        <f t="shared" si="191"/>
        <v>0</v>
      </c>
    </row>
    <row r="12001" spans="39:45">
      <c r="AM12001" s="55">
        <v>2020</v>
      </c>
      <c r="AN12001" s="55" t="s">
        <v>96</v>
      </c>
      <c r="AO12001" s="55">
        <v>14</v>
      </c>
      <c r="AP12001" s="55">
        <v>23</v>
      </c>
      <c r="AQ12001" s="55">
        <v>0</v>
      </c>
      <c r="AR12001" s="55">
        <v>28500</v>
      </c>
      <c r="AS12001" s="78">
        <f t="shared" si="191"/>
        <v>0</v>
      </c>
    </row>
    <row r="12002" spans="39:45">
      <c r="AM12002" s="54">
        <v>2020</v>
      </c>
      <c r="AN12002" s="54" t="s">
        <v>96</v>
      </c>
      <c r="AO12002" s="54">
        <v>15</v>
      </c>
      <c r="AP12002" s="54">
        <v>24</v>
      </c>
      <c r="AQ12002" s="54">
        <v>0</v>
      </c>
      <c r="AR12002" s="55">
        <v>28500</v>
      </c>
      <c r="AS12002" s="78">
        <f t="shared" si="191"/>
        <v>0</v>
      </c>
    </row>
    <row r="12003" spans="39:45">
      <c r="AM12003" s="55">
        <v>2020</v>
      </c>
      <c r="AN12003" s="55" t="s">
        <v>96</v>
      </c>
      <c r="AO12003" s="55">
        <v>15</v>
      </c>
      <c r="AP12003" s="55">
        <v>1</v>
      </c>
      <c r="AQ12003" s="55">
        <v>0</v>
      </c>
      <c r="AR12003" s="55">
        <v>28500</v>
      </c>
      <c r="AS12003" s="78">
        <f t="shared" si="191"/>
        <v>0</v>
      </c>
    </row>
    <row r="12004" spans="39:45">
      <c r="AM12004" s="54">
        <v>2020</v>
      </c>
      <c r="AN12004" s="54" t="s">
        <v>96</v>
      </c>
      <c r="AO12004" s="54">
        <v>15</v>
      </c>
      <c r="AP12004" s="54">
        <v>2</v>
      </c>
      <c r="AQ12004" s="54">
        <v>0</v>
      </c>
      <c r="AR12004" s="55">
        <v>28500</v>
      </c>
      <c r="AS12004" s="78">
        <f t="shared" si="191"/>
        <v>0</v>
      </c>
    </row>
    <row r="12005" spans="39:45">
      <c r="AM12005" s="55">
        <v>2020</v>
      </c>
      <c r="AN12005" s="55" t="s">
        <v>96</v>
      </c>
      <c r="AO12005" s="55">
        <v>15</v>
      </c>
      <c r="AP12005" s="55">
        <v>3</v>
      </c>
      <c r="AQ12005" s="55">
        <v>0</v>
      </c>
      <c r="AR12005" s="55">
        <v>28500</v>
      </c>
      <c r="AS12005" s="78">
        <f t="shared" si="191"/>
        <v>0</v>
      </c>
    </row>
    <row r="12006" spans="39:45">
      <c r="AM12006" s="54">
        <v>2020</v>
      </c>
      <c r="AN12006" s="54" t="s">
        <v>96</v>
      </c>
      <c r="AO12006" s="54">
        <v>15</v>
      </c>
      <c r="AP12006" s="54">
        <v>4</v>
      </c>
      <c r="AQ12006" s="54">
        <v>0</v>
      </c>
      <c r="AR12006" s="55">
        <v>28500</v>
      </c>
      <c r="AS12006" s="78">
        <f t="shared" si="191"/>
        <v>0</v>
      </c>
    </row>
    <row r="12007" spans="39:45">
      <c r="AM12007" s="55">
        <v>2020</v>
      </c>
      <c r="AN12007" s="55" t="s">
        <v>96</v>
      </c>
      <c r="AO12007" s="55">
        <v>15</v>
      </c>
      <c r="AP12007" s="55">
        <v>5</v>
      </c>
      <c r="AQ12007" s="55">
        <v>1037.5</v>
      </c>
      <c r="AR12007" s="55">
        <v>28500</v>
      </c>
      <c r="AS12007" s="78">
        <f t="shared" si="191"/>
        <v>3.6403508771929827E-2</v>
      </c>
    </row>
    <row r="12008" spans="39:45">
      <c r="AM12008" s="54">
        <v>2020</v>
      </c>
      <c r="AN12008" s="54" t="s">
        <v>96</v>
      </c>
      <c r="AO12008" s="54">
        <v>15</v>
      </c>
      <c r="AP12008" s="54">
        <v>6</v>
      </c>
      <c r="AQ12008" s="54">
        <v>3732</v>
      </c>
      <c r="AR12008" s="55">
        <v>28500</v>
      </c>
      <c r="AS12008" s="78">
        <f t="shared" si="191"/>
        <v>0.13094736842105262</v>
      </c>
    </row>
    <row r="12009" spans="39:45">
      <c r="AM12009" s="55">
        <v>2020</v>
      </c>
      <c r="AN12009" s="55" t="s">
        <v>96</v>
      </c>
      <c r="AO12009" s="55">
        <v>15</v>
      </c>
      <c r="AP12009" s="55">
        <v>7</v>
      </c>
      <c r="AQ12009" s="55">
        <v>14600</v>
      </c>
      <c r="AR12009" s="55">
        <v>28500</v>
      </c>
      <c r="AS12009" s="78">
        <f t="shared" si="191"/>
        <v>0.512280701754386</v>
      </c>
    </row>
    <row r="12010" spans="39:45">
      <c r="AM12010" s="54">
        <v>2020</v>
      </c>
      <c r="AN12010" s="54" t="s">
        <v>96</v>
      </c>
      <c r="AO12010" s="54">
        <v>15</v>
      </c>
      <c r="AP12010" s="54">
        <v>8</v>
      </c>
      <c r="AQ12010" s="54">
        <v>24627</v>
      </c>
      <c r="AR12010" s="55">
        <v>28500</v>
      </c>
      <c r="AS12010" s="78">
        <f t="shared" si="191"/>
        <v>0.86410526315789471</v>
      </c>
    </row>
    <row r="12011" spans="39:45">
      <c r="AM12011" s="55">
        <v>2020</v>
      </c>
      <c r="AN12011" s="55" t="s">
        <v>96</v>
      </c>
      <c r="AO12011" s="55">
        <v>15</v>
      </c>
      <c r="AP12011" s="55">
        <v>9</v>
      </c>
      <c r="AQ12011" s="55">
        <v>32547</v>
      </c>
      <c r="AR12011" s="55">
        <v>28500</v>
      </c>
      <c r="AS12011" s="78">
        <f t="shared" si="191"/>
        <v>1.1419999999999999</v>
      </c>
    </row>
    <row r="12012" spans="39:45">
      <c r="AM12012" s="54">
        <v>2020</v>
      </c>
      <c r="AN12012" s="54" t="s">
        <v>96</v>
      </c>
      <c r="AO12012" s="54">
        <v>15</v>
      </c>
      <c r="AP12012" s="54">
        <v>10</v>
      </c>
      <c r="AQ12012" s="54">
        <v>38004.5</v>
      </c>
      <c r="AR12012" s="55">
        <v>28500</v>
      </c>
      <c r="AS12012" s="78">
        <f t="shared" si="191"/>
        <v>1.3334912280701754</v>
      </c>
    </row>
    <row r="12013" spans="39:45">
      <c r="AM12013" s="55">
        <v>2020</v>
      </c>
      <c r="AN12013" s="55" t="s">
        <v>96</v>
      </c>
      <c r="AO12013" s="55">
        <v>15</v>
      </c>
      <c r="AP12013" s="55">
        <v>11</v>
      </c>
      <c r="AQ12013" s="55">
        <v>40385</v>
      </c>
      <c r="AR12013" s="55">
        <v>28500</v>
      </c>
      <c r="AS12013" s="78">
        <f t="shared" si="191"/>
        <v>1.4170175438596491</v>
      </c>
    </row>
    <row r="12014" spans="39:45">
      <c r="AM12014" s="54">
        <v>2020</v>
      </c>
      <c r="AN12014" s="54" t="s">
        <v>96</v>
      </c>
      <c r="AO12014" s="54">
        <v>15</v>
      </c>
      <c r="AP12014" s="54">
        <v>12</v>
      </c>
      <c r="AQ12014" s="54">
        <v>41012</v>
      </c>
      <c r="AR12014" s="55">
        <v>28500</v>
      </c>
      <c r="AS12014" s="78">
        <f t="shared" si="191"/>
        <v>1.4390175438596491</v>
      </c>
    </row>
    <row r="12015" spans="39:45">
      <c r="AM12015" s="55">
        <v>2020</v>
      </c>
      <c r="AN12015" s="55" t="s">
        <v>96</v>
      </c>
      <c r="AO12015" s="55">
        <v>15</v>
      </c>
      <c r="AP12015" s="55">
        <v>13</v>
      </c>
      <c r="AQ12015" s="55">
        <v>37837.5</v>
      </c>
      <c r="AR12015" s="55">
        <v>28500</v>
      </c>
      <c r="AS12015" s="78">
        <f t="shared" si="191"/>
        <v>1.3276315789473685</v>
      </c>
    </row>
    <row r="12016" spans="39:45">
      <c r="AM12016" s="54">
        <v>2020</v>
      </c>
      <c r="AN12016" s="54" t="s">
        <v>96</v>
      </c>
      <c r="AO12016" s="54">
        <v>15</v>
      </c>
      <c r="AP12016" s="54">
        <v>14</v>
      </c>
      <c r="AQ12016" s="54">
        <v>33294</v>
      </c>
      <c r="AR12016" s="55">
        <v>28500</v>
      </c>
      <c r="AS12016" s="78">
        <f t="shared" si="191"/>
        <v>1.1682105263157894</v>
      </c>
    </row>
    <row r="12017" spans="39:45">
      <c r="AM12017" s="55">
        <v>2020</v>
      </c>
      <c r="AN12017" s="55" t="s">
        <v>96</v>
      </c>
      <c r="AO12017" s="55">
        <v>15</v>
      </c>
      <c r="AP12017" s="55">
        <v>15</v>
      </c>
      <c r="AQ12017" s="55">
        <v>27357</v>
      </c>
      <c r="AR12017" s="55">
        <v>28500</v>
      </c>
      <c r="AS12017" s="78">
        <f t="shared" si="191"/>
        <v>0.95989473684210525</v>
      </c>
    </row>
    <row r="12018" spans="39:45">
      <c r="AM12018" s="54">
        <v>2020</v>
      </c>
      <c r="AN12018" s="54" t="s">
        <v>96</v>
      </c>
      <c r="AO12018" s="54">
        <v>15</v>
      </c>
      <c r="AP12018" s="54">
        <v>16</v>
      </c>
      <c r="AQ12018" s="54">
        <v>18350</v>
      </c>
      <c r="AR12018" s="55">
        <v>28500</v>
      </c>
      <c r="AS12018" s="78">
        <f t="shared" si="191"/>
        <v>0.64385964912280702</v>
      </c>
    </row>
    <row r="12019" spans="39:45">
      <c r="AM12019" s="55">
        <v>2020</v>
      </c>
      <c r="AN12019" s="55" t="s">
        <v>96</v>
      </c>
      <c r="AO12019" s="55">
        <v>15</v>
      </c>
      <c r="AP12019" s="55">
        <v>17</v>
      </c>
      <c r="AQ12019" s="55">
        <v>8281</v>
      </c>
      <c r="AR12019" s="55">
        <v>28500</v>
      </c>
      <c r="AS12019" s="78">
        <f t="shared" si="191"/>
        <v>0.29056140350877191</v>
      </c>
    </row>
    <row r="12020" spans="39:45">
      <c r="AM12020" s="54">
        <v>2020</v>
      </c>
      <c r="AN12020" s="54" t="s">
        <v>96</v>
      </c>
      <c r="AO12020" s="54">
        <v>15</v>
      </c>
      <c r="AP12020" s="54">
        <v>18</v>
      </c>
      <c r="AQ12020" s="54">
        <v>2017.5</v>
      </c>
      <c r="AR12020" s="55">
        <v>28500</v>
      </c>
      <c r="AS12020" s="78">
        <f t="shared" si="191"/>
        <v>7.0789473684210527E-2</v>
      </c>
    </row>
    <row r="12021" spans="39:45">
      <c r="AM12021" s="55">
        <v>2020</v>
      </c>
      <c r="AN12021" s="55" t="s">
        <v>96</v>
      </c>
      <c r="AO12021" s="55">
        <v>15</v>
      </c>
      <c r="AP12021" s="55">
        <v>19</v>
      </c>
      <c r="AQ12021" s="55">
        <v>55</v>
      </c>
      <c r="AR12021" s="55">
        <v>28500</v>
      </c>
      <c r="AS12021" s="78">
        <f t="shared" si="191"/>
        <v>1.9298245614035089E-3</v>
      </c>
    </row>
    <row r="12022" spans="39:45">
      <c r="AM12022" s="54">
        <v>2020</v>
      </c>
      <c r="AN12022" s="54" t="s">
        <v>96</v>
      </c>
      <c r="AO12022" s="54">
        <v>15</v>
      </c>
      <c r="AP12022" s="54">
        <v>20</v>
      </c>
      <c r="AQ12022" s="54">
        <v>0</v>
      </c>
      <c r="AR12022" s="55">
        <v>28500</v>
      </c>
      <c r="AS12022" s="78">
        <f t="shared" si="191"/>
        <v>0</v>
      </c>
    </row>
    <row r="12023" spans="39:45">
      <c r="AM12023" s="55">
        <v>2020</v>
      </c>
      <c r="AN12023" s="55" t="s">
        <v>96</v>
      </c>
      <c r="AO12023" s="55">
        <v>15</v>
      </c>
      <c r="AP12023" s="55">
        <v>21</v>
      </c>
      <c r="AQ12023" s="55">
        <v>0</v>
      </c>
      <c r="AR12023" s="55">
        <v>28500</v>
      </c>
      <c r="AS12023" s="78">
        <f t="shared" si="191"/>
        <v>0</v>
      </c>
    </row>
    <row r="12024" spans="39:45">
      <c r="AM12024" s="54">
        <v>2020</v>
      </c>
      <c r="AN12024" s="54" t="s">
        <v>96</v>
      </c>
      <c r="AO12024" s="54">
        <v>15</v>
      </c>
      <c r="AP12024" s="54">
        <v>22</v>
      </c>
      <c r="AQ12024" s="54">
        <v>0</v>
      </c>
      <c r="AR12024" s="55">
        <v>28500</v>
      </c>
      <c r="AS12024" s="78">
        <f t="shared" si="191"/>
        <v>0</v>
      </c>
    </row>
    <row r="12025" spans="39:45">
      <c r="AM12025" s="55">
        <v>2020</v>
      </c>
      <c r="AN12025" s="55" t="s">
        <v>96</v>
      </c>
      <c r="AO12025" s="55">
        <v>15</v>
      </c>
      <c r="AP12025" s="55">
        <v>23</v>
      </c>
      <c r="AQ12025" s="55">
        <v>0</v>
      </c>
      <c r="AR12025" s="55">
        <v>28500</v>
      </c>
      <c r="AS12025" s="78">
        <f t="shared" si="191"/>
        <v>0</v>
      </c>
    </row>
    <row r="12026" spans="39:45">
      <c r="AM12026" s="54">
        <v>2020</v>
      </c>
      <c r="AN12026" s="54" t="s">
        <v>96</v>
      </c>
      <c r="AO12026" s="54">
        <v>16</v>
      </c>
      <c r="AP12026" s="54">
        <v>24</v>
      </c>
      <c r="AQ12026" s="54">
        <v>0</v>
      </c>
      <c r="AR12026" s="55">
        <v>28500</v>
      </c>
      <c r="AS12026" s="78">
        <f t="shared" si="191"/>
        <v>0</v>
      </c>
    </row>
    <row r="12027" spans="39:45">
      <c r="AM12027" s="55">
        <v>2020</v>
      </c>
      <c r="AN12027" s="55" t="s">
        <v>96</v>
      </c>
      <c r="AO12027" s="55">
        <v>16</v>
      </c>
      <c r="AP12027" s="55">
        <v>1</v>
      </c>
      <c r="AQ12027" s="55">
        <v>0</v>
      </c>
      <c r="AR12027" s="55">
        <v>28500</v>
      </c>
      <c r="AS12027" s="78">
        <f t="shared" si="191"/>
        <v>0</v>
      </c>
    </row>
    <row r="12028" spans="39:45">
      <c r="AM12028" s="54">
        <v>2020</v>
      </c>
      <c r="AN12028" s="54" t="s">
        <v>96</v>
      </c>
      <c r="AO12028" s="54">
        <v>16</v>
      </c>
      <c r="AP12028" s="54">
        <v>2</v>
      </c>
      <c r="AQ12028" s="54">
        <v>0</v>
      </c>
      <c r="AR12028" s="55">
        <v>28500</v>
      </c>
      <c r="AS12028" s="78">
        <f t="shared" si="191"/>
        <v>0</v>
      </c>
    </row>
    <row r="12029" spans="39:45">
      <c r="AM12029" s="55">
        <v>2020</v>
      </c>
      <c r="AN12029" s="55" t="s">
        <v>96</v>
      </c>
      <c r="AO12029" s="55">
        <v>16</v>
      </c>
      <c r="AP12029" s="55">
        <v>3</v>
      </c>
      <c r="AQ12029" s="55">
        <v>0</v>
      </c>
      <c r="AR12029" s="55">
        <v>28500</v>
      </c>
      <c r="AS12029" s="78">
        <f t="shared" si="191"/>
        <v>0</v>
      </c>
    </row>
    <row r="12030" spans="39:45">
      <c r="AM12030" s="54">
        <v>2020</v>
      </c>
      <c r="AN12030" s="54" t="s">
        <v>96</v>
      </c>
      <c r="AO12030" s="54">
        <v>16</v>
      </c>
      <c r="AP12030" s="54">
        <v>4</v>
      </c>
      <c r="AQ12030" s="54">
        <v>0</v>
      </c>
      <c r="AR12030" s="55">
        <v>28500</v>
      </c>
      <c r="AS12030" s="78">
        <f t="shared" si="191"/>
        <v>0</v>
      </c>
    </row>
    <row r="12031" spans="39:45">
      <c r="AM12031" s="55">
        <v>2020</v>
      </c>
      <c r="AN12031" s="55" t="s">
        <v>96</v>
      </c>
      <c r="AO12031" s="55">
        <v>16</v>
      </c>
      <c r="AP12031" s="55">
        <v>5</v>
      </c>
      <c r="AQ12031" s="55">
        <v>322.5</v>
      </c>
      <c r="AR12031" s="55">
        <v>28500</v>
      </c>
      <c r="AS12031" s="78">
        <f t="shared" si="191"/>
        <v>1.1315789473684211E-2</v>
      </c>
    </row>
    <row r="12032" spans="39:45">
      <c r="AM12032" s="54">
        <v>2020</v>
      </c>
      <c r="AN12032" s="54" t="s">
        <v>96</v>
      </c>
      <c r="AO12032" s="54">
        <v>16</v>
      </c>
      <c r="AP12032" s="54">
        <v>6</v>
      </c>
      <c r="AQ12032" s="54">
        <v>4290.5</v>
      </c>
      <c r="AR12032" s="55">
        <v>28500</v>
      </c>
      <c r="AS12032" s="78">
        <f t="shared" si="191"/>
        <v>0.15054385964912281</v>
      </c>
    </row>
    <row r="12033" spans="39:45">
      <c r="AM12033" s="55">
        <v>2020</v>
      </c>
      <c r="AN12033" s="55" t="s">
        <v>96</v>
      </c>
      <c r="AO12033" s="55">
        <v>16</v>
      </c>
      <c r="AP12033" s="55">
        <v>7</v>
      </c>
      <c r="AQ12033" s="55">
        <v>5031.5</v>
      </c>
      <c r="AR12033" s="55">
        <v>28500</v>
      </c>
      <c r="AS12033" s="78">
        <f t="shared" si="191"/>
        <v>0.17654385964912281</v>
      </c>
    </row>
    <row r="12034" spans="39:45">
      <c r="AM12034" s="54">
        <v>2020</v>
      </c>
      <c r="AN12034" s="54" t="s">
        <v>96</v>
      </c>
      <c r="AO12034" s="54">
        <v>16</v>
      </c>
      <c r="AP12034" s="54">
        <v>8</v>
      </c>
      <c r="AQ12034" s="54">
        <v>14728</v>
      </c>
      <c r="AR12034" s="55">
        <v>28500</v>
      </c>
      <c r="AS12034" s="78">
        <f t="shared" ref="AS12034:AS12097" si="192">AQ12034/AR12034</f>
        <v>0.51677192982456144</v>
      </c>
    </row>
    <row r="12035" spans="39:45">
      <c r="AM12035" s="55">
        <v>2020</v>
      </c>
      <c r="AN12035" s="55" t="s">
        <v>96</v>
      </c>
      <c r="AO12035" s="55">
        <v>16</v>
      </c>
      <c r="AP12035" s="55">
        <v>9</v>
      </c>
      <c r="AQ12035" s="55">
        <v>23419</v>
      </c>
      <c r="AR12035" s="55">
        <v>28500</v>
      </c>
      <c r="AS12035" s="78">
        <f t="shared" si="192"/>
        <v>0.82171929824561407</v>
      </c>
    </row>
    <row r="12036" spans="39:45">
      <c r="AM12036" s="54">
        <v>2020</v>
      </c>
      <c r="AN12036" s="54" t="s">
        <v>96</v>
      </c>
      <c r="AO12036" s="54">
        <v>16</v>
      </c>
      <c r="AP12036" s="54">
        <v>10</v>
      </c>
      <c r="AQ12036" s="54">
        <v>33207</v>
      </c>
      <c r="AR12036" s="55">
        <v>28500</v>
      </c>
      <c r="AS12036" s="78">
        <f t="shared" si="192"/>
        <v>1.1651578947368422</v>
      </c>
    </row>
    <row r="12037" spans="39:45">
      <c r="AM12037" s="55">
        <v>2020</v>
      </c>
      <c r="AN12037" s="55" t="s">
        <v>96</v>
      </c>
      <c r="AO12037" s="55">
        <v>16</v>
      </c>
      <c r="AP12037" s="55">
        <v>11</v>
      </c>
      <c r="AQ12037" s="55">
        <v>21592.5</v>
      </c>
      <c r="AR12037" s="55">
        <v>28500</v>
      </c>
      <c r="AS12037" s="78">
        <f t="shared" si="192"/>
        <v>0.75763157894736843</v>
      </c>
    </row>
    <row r="12038" spans="39:45">
      <c r="AM12038" s="54">
        <v>2020</v>
      </c>
      <c r="AN12038" s="54" t="s">
        <v>96</v>
      </c>
      <c r="AO12038" s="54">
        <v>16</v>
      </c>
      <c r="AP12038" s="54">
        <v>12</v>
      </c>
      <c r="AQ12038" s="54">
        <v>16311</v>
      </c>
      <c r="AR12038" s="55">
        <v>28500</v>
      </c>
      <c r="AS12038" s="78">
        <f t="shared" si="192"/>
        <v>0.57231578947368422</v>
      </c>
    </row>
    <row r="12039" spans="39:45">
      <c r="AM12039" s="55">
        <v>2020</v>
      </c>
      <c r="AN12039" s="55" t="s">
        <v>96</v>
      </c>
      <c r="AO12039" s="55">
        <v>16</v>
      </c>
      <c r="AP12039" s="55">
        <v>13</v>
      </c>
      <c r="AQ12039" s="55">
        <v>17900.5</v>
      </c>
      <c r="AR12039" s="55">
        <v>28500</v>
      </c>
      <c r="AS12039" s="78">
        <f t="shared" si="192"/>
        <v>0.62808771929824558</v>
      </c>
    </row>
    <row r="12040" spans="39:45">
      <c r="AM12040" s="54">
        <v>2020</v>
      </c>
      <c r="AN12040" s="54" t="s">
        <v>96</v>
      </c>
      <c r="AO12040" s="54">
        <v>16</v>
      </c>
      <c r="AP12040" s="54">
        <v>14</v>
      </c>
      <c r="AQ12040" s="54">
        <v>25877</v>
      </c>
      <c r="AR12040" s="55">
        <v>28500</v>
      </c>
      <c r="AS12040" s="78">
        <f t="shared" si="192"/>
        <v>0.90796491228070175</v>
      </c>
    </row>
    <row r="12041" spans="39:45">
      <c r="AM12041" s="55">
        <v>2020</v>
      </c>
      <c r="AN12041" s="55" t="s">
        <v>96</v>
      </c>
      <c r="AO12041" s="55">
        <v>16</v>
      </c>
      <c r="AP12041" s="55">
        <v>15</v>
      </c>
      <c r="AQ12041" s="55">
        <v>21469</v>
      </c>
      <c r="AR12041" s="55">
        <v>28500</v>
      </c>
      <c r="AS12041" s="78">
        <f t="shared" si="192"/>
        <v>0.75329824561403513</v>
      </c>
    </row>
    <row r="12042" spans="39:45">
      <c r="AM12042" s="54">
        <v>2020</v>
      </c>
      <c r="AN12042" s="54" t="s">
        <v>96</v>
      </c>
      <c r="AO12042" s="54">
        <v>16</v>
      </c>
      <c r="AP12042" s="54">
        <v>16</v>
      </c>
      <c r="AQ12042" s="54">
        <v>13910.5</v>
      </c>
      <c r="AR12042" s="55">
        <v>28500</v>
      </c>
      <c r="AS12042" s="78">
        <f t="shared" si="192"/>
        <v>0.48808771929824563</v>
      </c>
    </row>
    <row r="12043" spans="39:45">
      <c r="AM12043" s="55">
        <v>2020</v>
      </c>
      <c r="AN12043" s="55" t="s">
        <v>96</v>
      </c>
      <c r="AO12043" s="55">
        <v>16</v>
      </c>
      <c r="AP12043" s="55">
        <v>17</v>
      </c>
      <c r="AQ12043" s="55">
        <v>7530.5</v>
      </c>
      <c r="AR12043" s="55">
        <v>28500</v>
      </c>
      <c r="AS12043" s="78">
        <f t="shared" si="192"/>
        <v>0.26422807017543859</v>
      </c>
    </row>
    <row r="12044" spans="39:45">
      <c r="AM12044" s="54">
        <v>2020</v>
      </c>
      <c r="AN12044" s="54" t="s">
        <v>96</v>
      </c>
      <c r="AO12044" s="54">
        <v>16</v>
      </c>
      <c r="AP12044" s="54">
        <v>18</v>
      </c>
      <c r="AQ12044" s="54">
        <v>2554.5</v>
      </c>
      <c r="AR12044" s="55">
        <v>28500</v>
      </c>
      <c r="AS12044" s="78">
        <f t="shared" si="192"/>
        <v>8.9631578947368423E-2</v>
      </c>
    </row>
    <row r="12045" spans="39:45">
      <c r="AM12045" s="55">
        <v>2020</v>
      </c>
      <c r="AN12045" s="55" t="s">
        <v>96</v>
      </c>
      <c r="AO12045" s="55">
        <v>16</v>
      </c>
      <c r="AP12045" s="55">
        <v>19</v>
      </c>
      <c r="AQ12045" s="55">
        <v>37</v>
      </c>
      <c r="AR12045" s="55">
        <v>28500</v>
      </c>
      <c r="AS12045" s="78">
        <f t="shared" si="192"/>
        <v>1.2982456140350877E-3</v>
      </c>
    </row>
    <row r="12046" spans="39:45">
      <c r="AM12046" s="54">
        <v>2020</v>
      </c>
      <c r="AN12046" s="54" t="s">
        <v>96</v>
      </c>
      <c r="AO12046" s="54">
        <v>16</v>
      </c>
      <c r="AP12046" s="54">
        <v>20</v>
      </c>
      <c r="AQ12046" s="54">
        <v>0</v>
      </c>
      <c r="AR12046" s="55">
        <v>28500</v>
      </c>
      <c r="AS12046" s="78">
        <f t="shared" si="192"/>
        <v>0</v>
      </c>
    </row>
    <row r="12047" spans="39:45">
      <c r="AM12047" s="55">
        <v>2020</v>
      </c>
      <c r="AN12047" s="55" t="s">
        <v>96</v>
      </c>
      <c r="AO12047" s="55">
        <v>16</v>
      </c>
      <c r="AP12047" s="55">
        <v>21</v>
      </c>
      <c r="AQ12047" s="55">
        <v>0</v>
      </c>
      <c r="AR12047" s="55">
        <v>28500</v>
      </c>
      <c r="AS12047" s="78">
        <f t="shared" si="192"/>
        <v>0</v>
      </c>
    </row>
    <row r="12048" spans="39:45">
      <c r="AM12048" s="54">
        <v>2020</v>
      </c>
      <c r="AN12048" s="54" t="s">
        <v>96</v>
      </c>
      <c r="AO12048" s="54">
        <v>16</v>
      </c>
      <c r="AP12048" s="54">
        <v>22</v>
      </c>
      <c r="AQ12048" s="54">
        <v>0</v>
      </c>
      <c r="AR12048" s="55">
        <v>28500</v>
      </c>
      <c r="AS12048" s="78">
        <f t="shared" si="192"/>
        <v>0</v>
      </c>
    </row>
    <row r="12049" spans="39:45">
      <c r="AM12049" s="55">
        <v>2020</v>
      </c>
      <c r="AN12049" s="55" t="s">
        <v>96</v>
      </c>
      <c r="AO12049" s="55">
        <v>16</v>
      </c>
      <c r="AP12049" s="55">
        <v>23</v>
      </c>
      <c r="AQ12049" s="55">
        <v>0</v>
      </c>
      <c r="AR12049" s="55">
        <v>28500</v>
      </c>
      <c r="AS12049" s="78">
        <f t="shared" si="192"/>
        <v>0</v>
      </c>
    </row>
    <row r="12050" spans="39:45">
      <c r="AM12050" s="54">
        <v>2020</v>
      </c>
      <c r="AN12050" s="54" t="s">
        <v>96</v>
      </c>
      <c r="AO12050" s="54">
        <v>17</v>
      </c>
      <c r="AP12050" s="54">
        <v>24</v>
      </c>
      <c r="AQ12050" s="54">
        <v>0</v>
      </c>
      <c r="AR12050" s="55">
        <v>28500</v>
      </c>
      <c r="AS12050" s="78">
        <f t="shared" si="192"/>
        <v>0</v>
      </c>
    </row>
    <row r="12051" spans="39:45">
      <c r="AM12051" s="55">
        <v>2020</v>
      </c>
      <c r="AN12051" s="55" t="s">
        <v>96</v>
      </c>
      <c r="AO12051" s="55">
        <v>17</v>
      </c>
      <c r="AP12051" s="55">
        <v>1</v>
      </c>
      <c r="AQ12051" s="55">
        <v>0</v>
      </c>
      <c r="AR12051" s="55">
        <v>28500</v>
      </c>
      <c r="AS12051" s="78">
        <f t="shared" si="192"/>
        <v>0</v>
      </c>
    </row>
    <row r="12052" spans="39:45">
      <c r="AM12052" s="54">
        <v>2020</v>
      </c>
      <c r="AN12052" s="54" t="s">
        <v>96</v>
      </c>
      <c r="AO12052" s="54">
        <v>17</v>
      </c>
      <c r="AP12052" s="54">
        <v>2</v>
      </c>
      <c r="AQ12052" s="54">
        <v>0</v>
      </c>
      <c r="AR12052" s="55">
        <v>28500</v>
      </c>
      <c r="AS12052" s="78">
        <f t="shared" si="192"/>
        <v>0</v>
      </c>
    </row>
    <row r="12053" spans="39:45">
      <c r="AM12053" s="55">
        <v>2020</v>
      </c>
      <c r="AN12053" s="55" t="s">
        <v>96</v>
      </c>
      <c r="AO12053" s="55">
        <v>17</v>
      </c>
      <c r="AP12053" s="55">
        <v>3</v>
      </c>
      <c r="AQ12053" s="55">
        <v>0</v>
      </c>
      <c r="AR12053" s="55">
        <v>28500</v>
      </c>
      <c r="AS12053" s="78">
        <f t="shared" si="192"/>
        <v>0</v>
      </c>
    </row>
    <row r="12054" spans="39:45">
      <c r="AM12054" s="54">
        <v>2020</v>
      </c>
      <c r="AN12054" s="54" t="s">
        <v>96</v>
      </c>
      <c r="AO12054" s="54">
        <v>17</v>
      </c>
      <c r="AP12054" s="54">
        <v>4</v>
      </c>
      <c r="AQ12054" s="54">
        <v>0</v>
      </c>
      <c r="AR12054" s="55">
        <v>28500</v>
      </c>
      <c r="AS12054" s="78">
        <f t="shared" si="192"/>
        <v>0</v>
      </c>
    </row>
    <row r="12055" spans="39:45">
      <c r="AM12055" s="55">
        <v>2020</v>
      </c>
      <c r="AN12055" s="55" t="s">
        <v>96</v>
      </c>
      <c r="AO12055" s="55">
        <v>17</v>
      </c>
      <c r="AP12055" s="55">
        <v>5</v>
      </c>
      <c r="AQ12055" s="55">
        <v>1148.5</v>
      </c>
      <c r="AR12055" s="55">
        <v>28500</v>
      </c>
      <c r="AS12055" s="78">
        <f t="shared" si="192"/>
        <v>4.029824561403509E-2</v>
      </c>
    </row>
    <row r="12056" spans="39:45">
      <c r="AM12056" s="54">
        <v>2020</v>
      </c>
      <c r="AN12056" s="54" t="s">
        <v>96</v>
      </c>
      <c r="AO12056" s="54">
        <v>17</v>
      </c>
      <c r="AP12056" s="54">
        <v>6</v>
      </c>
      <c r="AQ12056" s="54">
        <v>3840</v>
      </c>
      <c r="AR12056" s="55">
        <v>28500</v>
      </c>
      <c r="AS12056" s="78">
        <f t="shared" si="192"/>
        <v>0.13473684210526315</v>
      </c>
    </row>
    <row r="12057" spans="39:45">
      <c r="AM12057" s="55">
        <v>2020</v>
      </c>
      <c r="AN12057" s="55" t="s">
        <v>96</v>
      </c>
      <c r="AO12057" s="55">
        <v>17</v>
      </c>
      <c r="AP12057" s="55">
        <v>7</v>
      </c>
      <c r="AQ12057" s="55">
        <v>13521.5</v>
      </c>
      <c r="AR12057" s="55">
        <v>28500</v>
      </c>
      <c r="AS12057" s="78">
        <f t="shared" si="192"/>
        <v>0.47443859649122805</v>
      </c>
    </row>
    <row r="12058" spans="39:45">
      <c r="AM12058" s="54">
        <v>2020</v>
      </c>
      <c r="AN12058" s="54" t="s">
        <v>96</v>
      </c>
      <c r="AO12058" s="54">
        <v>17</v>
      </c>
      <c r="AP12058" s="54">
        <v>8</v>
      </c>
      <c r="AQ12058" s="54">
        <v>10116</v>
      </c>
      <c r="AR12058" s="55">
        <v>28500</v>
      </c>
      <c r="AS12058" s="78">
        <f t="shared" si="192"/>
        <v>0.35494736842105262</v>
      </c>
    </row>
    <row r="12059" spans="39:45">
      <c r="AM12059" s="55">
        <v>2020</v>
      </c>
      <c r="AN12059" s="55" t="s">
        <v>96</v>
      </c>
      <c r="AO12059" s="55">
        <v>17</v>
      </c>
      <c r="AP12059" s="55">
        <v>9</v>
      </c>
      <c r="AQ12059" s="55">
        <v>15358.5</v>
      </c>
      <c r="AR12059" s="55">
        <v>28500</v>
      </c>
      <c r="AS12059" s="78">
        <f t="shared" si="192"/>
        <v>0.53889473684210532</v>
      </c>
    </row>
    <row r="12060" spans="39:45">
      <c r="AM12060" s="54">
        <v>2020</v>
      </c>
      <c r="AN12060" s="54" t="s">
        <v>96</v>
      </c>
      <c r="AO12060" s="54">
        <v>17</v>
      </c>
      <c r="AP12060" s="54">
        <v>10</v>
      </c>
      <c r="AQ12060" s="54">
        <v>20833.5</v>
      </c>
      <c r="AR12060" s="55">
        <v>28500</v>
      </c>
      <c r="AS12060" s="78">
        <f t="shared" si="192"/>
        <v>0.73099999999999998</v>
      </c>
    </row>
    <row r="12061" spans="39:45">
      <c r="AM12061" s="55">
        <v>2020</v>
      </c>
      <c r="AN12061" s="55" t="s">
        <v>96</v>
      </c>
      <c r="AO12061" s="55">
        <v>17</v>
      </c>
      <c r="AP12061" s="55">
        <v>11</v>
      </c>
      <c r="AQ12061" s="55">
        <v>31125.5</v>
      </c>
      <c r="AR12061" s="55">
        <v>28500</v>
      </c>
      <c r="AS12061" s="78">
        <f t="shared" si="192"/>
        <v>1.0921228070175439</v>
      </c>
    </row>
    <row r="12062" spans="39:45">
      <c r="AM12062" s="54">
        <v>2020</v>
      </c>
      <c r="AN12062" s="54" t="s">
        <v>96</v>
      </c>
      <c r="AO12062" s="54">
        <v>17</v>
      </c>
      <c r="AP12062" s="54">
        <v>12</v>
      </c>
      <c r="AQ12062" s="54">
        <v>38678</v>
      </c>
      <c r="AR12062" s="55">
        <v>28500</v>
      </c>
      <c r="AS12062" s="78">
        <f t="shared" si="192"/>
        <v>1.3571228070175438</v>
      </c>
    </row>
    <row r="12063" spans="39:45">
      <c r="AM12063" s="55">
        <v>2020</v>
      </c>
      <c r="AN12063" s="55" t="s">
        <v>96</v>
      </c>
      <c r="AO12063" s="55">
        <v>17</v>
      </c>
      <c r="AP12063" s="55">
        <v>13</v>
      </c>
      <c r="AQ12063" s="55">
        <v>33762</v>
      </c>
      <c r="AR12063" s="55">
        <v>28500</v>
      </c>
      <c r="AS12063" s="78">
        <f t="shared" si="192"/>
        <v>1.1846315789473685</v>
      </c>
    </row>
    <row r="12064" spans="39:45">
      <c r="AM12064" s="54">
        <v>2020</v>
      </c>
      <c r="AN12064" s="54" t="s">
        <v>96</v>
      </c>
      <c r="AO12064" s="54">
        <v>17</v>
      </c>
      <c r="AP12064" s="54">
        <v>14</v>
      </c>
      <c r="AQ12064" s="54">
        <v>27345.5</v>
      </c>
      <c r="AR12064" s="55">
        <v>28500</v>
      </c>
      <c r="AS12064" s="78">
        <f t="shared" si="192"/>
        <v>0.95949122807017539</v>
      </c>
    </row>
    <row r="12065" spans="39:45">
      <c r="AM12065" s="55">
        <v>2020</v>
      </c>
      <c r="AN12065" s="55" t="s">
        <v>96</v>
      </c>
      <c r="AO12065" s="55">
        <v>17</v>
      </c>
      <c r="AP12065" s="55">
        <v>15</v>
      </c>
      <c r="AQ12065" s="55">
        <v>25744.5</v>
      </c>
      <c r="AR12065" s="55">
        <v>28500</v>
      </c>
      <c r="AS12065" s="78">
        <f t="shared" si="192"/>
        <v>0.90331578947368418</v>
      </c>
    </row>
    <row r="12066" spans="39:45">
      <c r="AM12066" s="54">
        <v>2020</v>
      </c>
      <c r="AN12066" s="54" t="s">
        <v>96</v>
      </c>
      <c r="AO12066" s="54">
        <v>17</v>
      </c>
      <c r="AP12066" s="54">
        <v>16</v>
      </c>
      <c r="AQ12066" s="54">
        <v>16751</v>
      </c>
      <c r="AR12066" s="55">
        <v>28500</v>
      </c>
      <c r="AS12066" s="78">
        <f t="shared" si="192"/>
        <v>0.58775438596491225</v>
      </c>
    </row>
    <row r="12067" spans="39:45">
      <c r="AM12067" s="55">
        <v>2020</v>
      </c>
      <c r="AN12067" s="55" t="s">
        <v>96</v>
      </c>
      <c r="AO12067" s="55">
        <v>17</v>
      </c>
      <c r="AP12067" s="55">
        <v>17</v>
      </c>
      <c r="AQ12067" s="55">
        <v>8205</v>
      </c>
      <c r="AR12067" s="55">
        <v>28500</v>
      </c>
      <c r="AS12067" s="78">
        <f t="shared" si="192"/>
        <v>0.28789473684210526</v>
      </c>
    </row>
    <row r="12068" spans="39:45">
      <c r="AM12068" s="54">
        <v>2020</v>
      </c>
      <c r="AN12068" s="54" t="s">
        <v>96</v>
      </c>
      <c r="AO12068" s="54">
        <v>17</v>
      </c>
      <c r="AP12068" s="54">
        <v>18</v>
      </c>
      <c r="AQ12068" s="54">
        <v>2481.5</v>
      </c>
      <c r="AR12068" s="55">
        <v>28500</v>
      </c>
      <c r="AS12068" s="78">
        <f t="shared" si="192"/>
        <v>8.7070175438596492E-2</v>
      </c>
    </row>
    <row r="12069" spans="39:45">
      <c r="AM12069" s="55">
        <v>2020</v>
      </c>
      <c r="AN12069" s="55" t="s">
        <v>96</v>
      </c>
      <c r="AO12069" s="55">
        <v>17</v>
      </c>
      <c r="AP12069" s="55">
        <v>19</v>
      </c>
      <c r="AQ12069" s="55">
        <v>54</v>
      </c>
      <c r="AR12069" s="55">
        <v>28500</v>
      </c>
      <c r="AS12069" s="78">
        <f t="shared" si="192"/>
        <v>1.8947368421052631E-3</v>
      </c>
    </row>
    <row r="12070" spans="39:45">
      <c r="AM12070" s="54">
        <v>2020</v>
      </c>
      <c r="AN12070" s="54" t="s">
        <v>96</v>
      </c>
      <c r="AO12070" s="54">
        <v>17</v>
      </c>
      <c r="AP12070" s="54">
        <v>20</v>
      </c>
      <c r="AQ12070" s="54">
        <v>0</v>
      </c>
      <c r="AR12070" s="55">
        <v>28500</v>
      </c>
      <c r="AS12070" s="78">
        <f t="shared" si="192"/>
        <v>0</v>
      </c>
    </row>
    <row r="12071" spans="39:45">
      <c r="AM12071" s="55">
        <v>2020</v>
      </c>
      <c r="AN12071" s="55" t="s">
        <v>96</v>
      </c>
      <c r="AO12071" s="55">
        <v>17</v>
      </c>
      <c r="AP12071" s="55">
        <v>21</v>
      </c>
      <c r="AQ12071" s="55">
        <v>0</v>
      </c>
      <c r="AR12071" s="55">
        <v>28500</v>
      </c>
      <c r="AS12071" s="78">
        <f t="shared" si="192"/>
        <v>0</v>
      </c>
    </row>
    <row r="12072" spans="39:45">
      <c r="AM12072" s="54">
        <v>2020</v>
      </c>
      <c r="AN12072" s="54" t="s">
        <v>96</v>
      </c>
      <c r="AO12072" s="54">
        <v>17</v>
      </c>
      <c r="AP12072" s="54">
        <v>22</v>
      </c>
      <c r="AQ12072" s="54">
        <v>0</v>
      </c>
      <c r="AR12072" s="55">
        <v>28500</v>
      </c>
      <c r="AS12072" s="78">
        <f t="shared" si="192"/>
        <v>0</v>
      </c>
    </row>
    <row r="12073" spans="39:45">
      <c r="AM12073" s="55">
        <v>2020</v>
      </c>
      <c r="AN12073" s="55" t="s">
        <v>96</v>
      </c>
      <c r="AO12073" s="55">
        <v>17</v>
      </c>
      <c r="AP12073" s="55">
        <v>23</v>
      </c>
      <c r="AQ12073" s="55">
        <v>0</v>
      </c>
      <c r="AR12073" s="55">
        <v>28500</v>
      </c>
      <c r="AS12073" s="78">
        <f t="shared" si="192"/>
        <v>0</v>
      </c>
    </row>
    <row r="12074" spans="39:45">
      <c r="AM12074" s="54">
        <v>2020</v>
      </c>
      <c r="AN12074" s="54" t="s">
        <v>96</v>
      </c>
      <c r="AO12074" s="54">
        <v>18</v>
      </c>
      <c r="AP12074" s="54">
        <v>24</v>
      </c>
      <c r="AQ12074" s="54">
        <v>0</v>
      </c>
      <c r="AR12074" s="55">
        <v>28500</v>
      </c>
      <c r="AS12074" s="78">
        <f t="shared" si="192"/>
        <v>0</v>
      </c>
    </row>
    <row r="12075" spans="39:45">
      <c r="AM12075" s="55">
        <v>2020</v>
      </c>
      <c r="AN12075" s="55" t="s">
        <v>96</v>
      </c>
      <c r="AO12075" s="55">
        <v>18</v>
      </c>
      <c r="AP12075" s="55">
        <v>1</v>
      </c>
      <c r="AQ12075" s="55">
        <v>0</v>
      </c>
      <c r="AR12075" s="55">
        <v>28500</v>
      </c>
      <c r="AS12075" s="78">
        <f t="shared" si="192"/>
        <v>0</v>
      </c>
    </row>
    <row r="12076" spans="39:45">
      <c r="AM12076" s="54">
        <v>2020</v>
      </c>
      <c r="AN12076" s="54" t="s">
        <v>96</v>
      </c>
      <c r="AO12076" s="54">
        <v>18</v>
      </c>
      <c r="AP12076" s="54">
        <v>2</v>
      </c>
      <c r="AQ12076" s="54">
        <v>0</v>
      </c>
      <c r="AR12076" s="55">
        <v>28500</v>
      </c>
      <c r="AS12076" s="78">
        <f t="shared" si="192"/>
        <v>0</v>
      </c>
    </row>
    <row r="12077" spans="39:45">
      <c r="AM12077" s="55">
        <v>2020</v>
      </c>
      <c r="AN12077" s="55" t="s">
        <v>96</v>
      </c>
      <c r="AO12077" s="55">
        <v>18</v>
      </c>
      <c r="AP12077" s="55">
        <v>3</v>
      </c>
      <c r="AQ12077" s="55">
        <v>0</v>
      </c>
      <c r="AR12077" s="55">
        <v>28500</v>
      </c>
      <c r="AS12077" s="78">
        <f t="shared" si="192"/>
        <v>0</v>
      </c>
    </row>
    <row r="12078" spans="39:45">
      <c r="AM12078" s="54">
        <v>2020</v>
      </c>
      <c r="AN12078" s="54" t="s">
        <v>96</v>
      </c>
      <c r="AO12078" s="54">
        <v>18</v>
      </c>
      <c r="AP12078" s="54">
        <v>4</v>
      </c>
      <c r="AQ12078" s="54">
        <v>0</v>
      </c>
      <c r="AR12078" s="55">
        <v>28500</v>
      </c>
      <c r="AS12078" s="78">
        <f t="shared" si="192"/>
        <v>0</v>
      </c>
    </row>
    <row r="12079" spans="39:45">
      <c r="AM12079" s="55">
        <v>2020</v>
      </c>
      <c r="AN12079" s="55" t="s">
        <v>96</v>
      </c>
      <c r="AO12079" s="55">
        <v>18</v>
      </c>
      <c r="AP12079" s="55">
        <v>5</v>
      </c>
      <c r="AQ12079" s="55">
        <v>754</v>
      </c>
      <c r="AR12079" s="55">
        <v>28500</v>
      </c>
      <c r="AS12079" s="78">
        <f t="shared" si="192"/>
        <v>2.6456140350877191E-2</v>
      </c>
    </row>
    <row r="12080" spans="39:45">
      <c r="AM12080" s="54">
        <v>2020</v>
      </c>
      <c r="AN12080" s="54" t="s">
        <v>96</v>
      </c>
      <c r="AO12080" s="54">
        <v>18</v>
      </c>
      <c r="AP12080" s="54">
        <v>6</v>
      </c>
      <c r="AQ12080" s="54">
        <v>4892.5</v>
      </c>
      <c r="AR12080" s="55">
        <v>28500</v>
      </c>
      <c r="AS12080" s="78">
        <f t="shared" si="192"/>
        <v>0.17166666666666666</v>
      </c>
    </row>
    <row r="12081" spans="39:45">
      <c r="AM12081" s="55">
        <v>2020</v>
      </c>
      <c r="AN12081" s="55" t="s">
        <v>96</v>
      </c>
      <c r="AO12081" s="55">
        <v>18</v>
      </c>
      <c r="AP12081" s="55">
        <v>7</v>
      </c>
      <c r="AQ12081" s="55">
        <v>14166</v>
      </c>
      <c r="AR12081" s="55">
        <v>28500</v>
      </c>
      <c r="AS12081" s="78">
        <f t="shared" si="192"/>
        <v>0.49705263157894736</v>
      </c>
    </row>
    <row r="12082" spans="39:45">
      <c r="AM12082" s="54">
        <v>2020</v>
      </c>
      <c r="AN12082" s="54" t="s">
        <v>96</v>
      </c>
      <c r="AO12082" s="54">
        <v>18</v>
      </c>
      <c r="AP12082" s="54">
        <v>8</v>
      </c>
      <c r="AQ12082" s="54">
        <v>24055.5</v>
      </c>
      <c r="AR12082" s="55">
        <v>28500</v>
      </c>
      <c r="AS12082" s="78">
        <f t="shared" si="192"/>
        <v>0.84405263157894739</v>
      </c>
    </row>
    <row r="12083" spans="39:45">
      <c r="AM12083" s="55">
        <v>2020</v>
      </c>
      <c r="AN12083" s="55" t="s">
        <v>96</v>
      </c>
      <c r="AO12083" s="55">
        <v>18</v>
      </c>
      <c r="AP12083" s="55">
        <v>9</v>
      </c>
      <c r="AQ12083" s="55">
        <v>32632</v>
      </c>
      <c r="AR12083" s="55">
        <v>28500</v>
      </c>
      <c r="AS12083" s="78">
        <f t="shared" si="192"/>
        <v>1.1449824561403508</v>
      </c>
    </row>
    <row r="12084" spans="39:45">
      <c r="AM12084" s="54">
        <v>2020</v>
      </c>
      <c r="AN12084" s="54" t="s">
        <v>96</v>
      </c>
      <c r="AO12084" s="54">
        <v>18</v>
      </c>
      <c r="AP12084" s="54">
        <v>10</v>
      </c>
      <c r="AQ12084" s="54">
        <v>38685</v>
      </c>
      <c r="AR12084" s="55">
        <v>28500</v>
      </c>
      <c r="AS12084" s="78">
        <f t="shared" si="192"/>
        <v>1.3573684210526316</v>
      </c>
    </row>
    <row r="12085" spans="39:45">
      <c r="AM12085" s="55">
        <v>2020</v>
      </c>
      <c r="AN12085" s="55" t="s">
        <v>96</v>
      </c>
      <c r="AO12085" s="55">
        <v>18</v>
      </c>
      <c r="AP12085" s="55">
        <v>11</v>
      </c>
      <c r="AQ12085" s="55">
        <v>40879</v>
      </c>
      <c r="AR12085" s="55">
        <v>28500</v>
      </c>
      <c r="AS12085" s="78">
        <f t="shared" si="192"/>
        <v>1.4343508771929825</v>
      </c>
    </row>
    <row r="12086" spans="39:45">
      <c r="AM12086" s="54">
        <v>2020</v>
      </c>
      <c r="AN12086" s="54" t="s">
        <v>96</v>
      </c>
      <c r="AO12086" s="54">
        <v>18</v>
      </c>
      <c r="AP12086" s="54">
        <v>12</v>
      </c>
      <c r="AQ12086" s="54">
        <v>41800.5</v>
      </c>
      <c r="AR12086" s="55">
        <v>28500</v>
      </c>
      <c r="AS12086" s="78">
        <f t="shared" si="192"/>
        <v>1.4666842105263158</v>
      </c>
    </row>
    <row r="12087" spans="39:45">
      <c r="AM12087" s="55">
        <v>2020</v>
      </c>
      <c r="AN12087" s="55" t="s">
        <v>96</v>
      </c>
      <c r="AO12087" s="55">
        <v>18</v>
      </c>
      <c r="AP12087" s="55">
        <v>13</v>
      </c>
      <c r="AQ12087" s="55">
        <v>38083.5</v>
      </c>
      <c r="AR12087" s="55">
        <v>28500</v>
      </c>
      <c r="AS12087" s="78">
        <f t="shared" si="192"/>
        <v>1.3362631578947368</v>
      </c>
    </row>
    <row r="12088" spans="39:45">
      <c r="AM12088" s="54">
        <v>2020</v>
      </c>
      <c r="AN12088" s="54" t="s">
        <v>96</v>
      </c>
      <c r="AO12088" s="54">
        <v>18</v>
      </c>
      <c r="AP12088" s="54">
        <v>14</v>
      </c>
      <c r="AQ12088" s="54">
        <v>24444.5</v>
      </c>
      <c r="AR12088" s="55">
        <v>28500</v>
      </c>
      <c r="AS12088" s="78">
        <f t="shared" si="192"/>
        <v>0.85770175438596497</v>
      </c>
    </row>
    <row r="12089" spans="39:45">
      <c r="AM12089" s="55">
        <v>2020</v>
      </c>
      <c r="AN12089" s="55" t="s">
        <v>96</v>
      </c>
      <c r="AO12089" s="55">
        <v>18</v>
      </c>
      <c r="AP12089" s="55">
        <v>15</v>
      </c>
      <c r="AQ12089" s="55">
        <v>15002.5</v>
      </c>
      <c r="AR12089" s="55">
        <v>28500</v>
      </c>
      <c r="AS12089" s="78">
        <f t="shared" si="192"/>
        <v>0.52640350877192987</v>
      </c>
    </row>
    <row r="12090" spans="39:45">
      <c r="AM12090" s="54">
        <v>2020</v>
      </c>
      <c r="AN12090" s="54" t="s">
        <v>96</v>
      </c>
      <c r="AO12090" s="54">
        <v>18</v>
      </c>
      <c r="AP12090" s="54">
        <v>16</v>
      </c>
      <c r="AQ12090" s="54">
        <v>18335</v>
      </c>
      <c r="AR12090" s="55">
        <v>28500</v>
      </c>
      <c r="AS12090" s="78">
        <f t="shared" si="192"/>
        <v>0.64333333333333331</v>
      </c>
    </row>
    <row r="12091" spans="39:45">
      <c r="AM12091" s="55">
        <v>2020</v>
      </c>
      <c r="AN12091" s="55" t="s">
        <v>96</v>
      </c>
      <c r="AO12091" s="55">
        <v>18</v>
      </c>
      <c r="AP12091" s="55">
        <v>17</v>
      </c>
      <c r="AQ12091" s="55">
        <v>8480</v>
      </c>
      <c r="AR12091" s="55">
        <v>28500</v>
      </c>
      <c r="AS12091" s="78">
        <f t="shared" si="192"/>
        <v>0.29754385964912283</v>
      </c>
    </row>
    <row r="12092" spans="39:45">
      <c r="AM12092" s="54">
        <v>2020</v>
      </c>
      <c r="AN12092" s="54" t="s">
        <v>96</v>
      </c>
      <c r="AO12092" s="54">
        <v>18</v>
      </c>
      <c r="AP12092" s="54">
        <v>18</v>
      </c>
      <c r="AQ12092" s="54">
        <v>1306.5</v>
      </c>
      <c r="AR12092" s="55">
        <v>28500</v>
      </c>
      <c r="AS12092" s="78">
        <f t="shared" si="192"/>
        <v>4.5842105263157892E-2</v>
      </c>
    </row>
    <row r="12093" spans="39:45">
      <c r="AM12093" s="55">
        <v>2020</v>
      </c>
      <c r="AN12093" s="55" t="s">
        <v>96</v>
      </c>
      <c r="AO12093" s="55">
        <v>18</v>
      </c>
      <c r="AP12093" s="55">
        <v>19</v>
      </c>
      <c r="AQ12093" s="55">
        <v>227</v>
      </c>
      <c r="AR12093" s="55">
        <v>28500</v>
      </c>
      <c r="AS12093" s="78">
        <f t="shared" si="192"/>
        <v>7.9649122807017546E-3</v>
      </c>
    </row>
    <row r="12094" spans="39:45">
      <c r="AM12094" s="54">
        <v>2020</v>
      </c>
      <c r="AN12094" s="54" t="s">
        <v>96</v>
      </c>
      <c r="AO12094" s="54">
        <v>18</v>
      </c>
      <c r="AP12094" s="54">
        <v>20</v>
      </c>
      <c r="AQ12094" s="54">
        <v>0</v>
      </c>
      <c r="AR12094" s="55">
        <v>28500</v>
      </c>
      <c r="AS12094" s="78">
        <f t="shared" si="192"/>
        <v>0</v>
      </c>
    </row>
    <row r="12095" spans="39:45">
      <c r="AM12095" s="55">
        <v>2020</v>
      </c>
      <c r="AN12095" s="55" t="s">
        <v>96</v>
      </c>
      <c r="AO12095" s="55">
        <v>18</v>
      </c>
      <c r="AP12095" s="55">
        <v>21</v>
      </c>
      <c r="AQ12095" s="55">
        <v>0</v>
      </c>
      <c r="AR12095" s="55">
        <v>28500</v>
      </c>
      <c r="AS12095" s="78">
        <f t="shared" si="192"/>
        <v>0</v>
      </c>
    </row>
    <row r="12096" spans="39:45">
      <c r="AM12096" s="54">
        <v>2020</v>
      </c>
      <c r="AN12096" s="54" t="s">
        <v>96</v>
      </c>
      <c r="AO12096" s="54">
        <v>18</v>
      </c>
      <c r="AP12096" s="54">
        <v>22</v>
      </c>
      <c r="AQ12096" s="54">
        <v>0</v>
      </c>
      <c r="AR12096" s="55">
        <v>28500</v>
      </c>
      <c r="AS12096" s="78">
        <f t="shared" si="192"/>
        <v>0</v>
      </c>
    </row>
    <row r="12097" spans="39:45">
      <c r="AM12097" s="55">
        <v>2020</v>
      </c>
      <c r="AN12097" s="55" t="s">
        <v>96</v>
      </c>
      <c r="AO12097" s="55">
        <v>18</v>
      </c>
      <c r="AP12097" s="55">
        <v>23</v>
      </c>
      <c r="AQ12097" s="55">
        <v>0</v>
      </c>
      <c r="AR12097" s="55">
        <v>28500</v>
      </c>
      <c r="AS12097" s="78">
        <f t="shared" si="192"/>
        <v>0</v>
      </c>
    </row>
    <row r="12098" spans="39:45">
      <c r="AM12098" s="54">
        <v>2020</v>
      </c>
      <c r="AN12098" s="54" t="s">
        <v>96</v>
      </c>
      <c r="AO12098" s="54">
        <v>19</v>
      </c>
      <c r="AP12098" s="54">
        <v>24</v>
      </c>
      <c r="AQ12098" s="54">
        <v>0</v>
      </c>
      <c r="AR12098" s="55">
        <v>28500</v>
      </c>
      <c r="AS12098" s="78">
        <f t="shared" ref="AS12098:AS12161" si="193">AQ12098/AR12098</f>
        <v>0</v>
      </c>
    </row>
    <row r="12099" spans="39:45">
      <c r="AM12099" s="55">
        <v>2020</v>
      </c>
      <c r="AN12099" s="55" t="s">
        <v>96</v>
      </c>
      <c r="AO12099" s="55">
        <v>19</v>
      </c>
      <c r="AP12099" s="55">
        <v>1</v>
      </c>
      <c r="AQ12099" s="55">
        <v>0</v>
      </c>
      <c r="AR12099" s="55">
        <v>28500</v>
      </c>
      <c r="AS12099" s="78">
        <f t="shared" si="193"/>
        <v>0</v>
      </c>
    </row>
    <row r="12100" spans="39:45">
      <c r="AM12100" s="54">
        <v>2020</v>
      </c>
      <c r="AN12100" s="54" t="s">
        <v>96</v>
      </c>
      <c r="AO12100" s="54">
        <v>19</v>
      </c>
      <c r="AP12100" s="54">
        <v>2</v>
      </c>
      <c r="AQ12100" s="54">
        <v>0</v>
      </c>
      <c r="AR12100" s="55">
        <v>28500</v>
      </c>
      <c r="AS12100" s="78">
        <f t="shared" si="193"/>
        <v>0</v>
      </c>
    </row>
    <row r="12101" spans="39:45">
      <c r="AM12101" s="55">
        <v>2020</v>
      </c>
      <c r="AN12101" s="55" t="s">
        <v>96</v>
      </c>
      <c r="AO12101" s="55">
        <v>19</v>
      </c>
      <c r="AP12101" s="55">
        <v>3</v>
      </c>
      <c r="AQ12101" s="55">
        <v>0</v>
      </c>
      <c r="AR12101" s="55">
        <v>28500</v>
      </c>
      <c r="AS12101" s="78">
        <f t="shared" si="193"/>
        <v>0</v>
      </c>
    </row>
    <row r="12102" spans="39:45">
      <c r="AM12102" s="54">
        <v>2020</v>
      </c>
      <c r="AN12102" s="54" t="s">
        <v>96</v>
      </c>
      <c r="AO12102" s="54">
        <v>19</v>
      </c>
      <c r="AP12102" s="54">
        <v>4</v>
      </c>
      <c r="AQ12102" s="54">
        <v>0</v>
      </c>
      <c r="AR12102" s="55">
        <v>28500</v>
      </c>
      <c r="AS12102" s="78">
        <f t="shared" si="193"/>
        <v>0</v>
      </c>
    </row>
    <row r="12103" spans="39:45">
      <c r="AM12103" s="55">
        <v>2020</v>
      </c>
      <c r="AN12103" s="55" t="s">
        <v>96</v>
      </c>
      <c r="AO12103" s="55">
        <v>19</v>
      </c>
      <c r="AP12103" s="55">
        <v>5</v>
      </c>
      <c r="AQ12103" s="55">
        <v>1091</v>
      </c>
      <c r="AR12103" s="55">
        <v>28500</v>
      </c>
      <c r="AS12103" s="78">
        <f t="shared" si="193"/>
        <v>3.8280701754385964E-2</v>
      </c>
    </row>
    <row r="12104" spans="39:45">
      <c r="AM12104" s="54">
        <v>2020</v>
      </c>
      <c r="AN12104" s="54" t="s">
        <v>96</v>
      </c>
      <c r="AO12104" s="54">
        <v>19</v>
      </c>
      <c r="AP12104" s="54">
        <v>6</v>
      </c>
      <c r="AQ12104" s="54">
        <v>4766</v>
      </c>
      <c r="AR12104" s="55">
        <v>28500</v>
      </c>
      <c r="AS12104" s="78">
        <f t="shared" si="193"/>
        <v>0.16722807017543859</v>
      </c>
    </row>
    <row r="12105" spans="39:45">
      <c r="AM12105" s="55">
        <v>2020</v>
      </c>
      <c r="AN12105" s="55" t="s">
        <v>96</v>
      </c>
      <c r="AO12105" s="55">
        <v>19</v>
      </c>
      <c r="AP12105" s="55">
        <v>7</v>
      </c>
      <c r="AQ12105" s="55">
        <v>6671</v>
      </c>
      <c r="AR12105" s="55">
        <v>28500</v>
      </c>
      <c r="AS12105" s="78">
        <f t="shared" si="193"/>
        <v>0.23407017543859648</v>
      </c>
    </row>
    <row r="12106" spans="39:45">
      <c r="AM12106" s="54">
        <v>2020</v>
      </c>
      <c r="AN12106" s="54" t="s">
        <v>96</v>
      </c>
      <c r="AO12106" s="54">
        <v>19</v>
      </c>
      <c r="AP12106" s="54">
        <v>8</v>
      </c>
      <c r="AQ12106" s="54">
        <v>23160</v>
      </c>
      <c r="AR12106" s="55">
        <v>28500</v>
      </c>
      <c r="AS12106" s="78">
        <f t="shared" si="193"/>
        <v>0.81263157894736837</v>
      </c>
    </row>
    <row r="12107" spans="39:45">
      <c r="AM12107" s="55">
        <v>2020</v>
      </c>
      <c r="AN12107" s="55" t="s">
        <v>96</v>
      </c>
      <c r="AO12107" s="55">
        <v>19</v>
      </c>
      <c r="AP12107" s="55">
        <v>9</v>
      </c>
      <c r="AQ12107" s="55">
        <v>31169</v>
      </c>
      <c r="AR12107" s="55">
        <v>28500</v>
      </c>
      <c r="AS12107" s="78">
        <f t="shared" si="193"/>
        <v>1.0936491228070175</v>
      </c>
    </row>
    <row r="12108" spans="39:45">
      <c r="AM12108" s="54">
        <v>2020</v>
      </c>
      <c r="AN12108" s="54" t="s">
        <v>96</v>
      </c>
      <c r="AO12108" s="54">
        <v>19</v>
      </c>
      <c r="AP12108" s="54">
        <v>10</v>
      </c>
      <c r="AQ12108" s="54">
        <v>36776.5</v>
      </c>
      <c r="AR12108" s="55">
        <v>28500</v>
      </c>
      <c r="AS12108" s="78">
        <f t="shared" si="193"/>
        <v>1.2904035087719299</v>
      </c>
    </row>
    <row r="12109" spans="39:45">
      <c r="AM12109" s="55">
        <v>2020</v>
      </c>
      <c r="AN12109" s="55" t="s">
        <v>96</v>
      </c>
      <c r="AO12109" s="55">
        <v>19</v>
      </c>
      <c r="AP12109" s="55">
        <v>11</v>
      </c>
      <c r="AQ12109" s="55">
        <v>39743</v>
      </c>
      <c r="AR12109" s="55">
        <v>28500</v>
      </c>
      <c r="AS12109" s="78">
        <f t="shared" si="193"/>
        <v>1.3944912280701753</v>
      </c>
    </row>
    <row r="12110" spans="39:45">
      <c r="AM12110" s="54">
        <v>2020</v>
      </c>
      <c r="AN12110" s="54" t="s">
        <v>96</v>
      </c>
      <c r="AO12110" s="54">
        <v>19</v>
      </c>
      <c r="AP12110" s="54">
        <v>12</v>
      </c>
      <c r="AQ12110" s="54">
        <v>40031</v>
      </c>
      <c r="AR12110" s="55">
        <v>28500</v>
      </c>
      <c r="AS12110" s="78">
        <f t="shared" si="193"/>
        <v>1.4045964912280702</v>
      </c>
    </row>
    <row r="12111" spans="39:45">
      <c r="AM12111" s="55">
        <v>2020</v>
      </c>
      <c r="AN12111" s="55" t="s">
        <v>96</v>
      </c>
      <c r="AO12111" s="55">
        <v>19</v>
      </c>
      <c r="AP12111" s="55">
        <v>13</v>
      </c>
      <c r="AQ12111" s="55">
        <v>38150</v>
      </c>
      <c r="AR12111" s="55">
        <v>28500</v>
      </c>
      <c r="AS12111" s="78">
        <f t="shared" si="193"/>
        <v>1.3385964912280701</v>
      </c>
    </row>
    <row r="12112" spans="39:45">
      <c r="AM12112" s="54">
        <v>2020</v>
      </c>
      <c r="AN12112" s="54" t="s">
        <v>96</v>
      </c>
      <c r="AO12112" s="54">
        <v>19</v>
      </c>
      <c r="AP12112" s="54">
        <v>14</v>
      </c>
      <c r="AQ12112" s="54">
        <v>33720.5</v>
      </c>
      <c r="AR12112" s="55">
        <v>28500</v>
      </c>
      <c r="AS12112" s="78">
        <f t="shared" si="193"/>
        <v>1.1831754385964912</v>
      </c>
    </row>
    <row r="12113" spans="39:45">
      <c r="AM12113" s="55">
        <v>2020</v>
      </c>
      <c r="AN12113" s="55" t="s">
        <v>96</v>
      </c>
      <c r="AO12113" s="55">
        <v>19</v>
      </c>
      <c r="AP12113" s="55">
        <v>15</v>
      </c>
      <c r="AQ12113" s="55">
        <v>26741.5</v>
      </c>
      <c r="AR12113" s="55">
        <v>28500</v>
      </c>
      <c r="AS12113" s="78">
        <f t="shared" si="193"/>
        <v>0.93829824561403508</v>
      </c>
    </row>
    <row r="12114" spans="39:45">
      <c r="AM12114" s="54">
        <v>2020</v>
      </c>
      <c r="AN12114" s="54" t="s">
        <v>96</v>
      </c>
      <c r="AO12114" s="54">
        <v>19</v>
      </c>
      <c r="AP12114" s="54">
        <v>16</v>
      </c>
      <c r="AQ12114" s="54">
        <v>18246</v>
      </c>
      <c r="AR12114" s="55">
        <v>28500</v>
      </c>
      <c r="AS12114" s="78">
        <f t="shared" si="193"/>
        <v>0.64021052631578945</v>
      </c>
    </row>
    <row r="12115" spans="39:45">
      <c r="AM12115" s="55">
        <v>2020</v>
      </c>
      <c r="AN12115" s="55" t="s">
        <v>96</v>
      </c>
      <c r="AO12115" s="55">
        <v>19</v>
      </c>
      <c r="AP12115" s="55">
        <v>17</v>
      </c>
      <c r="AQ12115" s="55">
        <v>8118.5</v>
      </c>
      <c r="AR12115" s="55">
        <v>28500</v>
      </c>
      <c r="AS12115" s="78">
        <f t="shared" si="193"/>
        <v>0.28485964912280703</v>
      </c>
    </row>
    <row r="12116" spans="39:45">
      <c r="AM12116" s="54">
        <v>2020</v>
      </c>
      <c r="AN12116" s="54" t="s">
        <v>96</v>
      </c>
      <c r="AO12116" s="54">
        <v>19</v>
      </c>
      <c r="AP12116" s="54">
        <v>18</v>
      </c>
      <c r="AQ12116" s="54">
        <v>1424.5</v>
      </c>
      <c r="AR12116" s="55">
        <v>28500</v>
      </c>
      <c r="AS12116" s="78">
        <f t="shared" si="193"/>
        <v>4.9982456140350878E-2</v>
      </c>
    </row>
    <row r="12117" spans="39:45">
      <c r="AM12117" s="55">
        <v>2020</v>
      </c>
      <c r="AN12117" s="55" t="s">
        <v>96</v>
      </c>
      <c r="AO12117" s="55">
        <v>19</v>
      </c>
      <c r="AP12117" s="55">
        <v>19</v>
      </c>
      <c r="AQ12117" s="55">
        <v>372.5</v>
      </c>
      <c r="AR12117" s="55">
        <v>28500</v>
      </c>
      <c r="AS12117" s="78">
        <f t="shared" si="193"/>
        <v>1.3070175438596491E-2</v>
      </c>
    </row>
    <row r="12118" spans="39:45">
      <c r="AM12118" s="54">
        <v>2020</v>
      </c>
      <c r="AN12118" s="54" t="s">
        <v>96</v>
      </c>
      <c r="AO12118" s="54">
        <v>19</v>
      </c>
      <c r="AP12118" s="54">
        <v>20</v>
      </c>
      <c r="AQ12118" s="54">
        <v>0</v>
      </c>
      <c r="AR12118" s="55">
        <v>28500</v>
      </c>
      <c r="AS12118" s="78">
        <f t="shared" si="193"/>
        <v>0</v>
      </c>
    </row>
    <row r="12119" spans="39:45">
      <c r="AM12119" s="55">
        <v>2020</v>
      </c>
      <c r="AN12119" s="55" t="s">
        <v>96</v>
      </c>
      <c r="AO12119" s="55">
        <v>19</v>
      </c>
      <c r="AP12119" s="55">
        <v>21</v>
      </c>
      <c r="AQ12119" s="55">
        <v>0</v>
      </c>
      <c r="AR12119" s="55">
        <v>28500</v>
      </c>
      <c r="AS12119" s="78">
        <f t="shared" si="193"/>
        <v>0</v>
      </c>
    </row>
    <row r="12120" spans="39:45">
      <c r="AM12120" s="54">
        <v>2020</v>
      </c>
      <c r="AN12120" s="54" t="s">
        <v>96</v>
      </c>
      <c r="AO12120" s="54">
        <v>19</v>
      </c>
      <c r="AP12120" s="54">
        <v>22</v>
      </c>
      <c r="AQ12120" s="54">
        <v>0</v>
      </c>
      <c r="AR12120" s="55">
        <v>28500</v>
      </c>
      <c r="AS12120" s="78">
        <f t="shared" si="193"/>
        <v>0</v>
      </c>
    </row>
    <row r="12121" spans="39:45">
      <c r="AM12121" s="55">
        <v>2020</v>
      </c>
      <c r="AN12121" s="55" t="s">
        <v>96</v>
      </c>
      <c r="AO12121" s="55">
        <v>19</v>
      </c>
      <c r="AP12121" s="55">
        <v>23</v>
      </c>
      <c r="AQ12121" s="55">
        <v>0</v>
      </c>
      <c r="AR12121" s="55">
        <v>28500</v>
      </c>
      <c r="AS12121" s="78">
        <f t="shared" si="193"/>
        <v>0</v>
      </c>
    </row>
    <row r="12122" spans="39:45">
      <c r="AM12122" s="54">
        <v>2020</v>
      </c>
      <c r="AN12122" s="54" t="s">
        <v>96</v>
      </c>
      <c r="AO12122" s="54">
        <v>20</v>
      </c>
      <c r="AP12122" s="54">
        <v>24</v>
      </c>
      <c r="AQ12122" s="54">
        <v>0</v>
      </c>
      <c r="AR12122" s="55">
        <v>28500</v>
      </c>
      <c r="AS12122" s="78">
        <f t="shared" si="193"/>
        <v>0</v>
      </c>
    </row>
    <row r="12123" spans="39:45">
      <c r="AM12123" s="55">
        <v>2020</v>
      </c>
      <c r="AN12123" s="55" t="s">
        <v>96</v>
      </c>
      <c r="AO12123" s="55">
        <v>20</v>
      </c>
      <c r="AP12123" s="55">
        <v>1</v>
      </c>
      <c r="AQ12123" s="55">
        <v>0</v>
      </c>
      <c r="AR12123" s="55">
        <v>28500</v>
      </c>
      <c r="AS12123" s="78">
        <f t="shared" si="193"/>
        <v>0</v>
      </c>
    </row>
    <row r="12124" spans="39:45">
      <c r="AM12124" s="54">
        <v>2020</v>
      </c>
      <c r="AN12124" s="54" t="s">
        <v>96</v>
      </c>
      <c r="AO12124" s="54">
        <v>20</v>
      </c>
      <c r="AP12124" s="54">
        <v>2</v>
      </c>
      <c r="AQ12124" s="54">
        <v>0</v>
      </c>
      <c r="AR12124" s="55">
        <v>28500</v>
      </c>
      <c r="AS12124" s="78">
        <f t="shared" si="193"/>
        <v>0</v>
      </c>
    </row>
    <row r="12125" spans="39:45">
      <c r="AM12125" s="55">
        <v>2020</v>
      </c>
      <c r="AN12125" s="55" t="s">
        <v>96</v>
      </c>
      <c r="AO12125" s="55">
        <v>20</v>
      </c>
      <c r="AP12125" s="55">
        <v>3</v>
      </c>
      <c r="AQ12125" s="55">
        <v>0</v>
      </c>
      <c r="AR12125" s="55">
        <v>28500</v>
      </c>
      <c r="AS12125" s="78">
        <f t="shared" si="193"/>
        <v>0</v>
      </c>
    </row>
    <row r="12126" spans="39:45">
      <c r="AM12126" s="54">
        <v>2020</v>
      </c>
      <c r="AN12126" s="54" t="s">
        <v>96</v>
      </c>
      <c r="AO12126" s="54">
        <v>20</v>
      </c>
      <c r="AP12126" s="54">
        <v>4</v>
      </c>
      <c r="AQ12126" s="54">
        <v>0</v>
      </c>
      <c r="AR12126" s="55">
        <v>28500</v>
      </c>
      <c r="AS12126" s="78">
        <f t="shared" si="193"/>
        <v>0</v>
      </c>
    </row>
    <row r="12127" spans="39:45">
      <c r="AM12127" s="55">
        <v>2020</v>
      </c>
      <c r="AN12127" s="55" t="s">
        <v>96</v>
      </c>
      <c r="AO12127" s="55">
        <v>20</v>
      </c>
      <c r="AP12127" s="55">
        <v>5</v>
      </c>
      <c r="AQ12127" s="55">
        <v>1082.5</v>
      </c>
      <c r="AR12127" s="55">
        <v>28500</v>
      </c>
      <c r="AS12127" s="78">
        <f t="shared" si="193"/>
        <v>3.7982456140350875E-2</v>
      </c>
    </row>
    <row r="12128" spans="39:45">
      <c r="AM12128" s="54">
        <v>2020</v>
      </c>
      <c r="AN12128" s="54" t="s">
        <v>96</v>
      </c>
      <c r="AO12128" s="54">
        <v>20</v>
      </c>
      <c r="AP12128" s="54">
        <v>6</v>
      </c>
      <c r="AQ12128" s="54">
        <v>3916.5</v>
      </c>
      <c r="AR12128" s="55">
        <v>28500</v>
      </c>
      <c r="AS12128" s="78">
        <f t="shared" si="193"/>
        <v>0.13742105263157894</v>
      </c>
    </row>
    <row r="12129" spans="39:45">
      <c r="AM12129" s="55">
        <v>2020</v>
      </c>
      <c r="AN12129" s="55" t="s">
        <v>96</v>
      </c>
      <c r="AO12129" s="55">
        <v>20</v>
      </c>
      <c r="AP12129" s="55">
        <v>7</v>
      </c>
      <c r="AQ12129" s="55">
        <v>13530</v>
      </c>
      <c r="AR12129" s="55">
        <v>28500</v>
      </c>
      <c r="AS12129" s="78">
        <f t="shared" si="193"/>
        <v>0.47473684210526318</v>
      </c>
    </row>
    <row r="12130" spans="39:45">
      <c r="AM12130" s="54">
        <v>2020</v>
      </c>
      <c r="AN12130" s="54" t="s">
        <v>96</v>
      </c>
      <c r="AO12130" s="54">
        <v>20</v>
      </c>
      <c r="AP12130" s="54">
        <v>8</v>
      </c>
      <c r="AQ12130" s="54">
        <v>23008</v>
      </c>
      <c r="AR12130" s="55">
        <v>28500</v>
      </c>
      <c r="AS12130" s="78">
        <f t="shared" si="193"/>
        <v>0.80729824561403507</v>
      </c>
    </row>
    <row r="12131" spans="39:45">
      <c r="AM12131" s="55">
        <v>2020</v>
      </c>
      <c r="AN12131" s="55" t="s">
        <v>96</v>
      </c>
      <c r="AO12131" s="55">
        <v>20</v>
      </c>
      <c r="AP12131" s="55">
        <v>9</v>
      </c>
      <c r="AQ12131" s="55">
        <v>30798.5</v>
      </c>
      <c r="AR12131" s="55">
        <v>28500</v>
      </c>
      <c r="AS12131" s="78">
        <f t="shared" si="193"/>
        <v>1.0806491228070176</v>
      </c>
    </row>
    <row r="12132" spans="39:45">
      <c r="AM12132" s="54">
        <v>2020</v>
      </c>
      <c r="AN12132" s="54" t="s">
        <v>96</v>
      </c>
      <c r="AO12132" s="54">
        <v>20</v>
      </c>
      <c r="AP12132" s="54">
        <v>10</v>
      </c>
      <c r="AQ12132" s="54">
        <v>36333</v>
      </c>
      <c r="AR12132" s="55">
        <v>28500</v>
      </c>
      <c r="AS12132" s="78">
        <f t="shared" si="193"/>
        <v>1.274842105263158</v>
      </c>
    </row>
    <row r="12133" spans="39:45">
      <c r="AM12133" s="55">
        <v>2020</v>
      </c>
      <c r="AN12133" s="55" t="s">
        <v>96</v>
      </c>
      <c r="AO12133" s="55">
        <v>20</v>
      </c>
      <c r="AP12133" s="55">
        <v>11</v>
      </c>
      <c r="AQ12133" s="55">
        <v>37870.5</v>
      </c>
      <c r="AR12133" s="55">
        <v>28500</v>
      </c>
      <c r="AS12133" s="78">
        <f t="shared" si="193"/>
        <v>1.3287894736842105</v>
      </c>
    </row>
    <row r="12134" spans="39:45">
      <c r="AM12134" s="54">
        <v>2020</v>
      </c>
      <c r="AN12134" s="54" t="s">
        <v>96</v>
      </c>
      <c r="AO12134" s="54">
        <v>20</v>
      </c>
      <c r="AP12134" s="54">
        <v>12</v>
      </c>
      <c r="AQ12134" s="54">
        <v>40090</v>
      </c>
      <c r="AR12134" s="55">
        <v>28500</v>
      </c>
      <c r="AS12134" s="78">
        <f t="shared" si="193"/>
        <v>1.4066666666666667</v>
      </c>
    </row>
    <row r="12135" spans="39:45">
      <c r="AM12135" s="55">
        <v>2020</v>
      </c>
      <c r="AN12135" s="55" t="s">
        <v>96</v>
      </c>
      <c r="AO12135" s="55">
        <v>20</v>
      </c>
      <c r="AP12135" s="55">
        <v>13</v>
      </c>
      <c r="AQ12135" s="55">
        <v>38303.5</v>
      </c>
      <c r="AR12135" s="55">
        <v>28500</v>
      </c>
      <c r="AS12135" s="78">
        <f t="shared" si="193"/>
        <v>1.3439824561403508</v>
      </c>
    </row>
    <row r="12136" spans="39:45">
      <c r="AM12136" s="54">
        <v>2020</v>
      </c>
      <c r="AN12136" s="54" t="s">
        <v>96</v>
      </c>
      <c r="AO12136" s="54">
        <v>20</v>
      </c>
      <c r="AP12136" s="54">
        <v>14</v>
      </c>
      <c r="AQ12136" s="54">
        <v>34015</v>
      </c>
      <c r="AR12136" s="55">
        <v>28500</v>
      </c>
      <c r="AS12136" s="78">
        <f t="shared" si="193"/>
        <v>1.1935087719298245</v>
      </c>
    </row>
    <row r="12137" spans="39:45">
      <c r="AM12137" s="55">
        <v>2020</v>
      </c>
      <c r="AN12137" s="55" t="s">
        <v>96</v>
      </c>
      <c r="AO12137" s="55">
        <v>20</v>
      </c>
      <c r="AP12137" s="55">
        <v>15</v>
      </c>
      <c r="AQ12137" s="55">
        <v>27759.5</v>
      </c>
      <c r="AR12137" s="55">
        <v>28500</v>
      </c>
      <c r="AS12137" s="78">
        <f t="shared" si="193"/>
        <v>0.97401754385964912</v>
      </c>
    </row>
    <row r="12138" spans="39:45">
      <c r="AM12138" s="54">
        <v>2020</v>
      </c>
      <c r="AN12138" s="54" t="s">
        <v>96</v>
      </c>
      <c r="AO12138" s="54">
        <v>20</v>
      </c>
      <c r="AP12138" s="54">
        <v>16</v>
      </c>
      <c r="AQ12138" s="54">
        <v>18796.5</v>
      </c>
      <c r="AR12138" s="55">
        <v>28500</v>
      </c>
      <c r="AS12138" s="78">
        <f t="shared" si="193"/>
        <v>0.65952631578947374</v>
      </c>
    </row>
    <row r="12139" spans="39:45">
      <c r="AM12139" s="55">
        <v>2020</v>
      </c>
      <c r="AN12139" s="55" t="s">
        <v>96</v>
      </c>
      <c r="AO12139" s="55">
        <v>20</v>
      </c>
      <c r="AP12139" s="55">
        <v>17</v>
      </c>
      <c r="AQ12139" s="55">
        <v>8332.5</v>
      </c>
      <c r="AR12139" s="55">
        <v>28500</v>
      </c>
      <c r="AS12139" s="78">
        <f t="shared" si="193"/>
        <v>0.29236842105263156</v>
      </c>
    </row>
    <row r="12140" spans="39:45">
      <c r="AM12140" s="54">
        <v>2020</v>
      </c>
      <c r="AN12140" s="54" t="s">
        <v>96</v>
      </c>
      <c r="AO12140" s="54">
        <v>20</v>
      </c>
      <c r="AP12140" s="54">
        <v>18</v>
      </c>
      <c r="AQ12140" s="54">
        <v>1176.5</v>
      </c>
      <c r="AR12140" s="55">
        <v>28500</v>
      </c>
      <c r="AS12140" s="78">
        <f t="shared" si="193"/>
        <v>4.1280701754385966E-2</v>
      </c>
    </row>
    <row r="12141" spans="39:45">
      <c r="AM12141" s="55">
        <v>2020</v>
      </c>
      <c r="AN12141" s="55" t="s">
        <v>96</v>
      </c>
      <c r="AO12141" s="55">
        <v>20</v>
      </c>
      <c r="AP12141" s="55">
        <v>19</v>
      </c>
      <c r="AQ12141" s="55">
        <v>399.5</v>
      </c>
      <c r="AR12141" s="55">
        <v>28500</v>
      </c>
      <c r="AS12141" s="78">
        <f t="shared" si="193"/>
        <v>1.4017543859649123E-2</v>
      </c>
    </row>
    <row r="12142" spans="39:45">
      <c r="AM12142" s="54">
        <v>2020</v>
      </c>
      <c r="AN12142" s="54" t="s">
        <v>96</v>
      </c>
      <c r="AO12142" s="54">
        <v>20</v>
      </c>
      <c r="AP12142" s="54">
        <v>20</v>
      </c>
      <c r="AQ12142" s="54">
        <v>0</v>
      </c>
      <c r="AR12142" s="55">
        <v>28500</v>
      </c>
      <c r="AS12142" s="78">
        <f t="shared" si="193"/>
        <v>0</v>
      </c>
    </row>
    <row r="12143" spans="39:45">
      <c r="AM12143" s="55">
        <v>2020</v>
      </c>
      <c r="AN12143" s="55" t="s">
        <v>96</v>
      </c>
      <c r="AO12143" s="55">
        <v>20</v>
      </c>
      <c r="AP12143" s="55">
        <v>21</v>
      </c>
      <c r="AQ12143" s="55">
        <v>0</v>
      </c>
      <c r="AR12143" s="55">
        <v>28500</v>
      </c>
      <c r="AS12143" s="78">
        <f t="shared" si="193"/>
        <v>0</v>
      </c>
    </row>
    <row r="12144" spans="39:45">
      <c r="AM12144" s="54">
        <v>2020</v>
      </c>
      <c r="AN12144" s="54" t="s">
        <v>96</v>
      </c>
      <c r="AO12144" s="54">
        <v>20</v>
      </c>
      <c r="AP12144" s="54">
        <v>22</v>
      </c>
      <c r="AQ12144" s="54">
        <v>0</v>
      </c>
      <c r="AR12144" s="55">
        <v>28500</v>
      </c>
      <c r="AS12144" s="78">
        <f t="shared" si="193"/>
        <v>0</v>
      </c>
    </row>
    <row r="12145" spans="39:45">
      <c r="AM12145" s="55">
        <v>2020</v>
      </c>
      <c r="AN12145" s="55" t="s">
        <v>96</v>
      </c>
      <c r="AO12145" s="55">
        <v>20</v>
      </c>
      <c r="AP12145" s="55">
        <v>23</v>
      </c>
      <c r="AQ12145" s="55">
        <v>0</v>
      </c>
      <c r="AR12145" s="55">
        <v>28500</v>
      </c>
      <c r="AS12145" s="78">
        <f t="shared" si="193"/>
        <v>0</v>
      </c>
    </row>
    <row r="12146" spans="39:45">
      <c r="AM12146" s="54">
        <v>2020</v>
      </c>
      <c r="AN12146" s="54" t="s">
        <v>96</v>
      </c>
      <c r="AO12146" s="54">
        <v>21</v>
      </c>
      <c r="AP12146" s="54">
        <v>24</v>
      </c>
      <c r="AQ12146" s="54">
        <v>0</v>
      </c>
      <c r="AR12146" s="55">
        <v>28500</v>
      </c>
      <c r="AS12146" s="78">
        <f t="shared" si="193"/>
        <v>0</v>
      </c>
    </row>
    <row r="12147" spans="39:45">
      <c r="AM12147" s="55">
        <v>2020</v>
      </c>
      <c r="AN12147" s="55" t="s">
        <v>96</v>
      </c>
      <c r="AO12147" s="55">
        <v>21</v>
      </c>
      <c r="AP12147" s="55">
        <v>1</v>
      </c>
      <c r="AQ12147" s="55">
        <v>0</v>
      </c>
      <c r="AR12147" s="55">
        <v>28500</v>
      </c>
      <c r="AS12147" s="78">
        <f t="shared" si="193"/>
        <v>0</v>
      </c>
    </row>
    <row r="12148" spans="39:45">
      <c r="AM12148" s="54">
        <v>2020</v>
      </c>
      <c r="AN12148" s="54" t="s">
        <v>96</v>
      </c>
      <c r="AO12148" s="54">
        <v>21</v>
      </c>
      <c r="AP12148" s="54">
        <v>2</v>
      </c>
      <c r="AQ12148" s="54">
        <v>0</v>
      </c>
      <c r="AR12148" s="55">
        <v>28500</v>
      </c>
      <c r="AS12148" s="78">
        <f t="shared" si="193"/>
        <v>0</v>
      </c>
    </row>
    <row r="12149" spans="39:45">
      <c r="AM12149" s="55">
        <v>2020</v>
      </c>
      <c r="AN12149" s="55" t="s">
        <v>96</v>
      </c>
      <c r="AO12149" s="55">
        <v>21</v>
      </c>
      <c r="AP12149" s="55">
        <v>3</v>
      </c>
      <c r="AQ12149" s="55">
        <v>0</v>
      </c>
      <c r="AR12149" s="55">
        <v>28500</v>
      </c>
      <c r="AS12149" s="78">
        <f t="shared" si="193"/>
        <v>0</v>
      </c>
    </row>
    <row r="12150" spans="39:45">
      <c r="AM12150" s="54">
        <v>2020</v>
      </c>
      <c r="AN12150" s="54" t="s">
        <v>96</v>
      </c>
      <c r="AO12150" s="54">
        <v>21</v>
      </c>
      <c r="AP12150" s="54">
        <v>4</v>
      </c>
      <c r="AQ12150" s="54">
        <v>0</v>
      </c>
      <c r="AR12150" s="55">
        <v>28500</v>
      </c>
      <c r="AS12150" s="78">
        <f t="shared" si="193"/>
        <v>0</v>
      </c>
    </row>
    <row r="12151" spans="39:45">
      <c r="AM12151" s="55">
        <v>2020</v>
      </c>
      <c r="AN12151" s="55" t="s">
        <v>96</v>
      </c>
      <c r="AO12151" s="55">
        <v>21</v>
      </c>
      <c r="AP12151" s="55">
        <v>5</v>
      </c>
      <c r="AQ12151" s="55">
        <v>1516</v>
      </c>
      <c r="AR12151" s="55">
        <v>28500</v>
      </c>
      <c r="AS12151" s="78">
        <f t="shared" si="193"/>
        <v>5.3192982456140347E-2</v>
      </c>
    </row>
    <row r="12152" spans="39:45">
      <c r="AM12152" s="54">
        <v>2020</v>
      </c>
      <c r="AN12152" s="54" t="s">
        <v>96</v>
      </c>
      <c r="AO12152" s="54">
        <v>21</v>
      </c>
      <c r="AP12152" s="54">
        <v>6</v>
      </c>
      <c r="AQ12152" s="54">
        <v>4627.5</v>
      </c>
      <c r="AR12152" s="55">
        <v>28500</v>
      </c>
      <c r="AS12152" s="78">
        <f t="shared" si="193"/>
        <v>0.16236842105263158</v>
      </c>
    </row>
    <row r="12153" spans="39:45">
      <c r="AM12153" s="55">
        <v>2020</v>
      </c>
      <c r="AN12153" s="55" t="s">
        <v>96</v>
      </c>
      <c r="AO12153" s="55">
        <v>21</v>
      </c>
      <c r="AP12153" s="55">
        <v>7</v>
      </c>
      <c r="AQ12153" s="55">
        <v>10032.5</v>
      </c>
      <c r="AR12153" s="55">
        <v>28500</v>
      </c>
      <c r="AS12153" s="78">
        <f t="shared" si="193"/>
        <v>0.35201754385964912</v>
      </c>
    </row>
    <row r="12154" spans="39:45">
      <c r="AM12154" s="54">
        <v>2020</v>
      </c>
      <c r="AN12154" s="54" t="s">
        <v>96</v>
      </c>
      <c r="AO12154" s="54">
        <v>21</v>
      </c>
      <c r="AP12154" s="54">
        <v>8</v>
      </c>
      <c r="AQ12154" s="54">
        <v>23224.5</v>
      </c>
      <c r="AR12154" s="55">
        <v>28500</v>
      </c>
      <c r="AS12154" s="78">
        <f t="shared" si="193"/>
        <v>0.81489473684210523</v>
      </c>
    </row>
    <row r="12155" spans="39:45">
      <c r="AM12155" s="55">
        <v>2020</v>
      </c>
      <c r="AN12155" s="55" t="s">
        <v>96</v>
      </c>
      <c r="AO12155" s="55">
        <v>21</v>
      </c>
      <c r="AP12155" s="55">
        <v>9</v>
      </c>
      <c r="AQ12155" s="55">
        <v>30432.5</v>
      </c>
      <c r="AR12155" s="55">
        <v>28500</v>
      </c>
      <c r="AS12155" s="78">
        <f t="shared" si="193"/>
        <v>1.0678070175438596</v>
      </c>
    </row>
    <row r="12156" spans="39:45">
      <c r="AM12156" s="54">
        <v>2020</v>
      </c>
      <c r="AN12156" s="54" t="s">
        <v>96</v>
      </c>
      <c r="AO12156" s="54">
        <v>21</v>
      </c>
      <c r="AP12156" s="54">
        <v>10</v>
      </c>
      <c r="AQ12156" s="54">
        <v>35797</v>
      </c>
      <c r="AR12156" s="55">
        <v>28500</v>
      </c>
      <c r="AS12156" s="78">
        <f t="shared" si="193"/>
        <v>1.2560350877192983</v>
      </c>
    </row>
    <row r="12157" spans="39:45">
      <c r="AM12157" s="55">
        <v>2020</v>
      </c>
      <c r="AN12157" s="55" t="s">
        <v>96</v>
      </c>
      <c r="AO12157" s="55">
        <v>21</v>
      </c>
      <c r="AP12157" s="55">
        <v>11</v>
      </c>
      <c r="AQ12157" s="55">
        <v>38679</v>
      </c>
      <c r="AR12157" s="55">
        <v>28500</v>
      </c>
      <c r="AS12157" s="78">
        <f t="shared" si="193"/>
        <v>1.3571578947368421</v>
      </c>
    </row>
    <row r="12158" spans="39:45">
      <c r="AM12158" s="54">
        <v>2020</v>
      </c>
      <c r="AN12158" s="54" t="s">
        <v>96</v>
      </c>
      <c r="AO12158" s="54">
        <v>21</v>
      </c>
      <c r="AP12158" s="54">
        <v>12</v>
      </c>
      <c r="AQ12158" s="54">
        <v>37448</v>
      </c>
      <c r="AR12158" s="55">
        <v>28500</v>
      </c>
      <c r="AS12158" s="78">
        <f t="shared" si="193"/>
        <v>1.3139649122807018</v>
      </c>
    </row>
    <row r="12159" spans="39:45">
      <c r="AM12159" s="55">
        <v>2020</v>
      </c>
      <c r="AN12159" s="55" t="s">
        <v>96</v>
      </c>
      <c r="AO12159" s="55">
        <v>21</v>
      </c>
      <c r="AP12159" s="55">
        <v>13</v>
      </c>
      <c r="AQ12159" s="55">
        <v>33339</v>
      </c>
      <c r="AR12159" s="55">
        <v>28500</v>
      </c>
      <c r="AS12159" s="78">
        <f t="shared" si="193"/>
        <v>1.1697894736842105</v>
      </c>
    </row>
    <row r="12160" spans="39:45">
      <c r="AM12160" s="54">
        <v>2020</v>
      </c>
      <c r="AN12160" s="54" t="s">
        <v>96</v>
      </c>
      <c r="AO12160" s="54">
        <v>21</v>
      </c>
      <c r="AP12160" s="54">
        <v>14</v>
      </c>
      <c r="AQ12160" s="54">
        <v>32289</v>
      </c>
      <c r="AR12160" s="55">
        <v>28500</v>
      </c>
      <c r="AS12160" s="78">
        <f t="shared" si="193"/>
        <v>1.1329473684210527</v>
      </c>
    </row>
    <row r="12161" spans="39:45">
      <c r="AM12161" s="55">
        <v>2020</v>
      </c>
      <c r="AN12161" s="55" t="s">
        <v>96</v>
      </c>
      <c r="AO12161" s="55">
        <v>21</v>
      </c>
      <c r="AP12161" s="55">
        <v>15</v>
      </c>
      <c r="AQ12161" s="55">
        <v>24179.5</v>
      </c>
      <c r="AR12161" s="55">
        <v>28500</v>
      </c>
      <c r="AS12161" s="78">
        <f t="shared" si="193"/>
        <v>0.84840350877192983</v>
      </c>
    </row>
    <row r="12162" spans="39:45">
      <c r="AM12162" s="54">
        <v>2020</v>
      </c>
      <c r="AN12162" s="54" t="s">
        <v>96</v>
      </c>
      <c r="AO12162" s="54">
        <v>21</v>
      </c>
      <c r="AP12162" s="54">
        <v>16</v>
      </c>
      <c r="AQ12162" s="54">
        <v>16713</v>
      </c>
      <c r="AR12162" s="55">
        <v>28500</v>
      </c>
      <c r="AS12162" s="78">
        <f t="shared" ref="AS12162:AS12225" si="194">AQ12162/AR12162</f>
        <v>0.58642105263157895</v>
      </c>
    </row>
    <row r="12163" spans="39:45">
      <c r="AM12163" s="55">
        <v>2020</v>
      </c>
      <c r="AN12163" s="55" t="s">
        <v>96</v>
      </c>
      <c r="AO12163" s="55">
        <v>21</v>
      </c>
      <c r="AP12163" s="55">
        <v>17</v>
      </c>
      <c r="AQ12163" s="55">
        <v>8060.5</v>
      </c>
      <c r="AR12163" s="55">
        <v>28500</v>
      </c>
      <c r="AS12163" s="78">
        <f t="shared" si="194"/>
        <v>0.28282456140350876</v>
      </c>
    </row>
    <row r="12164" spans="39:45">
      <c r="AM12164" s="54">
        <v>2020</v>
      </c>
      <c r="AN12164" s="54" t="s">
        <v>96</v>
      </c>
      <c r="AO12164" s="54">
        <v>21</v>
      </c>
      <c r="AP12164" s="54">
        <v>18</v>
      </c>
      <c r="AQ12164" s="54">
        <v>2314.5</v>
      </c>
      <c r="AR12164" s="55">
        <v>28500</v>
      </c>
      <c r="AS12164" s="78">
        <f t="shared" si="194"/>
        <v>8.1210526315789469E-2</v>
      </c>
    </row>
    <row r="12165" spans="39:45">
      <c r="AM12165" s="55">
        <v>2020</v>
      </c>
      <c r="AN12165" s="55" t="s">
        <v>96</v>
      </c>
      <c r="AO12165" s="55">
        <v>21</v>
      </c>
      <c r="AP12165" s="55">
        <v>19</v>
      </c>
      <c r="AQ12165" s="55">
        <v>17</v>
      </c>
      <c r="AR12165" s="55">
        <v>28500</v>
      </c>
      <c r="AS12165" s="78">
        <f t="shared" si="194"/>
        <v>5.9649122807017548E-4</v>
      </c>
    </row>
    <row r="12166" spans="39:45">
      <c r="AM12166" s="54">
        <v>2020</v>
      </c>
      <c r="AN12166" s="54" t="s">
        <v>96</v>
      </c>
      <c r="AO12166" s="54">
        <v>21</v>
      </c>
      <c r="AP12166" s="54">
        <v>20</v>
      </c>
      <c r="AQ12166" s="54">
        <v>0</v>
      </c>
      <c r="AR12166" s="55">
        <v>28500</v>
      </c>
      <c r="AS12166" s="78">
        <f t="shared" si="194"/>
        <v>0</v>
      </c>
    </row>
    <row r="12167" spans="39:45">
      <c r="AM12167" s="55">
        <v>2020</v>
      </c>
      <c r="AN12167" s="55" t="s">
        <v>96</v>
      </c>
      <c r="AO12167" s="55">
        <v>21</v>
      </c>
      <c r="AP12167" s="55">
        <v>21</v>
      </c>
      <c r="AQ12167" s="55">
        <v>0</v>
      </c>
      <c r="AR12167" s="55">
        <v>28500</v>
      </c>
      <c r="AS12167" s="78">
        <f t="shared" si="194"/>
        <v>0</v>
      </c>
    </row>
    <row r="12168" spans="39:45">
      <c r="AM12168" s="54">
        <v>2020</v>
      </c>
      <c r="AN12168" s="54" t="s">
        <v>96</v>
      </c>
      <c r="AO12168" s="54">
        <v>21</v>
      </c>
      <c r="AP12168" s="54">
        <v>22</v>
      </c>
      <c r="AQ12168" s="54">
        <v>0</v>
      </c>
      <c r="AR12168" s="55">
        <v>28500</v>
      </c>
      <c r="AS12168" s="78">
        <f t="shared" si="194"/>
        <v>0</v>
      </c>
    </row>
    <row r="12169" spans="39:45">
      <c r="AM12169" s="55">
        <v>2020</v>
      </c>
      <c r="AN12169" s="55" t="s">
        <v>96</v>
      </c>
      <c r="AO12169" s="55">
        <v>21</v>
      </c>
      <c r="AP12169" s="55">
        <v>23</v>
      </c>
      <c r="AQ12169" s="55">
        <v>0</v>
      </c>
      <c r="AR12169" s="55">
        <v>28500</v>
      </c>
      <c r="AS12169" s="78">
        <f t="shared" si="194"/>
        <v>0</v>
      </c>
    </row>
    <row r="12170" spans="39:45">
      <c r="AM12170" s="54">
        <v>2020</v>
      </c>
      <c r="AN12170" s="54" t="s">
        <v>96</v>
      </c>
      <c r="AO12170" s="54">
        <v>22</v>
      </c>
      <c r="AP12170" s="54">
        <v>24</v>
      </c>
      <c r="AQ12170" s="54">
        <v>0</v>
      </c>
      <c r="AR12170" s="55">
        <v>28500</v>
      </c>
      <c r="AS12170" s="78">
        <f t="shared" si="194"/>
        <v>0</v>
      </c>
    </row>
    <row r="12171" spans="39:45">
      <c r="AM12171" s="55">
        <v>2020</v>
      </c>
      <c r="AN12171" s="55" t="s">
        <v>96</v>
      </c>
      <c r="AO12171" s="55">
        <v>22</v>
      </c>
      <c r="AP12171" s="55">
        <v>1</v>
      </c>
      <c r="AQ12171" s="55">
        <v>0</v>
      </c>
      <c r="AR12171" s="55">
        <v>28500</v>
      </c>
      <c r="AS12171" s="78">
        <f t="shared" si="194"/>
        <v>0</v>
      </c>
    </row>
    <row r="12172" spans="39:45">
      <c r="AM12172" s="54">
        <v>2020</v>
      </c>
      <c r="AN12172" s="54" t="s">
        <v>96</v>
      </c>
      <c r="AO12172" s="54">
        <v>22</v>
      </c>
      <c r="AP12172" s="54">
        <v>2</v>
      </c>
      <c r="AQ12172" s="54">
        <v>0</v>
      </c>
      <c r="AR12172" s="55">
        <v>28500</v>
      </c>
      <c r="AS12172" s="78">
        <f t="shared" si="194"/>
        <v>0</v>
      </c>
    </row>
    <row r="12173" spans="39:45">
      <c r="AM12173" s="55">
        <v>2020</v>
      </c>
      <c r="AN12173" s="55" t="s">
        <v>96</v>
      </c>
      <c r="AO12173" s="55">
        <v>22</v>
      </c>
      <c r="AP12173" s="55">
        <v>3</v>
      </c>
      <c r="AQ12173" s="55">
        <v>0</v>
      </c>
      <c r="AR12173" s="55">
        <v>28500</v>
      </c>
      <c r="AS12173" s="78">
        <f t="shared" si="194"/>
        <v>0</v>
      </c>
    </row>
    <row r="12174" spans="39:45">
      <c r="AM12174" s="54">
        <v>2020</v>
      </c>
      <c r="AN12174" s="54" t="s">
        <v>96</v>
      </c>
      <c r="AO12174" s="54">
        <v>22</v>
      </c>
      <c r="AP12174" s="54">
        <v>4</v>
      </c>
      <c r="AQ12174" s="54">
        <v>0</v>
      </c>
      <c r="AR12174" s="55">
        <v>28500</v>
      </c>
      <c r="AS12174" s="78">
        <f t="shared" si="194"/>
        <v>0</v>
      </c>
    </row>
    <row r="12175" spans="39:45">
      <c r="AM12175" s="55">
        <v>2020</v>
      </c>
      <c r="AN12175" s="55" t="s">
        <v>96</v>
      </c>
      <c r="AO12175" s="55">
        <v>22</v>
      </c>
      <c r="AP12175" s="55">
        <v>5</v>
      </c>
      <c r="AQ12175" s="55">
        <v>466</v>
      </c>
      <c r="AR12175" s="55">
        <v>28500</v>
      </c>
      <c r="AS12175" s="78">
        <f t="shared" si="194"/>
        <v>1.6350877192982456E-2</v>
      </c>
    </row>
    <row r="12176" spans="39:45">
      <c r="AM12176" s="54">
        <v>2020</v>
      </c>
      <c r="AN12176" s="54" t="s">
        <v>96</v>
      </c>
      <c r="AO12176" s="54">
        <v>22</v>
      </c>
      <c r="AP12176" s="54">
        <v>6</v>
      </c>
      <c r="AQ12176" s="54">
        <v>2960</v>
      </c>
      <c r="AR12176" s="55">
        <v>28500</v>
      </c>
      <c r="AS12176" s="78">
        <f t="shared" si="194"/>
        <v>0.10385964912280701</v>
      </c>
    </row>
    <row r="12177" spans="39:45">
      <c r="AM12177" s="55">
        <v>2020</v>
      </c>
      <c r="AN12177" s="55" t="s">
        <v>96</v>
      </c>
      <c r="AO12177" s="55">
        <v>22</v>
      </c>
      <c r="AP12177" s="55">
        <v>7</v>
      </c>
      <c r="AQ12177" s="55">
        <v>7969</v>
      </c>
      <c r="AR12177" s="55">
        <v>28500</v>
      </c>
      <c r="AS12177" s="78">
        <f t="shared" si="194"/>
        <v>0.27961403508771931</v>
      </c>
    </row>
    <row r="12178" spans="39:45">
      <c r="AM12178" s="54">
        <v>2020</v>
      </c>
      <c r="AN12178" s="54" t="s">
        <v>96</v>
      </c>
      <c r="AO12178" s="54">
        <v>22</v>
      </c>
      <c r="AP12178" s="54">
        <v>8</v>
      </c>
      <c r="AQ12178" s="54">
        <v>13057.5</v>
      </c>
      <c r="AR12178" s="55">
        <v>28500</v>
      </c>
      <c r="AS12178" s="78">
        <f t="shared" si="194"/>
        <v>0.4581578947368421</v>
      </c>
    </row>
    <row r="12179" spans="39:45">
      <c r="AM12179" s="55">
        <v>2020</v>
      </c>
      <c r="AN12179" s="55" t="s">
        <v>96</v>
      </c>
      <c r="AO12179" s="55">
        <v>22</v>
      </c>
      <c r="AP12179" s="55">
        <v>9</v>
      </c>
      <c r="AQ12179" s="55">
        <v>15694.5</v>
      </c>
      <c r="AR12179" s="55">
        <v>28500</v>
      </c>
      <c r="AS12179" s="78">
        <f t="shared" si="194"/>
        <v>0.55068421052631578</v>
      </c>
    </row>
    <row r="12180" spans="39:45">
      <c r="AM12180" s="54">
        <v>2020</v>
      </c>
      <c r="AN12180" s="54" t="s">
        <v>96</v>
      </c>
      <c r="AO12180" s="54">
        <v>22</v>
      </c>
      <c r="AP12180" s="54">
        <v>10</v>
      </c>
      <c r="AQ12180" s="54">
        <v>18244.5</v>
      </c>
      <c r="AR12180" s="55">
        <v>28500</v>
      </c>
      <c r="AS12180" s="78">
        <f t="shared" si="194"/>
        <v>0.64015789473684215</v>
      </c>
    </row>
    <row r="12181" spans="39:45">
      <c r="AM12181" s="55">
        <v>2020</v>
      </c>
      <c r="AN12181" s="55" t="s">
        <v>96</v>
      </c>
      <c r="AO12181" s="55">
        <v>22</v>
      </c>
      <c r="AP12181" s="55">
        <v>11</v>
      </c>
      <c r="AQ12181" s="55">
        <v>41279.5</v>
      </c>
      <c r="AR12181" s="55">
        <v>28500</v>
      </c>
      <c r="AS12181" s="78">
        <f t="shared" si="194"/>
        <v>1.4484035087719298</v>
      </c>
    </row>
    <row r="12182" spans="39:45">
      <c r="AM12182" s="54">
        <v>2020</v>
      </c>
      <c r="AN12182" s="54" t="s">
        <v>96</v>
      </c>
      <c r="AO12182" s="54">
        <v>22</v>
      </c>
      <c r="AP12182" s="54">
        <v>12</v>
      </c>
      <c r="AQ12182" s="54">
        <v>41669</v>
      </c>
      <c r="AR12182" s="55">
        <v>28500</v>
      </c>
      <c r="AS12182" s="78">
        <f t="shared" si="194"/>
        <v>1.4620701754385965</v>
      </c>
    </row>
    <row r="12183" spans="39:45">
      <c r="AM12183" s="55">
        <v>2020</v>
      </c>
      <c r="AN12183" s="55" t="s">
        <v>96</v>
      </c>
      <c r="AO12183" s="55">
        <v>22</v>
      </c>
      <c r="AP12183" s="55">
        <v>13</v>
      </c>
      <c r="AQ12183" s="55">
        <v>40138.5</v>
      </c>
      <c r="AR12183" s="55">
        <v>28500</v>
      </c>
      <c r="AS12183" s="78">
        <f t="shared" si="194"/>
        <v>1.4083684210526315</v>
      </c>
    </row>
    <row r="12184" spans="39:45">
      <c r="AM12184" s="54">
        <v>2020</v>
      </c>
      <c r="AN12184" s="54" t="s">
        <v>96</v>
      </c>
      <c r="AO12184" s="54">
        <v>22</v>
      </c>
      <c r="AP12184" s="54">
        <v>14</v>
      </c>
      <c r="AQ12184" s="54">
        <v>35309</v>
      </c>
      <c r="AR12184" s="55">
        <v>28500</v>
      </c>
      <c r="AS12184" s="78">
        <f t="shared" si="194"/>
        <v>1.2389122807017543</v>
      </c>
    </row>
    <row r="12185" spans="39:45">
      <c r="AM12185" s="55">
        <v>2020</v>
      </c>
      <c r="AN12185" s="55" t="s">
        <v>96</v>
      </c>
      <c r="AO12185" s="55">
        <v>22</v>
      </c>
      <c r="AP12185" s="55">
        <v>15</v>
      </c>
      <c r="AQ12185" s="55">
        <v>26638</v>
      </c>
      <c r="AR12185" s="55">
        <v>28500</v>
      </c>
      <c r="AS12185" s="78">
        <f t="shared" si="194"/>
        <v>0.93466666666666665</v>
      </c>
    </row>
    <row r="12186" spans="39:45">
      <c r="AM12186" s="54">
        <v>2020</v>
      </c>
      <c r="AN12186" s="54" t="s">
        <v>96</v>
      </c>
      <c r="AO12186" s="54">
        <v>22</v>
      </c>
      <c r="AP12186" s="54">
        <v>16</v>
      </c>
      <c r="AQ12186" s="54">
        <v>14474.5</v>
      </c>
      <c r="AR12186" s="55">
        <v>28500</v>
      </c>
      <c r="AS12186" s="78">
        <f t="shared" si="194"/>
        <v>0.50787719298245615</v>
      </c>
    </row>
    <row r="12187" spans="39:45">
      <c r="AM12187" s="55">
        <v>2020</v>
      </c>
      <c r="AN12187" s="55" t="s">
        <v>96</v>
      </c>
      <c r="AO12187" s="55">
        <v>22</v>
      </c>
      <c r="AP12187" s="55">
        <v>17</v>
      </c>
      <c r="AQ12187" s="55">
        <v>8663</v>
      </c>
      <c r="AR12187" s="55">
        <v>28500</v>
      </c>
      <c r="AS12187" s="78">
        <f t="shared" si="194"/>
        <v>0.30396491228070177</v>
      </c>
    </row>
    <row r="12188" spans="39:45">
      <c r="AM12188" s="54">
        <v>2020</v>
      </c>
      <c r="AN12188" s="54" t="s">
        <v>96</v>
      </c>
      <c r="AO12188" s="54">
        <v>22</v>
      </c>
      <c r="AP12188" s="54">
        <v>18</v>
      </c>
      <c r="AQ12188" s="54">
        <v>2730.5</v>
      </c>
      <c r="AR12188" s="55">
        <v>28500</v>
      </c>
      <c r="AS12188" s="78">
        <f t="shared" si="194"/>
        <v>9.5807017543859646E-2</v>
      </c>
    </row>
    <row r="12189" spans="39:45">
      <c r="AM12189" s="55">
        <v>2020</v>
      </c>
      <c r="AN12189" s="55" t="s">
        <v>96</v>
      </c>
      <c r="AO12189" s="55">
        <v>22</v>
      </c>
      <c r="AP12189" s="55">
        <v>19</v>
      </c>
      <c r="AQ12189" s="55">
        <v>182</v>
      </c>
      <c r="AR12189" s="55">
        <v>28500</v>
      </c>
      <c r="AS12189" s="78">
        <f t="shared" si="194"/>
        <v>6.3859649122807016E-3</v>
      </c>
    </row>
    <row r="12190" spans="39:45">
      <c r="AM12190" s="54">
        <v>2020</v>
      </c>
      <c r="AN12190" s="54" t="s">
        <v>96</v>
      </c>
      <c r="AO12190" s="54">
        <v>22</v>
      </c>
      <c r="AP12190" s="54">
        <v>20</v>
      </c>
      <c r="AQ12190" s="54">
        <v>0</v>
      </c>
      <c r="AR12190" s="55">
        <v>28500</v>
      </c>
      <c r="AS12190" s="78">
        <f t="shared" si="194"/>
        <v>0</v>
      </c>
    </row>
    <row r="12191" spans="39:45">
      <c r="AM12191" s="55">
        <v>2020</v>
      </c>
      <c r="AN12191" s="55" t="s">
        <v>96</v>
      </c>
      <c r="AO12191" s="55">
        <v>22</v>
      </c>
      <c r="AP12191" s="55">
        <v>21</v>
      </c>
      <c r="AQ12191" s="55">
        <v>0</v>
      </c>
      <c r="AR12191" s="55">
        <v>28500</v>
      </c>
      <c r="AS12191" s="78">
        <f t="shared" si="194"/>
        <v>0</v>
      </c>
    </row>
    <row r="12192" spans="39:45">
      <c r="AM12192" s="54">
        <v>2020</v>
      </c>
      <c r="AN12192" s="54" t="s">
        <v>96</v>
      </c>
      <c r="AO12192" s="54">
        <v>22</v>
      </c>
      <c r="AP12192" s="54">
        <v>22</v>
      </c>
      <c r="AQ12192" s="54">
        <v>0</v>
      </c>
      <c r="AR12192" s="55">
        <v>28500</v>
      </c>
      <c r="AS12192" s="78">
        <f t="shared" si="194"/>
        <v>0</v>
      </c>
    </row>
    <row r="12193" spans="39:45">
      <c r="AM12193" s="55">
        <v>2020</v>
      </c>
      <c r="AN12193" s="55" t="s">
        <v>96</v>
      </c>
      <c r="AO12193" s="55">
        <v>22</v>
      </c>
      <c r="AP12193" s="55">
        <v>23</v>
      </c>
      <c r="AQ12193" s="55">
        <v>0</v>
      </c>
      <c r="AR12193" s="55">
        <v>28500</v>
      </c>
      <c r="AS12193" s="78">
        <f t="shared" si="194"/>
        <v>0</v>
      </c>
    </row>
    <row r="12194" spans="39:45">
      <c r="AM12194" s="54">
        <v>2020</v>
      </c>
      <c r="AN12194" s="54" t="s">
        <v>96</v>
      </c>
      <c r="AO12194" s="54">
        <v>23</v>
      </c>
      <c r="AP12194" s="54">
        <v>24</v>
      </c>
      <c r="AQ12194" s="54">
        <v>0</v>
      </c>
      <c r="AR12194" s="55">
        <v>28500</v>
      </c>
      <c r="AS12194" s="78">
        <f t="shared" si="194"/>
        <v>0</v>
      </c>
    </row>
    <row r="12195" spans="39:45">
      <c r="AM12195" s="55">
        <v>2020</v>
      </c>
      <c r="AN12195" s="55" t="s">
        <v>96</v>
      </c>
      <c r="AO12195" s="55">
        <v>23</v>
      </c>
      <c r="AP12195" s="55">
        <v>1</v>
      </c>
      <c r="AQ12195" s="55">
        <v>0</v>
      </c>
      <c r="AR12195" s="55">
        <v>28500</v>
      </c>
      <c r="AS12195" s="78">
        <f t="shared" si="194"/>
        <v>0</v>
      </c>
    </row>
    <row r="12196" spans="39:45">
      <c r="AM12196" s="54">
        <v>2020</v>
      </c>
      <c r="AN12196" s="54" t="s">
        <v>96</v>
      </c>
      <c r="AO12196" s="54">
        <v>23</v>
      </c>
      <c r="AP12196" s="54">
        <v>2</v>
      </c>
      <c r="AQ12196" s="54">
        <v>0</v>
      </c>
      <c r="AR12196" s="55">
        <v>28500</v>
      </c>
      <c r="AS12196" s="78">
        <f t="shared" si="194"/>
        <v>0</v>
      </c>
    </row>
    <row r="12197" spans="39:45">
      <c r="AM12197" s="55">
        <v>2020</v>
      </c>
      <c r="AN12197" s="55" t="s">
        <v>96</v>
      </c>
      <c r="AO12197" s="55">
        <v>23</v>
      </c>
      <c r="AP12197" s="55">
        <v>3</v>
      </c>
      <c r="AQ12197" s="55">
        <v>0</v>
      </c>
      <c r="AR12197" s="55">
        <v>28500</v>
      </c>
      <c r="AS12197" s="78">
        <f t="shared" si="194"/>
        <v>0</v>
      </c>
    </row>
    <row r="12198" spans="39:45">
      <c r="AM12198" s="54">
        <v>2020</v>
      </c>
      <c r="AN12198" s="54" t="s">
        <v>96</v>
      </c>
      <c r="AO12198" s="54">
        <v>23</v>
      </c>
      <c r="AP12198" s="54">
        <v>4</v>
      </c>
      <c r="AQ12198" s="54">
        <v>0</v>
      </c>
      <c r="AR12198" s="55">
        <v>28500</v>
      </c>
      <c r="AS12198" s="78">
        <f t="shared" si="194"/>
        <v>0</v>
      </c>
    </row>
    <row r="12199" spans="39:45">
      <c r="AM12199" s="55">
        <v>2020</v>
      </c>
      <c r="AN12199" s="55" t="s">
        <v>96</v>
      </c>
      <c r="AO12199" s="55">
        <v>23</v>
      </c>
      <c r="AP12199" s="55">
        <v>5</v>
      </c>
      <c r="AQ12199" s="55">
        <v>1219.5</v>
      </c>
      <c r="AR12199" s="55">
        <v>28500</v>
      </c>
      <c r="AS12199" s="78">
        <f t="shared" si="194"/>
        <v>4.2789473684210523E-2</v>
      </c>
    </row>
    <row r="12200" spans="39:45">
      <c r="AM12200" s="54">
        <v>2020</v>
      </c>
      <c r="AN12200" s="54" t="s">
        <v>96</v>
      </c>
      <c r="AO12200" s="54">
        <v>23</v>
      </c>
      <c r="AP12200" s="54">
        <v>6</v>
      </c>
      <c r="AQ12200" s="54">
        <v>4066.5</v>
      </c>
      <c r="AR12200" s="55">
        <v>28500</v>
      </c>
      <c r="AS12200" s="78">
        <f t="shared" si="194"/>
        <v>0.1426842105263158</v>
      </c>
    </row>
    <row r="12201" spans="39:45">
      <c r="AM12201" s="55">
        <v>2020</v>
      </c>
      <c r="AN12201" s="55" t="s">
        <v>96</v>
      </c>
      <c r="AO12201" s="55">
        <v>23</v>
      </c>
      <c r="AP12201" s="55">
        <v>7</v>
      </c>
      <c r="AQ12201" s="55">
        <v>12055.5</v>
      </c>
      <c r="AR12201" s="55">
        <v>28500</v>
      </c>
      <c r="AS12201" s="78">
        <f t="shared" si="194"/>
        <v>0.42299999999999999</v>
      </c>
    </row>
    <row r="12202" spans="39:45">
      <c r="AM12202" s="54">
        <v>2020</v>
      </c>
      <c r="AN12202" s="54" t="s">
        <v>96</v>
      </c>
      <c r="AO12202" s="54">
        <v>23</v>
      </c>
      <c r="AP12202" s="54">
        <v>8</v>
      </c>
      <c r="AQ12202" s="54">
        <v>21580.5</v>
      </c>
      <c r="AR12202" s="55">
        <v>28500</v>
      </c>
      <c r="AS12202" s="78">
        <f t="shared" si="194"/>
        <v>0.75721052631578945</v>
      </c>
    </row>
    <row r="12203" spans="39:45">
      <c r="AM12203" s="55">
        <v>2020</v>
      </c>
      <c r="AN12203" s="55" t="s">
        <v>96</v>
      </c>
      <c r="AO12203" s="55">
        <v>23</v>
      </c>
      <c r="AP12203" s="55">
        <v>9</v>
      </c>
      <c r="AQ12203" s="55">
        <v>26524</v>
      </c>
      <c r="AR12203" s="55">
        <v>28500</v>
      </c>
      <c r="AS12203" s="78">
        <f t="shared" si="194"/>
        <v>0.93066666666666664</v>
      </c>
    </row>
    <row r="12204" spans="39:45">
      <c r="AM12204" s="54">
        <v>2020</v>
      </c>
      <c r="AN12204" s="54" t="s">
        <v>96</v>
      </c>
      <c r="AO12204" s="54">
        <v>23</v>
      </c>
      <c r="AP12204" s="54">
        <v>10</v>
      </c>
      <c r="AQ12204" s="54">
        <v>26596</v>
      </c>
      <c r="AR12204" s="55">
        <v>28500</v>
      </c>
      <c r="AS12204" s="78">
        <f t="shared" si="194"/>
        <v>0.93319298245614035</v>
      </c>
    </row>
    <row r="12205" spans="39:45">
      <c r="AM12205" s="55">
        <v>2020</v>
      </c>
      <c r="AN12205" s="55" t="s">
        <v>96</v>
      </c>
      <c r="AO12205" s="55">
        <v>23</v>
      </c>
      <c r="AP12205" s="55">
        <v>11</v>
      </c>
      <c r="AQ12205" s="55">
        <v>41943</v>
      </c>
      <c r="AR12205" s="55">
        <v>28500</v>
      </c>
      <c r="AS12205" s="78">
        <f t="shared" si="194"/>
        <v>1.4716842105263157</v>
      </c>
    </row>
    <row r="12206" spans="39:45">
      <c r="AM12206" s="54">
        <v>2020</v>
      </c>
      <c r="AN12206" s="54" t="s">
        <v>96</v>
      </c>
      <c r="AO12206" s="54">
        <v>23</v>
      </c>
      <c r="AP12206" s="54">
        <v>12</v>
      </c>
      <c r="AQ12206" s="54">
        <v>41506</v>
      </c>
      <c r="AR12206" s="55">
        <v>28500</v>
      </c>
      <c r="AS12206" s="78">
        <f t="shared" si="194"/>
        <v>1.4563508771929825</v>
      </c>
    </row>
    <row r="12207" spans="39:45">
      <c r="AM12207" s="55">
        <v>2020</v>
      </c>
      <c r="AN12207" s="55" t="s">
        <v>96</v>
      </c>
      <c r="AO12207" s="55">
        <v>23</v>
      </c>
      <c r="AP12207" s="55">
        <v>13</v>
      </c>
      <c r="AQ12207" s="55">
        <v>29601</v>
      </c>
      <c r="AR12207" s="55">
        <v>28500</v>
      </c>
      <c r="AS12207" s="78">
        <f t="shared" si="194"/>
        <v>1.0386315789473684</v>
      </c>
    </row>
    <row r="12208" spans="39:45">
      <c r="AM12208" s="54">
        <v>2020</v>
      </c>
      <c r="AN12208" s="54" t="s">
        <v>96</v>
      </c>
      <c r="AO12208" s="54">
        <v>23</v>
      </c>
      <c r="AP12208" s="54">
        <v>14</v>
      </c>
      <c r="AQ12208" s="54">
        <v>25546</v>
      </c>
      <c r="AR12208" s="55">
        <v>28500</v>
      </c>
      <c r="AS12208" s="78">
        <f t="shared" si="194"/>
        <v>0.89635087719298245</v>
      </c>
    </row>
    <row r="12209" spans="39:45">
      <c r="AM12209" s="55">
        <v>2020</v>
      </c>
      <c r="AN12209" s="55" t="s">
        <v>96</v>
      </c>
      <c r="AO12209" s="55">
        <v>23</v>
      </c>
      <c r="AP12209" s="55">
        <v>15</v>
      </c>
      <c r="AQ12209" s="55">
        <v>10086</v>
      </c>
      <c r="AR12209" s="55">
        <v>28500</v>
      </c>
      <c r="AS12209" s="78">
        <f t="shared" si="194"/>
        <v>0.35389473684210526</v>
      </c>
    </row>
    <row r="12210" spans="39:45">
      <c r="AM12210" s="54">
        <v>2020</v>
      </c>
      <c r="AN12210" s="54" t="s">
        <v>96</v>
      </c>
      <c r="AO12210" s="54">
        <v>23</v>
      </c>
      <c r="AP12210" s="54">
        <v>16</v>
      </c>
      <c r="AQ12210" s="54">
        <v>11446</v>
      </c>
      <c r="AR12210" s="55">
        <v>28500</v>
      </c>
      <c r="AS12210" s="78">
        <f t="shared" si="194"/>
        <v>0.40161403508771931</v>
      </c>
    </row>
    <row r="12211" spans="39:45">
      <c r="AM12211" s="55">
        <v>2020</v>
      </c>
      <c r="AN12211" s="55" t="s">
        <v>96</v>
      </c>
      <c r="AO12211" s="55">
        <v>23</v>
      </c>
      <c r="AP12211" s="55">
        <v>17</v>
      </c>
      <c r="AQ12211" s="55">
        <v>8843</v>
      </c>
      <c r="AR12211" s="55">
        <v>28500</v>
      </c>
      <c r="AS12211" s="78">
        <f t="shared" si="194"/>
        <v>0.31028070175438599</v>
      </c>
    </row>
    <row r="12212" spans="39:45">
      <c r="AM12212" s="54">
        <v>2020</v>
      </c>
      <c r="AN12212" s="54" t="s">
        <v>96</v>
      </c>
      <c r="AO12212" s="54">
        <v>23</v>
      </c>
      <c r="AP12212" s="54">
        <v>18</v>
      </c>
      <c r="AQ12212" s="54">
        <v>2842.5</v>
      </c>
      <c r="AR12212" s="55">
        <v>28500</v>
      </c>
      <c r="AS12212" s="78">
        <f t="shared" si="194"/>
        <v>9.9736842105263152E-2</v>
      </c>
    </row>
    <row r="12213" spans="39:45">
      <c r="AM12213" s="55">
        <v>2020</v>
      </c>
      <c r="AN12213" s="55" t="s">
        <v>96</v>
      </c>
      <c r="AO12213" s="55">
        <v>23</v>
      </c>
      <c r="AP12213" s="55">
        <v>19</v>
      </c>
      <c r="AQ12213" s="55">
        <v>497</v>
      </c>
      <c r="AR12213" s="55">
        <v>28500</v>
      </c>
      <c r="AS12213" s="78">
        <f t="shared" si="194"/>
        <v>1.7438596491228069E-2</v>
      </c>
    </row>
    <row r="12214" spans="39:45">
      <c r="AM12214" s="54">
        <v>2020</v>
      </c>
      <c r="AN12214" s="54" t="s">
        <v>96</v>
      </c>
      <c r="AO12214" s="54">
        <v>23</v>
      </c>
      <c r="AP12214" s="54">
        <v>20</v>
      </c>
      <c r="AQ12214" s="54">
        <v>0</v>
      </c>
      <c r="AR12214" s="55">
        <v>28500</v>
      </c>
      <c r="AS12214" s="78">
        <f t="shared" si="194"/>
        <v>0</v>
      </c>
    </row>
    <row r="12215" spans="39:45">
      <c r="AM12215" s="55">
        <v>2020</v>
      </c>
      <c r="AN12215" s="55" t="s">
        <v>96</v>
      </c>
      <c r="AO12215" s="55">
        <v>23</v>
      </c>
      <c r="AP12215" s="55">
        <v>21</v>
      </c>
      <c r="AQ12215" s="55">
        <v>0</v>
      </c>
      <c r="AR12215" s="55">
        <v>28500</v>
      </c>
      <c r="AS12215" s="78">
        <f t="shared" si="194"/>
        <v>0</v>
      </c>
    </row>
    <row r="12216" spans="39:45">
      <c r="AM12216" s="54">
        <v>2020</v>
      </c>
      <c r="AN12216" s="54" t="s">
        <v>96</v>
      </c>
      <c r="AO12216" s="54">
        <v>23</v>
      </c>
      <c r="AP12216" s="54">
        <v>22</v>
      </c>
      <c r="AQ12216" s="54">
        <v>0</v>
      </c>
      <c r="AR12216" s="55">
        <v>28500</v>
      </c>
      <c r="AS12216" s="78">
        <f t="shared" si="194"/>
        <v>0</v>
      </c>
    </row>
    <row r="12217" spans="39:45">
      <c r="AM12217" s="55">
        <v>2020</v>
      </c>
      <c r="AN12217" s="55" t="s">
        <v>96</v>
      </c>
      <c r="AO12217" s="55">
        <v>23</v>
      </c>
      <c r="AP12217" s="55">
        <v>23</v>
      </c>
      <c r="AQ12217" s="55">
        <v>0</v>
      </c>
      <c r="AR12217" s="55">
        <v>28500</v>
      </c>
      <c r="AS12217" s="78">
        <f t="shared" si="194"/>
        <v>0</v>
      </c>
    </row>
    <row r="12218" spans="39:45">
      <c r="AM12218" s="54">
        <v>2020</v>
      </c>
      <c r="AN12218" s="54" t="s">
        <v>96</v>
      </c>
      <c r="AO12218" s="54">
        <v>24</v>
      </c>
      <c r="AP12218" s="54">
        <v>24</v>
      </c>
      <c r="AQ12218" s="54">
        <v>0</v>
      </c>
      <c r="AR12218" s="55">
        <v>28500</v>
      </c>
      <c r="AS12218" s="78">
        <f t="shared" si="194"/>
        <v>0</v>
      </c>
    </row>
    <row r="12219" spans="39:45">
      <c r="AM12219" s="55">
        <v>2020</v>
      </c>
      <c r="AN12219" s="55" t="s">
        <v>96</v>
      </c>
      <c r="AO12219" s="55">
        <v>24</v>
      </c>
      <c r="AP12219" s="55">
        <v>1</v>
      </c>
      <c r="AQ12219" s="55">
        <v>0</v>
      </c>
      <c r="AR12219" s="55">
        <v>28500</v>
      </c>
      <c r="AS12219" s="78">
        <f t="shared" si="194"/>
        <v>0</v>
      </c>
    </row>
    <row r="12220" spans="39:45">
      <c r="AM12220" s="54">
        <v>2020</v>
      </c>
      <c r="AN12220" s="54" t="s">
        <v>96</v>
      </c>
      <c r="AO12220" s="54">
        <v>24</v>
      </c>
      <c r="AP12220" s="54">
        <v>2</v>
      </c>
      <c r="AQ12220" s="54">
        <v>0</v>
      </c>
      <c r="AR12220" s="55">
        <v>28500</v>
      </c>
      <c r="AS12220" s="78">
        <f t="shared" si="194"/>
        <v>0</v>
      </c>
    </row>
    <row r="12221" spans="39:45">
      <c r="AM12221" s="55">
        <v>2020</v>
      </c>
      <c r="AN12221" s="55" t="s">
        <v>96</v>
      </c>
      <c r="AO12221" s="55">
        <v>24</v>
      </c>
      <c r="AP12221" s="55">
        <v>3</v>
      </c>
      <c r="AQ12221" s="55">
        <v>0</v>
      </c>
      <c r="AR12221" s="55">
        <v>28500</v>
      </c>
      <c r="AS12221" s="78">
        <f t="shared" si="194"/>
        <v>0</v>
      </c>
    </row>
    <row r="12222" spans="39:45">
      <c r="AM12222" s="54">
        <v>2020</v>
      </c>
      <c r="AN12222" s="54" t="s">
        <v>96</v>
      </c>
      <c r="AO12222" s="54">
        <v>24</v>
      </c>
      <c r="AP12222" s="54">
        <v>4</v>
      </c>
      <c r="AQ12222" s="54">
        <v>0</v>
      </c>
      <c r="AR12222" s="55">
        <v>28500</v>
      </c>
      <c r="AS12222" s="78">
        <f t="shared" si="194"/>
        <v>0</v>
      </c>
    </row>
    <row r="12223" spans="39:45">
      <c r="AM12223" s="55">
        <v>2020</v>
      </c>
      <c r="AN12223" s="55" t="s">
        <v>96</v>
      </c>
      <c r="AO12223" s="55">
        <v>24</v>
      </c>
      <c r="AP12223" s="55">
        <v>5</v>
      </c>
      <c r="AQ12223" s="55">
        <v>1092</v>
      </c>
      <c r="AR12223" s="55">
        <v>28500</v>
      </c>
      <c r="AS12223" s="78">
        <f t="shared" si="194"/>
        <v>3.8315789473684213E-2</v>
      </c>
    </row>
    <row r="12224" spans="39:45">
      <c r="AM12224" s="54">
        <v>2020</v>
      </c>
      <c r="AN12224" s="54" t="s">
        <v>96</v>
      </c>
      <c r="AO12224" s="54">
        <v>24</v>
      </c>
      <c r="AP12224" s="54">
        <v>6</v>
      </c>
      <c r="AQ12224" s="54">
        <v>4842.5</v>
      </c>
      <c r="AR12224" s="55">
        <v>28500</v>
      </c>
      <c r="AS12224" s="78">
        <f t="shared" si="194"/>
        <v>0.16991228070175438</v>
      </c>
    </row>
    <row r="12225" spans="39:45">
      <c r="AM12225" s="55">
        <v>2020</v>
      </c>
      <c r="AN12225" s="55" t="s">
        <v>96</v>
      </c>
      <c r="AO12225" s="55">
        <v>24</v>
      </c>
      <c r="AP12225" s="55">
        <v>7</v>
      </c>
      <c r="AQ12225" s="55">
        <v>12629.5</v>
      </c>
      <c r="AR12225" s="55">
        <v>28500</v>
      </c>
      <c r="AS12225" s="78">
        <f t="shared" si="194"/>
        <v>0.443140350877193</v>
      </c>
    </row>
    <row r="12226" spans="39:45">
      <c r="AM12226" s="54">
        <v>2020</v>
      </c>
      <c r="AN12226" s="54" t="s">
        <v>96</v>
      </c>
      <c r="AO12226" s="54">
        <v>24</v>
      </c>
      <c r="AP12226" s="54">
        <v>8</v>
      </c>
      <c r="AQ12226" s="54">
        <v>7577.5</v>
      </c>
      <c r="AR12226" s="55">
        <v>28500</v>
      </c>
      <c r="AS12226" s="78">
        <f t="shared" ref="AS12226:AS12289" si="195">AQ12226/AR12226</f>
        <v>0.26587719298245616</v>
      </c>
    </row>
    <row r="12227" spans="39:45">
      <c r="AM12227" s="55">
        <v>2020</v>
      </c>
      <c r="AN12227" s="55" t="s">
        <v>96</v>
      </c>
      <c r="AO12227" s="55">
        <v>24</v>
      </c>
      <c r="AP12227" s="55">
        <v>9</v>
      </c>
      <c r="AQ12227" s="55">
        <v>20976.5</v>
      </c>
      <c r="AR12227" s="55">
        <v>28500</v>
      </c>
      <c r="AS12227" s="78">
        <f t="shared" si="195"/>
        <v>0.73601754385964913</v>
      </c>
    </row>
    <row r="12228" spans="39:45">
      <c r="AM12228" s="54">
        <v>2020</v>
      </c>
      <c r="AN12228" s="54" t="s">
        <v>96</v>
      </c>
      <c r="AO12228" s="54">
        <v>24</v>
      </c>
      <c r="AP12228" s="54">
        <v>10</v>
      </c>
      <c r="AQ12228" s="54">
        <v>22088.5</v>
      </c>
      <c r="AR12228" s="55">
        <v>28500</v>
      </c>
      <c r="AS12228" s="78">
        <f t="shared" si="195"/>
        <v>0.7750350877192983</v>
      </c>
    </row>
    <row r="12229" spans="39:45">
      <c r="AM12229" s="55">
        <v>2020</v>
      </c>
      <c r="AN12229" s="55" t="s">
        <v>96</v>
      </c>
      <c r="AO12229" s="55">
        <v>24</v>
      </c>
      <c r="AP12229" s="55">
        <v>11</v>
      </c>
      <c r="AQ12229" s="55">
        <v>32460.5</v>
      </c>
      <c r="AR12229" s="55">
        <v>28500</v>
      </c>
      <c r="AS12229" s="78">
        <f t="shared" si="195"/>
        <v>1.1389649122807017</v>
      </c>
    </row>
    <row r="12230" spans="39:45">
      <c r="AM12230" s="54">
        <v>2020</v>
      </c>
      <c r="AN12230" s="54" t="s">
        <v>96</v>
      </c>
      <c r="AO12230" s="54">
        <v>24</v>
      </c>
      <c r="AP12230" s="54">
        <v>12</v>
      </c>
      <c r="AQ12230" s="54">
        <v>19447.5</v>
      </c>
      <c r="AR12230" s="55">
        <v>28500</v>
      </c>
      <c r="AS12230" s="78">
        <f t="shared" si="195"/>
        <v>0.68236842105263162</v>
      </c>
    </row>
    <row r="12231" spans="39:45">
      <c r="AM12231" s="55">
        <v>2020</v>
      </c>
      <c r="AN12231" s="55" t="s">
        <v>96</v>
      </c>
      <c r="AO12231" s="55">
        <v>24</v>
      </c>
      <c r="AP12231" s="55">
        <v>13</v>
      </c>
      <c r="AQ12231" s="55">
        <v>23889</v>
      </c>
      <c r="AR12231" s="55">
        <v>28500</v>
      </c>
      <c r="AS12231" s="78">
        <f t="shared" si="195"/>
        <v>0.83821052631578952</v>
      </c>
    </row>
    <row r="12232" spans="39:45">
      <c r="AM12232" s="54">
        <v>2020</v>
      </c>
      <c r="AN12232" s="54" t="s">
        <v>96</v>
      </c>
      <c r="AO12232" s="54">
        <v>24</v>
      </c>
      <c r="AP12232" s="54">
        <v>14</v>
      </c>
      <c r="AQ12232" s="54">
        <v>24521</v>
      </c>
      <c r="AR12232" s="55">
        <v>28500</v>
      </c>
      <c r="AS12232" s="78">
        <f t="shared" si="195"/>
        <v>0.8603859649122807</v>
      </c>
    </row>
    <row r="12233" spans="39:45">
      <c r="AM12233" s="55">
        <v>2020</v>
      </c>
      <c r="AN12233" s="55" t="s">
        <v>96</v>
      </c>
      <c r="AO12233" s="55">
        <v>24</v>
      </c>
      <c r="AP12233" s="55">
        <v>15</v>
      </c>
      <c r="AQ12233" s="55">
        <v>12595.5</v>
      </c>
      <c r="AR12233" s="55">
        <v>28500</v>
      </c>
      <c r="AS12233" s="78">
        <f t="shared" si="195"/>
        <v>0.44194736842105264</v>
      </c>
    </row>
    <row r="12234" spans="39:45">
      <c r="AM12234" s="54">
        <v>2020</v>
      </c>
      <c r="AN12234" s="54" t="s">
        <v>96</v>
      </c>
      <c r="AO12234" s="54">
        <v>24</v>
      </c>
      <c r="AP12234" s="54">
        <v>16</v>
      </c>
      <c r="AQ12234" s="54">
        <v>8245.5</v>
      </c>
      <c r="AR12234" s="55">
        <v>28500</v>
      </c>
      <c r="AS12234" s="78">
        <f t="shared" si="195"/>
        <v>0.28931578947368419</v>
      </c>
    </row>
    <row r="12235" spans="39:45">
      <c r="AM12235" s="55">
        <v>2020</v>
      </c>
      <c r="AN12235" s="55" t="s">
        <v>96</v>
      </c>
      <c r="AO12235" s="55">
        <v>24</v>
      </c>
      <c r="AP12235" s="55">
        <v>17</v>
      </c>
      <c r="AQ12235" s="55">
        <v>5701</v>
      </c>
      <c r="AR12235" s="55">
        <v>28500</v>
      </c>
      <c r="AS12235" s="78">
        <f t="shared" si="195"/>
        <v>0.20003508771929823</v>
      </c>
    </row>
    <row r="12236" spans="39:45">
      <c r="AM12236" s="54">
        <v>2020</v>
      </c>
      <c r="AN12236" s="54" t="s">
        <v>96</v>
      </c>
      <c r="AO12236" s="54">
        <v>24</v>
      </c>
      <c r="AP12236" s="54">
        <v>18</v>
      </c>
      <c r="AQ12236" s="54">
        <v>2660</v>
      </c>
      <c r="AR12236" s="55">
        <v>28500</v>
      </c>
      <c r="AS12236" s="78">
        <f t="shared" si="195"/>
        <v>9.3333333333333338E-2</v>
      </c>
    </row>
    <row r="12237" spans="39:45">
      <c r="AM12237" s="55">
        <v>2020</v>
      </c>
      <c r="AN12237" s="55" t="s">
        <v>96</v>
      </c>
      <c r="AO12237" s="55">
        <v>24</v>
      </c>
      <c r="AP12237" s="55">
        <v>19</v>
      </c>
      <c r="AQ12237" s="55">
        <v>487</v>
      </c>
      <c r="AR12237" s="55">
        <v>28500</v>
      </c>
      <c r="AS12237" s="78">
        <f t="shared" si="195"/>
        <v>1.7087719298245613E-2</v>
      </c>
    </row>
    <row r="12238" spans="39:45">
      <c r="AM12238" s="54">
        <v>2020</v>
      </c>
      <c r="AN12238" s="54" t="s">
        <v>96</v>
      </c>
      <c r="AO12238" s="54">
        <v>24</v>
      </c>
      <c r="AP12238" s="54">
        <v>20</v>
      </c>
      <c r="AQ12238" s="54">
        <v>0</v>
      </c>
      <c r="AR12238" s="55">
        <v>28500</v>
      </c>
      <c r="AS12238" s="78">
        <f t="shared" si="195"/>
        <v>0</v>
      </c>
    </row>
    <row r="12239" spans="39:45">
      <c r="AM12239" s="55">
        <v>2020</v>
      </c>
      <c r="AN12239" s="55" t="s">
        <v>96</v>
      </c>
      <c r="AO12239" s="55">
        <v>24</v>
      </c>
      <c r="AP12239" s="55">
        <v>21</v>
      </c>
      <c r="AQ12239" s="55">
        <v>0</v>
      </c>
      <c r="AR12239" s="55">
        <v>28500</v>
      </c>
      <c r="AS12239" s="78">
        <f t="shared" si="195"/>
        <v>0</v>
      </c>
    </row>
    <row r="12240" spans="39:45">
      <c r="AM12240" s="54">
        <v>2020</v>
      </c>
      <c r="AN12240" s="54" t="s">
        <v>96</v>
      </c>
      <c r="AO12240" s="54">
        <v>24</v>
      </c>
      <c r="AP12240" s="54">
        <v>22</v>
      </c>
      <c r="AQ12240" s="54">
        <v>0</v>
      </c>
      <c r="AR12240" s="55">
        <v>28500</v>
      </c>
      <c r="AS12240" s="78">
        <f t="shared" si="195"/>
        <v>0</v>
      </c>
    </row>
    <row r="12241" spans="39:45">
      <c r="AM12241" s="55">
        <v>2020</v>
      </c>
      <c r="AN12241" s="55" t="s">
        <v>96</v>
      </c>
      <c r="AO12241" s="55">
        <v>24</v>
      </c>
      <c r="AP12241" s="55">
        <v>23</v>
      </c>
      <c r="AQ12241" s="55">
        <v>0</v>
      </c>
      <c r="AR12241" s="55">
        <v>28500</v>
      </c>
      <c r="AS12241" s="78">
        <f t="shared" si="195"/>
        <v>0</v>
      </c>
    </row>
    <row r="12242" spans="39:45">
      <c r="AM12242" s="54">
        <v>2020</v>
      </c>
      <c r="AN12242" s="54" t="s">
        <v>96</v>
      </c>
      <c r="AO12242" s="54">
        <v>25</v>
      </c>
      <c r="AP12242" s="54">
        <v>24</v>
      </c>
      <c r="AQ12242" s="54">
        <v>0</v>
      </c>
      <c r="AR12242" s="55">
        <v>28500</v>
      </c>
      <c r="AS12242" s="78">
        <f t="shared" si="195"/>
        <v>0</v>
      </c>
    </row>
    <row r="12243" spans="39:45">
      <c r="AM12243" s="55">
        <v>2020</v>
      </c>
      <c r="AN12243" s="55" t="s">
        <v>96</v>
      </c>
      <c r="AO12243" s="55">
        <v>25</v>
      </c>
      <c r="AP12243" s="55">
        <v>1</v>
      </c>
      <c r="AQ12243" s="55">
        <v>0</v>
      </c>
      <c r="AR12243" s="55">
        <v>28500</v>
      </c>
      <c r="AS12243" s="78">
        <f t="shared" si="195"/>
        <v>0</v>
      </c>
    </row>
    <row r="12244" spans="39:45">
      <c r="AM12244" s="54">
        <v>2020</v>
      </c>
      <c r="AN12244" s="54" t="s">
        <v>96</v>
      </c>
      <c r="AO12244" s="54">
        <v>25</v>
      </c>
      <c r="AP12244" s="54">
        <v>2</v>
      </c>
      <c r="AQ12244" s="54">
        <v>0</v>
      </c>
      <c r="AR12244" s="55">
        <v>28500</v>
      </c>
      <c r="AS12244" s="78">
        <f t="shared" si="195"/>
        <v>0</v>
      </c>
    </row>
    <row r="12245" spans="39:45">
      <c r="AM12245" s="55">
        <v>2020</v>
      </c>
      <c r="AN12245" s="55" t="s">
        <v>96</v>
      </c>
      <c r="AO12245" s="55">
        <v>25</v>
      </c>
      <c r="AP12245" s="55">
        <v>3</v>
      </c>
      <c r="AQ12245" s="55">
        <v>0</v>
      </c>
      <c r="AR12245" s="55">
        <v>28500</v>
      </c>
      <c r="AS12245" s="78">
        <f t="shared" si="195"/>
        <v>0</v>
      </c>
    </row>
    <row r="12246" spans="39:45">
      <c r="AM12246" s="54">
        <v>2020</v>
      </c>
      <c r="AN12246" s="54" t="s">
        <v>96</v>
      </c>
      <c r="AO12246" s="54">
        <v>25</v>
      </c>
      <c r="AP12246" s="54">
        <v>4</v>
      </c>
      <c r="AQ12246" s="54">
        <v>0</v>
      </c>
      <c r="AR12246" s="55">
        <v>28500</v>
      </c>
      <c r="AS12246" s="78">
        <f t="shared" si="195"/>
        <v>0</v>
      </c>
    </row>
    <row r="12247" spans="39:45">
      <c r="AM12247" s="55">
        <v>2020</v>
      </c>
      <c r="AN12247" s="55" t="s">
        <v>96</v>
      </c>
      <c r="AO12247" s="55">
        <v>25</v>
      </c>
      <c r="AP12247" s="55">
        <v>5</v>
      </c>
      <c r="AQ12247" s="55">
        <v>1323</v>
      </c>
      <c r="AR12247" s="55">
        <v>28500</v>
      </c>
      <c r="AS12247" s="78">
        <f t="shared" si="195"/>
        <v>4.6421052631578946E-2</v>
      </c>
    </row>
    <row r="12248" spans="39:45">
      <c r="AM12248" s="54">
        <v>2020</v>
      </c>
      <c r="AN12248" s="54" t="s">
        <v>96</v>
      </c>
      <c r="AO12248" s="54">
        <v>25</v>
      </c>
      <c r="AP12248" s="54">
        <v>6</v>
      </c>
      <c r="AQ12248" s="54">
        <v>4138.5</v>
      </c>
      <c r="AR12248" s="55">
        <v>28500</v>
      </c>
      <c r="AS12248" s="78">
        <f t="shared" si="195"/>
        <v>0.14521052631578948</v>
      </c>
    </row>
    <row r="12249" spans="39:45">
      <c r="AM12249" s="55">
        <v>2020</v>
      </c>
      <c r="AN12249" s="55" t="s">
        <v>96</v>
      </c>
      <c r="AO12249" s="55">
        <v>25</v>
      </c>
      <c r="AP12249" s="55">
        <v>7</v>
      </c>
      <c r="AQ12249" s="55">
        <v>13893</v>
      </c>
      <c r="AR12249" s="55">
        <v>28500</v>
      </c>
      <c r="AS12249" s="78">
        <f t="shared" si="195"/>
        <v>0.48747368421052634</v>
      </c>
    </row>
    <row r="12250" spans="39:45">
      <c r="AM12250" s="54">
        <v>2020</v>
      </c>
      <c r="AN12250" s="54" t="s">
        <v>96</v>
      </c>
      <c r="AO12250" s="54">
        <v>25</v>
      </c>
      <c r="AP12250" s="54">
        <v>8</v>
      </c>
      <c r="AQ12250" s="54">
        <v>23407</v>
      </c>
      <c r="AR12250" s="55">
        <v>28500</v>
      </c>
      <c r="AS12250" s="78">
        <f t="shared" si="195"/>
        <v>0.82129824561403508</v>
      </c>
    </row>
    <row r="12251" spans="39:45">
      <c r="AM12251" s="55">
        <v>2020</v>
      </c>
      <c r="AN12251" s="55" t="s">
        <v>96</v>
      </c>
      <c r="AO12251" s="55">
        <v>25</v>
      </c>
      <c r="AP12251" s="55">
        <v>9</v>
      </c>
      <c r="AQ12251" s="55">
        <v>30328</v>
      </c>
      <c r="AR12251" s="55">
        <v>28500</v>
      </c>
      <c r="AS12251" s="78">
        <f t="shared" si="195"/>
        <v>1.0641403508771929</v>
      </c>
    </row>
    <row r="12252" spans="39:45">
      <c r="AM12252" s="54">
        <v>2020</v>
      </c>
      <c r="AN12252" s="54" t="s">
        <v>96</v>
      </c>
      <c r="AO12252" s="54">
        <v>25</v>
      </c>
      <c r="AP12252" s="54">
        <v>10</v>
      </c>
      <c r="AQ12252" s="54">
        <v>32147.5</v>
      </c>
      <c r="AR12252" s="55">
        <v>28500</v>
      </c>
      <c r="AS12252" s="78">
        <f t="shared" si="195"/>
        <v>1.1279824561403509</v>
      </c>
    </row>
    <row r="12253" spans="39:45">
      <c r="AM12253" s="55">
        <v>2020</v>
      </c>
      <c r="AN12253" s="55" t="s">
        <v>96</v>
      </c>
      <c r="AO12253" s="55">
        <v>25</v>
      </c>
      <c r="AP12253" s="55">
        <v>11</v>
      </c>
      <c r="AQ12253" s="55">
        <v>37040</v>
      </c>
      <c r="AR12253" s="55">
        <v>28500</v>
      </c>
      <c r="AS12253" s="78">
        <f t="shared" si="195"/>
        <v>1.2996491228070175</v>
      </c>
    </row>
    <row r="12254" spans="39:45">
      <c r="AM12254" s="54">
        <v>2020</v>
      </c>
      <c r="AN12254" s="54" t="s">
        <v>96</v>
      </c>
      <c r="AO12254" s="54">
        <v>25</v>
      </c>
      <c r="AP12254" s="54">
        <v>12</v>
      </c>
      <c r="AQ12254" s="54">
        <v>37639</v>
      </c>
      <c r="AR12254" s="55">
        <v>28500</v>
      </c>
      <c r="AS12254" s="78">
        <f t="shared" si="195"/>
        <v>1.3206666666666667</v>
      </c>
    </row>
    <row r="12255" spans="39:45">
      <c r="AM12255" s="55">
        <v>2020</v>
      </c>
      <c r="AN12255" s="55" t="s">
        <v>96</v>
      </c>
      <c r="AO12255" s="55">
        <v>25</v>
      </c>
      <c r="AP12255" s="55">
        <v>13</v>
      </c>
      <c r="AQ12255" s="55">
        <v>31156</v>
      </c>
      <c r="AR12255" s="55">
        <v>28500</v>
      </c>
      <c r="AS12255" s="78">
        <f t="shared" si="195"/>
        <v>1.0931929824561404</v>
      </c>
    </row>
    <row r="12256" spans="39:45">
      <c r="AM12256" s="54">
        <v>2020</v>
      </c>
      <c r="AN12256" s="54" t="s">
        <v>96</v>
      </c>
      <c r="AO12256" s="54">
        <v>25</v>
      </c>
      <c r="AP12256" s="54">
        <v>14</v>
      </c>
      <c r="AQ12256" s="54">
        <v>25299</v>
      </c>
      <c r="AR12256" s="55">
        <v>28500</v>
      </c>
      <c r="AS12256" s="78">
        <f t="shared" si="195"/>
        <v>0.88768421052631574</v>
      </c>
    </row>
    <row r="12257" spans="39:45">
      <c r="AM12257" s="55">
        <v>2020</v>
      </c>
      <c r="AN12257" s="55" t="s">
        <v>96</v>
      </c>
      <c r="AO12257" s="55">
        <v>25</v>
      </c>
      <c r="AP12257" s="55">
        <v>15</v>
      </c>
      <c r="AQ12257" s="55">
        <v>22307.5</v>
      </c>
      <c r="AR12257" s="55">
        <v>28500</v>
      </c>
      <c r="AS12257" s="78">
        <f t="shared" si="195"/>
        <v>0.78271929824561404</v>
      </c>
    </row>
    <row r="12258" spans="39:45">
      <c r="AM12258" s="54">
        <v>2020</v>
      </c>
      <c r="AN12258" s="54" t="s">
        <v>96</v>
      </c>
      <c r="AO12258" s="54">
        <v>25</v>
      </c>
      <c r="AP12258" s="54">
        <v>16</v>
      </c>
      <c r="AQ12258" s="54">
        <v>15790</v>
      </c>
      <c r="AR12258" s="55">
        <v>28500</v>
      </c>
      <c r="AS12258" s="78">
        <f t="shared" si="195"/>
        <v>0.55403508771929821</v>
      </c>
    </row>
    <row r="12259" spans="39:45">
      <c r="AM12259" s="55">
        <v>2020</v>
      </c>
      <c r="AN12259" s="55" t="s">
        <v>96</v>
      </c>
      <c r="AO12259" s="55">
        <v>25</v>
      </c>
      <c r="AP12259" s="55">
        <v>17</v>
      </c>
      <c r="AQ12259" s="55">
        <v>8570.5</v>
      </c>
      <c r="AR12259" s="55">
        <v>28500</v>
      </c>
      <c r="AS12259" s="78">
        <f t="shared" si="195"/>
        <v>0.30071929824561405</v>
      </c>
    </row>
    <row r="12260" spans="39:45">
      <c r="AM12260" s="54">
        <v>2020</v>
      </c>
      <c r="AN12260" s="54" t="s">
        <v>96</v>
      </c>
      <c r="AO12260" s="54">
        <v>25</v>
      </c>
      <c r="AP12260" s="54">
        <v>18</v>
      </c>
      <c r="AQ12260" s="54">
        <v>1067.5</v>
      </c>
      <c r="AR12260" s="55">
        <v>28500</v>
      </c>
      <c r="AS12260" s="78">
        <f t="shared" si="195"/>
        <v>3.7456140350877194E-2</v>
      </c>
    </row>
    <row r="12261" spans="39:45">
      <c r="AM12261" s="55">
        <v>2020</v>
      </c>
      <c r="AN12261" s="55" t="s">
        <v>96</v>
      </c>
      <c r="AO12261" s="55">
        <v>25</v>
      </c>
      <c r="AP12261" s="55">
        <v>19</v>
      </c>
      <c r="AQ12261" s="55">
        <v>593</v>
      </c>
      <c r="AR12261" s="55">
        <v>28500</v>
      </c>
      <c r="AS12261" s="78">
        <f t="shared" si="195"/>
        <v>2.0807017543859649E-2</v>
      </c>
    </row>
    <row r="12262" spans="39:45">
      <c r="AM12262" s="54">
        <v>2020</v>
      </c>
      <c r="AN12262" s="54" t="s">
        <v>96</v>
      </c>
      <c r="AO12262" s="54">
        <v>25</v>
      </c>
      <c r="AP12262" s="54">
        <v>20</v>
      </c>
      <c r="AQ12262" s="54">
        <v>0</v>
      </c>
      <c r="AR12262" s="55">
        <v>28500</v>
      </c>
      <c r="AS12262" s="78">
        <f t="shared" si="195"/>
        <v>0</v>
      </c>
    </row>
    <row r="12263" spans="39:45">
      <c r="AM12263" s="55">
        <v>2020</v>
      </c>
      <c r="AN12263" s="55" t="s">
        <v>96</v>
      </c>
      <c r="AO12263" s="55">
        <v>25</v>
      </c>
      <c r="AP12263" s="55">
        <v>21</v>
      </c>
      <c r="AQ12263" s="55">
        <v>0</v>
      </c>
      <c r="AR12263" s="55">
        <v>28500</v>
      </c>
      <c r="AS12263" s="78">
        <f t="shared" si="195"/>
        <v>0</v>
      </c>
    </row>
    <row r="12264" spans="39:45">
      <c r="AM12264" s="54">
        <v>2020</v>
      </c>
      <c r="AN12264" s="54" t="s">
        <v>96</v>
      </c>
      <c r="AO12264" s="54">
        <v>25</v>
      </c>
      <c r="AP12264" s="54">
        <v>22</v>
      </c>
      <c r="AQ12264" s="54">
        <v>0</v>
      </c>
      <c r="AR12264" s="55">
        <v>28500</v>
      </c>
      <c r="AS12264" s="78">
        <f t="shared" si="195"/>
        <v>0</v>
      </c>
    </row>
    <row r="12265" spans="39:45">
      <c r="AM12265" s="55">
        <v>2020</v>
      </c>
      <c r="AN12265" s="55" t="s">
        <v>96</v>
      </c>
      <c r="AO12265" s="55">
        <v>25</v>
      </c>
      <c r="AP12265" s="55">
        <v>23</v>
      </c>
      <c r="AQ12265" s="55">
        <v>0</v>
      </c>
      <c r="AR12265" s="55">
        <v>28500</v>
      </c>
      <c r="AS12265" s="78">
        <f t="shared" si="195"/>
        <v>0</v>
      </c>
    </row>
    <row r="12266" spans="39:45">
      <c r="AM12266" s="54">
        <v>2020</v>
      </c>
      <c r="AN12266" s="54" t="s">
        <v>96</v>
      </c>
      <c r="AO12266" s="54">
        <v>26</v>
      </c>
      <c r="AP12266" s="54">
        <v>24</v>
      </c>
      <c r="AQ12266" s="54">
        <v>0</v>
      </c>
      <c r="AR12266" s="55">
        <v>28500</v>
      </c>
      <c r="AS12266" s="78">
        <f t="shared" si="195"/>
        <v>0</v>
      </c>
    </row>
    <row r="12267" spans="39:45">
      <c r="AM12267" s="55">
        <v>2020</v>
      </c>
      <c r="AN12267" s="55" t="s">
        <v>96</v>
      </c>
      <c r="AO12267" s="55">
        <v>26</v>
      </c>
      <c r="AP12267" s="55">
        <v>1</v>
      </c>
      <c r="AQ12267" s="55">
        <v>0</v>
      </c>
      <c r="AR12267" s="55">
        <v>28500</v>
      </c>
      <c r="AS12267" s="78">
        <f t="shared" si="195"/>
        <v>0</v>
      </c>
    </row>
    <row r="12268" spans="39:45">
      <c r="AM12268" s="54">
        <v>2020</v>
      </c>
      <c r="AN12268" s="54" t="s">
        <v>96</v>
      </c>
      <c r="AO12268" s="54">
        <v>26</v>
      </c>
      <c r="AP12268" s="54">
        <v>2</v>
      </c>
      <c r="AQ12268" s="54">
        <v>0</v>
      </c>
      <c r="AR12268" s="55">
        <v>28500</v>
      </c>
      <c r="AS12268" s="78">
        <f t="shared" si="195"/>
        <v>0</v>
      </c>
    </row>
    <row r="12269" spans="39:45">
      <c r="AM12269" s="55">
        <v>2020</v>
      </c>
      <c r="AN12269" s="55" t="s">
        <v>96</v>
      </c>
      <c r="AO12269" s="55">
        <v>26</v>
      </c>
      <c r="AP12269" s="55">
        <v>3</v>
      </c>
      <c r="AQ12269" s="55">
        <v>0</v>
      </c>
      <c r="AR12269" s="55">
        <v>28500</v>
      </c>
      <c r="AS12269" s="78">
        <f t="shared" si="195"/>
        <v>0</v>
      </c>
    </row>
    <row r="12270" spans="39:45">
      <c r="AM12270" s="54">
        <v>2020</v>
      </c>
      <c r="AN12270" s="54" t="s">
        <v>96</v>
      </c>
      <c r="AO12270" s="54">
        <v>26</v>
      </c>
      <c r="AP12270" s="54">
        <v>4</v>
      </c>
      <c r="AQ12270" s="54">
        <v>0</v>
      </c>
      <c r="AR12270" s="55">
        <v>28500</v>
      </c>
      <c r="AS12270" s="78">
        <f t="shared" si="195"/>
        <v>0</v>
      </c>
    </row>
    <row r="12271" spans="39:45">
      <c r="AM12271" s="55">
        <v>2020</v>
      </c>
      <c r="AN12271" s="55" t="s">
        <v>96</v>
      </c>
      <c r="AO12271" s="55">
        <v>26</v>
      </c>
      <c r="AP12271" s="55">
        <v>5</v>
      </c>
      <c r="AQ12271" s="55">
        <v>1218</v>
      </c>
      <c r="AR12271" s="55">
        <v>28500</v>
      </c>
      <c r="AS12271" s="78">
        <f t="shared" si="195"/>
        <v>4.2736842105263156E-2</v>
      </c>
    </row>
    <row r="12272" spans="39:45">
      <c r="AM12272" s="54">
        <v>2020</v>
      </c>
      <c r="AN12272" s="54" t="s">
        <v>96</v>
      </c>
      <c r="AO12272" s="54">
        <v>26</v>
      </c>
      <c r="AP12272" s="54">
        <v>6</v>
      </c>
      <c r="AQ12272" s="54">
        <v>4086.5</v>
      </c>
      <c r="AR12272" s="55">
        <v>28500</v>
      </c>
      <c r="AS12272" s="78">
        <f t="shared" si="195"/>
        <v>0.1433859649122807</v>
      </c>
    </row>
    <row r="12273" spans="39:45">
      <c r="AM12273" s="55">
        <v>2020</v>
      </c>
      <c r="AN12273" s="55" t="s">
        <v>96</v>
      </c>
      <c r="AO12273" s="55">
        <v>26</v>
      </c>
      <c r="AP12273" s="55">
        <v>7</v>
      </c>
      <c r="AQ12273" s="55">
        <v>13378</v>
      </c>
      <c r="AR12273" s="55">
        <v>28500</v>
      </c>
      <c r="AS12273" s="78">
        <f t="shared" si="195"/>
        <v>0.46940350877192982</v>
      </c>
    </row>
    <row r="12274" spans="39:45">
      <c r="AM12274" s="54">
        <v>2020</v>
      </c>
      <c r="AN12274" s="54" t="s">
        <v>96</v>
      </c>
      <c r="AO12274" s="54">
        <v>26</v>
      </c>
      <c r="AP12274" s="54">
        <v>8</v>
      </c>
      <c r="AQ12274" s="54">
        <v>22224</v>
      </c>
      <c r="AR12274" s="55">
        <v>28500</v>
      </c>
      <c r="AS12274" s="78">
        <f t="shared" si="195"/>
        <v>0.77978947368421048</v>
      </c>
    </row>
    <row r="12275" spans="39:45">
      <c r="AM12275" s="55">
        <v>2020</v>
      </c>
      <c r="AN12275" s="55" t="s">
        <v>96</v>
      </c>
      <c r="AO12275" s="55">
        <v>26</v>
      </c>
      <c r="AP12275" s="55">
        <v>9</v>
      </c>
      <c r="AQ12275" s="55">
        <v>29714.5</v>
      </c>
      <c r="AR12275" s="55">
        <v>28500</v>
      </c>
      <c r="AS12275" s="78">
        <f t="shared" si="195"/>
        <v>1.0426140350877193</v>
      </c>
    </row>
    <row r="12276" spans="39:45">
      <c r="AM12276" s="54">
        <v>2020</v>
      </c>
      <c r="AN12276" s="54" t="s">
        <v>96</v>
      </c>
      <c r="AO12276" s="54">
        <v>26</v>
      </c>
      <c r="AP12276" s="54">
        <v>10</v>
      </c>
      <c r="AQ12276" s="54">
        <v>34649.5</v>
      </c>
      <c r="AR12276" s="55">
        <v>28500</v>
      </c>
      <c r="AS12276" s="78">
        <f t="shared" si="195"/>
        <v>1.2157719298245615</v>
      </c>
    </row>
    <row r="12277" spans="39:45">
      <c r="AM12277" s="55">
        <v>2020</v>
      </c>
      <c r="AN12277" s="55" t="s">
        <v>96</v>
      </c>
      <c r="AO12277" s="55">
        <v>26</v>
      </c>
      <c r="AP12277" s="55">
        <v>11</v>
      </c>
      <c r="AQ12277" s="55">
        <v>37818.5</v>
      </c>
      <c r="AR12277" s="55">
        <v>28500</v>
      </c>
      <c r="AS12277" s="78">
        <f t="shared" si="195"/>
        <v>1.3269649122807017</v>
      </c>
    </row>
    <row r="12278" spans="39:45">
      <c r="AM12278" s="54">
        <v>2020</v>
      </c>
      <c r="AN12278" s="54" t="s">
        <v>96</v>
      </c>
      <c r="AO12278" s="54">
        <v>26</v>
      </c>
      <c r="AP12278" s="54">
        <v>12</v>
      </c>
      <c r="AQ12278" s="54">
        <v>35752.5</v>
      </c>
      <c r="AR12278" s="55">
        <v>28500</v>
      </c>
      <c r="AS12278" s="78">
        <f t="shared" si="195"/>
        <v>1.2544736842105264</v>
      </c>
    </row>
    <row r="12279" spans="39:45">
      <c r="AM12279" s="55">
        <v>2020</v>
      </c>
      <c r="AN12279" s="55" t="s">
        <v>96</v>
      </c>
      <c r="AO12279" s="55">
        <v>26</v>
      </c>
      <c r="AP12279" s="55">
        <v>13</v>
      </c>
      <c r="AQ12279" s="55">
        <v>34349</v>
      </c>
      <c r="AR12279" s="55">
        <v>28500</v>
      </c>
      <c r="AS12279" s="78">
        <f t="shared" si="195"/>
        <v>1.2052280701754385</v>
      </c>
    </row>
    <row r="12280" spans="39:45">
      <c r="AM12280" s="54">
        <v>2020</v>
      </c>
      <c r="AN12280" s="54" t="s">
        <v>96</v>
      </c>
      <c r="AO12280" s="54">
        <v>26</v>
      </c>
      <c r="AP12280" s="54">
        <v>14</v>
      </c>
      <c r="AQ12280" s="54">
        <v>31884</v>
      </c>
      <c r="AR12280" s="55">
        <v>28500</v>
      </c>
      <c r="AS12280" s="78">
        <f t="shared" si="195"/>
        <v>1.1187368421052633</v>
      </c>
    </row>
    <row r="12281" spans="39:45">
      <c r="AM12281" s="55">
        <v>2020</v>
      </c>
      <c r="AN12281" s="55" t="s">
        <v>96</v>
      </c>
      <c r="AO12281" s="55">
        <v>26</v>
      </c>
      <c r="AP12281" s="55">
        <v>15</v>
      </c>
      <c r="AQ12281" s="55">
        <v>21517.5</v>
      </c>
      <c r="AR12281" s="55">
        <v>28500</v>
      </c>
      <c r="AS12281" s="78">
        <f t="shared" si="195"/>
        <v>0.755</v>
      </c>
    </row>
    <row r="12282" spans="39:45">
      <c r="AM12282" s="54">
        <v>2020</v>
      </c>
      <c r="AN12282" s="54" t="s">
        <v>96</v>
      </c>
      <c r="AO12282" s="54">
        <v>26</v>
      </c>
      <c r="AP12282" s="54">
        <v>16</v>
      </c>
      <c r="AQ12282" s="54">
        <v>12847.5</v>
      </c>
      <c r="AR12282" s="55">
        <v>28500</v>
      </c>
      <c r="AS12282" s="78">
        <f t="shared" si="195"/>
        <v>0.45078947368421052</v>
      </c>
    </row>
    <row r="12283" spans="39:45">
      <c r="AM12283" s="55">
        <v>2020</v>
      </c>
      <c r="AN12283" s="55" t="s">
        <v>96</v>
      </c>
      <c r="AO12283" s="55">
        <v>26</v>
      </c>
      <c r="AP12283" s="55">
        <v>17</v>
      </c>
      <c r="AQ12283" s="55">
        <v>6858</v>
      </c>
      <c r="AR12283" s="55">
        <v>28500</v>
      </c>
      <c r="AS12283" s="78">
        <f t="shared" si="195"/>
        <v>0.24063157894736842</v>
      </c>
    </row>
    <row r="12284" spans="39:45">
      <c r="AM12284" s="54">
        <v>2020</v>
      </c>
      <c r="AN12284" s="54" t="s">
        <v>96</v>
      </c>
      <c r="AO12284" s="54">
        <v>26</v>
      </c>
      <c r="AP12284" s="54">
        <v>18</v>
      </c>
      <c r="AQ12284" s="54">
        <v>2251</v>
      </c>
      <c r="AR12284" s="55">
        <v>28500</v>
      </c>
      <c r="AS12284" s="78">
        <f t="shared" si="195"/>
        <v>7.8982456140350876E-2</v>
      </c>
    </row>
    <row r="12285" spans="39:45">
      <c r="AM12285" s="55">
        <v>2020</v>
      </c>
      <c r="AN12285" s="55" t="s">
        <v>96</v>
      </c>
      <c r="AO12285" s="55">
        <v>26</v>
      </c>
      <c r="AP12285" s="55">
        <v>19</v>
      </c>
      <c r="AQ12285" s="55">
        <v>642</v>
      </c>
      <c r="AR12285" s="55">
        <v>28500</v>
      </c>
      <c r="AS12285" s="78">
        <f t="shared" si="195"/>
        <v>2.2526315789473682E-2</v>
      </c>
    </row>
    <row r="12286" spans="39:45">
      <c r="AM12286" s="54">
        <v>2020</v>
      </c>
      <c r="AN12286" s="54" t="s">
        <v>96</v>
      </c>
      <c r="AO12286" s="54">
        <v>26</v>
      </c>
      <c r="AP12286" s="54">
        <v>20</v>
      </c>
      <c r="AQ12286" s="54">
        <v>0</v>
      </c>
      <c r="AR12286" s="55">
        <v>28500</v>
      </c>
      <c r="AS12286" s="78">
        <f t="shared" si="195"/>
        <v>0</v>
      </c>
    </row>
    <row r="12287" spans="39:45">
      <c r="AM12287" s="55">
        <v>2020</v>
      </c>
      <c r="AN12287" s="55" t="s">
        <v>96</v>
      </c>
      <c r="AO12287" s="55">
        <v>26</v>
      </c>
      <c r="AP12287" s="55">
        <v>21</v>
      </c>
      <c r="AQ12287" s="55">
        <v>0</v>
      </c>
      <c r="AR12287" s="55">
        <v>28500</v>
      </c>
      <c r="AS12287" s="78">
        <f t="shared" si="195"/>
        <v>0</v>
      </c>
    </row>
    <row r="12288" spans="39:45">
      <c r="AM12288" s="54">
        <v>2020</v>
      </c>
      <c r="AN12288" s="54" t="s">
        <v>96</v>
      </c>
      <c r="AO12288" s="54">
        <v>26</v>
      </c>
      <c r="AP12288" s="54">
        <v>22</v>
      </c>
      <c r="AQ12288" s="54">
        <v>0</v>
      </c>
      <c r="AR12288" s="55">
        <v>28500</v>
      </c>
      <c r="AS12288" s="78">
        <f t="shared" si="195"/>
        <v>0</v>
      </c>
    </row>
    <row r="12289" spans="39:45">
      <c r="AM12289" s="55">
        <v>2020</v>
      </c>
      <c r="AN12289" s="55" t="s">
        <v>96</v>
      </c>
      <c r="AO12289" s="55">
        <v>26</v>
      </c>
      <c r="AP12289" s="55">
        <v>23</v>
      </c>
      <c r="AQ12289" s="55">
        <v>0</v>
      </c>
      <c r="AR12289" s="55">
        <v>28500</v>
      </c>
      <c r="AS12289" s="78">
        <f t="shared" si="195"/>
        <v>0</v>
      </c>
    </row>
    <row r="12290" spans="39:45">
      <c r="AM12290" s="54">
        <v>2020</v>
      </c>
      <c r="AN12290" s="54" t="s">
        <v>96</v>
      </c>
      <c r="AO12290" s="54">
        <v>27</v>
      </c>
      <c r="AP12290" s="54">
        <v>24</v>
      </c>
      <c r="AQ12290" s="54">
        <v>0</v>
      </c>
      <c r="AR12290" s="55">
        <v>28500</v>
      </c>
      <c r="AS12290" s="78">
        <f t="shared" ref="AS12290:AS12353" si="196">AQ12290/AR12290</f>
        <v>0</v>
      </c>
    </row>
    <row r="12291" spans="39:45">
      <c r="AM12291" s="55">
        <v>2020</v>
      </c>
      <c r="AN12291" s="55" t="s">
        <v>96</v>
      </c>
      <c r="AO12291" s="55">
        <v>27</v>
      </c>
      <c r="AP12291" s="55">
        <v>1</v>
      </c>
      <c r="AQ12291" s="55">
        <v>0</v>
      </c>
      <c r="AR12291" s="55">
        <v>28500</v>
      </c>
      <c r="AS12291" s="78">
        <f t="shared" si="196"/>
        <v>0</v>
      </c>
    </row>
    <row r="12292" spans="39:45">
      <c r="AM12292" s="54">
        <v>2020</v>
      </c>
      <c r="AN12292" s="54" t="s">
        <v>96</v>
      </c>
      <c r="AO12292" s="54">
        <v>27</v>
      </c>
      <c r="AP12292" s="54">
        <v>2</v>
      </c>
      <c r="AQ12292" s="54">
        <v>0</v>
      </c>
      <c r="AR12292" s="55">
        <v>28500</v>
      </c>
      <c r="AS12292" s="78">
        <f t="shared" si="196"/>
        <v>0</v>
      </c>
    </row>
    <row r="12293" spans="39:45">
      <c r="AM12293" s="55">
        <v>2020</v>
      </c>
      <c r="AN12293" s="55" t="s">
        <v>96</v>
      </c>
      <c r="AO12293" s="55">
        <v>27</v>
      </c>
      <c r="AP12293" s="55">
        <v>3</v>
      </c>
      <c r="AQ12293" s="55">
        <v>0</v>
      </c>
      <c r="AR12293" s="55">
        <v>28500</v>
      </c>
      <c r="AS12293" s="78">
        <f t="shared" si="196"/>
        <v>0</v>
      </c>
    </row>
    <row r="12294" spans="39:45">
      <c r="AM12294" s="54">
        <v>2020</v>
      </c>
      <c r="AN12294" s="54" t="s">
        <v>96</v>
      </c>
      <c r="AO12294" s="54">
        <v>27</v>
      </c>
      <c r="AP12294" s="54">
        <v>4</v>
      </c>
      <c r="AQ12294" s="54">
        <v>0</v>
      </c>
      <c r="AR12294" s="55">
        <v>28500</v>
      </c>
      <c r="AS12294" s="78">
        <f t="shared" si="196"/>
        <v>0</v>
      </c>
    </row>
    <row r="12295" spans="39:45">
      <c r="AM12295" s="55">
        <v>2020</v>
      </c>
      <c r="AN12295" s="55" t="s">
        <v>96</v>
      </c>
      <c r="AO12295" s="55">
        <v>27</v>
      </c>
      <c r="AP12295" s="55">
        <v>5</v>
      </c>
      <c r="AQ12295" s="55">
        <v>1428.5</v>
      </c>
      <c r="AR12295" s="55">
        <v>28500</v>
      </c>
      <c r="AS12295" s="78">
        <f t="shared" si="196"/>
        <v>5.0122807017543861E-2</v>
      </c>
    </row>
    <row r="12296" spans="39:45">
      <c r="AM12296" s="54">
        <v>2020</v>
      </c>
      <c r="AN12296" s="54" t="s">
        <v>96</v>
      </c>
      <c r="AO12296" s="54">
        <v>27</v>
      </c>
      <c r="AP12296" s="54">
        <v>6</v>
      </c>
      <c r="AQ12296" s="54">
        <v>4322</v>
      </c>
      <c r="AR12296" s="55">
        <v>28500</v>
      </c>
      <c r="AS12296" s="78">
        <f t="shared" si="196"/>
        <v>0.15164912280701753</v>
      </c>
    </row>
    <row r="12297" spans="39:45">
      <c r="AM12297" s="55">
        <v>2020</v>
      </c>
      <c r="AN12297" s="55" t="s">
        <v>96</v>
      </c>
      <c r="AO12297" s="55">
        <v>27</v>
      </c>
      <c r="AP12297" s="55">
        <v>7</v>
      </c>
      <c r="AQ12297" s="55">
        <v>13176</v>
      </c>
      <c r="AR12297" s="55">
        <v>28500</v>
      </c>
      <c r="AS12297" s="78">
        <f t="shared" si="196"/>
        <v>0.46231578947368424</v>
      </c>
    </row>
    <row r="12298" spans="39:45">
      <c r="AM12298" s="54">
        <v>2020</v>
      </c>
      <c r="AN12298" s="54" t="s">
        <v>96</v>
      </c>
      <c r="AO12298" s="54">
        <v>27</v>
      </c>
      <c r="AP12298" s="54">
        <v>8</v>
      </c>
      <c r="AQ12298" s="54">
        <v>22349.5</v>
      </c>
      <c r="AR12298" s="55">
        <v>28500</v>
      </c>
      <c r="AS12298" s="78">
        <f t="shared" si="196"/>
        <v>0.78419298245614033</v>
      </c>
    </row>
    <row r="12299" spans="39:45">
      <c r="AM12299" s="55">
        <v>2020</v>
      </c>
      <c r="AN12299" s="55" t="s">
        <v>96</v>
      </c>
      <c r="AO12299" s="55">
        <v>27</v>
      </c>
      <c r="AP12299" s="55">
        <v>9</v>
      </c>
      <c r="AQ12299" s="55">
        <v>29119.5</v>
      </c>
      <c r="AR12299" s="55">
        <v>28500</v>
      </c>
      <c r="AS12299" s="78">
        <f t="shared" si="196"/>
        <v>1.0217368421052631</v>
      </c>
    </row>
    <row r="12300" spans="39:45">
      <c r="AM12300" s="54">
        <v>2020</v>
      </c>
      <c r="AN12300" s="54" t="s">
        <v>96</v>
      </c>
      <c r="AO12300" s="54">
        <v>27</v>
      </c>
      <c r="AP12300" s="54">
        <v>10</v>
      </c>
      <c r="AQ12300" s="54">
        <v>33490</v>
      </c>
      <c r="AR12300" s="55">
        <v>28500</v>
      </c>
      <c r="AS12300" s="78">
        <f t="shared" si="196"/>
        <v>1.1750877192982456</v>
      </c>
    </row>
    <row r="12301" spans="39:45">
      <c r="AM12301" s="55">
        <v>2020</v>
      </c>
      <c r="AN12301" s="55" t="s">
        <v>96</v>
      </c>
      <c r="AO12301" s="55">
        <v>27</v>
      </c>
      <c r="AP12301" s="55">
        <v>11</v>
      </c>
      <c r="AQ12301" s="55">
        <v>32711.5</v>
      </c>
      <c r="AR12301" s="55">
        <v>28500</v>
      </c>
      <c r="AS12301" s="78">
        <f t="shared" si="196"/>
        <v>1.1477719298245614</v>
      </c>
    </row>
    <row r="12302" spans="39:45">
      <c r="AM12302" s="54">
        <v>2020</v>
      </c>
      <c r="AN12302" s="54" t="s">
        <v>96</v>
      </c>
      <c r="AO12302" s="54">
        <v>27</v>
      </c>
      <c r="AP12302" s="54">
        <v>12</v>
      </c>
      <c r="AQ12302" s="54">
        <v>15019.5</v>
      </c>
      <c r="AR12302" s="55">
        <v>28500</v>
      </c>
      <c r="AS12302" s="78">
        <f t="shared" si="196"/>
        <v>0.52700000000000002</v>
      </c>
    </row>
    <row r="12303" spans="39:45">
      <c r="AM12303" s="55">
        <v>2020</v>
      </c>
      <c r="AN12303" s="55" t="s">
        <v>96</v>
      </c>
      <c r="AO12303" s="55">
        <v>27</v>
      </c>
      <c r="AP12303" s="55">
        <v>13</v>
      </c>
      <c r="AQ12303" s="55">
        <v>14275</v>
      </c>
      <c r="AR12303" s="55">
        <v>28500</v>
      </c>
      <c r="AS12303" s="78">
        <f t="shared" si="196"/>
        <v>0.50087719298245614</v>
      </c>
    </row>
    <row r="12304" spans="39:45">
      <c r="AM12304" s="54">
        <v>2020</v>
      </c>
      <c r="AN12304" s="54" t="s">
        <v>96</v>
      </c>
      <c r="AO12304" s="54">
        <v>27</v>
      </c>
      <c r="AP12304" s="54">
        <v>14</v>
      </c>
      <c r="AQ12304" s="54">
        <v>27485.5</v>
      </c>
      <c r="AR12304" s="55">
        <v>28500</v>
      </c>
      <c r="AS12304" s="78">
        <f t="shared" si="196"/>
        <v>0.96440350877192982</v>
      </c>
    </row>
    <row r="12305" spans="39:45">
      <c r="AM12305" s="55">
        <v>2020</v>
      </c>
      <c r="AN12305" s="55" t="s">
        <v>96</v>
      </c>
      <c r="AO12305" s="55">
        <v>27</v>
      </c>
      <c r="AP12305" s="55">
        <v>15</v>
      </c>
      <c r="AQ12305" s="55">
        <v>23592</v>
      </c>
      <c r="AR12305" s="55">
        <v>28500</v>
      </c>
      <c r="AS12305" s="78">
        <f t="shared" si="196"/>
        <v>0.82778947368421052</v>
      </c>
    </row>
    <row r="12306" spans="39:45">
      <c r="AM12306" s="54">
        <v>2020</v>
      </c>
      <c r="AN12306" s="54" t="s">
        <v>96</v>
      </c>
      <c r="AO12306" s="54">
        <v>27</v>
      </c>
      <c r="AP12306" s="54">
        <v>16</v>
      </c>
      <c r="AQ12306" s="54">
        <v>16039</v>
      </c>
      <c r="AR12306" s="55">
        <v>28500</v>
      </c>
      <c r="AS12306" s="78">
        <f t="shared" si="196"/>
        <v>0.56277192982456137</v>
      </c>
    </row>
    <row r="12307" spans="39:45">
      <c r="AM12307" s="55">
        <v>2020</v>
      </c>
      <c r="AN12307" s="55" t="s">
        <v>96</v>
      </c>
      <c r="AO12307" s="55">
        <v>27</v>
      </c>
      <c r="AP12307" s="55">
        <v>17</v>
      </c>
      <c r="AQ12307" s="55">
        <v>8266</v>
      </c>
      <c r="AR12307" s="55">
        <v>28500</v>
      </c>
      <c r="AS12307" s="78">
        <f t="shared" si="196"/>
        <v>0.29003508771929826</v>
      </c>
    </row>
    <row r="12308" spans="39:45">
      <c r="AM12308" s="54">
        <v>2020</v>
      </c>
      <c r="AN12308" s="54" t="s">
        <v>96</v>
      </c>
      <c r="AO12308" s="54">
        <v>27</v>
      </c>
      <c r="AP12308" s="54">
        <v>18</v>
      </c>
      <c r="AQ12308" s="54">
        <v>2614</v>
      </c>
      <c r="AR12308" s="55">
        <v>28500</v>
      </c>
      <c r="AS12308" s="78">
        <f t="shared" si="196"/>
        <v>9.1719298245614034E-2</v>
      </c>
    </row>
    <row r="12309" spans="39:45">
      <c r="AM12309" s="55">
        <v>2020</v>
      </c>
      <c r="AN12309" s="55" t="s">
        <v>96</v>
      </c>
      <c r="AO12309" s="55">
        <v>27</v>
      </c>
      <c r="AP12309" s="55">
        <v>19</v>
      </c>
      <c r="AQ12309" s="55">
        <v>0</v>
      </c>
      <c r="AR12309" s="55">
        <v>28500</v>
      </c>
      <c r="AS12309" s="78">
        <f t="shared" si="196"/>
        <v>0</v>
      </c>
    </row>
    <row r="12310" spans="39:45">
      <c r="AM12310" s="54">
        <v>2020</v>
      </c>
      <c r="AN12310" s="54" t="s">
        <v>96</v>
      </c>
      <c r="AO12310" s="54">
        <v>27</v>
      </c>
      <c r="AP12310" s="54">
        <v>20</v>
      </c>
      <c r="AQ12310" s="54">
        <v>0</v>
      </c>
      <c r="AR12310" s="55">
        <v>28500</v>
      </c>
      <c r="AS12310" s="78">
        <f t="shared" si="196"/>
        <v>0</v>
      </c>
    </row>
    <row r="12311" spans="39:45">
      <c r="AM12311" s="55">
        <v>2020</v>
      </c>
      <c r="AN12311" s="55" t="s">
        <v>96</v>
      </c>
      <c r="AO12311" s="55">
        <v>27</v>
      </c>
      <c r="AP12311" s="55">
        <v>21</v>
      </c>
      <c r="AQ12311" s="55">
        <v>0</v>
      </c>
      <c r="AR12311" s="55">
        <v>28500</v>
      </c>
      <c r="AS12311" s="78">
        <f t="shared" si="196"/>
        <v>0</v>
      </c>
    </row>
    <row r="12312" spans="39:45">
      <c r="AM12312" s="54">
        <v>2020</v>
      </c>
      <c r="AN12312" s="54" t="s">
        <v>96</v>
      </c>
      <c r="AO12312" s="54">
        <v>27</v>
      </c>
      <c r="AP12312" s="54">
        <v>22</v>
      </c>
      <c r="AQ12312" s="54">
        <v>0</v>
      </c>
      <c r="AR12312" s="55">
        <v>28500</v>
      </c>
      <c r="AS12312" s="78">
        <f t="shared" si="196"/>
        <v>0</v>
      </c>
    </row>
    <row r="12313" spans="39:45">
      <c r="AM12313" s="55">
        <v>2020</v>
      </c>
      <c r="AN12313" s="55" t="s">
        <v>96</v>
      </c>
      <c r="AO12313" s="55">
        <v>27</v>
      </c>
      <c r="AP12313" s="55">
        <v>23</v>
      </c>
      <c r="AQ12313" s="55">
        <v>0</v>
      </c>
      <c r="AR12313" s="55">
        <v>28500</v>
      </c>
      <c r="AS12313" s="78">
        <f t="shared" si="196"/>
        <v>0</v>
      </c>
    </row>
    <row r="12314" spans="39:45">
      <c r="AM12314" s="54">
        <v>2020</v>
      </c>
      <c r="AN12314" s="54" t="s">
        <v>96</v>
      </c>
      <c r="AO12314" s="54">
        <v>28</v>
      </c>
      <c r="AP12314" s="54">
        <v>24</v>
      </c>
      <c r="AQ12314" s="54">
        <v>0</v>
      </c>
      <c r="AR12314" s="55">
        <v>28500</v>
      </c>
      <c r="AS12314" s="78">
        <f t="shared" si="196"/>
        <v>0</v>
      </c>
    </row>
    <row r="12315" spans="39:45">
      <c r="AM12315" s="55">
        <v>2020</v>
      </c>
      <c r="AN12315" s="55" t="s">
        <v>96</v>
      </c>
      <c r="AO12315" s="55">
        <v>28</v>
      </c>
      <c r="AP12315" s="55">
        <v>1</v>
      </c>
      <c r="AQ12315" s="55">
        <v>0</v>
      </c>
      <c r="AR12315" s="55">
        <v>28500</v>
      </c>
      <c r="AS12315" s="78">
        <f t="shared" si="196"/>
        <v>0</v>
      </c>
    </row>
    <row r="12316" spans="39:45">
      <c r="AM12316" s="54">
        <v>2020</v>
      </c>
      <c r="AN12316" s="54" t="s">
        <v>96</v>
      </c>
      <c r="AO12316" s="54">
        <v>28</v>
      </c>
      <c r="AP12316" s="54">
        <v>2</v>
      </c>
      <c r="AQ12316" s="54">
        <v>0</v>
      </c>
      <c r="AR12316" s="55">
        <v>28500</v>
      </c>
      <c r="AS12316" s="78">
        <f t="shared" si="196"/>
        <v>0</v>
      </c>
    </row>
    <row r="12317" spans="39:45">
      <c r="AM12317" s="55">
        <v>2020</v>
      </c>
      <c r="AN12317" s="55" t="s">
        <v>96</v>
      </c>
      <c r="AO12317" s="55">
        <v>28</v>
      </c>
      <c r="AP12317" s="55">
        <v>3</v>
      </c>
      <c r="AQ12317" s="55">
        <v>0</v>
      </c>
      <c r="AR12317" s="55">
        <v>28500</v>
      </c>
      <c r="AS12317" s="78">
        <f t="shared" si="196"/>
        <v>0</v>
      </c>
    </row>
    <row r="12318" spans="39:45">
      <c r="AM12318" s="54">
        <v>2020</v>
      </c>
      <c r="AN12318" s="54" t="s">
        <v>96</v>
      </c>
      <c r="AO12318" s="54">
        <v>28</v>
      </c>
      <c r="AP12318" s="54">
        <v>4</v>
      </c>
      <c r="AQ12318" s="54">
        <v>0</v>
      </c>
      <c r="AR12318" s="55">
        <v>28500</v>
      </c>
      <c r="AS12318" s="78">
        <f t="shared" si="196"/>
        <v>0</v>
      </c>
    </row>
    <row r="12319" spans="39:45">
      <c r="AM12319" s="55">
        <v>2020</v>
      </c>
      <c r="AN12319" s="55" t="s">
        <v>96</v>
      </c>
      <c r="AO12319" s="55">
        <v>28</v>
      </c>
      <c r="AP12319" s="55">
        <v>5</v>
      </c>
      <c r="AQ12319" s="55">
        <v>1184</v>
      </c>
      <c r="AR12319" s="55">
        <v>28500</v>
      </c>
      <c r="AS12319" s="78">
        <f t="shared" si="196"/>
        <v>4.1543859649122807E-2</v>
      </c>
    </row>
    <row r="12320" spans="39:45">
      <c r="AM12320" s="54">
        <v>2020</v>
      </c>
      <c r="AN12320" s="54" t="s">
        <v>96</v>
      </c>
      <c r="AO12320" s="54">
        <v>28</v>
      </c>
      <c r="AP12320" s="54">
        <v>6</v>
      </c>
      <c r="AQ12320" s="54">
        <v>4633.5</v>
      </c>
      <c r="AR12320" s="55">
        <v>28500</v>
      </c>
      <c r="AS12320" s="78">
        <f t="shared" si="196"/>
        <v>0.16257894736842105</v>
      </c>
    </row>
    <row r="12321" spans="39:45">
      <c r="AM12321" s="55">
        <v>2020</v>
      </c>
      <c r="AN12321" s="55" t="s">
        <v>96</v>
      </c>
      <c r="AO12321" s="55">
        <v>28</v>
      </c>
      <c r="AP12321" s="55">
        <v>7</v>
      </c>
      <c r="AQ12321" s="55">
        <v>12323.5</v>
      </c>
      <c r="AR12321" s="55">
        <v>28500</v>
      </c>
      <c r="AS12321" s="78">
        <f t="shared" si="196"/>
        <v>0.43240350877192985</v>
      </c>
    </row>
    <row r="12322" spans="39:45">
      <c r="AM12322" s="54">
        <v>2020</v>
      </c>
      <c r="AN12322" s="54" t="s">
        <v>96</v>
      </c>
      <c r="AO12322" s="54">
        <v>28</v>
      </c>
      <c r="AP12322" s="54">
        <v>8</v>
      </c>
      <c r="AQ12322" s="54">
        <v>23812</v>
      </c>
      <c r="AR12322" s="55">
        <v>28500</v>
      </c>
      <c r="AS12322" s="78">
        <f t="shared" si="196"/>
        <v>0.83550877192982453</v>
      </c>
    </row>
    <row r="12323" spans="39:45">
      <c r="AM12323" s="55">
        <v>2020</v>
      </c>
      <c r="AN12323" s="55" t="s">
        <v>96</v>
      </c>
      <c r="AO12323" s="55">
        <v>28</v>
      </c>
      <c r="AP12323" s="55">
        <v>9</v>
      </c>
      <c r="AQ12323" s="55">
        <v>31984</v>
      </c>
      <c r="AR12323" s="55">
        <v>28500</v>
      </c>
      <c r="AS12323" s="78">
        <f t="shared" si="196"/>
        <v>1.1222456140350878</v>
      </c>
    </row>
    <row r="12324" spans="39:45">
      <c r="AM12324" s="54">
        <v>2020</v>
      </c>
      <c r="AN12324" s="54" t="s">
        <v>96</v>
      </c>
      <c r="AO12324" s="54">
        <v>28</v>
      </c>
      <c r="AP12324" s="54">
        <v>10</v>
      </c>
      <c r="AQ12324" s="54">
        <v>37757</v>
      </c>
      <c r="AR12324" s="55">
        <v>28500</v>
      </c>
      <c r="AS12324" s="78">
        <f t="shared" si="196"/>
        <v>1.3248070175438595</v>
      </c>
    </row>
    <row r="12325" spans="39:45">
      <c r="AM12325" s="55">
        <v>2020</v>
      </c>
      <c r="AN12325" s="55" t="s">
        <v>96</v>
      </c>
      <c r="AO12325" s="55">
        <v>28</v>
      </c>
      <c r="AP12325" s="55">
        <v>11</v>
      </c>
      <c r="AQ12325" s="55">
        <v>41323</v>
      </c>
      <c r="AR12325" s="55">
        <v>28500</v>
      </c>
      <c r="AS12325" s="78">
        <f t="shared" si="196"/>
        <v>1.4499298245614034</v>
      </c>
    </row>
    <row r="12326" spans="39:45">
      <c r="AM12326" s="54">
        <v>2020</v>
      </c>
      <c r="AN12326" s="54" t="s">
        <v>96</v>
      </c>
      <c r="AO12326" s="54">
        <v>28</v>
      </c>
      <c r="AP12326" s="54">
        <v>12</v>
      </c>
      <c r="AQ12326" s="54">
        <v>41690</v>
      </c>
      <c r="AR12326" s="55">
        <v>28500</v>
      </c>
      <c r="AS12326" s="78">
        <f t="shared" si="196"/>
        <v>1.4628070175438597</v>
      </c>
    </row>
    <row r="12327" spans="39:45">
      <c r="AM12327" s="55">
        <v>2020</v>
      </c>
      <c r="AN12327" s="55" t="s">
        <v>96</v>
      </c>
      <c r="AO12327" s="55">
        <v>28</v>
      </c>
      <c r="AP12327" s="55">
        <v>13</v>
      </c>
      <c r="AQ12327" s="55">
        <v>40147.5</v>
      </c>
      <c r="AR12327" s="55">
        <v>28500</v>
      </c>
      <c r="AS12327" s="78">
        <f t="shared" si="196"/>
        <v>1.4086842105263158</v>
      </c>
    </row>
    <row r="12328" spans="39:45">
      <c r="AM12328" s="54">
        <v>2020</v>
      </c>
      <c r="AN12328" s="54" t="s">
        <v>96</v>
      </c>
      <c r="AO12328" s="54">
        <v>28</v>
      </c>
      <c r="AP12328" s="54">
        <v>14</v>
      </c>
      <c r="AQ12328" s="54">
        <v>35247</v>
      </c>
      <c r="AR12328" s="55">
        <v>28500</v>
      </c>
      <c r="AS12328" s="78">
        <f t="shared" si="196"/>
        <v>1.2367368421052631</v>
      </c>
    </row>
    <row r="12329" spans="39:45">
      <c r="AM12329" s="55">
        <v>2020</v>
      </c>
      <c r="AN12329" s="55" t="s">
        <v>96</v>
      </c>
      <c r="AO12329" s="55">
        <v>28</v>
      </c>
      <c r="AP12329" s="55">
        <v>15</v>
      </c>
      <c r="AQ12329" s="55">
        <v>28715</v>
      </c>
      <c r="AR12329" s="55">
        <v>28500</v>
      </c>
      <c r="AS12329" s="78">
        <f t="shared" si="196"/>
        <v>1.0075438596491229</v>
      </c>
    </row>
    <row r="12330" spans="39:45">
      <c r="AM12330" s="54">
        <v>2020</v>
      </c>
      <c r="AN12330" s="54" t="s">
        <v>96</v>
      </c>
      <c r="AO12330" s="54">
        <v>28</v>
      </c>
      <c r="AP12330" s="54">
        <v>16</v>
      </c>
      <c r="AQ12330" s="54">
        <v>19342.5</v>
      </c>
      <c r="AR12330" s="55">
        <v>28500</v>
      </c>
      <c r="AS12330" s="78">
        <f t="shared" si="196"/>
        <v>0.67868421052631578</v>
      </c>
    </row>
    <row r="12331" spans="39:45">
      <c r="AM12331" s="55">
        <v>2020</v>
      </c>
      <c r="AN12331" s="55" t="s">
        <v>96</v>
      </c>
      <c r="AO12331" s="55">
        <v>28</v>
      </c>
      <c r="AP12331" s="55">
        <v>17</v>
      </c>
      <c r="AQ12331" s="55">
        <v>8992</v>
      </c>
      <c r="AR12331" s="55">
        <v>28500</v>
      </c>
      <c r="AS12331" s="78">
        <f t="shared" si="196"/>
        <v>0.31550877192982457</v>
      </c>
    </row>
    <row r="12332" spans="39:45">
      <c r="AM12332" s="54">
        <v>2020</v>
      </c>
      <c r="AN12332" s="54" t="s">
        <v>96</v>
      </c>
      <c r="AO12332" s="54">
        <v>28</v>
      </c>
      <c r="AP12332" s="54">
        <v>18</v>
      </c>
      <c r="AQ12332" s="54">
        <v>1594.5</v>
      </c>
      <c r="AR12332" s="55">
        <v>28500</v>
      </c>
      <c r="AS12332" s="78">
        <f t="shared" si="196"/>
        <v>5.5947368421052635E-2</v>
      </c>
    </row>
    <row r="12333" spans="39:45">
      <c r="AM12333" s="55">
        <v>2020</v>
      </c>
      <c r="AN12333" s="55" t="s">
        <v>96</v>
      </c>
      <c r="AO12333" s="55">
        <v>28</v>
      </c>
      <c r="AP12333" s="55">
        <v>19</v>
      </c>
      <c r="AQ12333" s="55">
        <v>610</v>
      </c>
      <c r="AR12333" s="55">
        <v>28500</v>
      </c>
      <c r="AS12333" s="78">
        <f t="shared" si="196"/>
        <v>2.1403508771929824E-2</v>
      </c>
    </row>
    <row r="12334" spans="39:45">
      <c r="AM12334" s="54">
        <v>2020</v>
      </c>
      <c r="AN12334" s="54" t="s">
        <v>96</v>
      </c>
      <c r="AO12334" s="54">
        <v>28</v>
      </c>
      <c r="AP12334" s="54">
        <v>20</v>
      </c>
      <c r="AQ12334" s="54">
        <v>0</v>
      </c>
      <c r="AR12334" s="55">
        <v>28500</v>
      </c>
      <c r="AS12334" s="78">
        <f t="shared" si="196"/>
        <v>0</v>
      </c>
    </row>
    <row r="12335" spans="39:45">
      <c r="AM12335" s="55">
        <v>2020</v>
      </c>
      <c r="AN12335" s="55" t="s">
        <v>96</v>
      </c>
      <c r="AO12335" s="55">
        <v>28</v>
      </c>
      <c r="AP12335" s="55">
        <v>21</v>
      </c>
      <c r="AQ12335" s="55">
        <v>0</v>
      </c>
      <c r="AR12335" s="55">
        <v>28500</v>
      </c>
      <c r="AS12335" s="78">
        <f t="shared" si="196"/>
        <v>0</v>
      </c>
    </row>
    <row r="12336" spans="39:45">
      <c r="AM12336" s="54">
        <v>2020</v>
      </c>
      <c r="AN12336" s="54" t="s">
        <v>96</v>
      </c>
      <c r="AO12336" s="54">
        <v>28</v>
      </c>
      <c r="AP12336" s="54">
        <v>22</v>
      </c>
      <c r="AQ12336" s="54">
        <v>0</v>
      </c>
      <c r="AR12336" s="55">
        <v>28500</v>
      </c>
      <c r="AS12336" s="78">
        <f t="shared" si="196"/>
        <v>0</v>
      </c>
    </row>
    <row r="12337" spans="39:45">
      <c r="AM12337" s="55">
        <v>2020</v>
      </c>
      <c r="AN12337" s="55" t="s">
        <v>96</v>
      </c>
      <c r="AO12337" s="55">
        <v>28</v>
      </c>
      <c r="AP12337" s="55">
        <v>23</v>
      </c>
      <c r="AQ12337" s="55">
        <v>0</v>
      </c>
      <c r="AR12337" s="55">
        <v>28500</v>
      </c>
      <c r="AS12337" s="78">
        <f t="shared" si="196"/>
        <v>0</v>
      </c>
    </row>
    <row r="12338" spans="39:45">
      <c r="AM12338" s="54">
        <v>2020</v>
      </c>
      <c r="AN12338" s="54" t="s">
        <v>96</v>
      </c>
      <c r="AO12338" s="54">
        <v>29</v>
      </c>
      <c r="AP12338" s="54">
        <v>24</v>
      </c>
      <c r="AQ12338" s="54">
        <v>0</v>
      </c>
      <c r="AR12338" s="55">
        <v>28500</v>
      </c>
      <c r="AS12338" s="78">
        <f t="shared" si="196"/>
        <v>0</v>
      </c>
    </row>
    <row r="12339" spans="39:45">
      <c r="AM12339" s="55">
        <v>2020</v>
      </c>
      <c r="AN12339" s="55" t="s">
        <v>96</v>
      </c>
      <c r="AO12339" s="55">
        <v>29</v>
      </c>
      <c r="AP12339" s="55">
        <v>1</v>
      </c>
      <c r="AQ12339" s="55">
        <v>0</v>
      </c>
      <c r="AR12339" s="55">
        <v>28500</v>
      </c>
      <c r="AS12339" s="78">
        <f t="shared" si="196"/>
        <v>0</v>
      </c>
    </row>
    <row r="12340" spans="39:45">
      <c r="AM12340" s="54">
        <v>2020</v>
      </c>
      <c r="AN12340" s="54" t="s">
        <v>96</v>
      </c>
      <c r="AO12340" s="54">
        <v>29</v>
      </c>
      <c r="AP12340" s="54">
        <v>2</v>
      </c>
      <c r="AQ12340" s="54">
        <v>0</v>
      </c>
      <c r="AR12340" s="55">
        <v>28500</v>
      </c>
      <c r="AS12340" s="78">
        <f t="shared" si="196"/>
        <v>0</v>
      </c>
    </row>
    <row r="12341" spans="39:45">
      <c r="AM12341" s="55">
        <v>2020</v>
      </c>
      <c r="AN12341" s="55" t="s">
        <v>96</v>
      </c>
      <c r="AO12341" s="55">
        <v>29</v>
      </c>
      <c r="AP12341" s="55">
        <v>3</v>
      </c>
      <c r="AQ12341" s="55">
        <v>0</v>
      </c>
      <c r="AR12341" s="55">
        <v>28500</v>
      </c>
      <c r="AS12341" s="78">
        <f t="shared" si="196"/>
        <v>0</v>
      </c>
    </row>
    <row r="12342" spans="39:45">
      <c r="AM12342" s="54">
        <v>2020</v>
      </c>
      <c r="AN12342" s="54" t="s">
        <v>96</v>
      </c>
      <c r="AO12342" s="54">
        <v>29</v>
      </c>
      <c r="AP12342" s="54">
        <v>4</v>
      </c>
      <c r="AQ12342" s="54">
        <v>0</v>
      </c>
      <c r="AR12342" s="55">
        <v>28500</v>
      </c>
      <c r="AS12342" s="78">
        <f t="shared" si="196"/>
        <v>0</v>
      </c>
    </row>
    <row r="12343" spans="39:45">
      <c r="AM12343" s="55">
        <v>2020</v>
      </c>
      <c r="AN12343" s="55" t="s">
        <v>96</v>
      </c>
      <c r="AO12343" s="55">
        <v>29</v>
      </c>
      <c r="AP12343" s="55">
        <v>5</v>
      </c>
      <c r="AQ12343" s="55">
        <v>1381.5</v>
      </c>
      <c r="AR12343" s="55">
        <v>28500</v>
      </c>
      <c r="AS12343" s="78">
        <f t="shared" si="196"/>
        <v>4.8473684210526315E-2</v>
      </c>
    </row>
    <row r="12344" spans="39:45">
      <c r="AM12344" s="54">
        <v>2020</v>
      </c>
      <c r="AN12344" s="54" t="s">
        <v>96</v>
      </c>
      <c r="AO12344" s="54">
        <v>29</v>
      </c>
      <c r="AP12344" s="54">
        <v>6</v>
      </c>
      <c r="AQ12344" s="54">
        <v>4049.5</v>
      </c>
      <c r="AR12344" s="55">
        <v>28500</v>
      </c>
      <c r="AS12344" s="78">
        <f t="shared" si="196"/>
        <v>0.14208771929824562</v>
      </c>
    </row>
    <row r="12345" spans="39:45">
      <c r="AM12345" s="55">
        <v>2020</v>
      </c>
      <c r="AN12345" s="55" t="s">
        <v>96</v>
      </c>
      <c r="AO12345" s="55">
        <v>29</v>
      </c>
      <c r="AP12345" s="55">
        <v>7</v>
      </c>
      <c r="AQ12345" s="55">
        <v>14242</v>
      </c>
      <c r="AR12345" s="55">
        <v>28500</v>
      </c>
      <c r="AS12345" s="78">
        <f t="shared" si="196"/>
        <v>0.49971929824561401</v>
      </c>
    </row>
    <row r="12346" spans="39:45">
      <c r="AM12346" s="54">
        <v>2020</v>
      </c>
      <c r="AN12346" s="54" t="s">
        <v>96</v>
      </c>
      <c r="AO12346" s="54">
        <v>29</v>
      </c>
      <c r="AP12346" s="54">
        <v>8</v>
      </c>
      <c r="AQ12346" s="54">
        <v>24018</v>
      </c>
      <c r="AR12346" s="55">
        <v>28500</v>
      </c>
      <c r="AS12346" s="78">
        <f t="shared" si="196"/>
        <v>0.84273684210526312</v>
      </c>
    </row>
    <row r="12347" spans="39:45">
      <c r="AM12347" s="55">
        <v>2020</v>
      </c>
      <c r="AN12347" s="55" t="s">
        <v>96</v>
      </c>
      <c r="AO12347" s="55">
        <v>29</v>
      </c>
      <c r="AP12347" s="55">
        <v>9</v>
      </c>
      <c r="AQ12347" s="55">
        <v>31712.5</v>
      </c>
      <c r="AR12347" s="55">
        <v>28500</v>
      </c>
      <c r="AS12347" s="78">
        <f t="shared" si="196"/>
        <v>1.112719298245614</v>
      </c>
    </row>
    <row r="12348" spans="39:45">
      <c r="AM12348" s="54">
        <v>2020</v>
      </c>
      <c r="AN12348" s="54" t="s">
        <v>96</v>
      </c>
      <c r="AO12348" s="54">
        <v>29</v>
      </c>
      <c r="AP12348" s="54">
        <v>10</v>
      </c>
      <c r="AQ12348" s="54">
        <v>37272</v>
      </c>
      <c r="AR12348" s="55">
        <v>28500</v>
      </c>
      <c r="AS12348" s="78">
        <f t="shared" si="196"/>
        <v>1.3077894736842106</v>
      </c>
    </row>
    <row r="12349" spans="39:45">
      <c r="AM12349" s="55">
        <v>2020</v>
      </c>
      <c r="AN12349" s="55" t="s">
        <v>96</v>
      </c>
      <c r="AO12349" s="55">
        <v>29</v>
      </c>
      <c r="AP12349" s="55">
        <v>11</v>
      </c>
      <c r="AQ12349" s="55">
        <v>41006</v>
      </c>
      <c r="AR12349" s="55">
        <v>28500</v>
      </c>
      <c r="AS12349" s="78">
        <f t="shared" si="196"/>
        <v>1.4388070175438596</v>
      </c>
    </row>
    <row r="12350" spans="39:45">
      <c r="AM12350" s="54">
        <v>2020</v>
      </c>
      <c r="AN12350" s="54" t="s">
        <v>96</v>
      </c>
      <c r="AO12350" s="54">
        <v>29</v>
      </c>
      <c r="AP12350" s="54">
        <v>12</v>
      </c>
      <c r="AQ12350" s="54">
        <v>41622.5</v>
      </c>
      <c r="AR12350" s="55">
        <v>28500</v>
      </c>
      <c r="AS12350" s="78">
        <f t="shared" si="196"/>
        <v>1.4604385964912281</v>
      </c>
    </row>
    <row r="12351" spans="39:45">
      <c r="AM12351" s="55">
        <v>2020</v>
      </c>
      <c r="AN12351" s="55" t="s">
        <v>96</v>
      </c>
      <c r="AO12351" s="55">
        <v>29</v>
      </c>
      <c r="AP12351" s="55">
        <v>13</v>
      </c>
      <c r="AQ12351" s="55">
        <v>39968</v>
      </c>
      <c r="AR12351" s="55">
        <v>28500</v>
      </c>
      <c r="AS12351" s="78">
        <f t="shared" si="196"/>
        <v>1.4023859649122807</v>
      </c>
    </row>
    <row r="12352" spans="39:45">
      <c r="AM12352" s="54">
        <v>2020</v>
      </c>
      <c r="AN12352" s="54" t="s">
        <v>96</v>
      </c>
      <c r="AO12352" s="54">
        <v>29</v>
      </c>
      <c r="AP12352" s="54">
        <v>14</v>
      </c>
      <c r="AQ12352" s="54">
        <v>35369.5</v>
      </c>
      <c r="AR12352" s="55">
        <v>28500</v>
      </c>
      <c r="AS12352" s="78">
        <f t="shared" si="196"/>
        <v>1.2410350877192982</v>
      </c>
    </row>
    <row r="12353" spans="39:45">
      <c r="AM12353" s="55">
        <v>2020</v>
      </c>
      <c r="AN12353" s="55" t="s">
        <v>96</v>
      </c>
      <c r="AO12353" s="55">
        <v>29</v>
      </c>
      <c r="AP12353" s="55">
        <v>15</v>
      </c>
      <c r="AQ12353" s="55">
        <v>28540</v>
      </c>
      <c r="AR12353" s="55">
        <v>28500</v>
      </c>
      <c r="AS12353" s="78">
        <f t="shared" si="196"/>
        <v>1.0014035087719297</v>
      </c>
    </row>
    <row r="12354" spans="39:45">
      <c r="AM12354" s="54">
        <v>2020</v>
      </c>
      <c r="AN12354" s="54" t="s">
        <v>96</v>
      </c>
      <c r="AO12354" s="54">
        <v>29</v>
      </c>
      <c r="AP12354" s="54">
        <v>16</v>
      </c>
      <c r="AQ12354" s="54">
        <v>19435</v>
      </c>
      <c r="AR12354" s="55">
        <v>28500</v>
      </c>
      <c r="AS12354" s="78">
        <f t="shared" ref="AS12354:AS12417" si="197">AQ12354/AR12354</f>
        <v>0.6819298245614035</v>
      </c>
    </row>
    <row r="12355" spans="39:45">
      <c r="AM12355" s="55">
        <v>2020</v>
      </c>
      <c r="AN12355" s="55" t="s">
        <v>96</v>
      </c>
      <c r="AO12355" s="55">
        <v>29</v>
      </c>
      <c r="AP12355" s="55">
        <v>17</v>
      </c>
      <c r="AQ12355" s="55">
        <v>9025</v>
      </c>
      <c r="AR12355" s="55">
        <v>28500</v>
      </c>
      <c r="AS12355" s="78">
        <f t="shared" si="197"/>
        <v>0.31666666666666665</v>
      </c>
    </row>
    <row r="12356" spans="39:45">
      <c r="AM12356" s="54">
        <v>2020</v>
      </c>
      <c r="AN12356" s="54" t="s">
        <v>96</v>
      </c>
      <c r="AO12356" s="54">
        <v>29</v>
      </c>
      <c r="AP12356" s="54">
        <v>18</v>
      </c>
      <c r="AQ12356" s="54">
        <v>1326</v>
      </c>
      <c r="AR12356" s="55">
        <v>28500</v>
      </c>
      <c r="AS12356" s="78">
        <f t="shared" si="197"/>
        <v>4.6526315789473686E-2</v>
      </c>
    </row>
    <row r="12357" spans="39:45">
      <c r="AM12357" s="55">
        <v>2020</v>
      </c>
      <c r="AN12357" s="55" t="s">
        <v>96</v>
      </c>
      <c r="AO12357" s="55">
        <v>29</v>
      </c>
      <c r="AP12357" s="55">
        <v>19</v>
      </c>
      <c r="AQ12357" s="55">
        <v>580.5</v>
      </c>
      <c r="AR12357" s="55">
        <v>28500</v>
      </c>
      <c r="AS12357" s="78">
        <f t="shared" si="197"/>
        <v>2.0368421052631577E-2</v>
      </c>
    </row>
    <row r="12358" spans="39:45">
      <c r="AM12358" s="54">
        <v>2020</v>
      </c>
      <c r="AN12358" s="54" t="s">
        <v>96</v>
      </c>
      <c r="AO12358" s="54">
        <v>29</v>
      </c>
      <c r="AP12358" s="54">
        <v>20</v>
      </c>
      <c r="AQ12358" s="54">
        <v>0</v>
      </c>
      <c r="AR12358" s="55">
        <v>28500</v>
      </c>
      <c r="AS12358" s="78">
        <f t="shared" si="197"/>
        <v>0</v>
      </c>
    </row>
    <row r="12359" spans="39:45">
      <c r="AM12359" s="55">
        <v>2020</v>
      </c>
      <c r="AN12359" s="55" t="s">
        <v>96</v>
      </c>
      <c r="AO12359" s="55">
        <v>29</v>
      </c>
      <c r="AP12359" s="55">
        <v>21</v>
      </c>
      <c r="AQ12359" s="55">
        <v>0</v>
      </c>
      <c r="AR12359" s="55">
        <v>28500</v>
      </c>
      <c r="AS12359" s="78">
        <f t="shared" si="197"/>
        <v>0</v>
      </c>
    </row>
    <row r="12360" spans="39:45">
      <c r="AM12360" s="54">
        <v>2020</v>
      </c>
      <c r="AN12360" s="54" t="s">
        <v>96</v>
      </c>
      <c r="AO12360" s="54">
        <v>29</v>
      </c>
      <c r="AP12360" s="54">
        <v>22</v>
      </c>
      <c r="AQ12360" s="54">
        <v>0</v>
      </c>
      <c r="AR12360" s="55">
        <v>28500</v>
      </c>
      <c r="AS12360" s="78">
        <f t="shared" si="197"/>
        <v>0</v>
      </c>
    </row>
    <row r="12361" spans="39:45">
      <c r="AM12361" s="55">
        <v>2020</v>
      </c>
      <c r="AN12361" s="55" t="s">
        <v>96</v>
      </c>
      <c r="AO12361" s="55">
        <v>29</v>
      </c>
      <c r="AP12361" s="55">
        <v>23</v>
      </c>
      <c r="AQ12361" s="55">
        <v>0</v>
      </c>
      <c r="AR12361" s="55">
        <v>28500</v>
      </c>
      <c r="AS12361" s="78">
        <f t="shared" si="197"/>
        <v>0</v>
      </c>
    </row>
    <row r="12362" spans="39:45">
      <c r="AM12362" s="54">
        <v>2020</v>
      </c>
      <c r="AN12362" s="54" t="s">
        <v>96</v>
      </c>
      <c r="AO12362" s="54">
        <v>30</v>
      </c>
      <c r="AP12362" s="54">
        <v>24</v>
      </c>
      <c r="AQ12362" s="54">
        <v>0</v>
      </c>
      <c r="AR12362" s="55">
        <v>28500</v>
      </c>
      <c r="AS12362" s="78">
        <f t="shared" si="197"/>
        <v>0</v>
      </c>
    </row>
    <row r="12363" spans="39:45">
      <c r="AM12363" s="55">
        <v>2020</v>
      </c>
      <c r="AN12363" s="55" t="s">
        <v>96</v>
      </c>
      <c r="AO12363" s="55">
        <v>30</v>
      </c>
      <c r="AP12363" s="55">
        <v>1</v>
      </c>
      <c r="AQ12363" s="55">
        <v>0</v>
      </c>
      <c r="AR12363" s="55">
        <v>28500</v>
      </c>
      <c r="AS12363" s="78">
        <f t="shared" si="197"/>
        <v>0</v>
      </c>
    </row>
    <row r="12364" spans="39:45">
      <c r="AM12364" s="54">
        <v>2020</v>
      </c>
      <c r="AN12364" s="54" t="s">
        <v>96</v>
      </c>
      <c r="AO12364" s="54">
        <v>30</v>
      </c>
      <c r="AP12364" s="54">
        <v>2</v>
      </c>
      <c r="AQ12364" s="54">
        <v>0</v>
      </c>
      <c r="AR12364" s="55">
        <v>28500</v>
      </c>
      <c r="AS12364" s="78">
        <f t="shared" si="197"/>
        <v>0</v>
      </c>
    </row>
    <row r="12365" spans="39:45">
      <c r="AM12365" s="55">
        <v>2020</v>
      </c>
      <c r="AN12365" s="55" t="s">
        <v>96</v>
      </c>
      <c r="AO12365" s="55">
        <v>30</v>
      </c>
      <c r="AP12365" s="55">
        <v>3</v>
      </c>
      <c r="AQ12365" s="55">
        <v>0</v>
      </c>
      <c r="AR12365" s="55">
        <v>28500</v>
      </c>
      <c r="AS12365" s="78">
        <f t="shared" si="197"/>
        <v>0</v>
      </c>
    </row>
    <row r="12366" spans="39:45">
      <c r="AM12366" s="54">
        <v>2020</v>
      </c>
      <c r="AN12366" s="54" t="s">
        <v>96</v>
      </c>
      <c r="AO12366" s="54">
        <v>30</v>
      </c>
      <c r="AP12366" s="54">
        <v>4</v>
      </c>
      <c r="AQ12366" s="54">
        <v>0</v>
      </c>
      <c r="AR12366" s="55">
        <v>28500</v>
      </c>
      <c r="AS12366" s="78">
        <f t="shared" si="197"/>
        <v>0</v>
      </c>
    </row>
    <row r="12367" spans="39:45">
      <c r="AM12367" s="55">
        <v>2020</v>
      </c>
      <c r="AN12367" s="55" t="s">
        <v>96</v>
      </c>
      <c r="AO12367" s="55">
        <v>30</v>
      </c>
      <c r="AP12367" s="55">
        <v>5</v>
      </c>
      <c r="AQ12367" s="55">
        <v>1649.5</v>
      </c>
      <c r="AR12367" s="55">
        <v>28500</v>
      </c>
      <c r="AS12367" s="78">
        <f t="shared" si="197"/>
        <v>5.7877192982456138E-2</v>
      </c>
    </row>
    <row r="12368" spans="39:45">
      <c r="AM12368" s="54">
        <v>2020</v>
      </c>
      <c r="AN12368" s="54" t="s">
        <v>96</v>
      </c>
      <c r="AO12368" s="54">
        <v>30</v>
      </c>
      <c r="AP12368" s="54">
        <v>6</v>
      </c>
      <c r="AQ12368" s="54">
        <v>5234</v>
      </c>
      <c r="AR12368" s="55">
        <v>28500</v>
      </c>
      <c r="AS12368" s="78">
        <f t="shared" si="197"/>
        <v>0.18364912280701753</v>
      </c>
    </row>
    <row r="12369" spans="39:45">
      <c r="AM12369" s="55">
        <v>2020</v>
      </c>
      <c r="AN12369" s="55" t="s">
        <v>96</v>
      </c>
      <c r="AO12369" s="55">
        <v>30</v>
      </c>
      <c r="AP12369" s="55">
        <v>7</v>
      </c>
      <c r="AQ12369" s="55">
        <v>13946.5</v>
      </c>
      <c r="AR12369" s="55">
        <v>28500</v>
      </c>
      <c r="AS12369" s="78">
        <f t="shared" si="197"/>
        <v>0.48935087719298248</v>
      </c>
    </row>
    <row r="12370" spans="39:45">
      <c r="AM12370" s="54">
        <v>2020</v>
      </c>
      <c r="AN12370" s="54" t="s">
        <v>96</v>
      </c>
      <c r="AO12370" s="54">
        <v>30</v>
      </c>
      <c r="AP12370" s="54">
        <v>8</v>
      </c>
      <c r="AQ12370" s="54">
        <v>23898.5</v>
      </c>
      <c r="AR12370" s="55">
        <v>28500</v>
      </c>
      <c r="AS12370" s="78">
        <f t="shared" si="197"/>
        <v>0.83854385964912281</v>
      </c>
    </row>
    <row r="12371" spans="39:45">
      <c r="AM12371" s="55">
        <v>2020</v>
      </c>
      <c r="AN12371" s="55" t="s">
        <v>96</v>
      </c>
      <c r="AO12371" s="55">
        <v>30</v>
      </c>
      <c r="AP12371" s="55">
        <v>9</v>
      </c>
      <c r="AQ12371" s="55">
        <v>31663</v>
      </c>
      <c r="AR12371" s="55">
        <v>28500</v>
      </c>
      <c r="AS12371" s="78">
        <f t="shared" si="197"/>
        <v>1.110982456140351</v>
      </c>
    </row>
    <row r="12372" spans="39:45">
      <c r="AM12372" s="54">
        <v>2020</v>
      </c>
      <c r="AN12372" s="54" t="s">
        <v>96</v>
      </c>
      <c r="AO12372" s="54">
        <v>30</v>
      </c>
      <c r="AP12372" s="54">
        <v>10</v>
      </c>
      <c r="AQ12372" s="54">
        <v>37393</v>
      </c>
      <c r="AR12372" s="55">
        <v>28500</v>
      </c>
      <c r="AS12372" s="78">
        <f t="shared" si="197"/>
        <v>1.3120350877192983</v>
      </c>
    </row>
    <row r="12373" spans="39:45">
      <c r="AM12373" s="55">
        <v>2020</v>
      </c>
      <c r="AN12373" s="55" t="s">
        <v>96</v>
      </c>
      <c r="AO12373" s="55">
        <v>30</v>
      </c>
      <c r="AP12373" s="55">
        <v>11</v>
      </c>
      <c r="AQ12373" s="55">
        <v>40845.5</v>
      </c>
      <c r="AR12373" s="55">
        <v>28500</v>
      </c>
      <c r="AS12373" s="78">
        <f t="shared" si="197"/>
        <v>1.4331754385964912</v>
      </c>
    </row>
    <row r="12374" spans="39:45">
      <c r="AM12374" s="54">
        <v>2020</v>
      </c>
      <c r="AN12374" s="54" t="s">
        <v>96</v>
      </c>
      <c r="AO12374" s="54">
        <v>30</v>
      </c>
      <c r="AP12374" s="54">
        <v>12</v>
      </c>
      <c r="AQ12374" s="54">
        <v>41988</v>
      </c>
      <c r="AR12374" s="55">
        <v>28500</v>
      </c>
      <c r="AS12374" s="78">
        <f t="shared" si="197"/>
        <v>1.4732631578947368</v>
      </c>
    </row>
    <row r="12375" spans="39:45">
      <c r="AM12375" s="55">
        <v>2020</v>
      </c>
      <c r="AN12375" s="55" t="s">
        <v>96</v>
      </c>
      <c r="AO12375" s="55">
        <v>30</v>
      </c>
      <c r="AP12375" s="55">
        <v>13</v>
      </c>
      <c r="AQ12375" s="55">
        <v>40106</v>
      </c>
      <c r="AR12375" s="55">
        <v>28500</v>
      </c>
      <c r="AS12375" s="78">
        <f t="shared" si="197"/>
        <v>1.4072280701754385</v>
      </c>
    </row>
    <row r="12376" spans="39:45">
      <c r="AM12376" s="54">
        <v>2020</v>
      </c>
      <c r="AN12376" s="54" t="s">
        <v>96</v>
      </c>
      <c r="AO12376" s="54">
        <v>30</v>
      </c>
      <c r="AP12376" s="54">
        <v>14</v>
      </c>
      <c r="AQ12376" s="54">
        <v>35470</v>
      </c>
      <c r="AR12376" s="55">
        <v>28500</v>
      </c>
      <c r="AS12376" s="78">
        <f t="shared" si="197"/>
        <v>1.244561403508772</v>
      </c>
    </row>
    <row r="12377" spans="39:45">
      <c r="AM12377" s="55">
        <v>2020</v>
      </c>
      <c r="AN12377" s="55" t="s">
        <v>96</v>
      </c>
      <c r="AO12377" s="55">
        <v>30</v>
      </c>
      <c r="AP12377" s="55">
        <v>15</v>
      </c>
      <c r="AQ12377" s="55">
        <v>28770.5</v>
      </c>
      <c r="AR12377" s="55">
        <v>28500</v>
      </c>
      <c r="AS12377" s="78">
        <f t="shared" si="197"/>
        <v>1.0094912280701753</v>
      </c>
    </row>
    <row r="12378" spans="39:45">
      <c r="AM12378" s="54">
        <v>2020</v>
      </c>
      <c r="AN12378" s="54" t="s">
        <v>96</v>
      </c>
      <c r="AO12378" s="54">
        <v>30</v>
      </c>
      <c r="AP12378" s="54">
        <v>16</v>
      </c>
      <c r="AQ12378" s="54">
        <v>19445.5</v>
      </c>
      <c r="AR12378" s="55">
        <v>28500</v>
      </c>
      <c r="AS12378" s="78">
        <f t="shared" si="197"/>
        <v>0.68229824561403507</v>
      </c>
    </row>
    <row r="12379" spans="39:45">
      <c r="AM12379" s="55">
        <v>2020</v>
      </c>
      <c r="AN12379" s="55" t="s">
        <v>96</v>
      </c>
      <c r="AO12379" s="55">
        <v>30</v>
      </c>
      <c r="AP12379" s="55">
        <v>17</v>
      </c>
      <c r="AQ12379" s="55">
        <v>9047.5</v>
      </c>
      <c r="AR12379" s="55">
        <v>28500</v>
      </c>
      <c r="AS12379" s="78">
        <f t="shared" si="197"/>
        <v>0.31745614035087721</v>
      </c>
    </row>
    <row r="12380" spans="39:45">
      <c r="AM12380" s="54">
        <v>2020</v>
      </c>
      <c r="AN12380" s="54" t="s">
        <v>96</v>
      </c>
      <c r="AO12380" s="54">
        <v>30</v>
      </c>
      <c r="AP12380" s="54">
        <v>18</v>
      </c>
      <c r="AQ12380" s="54">
        <v>1467</v>
      </c>
      <c r="AR12380" s="55">
        <v>28500</v>
      </c>
      <c r="AS12380" s="78">
        <f t="shared" si="197"/>
        <v>5.1473684210526317E-2</v>
      </c>
    </row>
    <row r="12381" spans="39:45">
      <c r="AM12381" s="55">
        <v>2020</v>
      </c>
      <c r="AN12381" s="55" t="s">
        <v>96</v>
      </c>
      <c r="AO12381" s="55">
        <v>30</v>
      </c>
      <c r="AP12381" s="55">
        <v>19</v>
      </c>
      <c r="AQ12381" s="55">
        <v>687</v>
      </c>
      <c r="AR12381" s="55">
        <v>28500</v>
      </c>
      <c r="AS12381" s="78">
        <f t="shared" si="197"/>
        <v>2.4105263157894737E-2</v>
      </c>
    </row>
    <row r="12382" spans="39:45">
      <c r="AM12382" s="54">
        <v>2020</v>
      </c>
      <c r="AN12382" s="54" t="s">
        <v>96</v>
      </c>
      <c r="AO12382" s="54">
        <v>30</v>
      </c>
      <c r="AP12382" s="54">
        <v>20</v>
      </c>
      <c r="AQ12382" s="54">
        <v>0</v>
      </c>
      <c r="AR12382" s="55">
        <v>28500</v>
      </c>
      <c r="AS12382" s="78">
        <f t="shared" si="197"/>
        <v>0</v>
      </c>
    </row>
    <row r="12383" spans="39:45">
      <c r="AM12383" s="55">
        <v>2020</v>
      </c>
      <c r="AN12383" s="55" t="s">
        <v>96</v>
      </c>
      <c r="AO12383" s="55">
        <v>30</v>
      </c>
      <c r="AP12383" s="55">
        <v>21</v>
      </c>
      <c r="AQ12383" s="55">
        <v>0</v>
      </c>
      <c r="AR12383" s="55">
        <v>28500</v>
      </c>
      <c r="AS12383" s="78">
        <f t="shared" si="197"/>
        <v>0</v>
      </c>
    </row>
    <row r="12384" spans="39:45">
      <c r="AM12384" s="54">
        <v>2020</v>
      </c>
      <c r="AN12384" s="54" t="s">
        <v>96</v>
      </c>
      <c r="AO12384" s="54">
        <v>30</v>
      </c>
      <c r="AP12384" s="54">
        <v>22</v>
      </c>
      <c r="AQ12384" s="54">
        <v>0</v>
      </c>
      <c r="AR12384" s="55">
        <v>28500</v>
      </c>
      <c r="AS12384" s="78">
        <f t="shared" si="197"/>
        <v>0</v>
      </c>
    </row>
    <row r="12385" spans="39:45">
      <c r="AM12385" s="55">
        <v>2020</v>
      </c>
      <c r="AN12385" s="55" t="s">
        <v>96</v>
      </c>
      <c r="AO12385" s="55">
        <v>30</v>
      </c>
      <c r="AP12385" s="55">
        <v>23</v>
      </c>
      <c r="AQ12385" s="55">
        <v>0</v>
      </c>
      <c r="AR12385" s="55">
        <v>28500</v>
      </c>
      <c r="AS12385" s="78">
        <f t="shared" si="197"/>
        <v>0</v>
      </c>
    </row>
    <row r="12386" spans="39:45">
      <c r="AM12386" s="54">
        <v>2020</v>
      </c>
      <c r="AN12386" s="54" t="s">
        <v>96</v>
      </c>
      <c r="AO12386" s="54">
        <v>31</v>
      </c>
      <c r="AP12386" s="54">
        <v>24</v>
      </c>
      <c r="AQ12386" s="54">
        <v>0</v>
      </c>
      <c r="AR12386" s="55">
        <v>28500</v>
      </c>
      <c r="AS12386" s="78">
        <f t="shared" si="197"/>
        <v>0</v>
      </c>
    </row>
    <row r="12387" spans="39:45">
      <c r="AM12387" s="55">
        <v>2020</v>
      </c>
      <c r="AN12387" s="55" t="s">
        <v>96</v>
      </c>
      <c r="AO12387" s="55">
        <v>31</v>
      </c>
      <c r="AP12387" s="55">
        <v>1</v>
      </c>
      <c r="AQ12387" s="55">
        <v>0</v>
      </c>
      <c r="AR12387" s="55">
        <v>28500</v>
      </c>
      <c r="AS12387" s="78">
        <f t="shared" si="197"/>
        <v>0</v>
      </c>
    </row>
    <row r="12388" spans="39:45">
      <c r="AM12388" s="54">
        <v>2020</v>
      </c>
      <c r="AN12388" s="54" t="s">
        <v>96</v>
      </c>
      <c r="AO12388" s="54">
        <v>31</v>
      </c>
      <c r="AP12388" s="54">
        <v>2</v>
      </c>
      <c r="AQ12388" s="54">
        <v>0</v>
      </c>
      <c r="AR12388" s="55">
        <v>28500</v>
      </c>
      <c r="AS12388" s="78">
        <f t="shared" si="197"/>
        <v>0</v>
      </c>
    </row>
    <row r="12389" spans="39:45">
      <c r="AM12389" s="55">
        <v>2020</v>
      </c>
      <c r="AN12389" s="55" t="s">
        <v>96</v>
      </c>
      <c r="AO12389" s="55">
        <v>31</v>
      </c>
      <c r="AP12389" s="55">
        <v>3</v>
      </c>
      <c r="AQ12389" s="55">
        <v>0</v>
      </c>
      <c r="AR12389" s="55">
        <v>28500</v>
      </c>
      <c r="AS12389" s="78">
        <f t="shared" si="197"/>
        <v>0</v>
      </c>
    </row>
    <row r="12390" spans="39:45">
      <c r="AM12390" s="54">
        <v>2020</v>
      </c>
      <c r="AN12390" s="54" t="s">
        <v>96</v>
      </c>
      <c r="AO12390" s="54">
        <v>31</v>
      </c>
      <c r="AP12390" s="54">
        <v>4</v>
      </c>
      <c r="AQ12390" s="54">
        <v>0</v>
      </c>
      <c r="AR12390" s="55">
        <v>28500</v>
      </c>
      <c r="AS12390" s="78">
        <f t="shared" si="197"/>
        <v>0</v>
      </c>
    </row>
    <row r="12391" spans="39:45">
      <c r="AM12391" s="55">
        <v>2020</v>
      </c>
      <c r="AN12391" s="55" t="s">
        <v>96</v>
      </c>
      <c r="AO12391" s="55">
        <v>31</v>
      </c>
      <c r="AP12391" s="55">
        <v>5</v>
      </c>
      <c r="AQ12391" s="55">
        <v>1533</v>
      </c>
      <c r="AR12391" s="55">
        <v>28500</v>
      </c>
      <c r="AS12391" s="78">
        <f t="shared" si="197"/>
        <v>5.3789473684210526E-2</v>
      </c>
    </row>
    <row r="12392" spans="39:45">
      <c r="AM12392" s="54">
        <v>2020</v>
      </c>
      <c r="AN12392" s="54" t="s">
        <v>96</v>
      </c>
      <c r="AO12392" s="54">
        <v>31</v>
      </c>
      <c r="AP12392" s="54">
        <v>6</v>
      </c>
      <c r="AQ12392" s="54">
        <v>4269</v>
      </c>
      <c r="AR12392" s="55">
        <v>28500</v>
      </c>
      <c r="AS12392" s="78">
        <f t="shared" si="197"/>
        <v>0.14978947368421053</v>
      </c>
    </row>
    <row r="12393" spans="39:45">
      <c r="AM12393" s="55">
        <v>2020</v>
      </c>
      <c r="AN12393" s="55" t="s">
        <v>96</v>
      </c>
      <c r="AO12393" s="55">
        <v>31</v>
      </c>
      <c r="AP12393" s="55">
        <v>7</v>
      </c>
      <c r="AQ12393" s="55">
        <v>13954</v>
      </c>
      <c r="AR12393" s="55">
        <v>28500</v>
      </c>
      <c r="AS12393" s="78">
        <f t="shared" si="197"/>
        <v>0.48961403508771928</v>
      </c>
    </row>
    <row r="12394" spans="39:45">
      <c r="AM12394" s="54">
        <v>2020</v>
      </c>
      <c r="AN12394" s="54" t="s">
        <v>96</v>
      </c>
      <c r="AO12394" s="54">
        <v>31</v>
      </c>
      <c r="AP12394" s="54">
        <v>8</v>
      </c>
      <c r="AQ12394" s="54">
        <v>23454.5</v>
      </c>
      <c r="AR12394" s="55">
        <v>28500</v>
      </c>
      <c r="AS12394" s="78">
        <f t="shared" si="197"/>
        <v>0.82296491228070179</v>
      </c>
    </row>
    <row r="12395" spans="39:45">
      <c r="AM12395" s="55">
        <v>2020</v>
      </c>
      <c r="AN12395" s="55" t="s">
        <v>96</v>
      </c>
      <c r="AO12395" s="55">
        <v>31</v>
      </c>
      <c r="AP12395" s="55">
        <v>9</v>
      </c>
      <c r="AQ12395" s="55">
        <v>31092.5</v>
      </c>
      <c r="AR12395" s="55">
        <v>28500</v>
      </c>
      <c r="AS12395" s="78">
        <f t="shared" si="197"/>
        <v>1.0909649122807017</v>
      </c>
    </row>
    <row r="12396" spans="39:45">
      <c r="AM12396" s="54">
        <v>2020</v>
      </c>
      <c r="AN12396" s="54" t="s">
        <v>96</v>
      </c>
      <c r="AO12396" s="54">
        <v>31</v>
      </c>
      <c r="AP12396" s="54">
        <v>10</v>
      </c>
      <c r="AQ12396" s="54">
        <v>36254.5</v>
      </c>
      <c r="AR12396" s="55">
        <v>28500</v>
      </c>
      <c r="AS12396" s="78">
        <f t="shared" si="197"/>
        <v>1.2720877192982456</v>
      </c>
    </row>
    <row r="12397" spans="39:45">
      <c r="AM12397" s="55">
        <v>2020</v>
      </c>
      <c r="AN12397" s="55" t="s">
        <v>96</v>
      </c>
      <c r="AO12397" s="55">
        <v>31</v>
      </c>
      <c r="AP12397" s="55">
        <v>11</v>
      </c>
      <c r="AQ12397" s="55">
        <v>38818.5</v>
      </c>
      <c r="AR12397" s="55">
        <v>28500</v>
      </c>
      <c r="AS12397" s="78">
        <f t="shared" si="197"/>
        <v>1.3620526315789474</v>
      </c>
    </row>
    <row r="12398" spans="39:45">
      <c r="AM12398" s="54">
        <v>2020</v>
      </c>
      <c r="AN12398" s="54" t="s">
        <v>96</v>
      </c>
      <c r="AO12398" s="54">
        <v>31</v>
      </c>
      <c r="AP12398" s="54">
        <v>12</v>
      </c>
      <c r="AQ12398" s="54">
        <v>41521.5</v>
      </c>
      <c r="AR12398" s="55">
        <v>28500</v>
      </c>
      <c r="AS12398" s="78">
        <f t="shared" si="197"/>
        <v>1.4568947368421052</v>
      </c>
    </row>
    <row r="12399" spans="39:45">
      <c r="AM12399" s="55">
        <v>2020</v>
      </c>
      <c r="AN12399" s="55" t="s">
        <v>96</v>
      </c>
      <c r="AO12399" s="55">
        <v>31</v>
      </c>
      <c r="AP12399" s="55">
        <v>13</v>
      </c>
      <c r="AQ12399" s="55">
        <v>39790.5</v>
      </c>
      <c r="AR12399" s="55">
        <v>28500</v>
      </c>
      <c r="AS12399" s="78">
        <f t="shared" si="197"/>
        <v>1.396157894736842</v>
      </c>
    </row>
    <row r="12400" spans="39:45">
      <c r="AM12400" s="54">
        <v>2020</v>
      </c>
      <c r="AN12400" s="54" t="s">
        <v>96</v>
      </c>
      <c r="AO12400" s="54">
        <v>31</v>
      </c>
      <c r="AP12400" s="54">
        <v>14</v>
      </c>
      <c r="AQ12400" s="54">
        <v>35633.5</v>
      </c>
      <c r="AR12400" s="55">
        <v>28500</v>
      </c>
      <c r="AS12400" s="78">
        <f t="shared" si="197"/>
        <v>1.250298245614035</v>
      </c>
    </row>
    <row r="12401" spans="39:45">
      <c r="AM12401" s="55">
        <v>2020</v>
      </c>
      <c r="AN12401" s="55" t="s">
        <v>96</v>
      </c>
      <c r="AO12401" s="55">
        <v>31</v>
      </c>
      <c r="AP12401" s="55">
        <v>15</v>
      </c>
      <c r="AQ12401" s="55">
        <v>28476.5</v>
      </c>
      <c r="AR12401" s="55">
        <v>28500</v>
      </c>
      <c r="AS12401" s="78">
        <f t="shared" si="197"/>
        <v>0.99917543859649127</v>
      </c>
    </row>
    <row r="12402" spans="39:45">
      <c r="AM12402" s="54">
        <v>2020</v>
      </c>
      <c r="AN12402" s="54" t="s">
        <v>96</v>
      </c>
      <c r="AO12402" s="54">
        <v>31</v>
      </c>
      <c r="AP12402" s="54">
        <v>16</v>
      </c>
      <c r="AQ12402" s="54">
        <v>19487.5</v>
      </c>
      <c r="AR12402" s="55">
        <v>28500</v>
      </c>
      <c r="AS12402" s="78">
        <f t="shared" si="197"/>
        <v>0.68377192982456136</v>
      </c>
    </row>
    <row r="12403" spans="39:45">
      <c r="AM12403" s="55">
        <v>2020</v>
      </c>
      <c r="AN12403" s="55" t="s">
        <v>96</v>
      </c>
      <c r="AO12403" s="55">
        <v>31</v>
      </c>
      <c r="AP12403" s="55">
        <v>17</v>
      </c>
      <c r="AQ12403" s="55">
        <v>9125</v>
      </c>
      <c r="AR12403" s="55">
        <v>28500</v>
      </c>
      <c r="AS12403" s="78">
        <f t="shared" si="197"/>
        <v>0.32017543859649122</v>
      </c>
    </row>
    <row r="12404" spans="39:45">
      <c r="AM12404" s="54">
        <v>2020</v>
      </c>
      <c r="AN12404" s="54" t="s">
        <v>96</v>
      </c>
      <c r="AO12404" s="54">
        <v>31</v>
      </c>
      <c r="AP12404" s="54">
        <v>18</v>
      </c>
      <c r="AQ12404" s="54">
        <v>1444.5</v>
      </c>
      <c r="AR12404" s="55">
        <v>28500</v>
      </c>
      <c r="AS12404" s="78">
        <f t="shared" si="197"/>
        <v>5.068421052631579E-2</v>
      </c>
    </row>
    <row r="12405" spans="39:45">
      <c r="AM12405" s="55">
        <v>2020</v>
      </c>
      <c r="AN12405" s="55" t="s">
        <v>96</v>
      </c>
      <c r="AO12405" s="55">
        <v>31</v>
      </c>
      <c r="AP12405" s="55">
        <v>19</v>
      </c>
      <c r="AQ12405" s="55">
        <v>604.5</v>
      </c>
      <c r="AR12405" s="55">
        <v>28500</v>
      </c>
      <c r="AS12405" s="78">
        <f t="shared" si="197"/>
        <v>2.1210526315789475E-2</v>
      </c>
    </row>
    <row r="12406" spans="39:45">
      <c r="AM12406" s="54">
        <v>2020</v>
      </c>
      <c r="AN12406" s="54" t="s">
        <v>96</v>
      </c>
      <c r="AO12406" s="54">
        <v>31</v>
      </c>
      <c r="AP12406" s="54">
        <v>20</v>
      </c>
      <c r="AQ12406" s="54">
        <v>0</v>
      </c>
      <c r="AR12406" s="55">
        <v>28500</v>
      </c>
      <c r="AS12406" s="78">
        <f t="shared" si="197"/>
        <v>0</v>
      </c>
    </row>
    <row r="12407" spans="39:45">
      <c r="AM12407" s="55">
        <v>2020</v>
      </c>
      <c r="AN12407" s="55" t="s">
        <v>96</v>
      </c>
      <c r="AO12407" s="55">
        <v>31</v>
      </c>
      <c r="AP12407" s="55">
        <v>21</v>
      </c>
      <c r="AQ12407" s="55">
        <v>0</v>
      </c>
      <c r="AR12407" s="55">
        <v>28500</v>
      </c>
      <c r="AS12407" s="78">
        <f t="shared" si="197"/>
        <v>0</v>
      </c>
    </row>
    <row r="12408" spans="39:45">
      <c r="AM12408" s="54">
        <v>2020</v>
      </c>
      <c r="AN12408" s="54" t="s">
        <v>96</v>
      </c>
      <c r="AO12408" s="54">
        <v>31</v>
      </c>
      <c r="AP12408" s="54">
        <v>22</v>
      </c>
      <c r="AQ12408" s="54">
        <v>0</v>
      </c>
      <c r="AR12408" s="55">
        <v>28500</v>
      </c>
      <c r="AS12408" s="78">
        <f t="shared" si="197"/>
        <v>0</v>
      </c>
    </row>
    <row r="12409" spans="39:45">
      <c r="AM12409" s="55">
        <v>2020</v>
      </c>
      <c r="AN12409" s="55" t="s">
        <v>96</v>
      </c>
      <c r="AO12409" s="55">
        <v>31</v>
      </c>
      <c r="AP12409" s="55">
        <v>23</v>
      </c>
      <c r="AQ12409" s="55">
        <v>0</v>
      </c>
      <c r="AR12409" s="55">
        <v>28500</v>
      </c>
      <c r="AS12409" s="78">
        <f t="shared" si="197"/>
        <v>0</v>
      </c>
    </row>
    <row r="12410" spans="39:45">
      <c r="AM12410" s="54">
        <v>2020</v>
      </c>
      <c r="AN12410" s="54" t="s">
        <v>187</v>
      </c>
      <c r="AO12410" s="54">
        <v>1</v>
      </c>
      <c r="AP12410" s="54">
        <v>24</v>
      </c>
      <c r="AQ12410" s="54">
        <v>0</v>
      </c>
      <c r="AR12410" s="55">
        <v>28500</v>
      </c>
      <c r="AS12410" s="78">
        <f t="shared" si="197"/>
        <v>0</v>
      </c>
    </row>
    <row r="12411" spans="39:45">
      <c r="AM12411" s="55">
        <v>2020</v>
      </c>
      <c r="AN12411" s="55" t="s">
        <v>187</v>
      </c>
      <c r="AO12411" s="55">
        <v>1</v>
      </c>
      <c r="AP12411" s="55">
        <v>1</v>
      </c>
      <c r="AQ12411" s="55">
        <v>0</v>
      </c>
      <c r="AR12411" s="55">
        <v>28500</v>
      </c>
      <c r="AS12411" s="78">
        <f t="shared" si="197"/>
        <v>0</v>
      </c>
    </row>
    <row r="12412" spans="39:45">
      <c r="AM12412" s="54">
        <v>2020</v>
      </c>
      <c r="AN12412" s="54" t="s">
        <v>187</v>
      </c>
      <c r="AO12412" s="54">
        <v>1</v>
      </c>
      <c r="AP12412" s="54">
        <v>2</v>
      </c>
      <c r="AQ12412" s="54">
        <v>0</v>
      </c>
      <c r="AR12412" s="55">
        <v>28500</v>
      </c>
      <c r="AS12412" s="78">
        <f t="shared" si="197"/>
        <v>0</v>
      </c>
    </row>
    <row r="12413" spans="39:45">
      <c r="AM12413" s="55">
        <v>2020</v>
      </c>
      <c r="AN12413" s="55" t="s">
        <v>187</v>
      </c>
      <c r="AO12413" s="55">
        <v>1</v>
      </c>
      <c r="AP12413" s="55">
        <v>3</v>
      </c>
      <c r="AQ12413" s="55">
        <v>0</v>
      </c>
      <c r="AR12413" s="55">
        <v>28500</v>
      </c>
      <c r="AS12413" s="78">
        <f t="shared" si="197"/>
        <v>0</v>
      </c>
    </row>
    <row r="12414" spans="39:45">
      <c r="AM12414" s="54">
        <v>2020</v>
      </c>
      <c r="AN12414" s="54" t="s">
        <v>187</v>
      </c>
      <c r="AO12414" s="54">
        <v>1</v>
      </c>
      <c r="AP12414" s="54">
        <v>4</v>
      </c>
      <c r="AQ12414" s="54">
        <v>0</v>
      </c>
      <c r="AR12414" s="55">
        <v>28500</v>
      </c>
      <c r="AS12414" s="78">
        <f t="shared" si="197"/>
        <v>0</v>
      </c>
    </row>
    <row r="12415" spans="39:45">
      <c r="AM12415" s="55">
        <v>2020</v>
      </c>
      <c r="AN12415" s="55" t="s">
        <v>187</v>
      </c>
      <c r="AO12415" s="55">
        <v>1</v>
      </c>
      <c r="AP12415" s="55">
        <v>5</v>
      </c>
      <c r="AQ12415" s="55">
        <v>1307</v>
      </c>
      <c r="AR12415" s="55">
        <v>28500</v>
      </c>
      <c r="AS12415" s="78">
        <f t="shared" si="197"/>
        <v>4.5859649122807017E-2</v>
      </c>
    </row>
    <row r="12416" spans="39:45">
      <c r="AM12416" s="54">
        <v>2020</v>
      </c>
      <c r="AN12416" s="54" t="s">
        <v>187</v>
      </c>
      <c r="AO12416" s="54">
        <v>1</v>
      </c>
      <c r="AP12416" s="54">
        <v>6</v>
      </c>
      <c r="AQ12416" s="54">
        <v>4204.5</v>
      </c>
      <c r="AR12416" s="55">
        <v>28500</v>
      </c>
      <c r="AS12416" s="78">
        <f t="shared" si="197"/>
        <v>0.14752631578947367</v>
      </c>
    </row>
    <row r="12417" spans="39:45">
      <c r="AM12417" s="55">
        <v>2020</v>
      </c>
      <c r="AN12417" s="55" t="s">
        <v>187</v>
      </c>
      <c r="AO12417" s="55">
        <v>1</v>
      </c>
      <c r="AP12417" s="55">
        <v>7</v>
      </c>
      <c r="AQ12417" s="55">
        <v>13801.5</v>
      </c>
      <c r="AR12417" s="55">
        <v>28500</v>
      </c>
      <c r="AS12417" s="78">
        <f t="shared" si="197"/>
        <v>0.48426315789473684</v>
      </c>
    </row>
    <row r="12418" spans="39:45">
      <c r="AM12418" s="54">
        <v>2020</v>
      </c>
      <c r="AN12418" s="54" t="s">
        <v>187</v>
      </c>
      <c r="AO12418" s="54">
        <v>1</v>
      </c>
      <c r="AP12418" s="54">
        <v>8</v>
      </c>
      <c r="AQ12418" s="54">
        <v>23405</v>
      </c>
      <c r="AR12418" s="55">
        <v>28500</v>
      </c>
      <c r="AS12418" s="78">
        <f t="shared" ref="AS12418:AS12481" si="198">AQ12418/AR12418</f>
        <v>0.82122807017543864</v>
      </c>
    </row>
    <row r="12419" spans="39:45">
      <c r="AM12419" s="55">
        <v>2020</v>
      </c>
      <c r="AN12419" s="55" t="s">
        <v>187</v>
      </c>
      <c r="AO12419" s="55">
        <v>1</v>
      </c>
      <c r="AP12419" s="55">
        <v>9</v>
      </c>
      <c r="AQ12419" s="55">
        <v>30894</v>
      </c>
      <c r="AR12419" s="55">
        <v>28500</v>
      </c>
      <c r="AS12419" s="78">
        <f t="shared" si="198"/>
        <v>1.0840000000000001</v>
      </c>
    </row>
    <row r="12420" spans="39:45">
      <c r="AM12420" s="54">
        <v>2020</v>
      </c>
      <c r="AN12420" s="54" t="s">
        <v>187</v>
      </c>
      <c r="AO12420" s="54">
        <v>1</v>
      </c>
      <c r="AP12420" s="54">
        <v>10</v>
      </c>
      <c r="AQ12420" s="54">
        <v>36626.5</v>
      </c>
      <c r="AR12420" s="55">
        <v>28500</v>
      </c>
      <c r="AS12420" s="78">
        <f t="shared" si="198"/>
        <v>1.285140350877193</v>
      </c>
    </row>
    <row r="12421" spans="39:45">
      <c r="AM12421" s="55">
        <v>2020</v>
      </c>
      <c r="AN12421" s="55" t="s">
        <v>187</v>
      </c>
      <c r="AO12421" s="55">
        <v>1</v>
      </c>
      <c r="AP12421" s="55">
        <v>11</v>
      </c>
      <c r="AQ12421" s="55">
        <v>40216.5</v>
      </c>
      <c r="AR12421" s="55">
        <v>28500</v>
      </c>
      <c r="AS12421" s="78">
        <f t="shared" si="198"/>
        <v>1.4111052631578946</v>
      </c>
    </row>
    <row r="12422" spans="39:45">
      <c r="AM12422" s="54">
        <v>2020</v>
      </c>
      <c r="AN12422" s="54" t="s">
        <v>187</v>
      </c>
      <c r="AO12422" s="54">
        <v>1</v>
      </c>
      <c r="AP12422" s="54">
        <v>12</v>
      </c>
      <c r="AQ12422" s="54">
        <v>40772.5</v>
      </c>
      <c r="AR12422" s="55">
        <v>28500</v>
      </c>
      <c r="AS12422" s="78">
        <f t="shared" si="198"/>
        <v>1.4306140350877192</v>
      </c>
    </row>
    <row r="12423" spans="39:45">
      <c r="AM12423" s="55">
        <v>2020</v>
      </c>
      <c r="AN12423" s="55" t="s">
        <v>187</v>
      </c>
      <c r="AO12423" s="55">
        <v>1</v>
      </c>
      <c r="AP12423" s="55">
        <v>13</v>
      </c>
      <c r="AQ12423" s="55">
        <v>38851.5</v>
      </c>
      <c r="AR12423" s="55">
        <v>28500</v>
      </c>
      <c r="AS12423" s="78">
        <f t="shared" si="198"/>
        <v>1.3632105263157894</v>
      </c>
    </row>
    <row r="12424" spans="39:45">
      <c r="AM12424" s="54">
        <v>2020</v>
      </c>
      <c r="AN12424" s="54" t="s">
        <v>187</v>
      </c>
      <c r="AO12424" s="54">
        <v>1</v>
      </c>
      <c r="AP12424" s="54">
        <v>14</v>
      </c>
      <c r="AQ12424" s="54">
        <v>34492.5</v>
      </c>
      <c r="AR12424" s="55">
        <v>28500</v>
      </c>
      <c r="AS12424" s="78">
        <f t="shared" si="198"/>
        <v>1.2102631578947369</v>
      </c>
    </row>
    <row r="12425" spans="39:45">
      <c r="AM12425" s="55">
        <v>2020</v>
      </c>
      <c r="AN12425" s="55" t="s">
        <v>187</v>
      </c>
      <c r="AO12425" s="55">
        <v>1</v>
      </c>
      <c r="AP12425" s="55">
        <v>15</v>
      </c>
      <c r="AQ12425" s="55">
        <v>27802.5</v>
      </c>
      <c r="AR12425" s="55">
        <v>28500</v>
      </c>
      <c r="AS12425" s="78">
        <f t="shared" si="198"/>
        <v>0.97552631578947369</v>
      </c>
    </row>
    <row r="12426" spans="39:45">
      <c r="AM12426" s="54">
        <v>2020</v>
      </c>
      <c r="AN12426" s="54" t="s">
        <v>187</v>
      </c>
      <c r="AO12426" s="54">
        <v>1</v>
      </c>
      <c r="AP12426" s="54">
        <v>16</v>
      </c>
      <c r="AQ12426" s="54">
        <v>18938</v>
      </c>
      <c r="AR12426" s="55">
        <v>28500</v>
      </c>
      <c r="AS12426" s="78">
        <f t="shared" si="198"/>
        <v>0.66449122807017547</v>
      </c>
    </row>
    <row r="12427" spans="39:45">
      <c r="AM12427" s="55">
        <v>2020</v>
      </c>
      <c r="AN12427" s="55" t="s">
        <v>187</v>
      </c>
      <c r="AO12427" s="55">
        <v>1</v>
      </c>
      <c r="AP12427" s="55">
        <v>17</v>
      </c>
      <c r="AQ12427" s="55">
        <v>8948</v>
      </c>
      <c r="AR12427" s="55">
        <v>28500</v>
      </c>
      <c r="AS12427" s="78">
        <f t="shared" si="198"/>
        <v>0.31396491228070178</v>
      </c>
    </row>
    <row r="12428" spans="39:45">
      <c r="AM12428" s="54">
        <v>2020</v>
      </c>
      <c r="AN12428" s="54" t="s">
        <v>187</v>
      </c>
      <c r="AO12428" s="54">
        <v>1</v>
      </c>
      <c r="AP12428" s="54">
        <v>18</v>
      </c>
      <c r="AQ12428" s="54">
        <v>1516.5</v>
      </c>
      <c r="AR12428" s="55">
        <v>28500</v>
      </c>
      <c r="AS12428" s="78">
        <f t="shared" si="198"/>
        <v>5.3210526315789472E-2</v>
      </c>
    </row>
    <row r="12429" spans="39:45">
      <c r="AM12429" s="55">
        <v>2020</v>
      </c>
      <c r="AN12429" s="55" t="s">
        <v>187</v>
      </c>
      <c r="AO12429" s="55">
        <v>1</v>
      </c>
      <c r="AP12429" s="55">
        <v>19</v>
      </c>
      <c r="AQ12429" s="55">
        <v>712</v>
      </c>
      <c r="AR12429" s="55">
        <v>28500</v>
      </c>
      <c r="AS12429" s="78">
        <f t="shared" si="198"/>
        <v>2.4982456140350877E-2</v>
      </c>
    </row>
    <row r="12430" spans="39:45">
      <c r="AM12430" s="54">
        <v>2020</v>
      </c>
      <c r="AN12430" s="54" t="s">
        <v>187</v>
      </c>
      <c r="AO12430" s="54">
        <v>1</v>
      </c>
      <c r="AP12430" s="54">
        <v>20</v>
      </c>
      <c r="AQ12430" s="54">
        <v>0</v>
      </c>
      <c r="AR12430" s="55">
        <v>28500</v>
      </c>
      <c r="AS12430" s="78">
        <f t="shared" si="198"/>
        <v>0</v>
      </c>
    </row>
    <row r="12431" spans="39:45">
      <c r="AM12431" s="55">
        <v>2020</v>
      </c>
      <c r="AN12431" s="55" t="s">
        <v>187</v>
      </c>
      <c r="AO12431" s="55">
        <v>1</v>
      </c>
      <c r="AP12431" s="55">
        <v>21</v>
      </c>
      <c r="AQ12431" s="55">
        <v>0</v>
      </c>
      <c r="AR12431" s="55">
        <v>28500</v>
      </c>
      <c r="AS12431" s="78">
        <f t="shared" si="198"/>
        <v>0</v>
      </c>
    </row>
    <row r="12432" spans="39:45">
      <c r="AM12432" s="54">
        <v>2020</v>
      </c>
      <c r="AN12432" s="54" t="s">
        <v>187</v>
      </c>
      <c r="AO12432" s="54">
        <v>1</v>
      </c>
      <c r="AP12432" s="54">
        <v>22</v>
      </c>
      <c r="AQ12432" s="54">
        <v>0</v>
      </c>
      <c r="AR12432" s="55">
        <v>28500</v>
      </c>
      <c r="AS12432" s="78">
        <f t="shared" si="198"/>
        <v>0</v>
      </c>
    </row>
    <row r="12433" spans="39:45">
      <c r="AM12433" s="55">
        <v>2020</v>
      </c>
      <c r="AN12433" s="55" t="s">
        <v>187</v>
      </c>
      <c r="AO12433" s="55">
        <v>1</v>
      </c>
      <c r="AP12433" s="55">
        <v>23</v>
      </c>
      <c r="AQ12433" s="55">
        <v>0</v>
      </c>
      <c r="AR12433" s="55">
        <v>28500</v>
      </c>
      <c r="AS12433" s="78">
        <f t="shared" si="198"/>
        <v>0</v>
      </c>
    </row>
    <row r="12434" spans="39:45">
      <c r="AM12434" s="54">
        <v>2020</v>
      </c>
      <c r="AN12434" s="54" t="s">
        <v>187</v>
      </c>
      <c r="AO12434" s="54">
        <v>2</v>
      </c>
      <c r="AP12434" s="54">
        <v>24</v>
      </c>
      <c r="AQ12434" s="54">
        <v>0</v>
      </c>
      <c r="AR12434" s="55">
        <v>28500</v>
      </c>
      <c r="AS12434" s="78">
        <f t="shared" si="198"/>
        <v>0</v>
      </c>
    </row>
    <row r="12435" spans="39:45">
      <c r="AM12435" s="55">
        <v>2020</v>
      </c>
      <c r="AN12435" s="55" t="s">
        <v>187</v>
      </c>
      <c r="AO12435" s="55">
        <v>2</v>
      </c>
      <c r="AP12435" s="55">
        <v>1</v>
      </c>
      <c r="AQ12435" s="55">
        <v>0</v>
      </c>
      <c r="AR12435" s="55">
        <v>28500</v>
      </c>
      <c r="AS12435" s="78">
        <f t="shared" si="198"/>
        <v>0</v>
      </c>
    </row>
    <row r="12436" spans="39:45">
      <c r="AM12436" s="54">
        <v>2020</v>
      </c>
      <c r="AN12436" s="54" t="s">
        <v>187</v>
      </c>
      <c r="AO12436" s="54">
        <v>2</v>
      </c>
      <c r="AP12436" s="54">
        <v>2</v>
      </c>
      <c r="AQ12436" s="54">
        <v>0</v>
      </c>
      <c r="AR12436" s="55">
        <v>28500</v>
      </c>
      <c r="AS12436" s="78">
        <f t="shared" si="198"/>
        <v>0</v>
      </c>
    </row>
    <row r="12437" spans="39:45">
      <c r="AM12437" s="55">
        <v>2020</v>
      </c>
      <c r="AN12437" s="55" t="s">
        <v>187</v>
      </c>
      <c r="AO12437" s="55">
        <v>2</v>
      </c>
      <c r="AP12437" s="55">
        <v>3</v>
      </c>
      <c r="AQ12437" s="55">
        <v>0</v>
      </c>
      <c r="AR12437" s="55">
        <v>28500</v>
      </c>
      <c r="AS12437" s="78">
        <f t="shared" si="198"/>
        <v>0</v>
      </c>
    </row>
    <row r="12438" spans="39:45">
      <c r="AM12438" s="54">
        <v>2020</v>
      </c>
      <c r="AN12438" s="54" t="s">
        <v>187</v>
      </c>
      <c r="AO12438" s="54">
        <v>2</v>
      </c>
      <c r="AP12438" s="54">
        <v>4</v>
      </c>
      <c r="AQ12438" s="54">
        <v>0</v>
      </c>
      <c r="AR12438" s="55">
        <v>28500</v>
      </c>
      <c r="AS12438" s="78">
        <f t="shared" si="198"/>
        <v>0</v>
      </c>
    </row>
    <row r="12439" spans="39:45">
      <c r="AM12439" s="55">
        <v>2020</v>
      </c>
      <c r="AN12439" s="55" t="s">
        <v>187</v>
      </c>
      <c r="AO12439" s="55">
        <v>2</v>
      </c>
      <c r="AP12439" s="55">
        <v>5</v>
      </c>
      <c r="AQ12439" s="55">
        <v>1381</v>
      </c>
      <c r="AR12439" s="55">
        <v>28500</v>
      </c>
      <c r="AS12439" s="78">
        <f t="shared" si="198"/>
        <v>4.845614035087719E-2</v>
      </c>
    </row>
    <row r="12440" spans="39:45">
      <c r="AM12440" s="54">
        <v>2020</v>
      </c>
      <c r="AN12440" s="54" t="s">
        <v>187</v>
      </c>
      <c r="AO12440" s="54">
        <v>2</v>
      </c>
      <c r="AP12440" s="54">
        <v>6</v>
      </c>
      <c r="AQ12440" s="54">
        <v>4612.5</v>
      </c>
      <c r="AR12440" s="55">
        <v>28500</v>
      </c>
      <c r="AS12440" s="78">
        <f t="shared" si="198"/>
        <v>0.1618421052631579</v>
      </c>
    </row>
    <row r="12441" spans="39:45">
      <c r="AM12441" s="55">
        <v>2020</v>
      </c>
      <c r="AN12441" s="55" t="s">
        <v>187</v>
      </c>
      <c r="AO12441" s="55">
        <v>2</v>
      </c>
      <c r="AP12441" s="55">
        <v>7</v>
      </c>
      <c r="AQ12441" s="55">
        <v>13641</v>
      </c>
      <c r="AR12441" s="55">
        <v>28500</v>
      </c>
      <c r="AS12441" s="78">
        <f t="shared" si="198"/>
        <v>0.47863157894736841</v>
      </c>
    </row>
    <row r="12442" spans="39:45">
      <c r="AM12442" s="54">
        <v>2020</v>
      </c>
      <c r="AN12442" s="54" t="s">
        <v>187</v>
      </c>
      <c r="AO12442" s="54">
        <v>2</v>
      </c>
      <c r="AP12442" s="54">
        <v>8</v>
      </c>
      <c r="AQ12442" s="54">
        <v>23843</v>
      </c>
      <c r="AR12442" s="55">
        <v>28500</v>
      </c>
      <c r="AS12442" s="78">
        <f t="shared" si="198"/>
        <v>0.83659649122807023</v>
      </c>
    </row>
    <row r="12443" spans="39:45">
      <c r="AM12443" s="55">
        <v>2020</v>
      </c>
      <c r="AN12443" s="55" t="s">
        <v>187</v>
      </c>
      <c r="AO12443" s="55">
        <v>2</v>
      </c>
      <c r="AP12443" s="55">
        <v>9</v>
      </c>
      <c r="AQ12443" s="55">
        <v>30930.5</v>
      </c>
      <c r="AR12443" s="55">
        <v>28500</v>
      </c>
      <c r="AS12443" s="78">
        <f t="shared" si="198"/>
        <v>1.085280701754386</v>
      </c>
    </row>
    <row r="12444" spans="39:45">
      <c r="AM12444" s="54">
        <v>2020</v>
      </c>
      <c r="AN12444" s="54" t="s">
        <v>187</v>
      </c>
      <c r="AO12444" s="54">
        <v>2</v>
      </c>
      <c r="AP12444" s="54">
        <v>10</v>
      </c>
      <c r="AQ12444" s="54">
        <v>36116</v>
      </c>
      <c r="AR12444" s="55">
        <v>28500</v>
      </c>
      <c r="AS12444" s="78">
        <f t="shared" si="198"/>
        <v>1.2672280701754386</v>
      </c>
    </row>
    <row r="12445" spans="39:45">
      <c r="AM12445" s="55">
        <v>2020</v>
      </c>
      <c r="AN12445" s="55" t="s">
        <v>187</v>
      </c>
      <c r="AO12445" s="55">
        <v>2</v>
      </c>
      <c r="AP12445" s="55">
        <v>11</v>
      </c>
      <c r="AQ12445" s="55">
        <v>39135.5</v>
      </c>
      <c r="AR12445" s="55">
        <v>28500</v>
      </c>
      <c r="AS12445" s="78">
        <f t="shared" si="198"/>
        <v>1.3731754385964912</v>
      </c>
    </row>
    <row r="12446" spans="39:45">
      <c r="AM12446" s="54">
        <v>2020</v>
      </c>
      <c r="AN12446" s="54" t="s">
        <v>187</v>
      </c>
      <c r="AO12446" s="54">
        <v>2</v>
      </c>
      <c r="AP12446" s="54">
        <v>12</v>
      </c>
      <c r="AQ12446" s="54">
        <v>39506</v>
      </c>
      <c r="AR12446" s="55">
        <v>28500</v>
      </c>
      <c r="AS12446" s="78">
        <f t="shared" si="198"/>
        <v>1.3861754385964913</v>
      </c>
    </row>
    <row r="12447" spans="39:45">
      <c r="AM12447" s="55">
        <v>2020</v>
      </c>
      <c r="AN12447" s="55" t="s">
        <v>187</v>
      </c>
      <c r="AO12447" s="55">
        <v>2</v>
      </c>
      <c r="AP12447" s="55">
        <v>13</v>
      </c>
      <c r="AQ12447" s="55">
        <v>37766.5</v>
      </c>
      <c r="AR12447" s="55">
        <v>28500</v>
      </c>
      <c r="AS12447" s="78">
        <f t="shared" si="198"/>
        <v>1.3251403508771931</v>
      </c>
    </row>
    <row r="12448" spans="39:45">
      <c r="AM12448" s="54">
        <v>2020</v>
      </c>
      <c r="AN12448" s="54" t="s">
        <v>187</v>
      </c>
      <c r="AO12448" s="54">
        <v>2</v>
      </c>
      <c r="AP12448" s="54">
        <v>14</v>
      </c>
      <c r="AQ12448" s="54">
        <v>33920</v>
      </c>
      <c r="AR12448" s="55">
        <v>28500</v>
      </c>
      <c r="AS12448" s="78">
        <f t="shared" si="198"/>
        <v>1.1901754385964913</v>
      </c>
    </row>
    <row r="12449" spans="39:45">
      <c r="AM12449" s="55">
        <v>2020</v>
      </c>
      <c r="AN12449" s="55" t="s">
        <v>187</v>
      </c>
      <c r="AO12449" s="55">
        <v>2</v>
      </c>
      <c r="AP12449" s="55">
        <v>15</v>
      </c>
      <c r="AQ12449" s="55">
        <v>20691</v>
      </c>
      <c r="AR12449" s="55">
        <v>28500</v>
      </c>
      <c r="AS12449" s="78">
        <f t="shared" si="198"/>
        <v>0.72599999999999998</v>
      </c>
    </row>
    <row r="12450" spans="39:45">
      <c r="AM12450" s="54">
        <v>2020</v>
      </c>
      <c r="AN12450" s="54" t="s">
        <v>187</v>
      </c>
      <c r="AO12450" s="54">
        <v>2</v>
      </c>
      <c r="AP12450" s="54">
        <v>16</v>
      </c>
      <c r="AQ12450" s="54">
        <v>14255</v>
      </c>
      <c r="AR12450" s="55">
        <v>28500</v>
      </c>
      <c r="AS12450" s="78">
        <f t="shared" si="198"/>
        <v>0.50017543859649127</v>
      </c>
    </row>
    <row r="12451" spans="39:45">
      <c r="AM12451" s="55">
        <v>2020</v>
      </c>
      <c r="AN12451" s="55" t="s">
        <v>187</v>
      </c>
      <c r="AO12451" s="55">
        <v>2</v>
      </c>
      <c r="AP12451" s="55">
        <v>17</v>
      </c>
      <c r="AQ12451" s="55">
        <v>8833.5</v>
      </c>
      <c r="AR12451" s="55">
        <v>28500</v>
      </c>
      <c r="AS12451" s="78">
        <f t="shared" si="198"/>
        <v>0.30994736842105264</v>
      </c>
    </row>
    <row r="12452" spans="39:45">
      <c r="AM12452" s="54">
        <v>2020</v>
      </c>
      <c r="AN12452" s="54" t="s">
        <v>187</v>
      </c>
      <c r="AO12452" s="54">
        <v>2</v>
      </c>
      <c r="AP12452" s="54">
        <v>18</v>
      </c>
      <c r="AQ12452" s="54">
        <v>1566</v>
      </c>
      <c r="AR12452" s="55">
        <v>28500</v>
      </c>
      <c r="AS12452" s="78">
        <f t="shared" si="198"/>
        <v>5.4947368421052634E-2</v>
      </c>
    </row>
    <row r="12453" spans="39:45">
      <c r="AM12453" s="55">
        <v>2020</v>
      </c>
      <c r="AN12453" s="55" t="s">
        <v>187</v>
      </c>
      <c r="AO12453" s="55">
        <v>2</v>
      </c>
      <c r="AP12453" s="55">
        <v>19</v>
      </c>
      <c r="AQ12453" s="55">
        <v>761.5</v>
      </c>
      <c r="AR12453" s="55">
        <v>28500</v>
      </c>
      <c r="AS12453" s="78">
        <f t="shared" si="198"/>
        <v>2.6719298245614035E-2</v>
      </c>
    </row>
    <row r="12454" spans="39:45">
      <c r="AM12454" s="54">
        <v>2020</v>
      </c>
      <c r="AN12454" s="54" t="s">
        <v>187</v>
      </c>
      <c r="AO12454" s="54">
        <v>2</v>
      </c>
      <c r="AP12454" s="54">
        <v>20</v>
      </c>
      <c r="AQ12454" s="54">
        <v>0</v>
      </c>
      <c r="AR12454" s="55">
        <v>28500</v>
      </c>
      <c r="AS12454" s="78">
        <f t="shared" si="198"/>
        <v>0</v>
      </c>
    </row>
    <row r="12455" spans="39:45">
      <c r="AM12455" s="55">
        <v>2020</v>
      </c>
      <c r="AN12455" s="55" t="s">
        <v>187</v>
      </c>
      <c r="AO12455" s="55">
        <v>2</v>
      </c>
      <c r="AP12455" s="55">
        <v>21</v>
      </c>
      <c r="AQ12455" s="55">
        <v>0</v>
      </c>
      <c r="AR12455" s="55">
        <v>28500</v>
      </c>
      <c r="AS12455" s="78">
        <f t="shared" si="198"/>
        <v>0</v>
      </c>
    </row>
    <row r="12456" spans="39:45">
      <c r="AM12456" s="54">
        <v>2020</v>
      </c>
      <c r="AN12456" s="54" t="s">
        <v>187</v>
      </c>
      <c r="AO12456" s="54">
        <v>2</v>
      </c>
      <c r="AP12456" s="54">
        <v>22</v>
      </c>
      <c r="AQ12456" s="54">
        <v>0</v>
      </c>
      <c r="AR12456" s="55">
        <v>28500</v>
      </c>
      <c r="AS12456" s="78">
        <f t="shared" si="198"/>
        <v>0</v>
      </c>
    </row>
    <row r="12457" spans="39:45">
      <c r="AM12457" s="55">
        <v>2020</v>
      </c>
      <c r="AN12457" s="55" t="s">
        <v>187</v>
      </c>
      <c r="AO12457" s="55">
        <v>2</v>
      </c>
      <c r="AP12457" s="55">
        <v>23</v>
      </c>
      <c r="AQ12457" s="55">
        <v>0</v>
      </c>
      <c r="AR12457" s="55">
        <v>28500</v>
      </c>
      <c r="AS12457" s="78">
        <f t="shared" si="198"/>
        <v>0</v>
      </c>
    </row>
    <row r="12458" spans="39:45">
      <c r="AM12458" s="54">
        <v>2020</v>
      </c>
      <c r="AN12458" s="54" t="s">
        <v>187</v>
      </c>
      <c r="AO12458" s="54">
        <v>3</v>
      </c>
      <c r="AP12458" s="54">
        <v>24</v>
      </c>
      <c r="AQ12458" s="54">
        <v>0</v>
      </c>
      <c r="AR12458" s="55">
        <v>28500</v>
      </c>
      <c r="AS12458" s="78">
        <f t="shared" si="198"/>
        <v>0</v>
      </c>
    </row>
    <row r="12459" spans="39:45">
      <c r="AM12459" s="55">
        <v>2020</v>
      </c>
      <c r="AN12459" s="55" t="s">
        <v>187</v>
      </c>
      <c r="AO12459" s="55">
        <v>3</v>
      </c>
      <c r="AP12459" s="55">
        <v>1</v>
      </c>
      <c r="AQ12459" s="55">
        <v>0</v>
      </c>
      <c r="AR12459" s="55">
        <v>28500</v>
      </c>
      <c r="AS12459" s="78">
        <f t="shared" si="198"/>
        <v>0</v>
      </c>
    </row>
    <row r="12460" spans="39:45">
      <c r="AM12460" s="54">
        <v>2020</v>
      </c>
      <c r="AN12460" s="54" t="s">
        <v>187</v>
      </c>
      <c r="AO12460" s="54">
        <v>3</v>
      </c>
      <c r="AP12460" s="54">
        <v>2</v>
      </c>
      <c r="AQ12460" s="54">
        <v>0</v>
      </c>
      <c r="AR12460" s="55">
        <v>28500</v>
      </c>
      <c r="AS12460" s="78">
        <f t="shared" si="198"/>
        <v>0</v>
      </c>
    </row>
    <row r="12461" spans="39:45">
      <c r="AM12461" s="55">
        <v>2020</v>
      </c>
      <c r="AN12461" s="55" t="s">
        <v>187</v>
      </c>
      <c r="AO12461" s="55">
        <v>3</v>
      </c>
      <c r="AP12461" s="55">
        <v>3</v>
      </c>
      <c r="AQ12461" s="55">
        <v>0</v>
      </c>
      <c r="AR12461" s="55">
        <v>28500</v>
      </c>
      <c r="AS12461" s="78">
        <f t="shared" si="198"/>
        <v>0</v>
      </c>
    </row>
    <row r="12462" spans="39:45">
      <c r="AM12462" s="54">
        <v>2020</v>
      </c>
      <c r="AN12462" s="54" t="s">
        <v>187</v>
      </c>
      <c r="AO12462" s="54">
        <v>3</v>
      </c>
      <c r="AP12462" s="54">
        <v>4</v>
      </c>
      <c r="AQ12462" s="54">
        <v>0</v>
      </c>
      <c r="AR12462" s="55">
        <v>28500</v>
      </c>
      <c r="AS12462" s="78">
        <f t="shared" si="198"/>
        <v>0</v>
      </c>
    </row>
    <row r="12463" spans="39:45">
      <c r="AM12463" s="55">
        <v>2020</v>
      </c>
      <c r="AN12463" s="55" t="s">
        <v>187</v>
      </c>
      <c r="AO12463" s="55">
        <v>3</v>
      </c>
      <c r="AP12463" s="55">
        <v>5</v>
      </c>
      <c r="AQ12463" s="55">
        <v>258</v>
      </c>
      <c r="AR12463" s="55">
        <v>28500</v>
      </c>
      <c r="AS12463" s="78">
        <f t="shared" si="198"/>
        <v>9.0526315789473677E-3</v>
      </c>
    </row>
    <row r="12464" spans="39:45">
      <c r="AM12464" s="54">
        <v>2020</v>
      </c>
      <c r="AN12464" s="54" t="s">
        <v>187</v>
      </c>
      <c r="AO12464" s="54">
        <v>3</v>
      </c>
      <c r="AP12464" s="54">
        <v>6</v>
      </c>
      <c r="AQ12464" s="54">
        <v>2436</v>
      </c>
      <c r="AR12464" s="55">
        <v>28500</v>
      </c>
      <c r="AS12464" s="78">
        <f t="shared" si="198"/>
        <v>8.5473684210526313E-2</v>
      </c>
    </row>
    <row r="12465" spans="39:45">
      <c r="AM12465" s="55">
        <v>2020</v>
      </c>
      <c r="AN12465" s="55" t="s">
        <v>187</v>
      </c>
      <c r="AO12465" s="55">
        <v>3</v>
      </c>
      <c r="AP12465" s="55">
        <v>7</v>
      </c>
      <c r="AQ12465" s="55">
        <v>8498.5</v>
      </c>
      <c r="AR12465" s="55">
        <v>28500</v>
      </c>
      <c r="AS12465" s="78">
        <f t="shared" si="198"/>
        <v>0.29819298245614034</v>
      </c>
    </row>
    <row r="12466" spans="39:45">
      <c r="AM12466" s="54">
        <v>2020</v>
      </c>
      <c r="AN12466" s="54" t="s">
        <v>187</v>
      </c>
      <c r="AO12466" s="54">
        <v>3</v>
      </c>
      <c r="AP12466" s="54">
        <v>8</v>
      </c>
      <c r="AQ12466" s="54">
        <v>6029.5</v>
      </c>
      <c r="AR12466" s="55">
        <v>28500</v>
      </c>
      <c r="AS12466" s="78">
        <f t="shared" si="198"/>
        <v>0.21156140350877192</v>
      </c>
    </row>
    <row r="12467" spans="39:45">
      <c r="AM12467" s="55">
        <v>2020</v>
      </c>
      <c r="AN12467" s="55" t="s">
        <v>187</v>
      </c>
      <c r="AO12467" s="55">
        <v>3</v>
      </c>
      <c r="AP12467" s="55">
        <v>9</v>
      </c>
      <c r="AQ12467" s="55">
        <v>7796</v>
      </c>
      <c r="AR12467" s="55">
        <v>28500</v>
      </c>
      <c r="AS12467" s="78">
        <f t="shared" si="198"/>
        <v>0.27354385964912281</v>
      </c>
    </row>
    <row r="12468" spans="39:45">
      <c r="AM12468" s="54">
        <v>2020</v>
      </c>
      <c r="AN12468" s="54" t="s">
        <v>187</v>
      </c>
      <c r="AO12468" s="54">
        <v>3</v>
      </c>
      <c r="AP12468" s="54">
        <v>10</v>
      </c>
      <c r="AQ12468" s="54">
        <v>10890.5</v>
      </c>
      <c r="AR12468" s="55">
        <v>28500</v>
      </c>
      <c r="AS12468" s="78">
        <f t="shared" si="198"/>
        <v>0.38212280701754386</v>
      </c>
    </row>
    <row r="12469" spans="39:45">
      <c r="AM12469" s="55">
        <v>2020</v>
      </c>
      <c r="AN12469" s="55" t="s">
        <v>187</v>
      </c>
      <c r="AO12469" s="55">
        <v>3</v>
      </c>
      <c r="AP12469" s="55">
        <v>11</v>
      </c>
      <c r="AQ12469" s="55">
        <v>18204.5</v>
      </c>
      <c r="AR12469" s="55">
        <v>28500</v>
      </c>
      <c r="AS12469" s="78">
        <f t="shared" si="198"/>
        <v>0.6387543859649123</v>
      </c>
    </row>
    <row r="12470" spans="39:45">
      <c r="AM12470" s="54">
        <v>2020</v>
      </c>
      <c r="AN12470" s="54" t="s">
        <v>187</v>
      </c>
      <c r="AO12470" s="54">
        <v>3</v>
      </c>
      <c r="AP12470" s="54">
        <v>12</v>
      </c>
      <c r="AQ12470" s="54">
        <v>24072</v>
      </c>
      <c r="AR12470" s="55">
        <v>28500</v>
      </c>
      <c r="AS12470" s="78">
        <f t="shared" si="198"/>
        <v>0.8446315789473684</v>
      </c>
    </row>
    <row r="12471" spans="39:45">
      <c r="AM12471" s="55">
        <v>2020</v>
      </c>
      <c r="AN12471" s="55" t="s">
        <v>187</v>
      </c>
      <c r="AO12471" s="55">
        <v>3</v>
      </c>
      <c r="AP12471" s="55">
        <v>13</v>
      </c>
      <c r="AQ12471" s="55">
        <v>9944.5</v>
      </c>
      <c r="AR12471" s="55">
        <v>28500</v>
      </c>
      <c r="AS12471" s="78">
        <f t="shared" si="198"/>
        <v>0.34892982456140353</v>
      </c>
    </row>
    <row r="12472" spans="39:45">
      <c r="AM12472" s="54">
        <v>2020</v>
      </c>
      <c r="AN12472" s="54" t="s">
        <v>187</v>
      </c>
      <c r="AO12472" s="54">
        <v>3</v>
      </c>
      <c r="AP12472" s="54">
        <v>14</v>
      </c>
      <c r="AQ12472" s="54">
        <v>8832.5</v>
      </c>
      <c r="AR12472" s="55">
        <v>28500</v>
      </c>
      <c r="AS12472" s="78">
        <f t="shared" si="198"/>
        <v>0.30991228070175436</v>
      </c>
    </row>
    <row r="12473" spans="39:45">
      <c r="AM12473" s="55">
        <v>2020</v>
      </c>
      <c r="AN12473" s="55" t="s">
        <v>187</v>
      </c>
      <c r="AO12473" s="55">
        <v>3</v>
      </c>
      <c r="AP12473" s="55">
        <v>15</v>
      </c>
      <c r="AQ12473" s="55">
        <v>3394.5</v>
      </c>
      <c r="AR12473" s="55">
        <v>28500</v>
      </c>
      <c r="AS12473" s="78">
        <f t="shared" si="198"/>
        <v>0.11910526315789474</v>
      </c>
    </row>
    <row r="12474" spans="39:45">
      <c r="AM12474" s="54">
        <v>2020</v>
      </c>
      <c r="AN12474" s="54" t="s">
        <v>187</v>
      </c>
      <c r="AO12474" s="54">
        <v>3</v>
      </c>
      <c r="AP12474" s="54">
        <v>16</v>
      </c>
      <c r="AQ12474" s="54">
        <v>4687.5</v>
      </c>
      <c r="AR12474" s="55">
        <v>28500</v>
      </c>
      <c r="AS12474" s="78">
        <f t="shared" si="198"/>
        <v>0.16447368421052633</v>
      </c>
    </row>
    <row r="12475" spans="39:45">
      <c r="AM12475" s="55">
        <v>2020</v>
      </c>
      <c r="AN12475" s="55" t="s">
        <v>187</v>
      </c>
      <c r="AO12475" s="55">
        <v>3</v>
      </c>
      <c r="AP12475" s="55">
        <v>17</v>
      </c>
      <c r="AQ12475" s="55">
        <v>5461.5</v>
      </c>
      <c r="AR12475" s="55">
        <v>28500</v>
      </c>
      <c r="AS12475" s="78">
        <f t="shared" si="198"/>
        <v>0.19163157894736843</v>
      </c>
    </row>
    <row r="12476" spans="39:45">
      <c r="AM12476" s="54">
        <v>2020</v>
      </c>
      <c r="AN12476" s="54" t="s">
        <v>187</v>
      </c>
      <c r="AO12476" s="54">
        <v>3</v>
      </c>
      <c r="AP12476" s="54">
        <v>18</v>
      </c>
      <c r="AQ12476" s="54">
        <v>838.5</v>
      </c>
      <c r="AR12476" s="55">
        <v>28500</v>
      </c>
      <c r="AS12476" s="78">
        <f t="shared" si="198"/>
        <v>2.9421052631578948E-2</v>
      </c>
    </row>
    <row r="12477" spans="39:45">
      <c r="AM12477" s="55">
        <v>2020</v>
      </c>
      <c r="AN12477" s="55" t="s">
        <v>187</v>
      </c>
      <c r="AO12477" s="55">
        <v>3</v>
      </c>
      <c r="AP12477" s="55">
        <v>19</v>
      </c>
      <c r="AQ12477" s="55">
        <v>0</v>
      </c>
      <c r="AR12477" s="55">
        <v>28500</v>
      </c>
      <c r="AS12477" s="78">
        <f t="shared" si="198"/>
        <v>0</v>
      </c>
    </row>
    <row r="12478" spans="39:45">
      <c r="AM12478" s="54">
        <v>2020</v>
      </c>
      <c r="AN12478" s="54" t="s">
        <v>187</v>
      </c>
      <c r="AO12478" s="54">
        <v>3</v>
      </c>
      <c r="AP12478" s="54">
        <v>20</v>
      </c>
      <c r="AQ12478" s="54">
        <v>0</v>
      </c>
      <c r="AR12478" s="55">
        <v>28500</v>
      </c>
      <c r="AS12478" s="78">
        <f t="shared" si="198"/>
        <v>0</v>
      </c>
    </row>
    <row r="12479" spans="39:45">
      <c r="AM12479" s="55">
        <v>2020</v>
      </c>
      <c r="AN12479" s="55" t="s">
        <v>187</v>
      </c>
      <c r="AO12479" s="55">
        <v>3</v>
      </c>
      <c r="AP12479" s="55">
        <v>21</v>
      </c>
      <c r="AQ12479" s="55">
        <v>0</v>
      </c>
      <c r="AR12479" s="55">
        <v>28500</v>
      </c>
      <c r="AS12479" s="78">
        <f t="shared" si="198"/>
        <v>0</v>
      </c>
    </row>
    <row r="12480" spans="39:45">
      <c r="AM12480" s="54">
        <v>2020</v>
      </c>
      <c r="AN12480" s="54" t="s">
        <v>187</v>
      </c>
      <c r="AO12480" s="54">
        <v>3</v>
      </c>
      <c r="AP12480" s="54">
        <v>22</v>
      </c>
      <c r="AQ12480" s="54">
        <v>0</v>
      </c>
      <c r="AR12480" s="55">
        <v>28500</v>
      </c>
      <c r="AS12480" s="78">
        <f t="shared" si="198"/>
        <v>0</v>
      </c>
    </row>
    <row r="12481" spans="39:45">
      <c r="AM12481" s="55">
        <v>2020</v>
      </c>
      <c r="AN12481" s="55" t="s">
        <v>187</v>
      </c>
      <c r="AO12481" s="55">
        <v>3</v>
      </c>
      <c r="AP12481" s="55">
        <v>23</v>
      </c>
      <c r="AQ12481" s="55">
        <v>0</v>
      </c>
      <c r="AR12481" s="55">
        <v>28500</v>
      </c>
      <c r="AS12481" s="78">
        <f t="shared" si="198"/>
        <v>0</v>
      </c>
    </row>
    <row r="12482" spans="39:45">
      <c r="AM12482" s="54">
        <v>2020</v>
      </c>
      <c r="AN12482" s="54" t="s">
        <v>187</v>
      </c>
      <c r="AO12482" s="54">
        <v>4</v>
      </c>
      <c r="AP12482" s="54">
        <v>24</v>
      </c>
      <c r="AQ12482" s="54">
        <v>0</v>
      </c>
      <c r="AR12482" s="55">
        <v>28500</v>
      </c>
      <c r="AS12482" s="78">
        <f t="shared" ref="AS12482:AS12545" si="199">AQ12482/AR12482</f>
        <v>0</v>
      </c>
    </row>
    <row r="12483" spans="39:45">
      <c r="AM12483" s="55">
        <v>2020</v>
      </c>
      <c r="AN12483" s="55" t="s">
        <v>187</v>
      </c>
      <c r="AO12483" s="55">
        <v>4</v>
      </c>
      <c r="AP12483" s="55">
        <v>1</v>
      </c>
      <c r="AQ12483" s="55">
        <v>0</v>
      </c>
      <c r="AR12483" s="55">
        <v>28500</v>
      </c>
      <c r="AS12483" s="78">
        <f t="shared" si="199"/>
        <v>0</v>
      </c>
    </row>
    <row r="12484" spans="39:45">
      <c r="AM12484" s="54">
        <v>2020</v>
      </c>
      <c r="AN12484" s="54" t="s">
        <v>187</v>
      </c>
      <c r="AO12484" s="54">
        <v>4</v>
      </c>
      <c r="AP12484" s="54">
        <v>2</v>
      </c>
      <c r="AQ12484" s="54">
        <v>0</v>
      </c>
      <c r="AR12484" s="55">
        <v>28500</v>
      </c>
      <c r="AS12484" s="78">
        <f t="shared" si="199"/>
        <v>0</v>
      </c>
    </row>
    <row r="12485" spans="39:45">
      <c r="AM12485" s="55">
        <v>2020</v>
      </c>
      <c r="AN12485" s="55" t="s">
        <v>187</v>
      </c>
      <c r="AO12485" s="55">
        <v>4</v>
      </c>
      <c r="AP12485" s="55">
        <v>3</v>
      </c>
      <c r="AQ12485" s="55">
        <v>0</v>
      </c>
      <c r="AR12485" s="55">
        <v>28500</v>
      </c>
      <c r="AS12485" s="78">
        <f t="shared" si="199"/>
        <v>0</v>
      </c>
    </row>
    <row r="12486" spans="39:45">
      <c r="AM12486" s="54">
        <v>2020</v>
      </c>
      <c r="AN12486" s="54" t="s">
        <v>187</v>
      </c>
      <c r="AO12486" s="54">
        <v>4</v>
      </c>
      <c r="AP12486" s="54">
        <v>4</v>
      </c>
      <c r="AQ12486" s="54">
        <v>0</v>
      </c>
      <c r="AR12486" s="55">
        <v>28500</v>
      </c>
      <c r="AS12486" s="78">
        <f t="shared" si="199"/>
        <v>0</v>
      </c>
    </row>
    <row r="12487" spans="39:45">
      <c r="AM12487" s="55">
        <v>2020</v>
      </c>
      <c r="AN12487" s="55" t="s">
        <v>187</v>
      </c>
      <c r="AO12487" s="55">
        <v>4</v>
      </c>
      <c r="AP12487" s="55">
        <v>5</v>
      </c>
      <c r="AQ12487" s="55">
        <v>453.5</v>
      </c>
      <c r="AR12487" s="55">
        <v>28500</v>
      </c>
      <c r="AS12487" s="78">
        <f t="shared" si="199"/>
        <v>1.5912280701754385E-2</v>
      </c>
    </row>
    <row r="12488" spans="39:45">
      <c r="AM12488" s="54">
        <v>2020</v>
      </c>
      <c r="AN12488" s="54" t="s">
        <v>187</v>
      </c>
      <c r="AO12488" s="54">
        <v>4</v>
      </c>
      <c r="AP12488" s="54">
        <v>6</v>
      </c>
      <c r="AQ12488" s="54">
        <v>2534</v>
      </c>
      <c r="AR12488" s="55">
        <v>28500</v>
      </c>
      <c r="AS12488" s="78">
        <f t="shared" si="199"/>
        <v>8.8912280701754387E-2</v>
      </c>
    </row>
    <row r="12489" spans="39:45">
      <c r="AM12489" s="55">
        <v>2020</v>
      </c>
      <c r="AN12489" s="55" t="s">
        <v>187</v>
      </c>
      <c r="AO12489" s="55">
        <v>4</v>
      </c>
      <c r="AP12489" s="55">
        <v>7</v>
      </c>
      <c r="AQ12489" s="55">
        <v>1964</v>
      </c>
      <c r="AR12489" s="55">
        <v>28500</v>
      </c>
      <c r="AS12489" s="78">
        <f t="shared" si="199"/>
        <v>6.8912280701754383E-2</v>
      </c>
    </row>
    <row r="12490" spans="39:45">
      <c r="AM12490" s="54">
        <v>2020</v>
      </c>
      <c r="AN12490" s="54" t="s">
        <v>187</v>
      </c>
      <c r="AO12490" s="54">
        <v>4</v>
      </c>
      <c r="AP12490" s="54">
        <v>8</v>
      </c>
      <c r="AQ12490" s="54">
        <v>3543.5</v>
      </c>
      <c r="AR12490" s="55">
        <v>28500</v>
      </c>
      <c r="AS12490" s="78">
        <f t="shared" si="199"/>
        <v>0.12433333333333334</v>
      </c>
    </row>
    <row r="12491" spans="39:45">
      <c r="AM12491" s="55">
        <v>2020</v>
      </c>
      <c r="AN12491" s="55" t="s">
        <v>187</v>
      </c>
      <c r="AO12491" s="55">
        <v>4</v>
      </c>
      <c r="AP12491" s="55">
        <v>9</v>
      </c>
      <c r="AQ12491" s="55">
        <v>9402</v>
      </c>
      <c r="AR12491" s="55">
        <v>28500</v>
      </c>
      <c r="AS12491" s="78">
        <f t="shared" si="199"/>
        <v>0.32989473684210524</v>
      </c>
    </row>
    <row r="12492" spans="39:45">
      <c r="AM12492" s="54">
        <v>2020</v>
      </c>
      <c r="AN12492" s="54" t="s">
        <v>187</v>
      </c>
      <c r="AO12492" s="54">
        <v>4</v>
      </c>
      <c r="AP12492" s="54">
        <v>10</v>
      </c>
      <c r="AQ12492" s="54">
        <v>9353.5</v>
      </c>
      <c r="AR12492" s="55">
        <v>28500</v>
      </c>
      <c r="AS12492" s="78">
        <f t="shared" si="199"/>
        <v>0.32819298245614037</v>
      </c>
    </row>
    <row r="12493" spans="39:45">
      <c r="AM12493" s="55">
        <v>2020</v>
      </c>
      <c r="AN12493" s="55" t="s">
        <v>187</v>
      </c>
      <c r="AO12493" s="55">
        <v>4</v>
      </c>
      <c r="AP12493" s="55">
        <v>11</v>
      </c>
      <c r="AQ12493" s="55">
        <v>15920</v>
      </c>
      <c r="AR12493" s="55">
        <v>28500</v>
      </c>
      <c r="AS12493" s="78">
        <f t="shared" si="199"/>
        <v>0.5585964912280702</v>
      </c>
    </row>
    <row r="12494" spans="39:45">
      <c r="AM12494" s="54">
        <v>2020</v>
      </c>
      <c r="AN12494" s="54" t="s">
        <v>187</v>
      </c>
      <c r="AO12494" s="54">
        <v>4</v>
      </c>
      <c r="AP12494" s="54">
        <v>12</v>
      </c>
      <c r="AQ12494" s="54">
        <v>35429.5</v>
      </c>
      <c r="AR12494" s="55">
        <v>28500</v>
      </c>
      <c r="AS12494" s="78">
        <f t="shared" si="199"/>
        <v>1.243140350877193</v>
      </c>
    </row>
    <row r="12495" spans="39:45">
      <c r="AM12495" s="55">
        <v>2020</v>
      </c>
      <c r="AN12495" s="55" t="s">
        <v>187</v>
      </c>
      <c r="AO12495" s="55">
        <v>4</v>
      </c>
      <c r="AP12495" s="55">
        <v>13</v>
      </c>
      <c r="AQ12495" s="55">
        <v>21481</v>
      </c>
      <c r="AR12495" s="55">
        <v>28500</v>
      </c>
      <c r="AS12495" s="78">
        <f t="shared" si="199"/>
        <v>0.75371929824561401</v>
      </c>
    </row>
    <row r="12496" spans="39:45">
      <c r="AM12496" s="54">
        <v>2020</v>
      </c>
      <c r="AN12496" s="54" t="s">
        <v>187</v>
      </c>
      <c r="AO12496" s="54">
        <v>4</v>
      </c>
      <c r="AP12496" s="54">
        <v>14</v>
      </c>
      <c r="AQ12496" s="54">
        <v>5033.5</v>
      </c>
      <c r="AR12496" s="55">
        <v>28500</v>
      </c>
      <c r="AS12496" s="78">
        <f t="shared" si="199"/>
        <v>0.17661403508771931</v>
      </c>
    </row>
    <row r="12497" spans="39:45">
      <c r="AM12497" s="55">
        <v>2020</v>
      </c>
      <c r="AN12497" s="55" t="s">
        <v>187</v>
      </c>
      <c r="AO12497" s="55">
        <v>4</v>
      </c>
      <c r="AP12497" s="55">
        <v>15</v>
      </c>
      <c r="AQ12497" s="55">
        <v>12516.5</v>
      </c>
      <c r="AR12497" s="55">
        <v>28500</v>
      </c>
      <c r="AS12497" s="78">
        <f t="shared" si="199"/>
        <v>0.43917543859649122</v>
      </c>
    </row>
    <row r="12498" spans="39:45">
      <c r="AM12498" s="54">
        <v>2020</v>
      </c>
      <c r="AN12498" s="54" t="s">
        <v>187</v>
      </c>
      <c r="AO12498" s="54">
        <v>4</v>
      </c>
      <c r="AP12498" s="54">
        <v>16</v>
      </c>
      <c r="AQ12498" s="54">
        <v>3863</v>
      </c>
      <c r="AR12498" s="55">
        <v>28500</v>
      </c>
      <c r="AS12498" s="78">
        <f t="shared" si="199"/>
        <v>0.1355438596491228</v>
      </c>
    </row>
    <row r="12499" spans="39:45">
      <c r="AM12499" s="55">
        <v>2020</v>
      </c>
      <c r="AN12499" s="55" t="s">
        <v>187</v>
      </c>
      <c r="AO12499" s="55">
        <v>4</v>
      </c>
      <c r="AP12499" s="55">
        <v>17</v>
      </c>
      <c r="AQ12499" s="55">
        <v>3806</v>
      </c>
      <c r="AR12499" s="55">
        <v>28500</v>
      </c>
      <c r="AS12499" s="78">
        <f t="shared" si="199"/>
        <v>0.1335438596491228</v>
      </c>
    </row>
    <row r="12500" spans="39:45">
      <c r="AM12500" s="54">
        <v>2020</v>
      </c>
      <c r="AN12500" s="54" t="s">
        <v>187</v>
      </c>
      <c r="AO12500" s="54">
        <v>4</v>
      </c>
      <c r="AP12500" s="54">
        <v>18</v>
      </c>
      <c r="AQ12500" s="54">
        <v>985.5</v>
      </c>
      <c r="AR12500" s="55">
        <v>28500</v>
      </c>
      <c r="AS12500" s="78">
        <f t="shared" si="199"/>
        <v>3.4578947368421049E-2</v>
      </c>
    </row>
    <row r="12501" spans="39:45">
      <c r="AM12501" s="55">
        <v>2020</v>
      </c>
      <c r="AN12501" s="55" t="s">
        <v>187</v>
      </c>
      <c r="AO12501" s="55">
        <v>4</v>
      </c>
      <c r="AP12501" s="55">
        <v>19</v>
      </c>
      <c r="AQ12501" s="55">
        <v>798.5</v>
      </c>
      <c r="AR12501" s="55">
        <v>28500</v>
      </c>
      <c r="AS12501" s="78">
        <f t="shared" si="199"/>
        <v>2.8017543859649122E-2</v>
      </c>
    </row>
    <row r="12502" spans="39:45">
      <c r="AM12502" s="54">
        <v>2020</v>
      </c>
      <c r="AN12502" s="54" t="s">
        <v>187</v>
      </c>
      <c r="AO12502" s="54">
        <v>4</v>
      </c>
      <c r="AP12502" s="54">
        <v>20</v>
      </c>
      <c r="AQ12502" s="54">
        <v>0</v>
      </c>
      <c r="AR12502" s="55">
        <v>28500</v>
      </c>
      <c r="AS12502" s="78">
        <f t="shared" si="199"/>
        <v>0</v>
      </c>
    </row>
    <row r="12503" spans="39:45">
      <c r="AM12503" s="55">
        <v>2020</v>
      </c>
      <c r="AN12503" s="55" t="s">
        <v>187</v>
      </c>
      <c r="AO12503" s="55">
        <v>4</v>
      </c>
      <c r="AP12503" s="55">
        <v>21</v>
      </c>
      <c r="AQ12503" s="55">
        <v>0</v>
      </c>
      <c r="AR12503" s="55">
        <v>28500</v>
      </c>
      <c r="AS12503" s="78">
        <f t="shared" si="199"/>
        <v>0</v>
      </c>
    </row>
    <row r="12504" spans="39:45">
      <c r="AM12504" s="54">
        <v>2020</v>
      </c>
      <c r="AN12504" s="54" t="s">
        <v>187</v>
      </c>
      <c r="AO12504" s="54">
        <v>4</v>
      </c>
      <c r="AP12504" s="54">
        <v>22</v>
      </c>
      <c r="AQ12504" s="54">
        <v>0</v>
      </c>
      <c r="AR12504" s="55">
        <v>28500</v>
      </c>
      <c r="AS12504" s="78">
        <f t="shared" si="199"/>
        <v>0</v>
      </c>
    </row>
    <row r="12505" spans="39:45">
      <c r="AM12505" s="55">
        <v>2020</v>
      </c>
      <c r="AN12505" s="55" t="s">
        <v>187</v>
      </c>
      <c r="AO12505" s="55">
        <v>4</v>
      </c>
      <c r="AP12505" s="55">
        <v>23</v>
      </c>
      <c r="AQ12505" s="55">
        <v>0</v>
      </c>
      <c r="AR12505" s="55">
        <v>28500</v>
      </c>
      <c r="AS12505" s="78">
        <f t="shared" si="199"/>
        <v>0</v>
      </c>
    </row>
    <row r="12506" spans="39:45">
      <c r="AM12506" s="54">
        <v>2020</v>
      </c>
      <c r="AN12506" s="54" t="s">
        <v>187</v>
      </c>
      <c r="AO12506" s="54">
        <v>5</v>
      </c>
      <c r="AP12506" s="54">
        <v>24</v>
      </c>
      <c r="AQ12506" s="54">
        <v>0</v>
      </c>
      <c r="AR12506" s="55">
        <v>28500</v>
      </c>
      <c r="AS12506" s="78">
        <f t="shared" si="199"/>
        <v>0</v>
      </c>
    </row>
    <row r="12507" spans="39:45">
      <c r="AM12507" s="55">
        <v>2020</v>
      </c>
      <c r="AN12507" s="55" t="s">
        <v>187</v>
      </c>
      <c r="AO12507" s="55">
        <v>5</v>
      </c>
      <c r="AP12507" s="55">
        <v>1</v>
      </c>
      <c r="AQ12507" s="55">
        <v>0</v>
      </c>
      <c r="AR12507" s="55">
        <v>28500</v>
      </c>
      <c r="AS12507" s="78">
        <f t="shared" si="199"/>
        <v>0</v>
      </c>
    </row>
    <row r="12508" spans="39:45">
      <c r="AM12508" s="54">
        <v>2020</v>
      </c>
      <c r="AN12508" s="54" t="s">
        <v>187</v>
      </c>
      <c r="AO12508" s="54">
        <v>5</v>
      </c>
      <c r="AP12508" s="54">
        <v>2</v>
      </c>
      <c r="AQ12508" s="54">
        <v>0</v>
      </c>
      <c r="AR12508" s="55">
        <v>28500</v>
      </c>
      <c r="AS12508" s="78">
        <f t="shared" si="199"/>
        <v>0</v>
      </c>
    </row>
    <row r="12509" spans="39:45">
      <c r="AM12509" s="55">
        <v>2020</v>
      </c>
      <c r="AN12509" s="55" t="s">
        <v>187</v>
      </c>
      <c r="AO12509" s="55">
        <v>5</v>
      </c>
      <c r="AP12509" s="55">
        <v>3</v>
      </c>
      <c r="AQ12509" s="55">
        <v>0</v>
      </c>
      <c r="AR12509" s="55">
        <v>28500</v>
      </c>
      <c r="AS12509" s="78">
        <f t="shared" si="199"/>
        <v>0</v>
      </c>
    </row>
    <row r="12510" spans="39:45">
      <c r="AM12510" s="54">
        <v>2020</v>
      </c>
      <c r="AN12510" s="54" t="s">
        <v>187</v>
      </c>
      <c r="AO12510" s="54">
        <v>5</v>
      </c>
      <c r="AP12510" s="54">
        <v>4</v>
      </c>
      <c r="AQ12510" s="54">
        <v>0</v>
      </c>
      <c r="AR12510" s="55">
        <v>28500</v>
      </c>
      <c r="AS12510" s="78">
        <f t="shared" si="199"/>
        <v>0</v>
      </c>
    </row>
    <row r="12511" spans="39:45">
      <c r="AM12511" s="55">
        <v>2020</v>
      </c>
      <c r="AN12511" s="55" t="s">
        <v>187</v>
      </c>
      <c r="AO12511" s="55">
        <v>5</v>
      </c>
      <c r="AP12511" s="55">
        <v>5</v>
      </c>
      <c r="AQ12511" s="55">
        <v>1757.5</v>
      </c>
      <c r="AR12511" s="55">
        <v>28500</v>
      </c>
      <c r="AS12511" s="78">
        <f t="shared" si="199"/>
        <v>6.1666666666666668E-2</v>
      </c>
    </row>
    <row r="12512" spans="39:45">
      <c r="AM12512" s="54">
        <v>2020</v>
      </c>
      <c r="AN12512" s="54" t="s">
        <v>187</v>
      </c>
      <c r="AO12512" s="54">
        <v>5</v>
      </c>
      <c r="AP12512" s="54">
        <v>6</v>
      </c>
      <c r="AQ12512" s="54">
        <v>5386</v>
      </c>
      <c r="AR12512" s="55">
        <v>28500</v>
      </c>
      <c r="AS12512" s="78">
        <f t="shared" si="199"/>
        <v>0.18898245614035089</v>
      </c>
    </row>
    <row r="12513" spans="39:45">
      <c r="AM12513" s="55">
        <v>2020</v>
      </c>
      <c r="AN12513" s="55" t="s">
        <v>187</v>
      </c>
      <c r="AO12513" s="55">
        <v>5</v>
      </c>
      <c r="AP12513" s="55">
        <v>7</v>
      </c>
      <c r="AQ12513" s="55">
        <v>10329.5</v>
      </c>
      <c r="AR12513" s="55">
        <v>28500</v>
      </c>
      <c r="AS12513" s="78">
        <f t="shared" si="199"/>
        <v>0.36243859649122806</v>
      </c>
    </row>
    <row r="12514" spans="39:45">
      <c r="AM12514" s="54">
        <v>2020</v>
      </c>
      <c r="AN12514" s="54" t="s">
        <v>187</v>
      </c>
      <c r="AO12514" s="54">
        <v>5</v>
      </c>
      <c r="AP12514" s="54">
        <v>8</v>
      </c>
      <c r="AQ12514" s="54">
        <v>6922</v>
      </c>
      <c r="AR12514" s="55">
        <v>28500</v>
      </c>
      <c r="AS12514" s="78">
        <f t="shared" si="199"/>
        <v>0.24287719298245614</v>
      </c>
    </row>
    <row r="12515" spans="39:45">
      <c r="AM12515" s="55">
        <v>2020</v>
      </c>
      <c r="AN12515" s="55" t="s">
        <v>187</v>
      </c>
      <c r="AO12515" s="55">
        <v>5</v>
      </c>
      <c r="AP12515" s="55">
        <v>9</v>
      </c>
      <c r="AQ12515" s="55">
        <v>3931.5</v>
      </c>
      <c r="AR12515" s="55">
        <v>28500</v>
      </c>
      <c r="AS12515" s="78">
        <f t="shared" si="199"/>
        <v>0.13794736842105262</v>
      </c>
    </row>
    <row r="12516" spans="39:45">
      <c r="AM12516" s="54">
        <v>2020</v>
      </c>
      <c r="AN12516" s="54" t="s">
        <v>187</v>
      </c>
      <c r="AO12516" s="54">
        <v>5</v>
      </c>
      <c r="AP12516" s="54">
        <v>10</v>
      </c>
      <c r="AQ12516" s="54">
        <v>7893.5</v>
      </c>
      <c r="AR12516" s="55">
        <v>28500</v>
      </c>
      <c r="AS12516" s="78">
        <f t="shared" si="199"/>
        <v>0.27696491228070175</v>
      </c>
    </row>
    <row r="12517" spans="39:45">
      <c r="AM12517" s="55">
        <v>2020</v>
      </c>
      <c r="AN12517" s="55" t="s">
        <v>187</v>
      </c>
      <c r="AO12517" s="55">
        <v>5</v>
      </c>
      <c r="AP12517" s="55">
        <v>11</v>
      </c>
      <c r="AQ12517" s="55">
        <v>32881</v>
      </c>
      <c r="AR12517" s="55">
        <v>28500</v>
      </c>
      <c r="AS12517" s="78">
        <f t="shared" si="199"/>
        <v>1.1537192982456141</v>
      </c>
    </row>
    <row r="12518" spans="39:45">
      <c r="AM12518" s="54">
        <v>2020</v>
      </c>
      <c r="AN12518" s="54" t="s">
        <v>187</v>
      </c>
      <c r="AO12518" s="54">
        <v>5</v>
      </c>
      <c r="AP12518" s="54">
        <v>12</v>
      </c>
      <c r="AQ12518" s="54">
        <v>6260</v>
      </c>
      <c r="AR12518" s="55">
        <v>28500</v>
      </c>
      <c r="AS12518" s="78">
        <f t="shared" si="199"/>
        <v>0.21964912280701754</v>
      </c>
    </row>
    <row r="12519" spans="39:45">
      <c r="AM12519" s="55">
        <v>2020</v>
      </c>
      <c r="AN12519" s="55" t="s">
        <v>187</v>
      </c>
      <c r="AO12519" s="55">
        <v>5</v>
      </c>
      <c r="AP12519" s="55">
        <v>13</v>
      </c>
      <c r="AQ12519" s="55">
        <v>19894.5</v>
      </c>
      <c r="AR12519" s="55">
        <v>28500</v>
      </c>
      <c r="AS12519" s="78">
        <f t="shared" si="199"/>
        <v>0.69805263157894737</v>
      </c>
    </row>
    <row r="12520" spans="39:45">
      <c r="AM12520" s="54">
        <v>2020</v>
      </c>
      <c r="AN12520" s="54" t="s">
        <v>187</v>
      </c>
      <c r="AO12520" s="54">
        <v>5</v>
      </c>
      <c r="AP12520" s="54">
        <v>14</v>
      </c>
      <c r="AQ12520" s="54">
        <v>33410.5</v>
      </c>
      <c r="AR12520" s="55">
        <v>28500</v>
      </c>
      <c r="AS12520" s="78">
        <f t="shared" si="199"/>
        <v>1.1722982456140352</v>
      </c>
    </row>
    <row r="12521" spans="39:45">
      <c r="AM12521" s="55">
        <v>2020</v>
      </c>
      <c r="AN12521" s="55" t="s">
        <v>187</v>
      </c>
      <c r="AO12521" s="55">
        <v>5</v>
      </c>
      <c r="AP12521" s="55">
        <v>15</v>
      </c>
      <c r="AQ12521" s="55">
        <v>27924</v>
      </c>
      <c r="AR12521" s="55">
        <v>28500</v>
      </c>
      <c r="AS12521" s="78">
        <f t="shared" si="199"/>
        <v>0.97978947368421054</v>
      </c>
    </row>
    <row r="12522" spans="39:45">
      <c r="AM12522" s="54">
        <v>2020</v>
      </c>
      <c r="AN12522" s="54" t="s">
        <v>187</v>
      </c>
      <c r="AO12522" s="54">
        <v>5</v>
      </c>
      <c r="AP12522" s="54">
        <v>16</v>
      </c>
      <c r="AQ12522" s="54">
        <v>5977</v>
      </c>
      <c r="AR12522" s="55">
        <v>28500</v>
      </c>
      <c r="AS12522" s="78">
        <f t="shared" si="199"/>
        <v>0.20971929824561403</v>
      </c>
    </row>
    <row r="12523" spans="39:45">
      <c r="AM12523" s="55">
        <v>2020</v>
      </c>
      <c r="AN12523" s="55" t="s">
        <v>187</v>
      </c>
      <c r="AO12523" s="55">
        <v>5</v>
      </c>
      <c r="AP12523" s="55">
        <v>17</v>
      </c>
      <c r="AQ12523" s="55">
        <v>4668</v>
      </c>
      <c r="AR12523" s="55">
        <v>28500</v>
      </c>
      <c r="AS12523" s="78">
        <f t="shared" si="199"/>
        <v>0.16378947368421051</v>
      </c>
    </row>
    <row r="12524" spans="39:45">
      <c r="AM12524" s="54">
        <v>2020</v>
      </c>
      <c r="AN12524" s="54" t="s">
        <v>187</v>
      </c>
      <c r="AO12524" s="54">
        <v>5</v>
      </c>
      <c r="AP12524" s="54">
        <v>18</v>
      </c>
      <c r="AQ12524" s="54">
        <v>3432</v>
      </c>
      <c r="AR12524" s="55">
        <v>28500</v>
      </c>
      <c r="AS12524" s="78">
        <f t="shared" si="199"/>
        <v>0.12042105263157894</v>
      </c>
    </row>
    <row r="12525" spans="39:45">
      <c r="AM12525" s="55">
        <v>2020</v>
      </c>
      <c r="AN12525" s="55" t="s">
        <v>187</v>
      </c>
      <c r="AO12525" s="55">
        <v>5</v>
      </c>
      <c r="AP12525" s="55">
        <v>19</v>
      </c>
      <c r="AQ12525" s="55">
        <v>735</v>
      </c>
      <c r="AR12525" s="55">
        <v>28500</v>
      </c>
      <c r="AS12525" s="78">
        <f t="shared" si="199"/>
        <v>2.5789473684210525E-2</v>
      </c>
    </row>
    <row r="12526" spans="39:45">
      <c r="AM12526" s="54">
        <v>2020</v>
      </c>
      <c r="AN12526" s="54" t="s">
        <v>187</v>
      </c>
      <c r="AO12526" s="54">
        <v>5</v>
      </c>
      <c r="AP12526" s="54">
        <v>20</v>
      </c>
      <c r="AQ12526" s="54">
        <v>0</v>
      </c>
      <c r="AR12526" s="55">
        <v>28500</v>
      </c>
      <c r="AS12526" s="78">
        <f t="shared" si="199"/>
        <v>0</v>
      </c>
    </row>
    <row r="12527" spans="39:45">
      <c r="AM12527" s="55">
        <v>2020</v>
      </c>
      <c r="AN12527" s="55" t="s">
        <v>187</v>
      </c>
      <c r="AO12527" s="55">
        <v>5</v>
      </c>
      <c r="AP12527" s="55">
        <v>21</v>
      </c>
      <c r="AQ12527" s="55">
        <v>0</v>
      </c>
      <c r="AR12527" s="55">
        <v>28500</v>
      </c>
      <c r="AS12527" s="78">
        <f t="shared" si="199"/>
        <v>0</v>
      </c>
    </row>
    <row r="12528" spans="39:45">
      <c r="AM12528" s="54">
        <v>2020</v>
      </c>
      <c r="AN12528" s="54" t="s">
        <v>187</v>
      </c>
      <c r="AO12528" s="54">
        <v>5</v>
      </c>
      <c r="AP12528" s="54">
        <v>22</v>
      </c>
      <c r="AQ12528" s="54">
        <v>0</v>
      </c>
      <c r="AR12528" s="55">
        <v>28500</v>
      </c>
      <c r="AS12528" s="78">
        <f t="shared" si="199"/>
        <v>0</v>
      </c>
    </row>
    <row r="12529" spans="39:45">
      <c r="AM12529" s="55">
        <v>2020</v>
      </c>
      <c r="AN12529" s="55" t="s">
        <v>187</v>
      </c>
      <c r="AO12529" s="55">
        <v>5</v>
      </c>
      <c r="AP12529" s="55">
        <v>23</v>
      </c>
      <c r="AQ12529" s="55">
        <v>0</v>
      </c>
      <c r="AR12529" s="55">
        <v>28500</v>
      </c>
      <c r="AS12529" s="78">
        <f t="shared" si="199"/>
        <v>0</v>
      </c>
    </row>
    <row r="12530" spans="39:45">
      <c r="AM12530" s="54">
        <v>2020</v>
      </c>
      <c r="AN12530" s="54" t="s">
        <v>187</v>
      </c>
      <c r="AO12530" s="54">
        <v>6</v>
      </c>
      <c r="AP12530" s="54">
        <v>24</v>
      </c>
      <c r="AQ12530" s="54">
        <v>0</v>
      </c>
      <c r="AR12530" s="55">
        <v>28500</v>
      </c>
      <c r="AS12530" s="78">
        <f t="shared" si="199"/>
        <v>0</v>
      </c>
    </row>
    <row r="12531" spans="39:45">
      <c r="AM12531" s="55">
        <v>2020</v>
      </c>
      <c r="AN12531" s="55" t="s">
        <v>187</v>
      </c>
      <c r="AO12531" s="55">
        <v>6</v>
      </c>
      <c r="AP12531" s="55">
        <v>1</v>
      </c>
      <c r="AQ12531" s="55">
        <v>0</v>
      </c>
      <c r="AR12531" s="55">
        <v>28500</v>
      </c>
      <c r="AS12531" s="78">
        <f t="shared" si="199"/>
        <v>0</v>
      </c>
    </row>
    <row r="12532" spans="39:45">
      <c r="AM12532" s="54">
        <v>2020</v>
      </c>
      <c r="AN12532" s="54" t="s">
        <v>187</v>
      </c>
      <c r="AO12532" s="54">
        <v>6</v>
      </c>
      <c r="AP12532" s="54">
        <v>2</v>
      </c>
      <c r="AQ12532" s="54">
        <v>0</v>
      </c>
      <c r="AR12532" s="55">
        <v>28500</v>
      </c>
      <c r="AS12532" s="78">
        <f t="shared" si="199"/>
        <v>0</v>
      </c>
    </row>
    <row r="12533" spans="39:45">
      <c r="AM12533" s="55">
        <v>2020</v>
      </c>
      <c r="AN12533" s="55" t="s">
        <v>187</v>
      </c>
      <c r="AO12533" s="55">
        <v>6</v>
      </c>
      <c r="AP12533" s="55">
        <v>3</v>
      </c>
      <c r="AQ12533" s="55">
        <v>0</v>
      </c>
      <c r="AR12533" s="55">
        <v>28500</v>
      </c>
      <c r="AS12533" s="78">
        <f t="shared" si="199"/>
        <v>0</v>
      </c>
    </row>
    <row r="12534" spans="39:45">
      <c r="AM12534" s="54">
        <v>2020</v>
      </c>
      <c r="AN12534" s="54" t="s">
        <v>187</v>
      </c>
      <c r="AO12534" s="54">
        <v>6</v>
      </c>
      <c r="AP12534" s="54">
        <v>4</v>
      </c>
      <c r="AQ12534" s="54">
        <v>0</v>
      </c>
      <c r="AR12534" s="55">
        <v>28500</v>
      </c>
      <c r="AS12534" s="78">
        <f t="shared" si="199"/>
        <v>0</v>
      </c>
    </row>
    <row r="12535" spans="39:45">
      <c r="AM12535" s="55">
        <v>2020</v>
      </c>
      <c r="AN12535" s="55" t="s">
        <v>187</v>
      </c>
      <c r="AO12535" s="55">
        <v>6</v>
      </c>
      <c r="AP12535" s="55">
        <v>5</v>
      </c>
      <c r="AQ12535" s="55">
        <v>1271.5</v>
      </c>
      <c r="AR12535" s="55">
        <v>28500</v>
      </c>
      <c r="AS12535" s="78">
        <f t="shared" si="199"/>
        <v>4.46140350877193E-2</v>
      </c>
    </row>
    <row r="12536" spans="39:45">
      <c r="AM12536" s="54">
        <v>2020</v>
      </c>
      <c r="AN12536" s="54" t="s">
        <v>187</v>
      </c>
      <c r="AO12536" s="54">
        <v>6</v>
      </c>
      <c r="AP12536" s="54">
        <v>6</v>
      </c>
      <c r="AQ12536" s="54">
        <v>4020.5</v>
      </c>
      <c r="AR12536" s="55">
        <v>28500</v>
      </c>
      <c r="AS12536" s="78">
        <f t="shared" si="199"/>
        <v>0.14107017543859648</v>
      </c>
    </row>
    <row r="12537" spans="39:45">
      <c r="AM12537" s="55">
        <v>2020</v>
      </c>
      <c r="AN12537" s="55" t="s">
        <v>187</v>
      </c>
      <c r="AO12537" s="55">
        <v>6</v>
      </c>
      <c r="AP12537" s="55">
        <v>7</v>
      </c>
      <c r="AQ12537" s="55">
        <v>14492.5</v>
      </c>
      <c r="AR12537" s="55">
        <v>28500</v>
      </c>
      <c r="AS12537" s="78">
        <f t="shared" si="199"/>
        <v>0.50850877192982458</v>
      </c>
    </row>
    <row r="12538" spans="39:45">
      <c r="AM12538" s="54">
        <v>2020</v>
      </c>
      <c r="AN12538" s="54" t="s">
        <v>187</v>
      </c>
      <c r="AO12538" s="54">
        <v>6</v>
      </c>
      <c r="AP12538" s="54">
        <v>8</v>
      </c>
      <c r="AQ12538" s="54">
        <v>22903.5</v>
      </c>
      <c r="AR12538" s="55">
        <v>28500</v>
      </c>
      <c r="AS12538" s="78">
        <f t="shared" si="199"/>
        <v>0.80363157894736847</v>
      </c>
    </row>
    <row r="12539" spans="39:45">
      <c r="AM12539" s="55">
        <v>2020</v>
      </c>
      <c r="AN12539" s="55" t="s">
        <v>187</v>
      </c>
      <c r="AO12539" s="55">
        <v>6</v>
      </c>
      <c r="AP12539" s="55">
        <v>9</v>
      </c>
      <c r="AQ12539" s="55">
        <v>19494</v>
      </c>
      <c r="AR12539" s="55">
        <v>28500</v>
      </c>
      <c r="AS12539" s="78">
        <f t="shared" si="199"/>
        <v>0.68400000000000005</v>
      </c>
    </row>
    <row r="12540" spans="39:45">
      <c r="AM12540" s="54">
        <v>2020</v>
      </c>
      <c r="AN12540" s="54" t="s">
        <v>187</v>
      </c>
      <c r="AO12540" s="54">
        <v>6</v>
      </c>
      <c r="AP12540" s="54">
        <v>10</v>
      </c>
      <c r="AQ12540" s="54">
        <v>16033</v>
      </c>
      <c r="AR12540" s="55">
        <v>28500</v>
      </c>
      <c r="AS12540" s="78">
        <f t="shared" si="199"/>
        <v>0.56256140350877193</v>
      </c>
    </row>
    <row r="12541" spans="39:45">
      <c r="AM12541" s="55">
        <v>2020</v>
      </c>
      <c r="AN12541" s="55" t="s">
        <v>187</v>
      </c>
      <c r="AO12541" s="55">
        <v>6</v>
      </c>
      <c r="AP12541" s="55">
        <v>11</v>
      </c>
      <c r="AQ12541" s="55">
        <v>8287.5</v>
      </c>
      <c r="AR12541" s="55">
        <v>28500</v>
      </c>
      <c r="AS12541" s="78">
        <f t="shared" si="199"/>
        <v>0.29078947368421054</v>
      </c>
    </row>
    <row r="12542" spans="39:45">
      <c r="AM12542" s="54">
        <v>2020</v>
      </c>
      <c r="AN12542" s="54" t="s">
        <v>187</v>
      </c>
      <c r="AO12542" s="54">
        <v>6</v>
      </c>
      <c r="AP12542" s="54">
        <v>12</v>
      </c>
      <c r="AQ12542" s="54">
        <v>8411</v>
      </c>
      <c r="AR12542" s="55">
        <v>28500</v>
      </c>
      <c r="AS12542" s="78">
        <f t="shared" si="199"/>
        <v>0.29512280701754384</v>
      </c>
    </row>
    <row r="12543" spans="39:45">
      <c r="AM12543" s="55">
        <v>2020</v>
      </c>
      <c r="AN12543" s="55" t="s">
        <v>187</v>
      </c>
      <c r="AO12543" s="55">
        <v>6</v>
      </c>
      <c r="AP12543" s="55">
        <v>13</v>
      </c>
      <c r="AQ12543" s="55">
        <v>9219</v>
      </c>
      <c r="AR12543" s="55">
        <v>28500</v>
      </c>
      <c r="AS12543" s="78">
        <f t="shared" si="199"/>
        <v>0.3234736842105263</v>
      </c>
    </row>
    <row r="12544" spans="39:45">
      <c r="AM12544" s="54">
        <v>2020</v>
      </c>
      <c r="AN12544" s="54" t="s">
        <v>187</v>
      </c>
      <c r="AO12544" s="54">
        <v>6</v>
      </c>
      <c r="AP12544" s="54">
        <v>14</v>
      </c>
      <c r="AQ12544" s="54">
        <v>13014.5</v>
      </c>
      <c r="AR12544" s="55">
        <v>28500</v>
      </c>
      <c r="AS12544" s="78">
        <f t="shared" si="199"/>
        <v>0.45664912280701753</v>
      </c>
    </row>
    <row r="12545" spans="39:45">
      <c r="AM12545" s="55">
        <v>2020</v>
      </c>
      <c r="AN12545" s="55" t="s">
        <v>187</v>
      </c>
      <c r="AO12545" s="55">
        <v>6</v>
      </c>
      <c r="AP12545" s="55">
        <v>15</v>
      </c>
      <c r="AQ12545" s="55">
        <v>6655.5</v>
      </c>
      <c r="AR12545" s="55">
        <v>28500</v>
      </c>
      <c r="AS12545" s="78">
        <f t="shared" si="199"/>
        <v>0.23352631578947369</v>
      </c>
    </row>
    <row r="12546" spans="39:45">
      <c r="AM12546" s="54">
        <v>2020</v>
      </c>
      <c r="AN12546" s="54" t="s">
        <v>187</v>
      </c>
      <c r="AO12546" s="54">
        <v>6</v>
      </c>
      <c r="AP12546" s="54">
        <v>16</v>
      </c>
      <c r="AQ12546" s="54">
        <v>2947.5</v>
      </c>
      <c r="AR12546" s="55">
        <v>28500</v>
      </c>
      <c r="AS12546" s="78">
        <f t="shared" ref="AS12546:AS12609" si="200">AQ12546/AR12546</f>
        <v>0.10342105263157894</v>
      </c>
    </row>
    <row r="12547" spans="39:45">
      <c r="AM12547" s="55">
        <v>2020</v>
      </c>
      <c r="AN12547" s="55" t="s">
        <v>187</v>
      </c>
      <c r="AO12547" s="55">
        <v>6</v>
      </c>
      <c r="AP12547" s="55">
        <v>17</v>
      </c>
      <c r="AQ12547" s="55">
        <v>2715</v>
      </c>
      <c r="AR12547" s="55">
        <v>28500</v>
      </c>
      <c r="AS12547" s="78">
        <f t="shared" si="200"/>
        <v>9.5263157894736841E-2</v>
      </c>
    </row>
    <row r="12548" spans="39:45">
      <c r="AM12548" s="54">
        <v>2020</v>
      </c>
      <c r="AN12548" s="54" t="s">
        <v>187</v>
      </c>
      <c r="AO12548" s="54">
        <v>6</v>
      </c>
      <c r="AP12548" s="54">
        <v>18</v>
      </c>
      <c r="AQ12548" s="54">
        <v>591.5</v>
      </c>
      <c r="AR12548" s="55">
        <v>28500</v>
      </c>
      <c r="AS12548" s="78">
        <f t="shared" si="200"/>
        <v>2.0754385964912282E-2</v>
      </c>
    </row>
    <row r="12549" spans="39:45">
      <c r="AM12549" s="55">
        <v>2020</v>
      </c>
      <c r="AN12549" s="55" t="s">
        <v>187</v>
      </c>
      <c r="AO12549" s="55">
        <v>6</v>
      </c>
      <c r="AP12549" s="55">
        <v>19</v>
      </c>
      <c r="AQ12549" s="55">
        <v>4</v>
      </c>
      <c r="AR12549" s="55">
        <v>28500</v>
      </c>
      <c r="AS12549" s="78">
        <f t="shared" si="200"/>
        <v>1.4035087719298245E-4</v>
      </c>
    </row>
    <row r="12550" spans="39:45">
      <c r="AM12550" s="54">
        <v>2020</v>
      </c>
      <c r="AN12550" s="54" t="s">
        <v>187</v>
      </c>
      <c r="AO12550" s="54">
        <v>6</v>
      </c>
      <c r="AP12550" s="54">
        <v>20</v>
      </c>
      <c r="AQ12550" s="54">
        <v>0</v>
      </c>
      <c r="AR12550" s="55">
        <v>28500</v>
      </c>
      <c r="AS12550" s="78">
        <f t="shared" si="200"/>
        <v>0</v>
      </c>
    </row>
    <row r="12551" spans="39:45">
      <c r="AM12551" s="55">
        <v>2020</v>
      </c>
      <c r="AN12551" s="55" t="s">
        <v>187</v>
      </c>
      <c r="AO12551" s="55">
        <v>6</v>
      </c>
      <c r="AP12551" s="55">
        <v>21</v>
      </c>
      <c r="AQ12551" s="55">
        <v>0</v>
      </c>
      <c r="AR12551" s="55">
        <v>28500</v>
      </c>
      <c r="AS12551" s="78">
        <f t="shared" si="200"/>
        <v>0</v>
      </c>
    </row>
    <row r="12552" spans="39:45">
      <c r="AM12552" s="54">
        <v>2020</v>
      </c>
      <c r="AN12552" s="54" t="s">
        <v>187</v>
      </c>
      <c r="AO12552" s="54">
        <v>6</v>
      </c>
      <c r="AP12552" s="54">
        <v>22</v>
      </c>
      <c r="AQ12552" s="54">
        <v>0</v>
      </c>
      <c r="AR12552" s="55">
        <v>28500</v>
      </c>
      <c r="AS12552" s="78">
        <f t="shared" si="200"/>
        <v>0</v>
      </c>
    </row>
    <row r="12553" spans="39:45">
      <c r="AM12553" s="55">
        <v>2020</v>
      </c>
      <c r="AN12553" s="55" t="s">
        <v>187</v>
      </c>
      <c r="AO12553" s="55">
        <v>6</v>
      </c>
      <c r="AP12553" s="55">
        <v>23</v>
      </c>
      <c r="AQ12553" s="55">
        <v>0</v>
      </c>
      <c r="AR12553" s="55">
        <v>28500</v>
      </c>
      <c r="AS12553" s="78">
        <f t="shared" si="200"/>
        <v>0</v>
      </c>
    </row>
    <row r="12554" spans="39:45">
      <c r="AM12554" s="54">
        <v>2020</v>
      </c>
      <c r="AN12554" s="54" t="s">
        <v>187</v>
      </c>
      <c r="AO12554" s="54">
        <v>7</v>
      </c>
      <c r="AP12554" s="54">
        <v>24</v>
      </c>
      <c r="AQ12554" s="54">
        <v>0</v>
      </c>
      <c r="AR12554" s="55">
        <v>28500</v>
      </c>
      <c r="AS12554" s="78">
        <f t="shared" si="200"/>
        <v>0</v>
      </c>
    </row>
    <row r="12555" spans="39:45">
      <c r="AM12555" s="55">
        <v>2020</v>
      </c>
      <c r="AN12555" s="55" t="s">
        <v>187</v>
      </c>
      <c r="AO12555" s="55">
        <v>7</v>
      </c>
      <c r="AP12555" s="55">
        <v>1</v>
      </c>
      <c r="AQ12555" s="55">
        <v>0</v>
      </c>
      <c r="AR12555" s="55">
        <v>28500</v>
      </c>
      <c r="AS12555" s="78">
        <f t="shared" si="200"/>
        <v>0</v>
      </c>
    </row>
    <row r="12556" spans="39:45">
      <c r="AM12556" s="54">
        <v>2020</v>
      </c>
      <c r="AN12556" s="54" t="s">
        <v>187</v>
      </c>
      <c r="AO12556" s="54">
        <v>7</v>
      </c>
      <c r="AP12556" s="54">
        <v>2</v>
      </c>
      <c r="AQ12556" s="54">
        <v>0</v>
      </c>
      <c r="AR12556" s="55">
        <v>28500</v>
      </c>
      <c r="AS12556" s="78">
        <f t="shared" si="200"/>
        <v>0</v>
      </c>
    </row>
    <row r="12557" spans="39:45">
      <c r="AM12557" s="55">
        <v>2020</v>
      </c>
      <c r="AN12557" s="55" t="s">
        <v>187</v>
      </c>
      <c r="AO12557" s="55">
        <v>7</v>
      </c>
      <c r="AP12557" s="55">
        <v>3</v>
      </c>
      <c r="AQ12557" s="55">
        <v>0</v>
      </c>
      <c r="AR12557" s="55">
        <v>28500</v>
      </c>
      <c r="AS12557" s="78">
        <f t="shared" si="200"/>
        <v>0</v>
      </c>
    </row>
    <row r="12558" spans="39:45">
      <c r="AM12558" s="54">
        <v>2020</v>
      </c>
      <c r="AN12558" s="54" t="s">
        <v>187</v>
      </c>
      <c r="AO12558" s="54">
        <v>7</v>
      </c>
      <c r="AP12558" s="54">
        <v>4</v>
      </c>
      <c r="AQ12558" s="54">
        <v>0</v>
      </c>
      <c r="AR12558" s="55">
        <v>28500</v>
      </c>
      <c r="AS12558" s="78">
        <f t="shared" si="200"/>
        <v>0</v>
      </c>
    </row>
    <row r="12559" spans="39:45">
      <c r="AM12559" s="55">
        <v>2020</v>
      </c>
      <c r="AN12559" s="55" t="s">
        <v>187</v>
      </c>
      <c r="AO12559" s="55">
        <v>7</v>
      </c>
      <c r="AP12559" s="55">
        <v>5</v>
      </c>
      <c r="AQ12559" s="55">
        <v>2016</v>
      </c>
      <c r="AR12559" s="55">
        <v>28500</v>
      </c>
      <c r="AS12559" s="78">
        <f t="shared" si="200"/>
        <v>7.0736842105263154E-2</v>
      </c>
    </row>
    <row r="12560" spans="39:45">
      <c r="AM12560" s="54">
        <v>2020</v>
      </c>
      <c r="AN12560" s="54" t="s">
        <v>187</v>
      </c>
      <c r="AO12560" s="54">
        <v>7</v>
      </c>
      <c r="AP12560" s="54">
        <v>6</v>
      </c>
      <c r="AQ12560" s="54">
        <v>5347.5</v>
      </c>
      <c r="AR12560" s="55">
        <v>28500</v>
      </c>
      <c r="AS12560" s="78">
        <f t="shared" si="200"/>
        <v>0.18763157894736843</v>
      </c>
    </row>
    <row r="12561" spans="39:45">
      <c r="AM12561" s="55">
        <v>2020</v>
      </c>
      <c r="AN12561" s="55" t="s">
        <v>187</v>
      </c>
      <c r="AO12561" s="55">
        <v>7</v>
      </c>
      <c r="AP12561" s="55">
        <v>7</v>
      </c>
      <c r="AQ12561" s="55">
        <v>13219.5</v>
      </c>
      <c r="AR12561" s="55">
        <v>28500</v>
      </c>
      <c r="AS12561" s="78">
        <f t="shared" si="200"/>
        <v>0.46384210526315789</v>
      </c>
    </row>
    <row r="12562" spans="39:45">
      <c r="AM12562" s="54">
        <v>2020</v>
      </c>
      <c r="AN12562" s="54" t="s">
        <v>187</v>
      </c>
      <c r="AO12562" s="54">
        <v>7</v>
      </c>
      <c r="AP12562" s="54">
        <v>8</v>
      </c>
      <c r="AQ12562" s="54">
        <v>23370.5</v>
      </c>
      <c r="AR12562" s="55">
        <v>28500</v>
      </c>
      <c r="AS12562" s="78">
        <f t="shared" si="200"/>
        <v>0.82001754385964909</v>
      </c>
    </row>
    <row r="12563" spans="39:45">
      <c r="AM12563" s="55">
        <v>2020</v>
      </c>
      <c r="AN12563" s="55" t="s">
        <v>187</v>
      </c>
      <c r="AO12563" s="55">
        <v>7</v>
      </c>
      <c r="AP12563" s="55">
        <v>9</v>
      </c>
      <c r="AQ12563" s="55">
        <v>28351.5</v>
      </c>
      <c r="AR12563" s="55">
        <v>28500</v>
      </c>
      <c r="AS12563" s="78">
        <f t="shared" si="200"/>
        <v>0.99478947368421056</v>
      </c>
    </row>
    <row r="12564" spans="39:45">
      <c r="AM12564" s="54">
        <v>2020</v>
      </c>
      <c r="AN12564" s="54" t="s">
        <v>187</v>
      </c>
      <c r="AO12564" s="54">
        <v>7</v>
      </c>
      <c r="AP12564" s="54">
        <v>10</v>
      </c>
      <c r="AQ12564" s="54">
        <v>23035.5</v>
      </c>
      <c r="AR12564" s="55">
        <v>28500</v>
      </c>
      <c r="AS12564" s="78">
        <f t="shared" si="200"/>
        <v>0.80826315789473679</v>
      </c>
    </row>
    <row r="12565" spans="39:45">
      <c r="AM12565" s="55">
        <v>2020</v>
      </c>
      <c r="AN12565" s="55" t="s">
        <v>187</v>
      </c>
      <c r="AO12565" s="55">
        <v>7</v>
      </c>
      <c r="AP12565" s="55">
        <v>11</v>
      </c>
      <c r="AQ12565" s="55">
        <v>35099.5</v>
      </c>
      <c r="AR12565" s="55">
        <v>28500</v>
      </c>
      <c r="AS12565" s="78">
        <f t="shared" si="200"/>
        <v>1.2315614035087719</v>
      </c>
    </row>
    <row r="12566" spans="39:45">
      <c r="AM12566" s="54">
        <v>2020</v>
      </c>
      <c r="AN12566" s="54" t="s">
        <v>187</v>
      </c>
      <c r="AO12566" s="54">
        <v>7</v>
      </c>
      <c r="AP12566" s="54">
        <v>12</v>
      </c>
      <c r="AQ12566" s="54">
        <v>26570.5</v>
      </c>
      <c r="AR12566" s="55">
        <v>28500</v>
      </c>
      <c r="AS12566" s="78">
        <f t="shared" si="200"/>
        <v>0.93229824561403507</v>
      </c>
    </row>
    <row r="12567" spans="39:45">
      <c r="AM12567" s="55">
        <v>2020</v>
      </c>
      <c r="AN12567" s="55" t="s">
        <v>187</v>
      </c>
      <c r="AO12567" s="55">
        <v>7</v>
      </c>
      <c r="AP12567" s="55">
        <v>13</v>
      </c>
      <c r="AQ12567" s="55">
        <v>14932.5</v>
      </c>
      <c r="AR12567" s="55">
        <v>28500</v>
      </c>
      <c r="AS12567" s="78">
        <f t="shared" si="200"/>
        <v>0.52394736842105261</v>
      </c>
    </row>
    <row r="12568" spans="39:45">
      <c r="AM12568" s="54">
        <v>2020</v>
      </c>
      <c r="AN12568" s="54" t="s">
        <v>187</v>
      </c>
      <c r="AO12568" s="54">
        <v>7</v>
      </c>
      <c r="AP12568" s="54">
        <v>14</v>
      </c>
      <c r="AQ12568" s="54">
        <v>6920.5</v>
      </c>
      <c r="AR12568" s="55">
        <v>28500</v>
      </c>
      <c r="AS12568" s="78">
        <f t="shared" si="200"/>
        <v>0.24282456140350878</v>
      </c>
    </row>
    <row r="12569" spans="39:45">
      <c r="AM12569" s="55">
        <v>2020</v>
      </c>
      <c r="AN12569" s="55" t="s">
        <v>187</v>
      </c>
      <c r="AO12569" s="55">
        <v>7</v>
      </c>
      <c r="AP12569" s="55">
        <v>15</v>
      </c>
      <c r="AQ12569" s="55">
        <v>4704.5</v>
      </c>
      <c r="AR12569" s="55">
        <v>28500</v>
      </c>
      <c r="AS12569" s="78">
        <f t="shared" si="200"/>
        <v>0.16507017543859648</v>
      </c>
    </row>
    <row r="12570" spans="39:45">
      <c r="AM12570" s="54">
        <v>2020</v>
      </c>
      <c r="AN12570" s="54" t="s">
        <v>187</v>
      </c>
      <c r="AO12570" s="54">
        <v>7</v>
      </c>
      <c r="AP12570" s="54">
        <v>16</v>
      </c>
      <c r="AQ12570" s="54">
        <v>4915.5</v>
      </c>
      <c r="AR12570" s="55">
        <v>28500</v>
      </c>
      <c r="AS12570" s="78">
        <f t="shared" si="200"/>
        <v>0.17247368421052631</v>
      </c>
    </row>
    <row r="12571" spans="39:45">
      <c r="AM12571" s="55">
        <v>2020</v>
      </c>
      <c r="AN12571" s="55" t="s">
        <v>187</v>
      </c>
      <c r="AO12571" s="55">
        <v>7</v>
      </c>
      <c r="AP12571" s="55">
        <v>17</v>
      </c>
      <c r="AQ12571" s="55">
        <v>2781.5</v>
      </c>
      <c r="AR12571" s="55">
        <v>28500</v>
      </c>
      <c r="AS12571" s="78">
        <f t="shared" si="200"/>
        <v>9.7596491228070181E-2</v>
      </c>
    </row>
    <row r="12572" spans="39:45">
      <c r="AM12572" s="54">
        <v>2020</v>
      </c>
      <c r="AN12572" s="54" t="s">
        <v>187</v>
      </c>
      <c r="AO12572" s="54">
        <v>7</v>
      </c>
      <c r="AP12572" s="54">
        <v>18</v>
      </c>
      <c r="AQ12572" s="54">
        <v>351</v>
      </c>
      <c r="AR12572" s="55">
        <v>28500</v>
      </c>
      <c r="AS12572" s="78">
        <f t="shared" si="200"/>
        <v>1.2315789473684211E-2</v>
      </c>
    </row>
    <row r="12573" spans="39:45">
      <c r="AM12573" s="55">
        <v>2020</v>
      </c>
      <c r="AN12573" s="55" t="s">
        <v>187</v>
      </c>
      <c r="AO12573" s="55">
        <v>7</v>
      </c>
      <c r="AP12573" s="55">
        <v>19</v>
      </c>
      <c r="AQ12573" s="55">
        <v>921</v>
      </c>
      <c r="AR12573" s="55">
        <v>28500</v>
      </c>
      <c r="AS12573" s="78">
        <f t="shared" si="200"/>
        <v>3.2315789473684207E-2</v>
      </c>
    </row>
    <row r="12574" spans="39:45">
      <c r="AM12574" s="54">
        <v>2020</v>
      </c>
      <c r="AN12574" s="54" t="s">
        <v>187</v>
      </c>
      <c r="AO12574" s="54">
        <v>7</v>
      </c>
      <c r="AP12574" s="54">
        <v>20</v>
      </c>
      <c r="AQ12574" s="54">
        <v>0</v>
      </c>
      <c r="AR12574" s="55">
        <v>28500</v>
      </c>
      <c r="AS12574" s="78">
        <f t="shared" si="200"/>
        <v>0</v>
      </c>
    </row>
    <row r="12575" spans="39:45">
      <c r="AM12575" s="55">
        <v>2020</v>
      </c>
      <c r="AN12575" s="55" t="s">
        <v>187</v>
      </c>
      <c r="AO12575" s="55">
        <v>7</v>
      </c>
      <c r="AP12575" s="55">
        <v>21</v>
      </c>
      <c r="AQ12575" s="55">
        <v>0</v>
      </c>
      <c r="AR12575" s="55">
        <v>28500</v>
      </c>
      <c r="AS12575" s="78">
        <f t="shared" si="200"/>
        <v>0</v>
      </c>
    </row>
    <row r="12576" spans="39:45">
      <c r="AM12576" s="54">
        <v>2020</v>
      </c>
      <c r="AN12576" s="54" t="s">
        <v>187</v>
      </c>
      <c r="AO12576" s="54">
        <v>7</v>
      </c>
      <c r="AP12576" s="54">
        <v>22</v>
      </c>
      <c r="AQ12576" s="54">
        <v>0</v>
      </c>
      <c r="AR12576" s="55">
        <v>28500</v>
      </c>
      <c r="AS12576" s="78">
        <f t="shared" si="200"/>
        <v>0</v>
      </c>
    </row>
    <row r="12577" spans="39:45">
      <c r="AM12577" s="55">
        <v>2020</v>
      </c>
      <c r="AN12577" s="55" t="s">
        <v>187</v>
      </c>
      <c r="AO12577" s="55">
        <v>7</v>
      </c>
      <c r="AP12577" s="55">
        <v>23</v>
      </c>
      <c r="AQ12577" s="55">
        <v>0</v>
      </c>
      <c r="AR12577" s="55">
        <v>28500</v>
      </c>
      <c r="AS12577" s="78">
        <f t="shared" si="200"/>
        <v>0</v>
      </c>
    </row>
    <row r="12578" spans="39:45">
      <c r="AM12578" s="54">
        <v>2020</v>
      </c>
      <c r="AN12578" s="54" t="s">
        <v>187</v>
      </c>
      <c r="AO12578" s="54">
        <v>8</v>
      </c>
      <c r="AP12578" s="54">
        <v>24</v>
      </c>
      <c r="AQ12578" s="54">
        <v>0</v>
      </c>
      <c r="AR12578" s="55">
        <v>28500</v>
      </c>
      <c r="AS12578" s="78">
        <f t="shared" si="200"/>
        <v>0</v>
      </c>
    </row>
    <row r="12579" spans="39:45">
      <c r="AM12579" s="55">
        <v>2020</v>
      </c>
      <c r="AN12579" s="55" t="s">
        <v>187</v>
      </c>
      <c r="AO12579" s="55">
        <v>8</v>
      </c>
      <c r="AP12579" s="55">
        <v>1</v>
      </c>
      <c r="AQ12579" s="55">
        <v>0</v>
      </c>
      <c r="AR12579" s="55">
        <v>28500</v>
      </c>
      <c r="AS12579" s="78">
        <f t="shared" si="200"/>
        <v>0</v>
      </c>
    </row>
    <row r="12580" spans="39:45">
      <c r="AM12580" s="54">
        <v>2020</v>
      </c>
      <c r="AN12580" s="54" t="s">
        <v>187</v>
      </c>
      <c r="AO12580" s="54">
        <v>8</v>
      </c>
      <c r="AP12580" s="54">
        <v>2</v>
      </c>
      <c r="AQ12580" s="54">
        <v>0</v>
      </c>
      <c r="AR12580" s="55">
        <v>28500</v>
      </c>
      <c r="AS12580" s="78">
        <f t="shared" si="200"/>
        <v>0</v>
      </c>
    </row>
    <row r="12581" spans="39:45">
      <c r="AM12581" s="55">
        <v>2020</v>
      </c>
      <c r="AN12581" s="55" t="s">
        <v>187</v>
      </c>
      <c r="AO12581" s="55">
        <v>8</v>
      </c>
      <c r="AP12581" s="55">
        <v>3</v>
      </c>
      <c r="AQ12581" s="55">
        <v>0</v>
      </c>
      <c r="AR12581" s="55">
        <v>28500</v>
      </c>
      <c r="AS12581" s="78">
        <f t="shared" si="200"/>
        <v>0</v>
      </c>
    </row>
    <row r="12582" spans="39:45">
      <c r="AM12582" s="54">
        <v>2020</v>
      </c>
      <c r="AN12582" s="54" t="s">
        <v>187</v>
      </c>
      <c r="AO12582" s="54">
        <v>8</v>
      </c>
      <c r="AP12582" s="54">
        <v>4</v>
      </c>
      <c r="AQ12582" s="54">
        <v>0</v>
      </c>
      <c r="AR12582" s="55">
        <v>28500</v>
      </c>
      <c r="AS12582" s="78">
        <f t="shared" si="200"/>
        <v>0</v>
      </c>
    </row>
    <row r="12583" spans="39:45">
      <c r="AM12583" s="55">
        <v>2020</v>
      </c>
      <c r="AN12583" s="55" t="s">
        <v>187</v>
      </c>
      <c r="AO12583" s="55">
        <v>8</v>
      </c>
      <c r="AP12583" s="55">
        <v>5</v>
      </c>
      <c r="AQ12583" s="55">
        <v>1597</v>
      </c>
      <c r="AR12583" s="55">
        <v>28500</v>
      </c>
      <c r="AS12583" s="78">
        <f t="shared" si="200"/>
        <v>5.6035087719298243E-2</v>
      </c>
    </row>
    <row r="12584" spans="39:45">
      <c r="AM12584" s="54">
        <v>2020</v>
      </c>
      <c r="AN12584" s="54" t="s">
        <v>187</v>
      </c>
      <c r="AO12584" s="54">
        <v>8</v>
      </c>
      <c r="AP12584" s="54">
        <v>6</v>
      </c>
      <c r="AQ12584" s="54">
        <v>5388.5</v>
      </c>
      <c r="AR12584" s="55">
        <v>28500</v>
      </c>
      <c r="AS12584" s="78">
        <f t="shared" si="200"/>
        <v>0.1890701754385965</v>
      </c>
    </row>
    <row r="12585" spans="39:45">
      <c r="AM12585" s="55">
        <v>2020</v>
      </c>
      <c r="AN12585" s="55" t="s">
        <v>187</v>
      </c>
      <c r="AO12585" s="55">
        <v>8</v>
      </c>
      <c r="AP12585" s="55">
        <v>7</v>
      </c>
      <c r="AQ12585" s="55">
        <v>8403.5</v>
      </c>
      <c r="AR12585" s="55">
        <v>28500</v>
      </c>
      <c r="AS12585" s="78">
        <f t="shared" si="200"/>
        <v>0.29485964912280704</v>
      </c>
    </row>
    <row r="12586" spans="39:45">
      <c r="AM12586" s="54">
        <v>2020</v>
      </c>
      <c r="AN12586" s="54" t="s">
        <v>187</v>
      </c>
      <c r="AO12586" s="54">
        <v>8</v>
      </c>
      <c r="AP12586" s="54">
        <v>8</v>
      </c>
      <c r="AQ12586" s="54">
        <v>11997.5</v>
      </c>
      <c r="AR12586" s="55">
        <v>28500</v>
      </c>
      <c r="AS12586" s="78">
        <f t="shared" si="200"/>
        <v>0.42096491228070176</v>
      </c>
    </row>
    <row r="12587" spans="39:45">
      <c r="AM12587" s="55">
        <v>2020</v>
      </c>
      <c r="AN12587" s="55" t="s">
        <v>187</v>
      </c>
      <c r="AO12587" s="55">
        <v>8</v>
      </c>
      <c r="AP12587" s="55">
        <v>9</v>
      </c>
      <c r="AQ12587" s="55">
        <v>17035.5</v>
      </c>
      <c r="AR12587" s="55">
        <v>28500</v>
      </c>
      <c r="AS12587" s="78">
        <f t="shared" si="200"/>
        <v>0.59773684210526312</v>
      </c>
    </row>
    <row r="12588" spans="39:45">
      <c r="AM12588" s="54">
        <v>2020</v>
      </c>
      <c r="AN12588" s="54" t="s">
        <v>187</v>
      </c>
      <c r="AO12588" s="54">
        <v>8</v>
      </c>
      <c r="AP12588" s="54">
        <v>10</v>
      </c>
      <c r="AQ12588" s="54">
        <v>17698.5</v>
      </c>
      <c r="AR12588" s="55">
        <v>28500</v>
      </c>
      <c r="AS12588" s="78">
        <f t="shared" si="200"/>
        <v>0.621</v>
      </c>
    </row>
    <row r="12589" spans="39:45">
      <c r="AM12589" s="55">
        <v>2020</v>
      </c>
      <c r="AN12589" s="55" t="s">
        <v>187</v>
      </c>
      <c r="AO12589" s="55">
        <v>8</v>
      </c>
      <c r="AP12589" s="55">
        <v>11</v>
      </c>
      <c r="AQ12589" s="55">
        <v>10884.5</v>
      </c>
      <c r="AR12589" s="55">
        <v>28500</v>
      </c>
      <c r="AS12589" s="78">
        <f t="shared" si="200"/>
        <v>0.38191228070175437</v>
      </c>
    </row>
    <row r="12590" spans="39:45">
      <c r="AM12590" s="54">
        <v>2020</v>
      </c>
      <c r="AN12590" s="54" t="s">
        <v>187</v>
      </c>
      <c r="AO12590" s="54">
        <v>8</v>
      </c>
      <c r="AP12590" s="54">
        <v>12</v>
      </c>
      <c r="AQ12590" s="54">
        <v>12224</v>
      </c>
      <c r="AR12590" s="55">
        <v>28500</v>
      </c>
      <c r="AS12590" s="78">
        <f t="shared" si="200"/>
        <v>0.42891228070175441</v>
      </c>
    </row>
    <row r="12591" spans="39:45">
      <c r="AM12591" s="55">
        <v>2020</v>
      </c>
      <c r="AN12591" s="55" t="s">
        <v>187</v>
      </c>
      <c r="AO12591" s="55">
        <v>8</v>
      </c>
      <c r="AP12591" s="55">
        <v>13</v>
      </c>
      <c r="AQ12591" s="55">
        <v>14188.5</v>
      </c>
      <c r="AR12591" s="55">
        <v>28500</v>
      </c>
      <c r="AS12591" s="78">
        <f t="shared" si="200"/>
        <v>0.49784210526315792</v>
      </c>
    </row>
    <row r="12592" spans="39:45">
      <c r="AM12592" s="54">
        <v>2020</v>
      </c>
      <c r="AN12592" s="54" t="s">
        <v>187</v>
      </c>
      <c r="AO12592" s="54">
        <v>8</v>
      </c>
      <c r="AP12592" s="54">
        <v>14</v>
      </c>
      <c r="AQ12592" s="54">
        <v>9062.5</v>
      </c>
      <c r="AR12592" s="55">
        <v>28500</v>
      </c>
      <c r="AS12592" s="78">
        <f t="shared" si="200"/>
        <v>0.31798245614035087</v>
      </c>
    </row>
    <row r="12593" spans="39:45">
      <c r="AM12593" s="55">
        <v>2020</v>
      </c>
      <c r="AN12593" s="55" t="s">
        <v>187</v>
      </c>
      <c r="AO12593" s="55">
        <v>8</v>
      </c>
      <c r="AP12593" s="55">
        <v>15</v>
      </c>
      <c r="AQ12593" s="55">
        <v>11854.5</v>
      </c>
      <c r="AR12593" s="55">
        <v>28500</v>
      </c>
      <c r="AS12593" s="78">
        <f t="shared" si="200"/>
        <v>0.41594736842105262</v>
      </c>
    </row>
    <row r="12594" spans="39:45">
      <c r="AM12594" s="54">
        <v>2020</v>
      </c>
      <c r="AN12594" s="54" t="s">
        <v>187</v>
      </c>
      <c r="AO12594" s="54">
        <v>8</v>
      </c>
      <c r="AP12594" s="54">
        <v>16</v>
      </c>
      <c r="AQ12594" s="54">
        <v>9067</v>
      </c>
      <c r="AR12594" s="55">
        <v>28500</v>
      </c>
      <c r="AS12594" s="78">
        <f t="shared" si="200"/>
        <v>0.318140350877193</v>
      </c>
    </row>
    <row r="12595" spans="39:45">
      <c r="AM12595" s="55">
        <v>2020</v>
      </c>
      <c r="AN12595" s="55" t="s">
        <v>187</v>
      </c>
      <c r="AO12595" s="55">
        <v>8</v>
      </c>
      <c r="AP12595" s="55">
        <v>17</v>
      </c>
      <c r="AQ12595" s="55">
        <v>7738.5</v>
      </c>
      <c r="AR12595" s="55">
        <v>28500</v>
      </c>
      <c r="AS12595" s="78">
        <f t="shared" si="200"/>
        <v>0.27152631578947367</v>
      </c>
    </row>
    <row r="12596" spans="39:45">
      <c r="AM12596" s="54">
        <v>2020</v>
      </c>
      <c r="AN12596" s="54" t="s">
        <v>187</v>
      </c>
      <c r="AO12596" s="54">
        <v>8</v>
      </c>
      <c r="AP12596" s="54">
        <v>18</v>
      </c>
      <c r="AQ12596" s="54">
        <v>3159.5</v>
      </c>
      <c r="AR12596" s="55">
        <v>28500</v>
      </c>
      <c r="AS12596" s="78">
        <f t="shared" si="200"/>
        <v>0.11085964912280702</v>
      </c>
    </row>
    <row r="12597" spans="39:45">
      <c r="AM12597" s="55">
        <v>2020</v>
      </c>
      <c r="AN12597" s="55" t="s">
        <v>187</v>
      </c>
      <c r="AO12597" s="55">
        <v>8</v>
      </c>
      <c r="AP12597" s="55">
        <v>19</v>
      </c>
      <c r="AQ12597" s="55">
        <v>1010</v>
      </c>
      <c r="AR12597" s="55">
        <v>28500</v>
      </c>
      <c r="AS12597" s="78">
        <f t="shared" si="200"/>
        <v>3.5438596491228068E-2</v>
      </c>
    </row>
    <row r="12598" spans="39:45">
      <c r="AM12598" s="54">
        <v>2020</v>
      </c>
      <c r="AN12598" s="54" t="s">
        <v>187</v>
      </c>
      <c r="AO12598" s="54">
        <v>8</v>
      </c>
      <c r="AP12598" s="54">
        <v>20</v>
      </c>
      <c r="AQ12598" s="54">
        <v>0</v>
      </c>
      <c r="AR12598" s="55">
        <v>28500</v>
      </c>
      <c r="AS12598" s="78">
        <f t="shared" si="200"/>
        <v>0</v>
      </c>
    </row>
    <row r="12599" spans="39:45">
      <c r="AM12599" s="55">
        <v>2020</v>
      </c>
      <c r="AN12599" s="55" t="s">
        <v>187</v>
      </c>
      <c r="AO12599" s="55">
        <v>8</v>
      </c>
      <c r="AP12599" s="55">
        <v>21</v>
      </c>
      <c r="AQ12599" s="55">
        <v>0</v>
      </c>
      <c r="AR12599" s="55">
        <v>28500</v>
      </c>
      <c r="AS12599" s="78">
        <f t="shared" si="200"/>
        <v>0</v>
      </c>
    </row>
    <row r="12600" spans="39:45">
      <c r="AM12600" s="54">
        <v>2020</v>
      </c>
      <c r="AN12600" s="54" t="s">
        <v>187</v>
      </c>
      <c r="AO12600" s="54">
        <v>8</v>
      </c>
      <c r="AP12600" s="54">
        <v>22</v>
      </c>
      <c r="AQ12600" s="54">
        <v>0</v>
      </c>
      <c r="AR12600" s="55">
        <v>28500</v>
      </c>
      <c r="AS12600" s="78">
        <f t="shared" si="200"/>
        <v>0</v>
      </c>
    </row>
    <row r="12601" spans="39:45">
      <c r="AM12601" s="55">
        <v>2020</v>
      </c>
      <c r="AN12601" s="55" t="s">
        <v>187</v>
      </c>
      <c r="AO12601" s="55">
        <v>8</v>
      </c>
      <c r="AP12601" s="55">
        <v>23</v>
      </c>
      <c r="AQ12601" s="55">
        <v>0</v>
      </c>
      <c r="AR12601" s="55">
        <v>28500</v>
      </c>
      <c r="AS12601" s="78">
        <f t="shared" si="200"/>
        <v>0</v>
      </c>
    </row>
    <row r="12602" spans="39:45">
      <c r="AM12602" s="54">
        <v>2020</v>
      </c>
      <c r="AN12602" s="54" t="s">
        <v>187</v>
      </c>
      <c r="AO12602" s="54">
        <v>9</v>
      </c>
      <c r="AP12602" s="54">
        <v>24</v>
      </c>
      <c r="AQ12602" s="54">
        <v>0</v>
      </c>
      <c r="AR12602" s="55">
        <v>28500</v>
      </c>
      <c r="AS12602" s="78">
        <f t="shared" si="200"/>
        <v>0</v>
      </c>
    </row>
    <row r="12603" spans="39:45">
      <c r="AM12603" s="55">
        <v>2020</v>
      </c>
      <c r="AN12603" s="55" t="s">
        <v>187</v>
      </c>
      <c r="AO12603" s="55">
        <v>9</v>
      </c>
      <c r="AP12603" s="55">
        <v>1</v>
      </c>
      <c r="AQ12603" s="55">
        <v>0</v>
      </c>
      <c r="AR12603" s="55">
        <v>28500</v>
      </c>
      <c r="AS12603" s="78">
        <f t="shared" si="200"/>
        <v>0</v>
      </c>
    </row>
    <row r="12604" spans="39:45">
      <c r="AM12604" s="54">
        <v>2020</v>
      </c>
      <c r="AN12604" s="54" t="s">
        <v>187</v>
      </c>
      <c r="AO12604" s="54">
        <v>9</v>
      </c>
      <c r="AP12604" s="54">
        <v>2</v>
      </c>
      <c r="AQ12604" s="54">
        <v>0</v>
      </c>
      <c r="AR12604" s="55">
        <v>28500</v>
      </c>
      <c r="AS12604" s="78">
        <f t="shared" si="200"/>
        <v>0</v>
      </c>
    </row>
    <row r="12605" spans="39:45">
      <c r="AM12605" s="55">
        <v>2020</v>
      </c>
      <c r="AN12605" s="55" t="s">
        <v>187</v>
      </c>
      <c r="AO12605" s="55">
        <v>9</v>
      </c>
      <c r="AP12605" s="55">
        <v>3</v>
      </c>
      <c r="AQ12605" s="55">
        <v>0</v>
      </c>
      <c r="AR12605" s="55">
        <v>28500</v>
      </c>
      <c r="AS12605" s="78">
        <f t="shared" si="200"/>
        <v>0</v>
      </c>
    </row>
    <row r="12606" spans="39:45">
      <c r="AM12606" s="54">
        <v>2020</v>
      </c>
      <c r="AN12606" s="54" t="s">
        <v>187</v>
      </c>
      <c r="AO12606" s="54">
        <v>9</v>
      </c>
      <c r="AP12606" s="54">
        <v>4</v>
      </c>
      <c r="AQ12606" s="54">
        <v>0</v>
      </c>
      <c r="AR12606" s="55">
        <v>28500</v>
      </c>
      <c r="AS12606" s="78">
        <f t="shared" si="200"/>
        <v>0</v>
      </c>
    </row>
    <row r="12607" spans="39:45">
      <c r="AM12607" s="55">
        <v>2020</v>
      </c>
      <c r="AN12607" s="55" t="s">
        <v>187</v>
      </c>
      <c r="AO12607" s="55">
        <v>9</v>
      </c>
      <c r="AP12607" s="55">
        <v>5</v>
      </c>
      <c r="AQ12607" s="55">
        <v>1521</v>
      </c>
      <c r="AR12607" s="55">
        <v>28500</v>
      </c>
      <c r="AS12607" s="78">
        <f t="shared" si="200"/>
        <v>5.3368421052631579E-2</v>
      </c>
    </row>
    <row r="12608" spans="39:45">
      <c r="AM12608" s="54">
        <v>2020</v>
      </c>
      <c r="AN12608" s="54" t="s">
        <v>187</v>
      </c>
      <c r="AO12608" s="54">
        <v>9</v>
      </c>
      <c r="AP12608" s="54">
        <v>6</v>
      </c>
      <c r="AQ12608" s="54">
        <v>5323</v>
      </c>
      <c r="AR12608" s="55">
        <v>28500</v>
      </c>
      <c r="AS12608" s="78">
        <f t="shared" si="200"/>
        <v>0.18677192982456139</v>
      </c>
    </row>
    <row r="12609" spans="39:45">
      <c r="AM12609" s="55">
        <v>2020</v>
      </c>
      <c r="AN12609" s="55" t="s">
        <v>187</v>
      </c>
      <c r="AO12609" s="55">
        <v>9</v>
      </c>
      <c r="AP12609" s="55">
        <v>7</v>
      </c>
      <c r="AQ12609" s="55">
        <v>10161</v>
      </c>
      <c r="AR12609" s="55">
        <v>28500</v>
      </c>
      <c r="AS12609" s="78">
        <f t="shared" si="200"/>
        <v>0.35652631578947369</v>
      </c>
    </row>
    <row r="12610" spans="39:45">
      <c r="AM12610" s="54">
        <v>2020</v>
      </c>
      <c r="AN12610" s="54" t="s">
        <v>187</v>
      </c>
      <c r="AO12610" s="54">
        <v>9</v>
      </c>
      <c r="AP12610" s="54">
        <v>8</v>
      </c>
      <c r="AQ12610" s="54">
        <v>21047</v>
      </c>
      <c r="AR12610" s="55">
        <v>28500</v>
      </c>
      <c r="AS12610" s="78">
        <f t="shared" ref="AS12610:AS12673" si="201">AQ12610/AR12610</f>
        <v>0.73849122807017542</v>
      </c>
    </row>
    <row r="12611" spans="39:45">
      <c r="AM12611" s="55">
        <v>2020</v>
      </c>
      <c r="AN12611" s="55" t="s">
        <v>187</v>
      </c>
      <c r="AO12611" s="55">
        <v>9</v>
      </c>
      <c r="AP12611" s="55">
        <v>9</v>
      </c>
      <c r="AQ12611" s="55">
        <v>29361.5</v>
      </c>
      <c r="AR12611" s="55">
        <v>28500</v>
      </c>
      <c r="AS12611" s="78">
        <f t="shared" si="201"/>
        <v>1.0302280701754385</v>
      </c>
    </row>
    <row r="12612" spans="39:45">
      <c r="AM12612" s="54">
        <v>2020</v>
      </c>
      <c r="AN12612" s="54" t="s">
        <v>187</v>
      </c>
      <c r="AO12612" s="54">
        <v>9</v>
      </c>
      <c r="AP12612" s="54">
        <v>10</v>
      </c>
      <c r="AQ12612" s="54">
        <v>36477</v>
      </c>
      <c r="AR12612" s="55">
        <v>28500</v>
      </c>
      <c r="AS12612" s="78">
        <f t="shared" si="201"/>
        <v>1.2798947368421052</v>
      </c>
    </row>
    <row r="12613" spans="39:45">
      <c r="AM12613" s="55">
        <v>2020</v>
      </c>
      <c r="AN12613" s="55" t="s">
        <v>187</v>
      </c>
      <c r="AO12613" s="55">
        <v>9</v>
      </c>
      <c r="AP12613" s="55">
        <v>11</v>
      </c>
      <c r="AQ12613" s="55">
        <v>33853.5</v>
      </c>
      <c r="AR12613" s="55">
        <v>28500</v>
      </c>
      <c r="AS12613" s="78">
        <f t="shared" si="201"/>
        <v>1.1878421052631578</v>
      </c>
    </row>
    <row r="12614" spans="39:45">
      <c r="AM12614" s="54">
        <v>2020</v>
      </c>
      <c r="AN12614" s="54" t="s">
        <v>187</v>
      </c>
      <c r="AO12614" s="54">
        <v>9</v>
      </c>
      <c r="AP12614" s="54">
        <v>12</v>
      </c>
      <c r="AQ12614" s="54">
        <v>11850.5</v>
      </c>
      <c r="AR12614" s="55">
        <v>28500</v>
      </c>
      <c r="AS12614" s="78">
        <f t="shared" si="201"/>
        <v>0.41580701754385962</v>
      </c>
    </row>
    <row r="12615" spans="39:45">
      <c r="AM12615" s="55">
        <v>2020</v>
      </c>
      <c r="AN12615" s="55" t="s">
        <v>187</v>
      </c>
      <c r="AO12615" s="55">
        <v>9</v>
      </c>
      <c r="AP12615" s="55">
        <v>13</v>
      </c>
      <c r="AQ12615" s="55">
        <v>24444</v>
      </c>
      <c r="AR12615" s="55">
        <v>28500</v>
      </c>
      <c r="AS12615" s="78">
        <f t="shared" si="201"/>
        <v>0.85768421052631583</v>
      </c>
    </row>
    <row r="12616" spans="39:45">
      <c r="AM12616" s="54">
        <v>2020</v>
      </c>
      <c r="AN12616" s="54" t="s">
        <v>187</v>
      </c>
      <c r="AO12616" s="54">
        <v>9</v>
      </c>
      <c r="AP12616" s="54">
        <v>14</v>
      </c>
      <c r="AQ12616" s="54">
        <v>23359</v>
      </c>
      <c r="AR12616" s="55">
        <v>28500</v>
      </c>
      <c r="AS12616" s="78">
        <f t="shared" si="201"/>
        <v>0.81961403508771935</v>
      </c>
    </row>
    <row r="12617" spans="39:45">
      <c r="AM12617" s="55">
        <v>2020</v>
      </c>
      <c r="AN12617" s="55" t="s">
        <v>187</v>
      </c>
      <c r="AO12617" s="55">
        <v>9</v>
      </c>
      <c r="AP12617" s="55">
        <v>15</v>
      </c>
      <c r="AQ12617" s="55">
        <v>18332</v>
      </c>
      <c r="AR12617" s="55">
        <v>28500</v>
      </c>
      <c r="AS12617" s="78">
        <f t="shared" si="201"/>
        <v>0.64322807017543859</v>
      </c>
    </row>
    <row r="12618" spans="39:45">
      <c r="AM12618" s="54">
        <v>2020</v>
      </c>
      <c r="AN12618" s="54" t="s">
        <v>187</v>
      </c>
      <c r="AO12618" s="54">
        <v>9</v>
      </c>
      <c r="AP12618" s="54">
        <v>16</v>
      </c>
      <c r="AQ12618" s="54">
        <v>12584</v>
      </c>
      <c r="AR12618" s="55">
        <v>28500</v>
      </c>
      <c r="AS12618" s="78">
        <f t="shared" si="201"/>
        <v>0.44154385964912279</v>
      </c>
    </row>
    <row r="12619" spans="39:45">
      <c r="AM12619" s="55">
        <v>2020</v>
      </c>
      <c r="AN12619" s="55" t="s">
        <v>187</v>
      </c>
      <c r="AO12619" s="55">
        <v>9</v>
      </c>
      <c r="AP12619" s="55">
        <v>17</v>
      </c>
      <c r="AQ12619" s="55">
        <v>7466.5</v>
      </c>
      <c r="AR12619" s="55">
        <v>28500</v>
      </c>
      <c r="AS12619" s="78">
        <f t="shared" si="201"/>
        <v>0.26198245614035087</v>
      </c>
    </row>
    <row r="12620" spans="39:45">
      <c r="AM12620" s="54">
        <v>2020</v>
      </c>
      <c r="AN12620" s="54" t="s">
        <v>187</v>
      </c>
      <c r="AO12620" s="54">
        <v>9</v>
      </c>
      <c r="AP12620" s="54">
        <v>18</v>
      </c>
      <c r="AQ12620" s="54">
        <v>1207.5</v>
      </c>
      <c r="AR12620" s="55">
        <v>28500</v>
      </c>
      <c r="AS12620" s="78">
        <f t="shared" si="201"/>
        <v>4.2368421052631576E-2</v>
      </c>
    </row>
    <row r="12621" spans="39:45">
      <c r="AM12621" s="55">
        <v>2020</v>
      </c>
      <c r="AN12621" s="55" t="s">
        <v>187</v>
      </c>
      <c r="AO12621" s="55">
        <v>9</v>
      </c>
      <c r="AP12621" s="55">
        <v>19</v>
      </c>
      <c r="AQ12621" s="55">
        <v>998.5</v>
      </c>
      <c r="AR12621" s="55">
        <v>28500</v>
      </c>
      <c r="AS12621" s="78">
        <f t="shared" si="201"/>
        <v>3.5035087719298245E-2</v>
      </c>
    </row>
    <row r="12622" spans="39:45">
      <c r="AM12622" s="54">
        <v>2020</v>
      </c>
      <c r="AN12622" s="54" t="s">
        <v>187</v>
      </c>
      <c r="AO12622" s="54">
        <v>9</v>
      </c>
      <c r="AP12622" s="54">
        <v>20</v>
      </c>
      <c r="AQ12622" s="54">
        <v>0</v>
      </c>
      <c r="AR12622" s="55">
        <v>28500</v>
      </c>
      <c r="AS12622" s="78">
        <f t="shared" si="201"/>
        <v>0</v>
      </c>
    </row>
    <row r="12623" spans="39:45">
      <c r="AM12623" s="55">
        <v>2020</v>
      </c>
      <c r="AN12623" s="55" t="s">
        <v>187</v>
      </c>
      <c r="AO12623" s="55">
        <v>9</v>
      </c>
      <c r="AP12623" s="55">
        <v>21</v>
      </c>
      <c r="AQ12623" s="55">
        <v>0</v>
      </c>
      <c r="AR12623" s="55">
        <v>28500</v>
      </c>
      <c r="AS12623" s="78">
        <f t="shared" si="201"/>
        <v>0</v>
      </c>
    </row>
    <row r="12624" spans="39:45">
      <c r="AM12624" s="54">
        <v>2020</v>
      </c>
      <c r="AN12624" s="54" t="s">
        <v>187</v>
      </c>
      <c r="AO12624" s="54">
        <v>9</v>
      </c>
      <c r="AP12624" s="54">
        <v>22</v>
      </c>
      <c r="AQ12624" s="54">
        <v>0</v>
      </c>
      <c r="AR12624" s="55">
        <v>28500</v>
      </c>
      <c r="AS12624" s="78">
        <f t="shared" si="201"/>
        <v>0</v>
      </c>
    </row>
    <row r="12625" spans="39:45">
      <c r="AM12625" s="55">
        <v>2020</v>
      </c>
      <c r="AN12625" s="55" t="s">
        <v>187</v>
      </c>
      <c r="AO12625" s="55">
        <v>9</v>
      </c>
      <c r="AP12625" s="55">
        <v>23</v>
      </c>
      <c r="AQ12625" s="55">
        <v>0</v>
      </c>
      <c r="AR12625" s="55">
        <v>28500</v>
      </c>
      <c r="AS12625" s="78">
        <f t="shared" si="201"/>
        <v>0</v>
      </c>
    </row>
    <row r="12626" spans="39:45">
      <c r="AM12626" s="54">
        <v>2020</v>
      </c>
      <c r="AN12626" s="54" t="s">
        <v>187</v>
      </c>
      <c r="AO12626" s="54">
        <v>10</v>
      </c>
      <c r="AP12626" s="54">
        <v>24</v>
      </c>
      <c r="AQ12626" s="54">
        <v>0</v>
      </c>
      <c r="AR12626" s="55">
        <v>28500</v>
      </c>
      <c r="AS12626" s="78">
        <f t="shared" si="201"/>
        <v>0</v>
      </c>
    </row>
    <row r="12627" spans="39:45">
      <c r="AM12627" s="55">
        <v>2020</v>
      </c>
      <c r="AN12627" s="55" t="s">
        <v>187</v>
      </c>
      <c r="AO12627" s="55">
        <v>10</v>
      </c>
      <c r="AP12627" s="55">
        <v>1</v>
      </c>
      <c r="AQ12627" s="55">
        <v>0</v>
      </c>
      <c r="AR12627" s="55">
        <v>28500</v>
      </c>
      <c r="AS12627" s="78">
        <f t="shared" si="201"/>
        <v>0</v>
      </c>
    </row>
    <row r="12628" spans="39:45">
      <c r="AM12628" s="54">
        <v>2020</v>
      </c>
      <c r="AN12628" s="54" t="s">
        <v>187</v>
      </c>
      <c r="AO12628" s="54">
        <v>10</v>
      </c>
      <c r="AP12628" s="54">
        <v>2</v>
      </c>
      <c r="AQ12628" s="54">
        <v>0</v>
      </c>
      <c r="AR12628" s="55">
        <v>28500</v>
      </c>
      <c r="AS12628" s="78">
        <f t="shared" si="201"/>
        <v>0</v>
      </c>
    </row>
    <row r="12629" spans="39:45">
      <c r="AM12629" s="55">
        <v>2020</v>
      </c>
      <c r="AN12629" s="55" t="s">
        <v>187</v>
      </c>
      <c r="AO12629" s="55">
        <v>10</v>
      </c>
      <c r="AP12629" s="55">
        <v>3</v>
      </c>
      <c r="AQ12629" s="55">
        <v>0</v>
      </c>
      <c r="AR12629" s="55">
        <v>28500</v>
      </c>
      <c r="AS12629" s="78">
        <f t="shared" si="201"/>
        <v>0</v>
      </c>
    </row>
    <row r="12630" spans="39:45">
      <c r="AM12630" s="54">
        <v>2020</v>
      </c>
      <c r="AN12630" s="54" t="s">
        <v>187</v>
      </c>
      <c r="AO12630" s="54">
        <v>10</v>
      </c>
      <c r="AP12630" s="54">
        <v>4</v>
      </c>
      <c r="AQ12630" s="54">
        <v>0</v>
      </c>
      <c r="AR12630" s="55">
        <v>28500</v>
      </c>
      <c r="AS12630" s="78">
        <f t="shared" si="201"/>
        <v>0</v>
      </c>
    </row>
    <row r="12631" spans="39:45">
      <c r="AM12631" s="55">
        <v>2020</v>
      </c>
      <c r="AN12631" s="55" t="s">
        <v>187</v>
      </c>
      <c r="AO12631" s="55">
        <v>10</v>
      </c>
      <c r="AP12631" s="55">
        <v>5</v>
      </c>
      <c r="AQ12631" s="55">
        <v>140.5</v>
      </c>
      <c r="AR12631" s="55">
        <v>28500</v>
      </c>
      <c r="AS12631" s="78">
        <f t="shared" si="201"/>
        <v>4.9298245614035089E-3</v>
      </c>
    </row>
    <row r="12632" spans="39:45">
      <c r="AM12632" s="54">
        <v>2020</v>
      </c>
      <c r="AN12632" s="54" t="s">
        <v>187</v>
      </c>
      <c r="AO12632" s="54">
        <v>10</v>
      </c>
      <c r="AP12632" s="54">
        <v>6</v>
      </c>
      <c r="AQ12632" s="54">
        <v>922.5</v>
      </c>
      <c r="AR12632" s="55">
        <v>28500</v>
      </c>
      <c r="AS12632" s="78">
        <f t="shared" si="201"/>
        <v>3.2368421052631581E-2</v>
      </c>
    </row>
    <row r="12633" spans="39:45">
      <c r="AM12633" s="55">
        <v>2020</v>
      </c>
      <c r="AN12633" s="55" t="s">
        <v>187</v>
      </c>
      <c r="AO12633" s="55">
        <v>10</v>
      </c>
      <c r="AP12633" s="55">
        <v>7</v>
      </c>
      <c r="AQ12633" s="55">
        <v>2950.5</v>
      </c>
      <c r="AR12633" s="55">
        <v>28500</v>
      </c>
      <c r="AS12633" s="78">
        <f t="shared" si="201"/>
        <v>0.10352631578947369</v>
      </c>
    </row>
    <row r="12634" spans="39:45">
      <c r="AM12634" s="54">
        <v>2020</v>
      </c>
      <c r="AN12634" s="54" t="s">
        <v>187</v>
      </c>
      <c r="AO12634" s="54">
        <v>10</v>
      </c>
      <c r="AP12634" s="54">
        <v>8</v>
      </c>
      <c r="AQ12634" s="54">
        <v>5678.5</v>
      </c>
      <c r="AR12634" s="55">
        <v>28500</v>
      </c>
      <c r="AS12634" s="78">
        <f t="shared" si="201"/>
        <v>0.19924561403508773</v>
      </c>
    </row>
    <row r="12635" spans="39:45">
      <c r="AM12635" s="55">
        <v>2020</v>
      </c>
      <c r="AN12635" s="55" t="s">
        <v>187</v>
      </c>
      <c r="AO12635" s="55">
        <v>10</v>
      </c>
      <c r="AP12635" s="55">
        <v>9</v>
      </c>
      <c r="AQ12635" s="55">
        <v>4277.5</v>
      </c>
      <c r="AR12635" s="55">
        <v>28500</v>
      </c>
      <c r="AS12635" s="78">
        <f t="shared" si="201"/>
        <v>0.1500877192982456</v>
      </c>
    </row>
    <row r="12636" spans="39:45">
      <c r="AM12636" s="54">
        <v>2020</v>
      </c>
      <c r="AN12636" s="54" t="s">
        <v>187</v>
      </c>
      <c r="AO12636" s="54">
        <v>10</v>
      </c>
      <c r="AP12636" s="54">
        <v>10</v>
      </c>
      <c r="AQ12636" s="54">
        <v>5613.5</v>
      </c>
      <c r="AR12636" s="55">
        <v>28500</v>
      </c>
      <c r="AS12636" s="78">
        <f t="shared" si="201"/>
        <v>0.19696491228070176</v>
      </c>
    </row>
    <row r="12637" spans="39:45">
      <c r="AM12637" s="55">
        <v>2020</v>
      </c>
      <c r="AN12637" s="55" t="s">
        <v>187</v>
      </c>
      <c r="AO12637" s="55">
        <v>10</v>
      </c>
      <c r="AP12637" s="55">
        <v>11</v>
      </c>
      <c r="AQ12637" s="55">
        <v>6955.5</v>
      </c>
      <c r="AR12637" s="55">
        <v>28500</v>
      </c>
      <c r="AS12637" s="78">
        <f t="shared" si="201"/>
        <v>0.24405263157894738</v>
      </c>
    </row>
    <row r="12638" spans="39:45">
      <c r="AM12638" s="54">
        <v>2020</v>
      </c>
      <c r="AN12638" s="54" t="s">
        <v>187</v>
      </c>
      <c r="AO12638" s="54">
        <v>10</v>
      </c>
      <c r="AP12638" s="54">
        <v>12</v>
      </c>
      <c r="AQ12638" s="54">
        <v>4014</v>
      </c>
      <c r="AR12638" s="55">
        <v>28500</v>
      </c>
      <c r="AS12638" s="78">
        <f t="shared" si="201"/>
        <v>0.14084210526315791</v>
      </c>
    </row>
    <row r="12639" spans="39:45">
      <c r="AM12639" s="55">
        <v>2020</v>
      </c>
      <c r="AN12639" s="55" t="s">
        <v>187</v>
      </c>
      <c r="AO12639" s="55">
        <v>10</v>
      </c>
      <c r="AP12639" s="55">
        <v>13</v>
      </c>
      <c r="AQ12639" s="55">
        <v>5401.5</v>
      </c>
      <c r="AR12639" s="55">
        <v>28500</v>
      </c>
      <c r="AS12639" s="78">
        <f t="shared" si="201"/>
        <v>0.18952631578947368</v>
      </c>
    </row>
    <row r="12640" spans="39:45">
      <c r="AM12640" s="54">
        <v>2020</v>
      </c>
      <c r="AN12640" s="54" t="s">
        <v>187</v>
      </c>
      <c r="AO12640" s="54">
        <v>10</v>
      </c>
      <c r="AP12640" s="54">
        <v>14</v>
      </c>
      <c r="AQ12640" s="54">
        <v>9288</v>
      </c>
      <c r="AR12640" s="55">
        <v>28500</v>
      </c>
      <c r="AS12640" s="78">
        <f t="shared" si="201"/>
        <v>0.32589473684210524</v>
      </c>
    </row>
    <row r="12641" spans="39:45">
      <c r="AM12641" s="55">
        <v>2020</v>
      </c>
      <c r="AN12641" s="55" t="s">
        <v>187</v>
      </c>
      <c r="AO12641" s="55">
        <v>10</v>
      </c>
      <c r="AP12641" s="55">
        <v>15</v>
      </c>
      <c r="AQ12641" s="55">
        <v>5407.5</v>
      </c>
      <c r="AR12641" s="55">
        <v>28500</v>
      </c>
      <c r="AS12641" s="78">
        <f t="shared" si="201"/>
        <v>0.18973684210526315</v>
      </c>
    </row>
    <row r="12642" spans="39:45">
      <c r="AM12642" s="54">
        <v>2020</v>
      </c>
      <c r="AN12642" s="54" t="s">
        <v>187</v>
      </c>
      <c r="AO12642" s="54">
        <v>10</v>
      </c>
      <c r="AP12642" s="54">
        <v>16</v>
      </c>
      <c r="AQ12642" s="54">
        <v>3570.5</v>
      </c>
      <c r="AR12642" s="55">
        <v>28500</v>
      </c>
      <c r="AS12642" s="78">
        <f t="shared" si="201"/>
        <v>0.12528070175438596</v>
      </c>
    </row>
    <row r="12643" spans="39:45">
      <c r="AM12643" s="55">
        <v>2020</v>
      </c>
      <c r="AN12643" s="55" t="s">
        <v>187</v>
      </c>
      <c r="AO12643" s="55">
        <v>10</v>
      </c>
      <c r="AP12643" s="55">
        <v>17</v>
      </c>
      <c r="AQ12643" s="55">
        <v>4178</v>
      </c>
      <c r="AR12643" s="55">
        <v>28500</v>
      </c>
      <c r="AS12643" s="78">
        <f t="shared" si="201"/>
        <v>0.14659649122807017</v>
      </c>
    </row>
    <row r="12644" spans="39:45">
      <c r="AM12644" s="54">
        <v>2020</v>
      </c>
      <c r="AN12644" s="54" t="s">
        <v>187</v>
      </c>
      <c r="AO12644" s="54">
        <v>10</v>
      </c>
      <c r="AP12644" s="54">
        <v>18</v>
      </c>
      <c r="AQ12644" s="54">
        <v>2449</v>
      </c>
      <c r="AR12644" s="55">
        <v>28500</v>
      </c>
      <c r="AS12644" s="78">
        <f t="shared" si="201"/>
        <v>8.5929824561403509E-2</v>
      </c>
    </row>
    <row r="12645" spans="39:45">
      <c r="AM12645" s="55">
        <v>2020</v>
      </c>
      <c r="AN12645" s="55" t="s">
        <v>187</v>
      </c>
      <c r="AO12645" s="55">
        <v>10</v>
      </c>
      <c r="AP12645" s="55">
        <v>19</v>
      </c>
      <c r="AQ12645" s="55">
        <v>707</v>
      </c>
      <c r="AR12645" s="55">
        <v>28500</v>
      </c>
      <c r="AS12645" s="78">
        <f t="shared" si="201"/>
        <v>2.4807017543859649E-2</v>
      </c>
    </row>
    <row r="12646" spans="39:45">
      <c r="AM12646" s="54">
        <v>2020</v>
      </c>
      <c r="AN12646" s="54" t="s">
        <v>187</v>
      </c>
      <c r="AO12646" s="54">
        <v>10</v>
      </c>
      <c r="AP12646" s="54">
        <v>20</v>
      </c>
      <c r="AQ12646" s="54">
        <v>0</v>
      </c>
      <c r="AR12646" s="55">
        <v>28500</v>
      </c>
      <c r="AS12646" s="78">
        <f t="shared" si="201"/>
        <v>0</v>
      </c>
    </row>
    <row r="12647" spans="39:45">
      <c r="AM12647" s="55">
        <v>2020</v>
      </c>
      <c r="AN12647" s="55" t="s">
        <v>187</v>
      </c>
      <c r="AO12647" s="55">
        <v>10</v>
      </c>
      <c r="AP12647" s="55">
        <v>21</v>
      </c>
      <c r="AQ12647" s="55">
        <v>0</v>
      </c>
      <c r="AR12647" s="55">
        <v>28500</v>
      </c>
      <c r="AS12647" s="78">
        <f t="shared" si="201"/>
        <v>0</v>
      </c>
    </row>
    <row r="12648" spans="39:45">
      <c r="AM12648" s="54">
        <v>2020</v>
      </c>
      <c r="AN12648" s="54" t="s">
        <v>187</v>
      </c>
      <c r="AO12648" s="54">
        <v>10</v>
      </c>
      <c r="AP12648" s="54">
        <v>22</v>
      </c>
      <c r="AQ12648" s="54">
        <v>0</v>
      </c>
      <c r="AR12648" s="55">
        <v>28500</v>
      </c>
      <c r="AS12648" s="78">
        <f t="shared" si="201"/>
        <v>0</v>
      </c>
    </row>
    <row r="12649" spans="39:45">
      <c r="AM12649" s="55">
        <v>2020</v>
      </c>
      <c r="AN12649" s="55" t="s">
        <v>187</v>
      </c>
      <c r="AO12649" s="55">
        <v>10</v>
      </c>
      <c r="AP12649" s="55">
        <v>23</v>
      </c>
      <c r="AQ12649" s="55">
        <v>0</v>
      </c>
      <c r="AR12649" s="55">
        <v>28500</v>
      </c>
      <c r="AS12649" s="78">
        <f t="shared" si="201"/>
        <v>0</v>
      </c>
    </row>
    <row r="12650" spans="39:45">
      <c r="AM12650" s="54">
        <v>2020</v>
      </c>
      <c r="AN12650" s="54" t="s">
        <v>187</v>
      </c>
      <c r="AO12650" s="54">
        <v>11</v>
      </c>
      <c r="AP12650" s="54">
        <v>24</v>
      </c>
      <c r="AQ12650" s="54">
        <v>0</v>
      </c>
      <c r="AR12650" s="55">
        <v>28500</v>
      </c>
      <c r="AS12650" s="78">
        <f t="shared" si="201"/>
        <v>0</v>
      </c>
    </row>
    <row r="12651" spans="39:45">
      <c r="AM12651" s="55">
        <v>2020</v>
      </c>
      <c r="AN12651" s="55" t="s">
        <v>187</v>
      </c>
      <c r="AO12651" s="55">
        <v>11</v>
      </c>
      <c r="AP12651" s="55">
        <v>1</v>
      </c>
      <c r="AQ12651" s="55">
        <v>0</v>
      </c>
      <c r="AR12651" s="55">
        <v>28500</v>
      </c>
      <c r="AS12651" s="78">
        <f t="shared" si="201"/>
        <v>0</v>
      </c>
    </row>
    <row r="12652" spans="39:45">
      <c r="AM12652" s="54">
        <v>2020</v>
      </c>
      <c r="AN12652" s="54" t="s">
        <v>187</v>
      </c>
      <c r="AO12652" s="54">
        <v>11</v>
      </c>
      <c r="AP12652" s="54">
        <v>2</v>
      </c>
      <c r="AQ12652" s="54">
        <v>0</v>
      </c>
      <c r="AR12652" s="55">
        <v>28500</v>
      </c>
      <c r="AS12652" s="78">
        <f t="shared" si="201"/>
        <v>0</v>
      </c>
    </row>
    <row r="12653" spans="39:45">
      <c r="AM12653" s="55">
        <v>2020</v>
      </c>
      <c r="AN12653" s="55" t="s">
        <v>187</v>
      </c>
      <c r="AO12653" s="55">
        <v>11</v>
      </c>
      <c r="AP12653" s="55">
        <v>3</v>
      </c>
      <c r="AQ12653" s="55">
        <v>0</v>
      </c>
      <c r="AR12653" s="55">
        <v>28500</v>
      </c>
      <c r="AS12653" s="78">
        <f t="shared" si="201"/>
        <v>0</v>
      </c>
    </row>
    <row r="12654" spans="39:45">
      <c r="AM12654" s="54">
        <v>2020</v>
      </c>
      <c r="AN12654" s="54" t="s">
        <v>187</v>
      </c>
      <c r="AO12654" s="54">
        <v>11</v>
      </c>
      <c r="AP12654" s="54">
        <v>4</v>
      </c>
      <c r="AQ12654" s="54">
        <v>0</v>
      </c>
      <c r="AR12654" s="55">
        <v>28500</v>
      </c>
      <c r="AS12654" s="78">
        <f t="shared" si="201"/>
        <v>0</v>
      </c>
    </row>
    <row r="12655" spans="39:45">
      <c r="AM12655" s="55">
        <v>2020</v>
      </c>
      <c r="AN12655" s="55" t="s">
        <v>187</v>
      </c>
      <c r="AO12655" s="55">
        <v>11</v>
      </c>
      <c r="AP12655" s="55">
        <v>5</v>
      </c>
      <c r="AQ12655" s="55">
        <v>1987</v>
      </c>
      <c r="AR12655" s="55">
        <v>28500</v>
      </c>
      <c r="AS12655" s="78">
        <f t="shared" si="201"/>
        <v>6.9719298245614042E-2</v>
      </c>
    </row>
    <row r="12656" spans="39:45">
      <c r="AM12656" s="54">
        <v>2020</v>
      </c>
      <c r="AN12656" s="54" t="s">
        <v>187</v>
      </c>
      <c r="AO12656" s="54">
        <v>11</v>
      </c>
      <c r="AP12656" s="54">
        <v>6</v>
      </c>
      <c r="AQ12656" s="54">
        <v>4972.5</v>
      </c>
      <c r="AR12656" s="55">
        <v>28500</v>
      </c>
      <c r="AS12656" s="78">
        <f t="shared" si="201"/>
        <v>0.17447368421052631</v>
      </c>
    </row>
    <row r="12657" spans="39:45">
      <c r="AM12657" s="55">
        <v>2020</v>
      </c>
      <c r="AN12657" s="55" t="s">
        <v>187</v>
      </c>
      <c r="AO12657" s="55">
        <v>11</v>
      </c>
      <c r="AP12657" s="55">
        <v>7</v>
      </c>
      <c r="AQ12657" s="55">
        <v>2381</v>
      </c>
      <c r="AR12657" s="55">
        <v>28500</v>
      </c>
      <c r="AS12657" s="78">
        <f t="shared" si="201"/>
        <v>8.3543859649122809E-2</v>
      </c>
    </row>
    <row r="12658" spans="39:45">
      <c r="AM12658" s="54">
        <v>2020</v>
      </c>
      <c r="AN12658" s="54" t="s">
        <v>187</v>
      </c>
      <c r="AO12658" s="54">
        <v>11</v>
      </c>
      <c r="AP12658" s="54">
        <v>8</v>
      </c>
      <c r="AQ12658" s="54">
        <v>9851</v>
      </c>
      <c r="AR12658" s="55">
        <v>28500</v>
      </c>
      <c r="AS12658" s="78">
        <f t="shared" si="201"/>
        <v>0.34564912280701754</v>
      </c>
    </row>
    <row r="12659" spans="39:45">
      <c r="AM12659" s="55">
        <v>2020</v>
      </c>
      <c r="AN12659" s="55" t="s">
        <v>187</v>
      </c>
      <c r="AO12659" s="55">
        <v>11</v>
      </c>
      <c r="AP12659" s="55">
        <v>9</v>
      </c>
      <c r="AQ12659" s="55">
        <v>4197.5</v>
      </c>
      <c r="AR12659" s="55">
        <v>28500</v>
      </c>
      <c r="AS12659" s="78">
        <f t="shared" si="201"/>
        <v>0.14728070175438596</v>
      </c>
    </row>
    <row r="12660" spans="39:45">
      <c r="AM12660" s="54">
        <v>2020</v>
      </c>
      <c r="AN12660" s="54" t="s">
        <v>187</v>
      </c>
      <c r="AO12660" s="54">
        <v>11</v>
      </c>
      <c r="AP12660" s="54">
        <v>10</v>
      </c>
      <c r="AQ12660" s="54">
        <v>2307.5</v>
      </c>
      <c r="AR12660" s="55">
        <v>28500</v>
      </c>
      <c r="AS12660" s="78">
        <f t="shared" si="201"/>
        <v>8.0964912280701753E-2</v>
      </c>
    </row>
    <row r="12661" spans="39:45">
      <c r="AM12661" s="55">
        <v>2020</v>
      </c>
      <c r="AN12661" s="55" t="s">
        <v>187</v>
      </c>
      <c r="AO12661" s="55">
        <v>11</v>
      </c>
      <c r="AP12661" s="55">
        <v>11</v>
      </c>
      <c r="AQ12661" s="55">
        <v>3668.5</v>
      </c>
      <c r="AR12661" s="55">
        <v>28500</v>
      </c>
      <c r="AS12661" s="78">
        <f t="shared" si="201"/>
        <v>0.12871929824561404</v>
      </c>
    </row>
    <row r="12662" spans="39:45">
      <c r="AM12662" s="54">
        <v>2020</v>
      </c>
      <c r="AN12662" s="54" t="s">
        <v>187</v>
      </c>
      <c r="AO12662" s="54">
        <v>11</v>
      </c>
      <c r="AP12662" s="54">
        <v>12</v>
      </c>
      <c r="AQ12662" s="54">
        <v>4779</v>
      </c>
      <c r="AR12662" s="55">
        <v>28500</v>
      </c>
      <c r="AS12662" s="78">
        <f t="shared" si="201"/>
        <v>0.1676842105263158</v>
      </c>
    </row>
    <row r="12663" spans="39:45">
      <c r="AM12663" s="55">
        <v>2020</v>
      </c>
      <c r="AN12663" s="55" t="s">
        <v>187</v>
      </c>
      <c r="AO12663" s="55">
        <v>11</v>
      </c>
      <c r="AP12663" s="55">
        <v>13</v>
      </c>
      <c r="AQ12663" s="55">
        <v>26618</v>
      </c>
      <c r="AR12663" s="55">
        <v>28500</v>
      </c>
      <c r="AS12663" s="78">
        <f t="shared" si="201"/>
        <v>0.93396491228070178</v>
      </c>
    </row>
    <row r="12664" spans="39:45">
      <c r="AM12664" s="54">
        <v>2020</v>
      </c>
      <c r="AN12664" s="54" t="s">
        <v>187</v>
      </c>
      <c r="AO12664" s="54">
        <v>11</v>
      </c>
      <c r="AP12664" s="54">
        <v>14</v>
      </c>
      <c r="AQ12664" s="54">
        <v>30536.5</v>
      </c>
      <c r="AR12664" s="55">
        <v>28500</v>
      </c>
      <c r="AS12664" s="78">
        <f t="shared" si="201"/>
        <v>1.0714561403508771</v>
      </c>
    </row>
    <row r="12665" spans="39:45">
      <c r="AM12665" s="55">
        <v>2020</v>
      </c>
      <c r="AN12665" s="55" t="s">
        <v>187</v>
      </c>
      <c r="AO12665" s="55">
        <v>11</v>
      </c>
      <c r="AP12665" s="55">
        <v>15</v>
      </c>
      <c r="AQ12665" s="55">
        <v>16146</v>
      </c>
      <c r="AR12665" s="55">
        <v>28500</v>
      </c>
      <c r="AS12665" s="78">
        <f t="shared" si="201"/>
        <v>0.56652631578947366</v>
      </c>
    </row>
    <row r="12666" spans="39:45">
      <c r="AM12666" s="54">
        <v>2020</v>
      </c>
      <c r="AN12666" s="54" t="s">
        <v>187</v>
      </c>
      <c r="AO12666" s="54">
        <v>11</v>
      </c>
      <c r="AP12666" s="54">
        <v>16</v>
      </c>
      <c r="AQ12666" s="54">
        <v>5984.5</v>
      </c>
      <c r="AR12666" s="55">
        <v>28500</v>
      </c>
      <c r="AS12666" s="78">
        <f t="shared" si="201"/>
        <v>0.20998245614035088</v>
      </c>
    </row>
    <row r="12667" spans="39:45">
      <c r="AM12667" s="55">
        <v>2020</v>
      </c>
      <c r="AN12667" s="55" t="s">
        <v>187</v>
      </c>
      <c r="AO12667" s="55">
        <v>11</v>
      </c>
      <c r="AP12667" s="55">
        <v>17</v>
      </c>
      <c r="AQ12667" s="55">
        <v>6266</v>
      </c>
      <c r="AR12667" s="55">
        <v>28500</v>
      </c>
      <c r="AS12667" s="78">
        <f t="shared" si="201"/>
        <v>0.219859649122807</v>
      </c>
    </row>
    <row r="12668" spans="39:45">
      <c r="AM12668" s="54">
        <v>2020</v>
      </c>
      <c r="AN12668" s="54" t="s">
        <v>187</v>
      </c>
      <c r="AO12668" s="54">
        <v>11</v>
      </c>
      <c r="AP12668" s="54">
        <v>18</v>
      </c>
      <c r="AQ12668" s="54">
        <v>1174.5</v>
      </c>
      <c r="AR12668" s="55">
        <v>28500</v>
      </c>
      <c r="AS12668" s="78">
        <f t="shared" si="201"/>
        <v>4.1210526315789475E-2</v>
      </c>
    </row>
    <row r="12669" spans="39:45">
      <c r="AM12669" s="55">
        <v>2020</v>
      </c>
      <c r="AN12669" s="55" t="s">
        <v>187</v>
      </c>
      <c r="AO12669" s="55">
        <v>11</v>
      </c>
      <c r="AP12669" s="55">
        <v>19</v>
      </c>
      <c r="AQ12669" s="55">
        <v>116</v>
      </c>
      <c r="AR12669" s="55">
        <v>28500</v>
      </c>
      <c r="AS12669" s="78">
        <f t="shared" si="201"/>
        <v>4.0701754385964913E-3</v>
      </c>
    </row>
    <row r="12670" spans="39:45">
      <c r="AM12670" s="54">
        <v>2020</v>
      </c>
      <c r="AN12670" s="54" t="s">
        <v>187</v>
      </c>
      <c r="AO12670" s="54">
        <v>11</v>
      </c>
      <c r="AP12670" s="54">
        <v>20</v>
      </c>
      <c r="AQ12670" s="54">
        <v>0</v>
      </c>
      <c r="AR12670" s="55">
        <v>28500</v>
      </c>
      <c r="AS12670" s="78">
        <f t="shared" si="201"/>
        <v>0</v>
      </c>
    </row>
    <row r="12671" spans="39:45">
      <c r="AM12671" s="55">
        <v>2020</v>
      </c>
      <c r="AN12671" s="55" t="s">
        <v>187</v>
      </c>
      <c r="AO12671" s="55">
        <v>11</v>
      </c>
      <c r="AP12671" s="55">
        <v>21</v>
      </c>
      <c r="AQ12671" s="55">
        <v>0</v>
      </c>
      <c r="AR12671" s="55">
        <v>28500</v>
      </c>
      <c r="AS12671" s="78">
        <f t="shared" si="201"/>
        <v>0</v>
      </c>
    </row>
    <row r="12672" spans="39:45">
      <c r="AM12672" s="54">
        <v>2020</v>
      </c>
      <c r="AN12672" s="54" t="s">
        <v>187</v>
      </c>
      <c r="AO12672" s="54">
        <v>11</v>
      </c>
      <c r="AP12672" s="54">
        <v>22</v>
      </c>
      <c r="AQ12672" s="54">
        <v>0</v>
      </c>
      <c r="AR12672" s="55">
        <v>28500</v>
      </c>
      <c r="AS12672" s="78">
        <f t="shared" si="201"/>
        <v>0</v>
      </c>
    </row>
    <row r="12673" spans="39:45">
      <c r="AM12673" s="55">
        <v>2020</v>
      </c>
      <c r="AN12673" s="55" t="s">
        <v>187</v>
      </c>
      <c r="AO12673" s="55">
        <v>11</v>
      </c>
      <c r="AP12673" s="55">
        <v>23</v>
      </c>
      <c r="AQ12673" s="55">
        <v>0</v>
      </c>
      <c r="AR12673" s="55">
        <v>28500</v>
      </c>
      <c r="AS12673" s="78">
        <f t="shared" si="201"/>
        <v>0</v>
      </c>
    </row>
    <row r="12674" spans="39:45">
      <c r="AM12674" s="54">
        <v>2020</v>
      </c>
      <c r="AN12674" s="54" t="s">
        <v>187</v>
      </c>
      <c r="AO12674" s="54">
        <v>12</v>
      </c>
      <c r="AP12674" s="54">
        <v>24</v>
      </c>
      <c r="AQ12674" s="54">
        <v>0</v>
      </c>
      <c r="AR12674" s="55">
        <v>28500</v>
      </c>
      <c r="AS12674" s="78">
        <f t="shared" ref="AS12674:AS12737" si="202">AQ12674/AR12674</f>
        <v>0</v>
      </c>
    </row>
    <row r="12675" spans="39:45">
      <c r="AM12675" s="55">
        <v>2020</v>
      </c>
      <c r="AN12675" s="55" t="s">
        <v>187</v>
      </c>
      <c r="AO12675" s="55">
        <v>12</v>
      </c>
      <c r="AP12675" s="55">
        <v>1</v>
      </c>
      <c r="AQ12675" s="55">
        <v>0</v>
      </c>
      <c r="AR12675" s="55">
        <v>28500</v>
      </c>
      <c r="AS12675" s="78">
        <f t="shared" si="202"/>
        <v>0</v>
      </c>
    </row>
    <row r="12676" spans="39:45">
      <c r="AM12676" s="54">
        <v>2020</v>
      </c>
      <c r="AN12676" s="54" t="s">
        <v>187</v>
      </c>
      <c r="AO12676" s="54">
        <v>12</v>
      </c>
      <c r="AP12676" s="54">
        <v>2</v>
      </c>
      <c r="AQ12676" s="54">
        <v>0</v>
      </c>
      <c r="AR12676" s="55">
        <v>28500</v>
      </c>
      <c r="AS12676" s="78">
        <f t="shared" si="202"/>
        <v>0</v>
      </c>
    </row>
    <row r="12677" spans="39:45">
      <c r="AM12677" s="55">
        <v>2020</v>
      </c>
      <c r="AN12677" s="55" t="s">
        <v>187</v>
      </c>
      <c r="AO12677" s="55">
        <v>12</v>
      </c>
      <c r="AP12677" s="55">
        <v>3</v>
      </c>
      <c r="AQ12677" s="55">
        <v>0</v>
      </c>
      <c r="AR12677" s="55">
        <v>28500</v>
      </c>
      <c r="AS12677" s="78">
        <f t="shared" si="202"/>
        <v>0</v>
      </c>
    </row>
    <row r="12678" spans="39:45">
      <c r="AM12678" s="54">
        <v>2020</v>
      </c>
      <c r="AN12678" s="54" t="s">
        <v>187</v>
      </c>
      <c r="AO12678" s="54">
        <v>12</v>
      </c>
      <c r="AP12678" s="54">
        <v>4</v>
      </c>
      <c r="AQ12678" s="54">
        <v>0</v>
      </c>
      <c r="AR12678" s="55">
        <v>28500</v>
      </c>
      <c r="AS12678" s="78">
        <f t="shared" si="202"/>
        <v>0</v>
      </c>
    </row>
    <row r="12679" spans="39:45">
      <c r="AM12679" s="55">
        <v>2020</v>
      </c>
      <c r="AN12679" s="55" t="s">
        <v>187</v>
      </c>
      <c r="AO12679" s="55">
        <v>12</v>
      </c>
      <c r="AP12679" s="55">
        <v>5</v>
      </c>
      <c r="AQ12679" s="55">
        <v>1902</v>
      </c>
      <c r="AR12679" s="55">
        <v>28500</v>
      </c>
      <c r="AS12679" s="78">
        <f t="shared" si="202"/>
        <v>6.6736842105263164E-2</v>
      </c>
    </row>
    <row r="12680" spans="39:45">
      <c r="AM12680" s="54">
        <v>2020</v>
      </c>
      <c r="AN12680" s="54" t="s">
        <v>187</v>
      </c>
      <c r="AO12680" s="54">
        <v>12</v>
      </c>
      <c r="AP12680" s="54">
        <v>6</v>
      </c>
      <c r="AQ12680" s="54">
        <v>4296</v>
      </c>
      <c r="AR12680" s="55">
        <v>28500</v>
      </c>
      <c r="AS12680" s="78">
        <f t="shared" si="202"/>
        <v>0.15073684210526317</v>
      </c>
    </row>
    <row r="12681" spans="39:45">
      <c r="AM12681" s="55">
        <v>2020</v>
      </c>
      <c r="AN12681" s="55" t="s">
        <v>187</v>
      </c>
      <c r="AO12681" s="55">
        <v>12</v>
      </c>
      <c r="AP12681" s="55">
        <v>7</v>
      </c>
      <c r="AQ12681" s="55">
        <v>6615.5</v>
      </c>
      <c r="AR12681" s="55">
        <v>28500</v>
      </c>
      <c r="AS12681" s="78">
        <f t="shared" si="202"/>
        <v>0.23212280701754387</v>
      </c>
    </row>
    <row r="12682" spans="39:45">
      <c r="AM12682" s="54">
        <v>2020</v>
      </c>
      <c r="AN12682" s="54" t="s">
        <v>187</v>
      </c>
      <c r="AO12682" s="54">
        <v>12</v>
      </c>
      <c r="AP12682" s="54">
        <v>8</v>
      </c>
      <c r="AQ12682" s="54">
        <v>15172.5</v>
      </c>
      <c r="AR12682" s="55">
        <v>28500</v>
      </c>
      <c r="AS12682" s="78">
        <f t="shared" si="202"/>
        <v>0.5323684210526316</v>
      </c>
    </row>
    <row r="12683" spans="39:45">
      <c r="AM12683" s="55">
        <v>2020</v>
      </c>
      <c r="AN12683" s="55" t="s">
        <v>187</v>
      </c>
      <c r="AO12683" s="55">
        <v>12</v>
      </c>
      <c r="AP12683" s="55">
        <v>9</v>
      </c>
      <c r="AQ12683" s="55">
        <v>19143</v>
      </c>
      <c r="AR12683" s="55">
        <v>28500</v>
      </c>
      <c r="AS12683" s="78">
        <f t="shared" si="202"/>
        <v>0.67168421052631577</v>
      </c>
    </row>
    <row r="12684" spans="39:45">
      <c r="AM12684" s="54">
        <v>2020</v>
      </c>
      <c r="AN12684" s="54" t="s">
        <v>187</v>
      </c>
      <c r="AO12684" s="54">
        <v>12</v>
      </c>
      <c r="AP12684" s="54">
        <v>10</v>
      </c>
      <c r="AQ12684" s="54">
        <v>15421.5</v>
      </c>
      <c r="AR12684" s="55">
        <v>28500</v>
      </c>
      <c r="AS12684" s="78">
        <f t="shared" si="202"/>
        <v>0.54110526315789476</v>
      </c>
    </row>
    <row r="12685" spans="39:45">
      <c r="AM12685" s="55">
        <v>2020</v>
      </c>
      <c r="AN12685" s="55" t="s">
        <v>187</v>
      </c>
      <c r="AO12685" s="55">
        <v>12</v>
      </c>
      <c r="AP12685" s="55">
        <v>11</v>
      </c>
      <c r="AQ12685" s="55">
        <v>5394</v>
      </c>
      <c r="AR12685" s="55">
        <v>28500</v>
      </c>
      <c r="AS12685" s="78">
        <f t="shared" si="202"/>
        <v>0.18926315789473686</v>
      </c>
    </row>
    <row r="12686" spans="39:45">
      <c r="AM12686" s="54">
        <v>2020</v>
      </c>
      <c r="AN12686" s="54" t="s">
        <v>187</v>
      </c>
      <c r="AO12686" s="54">
        <v>12</v>
      </c>
      <c r="AP12686" s="54">
        <v>12</v>
      </c>
      <c r="AQ12686" s="54">
        <v>5597</v>
      </c>
      <c r="AR12686" s="55">
        <v>28500</v>
      </c>
      <c r="AS12686" s="78">
        <f t="shared" si="202"/>
        <v>0.19638596491228069</v>
      </c>
    </row>
    <row r="12687" spans="39:45">
      <c r="AM12687" s="55">
        <v>2020</v>
      </c>
      <c r="AN12687" s="55" t="s">
        <v>187</v>
      </c>
      <c r="AO12687" s="55">
        <v>12</v>
      </c>
      <c r="AP12687" s="55">
        <v>13</v>
      </c>
      <c r="AQ12687" s="55">
        <v>7678.5</v>
      </c>
      <c r="AR12687" s="55">
        <v>28500</v>
      </c>
      <c r="AS12687" s="78">
        <f t="shared" si="202"/>
        <v>0.26942105263157895</v>
      </c>
    </row>
    <row r="12688" spans="39:45">
      <c r="AM12688" s="54">
        <v>2020</v>
      </c>
      <c r="AN12688" s="54" t="s">
        <v>187</v>
      </c>
      <c r="AO12688" s="54">
        <v>12</v>
      </c>
      <c r="AP12688" s="54">
        <v>14</v>
      </c>
      <c r="AQ12688" s="54">
        <v>3603</v>
      </c>
      <c r="AR12688" s="55">
        <v>28500</v>
      </c>
      <c r="AS12688" s="78">
        <f t="shared" si="202"/>
        <v>0.12642105263157893</v>
      </c>
    </row>
    <row r="12689" spans="39:45">
      <c r="AM12689" s="55">
        <v>2020</v>
      </c>
      <c r="AN12689" s="55" t="s">
        <v>187</v>
      </c>
      <c r="AO12689" s="55">
        <v>12</v>
      </c>
      <c r="AP12689" s="55">
        <v>15</v>
      </c>
      <c r="AQ12689" s="55">
        <v>3159</v>
      </c>
      <c r="AR12689" s="55">
        <v>28500</v>
      </c>
      <c r="AS12689" s="78">
        <f t="shared" si="202"/>
        <v>0.11084210526315789</v>
      </c>
    </row>
    <row r="12690" spans="39:45">
      <c r="AM12690" s="54">
        <v>2020</v>
      </c>
      <c r="AN12690" s="54" t="s">
        <v>187</v>
      </c>
      <c r="AO12690" s="54">
        <v>12</v>
      </c>
      <c r="AP12690" s="54">
        <v>16</v>
      </c>
      <c r="AQ12690" s="54">
        <v>3720</v>
      </c>
      <c r="AR12690" s="55">
        <v>28500</v>
      </c>
      <c r="AS12690" s="78">
        <f t="shared" si="202"/>
        <v>0.13052631578947368</v>
      </c>
    </row>
    <row r="12691" spans="39:45">
      <c r="AM12691" s="55">
        <v>2020</v>
      </c>
      <c r="AN12691" s="55" t="s">
        <v>187</v>
      </c>
      <c r="AO12691" s="55">
        <v>12</v>
      </c>
      <c r="AP12691" s="55">
        <v>17</v>
      </c>
      <c r="AQ12691" s="55">
        <v>2748.5</v>
      </c>
      <c r="AR12691" s="55">
        <v>28500</v>
      </c>
      <c r="AS12691" s="78">
        <f t="shared" si="202"/>
        <v>9.6438596491228074E-2</v>
      </c>
    </row>
    <row r="12692" spans="39:45">
      <c r="AM12692" s="54">
        <v>2020</v>
      </c>
      <c r="AN12692" s="54" t="s">
        <v>187</v>
      </c>
      <c r="AO12692" s="54">
        <v>12</v>
      </c>
      <c r="AP12692" s="54">
        <v>18</v>
      </c>
      <c r="AQ12692" s="54">
        <v>3119</v>
      </c>
      <c r="AR12692" s="55">
        <v>28500</v>
      </c>
      <c r="AS12692" s="78">
        <f t="shared" si="202"/>
        <v>0.10943859649122807</v>
      </c>
    </row>
    <row r="12693" spans="39:45">
      <c r="AM12693" s="55">
        <v>2020</v>
      </c>
      <c r="AN12693" s="55" t="s">
        <v>187</v>
      </c>
      <c r="AO12693" s="55">
        <v>12</v>
      </c>
      <c r="AP12693" s="55">
        <v>19</v>
      </c>
      <c r="AQ12693" s="55">
        <v>93.5</v>
      </c>
      <c r="AR12693" s="55">
        <v>28500</v>
      </c>
      <c r="AS12693" s="78">
        <f t="shared" si="202"/>
        <v>3.2807017543859647E-3</v>
      </c>
    </row>
    <row r="12694" spans="39:45">
      <c r="AM12694" s="54">
        <v>2020</v>
      </c>
      <c r="AN12694" s="54" t="s">
        <v>187</v>
      </c>
      <c r="AO12694" s="54">
        <v>12</v>
      </c>
      <c r="AP12694" s="54">
        <v>20</v>
      </c>
      <c r="AQ12694" s="54">
        <v>0</v>
      </c>
      <c r="AR12694" s="55">
        <v>28500</v>
      </c>
      <c r="AS12694" s="78">
        <f t="shared" si="202"/>
        <v>0</v>
      </c>
    </row>
    <row r="12695" spans="39:45">
      <c r="AM12695" s="55">
        <v>2020</v>
      </c>
      <c r="AN12695" s="55" t="s">
        <v>187</v>
      </c>
      <c r="AO12695" s="55">
        <v>12</v>
      </c>
      <c r="AP12695" s="55">
        <v>21</v>
      </c>
      <c r="AQ12695" s="55">
        <v>0</v>
      </c>
      <c r="AR12695" s="55">
        <v>28500</v>
      </c>
      <c r="AS12695" s="78">
        <f t="shared" si="202"/>
        <v>0</v>
      </c>
    </row>
    <row r="12696" spans="39:45">
      <c r="AM12696" s="54">
        <v>2020</v>
      </c>
      <c r="AN12696" s="54" t="s">
        <v>187</v>
      </c>
      <c r="AO12696" s="54">
        <v>12</v>
      </c>
      <c r="AP12696" s="54">
        <v>22</v>
      </c>
      <c r="AQ12696" s="54">
        <v>0</v>
      </c>
      <c r="AR12696" s="55">
        <v>28500</v>
      </c>
      <c r="AS12696" s="78">
        <f t="shared" si="202"/>
        <v>0</v>
      </c>
    </row>
    <row r="12697" spans="39:45">
      <c r="AM12697" s="55">
        <v>2020</v>
      </c>
      <c r="AN12697" s="55" t="s">
        <v>187</v>
      </c>
      <c r="AO12697" s="55">
        <v>12</v>
      </c>
      <c r="AP12697" s="55">
        <v>23</v>
      </c>
      <c r="AQ12697" s="55">
        <v>0</v>
      </c>
      <c r="AR12697" s="55">
        <v>28500</v>
      </c>
      <c r="AS12697" s="78">
        <f t="shared" si="202"/>
        <v>0</v>
      </c>
    </row>
    <row r="12698" spans="39:45">
      <c r="AM12698" s="54">
        <v>2020</v>
      </c>
      <c r="AN12698" s="54" t="s">
        <v>187</v>
      </c>
      <c r="AO12698" s="54">
        <v>13</v>
      </c>
      <c r="AP12698" s="54">
        <v>24</v>
      </c>
      <c r="AQ12698" s="54">
        <v>0</v>
      </c>
      <c r="AR12698" s="55">
        <v>28500</v>
      </c>
      <c r="AS12698" s="78">
        <f t="shared" si="202"/>
        <v>0</v>
      </c>
    </row>
    <row r="12699" spans="39:45">
      <c r="AM12699" s="55">
        <v>2020</v>
      </c>
      <c r="AN12699" s="55" t="s">
        <v>187</v>
      </c>
      <c r="AO12699" s="55">
        <v>13</v>
      </c>
      <c r="AP12699" s="55">
        <v>1</v>
      </c>
      <c r="AQ12699" s="55">
        <v>0</v>
      </c>
      <c r="AR12699" s="55">
        <v>28500</v>
      </c>
      <c r="AS12699" s="78">
        <f t="shared" si="202"/>
        <v>0</v>
      </c>
    </row>
    <row r="12700" spans="39:45">
      <c r="AM12700" s="54">
        <v>2020</v>
      </c>
      <c r="AN12700" s="54" t="s">
        <v>187</v>
      </c>
      <c r="AO12700" s="54">
        <v>13</v>
      </c>
      <c r="AP12700" s="54">
        <v>2</v>
      </c>
      <c r="AQ12700" s="54">
        <v>0</v>
      </c>
      <c r="AR12700" s="55">
        <v>28500</v>
      </c>
      <c r="AS12700" s="78">
        <f t="shared" si="202"/>
        <v>0</v>
      </c>
    </row>
    <row r="12701" spans="39:45">
      <c r="AM12701" s="55">
        <v>2020</v>
      </c>
      <c r="AN12701" s="55" t="s">
        <v>187</v>
      </c>
      <c r="AO12701" s="55">
        <v>13</v>
      </c>
      <c r="AP12701" s="55">
        <v>3</v>
      </c>
      <c r="AQ12701" s="55">
        <v>0</v>
      </c>
      <c r="AR12701" s="55">
        <v>28500</v>
      </c>
      <c r="AS12701" s="78">
        <f t="shared" si="202"/>
        <v>0</v>
      </c>
    </row>
    <row r="12702" spans="39:45">
      <c r="AM12702" s="54">
        <v>2020</v>
      </c>
      <c r="AN12702" s="54" t="s">
        <v>187</v>
      </c>
      <c r="AO12702" s="54">
        <v>13</v>
      </c>
      <c r="AP12702" s="54">
        <v>4</v>
      </c>
      <c r="AQ12702" s="54">
        <v>117.5</v>
      </c>
      <c r="AR12702" s="55">
        <v>28500</v>
      </c>
      <c r="AS12702" s="78">
        <f t="shared" si="202"/>
        <v>4.1228070175438596E-3</v>
      </c>
    </row>
    <row r="12703" spans="39:45">
      <c r="AM12703" s="55">
        <v>2020</v>
      </c>
      <c r="AN12703" s="55" t="s">
        <v>187</v>
      </c>
      <c r="AO12703" s="55">
        <v>13</v>
      </c>
      <c r="AP12703" s="55">
        <v>5</v>
      </c>
      <c r="AQ12703" s="55">
        <v>1862.5</v>
      </c>
      <c r="AR12703" s="55">
        <v>28500</v>
      </c>
      <c r="AS12703" s="78">
        <f t="shared" si="202"/>
        <v>6.5350877192982451E-2</v>
      </c>
    </row>
    <row r="12704" spans="39:45">
      <c r="AM12704" s="54">
        <v>2020</v>
      </c>
      <c r="AN12704" s="54" t="s">
        <v>187</v>
      </c>
      <c r="AO12704" s="54">
        <v>13</v>
      </c>
      <c r="AP12704" s="54">
        <v>6</v>
      </c>
      <c r="AQ12704" s="54">
        <v>1531.5</v>
      </c>
      <c r="AR12704" s="55">
        <v>28500</v>
      </c>
      <c r="AS12704" s="78">
        <f t="shared" si="202"/>
        <v>5.3736842105263159E-2</v>
      </c>
    </row>
    <row r="12705" spans="39:45">
      <c r="AM12705" s="55">
        <v>2020</v>
      </c>
      <c r="AN12705" s="55" t="s">
        <v>187</v>
      </c>
      <c r="AO12705" s="55">
        <v>13</v>
      </c>
      <c r="AP12705" s="55">
        <v>7</v>
      </c>
      <c r="AQ12705" s="55">
        <v>13155</v>
      </c>
      <c r="AR12705" s="55">
        <v>28500</v>
      </c>
      <c r="AS12705" s="78">
        <f t="shared" si="202"/>
        <v>0.46157894736842103</v>
      </c>
    </row>
    <row r="12706" spans="39:45">
      <c r="AM12706" s="54">
        <v>2020</v>
      </c>
      <c r="AN12706" s="54" t="s">
        <v>187</v>
      </c>
      <c r="AO12706" s="54">
        <v>13</v>
      </c>
      <c r="AP12706" s="54">
        <v>8</v>
      </c>
      <c r="AQ12706" s="54">
        <v>17915</v>
      </c>
      <c r="AR12706" s="55">
        <v>28500</v>
      </c>
      <c r="AS12706" s="78">
        <f t="shared" si="202"/>
        <v>0.62859649122807015</v>
      </c>
    </row>
    <row r="12707" spans="39:45">
      <c r="AM12707" s="55">
        <v>2020</v>
      </c>
      <c r="AN12707" s="55" t="s">
        <v>187</v>
      </c>
      <c r="AO12707" s="55">
        <v>13</v>
      </c>
      <c r="AP12707" s="55">
        <v>9</v>
      </c>
      <c r="AQ12707" s="55">
        <v>29880</v>
      </c>
      <c r="AR12707" s="55">
        <v>28500</v>
      </c>
      <c r="AS12707" s="78">
        <f t="shared" si="202"/>
        <v>1.0484210526315789</v>
      </c>
    </row>
    <row r="12708" spans="39:45">
      <c r="AM12708" s="54">
        <v>2020</v>
      </c>
      <c r="AN12708" s="54" t="s">
        <v>187</v>
      </c>
      <c r="AO12708" s="54">
        <v>13</v>
      </c>
      <c r="AP12708" s="54">
        <v>10</v>
      </c>
      <c r="AQ12708" s="54">
        <v>36393.5</v>
      </c>
      <c r="AR12708" s="55">
        <v>28500</v>
      </c>
      <c r="AS12708" s="78">
        <f t="shared" si="202"/>
        <v>1.2769649122807019</v>
      </c>
    </row>
    <row r="12709" spans="39:45">
      <c r="AM12709" s="55">
        <v>2020</v>
      </c>
      <c r="AN12709" s="55" t="s">
        <v>187</v>
      </c>
      <c r="AO12709" s="55">
        <v>13</v>
      </c>
      <c r="AP12709" s="55">
        <v>11</v>
      </c>
      <c r="AQ12709" s="55">
        <v>39548.5</v>
      </c>
      <c r="AR12709" s="55">
        <v>28500</v>
      </c>
      <c r="AS12709" s="78">
        <f t="shared" si="202"/>
        <v>1.3876666666666666</v>
      </c>
    </row>
    <row r="12710" spans="39:45">
      <c r="AM12710" s="54">
        <v>2020</v>
      </c>
      <c r="AN12710" s="54" t="s">
        <v>187</v>
      </c>
      <c r="AO12710" s="54">
        <v>13</v>
      </c>
      <c r="AP12710" s="54">
        <v>12</v>
      </c>
      <c r="AQ12710" s="54">
        <v>30489</v>
      </c>
      <c r="AR12710" s="55">
        <v>28500</v>
      </c>
      <c r="AS12710" s="78">
        <f t="shared" si="202"/>
        <v>1.0697894736842106</v>
      </c>
    </row>
    <row r="12711" spans="39:45">
      <c r="AM12711" s="55">
        <v>2020</v>
      </c>
      <c r="AN12711" s="55" t="s">
        <v>187</v>
      </c>
      <c r="AO12711" s="55">
        <v>13</v>
      </c>
      <c r="AP12711" s="55">
        <v>13</v>
      </c>
      <c r="AQ12711" s="55">
        <v>32220</v>
      </c>
      <c r="AR12711" s="55">
        <v>28500</v>
      </c>
      <c r="AS12711" s="78">
        <f t="shared" si="202"/>
        <v>1.1305263157894736</v>
      </c>
    </row>
    <row r="12712" spans="39:45">
      <c r="AM12712" s="54">
        <v>2020</v>
      </c>
      <c r="AN12712" s="54" t="s">
        <v>187</v>
      </c>
      <c r="AO12712" s="54">
        <v>13</v>
      </c>
      <c r="AP12712" s="54">
        <v>14</v>
      </c>
      <c r="AQ12712" s="54">
        <v>10131.5</v>
      </c>
      <c r="AR12712" s="55">
        <v>28500</v>
      </c>
      <c r="AS12712" s="78">
        <f t="shared" si="202"/>
        <v>0.35549122807017541</v>
      </c>
    </row>
    <row r="12713" spans="39:45">
      <c r="AM12713" s="55">
        <v>2020</v>
      </c>
      <c r="AN12713" s="55" t="s">
        <v>187</v>
      </c>
      <c r="AO12713" s="55">
        <v>13</v>
      </c>
      <c r="AP12713" s="55">
        <v>15</v>
      </c>
      <c r="AQ12713" s="55">
        <v>16928</v>
      </c>
      <c r="AR12713" s="55">
        <v>28500</v>
      </c>
      <c r="AS12713" s="78">
        <f t="shared" si="202"/>
        <v>0.59396491228070181</v>
      </c>
    </row>
    <row r="12714" spans="39:45">
      <c r="AM12714" s="54">
        <v>2020</v>
      </c>
      <c r="AN12714" s="54" t="s">
        <v>187</v>
      </c>
      <c r="AO12714" s="54">
        <v>13</v>
      </c>
      <c r="AP12714" s="54">
        <v>16</v>
      </c>
      <c r="AQ12714" s="54">
        <v>16621.5</v>
      </c>
      <c r="AR12714" s="55">
        <v>28500</v>
      </c>
      <c r="AS12714" s="78">
        <f t="shared" si="202"/>
        <v>0.58321052631578951</v>
      </c>
    </row>
    <row r="12715" spans="39:45">
      <c r="AM12715" s="55">
        <v>2020</v>
      </c>
      <c r="AN12715" s="55" t="s">
        <v>187</v>
      </c>
      <c r="AO12715" s="55">
        <v>13</v>
      </c>
      <c r="AP12715" s="55">
        <v>17</v>
      </c>
      <c r="AQ12715" s="55">
        <v>5268</v>
      </c>
      <c r="AR12715" s="55">
        <v>28500</v>
      </c>
      <c r="AS12715" s="78">
        <f t="shared" si="202"/>
        <v>0.18484210526315789</v>
      </c>
    </row>
    <row r="12716" spans="39:45">
      <c r="AM12716" s="54">
        <v>2020</v>
      </c>
      <c r="AN12716" s="54" t="s">
        <v>187</v>
      </c>
      <c r="AO12716" s="54">
        <v>13</v>
      </c>
      <c r="AP12716" s="54">
        <v>18</v>
      </c>
      <c r="AQ12716" s="54">
        <v>1638.5</v>
      </c>
      <c r="AR12716" s="55">
        <v>28500</v>
      </c>
      <c r="AS12716" s="78">
        <f t="shared" si="202"/>
        <v>5.749122807017544E-2</v>
      </c>
    </row>
    <row r="12717" spans="39:45">
      <c r="AM12717" s="55">
        <v>2020</v>
      </c>
      <c r="AN12717" s="55" t="s">
        <v>187</v>
      </c>
      <c r="AO12717" s="55">
        <v>13</v>
      </c>
      <c r="AP12717" s="55">
        <v>19</v>
      </c>
      <c r="AQ12717" s="55">
        <v>773.5</v>
      </c>
      <c r="AR12717" s="55">
        <v>28500</v>
      </c>
      <c r="AS12717" s="78">
        <f t="shared" si="202"/>
        <v>2.7140350877192982E-2</v>
      </c>
    </row>
    <row r="12718" spans="39:45">
      <c r="AM12718" s="54">
        <v>2020</v>
      </c>
      <c r="AN12718" s="54" t="s">
        <v>187</v>
      </c>
      <c r="AO12718" s="54">
        <v>13</v>
      </c>
      <c r="AP12718" s="54">
        <v>20</v>
      </c>
      <c r="AQ12718" s="54">
        <v>0</v>
      </c>
      <c r="AR12718" s="55">
        <v>28500</v>
      </c>
      <c r="AS12718" s="78">
        <f t="shared" si="202"/>
        <v>0</v>
      </c>
    </row>
    <row r="12719" spans="39:45">
      <c r="AM12719" s="55">
        <v>2020</v>
      </c>
      <c r="AN12719" s="55" t="s">
        <v>187</v>
      </c>
      <c r="AO12719" s="55">
        <v>13</v>
      </c>
      <c r="AP12719" s="55">
        <v>21</v>
      </c>
      <c r="AQ12719" s="55">
        <v>0</v>
      </c>
      <c r="AR12719" s="55">
        <v>28500</v>
      </c>
      <c r="AS12719" s="78">
        <f t="shared" si="202"/>
        <v>0</v>
      </c>
    </row>
    <row r="12720" spans="39:45">
      <c r="AM12720" s="54">
        <v>2020</v>
      </c>
      <c r="AN12720" s="54" t="s">
        <v>187</v>
      </c>
      <c r="AO12720" s="54">
        <v>13</v>
      </c>
      <c r="AP12720" s="54">
        <v>22</v>
      </c>
      <c r="AQ12720" s="54">
        <v>0</v>
      </c>
      <c r="AR12720" s="55">
        <v>28500</v>
      </c>
      <c r="AS12720" s="78">
        <f t="shared" si="202"/>
        <v>0</v>
      </c>
    </row>
    <row r="12721" spans="39:45">
      <c r="AM12721" s="55">
        <v>2020</v>
      </c>
      <c r="AN12721" s="55" t="s">
        <v>187</v>
      </c>
      <c r="AO12721" s="55">
        <v>13</v>
      </c>
      <c r="AP12721" s="55">
        <v>23</v>
      </c>
      <c r="AQ12721" s="55">
        <v>0</v>
      </c>
      <c r="AR12721" s="55">
        <v>28500</v>
      </c>
      <c r="AS12721" s="78">
        <f t="shared" si="202"/>
        <v>0</v>
      </c>
    </row>
    <row r="12722" spans="39:45">
      <c r="AM12722" s="54">
        <v>2020</v>
      </c>
      <c r="AN12722" s="54" t="s">
        <v>187</v>
      </c>
      <c r="AO12722" s="54">
        <v>14</v>
      </c>
      <c r="AP12722" s="54">
        <v>24</v>
      </c>
      <c r="AQ12722" s="54">
        <v>0</v>
      </c>
      <c r="AR12722" s="55">
        <v>28500</v>
      </c>
      <c r="AS12722" s="78">
        <f t="shared" si="202"/>
        <v>0</v>
      </c>
    </row>
    <row r="12723" spans="39:45">
      <c r="AM12723" s="55">
        <v>2020</v>
      </c>
      <c r="AN12723" s="55" t="s">
        <v>187</v>
      </c>
      <c r="AO12723" s="55">
        <v>14</v>
      </c>
      <c r="AP12723" s="55">
        <v>1</v>
      </c>
      <c r="AQ12723" s="55">
        <v>0</v>
      </c>
      <c r="AR12723" s="55">
        <v>28500</v>
      </c>
      <c r="AS12723" s="78">
        <f t="shared" si="202"/>
        <v>0</v>
      </c>
    </row>
    <row r="12724" spans="39:45">
      <c r="AM12724" s="54">
        <v>2020</v>
      </c>
      <c r="AN12724" s="54" t="s">
        <v>187</v>
      </c>
      <c r="AO12724" s="54">
        <v>14</v>
      </c>
      <c r="AP12724" s="54">
        <v>2</v>
      </c>
      <c r="AQ12724" s="54">
        <v>0</v>
      </c>
      <c r="AR12724" s="55">
        <v>28500</v>
      </c>
      <c r="AS12724" s="78">
        <f t="shared" si="202"/>
        <v>0</v>
      </c>
    </row>
    <row r="12725" spans="39:45">
      <c r="AM12725" s="55">
        <v>2020</v>
      </c>
      <c r="AN12725" s="55" t="s">
        <v>187</v>
      </c>
      <c r="AO12725" s="55">
        <v>14</v>
      </c>
      <c r="AP12725" s="55">
        <v>3</v>
      </c>
      <c r="AQ12725" s="55">
        <v>0</v>
      </c>
      <c r="AR12725" s="55">
        <v>28500</v>
      </c>
      <c r="AS12725" s="78">
        <f t="shared" si="202"/>
        <v>0</v>
      </c>
    </row>
    <row r="12726" spans="39:45">
      <c r="AM12726" s="54">
        <v>2020</v>
      </c>
      <c r="AN12726" s="54" t="s">
        <v>187</v>
      </c>
      <c r="AO12726" s="54">
        <v>14</v>
      </c>
      <c r="AP12726" s="54">
        <v>4</v>
      </c>
      <c r="AQ12726" s="54">
        <v>140</v>
      </c>
      <c r="AR12726" s="55">
        <v>28500</v>
      </c>
      <c r="AS12726" s="78">
        <f t="shared" si="202"/>
        <v>4.9122807017543861E-3</v>
      </c>
    </row>
    <row r="12727" spans="39:45">
      <c r="AM12727" s="55">
        <v>2020</v>
      </c>
      <c r="AN12727" s="55" t="s">
        <v>187</v>
      </c>
      <c r="AO12727" s="55">
        <v>14</v>
      </c>
      <c r="AP12727" s="55">
        <v>5</v>
      </c>
      <c r="AQ12727" s="55">
        <v>1366.5</v>
      </c>
      <c r="AR12727" s="55">
        <v>28500</v>
      </c>
      <c r="AS12727" s="78">
        <f t="shared" si="202"/>
        <v>4.7947368421052634E-2</v>
      </c>
    </row>
    <row r="12728" spans="39:45">
      <c r="AM12728" s="54">
        <v>2020</v>
      </c>
      <c r="AN12728" s="54" t="s">
        <v>187</v>
      </c>
      <c r="AO12728" s="54">
        <v>14</v>
      </c>
      <c r="AP12728" s="54">
        <v>6</v>
      </c>
      <c r="AQ12728" s="54">
        <v>4050</v>
      </c>
      <c r="AR12728" s="55">
        <v>28500</v>
      </c>
      <c r="AS12728" s="78">
        <f t="shared" si="202"/>
        <v>0.14210526315789473</v>
      </c>
    </row>
    <row r="12729" spans="39:45">
      <c r="AM12729" s="55">
        <v>2020</v>
      </c>
      <c r="AN12729" s="55" t="s">
        <v>187</v>
      </c>
      <c r="AO12729" s="55">
        <v>14</v>
      </c>
      <c r="AP12729" s="55">
        <v>7</v>
      </c>
      <c r="AQ12729" s="55">
        <v>12963</v>
      </c>
      <c r="AR12729" s="55">
        <v>28500</v>
      </c>
      <c r="AS12729" s="78">
        <f t="shared" si="202"/>
        <v>0.45484210526315788</v>
      </c>
    </row>
    <row r="12730" spans="39:45">
      <c r="AM12730" s="54">
        <v>2020</v>
      </c>
      <c r="AN12730" s="54" t="s">
        <v>187</v>
      </c>
      <c r="AO12730" s="54">
        <v>14</v>
      </c>
      <c r="AP12730" s="54">
        <v>8</v>
      </c>
      <c r="AQ12730" s="54">
        <v>16748</v>
      </c>
      <c r="AR12730" s="55">
        <v>28500</v>
      </c>
      <c r="AS12730" s="78">
        <f t="shared" si="202"/>
        <v>0.58764912280701753</v>
      </c>
    </row>
    <row r="12731" spans="39:45">
      <c r="AM12731" s="55">
        <v>2020</v>
      </c>
      <c r="AN12731" s="55" t="s">
        <v>187</v>
      </c>
      <c r="AO12731" s="55">
        <v>14</v>
      </c>
      <c r="AP12731" s="55">
        <v>9</v>
      </c>
      <c r="AQ12731" s="55">
        <v>18197.5</v>
      </c>
      <c r="AR12731" s="55">
        <v>28500</v>
      </c>
      <c r="AS12731" s="78">
        <f t="shared" si="202"/>
        <v>0.63850877192982458</v>
      </c>
    </row>
    <row r="12732" spans="39:45">
      <c r="AM12732" s="54">
        <v>2020</v>
      </c>
      <c r="AN12732" s="54" t="s">
        <v>187</v>
      </c>
      <c r="AO12732" s="54">
        <v>14</v>
      </c>
      <c r="AP12732" s="54">
        <v>10</v>
      </c>
      <c r="AQ12732" s="54">
        <v>30323</v>
      </c>
      <c r="AR12732" s="55">
        <v>28500</v>
      </c>
      <c r="AS12732" s="78">
        <f t="shared" si="202"/>
        <v>1.0639649122807018</v>
      </c>
    </row>
    <row r="12733" spans="39:45">
      <c r="AM12733" s="55">
        <v>2020</v>
      </c>
      <c r="AN12733" s="55" t="s">
        <v>187</v>
      </c>
      <c r="AO12733" s="55">
        <v>14</v>
      </c>
      <c r="AP12733" s="55">
        <v>11</v>
      </c>
      <c r="AQ12733" s="55">
        <v>18748</v>
      </c>
      <c r="AR12733" s="55">
        <v>28500</v>
      </c>
      <c r="AS12733" s="78">
        <f t="shared" si="202"/>
        <v>0.65782456140350876</v>
      </c>
    </row>
    <row r="12734" spans="39:45">
      <c r="AM12734" s="54">
        <v>2020</v>
      </c>
      <c r="AN12734" s="54" t="s">
        <v>187</v>
      </c>
      <c r="AO12734" s="54">
        <v>14</v>
      </c>
      <c r="AP12734" s="54">
        <v>12</v>
      </c>
      <c r="AQ12734" s="54">
        <v>23516</v>
      </c>
      <c r="AR12734" s="55">
        <v>28500</v>
      </c>
      <c r="AS12734" s="78">
        <f t="shared" si="202"/>
        <v>0.82512280701754381</v>
      </c>
    </row>
    <row r="12735" spans="39:45">
      <c r="AM12735" s="55">
        <v>2020</v>
      </c>
      <c r="AN12735" s="55" t="s">
        <v>187</v>
      </c>
      <c r="AO12735" s="55">
        <v>14</v>
      </c>
      <c r="AP12735" s="55">
        <v>13</v>
      </c>
      <c r="AQ12735" s="55">
        <v>14449.5</v>
      </c>
      <c r="AR12735" s="55">
        <v>28500</v>
      </c>
      <c r="AS12735" s="78">
        <f t="shared" si="202"/>
        <v>0.50700000000000001</v>
      </c>
    </row>
    <row r="12736" spans="39:45">
      <c r="AM12736" s="54">
        <v>2020</v>
      </c>
      <c r="AN12736" s="54" t="s">
        <v>187</v>
      </c>
      <c r="AO12736" s="54">
        <v>14</v>
      </c>
      <c r="AP12736" s="54">
        <v>14</v>
      </c>
      <c r="AQ12736" s="54">
        <v>8942.5</v>
      </c>
      <c r="AR12736" s="55">
        <v>28500</v>
      </c>
      <c r="AS12736" s="78">
        <f t="shared" si="202"/>
        <v>0.31377192982456142</v>
      </c>
    </row>
    <row r="12737" spans="39:45">
      <c r="AM12737" s="55">
        <v>2020</v>
      </c>
      <c r="AN12737" s="55" t="s">
        <v>187</v>
      </c>
      <c r="AO12737" s="55">
        <v>14</v>
      </c>
      <c r="AP12737" s="55">
        <v>15</v>
      </c>
      <c r="AQ12737" s="55">
        <v>14101</v>
      </c>
      <c r="AR12737" s="55">
        <v>28500</v>
      </c>
      <c r="AS12737" s="78">
        <f t="shared" si="202"/>
        <v>0.49477192982456142</v>
      </c>
    </row>
    <row r="12738" spans="39:45">
      <c r="AM12738" s="54">
        <v>2020</v>
      </c>
      <c r="AN12738" s="54" t="s">
        <v>187</v>
      </c>
      <c r="AO12738" s="54">
        <v>14</v>
      </c>
      <c r="AP12738" s="54">
        <v>16</v>
      </c>
      <c r="AQ12738" s="54">
        <v>12101.5</v>
      </c>
      <c r="AR12738" s="55">
        <v>28500</v>
      </c>
      <c r="AS12738" s="78">
        <f t="shared" ref="AS12738:AS12801" si="203">AQ12738/AR12738</f>
        <v>0.42461403508771928</v>
      </c>
    </row>
    <row r="12739" spans="39:45">
      <c r="AM12739" s="55">
        <v>2020</v>
      </c>
      <c r="AN12739" s="55" t="s">
        <v>187</v>
      </c>
      <c r="AO12739" s="55">
        <v>14</v>
      </c>
      <c r="AP12739" s="55">
        <v>17</v>
      </c>
      <c r="AQ12739" s="55">
        <v>9100.5</v>
      </c>
      <c r="AR12739" s="55">
        <v>28500</v>
      </c>
      <c r="AS12739" s="78">
        <f t="shared" si="203"/>
        <v>0.31931578947368422</v>
      </c>
    </row>
    <row r="12740" spans="39:45">
      <c r="AM12740" s="54">
        <v>2020</v>
      </c>
      <c r="AN12740" s="54" t="s">
        <v>187</v>
      </c>
      <c r="AO12740" s="54">
        <v>14</v>
      </c>
      <c r="AP12740" s="54">
        <v>18</v>
      </c>
      <c r="AQ12740" s="54">
        <v>2542.5</v>
      </c>
      <c r="AR12740" s="55">
        <v>28500</v>
      </c>
      <c r="AS12740" s="78">
        <f t="shared" si="203"/>
        <v>8.9210526315789476E-2</v>
      </c>
    </row>
    <row r="12741" spans="39:45">
      <c r="AM12741" s="55">
        <v>2020</v>
      </c>
      <c r="AN12741" s="55" t="s">
        <v>187</v>
      </c>
      <c r="AO12741" s="55">
        <v>14</v>
      </c>
      <c r="AP12741" s="55">
        <v>19</v>
      </c>
      <c r="AQ12741" s="55">
        <v>1138.5</v>
      </c>
      <c r="AR12741" s="55">
        <v>28500</v>
      </c>
      <c r="AS12741" s="78">
        <f t="shared" si="203"/>
        <v>3.9947368421052634E-2</v>
      </c>
    </row>
    <row r="12742" spans="39:45">
      <c r="AM12742" s="54">
        <v>2020</v>
      </c>
      <c r="AN12742" s="54" t="s">
        <v>187</v>
      </c>
      <c r="AO12742" s="54">
        <v>14</v>
      </c>
      <c r="AP12742" s="54">
        <v>20</v>
      </c>
      <c r="AQ12742" s="54">
        <v>0</v>
      </c>
      <c r="AR12742" s="55">
        <v>28500</v>
      </c>
      <c r="AS12742" s="78">
        <f t="shared" si="203"/>
        <v>0</v>
      </c>
    </row>
    <row r="12743" spans="39:45">
      <c r="AM12743" s="55">
        <v>2020</v>
      </c>
      <c r="AN12743" s="55" t="s">
        <v>187</v>
      </c>
      <c r="AO12743" s="55">
        <v>14</v>
      </c>
      <c r="AP12743" s="55">
        <v>21</v>
      </c>
      <c r="AQ12743" s="55">
        <v>0</v>
      </c>
      <c r="AR12743" s="55">
        <v>28500</v>
      </c>
      <c r="AS12743" s="78">
        <f t="shared" si="203"/>
        <v>0</v>
      </c>
    </row>
    <row r="12744" spans="39:45">
      <c r="AM12744" s="54">
        <v>2020</v>
      </c>
      <c r="AN12744" s="54" t="s">
        <v>187</v>
      </c>
      <c r="AO12744" s="54">
        <v>14</v>
      </c>
      <c r="AP12744" s="54">
        <v>22</v>
      </c>
      <c r="AQ12744" s="54">
        <v>0</v>
      </c>
      <c r="AR12744" s="55">
        <v>28500</v>
      </c>
      <c r="AS12744" s="78">
        <f t="shared" si="203"/>
        <v>0</v>
      </c>
    </row>
    <row r="12745" spans="39:45">
      <c r="AM12745" s="55">
        <v>2020</v>
      </c>
      <c r="AN12745" s="55" t="s">
        <v>187</v>
      </c>
      <c r="AO12745" s="55">
        <v>14</v>
      </c>
      <c r="AP12745" s="55">
        <v>23</v>
      </c>
      <c r="AQ12745" s="55">
        <v>0</v>
      </c>
      <c r="AR12745" s="55">
        <v>28500</v>
      </c>
      <c r="AS12745" s="78">
        <f t="shared" si="203"/>
        <v>0</v>
      </c>
    </row>
    <row r="12746" spans="39:45">
      <c r="AM12746" s="54">
        <v>2020</v>
      </c>
      <c r="AN12746" s="54" t="s">
        <v>187</v>
      </c>
      <c r="AO12746" s="54">
        <v>15</v>
      </c>
      <c r="AP12746" s="54">
        <v>24</v>
      </c>
      <c r="AQ12746" s="54">
        <v>0</v>
      </c>
      <c r="AR12746" s="55">
        <v>28500</v>
      </c>
      <c r="AS12746" s="78">
        <f t="shared" si="203"/>
        <v>0</v>
      </c>
    </row>
    <row r="12747" spans="39:45">
      <c r="AM12747" s="55">
        <v>2020</v>
      </c>
      <c r="AN12747" s="55" t="s">
        <v>187</v>
      </c>
      <c r="AO12747" s="55">
        <v>15</v>
      </c>
      <c r="AP12747" s="55">
        <v>1</v>
      </c>
      <c r="AQ12747" s="55">
        <v>0</v>
      </c>
      <c r="AR12747" s="55">
        <v>28500</v>
      </c>
      <c r="AS12747" s="78">
        <f t="shared" si="203"/>
        <v>0</v>
      </c>
    </row>
    <row r="12748" spans="39:45">
      <c r="AM12748" s="54">
        <v>2020</v>
      </c>
      <c r="AN12748" s="54" t="s">
        <v>187</v>
      </c>
      <c r="AO12748" s="54">
        <v>15</v>
      </c>
      <c r="AP12748" s="54">
        <v>2</v>
      </c>
      <c r="AQ12748" s="54">
        <v>0</v>
      </c>
      <c r="AR12748" s="55">
        <v>28500</v>
      </c>
      <c r="AS12748" s="78">
        <f t="shared" si="203"/>
        <v>0</v>
      </c>
    </row>
    <row r="12749" spans="39:45">
      <c r="AM12749" s="55">
        <v>2020</v>
      </c>
      <c r="AN12749" s="55" t="s">
        <v>187</v>
      </c>
      <c r="AO12749" s="55">
        <v>15</v>
      </c>
      <c r="AP12749" s="55">
        <v>3</v>
      </c>
      <c r="AQ12749" s="55">
        <v>0</v>
      </c>
      <c r="AR12749" s="55">
        <v>28500</v>
      </c>
      <c r="AS12749" s="78">
        <f t="shared" si="203"/>
        <v>0</v>
      </c>
    </row>
    <row r="12750" spans="39:45">
      <c r="AM12750" s="54">
        <v>2020</v>
      </c>
      <c r="AN12750" s="54" t="s">
        <v>187</v>
      </c>
      <c r="AO12750" s="54">
        <v>15</v>
      </c>
      <c r="AP12750" s="54">
        <v>4</v>
      </c>
      <c r="AQ12750" s="54">
        <v>0</v>
      </c>
      <c r="AR12750" s="55">
        <v>28500</v>
      </c>
      <c r="AS12750" s="78">
        <f t="shared" si="203"/>
        <v>0</v>
      </c>
    </row>
    <row r="12751" spans="39:45">
      <c r="AM12751" s="55">
        <v>2020</v>
      </c>
      <c r="AN12751" s="55" t="s">
        <v>187</v>
      </c>
      <c r="AO12751" s="55">
        <v>15</v>
      </c>
      <c r="AP12751" s="55">
        <v>5</v>
      </c>
      <c r="AQ12751" s="55">
        <v>1439.5</v>
      </c>
      <c r="AR12751" s="55">
        <v>28500</v>
      </c>
      <c r="AS12751" s="78">
        <f t="shared" si="203"/>
        <v>5.0508771929824559E-2</v>
      </c>
    </row>
    <row r="12752" spans="39:45">
      <c r="AM12752" s="54">
        <v>2020</v>
      </c>
      <c r="AN12752" s="54" t="s">
        <v>187</v>
      </c>
      <c r="AO12752" s="54">
        <v>15</v>
      </c>
      <c r="AP12752" s="54">
        <v>6</v>
      </c>
      <c r="AQ12752" s="54">
        <v>3941</v>
      </c>
      <c r="AR12752" s="55">
        <v>28500</v>
      </c>
      <c r="AS12752" s="78">
        <f t="shared" si="203"/>
        <v>0.13828070175438598</v>
      </c>
    </row>
    <row r="12753" spans="39:45">
      <c r="AM12753" s="55">
        <v>2020</v>
      </c>
      <c r="AN12753" s="55" t="s">
        <v>187</v>
      </c>
      <c r="AO12753" s="55">
        <v>15</v>
      </c>
      <c r="AP12753" s="55">
        <v>7</v>
      </c>
      <c r="AQ12753" s="55">
        <v>13288.5</v>
      </c>
      <c r="AR12753" s="55">
        <v>28500</v>
      </c>
      <c r="AS12753" s="78">
        <f t="shared" si="203"/>
        <v>0.46626315789473682</v>
      </c>
    </row>
    <row r="12754" spans="39:45">
      <c r="AM12754" s="54">
        <v>2020</v>
      </c>
      <c r="AN12754" s="54" t="s">
        <v>187</v>
      </c>
      <c r="AO12754" s="54">
        <v>15</v>
      </c>
      <c r="AP12754" s="54">
        <v>8</v>
      </c>
      <c r="AQ12754" s="54">
        <v>22445.5</v>
      </c>
      <c r="AR12754" s="55">
        <v>28500</v>
      </c>
      <c r="AS12754" s="78">
        <f t="shared" si="203"/>
        <v>0.78756140350877191</v>
      </c>
    </row>
    <row r="12755" spans="39:45">
      <c r="AM12755" s="55">
        <v>2020</v>
      </c>
      <c r="AN12755" s="55" t="s">
        <v>187</v>
      </c>
      <c r="AO12755" s="55">
        <v>15</v>
      </c>
      <c r="AP12755" s="55">
        <v>9</v>
      </c>
      <c r="AQ12755" s="55">
        <v>29590.5</v>
      </c>
      <c r="AR12755" s="55">
        <v>28500</v>
      </c>
      <c r="AS12755" s="78">
        <f t="shared" si="203"/>
        <v>1.0382631578947368</v>
      </c>
    </row>
    <row r="12756" spans="39:45">
      <c r="AM12756" s="54">
        <v>2020</v>
      </c>
      <c r="AN12756" s="54" t="s">
        <v>187</v>
      </c>
      <c r="AO12756" s="54">
        <v>15</v>
      </c>
      <c r="AP12756" s="54">
        <v>10</v>
      </c>
      <c r="AQ12756" s="54">
        <v>28314</v>
      </c>
      <c r="AR12756" s="55">
        <v>28500</v>
      </c>
      <c r="AS12756" s="78">
        <f t="shared" si="203"/>
        <v>0.99347368421052629</v>
      </c>
    </row>
    <row r="12757" spans="39:45">
      <c r="AM12757" s="55">
        <v>2020</v>
      </c>
      <c r="AN12757" s="55" t="s">
        <v>187</v>
      </c>
      <c r="AO12757" s="55">
        <v>15</v>
      </c>
      <c r="AP12757" s="55">
        <v>11</v>
      </c>
      <c r="AQ12757" s="55">
        <v>17135.5</v>
      </c>
      <c r="AR12757" s="55">
        <v>28500</v>
      </c>
      <c r="AS12757" s="78">
        <f t="shared" si="203"/>
        <v>0.60124561403508769</v>
      </c>
    </row>
    <row r="12758" spans="39:45">
      <c r="AM12758" s="54">
        <v>2020</v>
      </c>
      <c r="AN12758" s="54" t="s">
        <v>187</v>
      </c>
      <c r="AO12758" s="54">
        <v>15</v>
      </c>
      <c r="AP12758" s="54">
        <v>12</v>
      </c>
      <c r="AQ12758" s="54">
        <v>4579.5</v>
      </c>
      <c r="AR12758" s="55">
        <v>28500</v>
      </c>
      <c r="AS12758" s="78">
        <f t="shared" si="203"/>
        <v>0.16068421052631579</v>
      </c>
    </row>
    <row r="12759" spans="39:45">
      <c r="AM12759" s="55">
        <v>2020</v>
      </c>
      <c r="AN12759" s="55" t="s">
        <v>187</v>
      </c>
      <c r="AO12759" s="55">
        <v>15</v>
      </c>
      <c r="AP12759" s="55">
        <v>13</v>
      </c>
      <c r="AQ12759" s="55">
        <v>6924.5</v>
      </c>
      <c r="AR12759" s="55">
        <v>28500</v>
      </c>
      <c r="AS12759" s="78">
        <f t="shared" si="203"/>
        <v>0.24296491228070174</v>
      </c>
    </row>
    <row r="12760" spans="39:45">
      <c r="AM12760" s="54">
        <v>2020</v>
      </c>
      <c r="AN12760" s="54" t="s">
        <v>187</v>
      </c>
      <c r="AO12760" s="54">
        <v>15</v>
      </c>
      <c r="AP12760" s="54">
        <v>14</v>
      </c>
      <c r="AQ12760" s="54">
        <v>5932.5</v>
      </c>
      <c r="AR12760" s="55">
        <v>28500</v>
      </c>
      <c r="AS12760" s="78">
        <f t="shared" si="203"/>
        <v>0.2081578947368421</v>
      </c>
    </row>
    <row r="12761" spans="39:45">
      <c r="AM12761" s="55">
        <v>2020</v>
      </c>
      <c r="AN12761" s="55" t="s">
        <v>187</v>
      </c>
      <c r="AO12761" s="55">
        <v>15</v>
      </c>
      <c r="AP12761" s="55">
        <v>15</v>
      </c>
      <c r="AQ12761" s="55">
        <v>2925</v>
      </c>
      <c r="AR12761" s="55">
        <v>28500</v>
      </c>
      <c r="AS12761" s="78">
        <f t="shared" si="203"/>
        <v>0.10263157894736842</v>
      </c>
    </row>
    <row r="12762" spans="39:45">
      <c r="AM12762" s="54">
        <v>2020</v>
      </c>
      <c r="AN12762" s="54" t="s">
        <v>187</v>
      </c>
      <c r="AO12762" s="54">
        <v>15</v>
      </c>
      <c r="AP12762" s="54">
        <v>16</v>
      </c>
      <c r="AQ12762" s="54">
        <v>5845.5</v>
      </c>
      <c r="AR12762" s="55">
        <v>28500</v>
      </c>
      <c r="AS12762" s="78">
        <f t="shared" si="203"/>
        <v>0.20510526315789473</v>
      </c>
    </row>
    <row r="12763" spans="39:45">
      <c r="AM12763" s="55">
        <v>2020</v>
      </c>
      <c r="AN12763" s="55" t="s">
        <v>187</v>
      </c>
      <c r="AO12763" s="55">
        <v>15</v>
      </c>
      <c r="AP12763" s="55">
        <v>17</v>
      </c>
      <c r="AQ12763" s="55">
        <v>8688</v>
      </c>
      <c r="AR12763" s="55">
        <v>28500</v>
      </c>
      <c r="AS12763" s="78">
        <f t="shared" si="203"/>
        <v>0.30484210526315791</v>
      </c>
    </row>
    <row r="12764" spans="39:45">
      <c r="AM12764" s="54">
        <v>2020</v>
      </c>
      <c r="AN12764" s="54" t="s">
        <v>187</v>
      </c>
      <c r="AO12764" s="54">
        <v>15</v>
      </c>
      <c r="AP12764" s="54">
        <v>18</v>
      </c>
      <c r="AQ12764" s="54">
        <v>2599.5</v>
      </c>
      <c r="AR12764" s="55">
        <v>28500</v>
      </c>
      <c r="AS12764" s="78">
        <f t="shared" si="203"/>
        <v>9.1210526315789478E-2</v>
      </c>
    </row>
    <row r="12765" spans="39:45">
      <c r="AM12765" s="55">
        <v>2020</v>
      </c>
      <c r="AN12765" s="55" t="s">
        <v>187</v>
      </c>
      <c r="AO12765" s="55">
        <v>15</v>
      </c>
      <c r="AP12765" s="55">
        <v>19</v>
      </c>
      <c r="AQ12765" s="55">
        <v>1071.5</v>
      </c>
      <c r="AR12765" s="55">
        <v>28500</v>
      </c>
      <c r="AS12765" s="78">
        <f t="shared" si="203"/>
        <v>3.7596491228070177E-2</v>
      </c>
    </row>
    <row r="12766" spans="39:45">
      <c r="AM12766" s="54">
        <v>2020</v>
      </c>
      <c r="AN12766" s="54" t="s">
        <v>187</v>
      </c>
      <c r="AO12766" s="54">
        <v>15</v>
      </c>
      <c r="AP12766" s="54">
        <v>20</v>
      </c>
      <c r="AQ12766" s="54">
        <v>0</v>
      </c>
      <c r="AR12766" s="55">
        <v>28500</v>
      </c>
      <c r="AS12766" s="78">
        <f t="shared" si="203"/>
        <v>0</v>
      </c>
    </row>
    <row r="12767" spans="39:45">
      <c r="AM12767" s="55">
        <v>2020</v>
      </c>
      <c r="AN12767" s="55" t="s">
        <v>187</v>
      </c>
      <c r="AO12767" s="55">
        <v>15</v>
      </c>
      <c r="AP12767" s="55">
        <v>21</v>
      </c>
      <c r="AQ12767" s="55">
        <v>0</v>
      </c>
      <c r="AR12767" s="55">
        <v>28500</v>
      </c>
      <c r="AS12767" s="78">
        <f t="shared" si="203"/>
        <v>0</v>
      </c>
    </row>
    <row r="12768" spans="39:45">
      <c r="AM12768" s="54">
        <v>2020</v>
      </c>
      <c r="AN12768" s="54" t="s">
        <v>187</v>
      </c>
      <c r="AO12768" s="54">
        <v>15</v>
      </c>
      <c r="AP12768" s="54">
        <v>22</v>
      </c>
      <c r="AQ12768" s="54">
        <v>0</v>
      </c>
      <c r="AR12768" s="55">
        <v>28500</v>
      </c>
      <c r="AS12768" s="78">
        <f t="shared" si="203"/>
        <v>0</v>
      </c>
    </row>
    <row r="12769" spans="39:45">
      <c r="AM12769" s="55">
        <v>2020</v>
      </c>
      <c r="AN12769" s="55" t="s">
        <v>187</v>
      </c>
      <c r="AO12769" s="55">
        <v>15</v>
      </c>
      <c r="AP12769" s="55">
        <v>23</v>
      </c>
      <c r="AQ12769" s="55">
        <v>0</v>
      </c>
      <c r="AR12769" s="55">
        <v>28500</v>
      </c>
      <c r="AS12769" s="78">
        <f t="shared" si="203"/>
        <v>0</v>
      </c>
    </row>
    <row r="12770" spans="39:45">
      <c r="AM12770" s="54">
        <v>2020</v>
      </c>
      <c r="AN12770" s="54" t="s">
        <v>187</v>
      </c>
      <c r="AO12770" s="54">
        <v>16</v>
      </c>
      <c r="AP12770" s="54">
        <v>24</v>
      </c>
      <c r="AQ12770" s="54">
        <v>0</v>
      </c>
      <c r="AR12770" s="55">
        <v>28500</v>
      </c>
      <c r="AS12770" s="78">
        <f t="shared" si="203"/>
        <v>0</v>
      </c>
    </row>
    <row r="12771" spans="39:45">
      <c r="AM12771" s="55">
        <v>2020</v>
      </c>
      <c r="AN12771" s="55" t="s">
        <v>187</v>
      </c>
      <c r="AO12771" s="55">
        <v>16</v>
      </c>
      <c r="AP12771" s="55">
        <v>1</v>
      </c>
      <c r="AQ12771" s="55">
        <v>0</v>
      </c>
      <c r="AR12771" s="55">
        <v>28500</v>
      </c>
      <c r="AS12771" s="78">
        <f t="shared" si="203"/>
        <v>0</v>
      </c>
    </row>
    <row r="12772" spans="39:45">
      <c r="AM12772" s="54">
        <v>2020</v>
      </c>
      <c r="AN12772" s="54" t="s">
        <v>187</v>
      </c>
      <c r="AO12772" s="54">
        <v>16</v>
      </c>
      <c r="AP12772" s="54">
        <v>2</v>
      </c>
      <c r="AQ12772" s="54">
        <v>0</v>
      </c>
      <c r="AR12772" s="55">
        <v>28500</v>
      </c>
      <c r="AS12772" s="78">
        <f t="shared" si="203"/>
        <v>0</v>
      </c>
    </row>
    <row r="12773" spans="39:45">
      <c r="AM12773" s="55">
        <v>2020</v>
      </c>
      <c r="AN12773" s="55" t="s">
        <v>187</v>
      </c>
      <c r="AO12773" s="55">
        <v>16</v>
      </c>
      <c r="AP12773" s="55">
        <v>3</v>
      </c>
      <c r="AQ12773" s="55">
        <v>0</v>
      </c>
      <c r="AR12773" s="55">
        <v>28500</v>
      </c>
      <c r="AS12773" s="78">
        <f t="shared" si="203"/>
        <v>0</v>
      </c>
    </row>
    <row r="12774" spans="39:45">
      <c r="AM12774" s="54">
        <v>2020</v>
      </c>
      <c r="AN12774" s="54" t="s">
        <v>187</v>
      </c>
      <c r="AO12774" s="54">
        <v>16</v>
      </c>
      <c r="AP12774" s="54">
        <v>4</v>
      </c>
      <c r="AQ12774" s="54">
        <v>0</v>
      </c>
      <c r="AR12774" s="55">
        <v>28500</v>
      </c>
      <c r="AS12774" s="78">
        <f t="shared" si="203"/>
        <v>0</v>
      </c>
    </row>
    <row r="12775" spans="39:45">
      <c r="AM12775" s="55">
        <v>2020</v>
      </c>
      <c r="AN12775" s="55" t="s">
        <v>187</v>
      </c>
      <c r="AO12775" s="55">
        <v>16</v>
      </c>
      <c r="AP12775" s="55">
        <v>5</v>
      </c>
      <c r="AQ12775" s="55">
        <v>1969.5</v>
      </c>
      <c r="AR12775" s="55">
        <v>28500</v>
      </c>
      <c r="AS12775" s="78">
        <f t="shared" si="203"/>
        <v>6.9105263157894739E-2</v>
      </c>
    </row>
    <row r="12776" spans="39:45">
      <c r="AM12776" s="54">
        <v>2020</v>
      </c>
      <c r="AN12776" s="54" t="s">
        <v>187</v>
      </c>
      <c r="AO12776" s="54">
        <v>16</v>
      </c>
      <c r="AP12776" s="54">
        <v>6</v>
      </c>
      <c r="AQ12776" s="54">
        <v>4864</v>
      </c>
      <c r="AR12776" s="55">
        <v>28500</v>
      </c>
      <c r="AS12776" s="78">
        <f t="shared" si="203"/>
        <v>0.17066666666666666</v>
      </c>
    </row>
    <row r="12777" spans="39:45">
      <c r="AM12777" s="55">
        <v>2020</v>
      </c>
      <c r="AN12777" s="55" t="s">
        <v>187</v>
      </c>
      <c r="AO12777" s="55">
        <v>16</v>
      </c>
      <c r="AP12777" s="55">
        <v>7</v>
      </c>
      <c r="AQ12777" s="55">
        <v>13199</v>
      </c>
      <c r="AR12777" s="55">
        <v>28500</v>
      </c>
      <c r="AS12777" s="78">
        <f t="shared" si="203"/>
        <v>0.46312280701754388</v>
      </c>
    </row>
    <row r="12778" spans="39:45">
      <c r="AM12778" s="54">
        <v>2020</v>
      </c>
      <c r="AN12778" s="54" t="s">
        <v>187</v>
      </c>
      <c r="AO12778" s="54">
        <v>16</v>
      </c>
      <c r="AP12778" s="54">
        <v>8</v>
      </c>
      <c r="AQ12778" s="54">
        <v>20181.5</v>
      </c>
      <c r="AR12778" s="55">
        <v>28500</v>
      </c>
      <c r="AS12778" s="78">
        <f t="shared" si="203"/>
        <v>0.70812280701754382</v>
      </c>
    </row>
    <row r="12779" spans="39:45">
      <c r="AM12779" s="55">
        <v>2020</v>
      </c>
      <c r="AN12779" s="55" t="s">
        <v>187</v>
      </c>
      <c r="AO12779" s="55">
        <v>16</v>
      </c>
      <c r="AP12779" s="55">
        <v>9</v>
      </c>
      <c r="AQ12779" s="55">
        <v>13513</v>
      </c>
      <c r="AR12779" s="55">
        <v>28500</v>
      </c>
      <c r="AS12779" s="78">
        <f t="shared" si="203"/>
        <v>0.47414035087719297</v>
      </c>
    </row>
    <row r="12780" spans="39:45">
      <c r="AM12780" s="54">
        <v>2020</v>
      </c>
      <c r="AN12780" s="54" t="s">
        <v>187</v>
      </c>
      <c r="AO12780" s="54">
        <v>16</v>
      </c>
      <c r="AP12780" s="54">
        <v>10</v>
      </c>
      <c r="AQ12780" s="54">
        <v>22735</v>
      </c>
      <c r="AR12780" s="55">
        <v>28500</v>
      </c>
      <c r="AS12780" s="78">
        <f t="shared" si="203"/>
        <v>0.79771929824561405</v>
      </c>
    </row>
    <row r="12781" spans="39:45">
      <c r="AM12781" s="55">
        <v>2020</v>
      </c>
      <c r="AN12781" s="55" t="s">
        <v>187</v>
      </c>
      <c r="AO12781" s="55">
        <v>16</v>
      </c>
      <c r="AP12781" s="55">
        <v>11</v>
      </c>
      <c r="AQ12781" s="55">
        <v>3650.5</v>
      </c>
      <c r="AR12781" s="55">
        <v>28500</v>
      </c>
      <c r="AS12781" s="78">
        <f t="shared" si="203"/>
        <v>0.12808771929824561</v>
      </c>
    </row>
    <row r="12782" spans="39:45">
      <c r="AM12782" s="54">
        <v>2020</v>
      </c>
      <c r="AN12782" s="54" t="s">
        <v>187</v>
      </c>
      <c r="AO12782" s="54">
        <v>16</v>
      </c>
      <c r="AP12782" s="54">
        <v>12</v>
      </c>
      <c r="AQ12782" s="54">
        <v>26966</v>
      </c>
      <c r="AR12782" s="55">
        <v>28500</v>
      </c>
      <c r="AS12782" s="78">
        <f t="shared" si="203"/>
        <v>0.94617543859649123</v>
      </c>
    </row>
    <row r="12783" spans="39:45">
      <c r="AM12783" s="55">
        <v>2020</v>
      </c>
      <c r="AN12783" s="55" t="s">
        <v>187</v>
      </c>
      <c r="AO12783" s="55">
        <v>16</v>
      </c>
      <c r="AP12783" s="55">
        <v>13</v>
      </c>
      <c r="AQ12783" s="55">
        <v>24448.5</v>
      </c>
      <c r="AR12783" s="55">
        <v>28500</v>
      </c>
      <c r="AS12783" s="78">
        <f t="shared" si="203"/>
        <v>0.85784210526315785</v>
      </c>
    </row>
    <row r="12784" spans="39:45">
      <c r="AM12784" s="54">
        <v>2020</v>
      </c>
      <c r="AN12784" s="54" t="s">
        <v>187</v>
      </c>
      <c r="AO12784" s="54">
        <v>16</v>
      </c>
      <c r="AP12784" s="54">
        <v>14</v>
      </c>
      <c r="AQ12784" s="54">
        <v>16801.5</v>
      </c>
      <c r="AR12784" s="55">
        <v>28500</v>
      </c>
      <c r="AS12784" s="78">
        <f t="shared" si="203"/>
        <v>0.58952631578947368</v>
      </c>
    </row>
    <row r="12785" spans="39:45">
      <c r="AM12785" s="55">
        <v>2020</v>
      </c>
      <c r="AN12785" s="55" t="s">
        <v>187</v>
      </c>
      <c r="AO12785" s="55">
        <v>16</v>
      </c>
      <c r="AP12785" s="55">
        <v>15</v>
      </c>
      <c r="AQ12785" s="55">
        <v>16675.5</v>
      </c>
      <c r="AR12785" s="55">
        <v>28500</v>
      </c>
      <c r="AS12785" s="78">
        <f t="shared" si="203"/>
        <v>0.58510526315789468</v>
      </c>
    </row>
    <row r="12786" spans="39:45">
      <c r="AM12786" s="54">
        <v>2020</v>
      </c>
      <c r="AN12786" s="54" t="s">
        <v>187</v>
      </c>
      <c r="AO12786" s="54">
        <v>16</v>
      </c>
      <c r="AP12786" s="54">
        <v>16</v>
      </c>
      <c r="AQ12786" s="54">
        <v>18819.5</v>
      </c>
      <c r="AR12786" s="55">
        <v>28500</v>
      </c>
      <c r="AS12786" s="78">
        <f t="shared" si="203"/>
        <v>0.66033333333333333</v>
      </c>
    </row>
    <row r="12787" spans="39:45">
      <c r="AM12787" s="55">
        <v>2020</v>
      </c>
      <c r="AN12787" s="55" t="s">
        <v>187</v>
      </c>
      <c r="AO12787" s="55">
        <v>16</v>
      </c>
      <c r="AP12787" s="55">
        <v>17</v>
      </c>
      <c r="AQ12787" s="55">
        <v>9333.5</v>
      </c>
      <c r="AR12787" s="55">
        <v>28500</v>
      </c>
      <c r="AS12787" s="78">
        <f t="shared" si="203"/>
        <v>0.32749122807017544</v>
      </c>
    </row>
    <row r="12788" spans="39:45">
      <c r="AM12788" s="54">
        <v>2020</v>
      </c>
      <c r="AN12788" s="54" t="s">
        <v>187</v>
      </c>
      <c r="AO12788" s="54">
        <v>16</v>
      </c>
      <c r="AP12788" s="54">
        <v>18</v>
      </c>
      <c r="AQ12788" s="54">
        <v>2805</v>
      </c>
      <c r="AR12788" s="55">
        <v>28500</v>
      </c>
      <c r="AS12788" s="78">
        <f t="shared" si="203"/>
        <v>9.8421052631578951E-2</v>
      </c>
    </row>
    <row r="12789" spans="39:45">
      <c r="AM12789" s="55">
        <v>2020</v>
      </c>
      <c r="AN12789" s="55" t="s">
        <v>187</v>
      </c>
      <c r="AO12789" s="55">
        <v>16</v>
      </c>
      <c r="AP12789" s="55">
        <v>19</v>
      </c>
      <c r="AQ12789" s="55">
        <v>1138</v>
      </c>
      <c r="AR12789" s="55">
        <v>28500</v>
      </c>
      <c r="AS12789" s="78">
        <f t="shared" si="203"/>
        <v>3.992982456140351E-2</v>
      </c>
    </row>
    <row r="12790" spans="39:45">
      <c r="AM12790" s="54">
        <v>2020</v>
      </c>
      <c r="AN12790" s="54" t="s">
        <v>187</v>
      </c>
      <c r="AO12790" s="54">
        <v>16</v>
      </c>
      <c r="AP12790" s="54">
        <v>20</v>
      </c>
      <c r="AQ12790" s="54">
        <v>0</v>
      </c>
      <c r="AR12790" s="55">
        <v>28500</v>
      </c>
      <c r="AS12790" s="78">
        <f t="shared" si="203"/>
        <v>0</v>
      </c>
    </row>
    <row r="12791" spans="39:45">
      <c r="AM12791" s="55">
        <v>2020</v>
      </c>
      <c r="AN12791" s="55" t="s">
        <v>187</v>
      </c>
      <c r="AO12791" s="55">
        <v>16</v>
      </c>
      <c r="AP12791" s="55">
        <v>21</v>
      </c>
      <c r="AQ12791" s="55">
        <v>0</v>
      </c>
      <c r="AR12791" s="55">
        <v>28500</v>
      </c>
      <c r="AS12791" s="78">
        <f t="shared" si="203"/>
        <v>0</v>
      </c>
    </row>
    <row r="12792" spans="39:45">
      <c r="AM12792" s="54">
        <v>2020</v>
      </c>
      <c r="AN12792" s="54" t="s">
        <v>187</v>
      </c>
      <c r="AO12792" s="54">
        <v>16</v>
      </c>
      <c r="AP12792" s="54">
        <v>22</v>
      </c>
      <c r="AQ12792" s="54">
        <v>0</v>
      </c>
      <c r="AR12792" s="55">
        <v>28500</v>
      </c>
      <c r="AS12792" s="78">
        <f t="shared" si="203"/>
        <v>0</v>
      </c>
    </row>
    <row r="12793" spans="39:45">
      <c r="AM12793" s="55">
        <v>2020</v>
      </c>
      <c r="AN12793" s="55" t="s">
        <v>187</v>
      </c>
      <c r="AO12793" s="55">
        <v>16</v>
      </c>
      <c r="AP12793" s="55">
        <v>23</v>
      </c>
      <c r="AQ12793" s="55">
        <v>0</v>
      </c>
      <c r="AR12793" s="55">
        <v>28500</v>
      </c>
      <c r="AS12793" s="78">
        <f t="shared" si="203"/>
        <v>0</v>
      </c>
    </row>
    <row r="12794" spans="39:45">
      <c r="AM12794" s="54">
        <v>2020</v>
      </c>
      <c r="AN12794" s="54" t="s">
        <v>187</v>
      </c>
      <c r="AO12794" s="54">
        <v>17</v>
      </c>
      <c r="AP12794" s="54">
        <v>24</v>
      </c>
      <c r="AQ12794" s="54">
        <v>0</v>
      </c>
      <c r="AR12794" s="55">
        <v>28500</v>
      </c>
      <c r="AS12794" s="78">
        <f t="shared" si="203"/>
        <v>0</v>
      </c>
    </row>
    <row r="12795" spans="39:45">
      <c r="AM12795" s="55">
        <v>2020</v>
      </c>
      <c r="AN12795" s="55" t="s">
        <v>187</v>
      </c>
      <c r="AO12795" s="55">
        <v>17</v>
      </c>
      <c r="AP12795" s="55">
        <v>1</v>
      </c>
      <c r="AQ12795" s="55">
        <v>0</v>
      </c>
      <c r="AR12795" s="55">
        <v>28500</v>
      </c>
      <c r="AS12795" s="78">
        <f t="shared" si="203"/>
        <v>0</v>
      </c>
    </row>
    <row r="12796" spans="39:45">
      <c r="AM12796" s="54">
        <v>2020</v>
      </c>
      <c r="AN12796" s="54" t="s">
        <v>187</v>
      </c>
      <c r="AO12796" s="54">
        <v>17</v>
      </c>
      <c r="AP12796" s="54">
        <v>2</v>
      </c>
      <c r="AQ12796" s="54">
        <v>0</v>
      </c>
      <c r="AR12796" s="55">
        <v>28500</v>
      </c>
      <c r="AS12796" s="78">
        <f t="shared" si="203"/>
        <v>0</v>
      </c>
    </row>
    <row r="12797" spans="39:45">
      <c r="AM12797" s="55">
        <v>2020</v>
      </c>
      <c r="AN12797" s="55" t="s">
        <v>187</v>
      </c>
      <c r="AO12797" s="55">
        <v>17</v>
      </c>
      <c r="AP12797" s="55">
        <v>3</v>
      </c>
      <c r="AQ12797" s="55">
        <v>0</v>
      </c>
      <c r="AR12797" s="55">
        <v>28500</v>
      </c>
      <c r="AS12797" s="78">
        <f t="shared" si="203"/>
        <v>0</v>
      </c>
    </row>
    <row r="12798" spans="39:45">
      <c r="AM12798" s="54">
        <v>2020</v>
      </c>
      <c r="AN12798" s="54" t="s">
        <v>187</v>
      </c>
      <c r="AO12798" s="54">
        <v>17</v>
      </c>
      <c r="AP12798" s="54">
        <v>4</v>
      </c>
      <c r="AQ12798" s="54">
        <v>0</v>
      </c>
      <c r="AR12798" s="55">
        <v>28500</v>
      </c>
      <c r="AS12798" s="78">
        <f t="shared" si="203"/>
        <v>0</v>
      </c>
    </row>
    <row r="12799" spans="39:45">
      <c r="AM12799" s="55">
        <v>2020</v>
      </c>
      <c r="AN12799" s="55" t="s">
        <v>187</v>
      </c>
      <c r="AO12799" s="55">
        <v>17</v>
      </c>
      <c r="AP12799" s="55">
        <v>5</v>
      </c>
      <c r="AQ12799" s="55">
        <v>1963.5</v>
      </c>
      <c r="AR12799" s="55">
        <v>28500</v>
      </c>
      <c r="AS12799" s="78">
        <f t="shared" si="203"/>
        <v>6.8894736842105259E-2</v>
      </c>
    </row>
    <row r="12800" spans="39:45">
      <c r="AM12800" s="54">
        <v>2020</v>
      </c>
      <c r="AN12800" s="54" t="s">
        <v>187</v>
      </c>
      <c r="AO12800" s="54">
        <v>17</v>
      </c>
      <c r="AP12800" s="54">
        <v>6</v>
      </c>
      <c r="AQ12800" s="54">
        <v>3254</v>
      </c>
      <c r="AR12800" s="55">
        <v>28500</v>
      </c>
      <c r="AS12800" s="78">
        <f t="shared" si="203"/>
        <v>0.11417543859649122</v>
      </c>
    </row>
    <row r="12801" spans="39:45">
      <c r="AM12801" s="55">
        <v>2020</v>
      </c>
      <c r="AN12801" s="55" t="s">
        <v>187</v>
      </c>
      <c r="AO12801" s="55">
        <v>17</v>
      </c>
      <c r="AP12801" s="55">
        <v>7</v>
      </c>
      <c r="AQ12801" s="55">
        <v>8698.5</v>
      </c>
      <c r="AR12801" s="55">
        <v>28500</v>
      </c>
      <c r="AS12801" s="78">
        <f t="shared" si="203"/>
        <v>0.30521052631578949</v>
      </c>
    </row>
    <row r="12802" spans="39:45">
      <c r="AM12802" s="54">
        <v>2020</v>
      </c>
      <c r="AN12802" s="54" t="s">
        <v>187</v>
      </c>
      <c r="AO12802" s="54">
        <v>17</v>
      </c>
      <c r="AP12802" s="54">
        <v>8</v>
      </c>
      <c r="AQ12802" s="54">
        <v>13969</v>
      </c>
      <c r="AR12802" s="55">
        <v>28500</v>
      </c>
      <c r="AS12802" s="78">
        <f t="shared" ref="AS12802:AS12865" si="204">AQ12802/AR12802</f>
        <v>0.49014035087719299</v>
      </c>
    </row>
    <row r="12803" spans="39:45">
      <c r="AM12803" s="55">
        <v>2020</v>
      </c>
      <c r="AN12803" s="55" t="s">
        <v>187</v>
      </c>
      <c r="AO12803" s="55">
        <v>17</v>
      </c>
      <c r="AP12803" s="55">
        <v>9</v>
      </c>
      <c r="AQ12803" s="55">
        <v>18633.5</v>
      </c>
      <c r="AR12803" s="55">
        <v>28500</v>
      </c>
      <c r="AS12803" s="78">
        <f t="shared" si="204"/>
        <v>0.65380701754385961</v>
      </c>
    </row>
    <row r="12804" spans="39:45">
      <c r="AM12804" s="54">
        <v>2020</v>
      </c>
      <c r="AN12804" s="54" t="s">
        <v>187</v>
      </c>
      <c r="AO12804" s="54">
        <v>17</v>
      </c>
      <c r="AP12804" s="54">
        <v>10</v>
      </c>
      <c r="AQ12804" s="54">
        <v>19599</v>
      </c>
      <c r="AR12804" s="55">
        <v>28500</v>
      </c>
      <c r="AS12804" s="78">
        <f t="shared" si="204"/>
        <v>0.68768421052631579</v>
      </c>
    </row>
    <row r="12805" spans="39:45">
      <c r="AM12805" s="55">
        <v>2020</v>
      </c>
      <c r="AN12805" s="55" t="s">
        <v>187</v>
      </c>
      <c r="AO12805" s="55">
        <v>17</v>
      </c>
      <c r="AP12805" s="55">
        <v>11</v>
      </c>
      <c r="AQ12805" s="55">
        <v>13503</v>
      </c>
      <c r="AR12805" s="55">
        <v>28500</v>
      </c>
      <c r="AS12805" s="78">
        <f t="shared" si="204"/>
        <v>0.47378947368421054</v>
      </c>
    </row>
    <row r="12806" spans="39:45">
      <c r="AM12806" s="54">
        <v>2020</v>
      </c>
      <c r="AN12806" s="54" t="s">
        <v>187</v>
      </c>
      <c r="AO12806" s="54">
        <v>17</v>
      </c>
      <c r="AP12806" s="54">
        <v>12</v>
      </c>
      <c r="AQ12806" s="54">
        <v>9940.5</v>
      </c>
      <c r="AR12806" s="55">
        <v>28500</v>
      </c>
      <c r="AS12806" s="78">
        <f t="shared" si="204"/>
        <v>0.34878947368421054</v>
      </c>
    </row>
    <row r="12807" spans="39:45">
      <c r="AM12807" s="55">
        <v>2020</v>
      </c>
      <c r="AN12807" s="55" t="s">
        <v>187</v>
      </c>
      <c r="AO12807" s="55">
        <v>17</v>
      </c>
      <c r="AP12807" s="55">
        <v>13</v>
      </c>
      <c r="AQ12807" s="55">
        <v>8121.5</v>
      </c>
      <c r="AR12807" s="55">
        <v>28500</v>
      </c>
      <c r="AS12807" s="78">
        <f t="shared" si="204"/>
        <v>0.28496491228070175</v>
      </c>
    </row>
    <row r="12808" spans="39:45">
      <c r="AM12808" s="54">
        <v>2020</v>
      </c>
      <c r="AN12808" s="54" t="s">
        <v>187</v>
      </c>
      <c r="AO12808" s="54">
        <v>17</v>
      </c>
      <c r="AP12808" s="54">
        <v>14</v>
      </c>
      <c r="AQ12808" s="54">
        <v>6082.5</v>
      </c>
      <c r="AR12808" s="55">
        <v>28500</v>
      </c>
      <c r="AS12808" s="78">
        <f t="shared" si="204"/>
        <v>0.21342105263157896</v>
      </c>
    </row>
    <row r="12809" spans="39:45">
      <c r="AM12809" s="55">
        <v>2020</v>
      </c>
      <c r="AN12809" s="55" t="s">
        <v>187</v>
      </c>
      <c r="AO12809" s="55">
        <v>17</v>
      </c>
      <c r="AP12809" s="55">
        <v>15</v>
      </c>
      <c r="AQ12809" s="55">
        <v>3140</v>
      </c>
      <c r="AR12809" s="55">
        <v>28500</v>
      </c>
      <c r="AS12809" s="78">
        <f t="shared" si="204"/>
        <v>0.11017543859649123</v>
      </c>
    </row>
    <row r="12810" spans="39:45">
      <c r="AM12810" s="54">
        <v>2020</v>
      </c>
      <c r="AN12810" s="54" t="s">
        <v>187</v>
      </c>
      <c r="AO12810" s="54">
        <v>17</v>
      </c>
      <c r="AP12810" s="54">
        <v>16</v>
      </c>
      <c r="AQ12810" s="54">
        <v>5559</v>
      </c>
      <c r="AR12810" s="55">
        <v>28500</v>
      </c>
      <c r="AS12810" s="78">
        <f t="shared" si="204"/>
        <v>0.19505263157894737</v>
      </c>
    </row>
    <row r="12811" spans="39:45">
      <c r="AM12811" s="55">
        <v>2020</v>
      </c>
      <c r="AN12811" s="55" t="s">
        <v>187</v>
      </c>
      <c r="AO12811" s="55">
        <v>17</v>
      </c>
      <c r="AP12811" s="55">
        <v>17</v>
      </c>
      <c r="AQ12811" s="55">
        <v>2310.5</v>
      </c>
      <c r="AR12811" s="55">
        <v>28500</v>
      </c>
      <c r="AS12811" s="78">
        <f t="shared" si="204"/>
        <v>8.1070175438596487E-2</v>
      </c>
    </row>
    <row r="12812" spans="39:45">
      <c r="AM12812" s="54">
        <v>2020</v>
      </c>
      <c r="AN12812" s="54" t="s">
        <v>187</v>
      </c>
      <c r="AO12812" s="54">
        <v>17</v>
      </c>
      <c r="AP12812" s="54">
        <v>18</v>
      </c>
      <c r="AQ12812" s="54">
        <v>1394.5</v>
      </c>
      <c r="AR12812" s="55">
        <v>28500</v>
      </c>
      <c r="AS12812" s="78">
        <f t="shared" si="204"/>
        <v>4.8929824561403511E-2</v>
      </c>
    </row>
    <row r="12813" spans="39:45">
      <c r="AM12813" s="55">
        <v>2020</v>
      </c>
      <c r="AN12813" s="55" t="s">
        <v>187</v>
      </c>
      <c r="AO12813" s="55">
        <v>17</v>
      </c>
      <c r="AP12813" s="55">
        <v>19</v>
      </c>
      <c r="AQ12813" s="55">
        <v>1114.5</v>
      </c>
      <c r="AR12813" s="55">
        <v>28500</v>
      </c>
      <c r="AS12813" s="78">
        <f t="shared" si="204"/>
        <v>3.910526315789474E-2</v>
      </c>
    </row>
    <row r="12814" spans="39:45">
      <c r="AM12814" s="54">
        <v>2020</v>
      </c>
      <c r="AN12814" s="54" t="s">
        <v>187</v>
      </c>
      <c r="AO12814" s="54">
        <v>17</v>
      </c>
      <c r="AP12814" s="54">
        <v>20</v>
      </c>
      <c r="AQ12814" s="54">
        <v>0</v>
      </c>
      <c r="AR12814" s="55">
        <v>28500</v>
      </c>
      <c r="AS12814" s="78">
        <f t="shared" si="204"/>
        <v>0</v>
      </c>
    </row>
    <row r="12815" spans="39:45">
      <c r="AM12815" s="55">
        <v>2020</v>
      </c>
      <c r="AN12815" s="55" t="s">
        <v>187</v>
      </c>
      <c r="AO12815" s="55">
        <v>17</v>
      </c>
      <c r="AP12815" s="55">
        <v>21</v>
      </c>
      <c r="AQ12815" s="55">
        <v>0</v>
      </c>
      <c r="AR12815" s="55">
        <v>28500</v>
      </c>
      <c r="AS12815" s="78">
        <f t="shared" si="204"/>
        <v>0</v>
      </c>
    </row>
    <row r="12816" spans="39:45">
      <c r="AM12816" s="54">
        <v>2020</v>
      </c>
      <c r="AN12816" s="54" t="s">
        <v>187</v>
      </c>
      <c r="AO12816" s="54">
        <v>17</v>
      </c>
      <c r="AP12816" s="54">
        <v>22</v>
      </c>
      <c r="AQ12816" s="54">
        <v>0</v>
      </c>
      <c r="AR12816" s="55">
        <v>28500</v>
      </c>
      <c r="AS12816" s="78">
        <f t="shared" si="204"/>
        <v>0</v>
      </c>
    </row>
    <row r="12817" spans="39:45">
      <c r="AM12817" s="55">
        <v>2020</v>
      </c>
      <c r="AN12817" s="55" t="s">
        <v>187</v>
      </c>
      <c r="AO12817" s="55">
        <v>17</v>
      </c>
      <c r="AP12817" s="55">
        <v>23</v>
      </c>
      <c r="AQ12817" s="55">
        <v>0</v>
      </c>
      <c r="AR12817" s="55">
        <v>28500</v>
      </c>
      <c r="AS12817" s="78">
        <f t="shared" si="204"/>
        <v>0</v>
      </c>
    </row>
    <row r="12818" spans="39:45">
      <c r="AM12818" s="54">
        <v>2020</v>
      </c>
      <c r="AN12818" s="54" t="s">
        <v>187</v>
      </c>
      <c r="AO12818" s="54">
        <v>18</v>
      </c>
      <c r="AP12818" s="54">
        <v>24</v>
      </c>
      <c r="AQ12818" s="54">
        <v>0</v>
      </c>
      <c r="AR12818" s="55">
        <v>28500</v>
      </c>
      <c r="AS12818" s="78">
        <f t="shared" si="204"/>
        <v>0</v>
      </c>
    </row>
    <row r="12819" spans="39:45">
      <c r="AM12819" s="55">
        <v>2020</v>
      </c>
      <c r="AN12819" s="55" t="s">
        <v>187</v>
      </c>
      <c r="AO12819" s="55">
        <v>18</v>
      </c>
      <c r="AP12819" s="55">
        <v>1</v>
      </c>
      <c r="AQ12819" s="55">
        <v>0</v>
      </c>
      <c r="AR12819" s="55">
        <v>28500</v>
      </c>
      <c r="AS12819" s="78">
        <f t="shared" si="204"/>
        <v>0</v>
      </c>
    </row>
    <row r="12820" spans="39:45">
      <c r="AM12820" s="54">
        <v>2020</v>
      </c>
      <c r="AN12820" s="54" t="s">
        <v>187</v>
      </c>
      <c r="AO12820" s="54">
        <v>18</v>
      </c>
      <c r="AP12820" s="54">
        <v>2</v>
      </c>
      <c r="AQ12820" s="54">
        <v>0</v>
      </c>
      <c r="AR12820" s="55">
        <v>28500</v>
      </c>
      <c r="AS12820" s="78">
        <f t="shared" si="204"/>
        <v>0</v>
      </c>
    </row>
    <row r="12821" spans="39:45">
      <c r="AM12821" s="55">
        <v>2020</v>
      </c>
      <c r="AN12821" s="55" t="s">
        <v>187</v>
      </c>
      <c r="AO12821" s="55">
        <v>18</v>
      </c>
      <c r="AP12821" s="55">
        <v>3</v>
      </c>
      <c r="AQ12821" s="55">
        <v>0</v>
      </c>
      <c r="AR12821" s="55">
        <v>28500</v>
      </c>
      <c r="AS12821" s="78">
        <f t="shared" si="204"/>
        <v>0</v>
      </c>
    </row>
    <row r="12822" spans="39:45">
      <c r="AM12822" s="54">
        <v>2020</v>
      </c>
      <c r="AN12822" s="54" t="s">
        <v>187</v>
      </c>
      <c r="AO12822" s="54">
        <v>18</v>
      </c>
      <c r="AP12822" s="54">
        <v>4</v>
      </c>
      <c r="AQ12822" s="54">
        <v>0</v>
      </c>
      <c r="AR12822" s="55">
        <v>28500</v>
      </c>
      <c r="AS12822" s="78">
        <f t="shared" si="204"/>
        <v>0</v>
      </c>
    </row>
    <row r="12823" spans="39:45">
      <c r="AM12823" s="55">
        <v>2020</v>
      </c>
      <c r="AN12823" s="55" t="s">
        <v>187</v>
      </c>
      <c r="AO12823" s="55">
        <v>18</v>
      </c>
      <c r="AP12823" s="55">
        <v>5</v>
      </c>
      <c r="AQ12823" s="55">
        <v>95.5</v>
      </c>
      <c r="AR12823" s="55">
        <v>28500</v>
      </c>
      <c r="AS12823" s="78">
        <f t="shared" si="204"/>
        <v>3.3508771929824563E-3</v>
      </c>
    </row>
    <row r="12824" spans="39:45">
      <c r="AM12824" s="54">
        <v>2020</v>
      </c>
      <c r="AN12824" s="54" t="s">
        <v>187</v>
      </c>
      <c r="AO12824" s="54">
        <v>18</v>
      </c>
      <c r="AP12824" s="54">
        <v>6</v>
      </c>
      <c r="AQ12824" s="54">
        <v>846</v>
      </c>
      <c r="AR12824" s="55">
        <v>28500</v>
      </c>
      <c r="AS12824" s="78">
        <f t="shared" si="204"/>
        <v>2.9684210526315789E-2</v>
      </c>
    </row>
    <row r="12825" spans="39:45">
      <c r="AM12825" s="55">
        <v>2020</v>
      </c>
      <c r="AN12825" s="55" t="s">
        <v>187</v>
      </c>
      <c r="AO12825" s="55">
        <v>18</v>
      </c>
      <c r="AP12825" s="55">
        <v>7</v>
      </c>
      <c r="AQ12825" s="55">
        <v>4708</v>
      </c>
      <c r="AR12825" s="55">
        <v>28500</v>
      </c>
      <c r="AS12825" s="78">
        <f t="shared" si="204"/>
        <v>0.16519298245614036</v>
      </c>
    </row>
    <row r="12826" spans="39:45">
      <c r="AM12826" s="54">
        <v>2020</v>
      </c>
      <c r="AN12826" s="54" t="s">
        <v>187</v>
      </c>
      <c r="AO12826" s="54">
        <v>18</v>
      </c>
      <c r="AP12826" s="54">
        <v>8</v>
      </c>
      <c r="AQ12826" s="54">
        <v>15132.5</v>
      </c>
      <c r="AR12826" s="55">
        <v>28500</v>
      </c>
      <c r="AS12826" s="78">
        <f t="shared" si="204"/>
        <v>0.53096491228070175</v>
      </c>
    </row>
    <row r="12827" spans="39:45">
      <c r="AM12827" s="55">
        <v>2020</v>
      </c>
      <c r="AN12827" s="55" t="s">
        <v>187</v>
      </c>
      <c r="AO12827" s="55">
        <v>18</v>
      </c>
      <c r="AP12827" s="55">
        <v>9</v>
      </c>
      <c r="AQ12827" s="55">
        <v>5497</v>
      </c>
      <c r="AR12827" s="55">
        <v>28500</v>
      </c>
      <c r="AS12827" s="78">
        <f t="shared" si="204"/>
        <v>0.19287719298245615</v>
      </c>
    </row>
    <row r="12828" spans="39:45">
      <c r="AM12828" s="54">
        <v>2020</v>
      </c>
      <c r="AN12828" s="54" t="s">
        <v>187</v>
      </c>
      <c r="AO12828" s="54">
        <v>18</v>
      </c>
      <c r="AP12828" s="54">
        <v>10</v>
      </c>
      <c r="AQ12828" s="54">
        <v>2529</v>
      </c>
      <c r="AR12828" s="55">
        <v>28500</v>
      </c>
      <c r="AS12828" s="78">
        <f t="shared" si="204"/>
        <v>8.8736842105263156E-2</v>
      </c>
    </row>
    <row r="12829" spans="39:45">
      <c r="AM12829" s="55">
        <v>2020</v>
      </c>
      <c r="AN12829" s="55" t="s">
        <v>187</v>
      </c>
      <c r="AO12829" s="55">
        <v>18</v>
      </c>
      <c r="AP12829" s="55">
        <v>11</v>
      </c>
      <c r="AQ12829" s="55">
        <v>3519</v>
      </c>
      <c r="AR12829" s="55">
        <v>28500</v>
      </c>
      <c r="AS12829" s="78">
        <f t="shared" si="204"/>
        <v>0.12347368421052632</v>
      </c>
    </row>
    <row r="12830" spans="39:45">
      <c r="AM12830" s="54">
        <v>2020</v>
      </c>
      <c r="AN12830" s="54" t="s">
        <v>187</v>
      </c>
      <c r="AO12830" s="54">
        <v>18</v>
      </c>
      <c r="AP12830" s="54">
        <v>12</v>
      </c>
      <c r="AQ12830" s="54">
        <v>9202.5</v>
      </c>
      <c r="AR12830" s="55">
        <v>28500</v>
      </c>
      <c r="AS12830" s="78">
        <f t="shared" si="204"/>
        <v>0.32289473684210529</v>
      </c>
    </row>
    <row r="12831" spans="39:45">
      <c r="AM12831" s="55">
        <v>2020</v>
      </c>
      <c r="AN12831" s="55" t="s">
        <v>187</v>
      </c>
      <c r="AO12831" s="55">
        <v>18</v>
      </c>
      <c r="AP12831" s="55">
        <v>13</v>
      </c>
      <c r="AQ12831" s="55">
        <v>29160</v>
      </c>
      <c r="AR12831" s="55">
        <v>28500</v>
      </c>
      <c r="AS12831" s="78">
        <f t="shared" si="204"/>
        <v>1.023157894736842</v>
      </c>
    </row>
    <row r="12832" spans="39:45">
      <c r="AM12832" s="54">
        <v>2020</v>
      </c>
      <c r="AN12832" s="54" t="s">
        <v>187</v>
      </c>
      <c r="AO12832" s="54">
        <v>18</v>
      </c>
      <c r="AP12832" s="54">
        <v>14</v>
      </c>
      <c r="AQ12832" s="54">
        <v>30007</v>
      </c>
      <c r="AR12832" s="55">
        <v>28500</v>
      </c>
      <c r="AS12832" s="78">
        <f t="shared" si="204"/>
        <v>1.0528771929824561</v>
      </c>
    </row>
    <row r="12833" spans="39:45">
      <c r="AM12833" s="55">
        <v>2020</v>
      </c>
      <c r="AN12833" s="55" t="s">
        <v>187</v>
      </c>
      <c r="AO12833" s="55">
        <v>18</v>
      </c>
      <c r="AP12833" s="55">
        <v>15</v>
      </c>
      <c r="AQ12833" s="55">
        <v>25126</v>
      </c>
      <c r="AR12833" s="55">
        <v>28500</v>
      </c>
      <c r="AS12833" s="78">
        <f t="shared" si="204"/>
        <v>0.88161403508771929</v>
      </c>
    </row>
    <row r="12834" spans="39:45">
      <c r="AM12834" s="54">
        <v>2020</v>
      </c>
      <c r="AN12834" s="54" t="s">
        <v>187</v>
      </c>
      <c r="AO12834" s="54">
        <v>18</v>
      </c>
      <c r="AP12834" s="54">
        <v>16</v>
      </c>
      <c r="AQ12834" s="54">
        <v>18064</v>
      </c>
      <c r="AR12834" s="55">
        <v>28500</v>
      </c>
      <c r="AS12834" s="78">
        <f t="shared" si="204"/>
        <v>0.63382456140350873</v>
      </c>
    </row>
    <row r="12835" spans="39:45">
      <c r="AM12835" s="55">
        <v>2020</v>
      </c>
      <c r="AN12835" s="55" t="s">
        <v>187</v>
      </c>
      <c r="AO12835" s="55">
        <v>18</v>
      </c>
      <c r="AP12835" s="55">
        <v>17</v>
      </c>
      <c r="AQ12835" s="55">
        <v>9383</v>
      </c>
      <c r="AR12835" s="55">
        <v>28500</v>
      </c>
      <c r="AS12835" s="78">
        <f t="shared" si="204"/>
        <v>0.32922807017543859</v>
      </c>
    </row>
    <row r="12836" spans="39:45">
      <c r="AM12836" s="54">
        <v>2020</v>
      </c>
      <c r="AN12836" s="54" t="s">
        <v>187</v>
      </c>
      <c r="AO12836" s="54">
        <v>18</v>
      </c>
      <c r="AP12836" s="54">
        <v>18</v>
      </c>
      <c r="AQ12836" s="54">
        <v>2111.5</v>
      </c>
      <c r="AR12836" s="55">
        <v>28500</v>
      </c>
      <c r="AS12836" s="78">
        <f t="shared" si="204"/>
        <v>7.4087719298245619E-2</v>
      </c>
    </row>
    <row r="12837" spans="39:45">
      <c r="AM12837" s="55">
        <v>2020</v>
      </c>
      <c r="AN12837" s="55" t="s">
        <v>187</v>
      </c>
      <c r="AO12837" s="55">
        <v>18</v>
      </c>
      <c r="AP12837" s="55">
        <v>19</v>
      </c>
      <c r="AQ12837" s="55">
        <v>1120</v>
      </c>
      <c r="AR12837" s="55">
        <v>28500</v>
      </c>
      <c r="AS12837" s="78">
        <f t="shared" si="204"/>
        <v>3.9298245614035089E-2</v>
      </c>
    </row>
    <row r="12838" spans="39:45">
      <c r="AM12838" s="54">
        <v>2020</v>
      </c>
      <c r="AN12838" s="54" t="s">
        <v>187</v>
      </c>
      <c r="AO12838" s="54">
        <v>18</v>
      </c>
      <c r="AP12838" s="54">
        <v>20</v>
      </c>
      <c r="AQ12838" s="54">
        <v>0</v>
      </c>
      <c r="AR12838" s="55">
        <v>28500</v>
      </c>
      <c r="AS12838" s="78">
        <f t="shared" si="204"/>
        <v>0</v>
      </c>
    </row>
    <row r="12839" spans="39:45">
      <c r="AM12839" s="55">
        <v>2020</v>
      </c>
      <c r="AN12839" s="55" t="s">
        <v>187</v>
      </c>
      <c r="AO12839" s="55">
        <v>18</v>
      </c>
      <c r="AP12839" s="55">
        <v>21</v>
      </c>
      <c r="AQ12839" s="55">
        <v>0</v>
      </c>
      <c r="AR12839" s="55">
        <v>28500</v>
      </c>
      <c r="AS12839" s="78">
        <f t="shared" si="204"/>
        <v>0</v>
      </c>
    </row>
    <row r="12840" spans="39:45">
      <c r="AM12840" s="54">
        <v>2020</v>
      </c>
      <c r="AN12840" s="54" t="s">
        <v>187</v>
      </c>
      <c r="AO12840" s="54">
        <v>18</v>
      </c>
      <c r="AP12840" s="54">
        <v>22</v>
      </c>
      <c r="AQ12840" s="54">
        <v>0</v>
      </c>
      <c r="AR12840" s="55">
        <v>28500</v>
      </c>
      <c r="AS12840" s="78">
        <f t="shared" si="204"/>
        <v>0</v>
      </c>
    </row>
    <row r="12841" spans="39:45">
      <c r="AM12841" s="55">
        <v>2020</v>
      </c>
      <c r="AN12841" s="55" t="s">
        <v>187</v>
      </c>
      <c r="AO12841" s="55">
        <v>18</v>
      </c>
      <c r="AP12841" s="55">
        <v>23</v>
      </c>
      <c r="AQ12841" s="55">
        <v>0</v>
      </c>
      <c r="AR12841" s="55">
        <v>28500</v>
      </c>
      <c r="AS12841" s="78">
        <f t="shared" si="204"/>
        <v>0</v>
      </c>
    </row>
    <row r="12842" spans="39:45">
      <c r="AM12842" s="54">
        <v>2020</v>
      </c>
      <c r="AN12842" s="54" t="s">
        <v>187</v>
      </c>
      <c r="AO12842" s="54">
        <v>19</v>
      </c>
      <c r="AP12842" s="54">
        <v>24</v>
      </c>
      <c r="AQ12842" s="54">
        <v>0</v>
      </c>
      <c r="AR12842" s="55">
        <v>28500</v>
      </c>
      <c r="AS12842" s="78">
        <f t="shared" si="204"/>
        <v>0</v>
      </c>
    </row>
    <row r="12843" spans="39:45">
      <c r="AM12843" s="55">
        <v>2020</v>
      </c>
      <c r="AN12843" s="55" t="s">
        <v>187</v>
      </c>
      <c r="AO12843" s="55">
        <v>19</v>
      </c>
      <c r="AP12843" s="55">
        <v>1</v>
      </c>
      <c r="AQ12843" s="55">
        <v>0</v>
      </c>
      <c r="AR12843" s="55">
        <v>28500</v>
      </c>
      <c r="AS12843" s="78">
        <f t="shared" si="204"/>
        <v>0</v>
      </c>
    </row>
    <row r="12844" spans="39:45">
      <c r="AM12844" s="54">
        <v>2020</v>
      </c>
      <c r="AN12844" s="54" t="s">
        <v>187</v>
      </c>
      <c r="AO12844" s="54">
        <v>19</v>
      </c>
      <c r="AP12844" s="54">
        <v>2</v>
      </c>
      <c r="AQ12844" s="54">
        <v>0</v>
      </c>
      <c r="AR12844" s="55">
        <v>28500</v>
      </c>
      <c r="AS12844" s="78">
        <f t="shared" si="204"/>
        <v>0</v>
      </c>
    </row>
    <row r="12845" spans="39:45">
      <c r="AM12845" s="55">
        <v>2020</v>
      </c>
      <c r="AN12845" s="55" t="s">
        <v>187</v>
      </c>
      <c r="AO12845" s="55">
        <v>19</v>
      </c>
      <c r="AP12845" s="55">
        <v>3</v>
      </c>
      <c r="AQ12845" s="55">
        <v>0</v>
      </c>
      <c r="AR12845" s="55">
        <v>28500</v>
      </c>
      <c r="AS12845" s="78">
        <f t="shared" si="204"/>
        <v>0</v>
      </c>
    </row>
    <row r="12846" spans="39:45">
      <c r="AM12846" s="54">
        <v>2020</v>
      </c>
      <c r="AN12846" s="54" t="s">
        <v>187</v>
      </c>
      <c r="AO12846" s="54">
        <v>19</v>
      </c>
      <c r="AP12846" s="54">
        <v>4</v>
      </c>
      <c r="AQ12846" s="54">
        <v>0</v>
      </c>
      <c r="AR12846" s="55">
        <v>28500</v>
      </c>
      <c r="AS12846" s="78">
        <f t="shared" si="204"/>
        <v>0</v>
      </c>
    </row>
    <row r="12847" spans="39:45">
      <c r="AM12847" s="55">
        <v>2020</v>
      </c>
      <c r="AN12847" s="55" t="s">
        <v>187</v>
      </c>
      <c r="AO12847" s="55">
        <v>19</v>
      </c>
      <c r="AP12847" s="55">
        <v>5</v>
      </c>
      <c r="AQ12847" s="55">
        <v>116.5</v>
      </c>
      <c r="AR12847" s="55">
        <v>28500</v>
      </c>
      <c r="AS12847" s="78">
        <f t="shared" si="204"/>
        <v>4.087719298245614E-3</v>
      </c>
    </row>
    <row r="12848" spans="39:45">
      <c r="AM12848" s="54">
        <v>2020</v>
      </c>
      <c r="AN12848" s="54" t="s">
        <v>187</v>
      </c>
      <c r="AO12848" s="54">
        <v>19</v>
      </c>
      <c r="AP12848" s="54">
        <v>6</v>
      </c>
      <c r="AQ12848" s="54">
        <v>946.5</v>
      </c>
      <c r="AR12848" s="55">
        <v>28500</v>
      </c>
      <c r="AS12848" s="78">
        <f t="shared" si="204"/>
        <v>3.3210526315789475E-2</v>
      </c>
    </row>
    <row r="12849" spans="39:45">
      <c r="AM12849" s="55">
        <v>2020</v>
      </c>
      <c r="AN12849" s="55" t="s">
        <v>187</v>
      </c>
      <c r="AO12849" s="55">
        <v>19</v>
      </c>
      <c r="AP12849" s="55">
        <v>7</v>
      </c>
      <c r="AQ12849" s="55">
        <v>2435</v>
      </c>
      <c r="AR12849" s="55">
        <v>28500</v>
      </c>
      <c r="AS12849" s="78">
        <f t="shared" si="204"/>
        <v>8.5438596491228064E-2</v>
      </c>
    </row>
    <row r="12850" spans="39:45">
      <c r="AM12850" s="54">
        <v>2020</v>
      </c>
      <c r="AN12850" s="54" t="s">
        <v>187</v>
      </c>
      <c r="AO12850" s="54">
        <v>19</v>
      </c>
      <c r="AP12850" s="54">
        <v>8</v>
      </c>
      <c r="AQ12850" s="54">
        <v>6558</v>
      </c>
      <c r="AR12850" s="55">
        <v>28500</v>
      </c>
      <c r="AS12850" s="78">
        <f t="shared" si="204"/>
        <v>0.23010526315789473</v>
      </c>
    </row>
    <row r="12851" spans="39:45">
      <c r="AM12851" s="55">
        <v>2020</v>
      </c>
      <c r="AN12851" s="55" t="s">
        <v>187</v>
      </c>
      <c r="AO12851" s="55">
        <v>19</v>
      </c>
      <c r="AP12851" s="55">
        <v>9</v>
      </c>
      <c r="AQ12851" s="55">
        <v>7899</v>
      </c>
      <c r="AR12851" s="55">
        <v>28500</v>
      </c>
      <c r="AS12851" s="78">
        <f t="shared" si="204"/>
        <v>0.2771578947368421</v>
      </c>
    </row>
    <row r="12852" spans="39:45">
      <c r="AM12852" s="54">
        <v>2020</v>
      </c>
      <c r="AN12852" s="54" t="s">
        <v>187</v>
      </c>
      <c r="AO12852" s="54">
        <v>19</v>
      </c>
      <c r="AP12852" s="54">
        <v>10</v>
      </c>
      <c r="AQ12852" s="54">
        <v>20916</v>
      </c>
      <c r="AR12852" s="55">
        <v>28500</v>
      </c>
      <c r="AS12852" s="78">
        <f t="shared" si="204"/>
        <v>0.73389473684210527</v>
      </c>
    </row>
    <row r="12853" spans="39:45">
      <c r="AM12853" s="55">
        <v>2020</v>
      </c>
      <c r="AN12853" s="55" t="s">
        <v>187</v>
      </c>
      <c r="AO12853" s="55">
        <v>19</v>
      </c>
      <c r="AP12853" s="55">
        <v>11</v>
      </c>
      <c r="AQ12853" s="55">
        <v>16798.5</v>
      </c>
      <c r="AR12853" s="55">
        <v>28500</v>
      </c>
      <c r="AS12853" s="78">
        <f t="shared" si="204"/>
        <v>0.58942105263157896</v>
      </c>
    </row>
    <row r="12854" spans="39:45">
      <c r="AM12854" s="54">
        <v>2020</v>
      </c>
      <c r="AN12854" s="54" t="s">
        <v>187</v>
      </c>
      <c r="AO12854" s="54">
        <v>19</v>
      </c>
      <c r="AP12854" s="54">
        <v>12</v>
      </c>
      <c r="AQ12854" s="54">
        <v>10205.5</v>
      </c>
      <c r="AR12854" s="55">
        <v>28500</v>
      </c>
      <c r="AS12854" s="78">
        <f t="shared" si="204"/>
        <v>0.35808771929824562</v>
      </c>
    </row>
    <row r="12855" spans="39:45">
      <c r="AM12855" s="55">
        <v>2020</v>
      </c>
      <c r="AN12855" s="55" t="s">
        <v>187</v>
      </c>
      <c r="AO12855" s="55">
        <v>19</v>
      </c>
      <c r="AP12855" s="55">
        <v>13</v>
      </c>
      <c r="AQ12855" s="55">
        <v>15385.5</v>
      </c>
      <c r="AR12855" s="55">
        <v>28500</v>
      </c>
      <c r="AS12855" s="78">
        <f t="shared" si="204"/>
        <v>0.5398421052631579</v>
      </c>
    </row>
    <row r="12856" spans="39:45">
      <c r="AM12856" s="54">
        <v>2020</v>
      </c>
      <c r="AN12856" s="54" t="s">
        <v>187</v>
      </c>
      <c r="AO12856" s="54">
        <v>19</v>
      </c>
      <c r="AP12856" s="54">
        <v>14</v>
      </c>
      <c r="AQ12856" s="54">
        <v>12742</v>
      </c>
      <c r="AR12856" s="55">
        <v>28500</v>
      </c>
      <c r="AS12856" s="78">
        <f t="shared" si="204"/>
        <v>0.44708771929824559</v>
      </c>
    </row>
    <row r="12857" spans="39:45">
      <c r="AM12857" s="55">
        <v>2020</v>
      </c>
      <c r="AN12857" s="55" t="s">
        <v>187</v>
      </c>
      <c r="AO12857" s="55">
        <v>19</v>
      </c>
      <c r="AP12857" s="55">
        <v>15</v>
      </c>
      <c r="AQ12857" s="55">
        <v>17963</v>
      </c>
      <c r="AR12857" s="55">
        <v>28500</v>
      </c>
      <c r="AS12857" s="78">
        <f t="shared" si="204"/>
        <v>0.630280701754386</v>
      </c>
    </row>
    <row r="12858" spans="39:45">
      <c r="AM12858" s="54">
        <v>2020</v>
      </c>
      <c r="AN12858" s="54" t="s">
        <v>187</v>
      </c>
      <c r="AO12858" s="54">
        <v>19</v>
      </c>
      <c r="AP12858" s="54">
        <v>16</v>
      </c>
      <c r="AQ12858" s="54">
        <v>11124</v>
      </c>
      <c r="AR12858" s="55">
        <v>28500</v>
      </c>
      <c r="AS12858" s="78">
        <f t="shared" si="204"/>
        <v>0.39031578947368423</v>
      </c>
    </row>
    <row r="12859" spans="39:45">
      <c r="AM12859" s="55">
        <v>2020</v>
      </c>
      <c r="AN12859" s="55" t="s">
        <v>187</v>
      </c>
      <c r="AO12859" s="55">
        <v>19</v>
      </c>
      <c r="AP12859" s="55">
        <v>17</v>
      </c>
      <c r="AQ12859" s="55">
        <v>4300.5</v>
      </c>
      <c r="AR12859" s="55">
        <v>28500</v>
      </c>
      <c r="AS12859" s="78">
        <f t="shared" si="204"/>
        <v>0.15089473684210528</v>
      </c>
    </row>
    <row r="12860" spans="39:45">
      <c r="AM12860" s="54">
        <v>2020</v>
      </c>
      <c r="AN12860" s="54" t="s">
        <v>187</v>
      </c>
      <c r="AO12860" s="54">
        <v>19</v>
      </c>
      <c r="AP12860" s="54">
        <v>18</v>
      </c>
      <c r="AQ12860" s="54">
        <v>3540</v>
      </c>
      <c r="AR12860" s="55">
        <v>28500</v>
      </c>
      <c r="AS12860" s="78">
        <f t="shared" si="204"/>
        <v>0.12421052631578948</v>
      </c>
    </row>
    <row r="12861" spans="39:45">
      <c r="AM12861" s="55">
        <v>2020</v>
      </c>
      <c r="AN12861" s="55" t="s">
        <v>187</v>
      </c>
      <c r="AO12861" s="55">
        <v>19</v>
      </c>
      <c r="AP12861" s="55">
        <v>19</v>
      </c>
      <c r="AQ12861" s="55">
        <v>73.5</v>
      </c>
      <c r="AR12861" s="55">
        <v>28500</v>
      </c>
      <c r="AS12861" s="78">
        <f t="shared" si="204"/>
        <v>2.5789473684210526E-3</v>
      </c>
    </row>
    <row r="12862" spans="39:45">
      <c r="AM12862" s="54">
        <v>2020</v>
      </c>
      <c r="AN12862" s="54" t="s">
        <v>187</v>
      </c>
      <c r="AO12862" s="54">
        <v>19</v>
      </c>
      <c r="AP12862" s="54">
        <v>20</v>
      </c>
      <c r="AQ12862" s="54">
        <v>0</v>
      </c>
      <c r="AR12862" s="55">
        <v>28500</v>
      </c>
      <c r="AS12862" s="78">
        <f t="shared" si="204"/>
        <v>0</v>
      </c>
    </row>
    <row r="12863" spans="39:45">
      <c r="AM12863" s="55">
        <v>2020</v>
      </c>
      <c r="AN12863" s="55" t="s">
        <v>187</v>
      </c>
      <c r="AO12863" s="55">
        <v>19</v>
      </c>
      <c r="AP12863" s="55">
        <v>21</v>
      </c>
      <c r="AQ12863" s="55">
        <v>0</v>
      </c>
      <c r="AR12863" s="55">
        <v>28500</v>
      </c>
      <c r="AS12863" s="78">
        <f t="shared" si="204"/>
        <v>0</v>
      </c>
    </row>
    <row r="12864" spans="39:45">
      <c r="AM12864" s="54">
        <v>2020</v>
      </c>
      <c r="AN12864" s="54" t="s">
        <v>187</v>
      </c>
      <c r="AO12864" s="54">
        <v>19</v>
      </c>
      <c r="AP12864" s="54">
        <v>22</v>
      </c>
      <c r="AQ12864" s="54">
        <v>0</v>
      </c>
      <c r="AR12864" s="55">
        <v>28500</v>
      </c>
      <c r="AS12864" s="78">
        <f t="shared" si="204"/>
        <v>0</v>
      </c>
    </row>
    <row r="12865" spans="39:45">
      <c r="AM12865" s="55">
        <v>2020</v>
      </c>
      <c r="AN12865" s="55" t="s">
        <v>187</v>
      </c>
      <c r="AO12865" s="55">
        <v>19</v>
      </c>
      <c r="AP12865" s="55">
        <v>23</v>
      </c>
      <c r="AQ12865" s="55">
        <v>0</v>
      </c>
      <c r="AR12865" s="55">
        <v>28500</v>
      </c>
      <c r="AS12865" s="78">
        <f t="shared" si="204"/>
        <v>0</v>
      </c>
    </row>
    <row r="12866" spans="39:45">
      <c r="AM12866" s="54">
        <v>2020</v>
      </c>
      <c r="AN12866" s="54" t="s">
        <v>187</v>
      </c>
      <c r="AO12866" s="54">
        <v>20</v>
      </c>
      <c r="AP12866" s="54">
        <v>24</v>
      </c>
      <c r="AQ12866" s="54">
        <v>0</v>
      </c>
      <c r="AR12866" s="55">
        <v>28500</v>
      </c>
      <c r="AS12866" s="78">
        <f t="shared" ref="AS12866:AS12929" si="205">AQ12866/AR12866</f>
        <v>0</v>
      </c>
    </row>
    <row r="12867" spans="39:45">
      <c r="AM12867" s="55">
        <v>2020</v>
      </c>
      <c r="AN12867" s="55" t="s">
        <v>187</v>
      </c>
      <c r="AO12867" s="55">
        <v>20</v>
      </c>
      <c r="AP12867" s="55">
        <v>1</v>
      </c>
      <c r="AQ12867" s="55">
        <v>0</v>
      </c>
      <c r="AR12867" s="55">
        <v>28500</v>
      </c>
      <c r="AS12867" s="78">
        <f t="shared" si="205"/>
        <v>0</v>
      </c>
    </row>
    <row r="12868" spans="39:45">
      <c r="AM12868" s="54">
        <v>2020</v>
      </c>
      <c r="AN12868" s="54" t="s">
        <v>187</v>
      </c>
      <c r="AO12868" s="54">
        <v>20</v>
      </c>
      <c r="AP12868" s="54">
        <v>2</v>
      </c>
      <c r="AQ12868" s="54">
        <v>0</v>
      </c>
      <c r="AR12868" s="55">
        <v>28500</v>
      </c>
      <c r="AS12868" s="78">
        <f t="shared" si="205"/>
        <v>0</v>
      </c>
    </row>
    <row r="12869" spans="39:45">
      <c r="AM12869" s="55">
        <v>2020</v>
      </c>
      <c r="AN12869" s="55" t="s">
        <v>187</v>
      </c>
      <c r="AO12869" s="55">
        <v>20</v>
      </c>
      <c r="AP12869" s="55">
        <v>3</v>
      </c>
      <c r="AQ12869" s="55">
        <v>0</v>
      </c>
      <c r="AR12869" s="55">
        <v>28500</v>
      </c>
      <c r="AS12869" s="78">
        <f t="shared" si="205"/>
        <v>0</v>
      </c>
    </row>
    <row r="12870" spans="39:45">
      <c r="AM12870" s="54">
        <v>2020</v>
      </c>
      <c r="AN12870" s="54" t="s">
        <v>187</v>
      </c>
      <c r="AO12870" s="54">
        <v>20</v>
      </c>
      <c r="AP12870" s="54">
        <v>4</v>
      </c>
      <c r="AQ12870" s="54">
        <v>118</v>
      </c>
      <c r="AR12870" s="55">
        <v>28500</v>
      </c>
      <c r="AS12870" s="78">
        <f t="shared" si="205"/>
        <v>4.1403508771929824E-3</v>
      </c>
    </row>
    <row r="12871" spans="39:45">
      <c r="AM12871" s="55">
        <v>2020</v>
      </c>
      <c r="AN12871" s="55" t="s">
        <v>187</v>
      </c>
      <c r="AO12871" s="55">
        <v>20</v>
      </c>
      <c r="AP12871" s="55">
        <v>5</v>
      </c>
      <c r="AQ12871" s="55">
        <v>1271</v>
      </c>
      <c r="AR12871" s="55">
        <v>28500</v>
      </c>
      <c r="AS12871" s="78">
        <f t="shared" si="205"/>
        <v>4.4596491228070176E-2</v>
      </c>
    </row>
    <row r="12872" spans="39:45">
      <c r="AM12872" s="54">
        <v>2020</v>
      </c>
      <c r="AN12872" s="54" t="s">
        <v>187</v>
      </c>
      <c r="AO12872" s="54">
        <v>20</v>
      </c>
      <c r="AP12872" s="54">
        <v>6</v>
      </c>
      <c r="AQ12872" s="54">
        <v>3946.5</v>
      </c>
      <c r="AR12872" s="55">
        <v>28500</v>
      </c>
      <c r="AS12872" s="78">
        <f t="shared" si="205"/>
        <v>0.1384736842105263</v>
      </c>
    </row>
    <row r="12873" spans="39:45">
      <c r="AM12873" s="55">
        <v>2020</v>
      </c>
      <c r="AN12873" s="55" t="s">
        <v>187</v>
      </c>
      <c r="AO12873" s="55">
        <v>20</v>
      </c>
      <c r="AP12873" s="55">
        <v>7</v>
      </c>
      <c r="AQ12873" s="55">
        <v>10450.5</v>
      </c>
      <c r="AR12873" s="55">
        <v>28500</v>
      </c>
      <c r="AS12873" s="78">
        <f t="shared" si="205"/>
        <v>0.36668421052631578</v>
      </c>
    </row>
    <row r="12874" spans="39:45">
      <c r="AM12874" s="54">
        <v>2020</v>
      </c>
      <c r="AN12874" s="54" t="s">
        <v>187</v>
      </c>
      <c r="AO12874" s="54">
        <v>20</v>
      </c>
      <c r="AP12874" s="54">
        <v>8</v>
      </c>
      <c r="AQ12874" s="54">
        <v>17510.5</v>
      </c>
      <c r="AR12874" s="55">
        <v>28500</v>
      </c>
      <c r="AS12874" s="78">
        <f t="shared" si="205"/>
        <v>0.61440350877192984</v>
      </c>
    </row>
    <row r="12875" spans="39:45">
      <c r="AM12875" s="55">
        <v>2020</v>
      </c>
      <c r="AN12875" s="55" t="s">
        <v>187</v>
      </c>
      <c r="AO12875" s="55">
        <v>20</v>
      </c>
      <c r="AP12875" s="55">
        <v>9</v>
      </c>
      <c r="AQ12875" s="55">
        <v>20182</v>
      </c>
      <c r="AR12875" s="55">
        <v>28500</v>
      </c>
      <c r="AS12875" s="78">
        <f t="shared" si="205"/>
        <v>0.70814035087719296</v>
      </c>
    </row>
    <row r="12876" spans="39:45">
      <c r="AM12876" s="54">
        <v>2020</v>
      </c>
      <c r="AN12876" s="54" t="s">
        <v>187</v>
      </c>
      <c r="AO12876" s="54">
        <v>20</v>
      </c>
      <c r="AP12876" s="54">
        <v>10</v>
      </c>
      <c r="AQ12876" s="54">
        <v>28781</v>
      </c>
      <c r="AR12876" s="55">
        <v>28500</v>
      </c>
      <c r="AS12876" s="78">
        <f t="shared" si="205"/>
        <v>1.0098596491228071</v>
      </c>
    </row>
    <row r="12877" spans="39:45">
      <c r="AM12877" s="55">
        <v>2020</v>
      </c>
      <c r="AN12877" s="55" t="s">
        <v>187</v>
      </c>
      <c r="AO12877" s="55">
        <v>20</v>
      </c>
      <c r="AP12877" s="55">
        <v>11</v>
      </c>
      <c r="AQ12877" s="55">
        <v>10368.5</v>
      </c>
      <c r="AR12877" s="55">
        <v>28500</v>
      </c>
      <c r="AS12877" s="78">
        <f t="shared" si="205"/>
        <v>0.36380701754385963</v>
      </c>
    </row>
    <row r="12878" spans="39:45">
      <c r="AM12878" s="54">
        <v>2020</v>
      </c>
      <c r="AN12878" s="54" t="s">
        <v>187</v>
      </c>
      <c r="AO12878" s="54">
        <v>20</v>
      </c>
      <c r="AP12878" s="54">
        <v>12</v>
      </c>
      <c r="AQ12878" s="54">
        <v>25632</v>
      </c>
      <c r="AR12878" s="55">
        <v>28500</v>
      </c>
      <c r="AS12878" s="78">
        <f t="shared" si="205"/>
        <v>0.89936842105263159</v>
      </c>
    </row>
    <row r="12879" spans="39:45">
      <c r="AM12879" s="55">
        <v>2020</v>
      </c>
      <c r="AN12879" s="55" t="s">
        <v>187</v>
      </c>
      <c r="AO12879" s="55">
        <v>20</v>
      </c>
      <c r="AP12879" s="55">
        <v>13</v>
      </c>
      <c r="AQ12879" s="55">
        <v>27285.5</v>
      </c>
      <c r="AR12879" s="55">
        <v>28500</v>
      </c>
      <c r="AS12879" s="78">
        <f t="shared" si="205"/>
        <v>0.95738596491228067</v>
      </c>
    </row>
    <row r="12880" spans="39:45">
      <c r="AM12880" s="54">
        <v>2020</v>
      </c>
      <c r="AN12880" s="54" t="s">
        <v>187</v>
      </c>
      <c r="AO12880" s="54">
        <v>20</v>
      </c>
      <c r="AP12880" s="54">
        <v>14</v>
      </c>
      <c r="AQ12880" s="54">
        <v>32125.5</v>
      </c>
      <c r="AR12880" s="55">
        <v>28500</v>
      </c>
      <c r="AS12880" s="78">
        <f t="shared" si="205"/>
        <v>1.1272105263157894</v>
      </c>
    </row>
    <row r="12881" spans="39:45">
      <c r="AM12881" s="55">
        <v>2020</v>
      </c>
      <c r="AN12881" s="55" t="s">
        <v>187</v>
      </c>
      <c r="AO12881" s="55">
        <v>20</v>
      </c>
      <c r="AP12881" s="55">
        <v>15</v>
      </c>
      <c r="AQ12881" s="55">
        <v>25263</v>
      </c>
      <c r="AR12881" s="55">
        <v>28500</v>
      </c>
      <c r="AS12881" s="78">
        <f t="shared" si="205"/>
        <v>0.886421052631579</v>
      </c>
    </row>
    <row r="12882" spans="39:45">
      <c r="AM12882" s="54">
        <v>2020</v>
      </c>
      <c r="AN12882" s="54" t="s">
        <v>187</v>
      </c>
      <c r="AO12882" s="54">
        <v>20</v>
      </c>
      <c r="AP12882" s="54">
        <v>16</v>
      </c>
      <c r="AQ12882" s="54">
        <v>19229</v>
      </c>
      <c r="AR12882" s="55">
        <v>28500</v>
      </c>
      <c r="AS12882" s="78">
        <f t="shared" si="205"/>
        <v>0.67470175438596491</v>
      </c>
    </row>
    <row r="12883" spans="39:45">
      <c r="AM12883" s="55">
        <v>2020</v>
      </c>
      <c r="AN12883" s="55" t="s">
        <v>187</v>
      </c>
      <c r="AO12883" s="55">
        <v>20</v>
      </c>
      <c r="AP12883" s="55">
        <v>17</v>
      </c>
      <c r="AQ12883" s="55">
        <v>9710.5</v>
      </c>
      <c r="AR12883" s="55">
        <v>28500</v>
      </c>
      <c r="AS12883" s="78">
        <f t="shared" si="205"/>
        <v>0.34071929824561403</v>
      </c>
    </row>
    <row r="12884" spans="39:45">
      <c r="AM12884" s="54">
        <v>2020</v>
      </c>
      <c r="AN12884" s="54" t="s">
        <v>187</v>
      </c>
      <c r="AO12884" s="54">
        <v>20</v>
      </c>
      <c r="AP12884" s="54">
        <v>18</v>
      </c>
      <c r="AQ12884" s="54">
        <v>1821.5</v>
      </c>
      <c r="AR12884" s="55">
        <v>28500</v>
      </c>
      <c r="AS12884" s="78">
        <f t="shared" si="205"/>
        <v>6.3912280701754393E-2</v>
      </c>
    </row>
    <row r="12885" spans="39:45">
      <c r="AM12885" s="55">
        <v>2020</v>
      </c>
      <c r="AN12885" s="55" t="s">
        <v>187</v>
      </c>
      <c r="AO12885" s="55">
        <v>20</v>
      </c>
      <c r="AP12885" s="55">
        <v>19</v>
      </c>
      <c r="AQ12885" s="55">
        <v>1206</v>
      </c>
      <c r="AR12885" s="55">
        <v>28500</v>
      </c>
      <c r="AS12885" s="78">
        <f t="shared" si="205"/>
        <v>4.2315789473684209E-2</v>
      </c>
    </row>
    <row r="12886" spans="39:45">
      <c r="AM12886" s="54">
        <v>2020</v>
      </c>
      <c r="AN12886" s="54" t="s">
        <v>187</v>
      </c>
      <c r="AO12886" s="54">
        <v>20</v>
      </c>
      <c r="AP12886" s="54">
        <v>20</v>
      </c>
      <c r="AQ12886" s="54">
        <v>0</v>
      </c>
      <c r="AR12886" s="55">
        <v>28500</v>
      </c>
      <c r="AS12886" s="78">
        <f t="shared" si="205"/>
        <v>0</v>
      </c>
    </row>
    <row r="12887" spans="39:45">
      <c r="AM12887" s="55">
        <v>2020</v>
      </c>
      <c r="AN12887" s="55" t="s">
        <v>187</v>
      </c>
      <c r="AO12887" s="55">
        <v>20</v>
      </c>
      <c r="AP12887" s="55">
        <v>21</v>
      </c>
      <c r="AQ12887" s="55">
        <v>0</v>
      </c>
      <c r="AR12887" s="55">
        <v>28500</v>
      </c>
      <c r="AS12887" s="78">
        <f t="shared" si="205"/>
        <v>0</v>
      </c>
    </row>
    <row r="12888" spans="39:45">
      <c r="AM12888" s="54">
        <v>2020</v>
      </c>
      <c r="AN12888" s="54" t="s">
        <v>187</v>
      </c>
      <c r="AO12888" s="54">
        <v>20</v>
      </c>
      <c r="AP12888" s="54">
        <v>22</v>
      </c>
      <c r="AQ12888" s="54">
        <v>0</v>
      </c>
      <c r="AR12888" s="55">
        <v>28500</v>
      </c>
      <c r="AS12888" s="78">
        <f t="shared" si="205"/>
        <v>0</v>
      </c>
    </row>
    <row r="12889" spans="39:45">
      <c r="AM12889" s="55">
        <v>2020</v>
      </c>
      <c r="AN12889" s="55" t="s">
        <v>187</v>
      </c>
      <c r="AO12889" s="55">
        <v>20</v>
      </c>
      <c r="AP12889" s="55">
        <v>23</v>
      </c>
      <c r="AQ12889" s="55">
        <v>0</v>
      </c>
      <c r="AR12889" s="55">
        <v>28500</v>
      </c>
      <c r="AS12889" s="78">
        <f t="shared" si="205"/>
        <v>0</v>
      </c>
    </row>
    <row r="12890" spans="39:45">
      <c r="AM12890" s="54">
        <v>2020</v>
      </c>
      <c r="AN12890" s="54" t="s">
        <v>187</v>
      </c>
      <c r="AO12890" s="54">
        <v>21</v>
      </c>
      <c r="AP12890" s="54">
        <v>24</v>
      </c>
      <c r="AQ12890" s="54">
        <v>0</v>
      </c>
      <c r="AR12890" s="55">
        <v>28500</v>
      </c>
      <c r="AS12890" s="78">
        <f t="shared" si="205"/>
        <v>0</v>
      </c>
    </row>
    <row r="12891" spans="39:45">
      <c r="AM12891" s="55">
        <v>2020</v>
      </c>
      <c r="AN12891" s="55" t="s">
        <v>187</v>
      </c>
      <c r="AO12891" s="55">
        <v>21</v>
      </c>
      <c r="AP12891" s="55">
        <v>1</v>
      </c>
      <c r="AQ12891" s="55">
        <v>0</v>
      </c>
      <c r="AR12891" s="55">
        <v>28500</v>
      </c>
      <c r="AS12891" s="78">
        <f t="shared" si="205"/>
        <v>0</v>
      </c>
    </row>
    <row r="12892" spans="39:45">
      <c r="AM12892" s="54">
        <v>2020</v>
      </c>
      <c r="AN12892" s="54" t="s">
        <v>187</v>
      </c>
      <c r="AO12892" s="54">
        <v>21</v>
      </c>
      <c r="AP12892" s="54">
        <v>2</v>
      </c>
      <c r="AQ12892" s="54">
        <v>0</v>
      </c>
      <c r="AR12892" s="55">
        <v>28500</v>
      </c>
      <c r="AS12892" s="78">
        <f t="shared" si="205"/>
        <v>0</v>
      </c>
    </row>
    <row r="12893" spans="39:45">
      <c r="AM12893" s="55">
        <v>2020</v>
      </c>
      <c r="AN12893" s="55" t="s">
        <v>187</v>
      </c>
      <c r="AO12893" s="55">
        <v>21</v>
      </c>
      <c r="AP12893" s="55">
        <v>3</v>
      </c>
      <c r="AQ12893" s="55">
        <v>0</v>
      </c>
      <c r="AR12893" s="55">
        <v>28500</v>
      </c>
      <c r="AS12893" s="78">
        <f t="shared" si="205"/>
        <v>0</v>
      </c>
    </row>
    <row r="12894" spans="39:45">
      <c r="AM12894" s="54">
        <v>2020</v>
      </c>
      <c r="AN12894" s="54" t="s">
        <v>187</v>
      </c>
      <c r="AO12894" s="54">
        <v>21</v>
      </c>
      <c r="AP12894" s="54">
        <v>4</v>
      </c>
      <c r="AQ12894" s="54">
        <v>0</v>
      </c>
      <c r="AR12894" s="55">
        <v>28500</v>
      </c>
      <c r="AS12894" s="78">
        <f t="shared" si="205"/>
        <v>0</v>
      </c>
    </row>
    <row r="12895" spans="39:45">
      <c r="AM12895" s="55">
        <v>2020</v>
      </c>
      <c r="AN12895" s="55" t="s">
        <v>187</v>
      </c>
      <c r="AO12895" s="55">
        <v>21</v>
      </c>
      <c r="AP12895" s="55">
        <v>5</v>
      </c>
      <c r="AQ12895" s="55">
        <v>1751.5</v>
      </c>
      <c r="AR12895" s="55">
        <v>28500</v>
      </c>
      <c r="AS12895" s="78">
        <f t="shared" si="205"/>
        <v>6.1456140350877195E-2</v>
      </c>
    </row>
    <row r="12896" spans="39:45">
      <c r="AM12896" s="54">
        <v>2020</v>
      </c>
      <c r="AN12896" s="54" t="s">
        <v>187</v>
      </c>
      <c r="AO12896" s="54">
        <v>21</v>
      </c>
      <c r="AP12896" s="54">
        <v>6</v>
      </c>
      <c r="AQ12896" s="54">
        <v>1532</v>
      </c>
      <c r="AR12896" s="55">
        <v>28500</v>
      </c>
      <c r="AS12896" s="78">
        <f t="shared" si="205"/>
        <v>5.3754385964912284E-2</v>
      </c>
    </row>
    <row r="12897" spans="39:45">
      <c r="AM12897" s="55">
        <v>2020</v>
      </c>
      <c r="AN12897" s="55" t="s">
        <v>187</v>
      </c>
      <c r="AO12897" s="55">
        <v>21</v>
      </c>
      <c r="AP12897" s="55">
        <v>7</v>
      </c>
      <c r="AQ12897" s="55">
        <v>3041</v>
      </c>
      <c r="AR12897" s="55">
        <v>28500</v>
      </c>
      <c r="AS12897" s="78">
        <f t="shared" si="205"/>
        <v>0.10670175438596491</v>
      </c>
    </row>
    <row r="12898" spans="39:45">
      <c r="AM12898" s="54">
        <v>2020</v>
      </c>
      <c r="AN12898" s="54" t="s">
        <v>187</v>
      </c>
      <c r="AO12898" s="54">
        <v>21</v>
      </c>
      <c r="AP12898" s="54">
        <v>8</v>
      </c>
      <c r="AQ12898" s="54">
        <v>4954.5</v>
      </c>
      <c r="AR12898" s="55">
        <v>28500</v>
      </c>
      <c r="AS12898" s="78">
        <f t="shared" si="205"/>
        <v>0.17384210526315788</v>
      </c>
    </row>
    <row r="12899" spans="39:45">
      <c r="AM12899" s="55">
        <v>2020</v>
      </c>
      <c r="AN12899" s="55" t="s">
        <v>187</v>
      </c>
      <c r="AO12899" s="55">
        <v>21</v>
      </c>
      <c r="AP12899" s="55">
        <v>9</v>
      </c>
      <c r="AQ12899" s="55">
        <v>14607.5</v>
      </c>
      <c r="AR12899" s="55">
        <v>28500</v>
      </c>
      <c r="AS12899" s="78">
        <f t="shared" si="205"/>
        <v>0.51254385964912286</v>
      </c>
    </row>
    <row r="12900" spans="39:45">
      <c r="AM12900" s="54">
        <v>2020</v>
      </c>
      <c r="AN12900" s="54" t="s">
        <v>187</v>
      </c>
      <c r="AO12900" s="54">
        <v>21</v>
      </c>
      <c r="AP12900" s="54">
        <v>10</v>
      </c>
      <c r="AQ12900" s="54">
        <v>29950</v>
      </c>
      <c r="AR12900" s="55">
        <v>28500</v>
      </c>
      <c r="AS12900" s="78">
        <f t="shared" si="205"/>
        <v>1.0508771929824561</v>
      </c>
    </row>
    <row r="12901" spans="39:45">
      <c r="AM12901" s="55">
        <v>2020</v>
      </c>
      <c r="AN12901" s="55" t="s">
        <v>187</v>
      </c>
      <c r="AO12901" s="55">
        <v>21</v>
      </c>
      <c r="AP12901" s="55">
        <v>11</v>
      </c>
      <c r="AQ12901" s="55">
        <v>25218.5</v>
      </c>
      <c r="AR12901" s="55">
        <v>28500</v>
      </c>
      <c r="AS12901" s="78">
        <f t="shared" si="205"/>
        <v>0.88485964912280701</v>
      </c>
    </row>
    <row r="12902" spans="39:45">
      <c r="AM12902" s="54">
        <v>2020</v>
      </c>
      <c r="AN12902" s="54" t="s">
        <v>187</v>
      </c>
      <c r="AO12902" s="54">
        <v>21</v>
      </c>
      <c r="AP12902" s="54">
        <v>12</v>
      </c>
      <c r="AQ12902" s="54">
        <v>29013.5</v>
      </c>
      <c r="AR12902" s="55">
        <v>28500</v>
      </c>
      <c r="AS12902" s="78">
        <f t="shared" si="205"/>
        <v>1.018017543859649</v>
      </c>
    </row>
    <row r="12903" spans="39:45">
      <c r="AM12903" s="55">
        <v>2020</v>
      </c>
      <c r="AN12903" s="55" t="s">
        <v>187</v>
      </c>
      <c r="AO12903" s="55">
        <v>21</v>
      </c>
      <c r="AP12903" s="55">
        <v>13</v>
      </c>
      <c r="AQ12903" s="55">
        <v>28351.5</v>
      </c>
      <c r="AR12903" s="55">
        <v>28500</v>
      </c>
      <c r="AS12903" s="78">
        <f t="shared" si="205"/>
        <v>0.99478947368421056</v>
      </c>
    </row>
    <row r="12904" spans="39:45">
      <c r="AM12904" s="54">
        <v>2020</v>
      </c>
      <c r="AN12904" s="54" t="s">
        <v>187</v>
      </c>
      <c r="AO12904" s="54">
        <v>21</v>
      </c>
      <c r="AP12904" s="54">
        <v>14</v>
      </c>
      <c r="AQ12904" s="54">
        <v>16844.5</v>
      </c>
      <c r="AR12904" s="55">
        <v>28500</v>
      </c>
      <c r="AS12904" s="78">
        <f t="shared" si="205"/>
        <v>0.59103508771929825</v>
      </c>
    </row>
    <row r="12905" spans="39:45">
      <c r="AM12905" s="55">
        <v>2020</v>
      </c>
      <c r="AN12905" s="55" t="s">
        <v>187</v>
      </c>
      <c r="AO12905" s="55">
        <v>21</v>
      </c>
      <c r="AP12905" s="55">
        <v>15</v>
      </c>
      <c r="AQ12905" s="55">
        <v>21217</v>
      </c>
      <c r="AR12905" s="55">
        <v>28500</v>
      </c>
      <c r="AS12905" s="78">
        <f t="shared" si="205"/>
        <v>0.74445614035087715</v>
      </c>
    </row>
    <row r="12906" spans="39:45">
      <c r="AM12906" s="54">
        <v>2020</v>
      </c>
      <c r="AN12906" s="54" t="s">
        <v>187</v>
      </c>
      <c r="AO12906" s="54">
        <v>21</v>
      </c>
      <c r="AP12906" s="54">
        <v>16</v>
      </c>
      <c r="AQ12906" s="54">
        <v>14434</v>
      </c>
      <c r="AR12906" s="55">
        <v>28500</v>
      </c>
      <c r="AS12906" s="78">
        <f t="shared" si="205"/>
        <v>0.50645614035087716</v>
      </c>
    </row>
    <row r="12907" spans="39:45">
      <c r="AM12907" s="55">
        <v>2020</v>
      </c>
      <c r="AN12907" s="55" t="s">
        <v>187</v>
      </c>
      <c r="AO12907" s="55">
        <v>21</v>
      </c>
      <c r="AP12907" s="55">
        <v>17</v>
      </c>
      <c r="AQ12907" s="55">
        <v>9679</v>
      </c>
      <c r="AR12907" s="55">
        <v>28500</v>
      </c>
      <c r="AS12907" s="78">
        <f t="shared" si="205"/>
        <v>0.33961403508771931</v>
      </c>
    </row>
    <row r="12908" spans="39:45">
      <c r="AM12908" s="54">
        <v>2020</v>
      </c>
      <c r="AN12908" s="54" t="s">
        <v>187</v>
      </c>
      <c r="AO12908" s="54">
        <v>21</v>
      </c>
      <c r="AP12908" s="54">
        <v>18</v>
      </c>
      <c r="AQ12908" s="54">
        <v>3083.5</v>
      </c>
      <c r="AR12908" s="55">
        <v>28500</v>
      </c>
      <c r="AS12908" s="78">
        <f t="shared" si="205"/>
        <v>0.10819298245614035</v>
      </c>
    </row>
    <row r="12909" spans="39:45">
      <c r="AM12909" s="55">
        <v>2020</v>
      </c>
      <c r="AN12909" s="55" t="s">
        <v>187</v>
      </c>
      <c r="AO12909" s="55">
        <v>21</v>
      </c>
      <c r="AP12909" s="55">
        <v>19</v>
      </c>
      <c r="AQ12909" s="55">
        <v>1049.5</v>
      </c>
      <c r="AR12909" s="55">
        <v>28500</v>
      </c>
      <c r="AS12909" s="78">
        <f t="shared" si="205"/>
        <v>3.6824561403508774E-2</v>
      </c>
    </row>
    <row r="12910" spans="39:45">
      <c r="AM12910" s="54">
        <v>2020</v>
      </c>
      <c r="AN12910" s="54" t="s">
        <v>187</v>
      </c>
      <c r="AO12910" s="54">
        <v>21</v>
      </c>
      <c r="AP12910" s="54">
        <v>20</v>
      </c>
      <c r="AQ12910" s="54">
        <v>0</v>
      </c>
      <c r="AR12910" s="55">
        <v>28500</v>
      </c>
      <c r="AS12910" s="78">
        <f t="shared" si="205"/>
        <v>0</v>
      </c>
    </row>
    <row r="12911" spans="39:45">
      <c r="AM12911" s="55">
        <v>2020</v>
      </c>
      <c r="AN12911" s="55" t="s">
        <v>187</v>
      </c>
      <c r="AO12911" s="55">
        <v>21</v>
      </c>
      <c r="AP12911" s="55">
        <v>21</v>
      </c>
      <c r="AQ12911" s="55">
        <v>0</v>
      </c>
      <c r="AR12911" s="55">
        <v>28500</v>
      </c>
      <c r="AS12911" s="78">
        <f t="shared" si="205"/>
        <v>0</v>
      </c>
    </row>
    <row r="12912" spans="39:45">
      <c r="AM12912" s="54">
        <v>2020</v>
      </c>
      <c r="AN12912" s="54" t="s">
        <v>187</v>
      </c>
      <c r="AO12912" s="54">
        <v>21</v>
      </c>
      <c r="AP12912" s="54">
        <v>22</v>
      </c>
      <c r="AQ12912" s="54">
        <v>0</v>
      </c>
      <c r="AR12912" s="55">
        <v>28500</v>
      </c>
      <c r="AS12912" s="78">
        <f t="shared" si="205"/>
        <v>0</v>
      </c>
    </row>
    <row r="12913" spans="39:45">
      <c r="AM12913" s="55">
        <v>2020</v>
      </c>
      <c r="AN12913" s="55" t="s">
        <v>187</v>
      </c>
      <c r="AO12913" s="55">
        <v>21</v>
      </c>
      <c r="AP12913" s="55">
        <v>23</v>
      </c>
      <c r="AQ12913" s="55">
        <v>0</v>
      </c>
      <c r="AR12913" s="55">
        <v>28500</v>
      </c>
      <c r="AS12913" s="78">
        <f t="shared" si="205"/>
        <v>0</v>
      </c>
    </row>
    <row r="12914" spans="39:45">
      <c r="AM12914" s="54">
        <v>2020</v>
      </c>
      <c r="AN12914" s="54" t="s">
        <v>187</v>
      </c>
      <c r="AO12914" s="54">
        <v>22</v>
      </c>
      <c r="AP12914" s="54">
        <v>24</v>
      </c>
      <c r="AQ12914" s="54">
        <v>0</v>
      </c>
      <c r="AR12914" s="55">
        <v>28500</v>
      </c>
      <c r="AS12914" s="78">
        <f t="shared" si="205"/>
        <v>0</v>
      </c>
    </row>
    <row r="12915" spans="39:45">
      <c r="AM12915" s="55">
        <v>2020</v>
      </c>
      <c r="AN12915" s="55" t="s">
        <v>187</v>
      </c>
      <c r="AO12915" s="55">
        <v>22</v>
      </c>
      <c r="AP12915" s="55">
        <v>1</v>
      </c>
      <c r="AQ12915" s="55">
        <v>0</v>
      </c>
      <c r="AR12915" s="55">
        <v>28500</v>
      </c>
      <c r="AS12915" s="78">
        <f t="shared" si="205"/>
        <v>0</v>
      </c>
    </row>
    <row r="12916" spans="39:45">
      <c r="AM12916" s="54">
        <v>2020</v>
      </c>
      <c r="AN12916" s="54" t="s">
        <v>187</v>
      </c>
      <c r="AO12916" s="54">
        <v>22</v>
      </c>
      <c r="AP12916" s="54">
        <v>2</v>
      </c>
      <c r="AQ12916" s="54">
        <v>0</v>
      </c>
      <c r="AR12916" s="55">
        <v>28500</v>
      </c>
      <c r="AS12916" s="78">
        <f t="shared" si="205"/>
        <v>0</v>
      </c>
    </row>
    <row r="12917" spans="39:45">
      <c r="AM12917" s="55">
        <v>2020</v>
      </c>
      <c r="AN12917" s="55" t="s">
        <v>187</v>
      </c>
      <c r="AO12917" s="55">
        <v>22</v>
      </c>
      <c r="AP12917" s="55">
        <v>3</v>
      </c>
      <c r="AQ12917" s="55">
        <v>0</v>
      </c>
      <c r="AR12917" s="55">
        <v>28500</v>
      </c>
      <c r="AS12917" s="78">
        <f t="shared" si="205"/>
        <v>0</v>
      </c>
    </row>
    <row r="12918" spans="39:45">
      <c r="AM12918" s="54">
        <v>2020</v>
      </c>
      <c r="AN12918" s="54" t="s">
        <v>187</v>
      </c>
      <c r="AO12918" s="54">
        <v>22</v>
      </c>
      <c r="AP12918" s="54">
        <v>4</v>
      </c>
      <c r="AQ12918" s="54">
        <v>38.5</v>
      </c>
      <c r="AR12918" s="55">
        <v>28500</v>
      </c>
      <c r="AS12918" s="78">
        <f t="shared" si="205"/>
        <v>1.3508771929824561E-3</v>
      </c>
    </row>
    <row r="12919" spans="39:45">
      <c r="AM12919" s="55">
        <v>2020</v>
      </c>
      <c r="AN12919" s="55" t="s">
        <v>187</v>
      </c>
      <c r="AO12919" s="55">
        <v>22</v>
      </c>
      <c r="AP12919" s="55">
        <v>5</v>
      </c>
      <c r="AQ12919" s="55">
        <v>1450</v>
      </c>
      <c r="AR12919" s="55">
        <v>28500</v>
      </c>
      <c r="AS12919" s="78">
        <f t="shared" si="205"/>
        <v>5.0877192982456139E-2</v>
      </c>
    </row>
    <row r="12920" spans="39:45">
      <c r="AM12920" s="54">
        <v>2020</v>
      </c>
      <c r="AN12920" s="54" t="s">
        <v>187</v>
      </c>
      <c r="AO12920" s="54">
        <v>22</v>
      </c>
      <c r="AP12920" s="54">
        <v>6</v>
      </c>
      <c r="AQ12920" s="54">
        <v>3840</v>
      </c>
      <c r="AR12920" s="55">
        <v>28500</v>
      </c>
      <c r="AS12920" s="78">
        <f t="shared" si="205"/>
        <v>0.13473684210526315</v>
      </c>
    </row>
    <row r="12921" spans="39:45">
      <c r="AM12921" s="55">
        <v>2020</v>
      </c>
      <c r="AN12921" s="55" t="s">
        <v>187</v>
      </c>
      <c r="AO12921" s="55">
        <v>22</v>
      </c>
      <c r="AP12921" s="55">
        <v>7</v>
      </c>
      <c r="AQ12921" s="55">
        <v>13201</v>
      </c>
      <c r="AR12921" s="55">
        <v>28500</v>
      </c>
      <c r="AS12921" s="78">
        <f t="shared" si="205"/>
        <v>0.46319298245614038</v>
      </c>
    </row>
    <row r="12922" spans="39:45">
      <c r="AM12922" s="54">
        <v>2020</v>
      </c>
      <c r="AN12922" s="54" t="s">
        <v>187</v>
      </c>
      <c r="AO12922" s="54">
        <v>22</v>
      </c>
      <c r="AP12922" s="54">
        <v>8</v>
      </c>
      <c r="AQ12922" s="54">
        <v>22696</v>
      </c>
      <c r="AR12922" s="55">
        <v>28500</v>
      </c>
      <c r="AS12922" s="78">
        <f t="shared" si="205"/>
        <v>0.79635087719298248</v>
      </c>
    </row>
    <row r="12923" spans="39:45">
      <c r="AM12923" s="55">
        <v>2020</v>
      </c>
      <c r="AN12923" s="55" t="s">
        <v>187</v>
      </c>
      <c r="AO12923" s="55">
        <v>22</v>
      </c>
      <c r="AP12923" s="55">
        <v>9</v>
      </c>
      <c r="AQ12923" s="55">
        <v>30182</v>
      </c>
      <c r="AR12923" s="55">
        <v>28500</v>
      </c>
      <c r="AS12923" s="78">
        <f t="shared" si="205"/>
        <v>1.0590175438596492</v>
      </c>
    </row>
    <row r="12924" spans="39:45">
      <c r="AM12924" s="54">
        <v>2020</v>
      </c>
      <c r="AN12924" s="54" t="s">
        <v>187</v>
      </c>
      <c r="AO12924" s="54">
        <v>22</v>
      </c>
      <c r="AP12924" s="54">
        <v>10</v>
      </c>
      <c r="AQ12924" s="54">
        <v>34868</v>
      </c>
      <c r="AR12924" s="55">
        <v>28500</v>
      </c>
      <c r="AS12924" s="78">
        <f t="shared" si="205"/>
        <v>1.223438596491228</v>
      </c>
    </row>
    <row r="12925" spans="39:45">
      <c r="AM12925" s="55">
        <v>2020</v>
      </c>
      <c r="AN12925" s="55" t="s">
        <v>187</v>
      </c>
      <c r="AO12925" s="55">
        <v>22</v>
      </c>
      <c r="AP12925" s="55">
        <v>11</v>
      </c>
      <c r="AQ12925" s="55">
        <v>39697.5</v>
      </c>
      <c r="AR12925" s="55">
        <v>28500</v>
      </c>
      <c r="AS12925" s="78">
        <f t="shared" si="205"/>
        <v>1.3928947368421052</v>
      </c>
    </row>
    <row r="12926" spans="39:45">
      <c r="AM12926" s="54">
        <v>2020</v>
      </c>
      <c r="AN12926" s="54" t="s">
        <v>187</v>
      </c>
      <c r="AO12926" s="54">
        <v>22</v>
      </c>
      <c r="AP12926" s="54">
        <v>12</v>
      </c>
      <c r="AQ12926" s="54">
        <v>40898</v>
      </c>
      <c r="AR12926" s="55">
        <v>28500</v>
      </c>
      <c r="AS12926" s="78">
        <f t="shared" si="205"/>
        <v>1.4350175438596491</v>
      </c>
    </row>
    <row r="12927" spans="39:45">
      <c r="AM12927" s="55">
        <v>2020</v>
      </c>
      <c r="AN12927" s="55" t="s">
        <v>187</v>
      </c>
      <c r="AO12927" s="55">
        <v>22</v>
      </c>
      <c r="AP12927" s="55">
        <v>13</v>
      </c>
      <c r="AQ12927" s="55">
        <v>37582.5</v>
      </c>
      <c r="AR12927" s="55">
        <v>28500</v>
      </c>
      <c r="AS12927" s="78">
        <f t="shared" si="205"/>
        <v>1.3186842105263157</v>
      </c>
    </row>
    <row r="12928" spans="39:45">
      <c r="AM12928" s="54">
        <v>2020</v>
      </c>
      <c r="AN12928" s="54" t="s">
        <v>187</v>
      </c>
      <c r="AO12928" s="54">
        <v>22</v>
      </c>
      <c r="AP12928" s="54">
        <v>14</v>
      </c>
      <c r="AQ12928" s="54">
        <v>34143</v>
      </c>
      <c r="AR12928" s="55">
        <v>28500</v>
      </c>
      <c r="AS12928" s="78">
        <f t="shared" si="205"/>
        <v>1.198</v>
      </c>
    </row>
    <row r="12929" spans="39:45">
      <c r="AM12929" s="55">
        <v>2020</v>
      </c>
      <c r="AN12929" s="55" t="s">
        <v>187</v>
      </c>
      <c r="AO12929" s="55">
        <v>22</v>
      </c>
      <c r="AP12929" s="55">
        <v>15</v>
      </c>
      <c r="AQ12929" s="55">
        <v>27757.5</v>
      </c>
      <c r="AR12929" s="55">
        <v>28500</v>
      </c>
      <c r="AS12929" s="78">
        <f t="shared" si="205"/>
        <v>0.97394736842105267</v>
      </c>
    </row>
    <row r="12930" spans="39:45">
      <c r="AM12930" s="54">
        <v>2020</v>
      </c>
      <c r="AN12930" s="54" t="s">
        <v>187</v>
      </c>
      <c r="AO12930" s="54">
        <v>22</v>
      </c>
      <c r="AP12930" s="54">
        <v>16</v>
      </c>
      <c r="AQ12930" s="54">
        <v>19446.5</v>
      </c>
      <c r="AR12930" s="55">
        <v>28500</v>
      </c>
      <c r="AS12930" s="78">
        <f t="shared" ref="AS12930:AS12993" si="206">AQ12930/AR12930</f>
        <v>0.68233333333333335</v>
      </c>
    </row>
    <row r="12931" spans="39:45">
      <c r="AM12931" s="55">
        <v>2020</v>
      </c>
      <c r="AN12931" s="55" t="s">
        <v>187</v>
      </c>
      <c r="AO12931" s="55">
        <v>22</v>
      </c>
      <c r="AP12931" s="55">
        <v>17</v>
      </c>
      <c r="AQ12931" s="55">
        <v>9761.5</v>
      </c>
      <c r="AR12931" s="55">
        <v>28500</v>
      </c>
      <c r="AS12931" s="78">
        <f t="shared" si="206"/>
        <v>0.34250877192982454</v>
      </c>
    </row>
    <row r="12932" spans="39:45">
      <c r="AM12932" s="54">
        <v>2020</v>
      </c>
      <c r="AN12932" s="54" t="s">
        <v>187</v>
      </c>
      <c r="AO12932" s="54">
        <v>22</v>
      </c>
      <c r="AP12932" s="54">
        <v>18</v>
      </c>
      <c r="AQ12932" s="54">
        <v>2034.5</v>
      </c>
      <c r="AR12932" s="55">
        <v>28500</v>
      </c>
      <c r="AS12932" s="78">
        <f t="shared" si="206"/>
        <v>7.1385964912280706E-2</v>
      </c>
    </row>
    <row r="12933" spans="39:45">
      <c r="AM12933" s="55">
        <v>2020</v>
      </c>
      <c r="AN12933" s="55" t="s">
        <v>187</v>
      </c>
      <c r="AO12933" s="55">
        <v>22</v>
      </c>
      <c r="AP12933" s="55">
        <v>19</v>
      </c>
      <c r="AQ12933" s="55">
        <v>957</v>
      </c>
      <c r="AR12933" s="55">
        <v>28500</v>
      </c>
      <c r="AS12933" s="78">
        <f t="shared" si="206"/>
        <v>3.3578947368421055E-2</v>
      </c>
    </row>
    <row r="12934" spans="39:45">
      <c r="AM12934" s="54">
        <v>2020</v>
      </c>
      <c r="AN12934" s="54" t="s">
        <v>187</v>
      </c>
      <c r="AO12934" s="54">
        <v>22</v>
      </c>
      <c r="AP12934" s="54">
        <v>20</v>
      </c>
      <c r="AQ12934" s="54">
        <v>0</v>
      </c>
      <c r="AR12934" s="55">
        <v>28500</v>
      </c>
      <c r="AS12934" s="78">
        <f t="shared" si="206"/>
        <v>0</v>
      </c>
    </row>
    <row r="12935" spans="39:45">
      <c r="AM12935" s="55">
        <v>2020</v>
      </c>
      <c r="AN12935" s="55" t="s">
        <v>187</v>
      </c>
      <c r="AO12935" s="55">
        <v>22</v>
      </c>
      <c r="AP12935" s="55">
        <v>21</v>
      </c>
      <c r="AQ12935" s="55">
        <v>0</v>
      </c>
      <c r="AR12935" s="55">
        <v>28500</v>
      </c>
      <c r="AS12935" s="78">
        <f t="shared" si="206"/>
        <v>0</v>
      </c>
    </row>
    <row r="12936" spans="39:45">
      <c r="AM12936" s="54">
        <v>2020</v>
      </c>
      <c r="AN12936" s="54" t="s">
        <v>187</v>
      </c>
      <c r="AO12936" s="54">
        <v>22</v>
      </c>
      <c r="AP12936" s="54">
        <v>22</v>
      </c>
      <c r="AQ12936" s="54">
        <v>0</v>
      </c>
      <c r="AR12936" s="55">
        <v>28500</v>
      </c>
      <c r="AS12936" s="78">
        <f t="shared" si="206"/>
        <v>0</v>
      </c>
    </row>
    <row r="12937" spans="39:45">
      <c r="AM12937" s="55">
        <v>2020</v>
      </c>
      <c r="AN12937" s="55" t="s">
        <v>187</v>
      </c>
      <c r="AO12937" s="55">
        <v>22</v>
      </c>
      <c r="AP12937" s="55">
        <v>23</v>
      </c>
      <c r="AQ12937" s="55">
        <v>0</v>
      </c>
      <c r="AR12937" s="55">
        <v>28500</v>
      </c>
      <c r="AS12937" s="78">
        <f t="shared" si="206"/>
        <v>0</v>
      </c>
    </row>
    <row r="12938" spans="39:45">
      <c r="AM12938" s="54">
        <v>2020</v>
      </c>
      <c r="AN12938" s="54" t="s">
        <v>187</v>
      </c>
      <c r="AO12938" s="54">
        <v>23</v>
      </c>
      <c r="AP12938" s="54">
        <v>24</v>
      </c>
      <c r="AQ12938" s="54">
        <v>0</v>
      </c>
      <c r="AR12938" s="55">
        <v>28500</v>
      </c>
      <c r="AS12938" s="78">
        <f t="shared" si="206"/>
        <v>0</v>
      </c>
    </row>
    <row r="12939" spans="39:45">
      <c r="AM12939" s="55">
        <v>2020</v>
      </c>
      <c r="AN12939" s="55" t="s">
        <v>187</v>
      </c>
      <c r="AO12939" s="55">
        <v>23</v>
      </c>
      <c r="AP12939" s="55">
        <v>1</v>
      </c>
      <c r="AQ12939" s="55">
        <v>0</v>
      </c>
      <c r="AR12939" s="55">
        <v>28500</v>
      </c>
      <c r="AS12939" s="78">
        <f t="shared" si="206"/>
        <v>0</v>
      </c>
    </row>
    <row r="12940" spans="39:45">
      <c r="AM12940" s="54">
        <v>2020</v>
      </c>
      <c r="AN12940" s="54" t="s">
        <v>187</v>
      </c>
      <c r="AO12940" s="54">
        <v>23</v>
      </c>
      <c r="AP12940" s="54">
        <v>2</v>
      </c>
      <c r="AQ12940" s="54">
        <v>0</v>
      </c>
      <c r="AR12940" s="55">
        <v>28500</v>
      </c>
      <c r="AS12940" s="78">
        <f t="shared" si="206"/>
        <v>0</v>
      </c>
    </row>
    <row r="12941" spans="39:45">
      <c r="AM12941" s="55">
        <v>2020</v>
      </c>
      <c r="AN12941" s="55" t="s">
        <v>187</v>
      </c>
      <c r="AO12941" s="55">
        <v>23</v>
      </c>
      <c r="AP12941" s="55">
        <v>3</v>
      </c>
      <c r="AQ12941" s="55">
        <v>0</v>
      </c>
      <c r="AR12941" s="55">
        <v>28500</v>
      </c>
      <c r="AS12941" s="78">
        <f t="shared" si="206"/>
        <v>0</v>
      </c>
    </row>
    <row r="12942" spans="39:45">
      <c r="AM12942" s="54">
        <v>2020</v>
      </c>
      <c r="AN12942" s="54" t="s">
        <v>187</v>
      </c>
      <c r="AO12942" s="54">
        <v>23</v>
      </c>
      <c r="AP12942" s="54">
        <v>4</v>
      </c>
      <c r="AQ12942" s="54">
        <v>37.5</v>
      </c>
      <c r="AR12942" s="55">
        <v>28500</v>
      </c>
      <c r="AS12942" s="78">
        <f t="shared" si="206"/>
        <v>1.3157894736842105E-3</v>
      </c>
    </row>
    <row r="12943" spans="39:45">
      <c r="AM12943" s="55">
        <v>2020</v>
      </c>
      <c r="AN12943" s="55" t="s">
        <v>187</v>
      </c>
      <c r="AO12943" s="55">
        <v>23</v>
      </c>
      <c r="AP12943" s="55">
        <v>5</v>
      </c>
      <c r="AQ12943" s="55">
        <v>1631.5</v>
      </c>
      <c r="AR12943" s="55">
        <v>28500</v>
      </c>
      <c r="AS12943" s="78">
        <f t="shared" si="206"/>
        <v>5.7245614035087718E-2</v>
      </c>
    </row>
    <row r="12944" spans="39:45">
      <c r="AM12944" s="54">
        <v>2020</v>
      </c>
      <c r="AN12944" s="54" t="s">
        <v>187</v>
      </c>
      <c r="AO12944" s="54">
        <v>23</v>
      </c>
      <c r="AP12944" s="54">
        <v>6</v>
      </c>
      <c r="AQ12944" s="54">
        <v>3992.5</v>
      </c>
      <c r="AR12944" s="55">
        <v>28500</v>
      </c>
      <c r="AS12944" s="78">
        <f t="shared" si="206"/>
        <v>0.14008771929824562</v>
      </c>
    </row>
    <row r="12945" spans="39:45">
      <c r="AM12945" s="55">
        <v>2020</v>
      </c>
      <c r="AN12945" s="55" t="s">
        <v>187</v>
      </c>
      <c r="AO12945" s="55">
        <v>23</v>
      </c>
      <c r="AP12945" s="55">
        <v>7</v>
      </c>
      <c r="AQ12945" s="55">
        <v>12800.5</v>
      </c>
      <c r="AR12945" s="55">
        <v>28500</v>
      </c>
      <c r="AS12945" s="78">
        <f t="shared" si="206"/>
        <v>0.44914035087719301</v>
      </c>
    </row>
    <row r="12946" spans="39:45">
      <c r="AM12946" s="54">
        <v>2020</v>
      </c>
      <c r="AN12946" s="54" t="s">
        <v>187</v>
      </c>
      <c r="AO12946" s="54">
        <v>23</v>
      </c>
      <c r="AP12946" s="54">
        <v>8</v>
      </c>
      <c r="AQ12946" s="54">
        <v>22057</v>
      </c>
      <c r="AR12946" s="55">
        <v>28500</v>
      </c>
      <c r="AS12946" s="78">
        <f t="shared" si="206"/>
        <v>0.77392982456140347</v>
      </c>
    </row>
    <row r="12947" spans="39:45">
      <c r="AM12947" s="55">
        <v>2020</v>
      </c>
      <c r="AN12947" s="55" t="s">
        <v>187</v>
      </c>
      <c r="AO12947" s="55">
        <v>23</v>
      </c>
      <c r="AP12947" s="55">
        <v>9</v>
      </c>
      <c r="AQ12947" s="55">
        <v>29640</v>
      </c>
      <c r="AR12947" s="55">
        <v>28500</v>
      </c>
      <c r="AS12947" s="78">
        <f t="shared" si="206"/>
        <v>1.04</v>
      </c>
    </row>
    <row r="12948" spans="39:45">
      <c r="AM12948" s="54">
        <v>2020</v>
      </c>
      <c r="AN12948" s="54" t="s">
        <v>187</v>
      </c>
      <c r="AO12948" s="54">
        <v>23</v>
      </c>
      <c r="AP12948" s="54">
        <v>10</v>
      </c>
      <c r="AQ12948" s="54">
        <v>34968.5</v>
      </c>
      <c r="AR12948" s="55">
        <v>28500</v>
      </c>
      <c r="AS12948" s="78">
        <f t="shared" si="206"/>
        <v>1.2269649122807018</v>
      </c>
    </row>
    <row r="12949" spans="39:45">
      <c r="AM12949" s="55">
        <v>2020</v>
      </c>
      <c r="AN12949" s="55" t="s">
        <v>187</v>
      </c>
      <c r="AO12949" s="55">
        <v>23</v>
      </c>
      <c r="AP12949" s="55">
        <v>11</v>
      </c>
      <c r="AQ12949" s="55">
        <v>38194</v>
      </c>
      <c r="AR12949" s="55">
        <v>28500</v>
      </c>
      <c r="AS12949" s="78">
        <f t="shared" si="206"/>
        <v>1.340140350877193</v>
      </c>
    </row>
    <row r="12950" spans="39:45">
      <c r="AM12950" s="54">
        <v>2020</v>
      </c>
      <c r="AN12950" s="54" t="s">
        <v>187</v>
      </c>
      <c r="AO12950" s="54">
        <v>23</v>
      </c>
      <c r="AP12950" s="54">
        <v>12</v>
      </c>
      <c r="AQ12950" s="54">
        <v>38523</v>
      </c>
      <c r="AR12950" s="55">
        <v>28500</v>
      </c>
      <c r="AS12950" s="78">
        <f t="shared" si="206"/>
        <v>1.3516842105263158</v>
      </c>
    </row>
    <row r="12951" spans="39:45">
      <c r="AM12951" s="55">
        <v>2020</v>
      </c>
      <c r="AN12951" s="55" t="s">
        <v>187</v>
      </c>
      <c r="AO12951" s="55">
        <v>23</v>
      </c>
      <c r="AP12951" s="55">
        <v>13</v>
      </c>
      <c r="AQ12951" s="55">
        <v>36658</v>
      </c>
      <c r="AR12951" s="55">
        <v>28500</v>
      </c>
      <c r="AS12951" s="78">
        <f t="shared" si="206"/>
        <v>1.2862456140350877</v>
      </c>
    </row>
    <row r="12952" spans="39:45">
      <c r="AM12952" s="54">
        <v>2020</v>
      </c>
      <c r="AN12952" s="54" t="s">
        <v>187</v>
      </c>
      <c r="AO12952" s="54">
        <v>23</v>
      </c>
      <c r="AP12952" s="54">
        <v>14</v>
      </c>
      <c r="AQ12952" s="54">
        <v>32738.5</v>
      </c>
      <c r="AR12952" s="55">
        <v>28500</v>
      </c>
      <c r="AS12952" s="78">
        <f t="shared" si="206"/>
        <v>1.148719298245614</v>
      </c>
    </row>
    <row r="12953" spans="39:45">
      <c r="AM12953" s="55">
        <v>2020</v>
      </c>
      <c r="AN12953" s="55" t="s">
        <v>187</v>
      </c>
      <c r="AO12953" s="55">
        <v>23</v>
      </c>
      <c r="AP12953" s="55">
        <v>15</v>
      </c>
      <c r="AQ12953" s="55">
        <v>26448.5</v>
      </c>
      <c r="AR12953" s="55">
        <v>28500</v>
      </c>
      <c r="AS12953" s="78">
        <f t="shared" si="206"/>
        <v>0.92801754385964907</v>
      </c>
    </row>
    <row r="12954" spans="39:45">
      <c r="AM12954" s="54">
        <v>2020</v>
      </c>
      <c r="AN12954" s="54" t="s">
        <v>187</v>
      </c>
      <c r="AO12954" s="54">
        <v>23</v>
      </c>
      <c r="AP12954" s="54">
        <v>16</v>
      </c>
      <c r="AQ12954" s="54">
        <v>18512</v>
      </c>
      <c r="AR12954" s="55">
        <v>28500</v>
      </c>
      <c r="AS12954" s="78">
        <f t="shared" si="206"/>
        <v>0.64954385964912276</v>
      </c>
    </row>
    <row r="12955" spans="39:45">
      <c r="AM12955" s="55">
        <v>2020</v>
      </c>
      <c r="AN12955" s="55" t="s">
        <v>187</v>
      </c>
      <c r="AO12955" s="55">
        <v>23</v>
      </c>
      <c r="AP12955" s="55">
        <v>17</v>
      </c>
      <c r="AQ12955" s="55">
        <v>9465</v>
      </c>
      <c r="AR12955" s="55">
        <v>28500</v>
      </c>
      <c r="AS12955" s="78">
        <f t="shared" si="206"/>
        <v>0.33210526315789474</v>
      </c>
    </row>
    <row r="12956" spans="39:45">
      <c r="AM12956" s="54">
        <v>2020</v>
      </c>
      <c r="AN12956" s="54" t="s">
        <v>187</v>
      </c>
      <c r="AO12956" s="54">
        <v>23</v>
      </c>
      <c r="AP12956" s="54">
        <v>18</v>
      </c>
      <c r="AQ12956" s="54">
        <v>3315.5</v>
      </c>
      <c r="AR12956" s="55">
        <v>28500</v>
      </c>
      <c r="AS12956" s="78">
        <f t="shared" si="206"/>
        <v>0.11633333333333333</v>
      </c>
    </row>
    <row r="12957" spans="39:45">
      <c r="AM12957" s="55">
        <v>2020</v>
      </c>
      <c r="AN12957" s="55" t="s">
        <v>187</v>
      </c>
      <c r="AO12957" s="55">
        <v>23</v>
      </c>
      <c r="AP12957" s="55">
        <v>19</v>
      </c>
      <c r="AQ12957" s="55">
        <v>1023</v>
      </c>
      <c r="AR12957" s="55">
        <v>28500</v>
      </c>
      <c r="AS12957" s="78">
        <f t="shared" si="206"/>
        <v>3.5894736842105264E-2</v>
      </c>
    </row>
    <row r="12958" spans="39:45">
      <c r="AM12958" s="54">
        <v>2020</v>
      </c>
      <c r="AN12958" s="54" t="s">
        <v>187</v>
      </c>
      <c r="AO12958" s="54">
        <v>23</v>
      </c>
      <c r="AP12958" s="54">
        <v>20</v>
      </c>
      <c r="AQ12958" s="54">
        <v>0</v>
      </c>
      <c r="AR12958" s="55">
        <v>28500</v>
      </c>
      <c r="AS12958" s="78">
        <f t="shared" si="206"/>
        <v>0</v>
      </c>
    </row>
    <row r="12959" spans="39:45">
      <c r="AM12959" s="55">
        <v>2020</v>
      </c>
      <c r="AN12959" s="55" t="s">
        <v>187</v>
      </c>
      <c r="AO12959" s="55">
        <v>23</v>
      </c>
      <c r="AP12959" s="55">
        <v>21</v>
      </c>
      <c r="AQ12959" s="55">
        <v>0</v>
      </c>
      <c r="AR12959" s="55">
        <v>28500</v>
      </c>
      <c r="AS12959" s="78">
        <f t="shared" si="206"/>
        <v>0</v>
      </c>
    </row>
    <row r="12960" spans="39:45">
      <c r="AM12960" s="54">
        <v>2020</v>
      </c>
      <c r="AN12960" s="54" t="s">
        <v>187</v>
      </c>
      <c r="AO12960" s="54">
        <v>23</v>
      </c>
      <c r="AP12960" s="54">
        <v>22</v>
      </c>
      <c r="AQ12960" s="54">
        <v>0</v>
      </c>
      <c r="AR12960" s="55">
        <v>28500</v>
      </c>
      <c r="AS12960" s="78">
        <f t="shared" si="206"/>
        <v>0</v>
      </c>
    </row>
    <row r="12961" spans="39:45">
      <c r="AM12961" s="55">
        <v>2020</v>
      </c>
      <c r="AN12961" s="55" t="s">
        <v>187</v>
      </c>
      <c r="AO12961" s="55">
        <v>23</v>
      </c>
      <c r="AP12961" s="55">
        <v>23</v>
      </c>
      <c r="AQ12961" s="55">
        <v>0</v>
      </c>
      <c r="AR12961" s="55">
        <v>28500</v>
      </c>
      <c r="AS12961" s="78">
        <f t="shared" si="206"/>
        <v>0</v>
      </c>
    </row>
    <row r="12962" spans="39:45">
      <c r="AM12962" s="54">
        <v>2020</v>
      </c>
      <c r="AN12962" s="54" t="s">
        <v>187</v>
      </c>
      <c r="AO12962" s="54">
        <v>24</v>
      </c>
      <c r="AP12962" s="54">
        <v>24</v>
      </c>
      <c r="AQ12962" s="54">
        <v>0</v>
      </c>
      <c r="AR12962" s="55">
        <v>28500</v>
      </c>
      <c r="AS12962" s="78">
        <f t="shared" si="206"/>
        <v>0</v>
      </c>
    </row>
    <row r="12963" spans="39:45">
      <c r="AM12963" s="55">
        <v>2020</v>
      </c>
      <c r="AN12963" s="55" t="s">
        <v>187</v>
      </c>
      <c r="AO12963" s="55">
        <v>24</v>
      </c>
      <c r="AP12963" s="55">
        <v>1</v>
      </c>
      <c r="AQ12963" s="55">
        <v>0</v>
      </c>
      <c r="AR12963" s="55">
        <v>28500</v>
      </c>
      <c r="AS12963" s="78">
        <f t="shared" si="206"/>
        <v>0</v>
      </c>
    </row>
    <row r="12964" spans="39:45">
      <c r="AM12964" s="54">
        <v>2020</v>
      </c>
      <c r="AN12964" s="54" t="s">
        <v>187</v>
      </c>
      <c r="AO12964" s="54">
        <v>24</v>
      </c>
      <c r="AP12964" s="54">
        <v>2</v>
      </c>
      <c r="AQ12964" s="54">
        <v>0</v>
      </c>
      <c r="AR12964" s="55">
        <v>28500</v>
      </c>
      <c r="AS12964" s="78">
        <f t="shared" si="206"/>
        <v>0</v>
      </c>
    </row>
    <row r="12965" spans="39:45">
      <c r="AM12965" s="55">
        <v>2020</v>
      </c>
      <c r="AN12965" s="55" t="s">
        <v>187</v>
      </c>
      <c r="AO12965" s="55">
        <v>24</v>
      </c>
      <c r="AP12965" s="55">
        <v>3</v>
      </c>
      <c r="AQ12965" s="55">
        <v>0</v>
      </c>
      <c r="AR12965" s="55">
        <v>28500</v>
      </c>
      <c r="AS12965" s="78">
        <f t="shared" si="206"/>
        <v>0</v>
      </c>
    </row>
    <row r="12966" spans="39:45">
      <c r="AM12966" s="54">
        <v>2020</v>
      </c>
      <c r="AN12966" s="54" t="s">
        <v>187</v>
      </c>
      <c r="AO12966" s="54">
        <v>24</v>
      </c>
      <c r="AP12966" s="54">
        <v>4</v>
      </c>
      <c r="AQ12966" s="54">
        <v>0</v>
      </c>
      <c r="AR12966" s="55">
        <v>28500</v>
      </c>
      <c r="AS12966" s="78">
        <f t="shared" si="206"/>
        <v>0</v>
      </c>
    </row>
    <row r="12967" spans="39:45">
      <c r="AM12967" s="55">
        <v>2020</v>
      </c>
      <c r="AN12967" s="55" t="s">
        <v>187</v>
      </c>
      <c r="AO12967" s="55">
        <v>24</v>
      </c>
      <c r="AP12967" s="55">
        <v>5</v>
      </c>
      <c r="AQ12967" s="55">
        <v>1898.5</v>
      </c>
      <c r="AR12967" s="55">
        <v>28500</v>
      </c>
      <c r="AS12967" s="78">
        <f t="shared" si="206"/>
        <v>6.6614035087719292E-2</v>
      </c>
    </row>
    <row r="12968" spans="39:45">
      <c r="AM12968" s="54">
        <v>2020</v>
      </c>
      <c r="AN12968" s="54" t="s">
        <v>187</v>
      </c>
      <c r="AO12968" s="54">
        <v>24</v>
      </c>
      <c r="AP12968" s="54">
        <v>6</v>
      </c>
      <c r="AQ12968" s="54">
        <v>4473</v>
      </c>
      <c r="AR12968" s="55">
        <v>28500</v>
      </c>
      <c r="AS12968" s="78">
        <f t="shared" si="206"/>
        <v>0.15694736842105264</v>
      </c>
    </row>
    <row r="12969" spans="39:45">
      <c r="AM12969" s="55">
        <v>2020</v>
      </c>
      <c r="AN12969" s="55" t="s">
        <v>187</v>
      </c>
      <c r="AO12969" s="55">
        <v>24</v>
      </c>
      <c r="AP12969" s="55">
        <v>7</v>
      </c>
      <c r="AQ12969" s="55">
        <v>12553.5</v>
      </c>
      <c r="AR12969" s="55">
        <v>28500</v>
      </c>
      <c r="AS12969" s="78">
        <f t="shared" si="206"/>
        <v>0.4404736842105263</v>
      </c>
    </row>
    <row r="12970" spans="39:45">
      <c r="AM12970" s="54">
        <v>2020</v>
      </c>
      <c r="AN12970" s="54" t="s">
        <v>187</v>
      </c>
      <c r="AO12970" s="54">
        <v>24</v>
      </c>
      <c r="AP12970" s="54">
        <v>8</v>
      </c>
      <c r="AQ12970" s="54">
        <v>21492</v>
      </c>
      <c r="AR12970" s="55">
        <v>28500</v>
      </c>
      <c r="AS12970" s="78">
        <f t="shared" si="206"/>
        <v>0.75410526315789472</v>
      </c>
    </row>
    <row r="12971" spans="39:45">
      <c r="AM12971" s="55">
        <v>2020</v>
      </c>
      <c r="AN12971" s="55" t="s">
        <v>187</v>
      </c>
      <c r="AO12971" s="55">
        <v>24</v>
      </c>
      <c r="AP12971" s="55">
        <v>9</v>
      </c>
      <c r="AQ12971" s="55">
        <v>29278</v>
      </c>
      <c r="AR12971" s="55">
        <v>28500</v>
      </c>
      <c r="AS12971" s="78">
        <f t="shared" si="206"/>
        <v>1.0272982456140352</v>
      </c>
    </row>
    <row r="12972" spans="39:45">
      <c r="AM12972" s="54">
        <v>2020</v>
      </c>
      <c r="AN12972" s="54" t="s">
        <v>187</v>
      </c>
      <c r="AO12972" s="54">
        <v>24</v>
      </c>
      <c r="AP12972" s="54">
        <v>10</v>
      </c>
      <c r="AQ12972" s="54">
        <v>35038</v>
      </c>
      <c r="AR12972" s="55">
        <v>28500</v>
      </c>
      <c r="AS12972" s="78">
        <f t="shared" si="206"/>
        <v>1.2294035087719297</v>
      </c>
    </row>
    <row r="12973" spans="39:45">
      <c r="AM12973" s="55">
        <v>2020</v>
      </c>
      <c r="AN12973" s="55" t="s">
        <v>187</v>
      </c>
      <c r="AO12973" s="55">
        <v>24</v>
      </c>
      <c r="AP12973" s="55">
        <v>11</v>
      </c>
      <c r="AQ12973" s="55">
        <v>38138.5</v>
      </c>
      <c r="AR12973" s="55">
        <v>28500</v>
      </c>
      <c r="AS12973" s="78">
        <f t="shared" si="206"/>
        <v>1.3381929824561403</v>
      </c>
    </row>
    <row r="12974" spans="39:45">
      <c r="AM12974" s="54">
        <v>2020</v>
      </c>
      <c r="AN12974" s="54" t="s">
        <v>187</v>
      </c>
      <c r="AO12974" s="54">
        <v>24</v>
      </c>
      <c r="AP12974" s="54">
        <v>12</v>
      </c>
      <c r="AQ12974" s="54">
        <v>38608</v>
      </c>
      <c r="AR12974" s="55">
        <v>28500</v>
      </c>
      <c r="AS12974" s="78">
        <f t="shared" si="206"/>
        <v>1.3546666666666667</v>
      </c>
    </row>
    <row r="12975" spans="39:45">
      <c r="AM12975" s="55">
        <v>2020</v>
      </c>
      <c r="AN12975" s="55" t="s">
        <v>187</v>
      </c>
      <c r="AO12975" s="55">
        <v>24</v>
      </c>
      <c r="AP12975" s="55">
        <v>13</v>
      </c>
      <c r="AQ12975" s="55">
        <v>37144.5</v>
      </c>
      <c r="AR12975" s="55">
        <v>28500</v>
      </c>
      <c r="AS12975" s="78">
        <f t="shared" si="206"/>
        <v>1.3033157894736842</v>
      </c>
    </row>
    <row r="12976" spans="39:45">
      <c r="AM12976" s="54">
        <v>2020</v>
      </c>
      <c r="AN12976" s="54" t="s">
        <v>187</v>
      </c>
      <c r="AO12976" s="54">
        <v>24</v>
      </c>
      <c r="AP12976" s="54">
        <v>14</v>
      </c>
      <c r="AQ12976" s="54">
        <v>33313</v>
      </c>
      <c r="AR12976" s="55">
        <v>28500</v>
      </c>
      <c r="AS12976" s="78">
        <f t="shared" si="206"/>
        <v>1.1688771929824562</v>
      </c>
    </row>
    <row r="12977" spans="39:45">
      <c r="AM12977" s="55">
        <v>2020</v>
      </c>
      <c r="AN12977" s="55" t="s">
        <v>187</v>
      </c>
      <c r="AO12977" s="55">
        <v>24</v>
      </c>
      <c r="AP12977" s="55">
        <v>15</v>
      </c>
      <c r="AQ12977" s="55">
        <v>27067</v>
      </c>
      <c r="AR12977" s="55">
        <v>28500</v>
      </c>
      <c r="AS12977" s="78">
        <f t="shared" si="206"/>
        <v>0.94971929824561407</v>
      </c>
    </row>
    <row r="12978" spans="39:45">
      <c r="AM12978" s="54">
        <v>2020</v>
      </c>
      <c r="AN12978" s="54" t="s">
        <v>187</v>
      </c>
      <c r="AO12978" s="54">
        <v>24</v>
      </c>
      <c r="AP12978" s="54">
        <v>16</v>
      </c>
      <c r="AQ12978" s="54">
        <v>18995</v>
      </c>
      <c r="AR12978" s="55">
        <v>28500</v>
      </c>
      <c r="AS12978" s="78">
        <f t="shared" si="206"/>
        <v>0.66649122807017547</v>
      </c>
    </row>
    <row r="12979" spans="39:45">
      <c r="AM12979" s="55">
        <v>2020</v>
      </c>
      <c r="AN12979" s="55" t="s">
        <v>187</v>
      </c>
      <c r="AO12979" s="55">
        <v>24</v>
      </c>
      <c r="AP12979" s="55">
        <v>17</v>
      </c>
      <c r="AQ12979" s="55">
        <v>9565</v>
      </c>
      <c r="AR12979" s="55">
        <v>28500</v>
      </c>
      <c r="AS12979" s="78">
        <f t="shared" si="206"/>
        <v>0.33561403508771931</v>
      </c>
    </row>
    <row r="12980" spans="39:45">
      <c r="AM12980" s="54">
        <v>2020</v>
      </c>
      <c r="AN12980" s="54" t="s">
        <v>187</v>
      </c>
      <c r="AO12980" s="54">
        <v>24</v>
      </c>
      <c r="AP12980" s="54">
        <v>18</v>
      </c>
      <c r="AQ12980" s="54">
        <v>2112.5</v>
      </c>
      <c r="AR12980" s="55">
        <v>28500</v>
      </c>
      <c r="AS12980" s="78">
        <f t="shared" si="206"/>
        <v>7.4122807017543854E-2</v>
      </c>
    </row>
    <row r="12981" spans="39:45">
      <c r="AM12981" s="55">
        <v>2020</v>
      </c>
      <c r="AN12981" s="55" t="s">
        <v>187</v>
      </c>
      <c r="AO12981" s="55">
        <v>24</v>
      </c>
      <c r="AP12981" s="55">
        <v>19</v>
      </c>
      <c r="AQ12981" s="55">
        <v>989.5</v>
      </c>
      <c r="AR12981" s="55">
        <v>28500</v>
      </c>
      <c r="AS12981" s="78">
        <f t="shared" si="206"/>
        <v>3.4719298245614032E-2</v>
      </c>
    </row>
    <row r="12982" spans="39:45">
      <c r="AM12982" s="54">
        <v>2020</v>
      </c>
      <c r="AN12982" s="54" t="s">
        <v>187</v>
      </c>
      <c r="AO12982" s="54">
        <v>24</v>
      </c>
      <c r="AP12982" s="54">
        <v>20</v>
      </c>
      <c r="AQ12982" s="54">
        <v>0</v>
      </c>
      <c r="AR12982" s="55">
        <v>28500</v>
      </c>
      <c r="AS12982" s="78">
        <f t="shared" si="206"/>
        <v>0</v>
      </c>
    </row>
    <row r="12983" spans="39:45">
      <c r="AM12983" s="55">
        <v>2020</v>
      </c>
      <c r="AN12983" s="55" t="s">
        <v>187</v>
      </c>
      <c r="AO12983" s="55">
        <v>24</v>
      </c>
      <c r="AP12983" s="55">
        <v>21</v>
      </c>
      <c r="AQ12983" s="55">
        <v>0</v>
      </c>
      <c r="AR12983" s="55">
        <v>28500</v>
      </c>
      <c r="AS12983" s="78">
        <f t="shared" si="206"/>
        <v>0</v>
      </c>
    </row>
    <row r="12984" spans="39:45">
      <c r="AM12984" s="54">
        <v>2020</v>
      </c>
      <c r="AN12984" s="54" t="s">
        <v>187</v>
      </c>
      <c r="AO12984" s="54">
        <v>24</v>
      </c>
      <c r="AP12984" s="54">
        <v>22</v>
      </c>
      <c r="AQ12984" s="54">
        <v>0</v>
      </c>
      <c r="AR12984" s="55">
        <v>28500</v>
      </c>
      <c r="AS12984" s="78">
        <f t="shared" si="206"/>
        <v>0</v>
      </c>
    </row>
    <row r="12985" spans="39:45">
      <c r="AM12985" s="55">
        <v>2020</v>
      </c>
      <c r="AN12985" s="55" t="s">
        <v>187</v>
      </c>
      <c r="AO12985" s="55">
        <v>24</v>
      </c>
      <c r="AP12985" s="55">
        <v>23</v>
      </c>
      <c r="AQ12985" s="55">
        <v>0</v>
      </c>
      <c r="AR12985" s="55">
        <v>28500</v>
      </c>
      <c r="AS12985" s="78">
        <f t="shared" si="206"/>
        <v>0</v>
      </c>
    </row>
    <row r="12986" spans="39:45">
      <c r="AM12986" s="54">
        <v>2020</v>
      </c>
      <c r="AN12986" s="54" t="s">
        <v>187</v>
      </c>
      <c r="AO12986" s="54">
        <v>25</v>
      </c>
      <c r="AP12986" s="54">
        <v>24</v>
      </c>
      <c r="AQ12986" s="54">
        <v>0</v>
      </c>
      <c r="AR12986" s="55">
        <v>28500</v>
      </c>
      <c r="AS12986" s="78">
        <f t="shared" si="206"/>
        <v>0</v>
      </c>
    </row>
    <row r="12987" spans="39:45">
      <c r="AM12987" s="55">
        <v>2020</v>
      </c>
      <c r="AN12987" s="55" t="s">
        <v>187</v>
      </c>
      <c r="AO12987" s="55">
        <v>25</v>
      </c>
      <c r="AP12987" s="55">
        <v>1</v>
      </c>
      <c r="AQ12987" s="55">
        <v>0</v>
      </c>
      <c r="AR12987" s="55">
        <v>28500</v>
      </c>
      <c r="AS12987" s="78">
        <f t="shared" si="206"/>
        <v>0</v>
      </c>
    </row>
    <row r="12988" spans="39:45">
      <c r="AM12988" s="54">
        <v>2020</v>
      </c>
      <c r="AN12988" s="54" t="s">
        <v>187</v>
      </c>
      <c r="AO12988" s="54">
        <v>25</v>
      </c>
      <c r="AP12988" s="54">
        <v>2</v>
      </c>
      <c r="AQ12988" s="54">
        <v>0</v>
      </c>
      <c r="AR12988" s="55">
        <v>28500</v>
      </c>
      <c r="AS12988" s="78">
        <f t="shared" si="206"/>
        <v>0</v>
      </c>
    </row>
    <row r="12989" spans="39:45">
      <c r="AM12989" s="55">
        <v>2020</v>
      </c>
      <c r="AN12989" s="55" t="s">
        <v>187</v>
      </c>
      <c r="AO12989" s="55">
        <v>25</v>
      </c>
      <c r="AP12989" s="55">
        <v>3</v>
      </c>
      <c r="AQ12989" s="55">
        <v>0</v>
      </c>
      <c r="AR12989" s="55">
        <v>28500</v>
      </c>
      <c r="AS12989" s="78">
        <f t="shared" si="206"/>
        <v>0</v>
      </c>
    </row>
    <row r="12990" spans="39:45">
      <c r="AM12990" s="54">
        <v>2020</v>
      </c>
      <c r="AN12990" s="54" t="s">
        <v>187</v>
      </c>
      <c r="AO12990" s="54">
        <v>25</v>
      </c>
      <c r="AP12990" s="54">
        <v>4</v>
      </c>
      <c r="AQ12990" s="54">
        <v>35</v>
      </c>
      <c r="AR12990" s="55">
        <v>28500</v>
      </c>
      <c r="AS12990" s="78">
        <f t="shared" si="206"/>
        <v>1.2280701754385965E-3</v>
      </c>
    </row>
    <row r="12991" spans="39:45">
      <c r="AM12991" s="55">
        <v>2020</v>
      </c>
      <c r="AN12991" s="55" t="s">
        <v>187</v>
      </c>
      <c r="AO12991" s="55">
        <v>25</v>
      </c>
      <c r="AP12991" s="55">
        <v>5</v>
      </c>
      <c r="AQ12991" s="55">
        <v>1457.5</v>
      </c>
      <c r="AR12991" s="55">
        <v>28500</v>
      </c>
      <c r="AS12991" s="78">
        <f t="shared" si="206"/>
        <v>5.1140350877192979E-2</v>
      </c>
    </row>
    <row r="12992" spans="39:45">
      <c r="AM12992" s="54">
        <v>2020</v>
      </c>
      <c r="AN12992" s="54" t="s">
        <v>187</v>
      </c>
      <c r="AO12992" s="54">
        <v>25</v>
      </c>
      <c r="AP12992" s="54">
        <v>6</v>
      </c>
      <c r="AQ12992" s="54">
        <v>3755.5</v>
      </c>
      <c r="AR12992" s="55">
        <v>28500</v>
      </c>
      <c r="AS12992" s="78">
        <f t="shared" si="206"/>
        <v>0.1317719298245614</v>
      </c>
    </row>
    <row r="12993" spans="39:45">
      <c r="AM12993" s="55">
        <v>2020</v>
      </c>
      <c r="AN12993" s="55" t="s">
        <v>187</v>
      </c>
      <c r="AO12993" s="55">
        <v>25</v>
      </c>
      <c r="AP12993" s="55">
        <v>7</v>
      </c>
      <c r="AQ12993" s="55">
        <v>12779</v>
      </c>
      <c r="AR12993" s="55">
        <v>28500</v>
      </c>
      <c r="AS12993" s="78">
        <f t="shared" si="206"/>
        <v>0.44838596491228072</v>
      </c>
    </row>
    <row r="12994" spans="39:45">
      <c r="AM12994" s="54">
        <v>2020</v>
      </c>
      <c r="AN12994" s="54" t="s">
        <v>187</v>
      </c>
      <c r="AO12994" s="54">
        <v>25</v>
      </c>
      <c r="AP12994" s="54">
        <v>8</v>
      </c>
      <c r="AQ12994" s="54">
        <v>22065.5</v>
      </c>
      <c r="AR12994" s="55">
        <v>28500</v>
      </c>
      <c r="AS12994" s="78">
        <f t="shared" ref="AS12994:AS13057" si="207">AQ12994/AR12994</f>
        <v>0.7742280701754386</v>
      </c>
    </row>
    <row r="12995" spans="39:45">
      <c r="AM12995" s="55">
        <v>2020</v>
      </c>
      <c r="AN12995" s="55" t="s">
        <v>187</v>
      </c>
      <c r="AO12995" s="55">
        <v>25</v>
      </c>
      <c r="AP12995" s="55">
        <v>9</v>
      </c>
      <c r="AQ12995" s="55">
        <v>29528.5</v>
      </c>
      <c r="AR12995" s="55">
        <v>28500</v>
      </c>
      <c r="AS12995" s="78">
        <f t="shared" si="207"/>
        <v>1.0360877192982456</v>
      </c>
    </row>
    <row r="12996" spans="39:45">
      <c r="AM12996" s="54">
        <v>2020</v>
      </c>
      <c r="AN12996" s="54" t="s">
        <v>187</v>
      </c>
      <c r="AO12996" s="54">
        <v>25</v>
      </c>
      <c r="AP12996" s="54">
        <v>10</v>
      </c>
      <c r="AQ12996" s="54">
        <v>34843.5</v>
      </c>
      <c r="AR12996" s="55">
        <v>28500</v>
      </c>
      <c r="AS12996" s="78">
        <f t="shared" si="207"/>
        <v>1.222578947368421</v>
      </c>
    </row>
    <row r="12997" spans="39:45">
      <c r="AM12997" s="55">
        <v>2020</v>
      </c>
      <c r="AN12997" s="55" t="s">
        <v>187</v>
      </c>
      <c r="AO12997" s="55">
        <v>25</v>
      </c>
      <c r="AP12997" s="55">
        <v>11</v>
      </c>
      <c r="AQ12997" s="55">
        <v>37751</v>
      </c>
      <c r="AR12997" s="55">
        <v>28500</v>
      </c>
      <c r="AS12997" s="78">
        <f t="shared" si="207"/>
        <v>1.3245964912280701</v>
      </c>
    </row>
    <row r="12998" spans="39:45">
      <c r="AM12998" s="54">
        <v>2020</v>
      </c>
      <c r="AN12998" s="54" t="s">
        <v>187</v>
      </c>
      <c r="AO12998" s="54">
        <v>25</v>
      </c>
      <c r="AP12998" s="54">
        <v>12</v>
      </c>
      <c r="AQ12998" s="54">
        <v>38567</v>
      </c>
      <c r="AR12998" s="55">
        <v>28500</v>
      </c>
      <c r="AS12998" s="78">
        <f t="shared" si="207"/>
        <v>1.3532280701754387</v>
      </c>
    </row>
    <row r="12999" spans="39:45">
      <c r="AM12999" s="55">
        <v>2020</v>
      </c>
      <c r="AN12999" s="55" t="s">
        <v>187</v>
      </c>
      <c r="AO12999" s="55">
        <v>25</v>
      </c>
      <c r="AP12999" s="55">
        <v>13</v>
      </c>
      <c r="AQ12999" s="55">
        <v>37022.5</v>
      </c>
      <c r="AR12999" s="55">
        <v>28500</v>
      </c>
      <c r="AS12999" s="78">
        <f t="shared" si="207"/>
        <v>1.2990350877192982</v>
      </c>
    </row>
    <row r="13000" spans="39:45">
      <c r="AM13000" s="54">
        <v>2020</v>
      </c>
      <c r="AN13000" s="54" t="s">
        <v>187</v>
      </c>
      <c r="AO13000" s="54">
        <v>25</v>
      </c>
      <c r="AP13000" s="54">
        <v>14</v>
      </c>
      <c r="AQ13000" s="54">
        <v>32972.5</v>
      </c>
      <c r="AR13000" s="55">
        <v>28500</v>
      </c>
      <c r="AS13000" s="78">
        <f t="shared" si="207"/>
        <v>1.1569298245614035</v>
      </c>
    </row>
    <row r="13001" spans="39:45">
      <c r="AM13001" s="55">
        <v>2020</v>
      </c>
      <c r="AN13001" s="55" t="s">
        <v>187</v>
      </c>
      <c r="AO13001" s="55">
        <v>25</v>
      </c>
      <c r="AP13001" s="55">
        <v>15</v>
      </c>
      <c r="AQ13001" s="55">
        <v>26653.5</v>
      </c>
      <c r="AR13001" s="55">
        <v>28500</v>
      </c>
      <c r="AS13001" s="78">
        <f t="shared" si="207"/>
        <v>0.93521052631578949</v>
      </c>
    </row>
    <row r="13002" spans="39:45">
      <c r="AM13002" s="54">
        <v>2020</v>
      </c>
      <c r="AN13002" s="54" t="s">
        <v>187</v>
      </c>
      <c r="AO13002" s="54">
        <v>25</v>
      </c>
      <c r="AP13002" s="54">
        <v>16</v>
      </c>
      <c r="AQ13002" s="54">
        <v>18862.5</v>
      </c>
      <c r="AR13002" s="55">
        <v>28500</v>
      </c>
      <c r="AS13002" s="78">
        <f t="shared" si="207"/>
        <v>0.6618421052631579</v>
      </c>
    </row>
    <row r="13003" spans="39:45">
      <c r="AM13003" s="55">
        <v>2020</v>
      </c>
      <c r="AN13003" s="55" t="s">
        <v>187</v>
      </c>
      <c r="AO13003" s="55">
        <v>25</v>
      </c>
      <c r="AP13003" s="55">
        <v>17</v>
      </c>
      <c r="AQ13003" s="55">
        <v>9537.5</v>
      </c>
      <c r="AR13003" s="55">
        <v>28500</v>
      </c>
      <c r="AS13003" s="78">
        <f t="shared" si="207"/>
        <v>0.33464912280701753</v>
      </c>
    </row>
    <row r="13004" spans="39:45">
      <c r="AM13004" s="54">
        <v>2020</v>
      </c>
      <c r="AN13004" s="54" t="s">
        <v>187</v>
      </c>
      <c r="AO13004" s="54">
        <v>25</v>
      </c>
      <c r="AP13004" s="54">
        <v>18</v>
      </c>
      <c r="AQ13004" s="54">
        <v>2083.5</v>
      </c>
      <c r="AR13004" s="55">
        <v>28500</v>
      </c>
      <c r="AS13004" s="78">
        <f t="shared" si="207"/>
        <v>7.3105263157894743E-2</v>
      </c>
    </row>
    <row r="13005" spans="39:45">
      <c r="AM13005" s="55">
        <v>2020</v>
      </c>
      <c r="AN13005" s="55" t="s">
        <v>187</v>
      </c>
      <c r="AO13005" s="55">
        <v>25</v>
      </c>
      <c r="AP13005" s="55">
        <v>19</v>
      </c>
      <c r="AQ13005" s="55">
        <v>953.5</v>
      </c>
      <c r="AR13005" s="55">
        <v>28500</v>
      </c>
      <c r="AS13005" s="78">
        <f t="shared" si="207"/>
        <v>3.3456140350877191E-2</v>
      </c>
    </row>
    <row r="13006" spans="39:45">
      <c r="AM13006" s="54">
        <v>2020</v>
      </c>
      <c r="AN13006" s="54" t="s">
        <v>187</v>
      </c>
      <c r="AO13006" s="54">
        <v>25</v>
      </c>
      <c r="AP13006" s="54">
        <v>20</v>
      </c>
      <c r="AQ13006" s="54">
        <v>0</v>
      </c>
      <c r="AR13006" s="55">
        <v>28500</v>
      </c>
      <c r="AS13006" s="78">
        <f t="shared" si="207"/>
        <v>0</v>
      </c>
    </row>
    <row r="13007" spans="39:45">
      <c r="AM13007" s="55">
        <v>2020</v>
      </c>
      <c r="AN13007" s="55" t="s">
        <v>187</v>
      </c>
      <c r="AO13007" s="55">
        <v>25</v>
      </c>
      <c r="AP13007" s="55">
        <v>21</v>
      </c>
      <c r="AQ13007" s="55">
        <v>0</v>
      </c>
      <c r="AR13007" s="55">
        <v>28500</v>
      </c>
      <c r="AS13007" s="78">
        <f t="shared" si="207"/>
        <v>0</v>
      </c>
    </row>
    <row r="13008" spans="39:45">
      <c r="AM13008" s="54">
        <v>2020</v>
      </c>
      <c r="AN13008" s="54" t="s">
        <v>187</v>
      </c>
      <c r="AO13008" s="54">
        <v>25</v>
      </c>
      <c r="AP13008" s="54">
        <v>22</v>
      </c>
      <c r="AQ13008" s="54">
        <v>0</v>
      </c>
      <c r="AR13008" s="55">
        <v>28500</v>
      </c>
      <c r="AS13008" s="78">
        <f t="shared" si="207"/>
        <v>0</v>
      </c>
    </row>
    <row r="13009" spans="39:45">
      <c r="AM13009" s="55">
        <v>2020</v>
      </c>
      <c r="AN13009" s="55" t="s">
        <v>187</v>
      </c>
      <c r="AO13009" s="55">
        <v>25</v>
      </c>
      <c r="AP13009" s="55">
        <v>23</v>
      </c>
      <c r="AQ13009" s="55">
        <v>0</v>
      </c>
      <c r="AR13009" s="55">
        <v>28500</v>
      </c>
      <c r="AS13009" s="78">
        <f t="shared" si="207"/>
        <v>0</v>
      </c>
    </row>
    <row r="13010" spans="39:45">
      <c r="AM13010" s="54">
        <v>2020</v>
      </c>
      <c r="AN13010" s="54" t="s">
        <v>187</v>
      </c>
      <c r="AO13010" s="54">
        <v>26</v>
      </c>
      <c r="AP13010" s="54">
        <v>24</v>
      </c>
      <c r="AQ13010" s="54">
        <v>0</v>
      </c>
      <c r="AR13010" s="55">
        <v>28500</v>
      </c>
      <c r="AS13010" s="78">
        <f t="shared" si="207"/>
        <v>0</v>
      </c>
    </row>
    <row r="13011" spans="39:45">
      <c r="AM13011" s="55">
        <v>2020</v>
      </c>
      <c r="AN13011" s="55" t="s">
        <v>187</v>
      </c>
      <c r="AO13011" s="55">
        <v>26</v>
      </c>
      <c r="AP13011" s="55">
        <v>1</v>
      </c>
      <c r="AQ13011" s="55">
        <v>0</v>
      </c>
      <c r="AR13011" s="55">
        <v>28500</v>
      </c>
      <c r="AS13011" s="78">
        <f t="shared" si="207"/>
        <v>0</v>
      </c>
    </row>
    <row r="13012" spans="39:45">
      <c r="AM13012" s="54">
        <v>2020</v>
      </c>
      <c r="AN13012" s="54" t="s">
        <v>187</v>
      </c>
      <c r="AO13012" s="54">
        <v>26</v>
      </c>
      <c r="AP13012" s="54">
        <v>2</v>
      </c>
      <c r="AQ13012" s="54">
        <v>0</v>
      </c>
      <c r="AR13012" s="55">
        <v>28500</v>
      </c>
      <c r="AS13012" s="78">
        <f t="shared" si="207"/>
        <v>0</v>
      </c>
    </row>
    <row r="13013" spans="39:45">
      <c r="AM13013" s="55">
        <v>2020</v>
      </c>
      <c r="AN13013" s="55" t="s">
        <v>187</v>
      </c>
      <c r="AO13013" s="55">
        <v>26</v>
      </c>
      <c r="AP13013" s="55">
        <v>3</v>
      </c>
      <c r="AQ13013" s="55">
        <v>0</v>
      </c>
      <c r="AR13013" s="55">
        <v>28500</v>
      </c>
      <c r="AS13013" s="78">
        <f t="shared" si="207"/>
        <v>0</v>
      </c>
    </row>
    <row r="13014" spans="39:45">
      <c r="AM13014" s="54">
        <v>2020</v>
      </c>
      <c r="AN13014" s="54" t="s">
        <v>187</v>
      </c>
      <c r="AO13014" s="54">
        <v>26</v>
      </c>
      <c r="AP13014" s="54">
        <v>4</v>
      </c>
      <c r="AQ13014" s="54">
        <v>0</v>
      </c>
      <c r="AR13014" s="55">
        <v>28500</v>
      </c>
      <c r="AS13014" s="78">
        <f t="shared" si="207"/>
        <v>0</v>
      </c>
    </row>
    <row r="13015" spans="39:45">
      <c r="AM13015" s="55">
        <v>2020</v>
      </c>
      <c r="AN13015" s="55" t="s">
        <v>187</v>
      </c>
      <c r="AO13015" s="55">
        <v>26</v>
      </c>
      <c r="AP13015" s="55">
        <v>5</v>
      </c>
      <c r="AQ13015" s="55">
        <v>1746.5</v>
      </c>
      <c r="AR13015" s="55">
        <v>28500</v>
      </c>
      <c r="AS13015" s="78">
        <f t="shared" si="207"/>
        <v>6.1280701754385963E-2</v>
      </c>
    </row>
    <row r="13016" spans="39:45">
      <c r="AM13016" s="54">
        <v>2020</v>
      </c>
      <c r="AN13016" s="54" t="s">
        <v>187</v>
      </c>
      <c r="AO13016" s="54">
        <v>26</v>
      </c>
      <c r="AP13016" s="54">
        <v>6</v>
      </c>
      <c r="AQ13016" s="54">
        <v>4209</v>
      </c>
      <c r="AR13016" s="55">
        <v>28500</v>
      </c>
      <c r="AS13016" s="78">
        <f t="shared" si="207"/>
        <v>0.14768421052631578</v>
      </c>
    </row>
    <row r="13017" spans="39:45">
      <c r="AM13017" s="55">
        <v>2020</v>
      </c>
      <c r="AN13017" s="55" t="s">
        <v>187</v>
      </c>
      <c r="AO13017" s="55">
        <v>26</v>
      </c>
      <c r="AP13017" s="55">
        <v>7</v>
      </c>
      <c r="AQ13017" s="55">
        <v>11358</v>
      </c>
      <c r="AR13017" s="55">
        <v>28500</v>
      </c>
      <c r="AS13017" s="78">
        <f t="shared" si="207"/>
        <v>0.39852631578947367</v>
      </c>
    </row>
    <row r="13018" spans="39:45">
      <c r="AM13018" s="54">
        <v>2020</v>
      </c>
      <c r="AN13018" s="54" t="s">
        <v>187</v>
      </c>
      <c r="AO13018" s="54">
        <v>26</v>
      </c>
      <c r="AP13018" s="54">
        <v>8</v>
      </c>
      <c r="AQ13018" s="54">
        <v>19561.5</v>
      </c>
      <c r="AR13018" s="55">
        <v>28500</v>
      </c>
      <c r="AS13018" s="78">
        <f t="shared" si="207"/>
        <v>0.68636842105263163</v>
      </c>
    </row>
    <row r="13019" spans="39:45">
      <c r="AM13019" s="55">
        <v>2020</v>
      </c>
      <c r="AN13019" s="55" t="s">
        <v>187</v>
      </c>
      <c r="AO13019" s="55">
        <v>26</v>
      </c>
      <c r="AP13019" s="55">
        <v>9</v>
      </c>
      <c r="AQ13019" s="55">
        <v>28418.5</v>
      </c>
      <c r="AR13019" s="55">
        <v>28500</v>
      </c>
      <c r="AS13019" s="78">
        <f t="shared" si="207"/>
        <v>0.99714035087719299</v>
      </c>
    </row>
    <row r="13020" spans="39:45">
      <c r="AM13020" s="54">
        <v>2020</v>
      </c>
      <c r="AN13020" s="54" t="s">
        <v>187</v>
      </c>
      <c r="AO13020" s="54">
        <v>26</v>
      </c>
      <c r="AP13020" s="54">
        <v>10</v>
      </c>
      <c r="AQ13020" s="54">
        <v>34134.5</v>
      </c>
      <c r="AR13020" s="55">
        <v>28500</v>
      </c>
      <c r="AS13020" s="78">
        <f t="shared" si="207"/>
        <v>1.1977017543859649</v>
      </c>
    </row>
    <row r="13021" spans="39:45">
      <c r="AM13021" s="55">
        <v>2020</v>
      </c>
      <c r="AN13021" s="55" t="s">
        <v>187</v>
      </c>
      <c r="AO13021" s="55">
        <v>26</v>
      </c>
      <c r="AP13021" s="55">
        <v>11</v>
      </c>
      <c r="AQ13021" s="55">
        <v>36960</v>
      </c>
      <c r="AR13021" s="55">
        <v>28500</v>
      </c>
      <c r="AS13021" s="78">
        <f t="shared" si="207"/>
        <v>1.2968421052631578</v>
      </c>
    </row>
    <row r="13022" spans="39:45">
      <c r="AM13022" s="54">
        <v>2020</v>
      </c>
      <c r="AN13022" s="54" t="s">
        <v>187</v>
      </c>
      <c r="AO13022" s="54">
        <v>26</v>
      </c>
      <c r="AP13022" s="54">
        <v>12</v>
      </c>
      <c r="AQ13022" s="54">
        <v>37926</v>
      </c>
      <c r="AR13022" s="55">
        <v>28500</v>
      </c>
      <c r="AS13022" s="78">
        <f t="shared" si="207"/>
        <v>1.3307368421052632</v>
      </c>
    </row>
    <row r="13023" spans="39:45">
      <c r="AM13023" s="55">
        <v>2020</v>
      </c>
      <c r="AN13023" s="55" t="s">
        <v>187</v>
      </c>
      <c r="AO13023" s="55">
        <v>26</v>
      </c>
      <c r="AP13023" s="55">
        <v>13</v>
      </c>
      <c r="AQ13023" s="55">
        <v>36461.5</v>
      </c>
      <c r="AR13023" s="55">
        <v>28500</v>
      </c>
      <c r="AS13023" s="78">
        <f t="shared" si="207"/>
        <v>1.2793508771929825</v>
      </c>
    </row>
    <row r="13024" spans="39:45">
      <c r="AM13024" s="54">
        <v>2020</v>
      </c>
      <c r="AN13024" s="54" t="s">
        <v>187</v>
      </c>
      <c r="AO13024" s="54">
        <v>26</v>
      </c>
      <c r="AP13024" s="54">
        <v>14</v>
      </c>
      <c r="AQ13024" s="54">
        <v>32778.5</v>
      </c>
      <c r="AR13024" s="55">
        <v>28500</v>
      </c>
      <c r="AS13024" s="78">
        <f t="shared" si="207"/>
        <v>1.1501228070175438</v>
      </c>
    </row>
    <row r="13025" spans="39:45">
      <c r="AM13025" s="55">
        <v>2020</v>
      </c>
      <c r="AN13025" s="55" t="s">
        <v>187</v>
      </c>
      <c r="AO13025" s="55">
        <v>26</v>
      </c>
      <c r="AP13025" s="55">
        <v>15</v>
      </c>
      <c r="AQ13025" s="55">
        <v>26830</v>
      </c>
      <c r="AR13025" s="55">
        <v>28500</v>
      </c>
      <c r="AS13025" s="78">
        <f t="shared" si="207"/>
        <v>0.9414035087719298</v>
      </c>
    </row>
    <row r="13026" spans="39:45">
      <c r="AM13026" s="54">
        <v>2020</v>
      </c>
      <c r="AN13026" s="54" t="s">
        <v>187</v>
      </c>
      <c r="AO13026" s="54">
        <v>26</v>
      </c>
      <c r="AP13026" s="54">
        <v>16</v>
      </c>
      <c r="AQ13026" s="54">
        <v>18832</v>
      </c>
      <c r="AR13026" s="55">
        <v>28500</v>
      </c>
      <c r="AS13026" s="78">
        <f t="shared" si="207"/>
        <v>0.66077192982456145</v>
      </c>
    </row>
    <row r="13027" spans="39:45">
      <c r="AM13027" s="55">
        <v>2020</v>
      </c>
      <c r="AN13027" s="55" t="s">
        <v>187</v>
      </c>
      <c r="AO13027" s="55">
        <v>26</v>
      </c>
      <c r="AP13027" s="55">
        <v>17</v>
      </c>
      <c r="AQ13027" s="55">
        <v>9492.5</v>
      </c>
      <c r="AR13027" s="55">
        <v>28500</v>
      </c>
      <c r="AS13027" s="78">
        <f t="shared" si="207"/>
        <v>0.33307017543859652</v>
      </c>
    </row>
    <row r="13028" spans="39:45">
      <c r="AM13028" s="54">
        <v>2020</v>
      </c>
      <c r="AN13028" s="54" t="s">
        <v>187</v>
      </c>
      <c r="AO13028" s="54">
        <v>26</v>
      </c>
      <c r="AP13028" s="54">
        <v>18</v>
      </c>
      <c r="AQ13028" s="54">
        <v>3607.5</v>
      </c>
      <c r="AR13028" s="55">
        <v>28500</v>
      </c>
      <c r="AS13028" s="78">
        <f t="shared" si="207"/>
        <v>0.12657894736842104</v>
      </c>
    </row>
    <row r="13029" spans="39:45">
      <c r="AM13029" s="55">
        <v>2020</v>
      </c>
      <c r="AN13029" s="55" t="s">
        <v>187</v>
      </c>
      <c r="AO13029" s="55">
        <v>26</v>
      </c>
      <c r="AP13029" s="55">
        <v>19</v>
      </c>
      <c r="AQ13029" s="55">
        <v>887</v>
      </c>
      <c r="AR13029" s="55">
        <v>28500</v>
      </c>
      <c r="AS13029" s="78">
        <f t="shared" si="207"/>
        <v>3.1122807017543861E-2</v>
      </c>
    </row>
    <row r="13030" spans="39:45">
      <c r="AM13030" s="54">
        <v>2020</v>
      </c>
      <c r="AN13030" s="54" t="s">
        <v>187</v>
      </c>
      <c r="AO13030" s="54">
        <v>26</v>
      </c>
      <c r="AP13030" s="54">
        <v>20</v>
      </c>
      <c r="AQ13030" s="54">
        <v>0</v>
      </c>
      <c r="AR13030" s="55">
        <v>28500</v>
      </c>
      <c r="AS13030" s="78">
        <f t="shared" si="207"/>
        <v>0</v>
      </c>
    </row>
    <row r="13031" spans="39:45">
      <c r="AM13031" s="55">
        <v>2020</v>
      </c>
      <c r="AN13031" s="55" t="s">
        <v>187</v>
      </c>
      <c r="AO13031" s="55">
        <v>26</v>
      </c>
      <c r="AP13031" s="55">
        <v>21</v>
      </c>
      <c r="AQ13031" s="55">
        <v>0</v>
      </c>
      <c r="AR13031" s="55">
        <v>28500</v>
      </c>
      <c r="AS13031" s="78">
        <f t="shared" si="207"/>
        <v>0</v>
      </c>
    </row>
    <row r="13032" spans="39:45">
      <c r="AM13032" s="54">
        <v>2020</v>
      </c>
      <c r="AN13032" s="54" t="s">
        <v>187</v>
      </c>
      <c r="AO13032" s="54">
        <v>26</v>
      </c>
      <c r="AP13032" s="54">
        <v>22</v>
      </c>
      <c r="AQ13032" s="54">
        <v>0</v>
      </c>
      <c r="AR13032" s="55">
        <v>28500</v>
      </c>
      <c r="AS13032" s="78">
        <f t="shared" si="207"/>
        <v>0</v>
      </c>
    </row>
    <row r="13033" spans="39:45">
      <c r="AM13033" s="55">
        <v>2020</v>
      </c>
      <c r="AN13033" s="55" t="s">
        <v>187</v>
      </c>
      <c r="AO13033" s="55">
        <v>26</v>
      </c>
      <c r="AP13033" s="55">
        <v>23</v>
      </c>
      <c r="AQ13033" s="55">
        <v>0</v>
      </c>
      <c r="AR13033" s="55">
        <v>28500</v>
      </c>
      <c r="AS13033" s="78">
        <f t="shared" si="207"/>
        <v>0</v>
      </c>
    </row>
    <row r="13034" spans="39:45">
      <c r="AM13034" s="54">
        <v>2020</v>
      </c>
      <c r="AN13034" s="54" t="s">
        <v>187</v>
      </c>
      <c r="AO13034" s="54">
        <v>27</v>
      </c>
      <c r="AP13034" s="54">
        <v>24</v>
      </c>
      <c r="AQ13034" s="54">
        <v>0</v>
      </c>
      <c r="AR13034" s="55">
        <v>28500</v>
      </c>
      <c r="AS13034" s="78">
        <f t="shared" si="207"/>
        <v>0</v>
      </c>
    </row>
    <row r="13035" spans="39:45">
      <c r="AM13035" s="55">
        <v>2020</v>
      </c>
      <c r="AN13035" s="55" t="s">
        <v>187</v>
      </c>
      <c r="AO13035" s="55">
        <v>27</v>
      </c>
      <c r="AP13035" s="55">
        <v>1</v>
      </c>
      <c r="AQ13035" s="55">
        <v>0</v>
      </c>
      <c r="AR13035" s="55">
        <v>28500</v>
      </c>
      <c r="AS13035" s="78">
        <f t="shared" si="207"/>
        <v>0</v>
      </c>
    </row>
    <row r="13036" spans="39:45">
      <c r="AM13036" s="54">
        <v>2020</v>
      </c>
      <c r="AN13036" s="54" t="s">
        <v>187</v>
      </c>
      <c r="AO13036" s="54">
        <v>27</v>
      </c>
      <c r="AP13036" s="54">
        <v>2</v>
      </c>
      <c r="AQ13036" s="54">
        <v>0</v>
      </c>
      <c r="AR13036" s="55">
        <v>28500</v>
      </c>
      <c r="AS13036" s="78">
        <f t="shared" si="207"/>
        <v>0</v>
      </c>
    </row>
    <row r="13037" spans="39:45">
      <c r="AM13037" s="55">
        <v>2020</v>
      </c>
      <c r="AN13037" s="55" t="s">
        <v>187</v>
      </c>
      <c r="AO13037" s="55">
        <v>27</v>
      </c>
      <c r="AP13037" s="55">
        <v>3</v>
      </c>
      <c r="AQ13037" s="55">
        <v>0</v>
      </c>
      <c r="AR13037" s="55">
        <v>28500</v>
      </c>
      <c r="AS13037" s="78">
        <f t="shared" si="207"/>
        <v>0</v>
      </c>
    </row>
    <row r="13038" spans="39:45">
      <c r="AM13038" s="54">
        <v>2020</v>
      </c>
      <c r="AN13038" s="54" t="s">
        <v>187</v>
      </c>
      <c r="AO13038" s="54">
        <v>27</v>
      </c>
      <c r="AP13038" s="54">
        <v>4</v>
      </c>
      <c r="AQ13038" s="54">
        <v>0</v>
      </c>
      <c r="AR13038" s="55">
        <v>28500</v>
      </c>
      <c r="AS13038" s="78">
        <f t="shared" si="207"/>
        <v>0</v>
      </c>
    </row>
    <row r="13039" spans="39:45">
      <c r="AM13039" s="55">
        <v>2020</v>
      </c>
      <c r="AN13039" s="55" t="s">
        <v>187</v>
      </c>
      <c r="AO13039" s="55">
        <v>27</v>
      </c>
      <c r="AP13039" s="55">
        <v>5</v>
      </c>
      <c r="AQ13039" s="55">
        <v>1221.5</v>
      </c>
      <c r="AR13039" s="55">
        <v>28500</v>
      </c>
      <c r="AS13039" s="78">
        <f t="shared" si="207"/>
        <v>4.2859649122807014E-2</v>
      </c>
    </row>
    <row r="13040" spans="39:45">
      <c r="AM13040" s="54">
        <v>2020</v>
      </c>
      <c r="AN13040" s="54" t="s">
        <v>187</v>
      </c>
      <c r="AO13040" s="54">
        <v>27</v>
      </c>
      <c r="AP13040" s="54">
        <v>6</v>
      </c>
      <c r="AQ13040" s="54">
        <v>4954.5</v>
      </c>
      <c r="AR13040" s="55">
        <v>28500</v>
      </c>
      <c r="AS13040" s="78">
        <f t="shared" si="207"/>
        <v>0.17384210526315788</v>
      </c>
    </row>
    <row r="13041" spans="39:45">
      <c r="AM13041" s="55">
        <v>2020</v>
      </c>
      <c r="AN13041" s="55" t="s">
        <v>187</v>
      </c>
      <c r="AO13041" s="55">
        <v>27</v>
      </c>
      <c r="AP13041" s="55">
        <v>7</v>
      </c>
      <c r="AQ13041" s="55">
        <v>6320</v>
      </c>
      <c r="AR13041" s="55">
        <v>28500</v>
      </c>
      <c r="AS13041" s="78">
        <f t="shared" si="207"/>
        <v>0.22175438596491229</v>
      </c>
    </row>
    <row r="13042" spans="39:45">
      <c r="AM13042" s="54">
        <v>2020</v>
      </c>
      <c r="AN13042" s="54" t="s">
        <v>187</v>
      </c>
      <c r="AO13042" s="54">
        <v>27</v>
      </c>
      <c r="AP13042" s="54">
        <v>8</v>
      </c>
      <c r="AQ13042" s="54">
        <v>4182.5</v>
      </c>
      <c r="AR13042" s="55">
        <v>28500</v>
      </c>
      <c r="AS13042" s="78">
        <f t="shared" si="207"/>
        <v>0.14675438596491228</v>
      </c>
    </row>
    <row r="13043" spans="39:45">
      <c r="AM13043" s="55">
        <v>2020</v>
      </c>
      <c r="AN13043" s="55" t="s">
        <v>187</v>
      </c>
      <c r="AO13043" s="55">
        <v>27</v>
      </c>
      <c r="AP13043" s="55">
        <v>9</v>
      </c>
      <c r="AQ13043" s="55">
        <v>3747</v>
      </c>
      <c r="AR13043" s="55">
        <v>28500</v>
      </c>
      <c r="AS13043" s="78">
        <f t="shared" si="207"/>
        <v>0.13147368421052633</v>
      </c>
    </row>
    <row r="13044" spans="39:45">
      <c r="AM13044" s="54">
        <v>2020</v>
      </c>
      <c r="AN13044" s="54" t="s">
        <v>187</v>
      </c>
      <c r="AO13044" s="54">
        <v>27</v>
      </c>
      <c r="AP13044" s="54">
        <v>10</v>
      </c>
      <c r="AQ13044" s="54">
        <v>13433</v>
      </c>
      <c r="AR13044" s="55">
        <v>28500</v>
      </c>
      <c r="AS13044" s="78">
        <f t="shared" si="207"/>
        <v>0.47133333333333333</v>
      </c>
    </row>
    <row r="13045" spans="39:45">
      <c r="AM13045" s="55">
        <v>2020</v>
      </c>
      <c r="AN13045" s="55" t="s">
        <v>187</v>
      </c>
      <c r="AO13045" s="55">
        <v>27</v>
      </c>
      <c r="AP13045" s="55">
        <v>11</v>
      </c>
      <c r="AQ13045" s="55">
        <v>4489</v>
      </c>
      <c r="AR13045" s="55">
        <v>28500</v>
      </c>
      <c r="AS13045" s="78">
        <f t="shared" si="207"/>
        <v>0.15750877192982457</v>
      </c>
    </row>
    <row r="13046" spans="39:45">
      <c r="AM13046" s="54">
        <v>2020</v>
      </c>
      <c r="AN13046" s="54" t="s">
        <v>187</v>
      </c>
      <c r="AO13046" s="54">
        <v>27</v>
      </c>
      <c r="AP13046" s="54">
        <v>12</v>
      </c>
      <c r="AQ13046" s="54">
        <v>15123.5</v>
      </c>
      <c r="AR13046" s="55">
        <v>28500</v>
      </c>
      <c r="AS13046" s="78">
        <f t="shared" si="207"/>
        <v>0.53064912280701759</v>
      </c>
    </row>
    <row r="13047" spans="39:45">
      <c r="AM13047" s="55">
        <v>2020</v>
      </c>
      <c r="AN13047" s="55" t="s">
        <v>187</v>
      </c>
      <c r="AO13047" s="55">
        <v>27</v>
      </c>
      <c r="AP13047" s="55">
        <v>13</v>
      </c>
      <c r="AQ13047" s="55">
        <v>11953.5</v>
      </c>
      <c r="AR13047" s="55">
        <v>28500</v>
      </c>
      <c r="AS13047" s="78">
        <f t="shared" si="207"/>
        <v>0.41942105263157897</v>
      </c>
    </row>
    <row r="13048" spans="39:45">
      <c r="AM13048" s="54">
        <v>2020</v>
      </c>
      <c r="AN13048" s="54" t="s">
        <v>187</v>
      </c>
      <c r="AO13048" s="54">
        <v>27</v>
      </c>
      <c r="AP13048" s="54">
        <v>14</v>
      </c>
      <c r="AQ13048" s="54">
        <v>5439</v>
      </c>
      <c r="AR13048" s="55">
        <v>28500</v>
      </c>
      <c r="AS13048" s="78">
        <f t="shared" si="207"/>
        <v>0.1908421052631579</v>
      </c>
    </row>
    <row r="13049" spans="39:45">
      <c r="AM13049" s="55">
        <v>2020</v>
      </c>
      <c r="AN13049" s="55" t="s">
        <v>187</v>
      </c>
      <c r="AO13049" s="55">
        <v>27</v>
      </c>
      <c r="AP13049" s="55">
        <v>15</v>
      </c>
      <c r="AQ13049" s="55">
        <v>12537</v>
      </c>
      <c r="AR13049" s="55">
        <v>28500</v>
      </c>
      <c r="AS13049" s="78">
        <f t="shared" si="207"/>
        <v>0.43989473684210528</v>
      </c>
    </row>
    <row r="13050" spans="39:45">
      <c r="AM13050" s="54">
        <v>2020</v>
      </c>
      <c r="AN13050" s="54" t="s">
        <v>187</v>
      </c>
      <c r="AO13050" s="54">
        <v>27</v>
      </c>
      <c r="AP13050" s="54">
        <v>16</v>
      </c>
      <c r="AQ13050" s="54">
        <v>5296.5</v>
      </c>
      <c r="AR13050" s="55">
        <v>28500</v>
      </c>
      <c r="AS13050" s="78">
        <f t="shared" si="207"/>
        <v>0.18584210526315789</v>
      </c>
    </row>
    <row r="13051" spans="39:45">
      <c r="AM13051" s="55">
        <v>2020</v>
      </c>
      <c r="AN13051" s="55" t="s">
        <v>187</v>
      </c>
      <c r="AO13051" s="55">
        <v>27</v>
      </c>
      <c r="AP13051" s="55">
        <v>17</v>
      </c>
      <c r="AQ13051" s="55">
        <v>8199</v>
      </c>
      <c r="AR13051" s="55">
        <v>28500</v>
      </c>
      <c r="AS13051" s="78">
        <f t="shared" si="207"/>
        <v>0.28768421052631576</v>
      </c>
    </row>
    <row r="13052" spans="39:45">
      <c r="AM13052" s="54">
        <v>2020</v>
      </c>
      <c r="AN13052" s="54" t="s">
        <v>187</v>
      </c>
      <c r="AO13052" s="54">
        <v>27</v>
      </c>
      <c r="AP13052" s="54">
        <v>18</v>
      </c>
      <c r="AQ13052" s="54">
        <v>1544</v>
      </c>
      <c r="AR13052" s="55">
        <v>28500</v>
      </c>
      <c r="AS13052" s="78">
        <f t="shared" si="207"/>
        <v>5.4175438596491231E-2</v>
      </c>
    </row>
    <row r="13053" spans="39:45">
      <c r="AM13053" s="55">
        <v>2020</v>
      </c>
      <c r="AN13053" s="55" t="s">
        <v>187</v>
      </c>
      <c r="AO13053" s="55">
        <v>27</v>
      </c>
      <c r="AP13053" s="55">
        <v>19</v>
      </c>
      <c r="AQ13053" s="55">
        <v>463.5</v>
      </c>
      <c r="AR13053" s="55">
        <v>28500</v>
      </c>
      <c r="AS13053" s="78">
        <f t="shared" si="207"/>
        <v>1.626315789473684E-2</v>
      </c>
    </row>
    <row r="13054" spans="39:45">
      <c r="AM13054" s="54">
        <v>2020</v>
      </c>
      <c r="AN13054" s="54" t="s">
        <v>187</v>
      </c>
      <c r="AO13054" s="54">
        <v>27</v>
      </c>
      <c r="AP13054" s="54">
        <v>20</v>
      </c>
      <c r="AQ13054" s="54">
        <v>0</v>
      </c>
      <c r="AR13054" s="55">
        <v>28500</v>
      </c>
      <c r="AS13054" s="78">
        <f t="shared" si="207"/>
        <v>0</v>
      </c>
    </row>
    <row r="13055" spans="39:45">
      <c r="AM13055" s="55">
        <v>2020</v>
      </c>
      <c r="AN13055" s="55" t="s">
        <v>187</v>
      </c>
      <c r="AO13055" s="55">
        <v>27</v>
      </c>
      <c r="AP13055" s="55">
        <v>21</v>
      </c>
      <c r="AQ13055" s="55">
        <v>0</v>
      </c>
      <c r="AR13055" s="55">
        <v>28500</v>
      </c>
      <c r="AS13055" s="78">
        <f t="shared" si="207"/>
        <v>0</v>
      </c>
    </row>
    <row r="13056" spans="39:45">
      <c r="AM13056" s="54">
        <v>2020</v>
      </c>
      <c r="AN13056" s="54" t="s">
        <v>187</v>
      </c>
      <c r="AO13056" s="54">
        <v>27</v>
      </c>
      <c r="AP13056" s="54">
        <v>22</v>
      </c>
      <c r="AQ13056" s="54">
        <v>0</v>
      </c>
      <c r="AR13056" s="55">
        <v>28500</v>
      </c>
      <c r="AS13056" s="78">
        <f t="shared" si="207"/>
        <v>0</v>
      </c>
    </row>
    <row r="13057" spans="39:45">
      <c r="AM13057" s="55">
        <v>2020</v>
      </c>
      <c r="AN13057" s="55" t="s">
        <v>187</v>
      </c>
      <c r="AO13057" s="55">
        <v>27</v>
      </c>
      <c r="AP13057" s="55">
        <v>23</v>
      </c>
      <c r="AQ13057" s="55">
        <v>0</v>
      </c>
      <c r="AR13057" s="55">
        <v>28500</v>
      </c>
      <c r="AS13057" s="78">
        <f t="shared" si="207"/>
        <v>0</v>
      </c>
    </row>
    <row r="13058" spans="39:45">
      <c r="AM13058" s="54">
        <v>2020</v>
      </c>
      <c r="AN13058" s="54" t="s">
        <v>187</v>
      </c>
      <c r="AO13058" s="54">
        <v>28</v>
      </c>
      <c r="AP13058" s="54">
        <v>24</v>
      </c>
      <c r="AQ13058" s="54">
        <v>0</v>
      </c>
      <c r="AR13058" s="55">
        <v>28500</v>
      </c>
      <c r="AS13058" s="78">
        <f t="shared" ref="AS13058:AS13121" si="208">AQ13058/AR13058</f>
        <v>0</v>
      </c>
    </row>
    <row r="13059" spans="39:45">
      <c r="AM13059" s="55">
        <v>2020</v>
      </c>
      <c r="AN13059" s="55" t="s">
        <v>187</v>
      </c>
      <c r="AO13059" s="55">
        <v>28</v>
      </c>
      <c r="AP13059" s="55">
        <v>1</v>
      </c>
      <c r="AQ13059" s="55">
        <v>0</v>
      </c>
      <c r="AR13059" s="55">
        <v>28500</v>
      </c>
      <c r="AS13059" s="78">
        <f t="shared" si="208"/>
        <v>0</v>
      </c>
    </row>
    <row r="13060" spans="39:45">
      <c r="AM13060" s="54">
        <v>2020</v>
      </c>
      <c r="AN13060" s="54" t="s">
        <v>187</v>
      </c>
      <c r="AO13060" s="54">
        <v>28</v>
      </c>
      <c r="AP13060" s="54">
        <v>2</v>
      </c>
      <c r="AQ13060" s="54">
        <v>0</v>
      </c>
      <c r="AR13060" s="55">
        <v>28500</v>
      </c>
      <c r="AS13060" s="78">
        <f t="shared" si="208"/>
        <v>0</v>
      </c>
    </row>
    <row r="13061" spans="39:45">
      <c r="AM13061" s="55">
        <v>2020</v>
      </c>
      <c r="AN13061" s="55" t="s">
        <v>187</v>
      </c>
      <c r="AO13061" s="55">
        <v>28</v>
      </c>
      <c r="AP13061" s="55">
        <v>3</v>
      </c>
      <c r="AQ13061" s="55">
        <v>0</v>
      </c>
      <c r="AR13061" s="55">
        <v>28500</v>
      </c>
      <c r="AS13061" s="78">
        <f t="shared" si="208"/>
        <v>0</v>
      </c>
    </row>
    <row r="13062" spans="39:45">
      <c r="AM13062" s="54">
        <v>2020</v>
      </c>
      <c r="AN13062" s="54" t="s">
        <v>187</v>
      </c>
      <c r="AO13062" s="54">
        <v>28</v>
      </c>
      <c r="AP13062" s="54">
        <v>4</v>
      </c>
      <c r="AQ13062" s="54">
        <v>37.5</v>
      </c>
      <c r="AR13062" s="55">
        <v>28500</v>
      </c>
      <c r="AS13062" s="78">
        <f t="shared" si="208"/>
        <v>1.3157894736842105E-3</v>
      </c>
    </row>
    <row r="13063" spans="39:45">
      <c r="AM13063" s="55">
        <v>2020</v>
      </c>
      <c r="AN13063" s="55" t="s">
        <v>187</v>
      </c>
      <c r="AO13063" s="55">
        <v>28</v>
      </c>
      <c r="AP13063" s="55">
        <v>5</v>
      </c>
      <c r="AQ13063" s="55">
        <v>1337</v>
      </c>
      <c r="AR13063" s="55">
        <v>28500</v>
      </c>
      <c r="AS13063" s="78">
        <f t="shared" si="208"/>
        <v>4.6912280701754384E-2</v>
      </c>
    </row>
    <row r="13064" spans="39:45">
      <c r="AM13064" s="54">
        <v>2020</v>
      </c>
      <c r="AN13064" s="54" t="s">
        <v>187</v>
      </c>
      <c r="AO13064" s="54">
        <v>28</v>
      </c>
      <c r="AP13064" s="54">
        <v>6</v>
      </c>
      <c r="AQ13064" s="54">
        <v>3902</v>
      </c>
      <c r="AR13064" s="55">
        <v>28500</v>
      </c>
      <c r="AS13064" s="78">
        <f t="shared" si="208"/>
        <v>0.13691228070175437</v>
      </c>
    </row>
    <row r="13065" spans="39:45">
      <c r="AM13065" s="55">
        <v>2020</v>
      </c>
      <c r="AN13065" s="55" t="s">
        <v>187</v>
      </c>
      <c r="AO13065" s="55">
        <v>28</v>
      </c>
      <c r="AP13065" s="55">
        <v>7</v>
      </c>
      <c r="AQ13065" s="55">
        <v>12980.5</v>
      </c>
      <c r="AR13065" s="55">
        <v>28500</v>
      </c>
      <c r="AS13065" s="78">
        <f t="shared" si="208"/>
        <v>0.45545614035087717</v>
      </c>
    </row>
    <row r="13066" spans="39:45">
      <c r="AM13066" s="54">
        <v>2020</v>
      </c>
      <c r="AN13066" s="54" t="s">
        <v>187</v>
      </c>
      <c r="AO13066" s="54">
        <v>28</v>
      </c>
      <c r="AP13066" s="54">
        <v>8</v>
      </c>
      <c r="AQ13066" s="54">
        <v>21284.5</v>
      </c>
      <c r="AR13066" s="55">
        <v>28500</v>
      </c>
      <c r="AS13066" s="78">
        <f t="shared" si="208"/>
        <v>0.74682456140350872</v>
      </c>
    </row>
    <row r="13067" spans="39:45">
      <c r="AM13067" s="55">
        <v>2020</v>
      </c>
      <c r="AN13067" s="55" t="s">
        <v>187</v>
      </c>
      <c r="AO13067" s="55">
        <v>28</v>
      </c>
      <c r="AP13067" s="55">
        <v>9</v>
      </c>
      <c r="AQ13067" s="55">
        <v>25455.5</v>
      </c>
      <c r="AR13067" s="55">
        <v>28500</v>
      </c>
      <c r="AS13067" s="78">
        <f t="shared" si="208"/>
        <v>0.89317543859649118</v>
      </c>
    </row>
    <row r="13068" spans="39:45">
      <c r="AM13068" s="54">
        <v>2020</v>
      </c>
      <c r="AN13068" s="54" t="s">
        <v>187</v>
      </c>
      <c r="AO13068" s="54">
        <v>28</v>
      </c>
      <c r="AP13068" s="54">
        <v>10</v>
      </c>
      <c r="AQ13068" s="54">
        <v>24098</v>
      </c>
      <c r="AR13068" s="55">
        <v>28500</v>
      </c>
      <c r="AS13068" s="78">
        <f t="shared" si="208"/>
        <v>0.84554385964912282</v>
      </c>
    </row>
    <row r="13069" spans="39:45">
      <c r="AM13069" s="55">
        <v>2020</v>
      </c>
      <c r="AN13069" s="55" t="s">
        <v>187</v>
      </c>
      <c r="AO13069" s="55">
        <v>28</v>
      </c>
      <c r="AP13069" s="55">
        <v>11</v>
      </c>
      <c r="AQ13069" s="55">
        <v>25945.5</v>
      </c>
      <c r="AR13069" s="55">
        <v>28500</v>
      </c>
      <c r="AS13069" s="78">
        <f t="shared" si="208"/>
        <v>0.9103684210526316</v>
      </c>
    </row>
    <row r="13070" spans="39:45">
      <c r="AM13070" s="54">
        <v>2020</v>
      </c>
      <c r="AN13070" s="54" t="s">
        <v>187</v>
      </c>
      <c r="AO13070" s="54">
        <v>28</v>
      </c>
      <c r="AP13070" s="54">
        <v>12</v>
      </c>
      <c r="AQ13070" s="54">
        <v>9395</v>
      </c>
      <c r="AR13070" s="55">
        <v>28500</v>
      </c>
      <c r="AS13070" s="78">
        <f t="shared" si="208"/>
        <v>0.32964912280701753</v>
      </c>
    </row>
    <row r="13071" spans="39:45">
      <c r="AM13071" s="55">
        <v>2020</v>
      </c>
      <c r="AN13071" s="55" t="s">
        <v>187</v>
      </c>
      <c r="AO13071" s="55">
        <v>28</v>
      </c>
      <c r="AP13071" s="55">
        <v>13</v>
      </c>
      <c r="AQ13071" s="55">
        <v>25668</v>
      </c>
      <c r="AR13071" s="55">
        <v>28500</v>
      </c>
      <c r="AS13071" s="78">
        <f t="shared" si="208"/>
        <v>0.90063157894736845</v>
      </c>
    </row>
    <row r="13072" spans="39:45">
      <c r="AM13072" s="54">
        <v>2020</v>
      </c>
      <c r="AN13072" s="54" t="s">
        <v>187</v>
      </c>
      <c r="AO13072" s="54">
        <v>28</v>
      </c>
      <c r="AP13072" s="54">
        <v>14</v>
      </c>
      <c r="AQ13072" s="54">
        <v>29917.5</v>
      </c>
      <c r="AR13072" s="55">
        <v>28500</v>
      </c>
      <c r="AS13072" s="78">
        <f t="shared" si="208"/>
        <v>1.0497368421052631</v>
      </c>
    </row>
    <row r="13073" spans="39:45">
      <c r="AM13073" s="55">
        <v>2020</v>
      </c>
      <c r="AN13073" s="55" t="s">
        <v>187</v>
      </c>
      <c r="AO13073" s="55">
        <v>28</v>
      </c>
      <c r="AP13073" s="55">
        <v>15</v>
      </c>
      <c r="AQ13073" s="55">
        <v>25572</v>
      </c>
      <c r="AR13073" s="55">
        <v>28500</v>
      </c>
      <c r="AS13073" s="78">
        <f t="shared" si="208"/>
        <v>0.89726315789473687</v>
      </c>
    </row>
    <row r="13074" spans="39:45">
      <c r="AM13074" s="54">
        <v>2020</v>
      </c>
      <c r="AN13074" s="54" t="s">
        <v>187</v>
      </c>
      <c r="AO13074" s="54">
        <v>28</v>
      </c>
      <c r="AP13074" s="54">
        <v>16</v>
      </c>
      <c r="AQ13074" s="54">
        <v>18276.5</v>
      </c>
      <c r="AR13074" s="55">
        <v>28500</v>
      </c>
      <c r="AS13074" s="78">
        <f t="shared" si="208"/>
        <v>0.64128070175438601</v>
      </c>
    </row>
    <row r="13075" spans="39:45">
      <c r="AM13075" s="55">
        <v>2020</v>
      </c>
      <c r="AN13075" s="55" t="s">
        <v>187</v>
      </c>
      <c r="AO13075" s="55">
        <v>28</v>
      </c>
      <c r="AP13075" s="55">
        <v>17</v>
      </c>
      <c r="AQ13075" s="55">
        <v>10236</v>
      </c>
      <c r="AR13075" s="55">
        <v>28500</v>
      </c>
      <c r="AS13075" s="78">
        <f t="shared" si="208"/>
        <v>0.35915789473684212</v>
      </c>
    </row>
    <row r="13076" spans="39:45">
      <c r="AM13076" s="54">
        <v>2020</v>
      </c>
      <c r="AN13076" s="54" t="s">
        <v>187</v>
      </c>
      <c r="AO13076" s="54">
        <v>28</v>
      </c>
      <c r="AP13076" s="54">
        <v>18</v>
      </c>
      <c r="AQ13076" s="54">
        <v>2068.5</v>
      </c>
      <c r="AR13076" s="55">
        <v>28500</v>
      </c>
      <c r="AS13076" s="78">
        <f t="shared" si="208"/>
        <v>7.2578947368421048E-2</v>
      </c>
    </row>
    <row r="13077" spans="39:45">
      <c r="AM13077" s="55">
        <v>2020</v>
      </c>
      <c r="AN13077" s="55" t="s">
        <v>187</v>
      </c>
      <c r="AO13077" s="55">
        <v>28</v>
      </c>
      <c r="AP13077" s="55">
        <v>19</v>
      </c>
      <c r="AQ13077" s="55">
        <v>904</v>
      </c>
      <c r="AR13077" s="55">
        <v>28500</v>
      </c>
      <c r="AS13077" s="78">
        <f t="shared" si="208"/>
        <v>3.1719298245614036E-2</v>
      </c>
    </row>
    <row r="13078" spans="39:45">
      <c r="AM13078" s="54">
        <v>2020</v>
      </c>
      <c r="AN13078" s="54" t="s">
        <v>187</v>
      </c>
      <c r="AO13078" s="54">
        <v>28</v>
      </c>
      <c r="AP13078" s="54">
        <v>20</v>
      </c>
      <c r="AQ13078" s="54">
        <v>0</v>
      </c>
      <c r="AR13078" s="55">
        <v>28500</v>
      </c>
      <c r="AS13078" s="78">
        <f t="shared" si="208"/>
        <v>0</v>
      </c>
    </row>
    <row r="13079" spans="39:45">
      <c r="AM13079" s="55">
        <v>2020</v>
      </c>
      <c r="AN13079" s="55" t="s">
        <v>187</v>
      </c>
      <c r="AO13079" s="55">
        <v>28</v>
      </c>
      <c r="AP13079" s="55">
        <v>21</v>
      </c>
      <c r="AQ13079" s="55">
        <v>0</v>
      </c>
      <c r="AR13079" s="55">
        <v>28500</v>
      </c>
      <c r="AS13079" s="78">
        <f t="shared" si="208"/>
        <v>0</v>
      </c>
    </row>
    <row r="13080" spans="39:45">
      <c r="AM13080" s="54">
        <v>2020</v>
      </c>
      <c r="AN13080" s="54" t="s">
        <v>187</v>
      </c>
      <c r="AO13080" s="54">
        <v>28</v>
      </c>
      <c r="AP13080" s="54">
        <v>22</v>
      </c>
      <c r="AQ13080" s="54">
        <v>0</v>
      </c>
      <c r="AR13080" s="55">
        <v>28500</v>
      </c>
      <c r="AS13080" s="78">
        <f t="shared" si="208"/>
        <v>0</v>
      </c>
    </row>
    <row r="13081" spans="39:45">
      <c r="AM13081" s="55">
        <v>2020</v>
      </c>
      <c r="AN13081" s="55" t="s">
        <v>187</v>
      </c>
      <c r="AO13081" s="55">
        <v>28</v>
      </c>
      <c r="AP13081" s="55">
        <v>23</v>
      </c>
      <c r="AQ13081" s="55">
        <v>0</v>
      </c>
      <c r="AR13081" s="55">
        <v>28500</v>
      </c>
      <c r="AS13081" s="78">
        <f t="shared" si="208"/>
        <v>0</v>
      </c>
    </row>
    <row r="13082" spans="39:45">
      <c r="AM13082" s="54">
        <v>2020</v>
      </c>
      <c r="AN13082" s="54" t="s">
        <v>187</v>
      </c>
      <c r="AO13082" s="54">
        <v>29</v>
      </c>
      <c r="AP13082" s="54">
        <v>24</v>
      </c>
      <c r="AQ13082" s="54">
        <v>0</v>
      </c>
      <c r="AR13082" s="55">
        <v>28500</v>
      </c>
      <c r="AS13082" s="78">
        <f t="shared" si="208"/>
        <v>0</v>
      </c>
    </row>
    <row r="13083" spans="39:45">
      <c r="AM13083" s="55">
        <v>2020</v>
      </c>
      <c r="AN13083" s="55" t="s">
        <v>187</v>
      </c>
      <c r="AO13083" s="55">
        <v>29</v>
      </c>
      <c r="AP13083" s="55">
        <v>1</v>
      </c>
      <c r="AQ13083" s="55">
        <v>0</v>
      </c>
      <c r="AR13083" s="55">
        <v>28500</v>
      </c>
      <c r="AS13083" s="78">
        <f t="shared" si="208"/>
        <v>0</v>
      </c>
    </row>
    <row r="13084" spans="39:45">
      <c r="AM13084" s="54">
        <v>2020</v>
      </c>
      <c r="AN13084" s="54" t="s">
        <v>187</v>
      </c>
      <c r="AO13084" s="54">
        <v>29</v>
      </c>
      <c r="AP13084" s="54">
        <v>2</v>
      </c>
      <c r="AQ13084" s="54">
        <v>0</v>
      </c>
      <c r="AR13084" s="55">
        <v>28500</v>
      </c>
      <c r="AS13084" s="78">
        <f t="shared" si="208"/>
        <v>0</v>
      </c>
    </row>
    <row r="13085" spans="39:45">
      <c r="AM13085" s="55">
        <v>2020</v>
      </c>
      <c r="AN13085" s="55" t="s">
        <v>187</v>
      </c>
      <c r="AO13085" s="55">
        <v>29</v>
      </c>
      <c r="AP13085" s="55">
        <v>3</v>
      </c>
      <c r="AQ13085" s="55">
        <v>0</v>
      </c>
      <c r="AR13085" s="55">
        <v>28500</v>
      </c>
      <c r="AS13085" s="78">
        <f t="shared" si="208"/>
        <v>0</v>
      </c>
    </row>
    <row r="13086" spans="39:45">
      <c r="AM13086" s="54">
        <v>2020</v>
      </c>
      <c r="AN13086" s="54" t="s">
        <v>187</v>
      </c>
      <c r="AO13086" s="54">
        <v>29</v>
      </c>
      <c r="AP13086" s="54">
        <v>4</v>
      </c>
      <c r="AQ13086" s="54">
        <v>0</v>
      </c>
      <c r="AR13086" s="55">
        <v>28500</v>
      </c>
      <c r="AS13086" s="78">
        <f t="shared" si="208"/>
        <v>0</v>
      </c>
    </row>
    <row r="13087" spans="39:45">
      <c r="AM13087" s="55">
        <v>2020</v>
      </c>
      <c r="AN13087" s="55" t="s">
        <v>187</v>
      </c>
      <c r="AO13087" s="55">
        <v>29</v>
      </c>
      <c r="AP13087" s="55">
        <v>5</v>
      </c>
      <c r="AQ13087" s="55">
        <v>1741.5</v>
      </c>
      <c r="AR13087" s="55">
        <v>28500</v>
      </c>
      <c r="AS13087" s="78">
        <f t="shared" si="208"/>
        <v>6.1105263157894739E-2</v>
      </c>
    </row>
    <row r="13088" spans="39:45">
      <c r="AM13088" s="54">
        <v>2020</v>
      </c>
      <c r="AN13088" s="54" t="s">
        <v>187</v>
      </c>
      <c r="AO13088" s="54">
        <v>29</v>
      </c>
      <c r="AP13088" s="54">
        <v>6</v>
      </c>
      <c r="AQ13088" s="54">
        <v>3475.5</v>
      </c>
      <c r="AR13088" s="55">
        <v>28500</v>
      </c>
      <c r="AS13088" s="78">
        <f t="shared" si="208"/>
        <v>0.12194736842105264</v>
      </c>
    </row>
    <row r="13089" spans="39:45">
      <c r="AM13089" s="55">
        <v>2020</v>
      </c>
      <c r="AN13089" s="55" t="s">
        <v>187</v>
      </c>
      <c r="AO13089" s="55">
        <v>29</v>
      </c>
      <c r="AP13089" s="55">
        <v>7</v>
      </c>
      <c r="AQ13089" s="55">
        <v>6271</v>
      </c>
      <c r="AR13089" s="55">
        <v>28500</v>
      </c>
      <c r="AS13089" s="78">
        <f t="shared" si="208"/>
        <v>0.22003508771929825</v>
      </c>
    </row>
    <row r="13090" spans="39:45">
      <c r="AM13090" s="54">
        <v>2020</v>
      </c>
      <c r="AN13090" s="54" t="s">
        <v>187</v>
      </c>
      <c r="AO13090" s="54">
        <v>29</v>
      </c>
      <c r="AP13090" s="54">
        <v>8</v>
      </c>
      <c r="AQ13090" s="54">
        <v>15207.5</v>
      </c>
      <c r="AR13090" s="55">
        <v>28500</v>
      </c>
      <c r="AS13090" s="78">
        <f t="shared" si="208"/>
        <v>0.53359649122807018</v>
      </c>
    </row>
    <row r="13091" spans="39:45">
      <c r="AM13091" s="55">
        <v>2020</v>
      </c>
      <c r="AN13091" s="55" t="s">
        <v>187</v>
      </c>
      <c r="AO13091" s="55">
        <v>29</v>
      </c>
      <c r="AP13091" s="55">
        <v>9</v>
      </c>
      <c r="AQ13091" s="55">
        <v>13369.5</v>
      </c>
      <c r="AR13091" s="55">
        <v>28500</v>
      </c>
      <c r="AS13091" s="78">
        <f t="shared" si="208"/>
        <v>0.46910526315789475</v>
      </c>
    </row>
    <row r="13092" spans="39:45">
      <c r="AM13092" s="54">
        <v>2020</v>
      </c>
      <c r="AN13092" s="54" t="s">
        <v>187</v>
      </c>
      <c r="AO13092" s="54">
        <v>29</v>
      </c>
      <c r="AP13092" s="54">
        <v>10</v>
      </c>
      <c r="AQ13092" s="54">
        <v>17266</v>
      </c>
      <c r="AR13092" s="55">
        <v>28500</v>
      </c>
      <c r="AS13092" s="78">
        <f t="shared" si="208"/>
        <v>0.60582456140350882</v>
      </c>
    </row>
    <row r="13093" spans="39:45">
      <c r="AM13093" s="55">
        <v>2020</v>
      </c>
      <c r="AN13093" s="55" t="s">
        <v>187</v>
      </c>
      <c r="AO13093" s="55">
        <v>29</v>
      </c>
      <c r="AP13093" s="55">
        <v>11</v>
      </c>
      <c r="AQ13093" s="55">
        <v>36027</v>
      </c>
      <c r="AR13093" s="55">
        <v>28500</v>
      </c>
      <c r="AS13093" s="78">
        <f t="shared" si="208"/>
        <v>1.2641052631578948</v>
      </c>
    </row>
    <row r="13094" spans="39:45">
      <c r="AM13094" s="54">
        <v>2020</v>
      </c>
      <c r="AN13094" s="54" t="s">
        <v>187</v>
      </c>
      <c r="AO13094" s="54">
        <v>29</v>
      </c>
      <c r="AP13094" s="54">
        <v>12</v>
      </c>
      <c r="AQ13094" s="54">
        <v>28904</v>
      </c>
      <c r="AR13094" s="55">
        <v>28500</v>
      </c>
      <c r="AS13094" s="78">
        <f t="shared" si="208"/>
        <v>1.0141754385964912</v>
      </c>
    </row>
    <row r="13095" spans="39:45">
      <c r="AM13095" s="55">
        <v>2020</v>
      </c>
      <c r="AN13095" s="55" t="s">
        <v>187</v>
      </c>
      <c r="AO13095" s="55">
        <v>29</v>
      </c>
      <c r="AP13095" s="55">
        <v>13</v>
      </c>
      <c r="AQ13095" s="55">
        <v>24962.5</v>
      </c>
      <c r="AR13095" s="55">
        <v>28500</v>
      </c>
      <c r="AS13095" s="78">
        <f t="shared" si="208"/>
        <v>0.87587719298245614</v>
      </c>
    </row>
    <row r="13096" spans="39:45">
      <c r="AM13096" s="54">
        <v>2020</v>
      </c>
      <c r="AN13096" s="54" t="s">
        <v>187</v>
      </c>
      <c r="AO13096" s="54">
        <v>29</v>
      </c>
      <c r="AP13096" s="54">
        <v>14</v>
      </c>
      <c r="AQ13096" s="54">
        <v>27502</v>
      </c>
      <c r="AR13096" s="55">
        <v>28500</v>
      </c>
      <c r="AS13096" s="78">
        <f t="shared" si="208"/>
        <v>0.96498245614035083</v>
      </c>
    </row>
    <row r="13097" spans="39:45">
      <c r="AM13097" s="55">
        <v>2020</v>
      </c>
      <c r="AN13097" s="55" t="s">
        <v>187</v>
      </c>
      <c r="AO13097" s="55">
        <v>29</v>
      </c>
      <c r="AP13097" s="55">
        <v>15</v>
      </c>
      <c r="AQ13097" s="55">
        <v>21900.5</v>
      </c>
      <c r="AR13097" s="55">
        <v>28500</v>
      </c>
      <c r="AS13097" s="78">
        <f t="shared" si="208"/>
        <v>0.76843859649122803</v>
      </c>
    </row>
    <row r="13098" spans="39:45">
      <c r="AM13098" s="54">
        <v>2020</v>
      </c>
      <c r="AN13098" s="54" t="s">
        <v>187</v>
      </c>
      <c r="AO13098" s="54">
        <v>29</v>
      </c>
      <c r="AP13098" s="54">
        <v>16</v>
      </c>
      <c r="AQ13098" s="54">
        <v>6523.5</v>
      </c>
      <c r="AR13098" s="55">
        <v>28500</v>
      </c>
      <c r="AS13098" s="78">
        <f t="shared" si="208"/>
        <v>0.22889473684210526</v>
      </c>
    </row>
    <row r="13099" spans="39:45">
      <c r="AM13099" s="55">
        <v>2020</v>
      </c>
      <c r="AN13099" s="55" t="s">
        <v>187</v>
      </c>
      <c r="AO13099" s="55">
        <v>29</v>
      </c>
      <c r="AP13099" s="55">
        <v>17</v>
      </c>
      <c r="AQ13099" s="55">
        <v>5973</v>
      </c>
      <c r="AR13099" s="55">
        <v>28500</v>
      </c>
      <c r="AS13099" s="78">
        <f t="shared" si="208"/>
        <v>0.20957894736842106</v>
      </c>
    </row>
    <row r="13100" spans="39:45">
      <c r="AM13100" s="54">
        <v>2020</v>
      </c>
      <c r="AN13100" s="54" t="s">
        <v>187</v>
      </c>
      <c r="AO13100" s="54">
        <v>29</v>
      </c>
      <c r="AP13100" s="54">
        <v>18</v>
      </c>
      <c r="AQ13100" s="54">
        <v>2161.5</v>
      </c>
      <c r="AR13100" s="55">
        <v>28500</v>
      </c>
      <c r="AS13100" s="78">
        <f t="shared" si="208"/>
        <v>7.5842105263157891E-2</v>
      </c>
    </row>
    <row r="13101" spans="39:45">
      <c r="AM13101" s="55">
        <v>2020</v>
      </c>
      <c r="AN13101" s="55" t="s">
        <v>187</v>
      </c>
      <c r="AO13101" s="55">
        <v>29</v>
      </c>
      <c r="AP13101" s="55">
        <v>19</v>
      </c>
      <c r="AQ13101" s="55">
        <v>905.5</v>
      </c>
      <c r="AR13101" s="55">
        <v>28500</v>
      </c>
      <c r="AS13101" s="78">
        <f t="shared" si="208"/>
        <v>3.1771929824561403E-2</v>
      </c>
    </row>
    <row r="13102" spans="39:45">
      <c r="AM13102" s="54">
        <v>2020</v>
      </c>
      <c r="AN13102" s="54" t="s">
        <v>187</v>
      </c>
      <c r="AO13102" s="54">
        <v>29</v>
      </c>
      <c r="AP13102" s="54">
        <v>20</v>
      </c>
      <c r="AQ13102" s="54">
        <v>0</v>
      </c>
      <c r="AR13102" s="55">
        <v>28500</v>
      </c>
      <c r="AS13102" s="78">
        <f t="shared" si="208"/>
        <v>0</v>
      </c>
    </row>
    <row r="13103" spans="39:45">
      <c r="AM13103" s="55">
        <v>2020</v>
      </c>
      <c r="AN13103" s="55" t="s">
        <v>187</v>
      </c>
      <c r="AO13103" s="55">
        <v>29</v>
      </c>
      <c r="AP13103" s="55">
        <v>21</v>
      </c>
      <c r="AQ13103" s="55">
        <v>0</v>
      </c>
      <c r="AR13103" s="55">
        <v>28500</v>
      </c>
      <c r="AS13103" s="78">
        <f t="shared" si="208"/>
        <v>0</v>
      </c>
    </row>
    <row r="13104" spans="39:45">
      <c r="AM13104" s="54">
        <v>2020</v>
      </c>
      <c r="AN13104" s="54" t="s">
        <v>187</v>
      </c>
      <c r="AO13104" s="54">
        <v>29</v>
      </c>
      <c r="AP13104" s="54">
        <v>22</v>
      </c>
      <c r="AQ13104" s="54">
        <v>0</v>
      </c>
      <c r="AR13104" s="55">
        <v>28500</v>
      </c>
      <c r="AS13104" s="78">
        <f t="shared" si="208"/>
        <v>0</v>
      </c>
    </row>
    <row r="13105" spans="39:45">
      <c r="AM13105" s="55">
        <v>2020</v>
      </c>
      <c r="AN13105" s="55" t="s">
        <v>187</v>
      </c>
      <c r="AO13105" s="55">
        <v>29</v>
      </c>
      <c r="AP13105" s="55">
        <v>23</v>
      </c>
      <c r="AQ13105" s="55">
        <v>0</v>
      </c>
      <c r="AR13105" s="55">
        <v>28500</v>
      </c>
      <c r="AS13105" s="78">
        <f t="shared" si="208"/>
        <v>0</v>
      </c>
    </row>
    <row r="13106" spans="39:45">
      <c r="AM13106" s="54">
        <v>2020</v>
      </c>
      <c r="AN13106" s="54" t="s">
        <v>187</v>
      </c>
      <c r="AO13106" s="54">
        <v>30</v>
      </c>
      <c r="AP13106" s="54">
        <v>24</v>
      </c>
      <c r="AQ13106" s="54">
        <v>0</v>
      </c>
      <c r="AR13106" s="55">
        <v>28500</v>
      </c>
      <c r="AS13106" s="78">
        <f t="shared" si="208"/>
        <v>0</v>
      </c>
    </row>
    <row r="13107" spans="39:45">
      <c r="AM13107" s="55">
        <v>2020</v>
      </c>
      <c r="AN13107" s="55" t="s">
        <v>187</v>
      </c>
      <c r="AO13107" s="55">
        <v>30</v>
      </c>
      <c r="AP13107" s="55">
        <v>1</v>
      </c>
      <c r="AQ13107" s="55">
        <v>0</v>
      </c>
      <c r="AR13107" s="55">
        <v>28500</v>
      </c>
      <c r="AS13107" s="78">
        <f t="shared" si="208"/>
        <v>0</v>
      </c>
    </row>
    <row r="13108" spans="39:45">
      <c r="AM13108" s="54">
        <v>2020</v>
      </c>
      <c r="AN13108" s="54" t="s">
        <v>187</v>
      </c>
      <c r="AO13108" s="54">
        <v>30</v>
      </c>
      <c r="AP13108" s="54">
        <v>2</v>
      </c>
      <c r="AQ13108" s="54">
        <v>0</v>
      </c>
      <c r="AR13108" s="55">
        <v>28500</v>
      </c>
      <c r="AS13108" s="78">
        <f t="shared" si="208"/>
        <v>0</v>
      </c>
    </row>
    <row r="13109" spans="39:45">
      <c r="AM13109" s="55">
        <v>2020</v>
      </c>
      <c r="AN13109" s="55" t="s">
        <v>187</v>
      </c>
      <c r="AO13109" s="55">
        <v>30</v>
      </c>
      <c r="AP13109" s="55">
        <v>3</v>
      </c>
      <c r="AQ13109" s="55">
        <v>0</v>
      </c>
      <c r="AR13109" s="55">
        <v>28500</v>
      </c>
      <c r="AS13109" s="78">
        <f t="shared" si="208"/>
        <v>0</v>
      </c>
    </row>
    <row r="13110" spans="39:45">
      <c r="AM13110" s="54">
        <v>2020</v>
      </c>
      <c r="AN13110" s="54" t="s">
        <v>187</v>
      </c>
      <c r="AO13110" s="54">
        <v>30</v>
      </c>
      <c r="AP13110" s="54">
        <v>4</v>
      </c>
      <c r="AQ13110" s="54">
        <v>0</v>
      </c>
      <c r="AR13110" s="55">
        <v>28500</v>
      </c>
      <c r="AS13110" s="78">
        <f t="shared" si="208"/>
        <v>0</v>
      </c>
    </row>
    <row r="13111" spans="39:45">
      <c r="AM13111" s="55">
        <v>2020</v>
      </c>
      <c r="AN13111" s="55" t="s">
        <v>187</v>
      </c>
      <c r="AO13111" s="55">
        <v>30</v>
      </c>
      <c r="AP13111" s="55">
        <v>5</v>
      </c>
      <c r="AQ13111" s="55">
        <v>1771.5</v>
      </c>
      <c r="AR13111" s="55">
        <v>28500</v>
      </c>
      <c r="AS13111" s="78">
        <f t="shared" si="208"/>
        <v>6.2157894736842106E-2</v>
      </c>
    </row>
    <row r="13112" spans="39:45">
      <c r="AM13112" s="54">
        <v>2020</v>
      </c>
      <c r="AN13112" s="54" t="s">
        <v>187</v>
      </c>
      <c r="AO13112" s="54">
        <v>30</v>
      </c>
      <c r="AP13112" s="54">
        <v>6</v>
      </c>
      <c r="AQ13112" s="54">
        <v>4530.5</v>
      </c>
      <c r="AR13112" s="55">
        <v>28500</v>
      </c>
      <c r="AS13112" s="78">
        <f t="shared" si="208"/>
        <v>0.15896491228070175</v>
      </c>
    </row>
    <row r="13113" spans="39:45">
      <c r="AM13113" s="55">
        <v>2020</v>
      </c>
      <c r="AN13113" s="55" t="s">
        <v>187</v>
      </c>
      <c r="AO13113" s="55">
        <v>30</v>
      </c>
      <c r="AP13113" s="55">
        <v>7</v>
      </c>
      <c r="AQ13113" s="55">
        <v>4349.5</v>
      </c>
      <c r="AR13113" s="55">
        <v>28500</v>
      </c>
      <c r="AS13113" s="78">
        <f t="shared" si="208"/>
        <v>0.15261403508771929</v>
      </c>
    </row>
    <row r="13114" spans="39:45">
      <c r="AM13114" s="54">
        <v>2020</v>
      </c>
      <c r="AN13114" s="54" t="s">
        <v>187</v>
      </c>
      <c r="AO13114" s="54">
        <v>30</v>
      </c>
      <c r="AP13114" s="54">
        <v>8</v>
      </c>
      <c r="AQ13114" s="54">
        <v>3758</v>
      </c>
      <c r="AR13114" s="55">
        <v>28500</v>
      </c>
      <c r="AS13114" s="78">
        <f t="shared" si="208"/>
        <v>0.13185964912280701</v>
      </c>
    </row>
    <row r="13115" spans="39:45">
      <c r="AM13115" s="55">
        <v>2020</v>
      </c>
      <c r="AN13115" s="55" t="s">
        <v>187</v>
      </c>
      <c r="AO13115" s="55">
        <v>30</v>
      </c>
      <c r="AP13115" s="55">
        <v>9</v>
      </c>
      <c r="AQ13115" s="55">
        <v>5516</v>
      </c>
      <c r="AR13115" s="55">
        <v>28500</v>
      </c>
      <c r="AS13115" s="78">
        <f t="shared" si="208"/>
        <v>0.1935438596491228</v>
      </c>
    </row>
    <row r="13116" spans="39:45">
      <c r="AM13116" s="54">
        <v>2020</v>
      </c>
      <c r="AN13116" s="54" t="s">
        <v>187</v>
      </c>
      <c r="AO13116" s="54">
        <v>30</v>
      </c>
      <c r="AP13116" s="54">
        <v>10</v>
      </c>
      <c r="AQ13116" s="54">
        <v>5357</v>
      </c>
      <c r="AR13116" s="55">
        <v>28500</v>
      </c>
      <c r="AS13116" s="78">
        <f t="shared" si="208"/>
        <v>0.18796491228070175</v>
      </c>
    </row>
    <row r="13117" spans="39:45">
      <c r="AM13117" s="55">
        <v>2020</v>
      </c>
      <c r="AN13117" s="55" t="s">
        <v>187</v>
      </c>
      <c r="AO13117" s="55">
        <v>30</v>
      </c>
      <c r="AP13117" s="55">
        <v>11</v>
      </c>
      <c r="AQ13117" s="55">
        <v>5077.5</v>
      </c>
      <c r="AR13117" s="55">
        <v>28500</v>
      </c>
      <c r="AS13117" s="78">
        <f t="shared" si="208"/>
        <v>0.1781578947368421</v>
      </c>
    </row>
    <row r="13118" spans="39:45">
      <c r="AM13118" s="54">
        <v>2020</v>
      </c>
      <c r="AN13118" s="54" t="s">
        <v>187</v>
      </c>
      <c r="AO13118" s="54">
        <v>30</v>
      </c>
      <c r="AP13118" s="54">
        <v>12</v>
      </c>
      <c r="AQ13118" s="54">
        <v>9485</v>
      </c>
      <c r="AR13118" s="55">
        <v>28500</v>
      </c>
      <c r="AS13118" s="78">
        <f t="shared" si="208"/>
        <v>0.33280701754385966</v>
      </c>
    </row>
    <row r="13119" spans="39:45">
      <c r="AM13119" s="55">
        <v>2020</v>
      </c>
      <c r="AN13119" s="55" t="s">
        <v>187</v>
      </c>
      <c r="AO13119" s="55">
        <v>30</v>
      </c>
      <c r="AP13119" s="55">
        <v>13</v>
      </c>
      <c r="AQ13119" s="55">
        <v>5539</v>
      </c>
      <c r="AR13119" s="55">
        <v>28500</v>
      </c>
      <c r="AS13119" s="78">
        <f t="shared" si="208"/>
        <v>0.19435087719298247</v>
      </c>
    </row>
    <row r="13120" spans="39:45">
      <c r="AM13120" s="54">
        <v>2020</v>
      </c>
      <c r="AN13120" s="54" t="s">
        <v>187</v>
      </c>
      <c r="AO13120" s="54">
        <v>30</v>
      </c>
      <c r="AP13120" s="54">
        <v>14</v>
      </c>
      <c r="AQ13120" s="54">
        <v>4691</v>
      </c>
      <c r="AR13120" s="55">
        <v>28500</v>
      </c>
      <c r="AS13120" s="78">
        <f t="shared" si="208"/>
        <v>0.16459649122807019</v>
      </c>
    </row>
    <row r="13121" spans="39:45">
      <c r="AM13121" s="55">
        <v>2020</v>
      </c>
      <c r="AN13121" s="55" t="s">
        <v>187</v>
      </c>
      <c r="AO13121" s="55">
        <v>30</v>
      </c>
      <c r="AP13121" s="55">
        <v>15</v>
      </c>
      <c r="AQ13121" s="55">
        <v>4647.5</v>
      </c>
      <c r="AR13121" s="55">
        <v>28500</v>
      </c>
      <c r="AS13121" s="78">
        <f t="shared" si="208"/>
        <v>0.1630701754385965</v>
      </c>
    </row>
    <row r="13122" spans="39:45">
      <c r="AM13122" s="54">
        <v>2020</v>
      </c>
      <c r="AN13122" s="54" t="s">
        <v>187</v>
      </c>
      <c r="AO13122" s="54">
        <v>30</v>
      </c>
      <c r="AP13122" s="54">
        <v>16</v>
      </c>
      <c r="AQ13122" s="54">
        <v>5416</v>
      </c>
      <c r="AR13122" s="55">
        <v>28500</v>
      </c>
      <c r="AS13122" s="78">
        <f t="shared" ref="AS13122:AS13185" si="209">AQ13122/AR13122</f>
        <v>0.19003508771929825</v>
      </c>
    </row>
    <row r="13123" spans="39:45">
      <c r="AM13123" s="55">
        <v>2020</v>
      </c>
      <c r="AN13123" s="55" t="s">
        <v>187</v>
      </c>
      <c r="AO13123" s="55">
        <v>30</v>
      </c>
      <c r="AP13123" s="55">
        <v>17</v>
      </c>
      <c r="AQ13123" s="55">
        <v>2163.5</v>
      </c>
      <c r="AR13123" s="55">
        <v>28500</v>
      </c>
      <c r="AS13123" s="78">
        <f t="shared" si="209"/>
        <v>7.5912280701754389E-2</v>
      </c>
    </row>
    <row r="13124" spans="39:45">
      <c r="AM13124" s="54">
        <v>2020</v>
      </c>
      <c r="AN13124" s="54" t="s">
        <v>187</v>
      </c>
      <c r="AO13124" s="54">
        <v>30</v>
      </c>
      <c r="AP13124" s="54">
        <v>18</v>
      </c>
      <c r="AQ13124" s="54">
        <v>936.5</v>
      </c>
      <c r="AR13124" s="55">
        <v>28500</v>
      </c>
      <c r="AS13124" s="78">
        <f t="shared" si="209"/>
        <v>3.2859649122807019E-2</v>
      </c>
    </row>
    <row r="13125" spans="39:45">
      <c r="AM13125" s="55">
        <v>2020</v>
      </c>
      <c r="AN13125" s="55" t="s">
        <v>187</v>
      </c>
      <c r="AO13125" s="55">
        <v>30</v>
      </c>
      <c r="AP13125" s="55">
        <v>19</v>
      </c>
      <c r="AQ13125" s="55">
        <v>73.5</v>
      </c>
      <c r="AR13125" s="55">
        <v>28500</v>
      </c>
      <c r="AS13125" s="78">
        <f t="shared" si="209"/>
        <v>2.5789473684210526E-3</v>
      </c>
    </row>
    <row r="13126" spans="39:45">
      <c r="AM13126" s="54">
        <v>2020</v>
      </c>
      <c r="AN13126" s="54" t="s">
        <v>187</v>
      </c>
      <c r="AO13126" s="54">
        <v>30</v>
      </c>
      <c r="AP13126" s="54">
        <v>20</v>
      </c>
      <c r="AQ13126" s="54">
        <v>0</v>
      </c>
      <c r="AR13126" s="55">
        <v>28500</v>
      </c>
      <c r="AS13126" s="78">
        <f t="shared" si="209"/>
        <v>0</v>
      </c>
    </row>
    <row r="13127" spans="39:45">
      <c r="AM13127" s="55">
        <v>2020</v>
      </c>
      <c r="AN13127" s="55" t="s">
        <v>187</v>
      </c>
      <c r="AO13127" s="55">
        <v>30</v>
      </c>
      <c r="AP13127" s="55">
        <v>21</v>
      </c>
      <c r="AQ13127" s="55">
        <v>0</v>
      </c>
      <c r="AR13127" s="55">
        <v>28500</v>
      </c>
      <c r="AS13127" s="78">
        <f t="shared" si="209"/>
        <v>0</v>
      </c>
    </row>
    <row r="13128" spans="39:45">
      <c r="AM13128" s="54">
        <v>2020</v>
      </c>
      <c r="AN13128" s="54" t="s">
        <v>187</v>
      </c>
      <c r="AO13128" s="54">
        <v>30</v>
      </c>
      <c r="AP13128" s="54">
        <v>22</v>
      </c>
      <c r="AQ13128" s="54">
        <v>0</v>
      </c>
      <c r="AR13128" s="55">
        <v>28500</v>
      </c>
      <c r="AS13128" s="78">
        <f t="shared" si="209"/>
        <v>0</v>
      </c>
    </row>
    <row r="13129" spans="39:45">
      <c r="AM13129" s="55">
        <v>2020</v>
      </c>
      <c r="AN13129" s="55" t="s">
        <v>187</v>
      </c>
      <c r="AO13129" s="55">
        <v>30</v>
      </c>
      <c r="AP13129" s="55">
        <v>23</v>
      </c>
      <c r="AQ13129" s="55">
        <v>0</v>
      </c>
      <c r="AR13129" s="55">
        <v>28500</v>
      </c>
      <c r="AS13129" s="78">
        <f t="shared" si="209"/>
        <v>0</v>
      </c>
    </row>
    <row r="13130" spans="39:45">
      <c r="AM13130" s="54">
        <v>2020</v>
      </c>
      <c r="AN13130" s="54" t="s">
        <v>188</v>
      </c>
      <c r="AO13130" s="54">
        <v>1</v>
      </c>
      <c r="AP13130" s="54">
        <v>24</v>
      </c>
      <c r="AQ13130" s="54">
        <v>0</v>
      </c>
      <c r="AR13130" s="55">
        <v>28500</v>
      </c>
      <c r="AS13130" s="78">
        <f t="shared" si="209"/>
        <v>0</v>
      </c>
    </row>
    <row r="13131" spans="39:45">
      <c r="AM13131" s="55">
        <v>2020</v>
      </c>
      <c r="AN13131" s="55" t="s">
        <v>188</v>
      </c>
      <c r="AO13131" s="55">
        <v>1</v>
      </c>
      <c r="AP13131" s="55">
        <v>1</v>
      </c>
      <c r="AQ13131" s="55">
        <v>0</v>
      </c>
      <c r="AR13131" s="55">
        <v>28500</v>
      </c>
      <c r="AS13131" s="78">
        <f t="shared" si="209"/>
        <v>0</v>
      </c>
    </row>
    <row r="13132" spans="39:45">
      <c r="AM13132" s="54">
        <v>2020</v>
      </c>
      <c r="AN13132" s="54" t="s">
        <v>188</v>
      </c>
      <c r="AO13132" s="54">
        <v>1</v>
      </c>
      <c r="AP13132" s="54">
        <v>2</v>
      </c>
      <c r="AQ13132" s="54">
        <v>0</v>
      </c>
      <c r="AR13132" s="55">
        <v>28500</v>
      </c>
      <c r="AS13132" s="78">
        <f t="shared" si="209"/>
        <v>0</v>
      </c>
    </row>
    <row r="13133" spans="39:45">
      <c r="AM13133" s="55">
        <v>2020</v>
      </c>
      <c r="AN13133" s="55" t="s">
        <v>188</v>
      </c>
      <c r="AO13133" s="55">
        <v>1</v>
      </c>
      <c r="AP13133" s="55">
        <v>3</v>
      </c>
      <c r="AQ13133" s="55">
        <v>0</v>
      </c>
      <c r="AR13133" s="55">
        <v>28500</v>
      </c>
      <c r="AS13133" s="78">
        <f t="shared" si="209"/>
        <v>0</v>
      </c>
    </row>
    <row r="13134" spans="39:45">
      <c r="AM13134" s="54">
        <v>2020</v>
      </c>
      <c r="AN13134" s="54" t="s">
        <v>188</v>
      </c>
      <c r="AO13134" s="54">
        <v>1</v>
      </c>
      <c r="AP13134" s="54">
        <v>4</v>
      </c>
      <c r="AQ13134" s="54">
        <v>0</v>
      </c>
      <c r="AR13134" s="55">
        <v>28500</v>
      </c>
      <c r="AS13134" s="78">
        <f t="shared" si="209"/>
        <v>0</v>
      </c>
    </row>
    <row r="13135" spans="39:45">
      <c r="AM13135" s="55">
        <v>2020</v>
      </c>
      <c r="AN13135" s="55" t="s">
        <v>188</v>
      </c>
      <c r="AO13135" s="55">
        <v>1</v>
      </c>
      <c r="AP13135" s="55">
        <v>5</v>
      </c>
      <c r="AQ13135" s="55">
        <v>1325.5</v>
      </c>
      <c r="AR13135" s="55">
        <v>28500</v>
      </c>
      <c r="AS13135" s="78">
        <f t="shared" si="209"/>
        <v>4.6508771929824562E-2</v>
      </c>
    </row>
    <row r="13136" spans="39:45">
      <c r="AM13136" s="54">
        <v>2020</v>
      </c>
      <c r="AN13136" s="54" t="s">
        <v>188</v>
      </c>
      <c r="AO13136" s="54">
        <v>1</v>
      </c>
      <c r="AP13136" s="54">
        <v>6</v>
      </c>
      <c r="AQ13136" s="54">
        <v>3738</v>
      </c>
      <c r="AR13136" s="55">
        <v>28500</v>
      </c>
      <c r="AS13136" s="78">
        <f t="shared" si="209"/>
        <v>0.13115789473684211</v>
      </c>
    </row>
    <row r="13137" spans="39:45">
      <c r="AM13137" s="55">
        <v>2020</v>
      </c>
      <c r="AN13137" s="55" t="s">
        <v>188</v>
      </c>
      <c r="AO13137" s="55">
        <v>1</v>
      </c>
      <c r="AP13137" s="55">
        <v>7</v>
      </c>
      <c r="AQ13137" s="55">
        <v>12224.5</v>
      </c>
      <c r="AR13137" s="55">
        <v>28500</v>
      </c>
      <c r="AS13137" s="78">
        <f t="shared" si="209"/>
        <v>0.42892982456140349</v>
      </c>
    </row>
    <row r="13138" spans="39:45">
      <c r="AM13138" s="54">
        <v>2020</v>
      </c>
      <c r="AN13138" s="54" t="s">
        <v>188</v>
      </c>
      <c r="AO13138" s="54">
        <v>1</v>
      </c>
      <c r="AP13138" s="54">
        <v>8</v>
      </c>
      <c r="AQ13138" s="54">
        <v>21726</v>
      </c>
      <c r="AR13138" s="55">
        <v>28500</v>
      </c>
      <c r="AS13138" s="78">
        <f t="shared" si="209"/>
        <v>0.76231578947368417</v>
      </c>
    </row>
    <row r="13139" spans="39:45">
      <c r="AM13139" s="55">
        <v>2020</v>
      </c>
      <c r="AN13139" s="55" t="s">
        <v>188</v>
      </c>
      <c r="AO13139" s="55">
        <v>1</v>
      </c>
      <c r="AP13139" s="55">
        <v>9</v>
      </c>
      <c r="AQ13139" s="55">
        <v>21458</v>
      </c>
      <c r="AR13139" s="55">
        <v>28500</v>
      </c>
      <c r="AS13139" s="78">
        <f t="shared" si="209"/>
        <v>0.75291228070175442</v>
      </c>
    </row>
    <row r="13140" spans="39:45">
      <c r="AM13140" s="54">
        <v>2020</v>
      </c>
      <c r="AN13140" s="54" t="s">
        <v>188</v>
      </c>
      <c r="AO13140" s="54">
        <v>1</v>
      </c>
      <c r="AP13140" s="54">
        <v>10</v>
      </c>
      <c r="AQ13140" s="54">
        <v>14878</v>
      </c>
      <c r="AR13140" s="55">
        <v>28500</v>
      </c>
      <c r="AS13140" s="78">
        <f t="shared" si="209"/>
        <v>0.5220350877192983</v>
      </c>
    </row>
    <row r="13141" spans="39:45">
      <c r="AM13141" s="55">
        <v>2020</v>
      </c>
      <c r="AN13141" s="55" t="s">
        <v>188</v>
      </c>
      <c r="AO13141" s="55">
        <v>1</v>
      </c>
      <c r="AP13141" s="55">
        <v>11</v>
      </c>
      <c r="AQ13141" s="55">
        <v>13529</v>
      </c>
      <c r="AR13141" s="55">
        <v>28500</v>
      </c>
      <c r="AS13141" s="78">
        <f t="shared" si="209"/>
        <v>0.4747017543859649</v>
      </c>
    </row>
    <row r="13142" spans="39:45">
      <c r="AM13142" s="54">
        <v>2020</v>
      </c>
      <c r="AN13142" s="54" t="s">
        <v>188</v>
      </c>
      <c r="AO13142" s="54">
        <v>1</v>
      </c>
      <c r="AP13142" s="54">
        <v>12</v>
      </c>
      <c r="AQ13142" s="54">
        <v>34972.5</v>
      </c>
      <c r="AR13142" s="55">
        <v>28500</v>
      </c>
      <c r="AS13142" s="78">
        <f t="shared" si="209"/>
        <v>1.2271052631578947</v>
      </c>
    </row>
    <row r="13143" spans="39:45">
      <c r="AM13143" s="55">
        <v>2020</v>
      </c>
      <c r="AN13143" s="55" t="s">
        <v>188</v>
      </c>
      <c r="AO13143" s="55">
        <v>1</v>
      </c>
      <c r="AP13143" s="55">
        <v>13</v>
      </c>
      <c r="AQ13143" s="55">
        <v>3699</v>
      </c>
      <c r="AR13143" s="55">
        <v>28500</v>
      </c>
      <c r="AS13143" s="78">
        <f t="shared" si="209"/>
        <v>0.12978947368421054</v>
      </c>
    </row>
    <row r="13144" spans="39:45">
      <c r="AM13144" s="54">
        <v>2020</v>
      </c>
      <c r="AN13144" s="54" t="s">
        <v>188</v>
      </c>
      <c r="AO13144" s="54">
        <v>1</v>
      </c>
      <c r="AP13144" s="54">
        <v>14</v>
      </c>
      <c r="AQ13144" s="54">
        <v>4834</v>
      </c>
      <c r="AR13144" s="55">
        <v>28500</v>
      </c>
      <c r="AS13144" s="78">
        <f t="shared" si="209"/>
        <v>0.1696140350877193</v>
      </c>
    </row>
    <row r="13145" spans="39:45">
      <c r="AM13145" s="55">
        <v>2020</v>
      </c>
      <c r="AN13145" s="55" t="s">
        <v>188</v>
      </c>
      <c r="AO13145" s="55">
        <v>1</v>
      </c>
      <c r="AP13145" s="55">
        <v>15</v>
      </c>
      <c r="AQ13145" s="55">
        <v>3026.5</v>
      </c>
      <c r="AR13145" s="55">
        <v>28500</v>
      </c>
      <c r="AS13145" s="78">
        <f t="shared" si="209"/>
        <v>0.10619298245614035</v>
      </c>
    </row>
    <row r="13146" spans="39:45">
      <c r="AM13146" s="54">
        <v>2020</v>
      </c>
      <c r="AN13146" s="54" t="s">
        <v>188</v>
      </c>
      <c r="AO13146" s="54">
        <v>1</v>
      </c>
      <c r="AP13146" s="54">
        <v>16</v>
      </c>
      <c r="AQ13146" s="54">
        <v>2770.5</v>
      </c>
      <c r="AR13146" s="55">
        <v>28500</v>
      </c>
      <c r="AS13146" s="78">
        <f t="shared" si="209"/>
        <v>9.7210526315789469E-2</v>
      </c>
    </row>
    <row r="13147" spans="39:45">
      <c r="AM13147" s="55">
        <v>2020</v>
      </c>
      <c r="AN13147" s="55" t="s">
        <v>188</v>
      </c>
      <c r="AO13147" s="55">
        <v>1</v>
      </c>
      <c r="AP13147" s="55">
        <v>17</v>
      </c>
      <c r="AQ13147" s="55">
        <v>3245</v>
      </c>
      <c r="AR13147" s="55">
        <v>28500</v>
      </c>
      <c r="AS13147" s="78">
        <f t="shared" si="209"/>
        <v>0.11385964912280702</v>
      </c>
    </row>
    <row r="13148" spans="39:45">
      <c r="AM13148" s="54">
        <v>2020</v>
      </c>
      <c r="AN13148" s="54" t="s">
        <v>188</v>
      </c>
      <c r="AO13148" s="54">
        <v>1</v>
      </c>
      <c r="AP13148" s="54">
        <v>18</v>
      </c>
      <c r="AQ13148" s="54">
        <v>1230</v>
      </c>
      <c r="AR13148" s="55">
        <v>28500</v>
      </c>
      <c r="AS13148" s="78">
        <f t="shared" si="209"/>
        <v>4.3157894736842103E-2</v>
      </c>
    </row>
    <row r="13149" spans="39:45">
      <c r="AM13149" s="55">
        <v>2020</v>
      </c>
      <c r="AN13149" s="55" t="s">
        <v>188</v>
      </c>
      <c r="AO13149" s="55">
        <v>1</v>
      </c>
      <c r="AP13149" s="55">
        <v>19</v>
      </c>
      <c r="AQ13149" s="55">
        <v>574</v>
      </c>
      <c r="AR13149" s="55">
        <v>28500</v>
      </c>
      <c r="AS13149" s="78">
        <f t="shared" si="209"/>
        <v>2.0140350877192983E-2</v>
      </c>
    </row>
    <row r="13150" spans="39:45">
      <c r="AM13150" s="54">
        <v>2020</v>
      </c>
      <c r="AN13150" s="54" t="s">
        <v>188</v>
      </c>
      <c r="AO13150" s="54">
        <v>1</v>
      </c>
      <c r="AP13150" s="54">
        <v>20</v>
      </c>
      <c r="AQ13150" s="54">
        <v>0</v>
      </c>
      <c r="AR13150" s="55">
        <v>28500</v>
      </c>
      <c r="AS13150" s="78">
        <f t="shared" si="209"/>
        <v>0</v>
      </c>
    </row>
    <row r="13151" spans="39:45">
      <c r="AM13151" s="55">
        <v>2020</v>
      </c>
      <c r="AN13151" s="55" t="s">
        <v>188</v>
      </c>
      <c r="AO13151" s="55">
        <v>1</v>
      </c>
      <c r="AP13151" s="55">
        <v>21</v>
      </c>
      <c r="AQ13151" s="55">
        <v>0</v>
      </c>
      <c r="AR13151" s="55">
        <v>28500</v>
      </c>
      <c r="AS13151" s="78">
        <f t="shared" si="209"/>
        <v>0</v>
      </c>
    </row>
    <row r="13152" spans="39:45">
      <c r="AM13152" s="54">
        <v>2020</v>
      </c>
      <c r="AN13152" s="54" t="s">
        <v>188</v>
      </c>
      <c r="AO13152" s="54">
        <v>1</v>
      </c>
      <c r="AP13152" s="54">
        <v>22</v>
      </c>
      <c r="AQ13152" s="54">
        <v>0</v>
      </c>
      <c r="AR13152" s="55">
        <v>28500</v>
      </c>
      <c r="AS13152" s="78">
        <f t="shared" si="209"/>
        <v>0</v>
      </c>
    </row>
    <row r="13153" spans="39:45">
      <c r="AM13153" s="55">
        <v>2020</v>
      </c>
      <c r="AN13153" s="55" t="s">
        <v>188</v>
      </c>
      <c r="AO13153" s="55">
        <v>1</v>
      </c>
      <c r="AP13153" s="55">
        <v>23</v>
      </c>
      <c r="AQ13153" s="55">
        <v>0</v>
      </c>
      <c r="AR13153" s="55">
        <v>28500</v>
      </c>
      <c r="AS13153" s="78">
        <f t="shared" si="209"/>
        <v>0</v>
      </c>
    </row>
    <row r="13154" spans="39:45">
      <c r="AM13154" s="54">
        <v>2020</v>
      </c>
      <c r="AN13154" s="54" t="s">
        <v>188</v>
      </c>
      <c r="AO13154" s="54">
        <v>2</v>
      </c>
      <c r="AP13154" s="54">
        <v>24</v>
      </c>
      <c r="AQ13154" s="54">
        <v>0</v>
      </c>
      <c r="AR13154" s="55">
        <v>28500</v>
      </c>
      <c r="AS13154" s="78">
        <f t="shared" si="209"/>
        <v>0</v>
      </c>
    </row>
    <row r="13155" spans="39:45">
      <c r="AM13155" s="55">
        <v>2020</v>
      </c>
      <c r="AN13155" s="55" t="s">
        <v>188</v>
      </c>
      <c r="AO13155" s="55">
        <v>2</v>
      </c>
      <c r="AP13155" s="55">
        <v>1</v>
      </c>
      <c r="AQ13155" s="55">
        <v>0</v>
      </c>
      <c r="AR13155" s="55">
        <v>28500</v>
      </c>
      <c r="AS13155" s="78">
        <f t="shared" si="209"/>
        <v>0</v>
      </c>
    </row>
    <row r="13156" spans="39:45">
      <c r="AM13156" s="54">
        <v>2020</v>
      </c>
      <c r="AN13156" s="54" t="s">
        <v>188</v>
      </c>
      <c r="AO13156" s="54">
        <v>2</v>
      </c>
      <c r="AP13156" s="54">
        <v>2</v>
      </c>
      <c r="AQ13156" s="54">
        <v>0</v>
      </c>
      <c r="AR13156" s="55">
        <v>28500</v>
      </c>
      <c r="AS13156" s="78">
        <f t="shared" si="209"/>
        <v>0</v>
      </c>
    </row>
    <row r="13157" spans="39:45">
      <c r="AM13157" s="55">
        <v>2020</v>
      </c>
      <c r="AN13157" s="55" t="s">
        <v>188</v>
      </c>
      <c r="AO13157" s="55">
        <v>2</v>
      </c>
      <c r="AP13157" s="55">
        <v>3</v>
      </c>
      <c r="AQ13157" s="55">
        <v>0</v>
      </c>
      <c r="AR13157" s="55">
        <v>28500</v>
      </c>
      <c r="AS13157" s="78">
        <f t="shared" si="209"/>
        <v>0</v>
      </c>
    </row>
    <row r="13158" spans="39:45">
      <c r="AM13158" s="54">
        <v>2020</v>
      </c>
      <c r="AN13158" s="54" t="s">
        <v>188</v>
      </c>
      <c r="AO13158" s="54">
        <v>2</v>
      </c>
      <c r="AP13158" s="54">
        <v>4</v>
      </c>
      <c r="AQ13158" s="54">
        <v>0</v>
      </c>
      <c r="AR13158" s="55">
        <v>28500</v>
      </c>
      <c r="AS13158" s="78">
        <f t="shared" si="209"/>
        <v>0</v>
      </c>
    </row>
    <row r="13159" spans="39:45">
      <c r="AM13159" s="55">
        <v>2020</v>
      </c>
      <c r="AN13159" s="55" t="s">
        <v>188</v>
      </c>
      <c r="AO13159" s="55">
        <v>2</v>
      </c>
      <c r="AP13159" s="55">
        <v>5</v>
      </c>
      <c r="AQ13159" s="55">
        <v>1769</v>
      </c>
      <c r="AR13159" s="55">
        <v>28500</v>
      </c>
      <c r="AS13159" s="78">
        <f t="shared" si="209"/>
        <v>6.2070175438596491E-2</v>
      </c>
    </row>
    <row r="13160" spans="39:45">
      <c r="AM13160" s="54">
        <v>2020</v>
      </c>
      <c r="AN13160" s="54" t="s">
        <v>188</v>
      </c>
      <c r="AO13160" s="54">
        <v>2</v>
      </c>
      <c r="AP13160" s="54">
        <v>6</v>
      </c>
      <c r="AQ13160" s="54">
        <v>3411.5</v>
      </c>
      <c r="AR13160" s="55">
        <v>28500</v>
      </c>
      <c r="AS13160" s="78">
        <f t="shared" si="209"/>
        <v>0.11970175438596491</v>
      </c>
    </row>
    <row r="13161" spans="39:45">
      <c r="AM13161" s="55">
        <v>2020</v>
      </c>
      <c r="AN13161" s="55" t="s">
        <v>188</v>
      </c>
      <c r="AO13161" s="55">
        <v>2</v>
      </c>
      <c r="AP13161" s="55">
        <v>7</v>
      </c>
      <c r="AQ13161" s="55">
        <v>12891</v>
      </c>
      <c r="AR13161" s="55">
        <v>28500</v>
      </c>
      <c r="AS13161" s="78">
        <f t="shared" si="209"/>
        <v>0.45231578947368423</v>
      </c>
    </row>
    <row r="13162" spans="39:45">
      <c r="AM13162" s="54">
        <v>2020</v>
      </c>
      <c r="AN13162" s="54" t="s">
        <v>188</v>
      </c>
      <c r="AO13162" s="54">
        <v>2</v>
      </c>
      <c r="AP13162" s="54">
        <v>8</v>
      </c>
      <c r="AQ13162" s="54">
        <v>6619</v>
      </c>
      <c r="AR13162" s="55">
        <v>28500</v>
      </c>
      <c r="AS13162" s="78">
        <f t="shared" si="209"/>
        <v>0.23224561403508773</v>
      </c>
    </row>
    <row r="13163" spans="39:45">
      <c r="AM13163" s="55">
        <v>2020</v>
      </c>
      <c r="AN13163" s="55" t="s">
        <v>188</v>
      </c>
      <c r="AO13163" s="55">
        <v>2</v>
      </c>
      <c r="AP13163" s="55">
        <v>9</v>
      </c>
      <c r="AQ13163" s="55">
        <v>12928.5</v>
      </c>
      <c r="AR13163" s="55">
        <v>28500</v>
      </c>
      <c r="AS13163" s="78">
        <f t="shared" si="209"/>
        <v>0.45363157894736844</v>
      </c>
    </row>
    <row r="13164" spans="39:45">
      <c r="AM13164" s="54">
        <v>2020</v>
      </c>
      <c r="AN13164" s="54" t="s">
        <v>188</v>
      </c>
      <c r="AO13164" s="54">
        <v>2</v>
      </c>
      <c r="AP13164" s="54">
        <v>10</v>
      </c>
      <c r="AQ13164" s="54">
        <v>5972.5</v>
      </c>
      <c r="AR13164" s="55">
        <v>28500</v>
      </c>
      <c r="AS13164" s="78">
        <f t="shared" si="209"/>
        <v>0.20956140350877192</v>
      </c>
    </row>
    <row r="13165" spans="39:45">
      <c r="AM13165" s="55">
        <v>2020</v>
      </c>
      <c r="AN13165" s="55" t="s">
        <v>188</v>
      </c>
      <c r="AO13165" s="55">
        <v>2</v>
      </c>
      <c r="AP13165" s="55">
        <v>11</v>
      </c>
      <c r="AQ13165" s="55">
        <v>27166</v>
      </c>
      <c r="AR13165" s="55">
        <v>28500</v>
      </c>
      <c r="AS13165" s="78">
        <f t="shared" si="209"/>
        <v>0.95319298245614037</v>
      </c>
    </row>
    <row r="13166" spans="39:45">
      <c r="AM13166" s="54">
        <v>2020</v>
      </c>
      <c r="AN13166" s="54" t="s">
        <v>188</v>
      </c>
      <c r="AO13166" s="54">
        <v>2</v>
      </c>
      <c r="AP13166" s="54">
        <v>12</v>
      </c>
      <c r="AQ13166" s="54">
        <v>14900.5</v>
      </c>
      <c r="AR13166" s="55">
        <v>28500</v>
      </c>
      <c r="AS13166" s="78">
        <f t="shared" si="209"/>
        <v>0.52282456140350875</v>
      </c>
    </row>
    <row r="13167" spans="39:45">
      <c r="AM13167" s="55">
        <v>2020</v>
      </c>
      <c r="AN13167" s="55" t="s">
        <v>188</v>
      </c>
      <c r="AO13167" s="55">
        <v>2</v>
      </c>
      <c r="AP13167" s="55">
        <v>13</v>
      </c>
      <c r="AQ13167" s="55">
        <v>13697.5</v>
      </c>
      <c r="AR13167" s="55">
        <v>28500</v>
      </c>
      <c r="AS13167" s="78">
        <f t="shared" si="209"/>
        <v>0.48061403508771927</v>
      </c>
    </row>
    <row r="13168" spans="39:45">
      <c r="AM13168" s="54">
        <v>2020</v>
      </c>
      <c r="AN13168" s="54" t="s">
        <v>188</v>
      </c>
      <c r="AO13168" s="54">
        <v>2</v>
      </c>
      <c r="AP13168" s="54">
        <v>14</v>
      </c>
      <c r="AQ13168" s="54">
        <v>32147.5</v>
      </c>
      <c r="AR13168" s="55">
        <v>28500</v>
      </c>
      <c r="AS13168" s="78">
        <f t="shared" si="209"/>
        <v>1.1279824561403509</v>
      </c>
    </row>
    <row r="13169" spans="39:45">
      <c r="AM13169" s="55">
        <v>2020</v>
      </c>
      <c r="AN13169" s="55" t="s">
        <v>188</v>
      </c>
      <c r="AO13169" s="55">
        <v>2</v>
      </c>
      <c r="AP13169" s="55">
        <v>15</v>
      </c>
      <c r="AQ13169" s="55">
        <v>12616</v>
      </c>
      <c r="AR13169" s="55">
        <v>28500</v>
      </c>
      <c r="AS13169" s="78">
        <f t="shared" si="209"/>
        <v>0.44266666666666665</v>
      </c>
    </row>
    <row r="13170" spans="39:45">
      <c r="AM13170" s="54">
        <v>2020</v>
      </c>
      <c r="AN13170" s="54" t="s">
        <v>188</v>
      </c>
      <c r="AO13170" s="54">
        <v>2</v>
      </c>
      <c r="AP13170" s="54">
        <v>16</v>
      </c>
      <c r="AQ13170" s="54">
        <v>13921.5</v>
      </c>
      <c r="AR13170" s="55">
        <v>28500</v>
      </c>
      <c r="AS13170" s="78">
        <f t="shared" si="209"/>
        <v>0.48847368421052634</v>
      </c>
    </row>
    <row r="13171" spans="39:45">
      <c r="AM13171" s="55">
        <v>2020</v>
      </c>
      <c r="AN13171" s="55" t="s">
        <v>188</v>
      </c>
      <c r="AO13171" s="55">
        <v>2</v>
      </c>
      <c r="AP13171" s="55">
        <v>17</v>
      </c>
      <c r="AQ13171" s="55">
        <v>9975.5</v>
      </c>
      <c r="AR13171" s="55">
        <v>28500</v>
      </c>
      <c r="AS13171" s="78">
        <f t="shared" si="209"/>
        <v>0.35001754385964912</v>
      </c>
    </row>
    <row r="13172" spans="39:45">
      <c r="AM13172" s="54">
        <v>2020</v>
      </c>
      <c r="AN13172" s="54" t="s">
        <v>188</v>
      </c>
      <c r="AO13172" s="54">
        <v>2</v>
      </c>
      <c r="AP13172" s="54">
        <v>18</v>
      </c>
      <c r="AQ13172" s="54">
        <v>1028</v>
      </c>
      <c r="AR13172" s="55">
        <v>28500</v>
      </c>
      <c r="AS13172" s="78">
        <f t="shared" si="209"/>
        <v>3.6070175438596488E-2</v>
      </c>
    </row>
    <row r="13173" spans="39:45">
      <c r="AM13173" s="55">
        <v>2020</v>
      </c>
      <c r="AN13173" s="55" t="s">
        <v>188</v>
      </c>
      <c r="AO13173" s="55">
        <v>2</v>
      </c>
      <c r="AP13173" s="55">
        <v>19</v>
      </c>
      <c r="AQ13173" s="55">
        <v>18.5</v>
      </c>
      <c r="AR13173" s="55">
        <v>28500</v>
      </c>
      <c r="AS13173" s="78">
        <f t="shared" si="209"/>
        <v>6.4912280701754385E-4</v>
      </c>
    </row>
    <row r="13174" spans="39:45">
      <c r="AM13174" s="54">
        <v>2020</v>
      </c>
      <c r="AN13174" s="54" t="s">
        <v>188</v>
      </c>
      <c r="AO13174" s="54">
        <v>2</v>
      </c>
      <c r="AP13174" s="54">
        <v>20</v>
      </c>
      <c r="AQ13174" s="54">
        <v>0</v>
      </c>
      <c r="AR13174" s="55">
        <v>28500</v>
      </c>
      <c r="AS13174" s="78">
        <f t="shared" si="209"/>
        <v>0</v>
      </c>
    </row>
    <row r="13175" spans="39:45">
      <c r="AM13175" s="55">
        <v>2020</v>
      </c>
      <c r="AN13175" s="55" t="s">
        <v>188</v>
      </c>
      <c r="AO13175" s="55">
        <v>2</v>
      </c>
      <c r="AP13175" s="55">
        <v>21</v>
      </c>
      <c r="AQ13175" s="55">
        <v>0</v>
      </c>
      <c r="AR13175" s="55">
        <v>28500</v>
      </c>
      <c r="AS13175" s="78">
        <f t="shared" si="209"/>
        <v>0</v>
      </c>
    </row>
    <row r="13176" spans="39:45">
      <c r="AM13176" s="54">
        <v>2020</v>
      </c>
      <c r="AN13176" s="54" t="s">
        <v>188</v>
      </c>
      <c r="AO13176" s="54">
        <v>2</v>
      </c>
      <c r="AP13176" s="54">
        <v>22</v>
      </c>
      <c r="AQ13176" s="54">
        <v>0</v>
      </c>
      <c r="AR13176" s="55">
        <v>28500</v>
      </c>
      <c r="AS13176" s="78">
        <f t="shared" si="209"/>
        <v>0</v>
      </c>
    </row>
    <row r="13177" spans="39:45">
      <c r="AM13177" s="55">
        <v>2020</v>
      </c>
      <c r="AN13177" s="55" t="s">
        <v>188</v>
      </c>
      <c r="AO13177" s="55">
        <v>2</v>
      </c>
      <c r="AP13177" s="55">
        <v>23</v>
      </c>
      <c r="AQ13177" s="55">
        <v>0</v>
      </c>
      <c r="AR13177" s="55">
        <v>28500</v>
      </c>
      <c r="AS13177" s="78">
        <f t="shared" si="209"/>
        <v>0</v>
      </c>
    </row>
    <row r="13178" spans="39:45">
      <c r="AM13178" s="54">
        <v>2020</v>
      </c>
      <c r="AN13178" s="54" t="s">
        <v>188</v>
      </c>
      <c r="AO13178" s="54">
        <v>3</v>
      </c>
      <c r="AP13178" s="54">
        <v>24</v>
      </c>
      <c r="AQ13178" s="54">
        <v>0</v>
      </c>
      <c r="AR13178" s="55">
        <v>28500</v>
      </c>
      <c r="AS13178" s="78">
        <f t="shared" si="209"/>
        <v>0</v>
      </c>
    </row>
    <row r="13179" spans="39:45">
      <c r="AM13179" s="55">
        <v>2020</v>
      </c>
      <c r="AN13179" s="55" t="s">
        <v>188</v>
      </c>
      <c r="AO13179" s="55">
        <v>3</v>
      </c>
      <c r="AP13179" s="55">
        <v>1</v>
      </c>
      <c r="AQ13179" s="55">
        <v>0</v>
      </c>
      <c r="AR13179" s="55">
        <v>28500</v>
      </c>
      <c r="AS13179" s="78">
        <f t="shared" si="209"/>
        <v>0</v>
      </c>
    </row>
    <row r="13180" spans="39:45">
      <c r="AM13180" s="54">
        <v>2020</v>
      </c>
      <c r="AN13180" s="54" t="s">
        <v>188</v>
      </c>
      <c r="AO13180" s="54">
        <v>3</v>
      </c>
      <c r="AP13180" s="54">
        <v>2</v>
      </c>
      <c r="AQ13180" s="54">
        <v>0</v>
      </c>
      <c r="AR13180" s="55">
        <v>28500</v>
      </c>
      <c r="AS13180" s="78">
        <f t="shared" si="209"/>
        <v>0</v>
      </c>
    </row>
    <row r="13181" spans="39:45">
      <c r="AM13181" s="55">
        <v>2020</v>
      </c>
      <c r="AN13181" s="55" t="s">
        <v>188</v>
      </c>
      <c r="AO13181" s="55">
        <v>3</v>
      </c>
      <c r="AP13181" s="55">
        <v>3</v>
      </c>
      <c r="AQ13181" s="55">
        <v>0</v>
      </c>
      <c r="AR13181" s="55">
        <v>28500</v>
      </c>
      <c r="AS13181" s="78">
        <f t="shared" si="209"/>
        <v>0</v>
      </c>
    </row>
    <row r="13182" spans="39:45">
      <c r="AM13182" s="54">
        <v>2020</v>
      </c>
      <c r="AN13182" s="54" t="s">
        <v>188</v>
      </c>
      <c r="AO13182" s="54">
        <v>3</v>
      </c>
      <c r="AP13182" s="54">
        <v>4</v>
      </c>
      <c r="AQ13182" s="54">
        <v>0</v>
      </c>
      <c r="AR13182" s="55">
        <v>28500</v>
      </c>
      <c r="AS13182" s="78">
        <f t="shared" si="209"/>
        <v>0</v>
      </c>
    </row>
    <row r="13183" spans="39:45">
      <c r="AM13183" s="55">
        <v>2020</v>
      </c>
      <c r="AN13183" s="55" t="s">
        <v>188</v>
      </c>
      <c r="AO13183" s="55">
        <v>3</v>
      </c>
      <c r="AP13183" s="55">
        <v>5</v>
      </c>
      <c r="AQ13183" s="55">
        <v>1571</v>
      </c>
      <c r="AR13183" s="55">
        <v>28500</v>
      </c>
      <c r="AS13183" s="78">
        <f t="shared" si="209"/>
        <v>5.5122807017543858E-2</v>
      </c>
    </row>
    <row r="13184" spans="39:45">
      <c r="AM13184" s="54">
        <v>2020</v>
      </c>
      <c r="AN13184" s="54" t="s">
        <v>188</v>
      </c>
      <c r="AO13184" s="54">
        <v>3</v>
      </c>
      <c r="AP13184" s="54">
        <v>6</v>
      </c>
      <c r="AQ13184" s="54">
        <v>3915</v>
      </c>
      <c r="AR13184" s="55">
        <v>28500</v>
      </c>
      <c r="AS13184" s="78">
        <f t="shared" si="209"/>
        <v>0.13736842105263158</v>
      </c>
    </row>
    <row r="13185" spans="39:45">
      <c r="AM13185" s="55">
        <v>2020</v>
      </c>
      <c r="AN13185" s="55" t="s">
        <v>188</v>
      </c>
      <c r="AO13185" s="55">
        <v>3</v>
      </c>
      <c r="AP13185" s="55">
        <v>7</v>
      </c>
      <c r="AQ13185" s="55">
        <v>12486</v>
      </c>
      <c r="AR13185" s="55">
        <v>28500</v>
      </c>
      <c r="AS13185" s="78">
        <f t="shared" si="209"/>
        <v>0.43810526315789472</v>
      </c>
    </row>
    <row r="13186" spans="39:45">
      <c r="AM13186" s="54">
        <v>2020</v>
      </c>
      <c r="AN13186" s="54" t="s">
        <v>188</v>
      </c>
      <c r="AO13186" s="54">
        <v>3</v>
      </c>
      <c r="AP13186" s="54">
        <v>8</v>
      </c>
      <c r="AQ13186" s="54">
        <v>19135.5</v>
      </c>
      <c r="AR13186" s="55">
        <v>28500</v>
      </c>
      <c r="AS13186" s="78">
        <f t="shared" ref="AS13186:AS13249" si="210">AQ13186/AR13186</f>
        <v>0.67142105263157892</v>
      </c>
    </row>
    <row r="13187" spans="39:45">
      <c r="AM13187" s="55">
        <v>2020</v>
      </c>
      <c r="AN13187" s="55" t="s">
        <v>188</v>
      </c>
      <c r="AO13187" s="55">
        <v>3</v>
      </c>
      <c r="AP13187" s="55">
        <v>9</v>
      </c>
      <c r="AQ13187" s="55">
        <v>18702.5</v>
      </c>
      <c r="AR13187" s="55">
        <v>28500</v>
      </c>
      <c r="AS13187" s="78">
        <f t="shared" si="210"/>
        <v>0.6562280701754386</v>
      </c>
    </row>
    <row r="13188" spans="39:45">
      <c r="AM13188" s="54">
        <v>2020</v>
      </c>
      <c r="AN13188" s="54" t="s">
        <v>188</v>
      </c>
      <c r="AO13188" s="54">
        <v>3</v>
      </c>
      <c r="AP13188" s="54">
        <v>10</v>
      </c>
      <c r="AQ13188" s="54">
        <v>29418</v>
      </c>
      <c r="AR13188" s="55">
        <v>28500</v>
      </c>
      <c r="AS13188" s="78">
        <f t="shared" si="210"/>
        <v>1.0322105263157895</v>
      </c>
    </row>
    <row r="13189" spans="39:45">
      <c r="AM13189" s="55">
        <v>2020</v>
      </c>
      <c r="AN13189" s="55" t="s">
        <v>188</v>
      </c>
      <c r="AO13189" s="55">
        <v>3</v>
      </c>
      <c r="AP13189" s="55">
        <v>11</v>
      </c>
      <c r="AQ13189" s="55">
        <v>36837.5</v>
      </c>
      <c r="AR13189" s="55">
        <v>28500</v>
      </c>
      <c r="AS13189" s="78">
        <f t="shared" si="210"/>
        <v>1.2925438596491228</v>
      </c>
    </row>
    <row r="13190" spans="39:45">
      <c r="AM13190" s="54">
        <v>2020</v>
      </c>
      <c r="AN13190" s="54" t="s">
        <v>188</v>
      </c>
      <c r="AO13190" s="54">
        <v>3</v>
      </c>
      <c r="AP13190" s="54">
        <v>12</v>
      </c>
      <c r="AQ13190" s="54">
        <v>33301</v>
      </c>
      <c r="AR13190" s="55">
        <v>28500</v>
      </c>
      <c r="AS13190" s="78">
        <f t="shared" si="210"/>
        <v>1.1684561403508773</v>
      </c>
    </row>
    <row r="13191" spans="39:45">
      <c r="AM13191" s="55">
        <v>2020</v>
      </c>
      <c r="AN13191" s="55" t="s">
        <v>188</v>
      </c>
      <c r="AO13191" s="55">
        <v>3</v>
      </c>
      <c r="AP13191" s="55">
        <v>13</v>
      </c>
      <c r="AQ13191" s="55">
        <v>30194.5</v>
      </c>
      <c r="AR13191" s="55">
        <v>28500</v>
      </c>
      <c r="AS13191" s="78">
        <f t="shared" si="210"/>
        <v>1.0594561403508771</v>
      </c>
    </row>
    <row r="13192" spans="39:45">
      <c r="AM13192" s="54">
        <v>2020</v>
      </c>
      <c r="AN13192" s="54" t="s">
        <v>188</v>
      </c>
      <c r="AO13192" s="54">
        <v>3</v>
      </c>
      <c r="AP13192" s="54">
        <v>14</v>
      </c>
      <c r="AQ13192" s="54">
        <v>29493.5</v>
      </c>
      <c r="AR13192" s="55">
        <v>28500</v>
      </c>
      <c r="AS13192" s="78">
        <f t="shared" si="210"/>
        <v>1.034859649122807</v>
      </c>
    </row>
    <row r="13193" spans="39:45">
      <c r="AM13193" s="55">
        <v>2020</v>
      </c>
      <c r="AN13193" s="55" t="s">
        <v>188</v>
      </c>
      <c r="AO13193" s="55">
        <v>3</v>
      </c>
      <c r="AP13193" s="55">
        <v>15</v>
      </c>
      <c r="AQ13193" s="55">
        <v>16359.5</v>
      </c>
      <c r="AR13193" s="55">
        <v>28500</v>
      </c>
      <c r="AS13193" s="78">
        <f t="shared" si="210"/>
        <v>0.57401754385964909</v>
      </c>
    </row>
    <row r="13194" spans="39:45">
      <c r="AM13194" s="54">
        <v>2020</v>
      </c>
      <c r="AN13194" s="54" t="s">
        <v>188</v>
      </c>
      <c r="AO13194" s="54">
        <v>3</v>
      </c>
      <c r="AP13194" s="54">
        <v>16</v>
      </c>
      <c r="AQ13194" s="54">
        <v>11243</v>
      </c>
      <c r="AR13194" s="55">
        <v>28500</v>
      </c>
      <c r="AS13194" s="78">
        <f t="shared" si="210"/>
        <v>0.39449122807017545</v>
      </c>
    </row>
    <row r="13195" spans="39:45">
      <c r="AM13195" s="55">
        <v>2020</v>
      </c>
      <c r="AN13195" s="55" t="s">
        <v>188</v>
      </c>
      <c r="AO13195" s="55">
        <v>3</v>
      </c>
      <c r="AP13195" s="55">
        <v>17</v>
      </c>
      <c r="AQ13195" s="55">
        <v>5575.5</v>
      </c>
      <c r="AR13195" s="55">
        <v>28500</v>
      </c>
      <c r="AS13195" s="78">
        <f t="shared" si="210"/>
        <v>0.19563157894736843</v>
      </c>
    </row>
    <row r="13196" spans="39:45">
      <c r="AM13196" s="54">
        <v>2020</v>
      </c>
      <c r="AN13196" s="54" t="s">
        <v>188</v>
      </c>
      <c r="AO13196" s="54">
        <v>3</v>
      </c>
      <c r="AP13196" s="54">
        <v>18</v>
      </c>
      <c r="AQ13196" s="54">
        <v>550.5</v>
      </c>
      <c r="AR13196" s="55">
        <v>28500</v>
      </c>
      <c r="AS13196" s="78">
        <f t="shared" si="210"/>
        <v>1.931578947368421E-2</v>
      </c>
    </row>
    <row r="13197" spans="39:45">
      <c r="AM13197" s="55">
        <v>2020</v>
      </c>
      <c r="AN13197" s="55" t="s">
        <v>188</v>
      </c>
      <c r="AO13197" s="55">
        <v>3</v>
      </c>
      <c r="AP13197" s="55">
        <v>19</v>
      </c>
      <c r="AQ13197" s="55">
        <v>94</v>
      </c>
      <c r="AR13197" s="55">
        <v>28500</v>
      </c>
      <c r="AS13197" s="78">
        <f t="shared" si="210"/>
        <v>3.2982456140350875E-3</v>
      </c>
    </row>
    <row r="13198" spans="39:45">
      <c r="AM13198" s="54">
        <v>2020</v>
      </c>
      <c r="AN13198" s="54" t="s">
        <v>188</v>
      </c>
      <c r="AO13198" s="54">
        <v>3</v>
      </c>
      <c r="AP13198" s="54">
        <v>20</v>
      </c>
      <c r="AQ13198" s="54">
        <v>0</v>
      </c>
      <c r="AR13198" s="55">
        <v>28500</v>
      </c>
      <c r="AS13198" s="78">
        <f t="shared" si="210"/>
        <v>0</v>
      </c>
    </row>
    <row r="13199" spans="39:45">
      <c r="AM13199" s="55">
        <v>2020</v>
      </c>
      <c r="AN13199" s="55" t="s">
        <v>188</v>
      </c>
      <c r="AO13199" s="55">
        <v>3</v>
      </c>
      <c r="AP13199" s="55">
        <v>21</v>
      </c>
      <c r="AQ13199" s="55">
        <v>0</v>
      </c>
      <c r="AR13199" s="55">
        <v>28500</v>
      </c>
      <c r="AS13199" s="78">
        <f t="shared" si="210"/>
        <v>0</v>
      </c>
    </row>
    <row r="13200" spans="39:45">
      <c r="AM13200" s="54">
        <v>2020</v>
      </c>
      <c r="AN13200" s="54" t="s">
        <v>188</v>
      </c>
      <c r="AO13200" s="54">
        <v>3</v>
      </c>
      <c r="AP13200" s="54">
        <v>22</v>
      </c>
      <c r="AQ13200" s="54">
        <v>0</v>
      </c>
      <c r="AR13200" s="55">
        <v>28500</v>
      </c>
      <c r="AS13200" s="78">
        <f t="shared" si="210"/>
        <v>0</v>
      </c>
    </row>
    <row r="13201" spans="39:45">
      <c r="AM13201" s="55">
        <v>2020</v>
      </c>
      <c r="AN13201" s="55" t="s">
        <v>188</v>
      </c>
      <c r="AO13201" s="55">
        <v>3</v>
      </c>
      <c r="AP13201" s="55">
        <v>23</v>
      </c>
      <c r="AQ13201" s="55">
        <v>0</v>
      </c>
      <c r="AR13201" s="55">
        <v>28500</v>
      </c>
      <c r="AS13201" s="78">
        <f t="shared" si="210"/>
        <v>0</v>
      </c>
    </row>
    <row r="13202" spans="39:45">
      <c r="AM13202" s="54">
        <v>2020</v>
      </c>
      <c r="AN13202" s="54" t="s">
        <v>188</v>
      </c>
      <c r="AO13202" s="54">
        <v>4</v>
      </c>
      <c r="AP13202" s="54">
        <v>24</v>
      </c>
      <c r="AQ13202" s="54">
        <v>0</v>
      </c>
      <c r="AR13202" s="55">
        <v>28500</v>
      </c>
      <c r="AS13202" s="78">
        <f t="shared" si="210"/>
        <v>0</v>
      </c>
    </row>
    <row r="13203" spans="39:45">
      <c r="AM13203" s="55">
        <v>2020</v>
      </c>
      <c r="AN13203" s="55" t="s">
        <v>188</v>
      </c>
      <c r="AO13203" s="55">
        <v>4</v>
      </c>
      <c r="AP13203" s="55">
        <v>1</v>
      </c>
      <c r="AQ13203" s="55">
        <v>0</v>
      </c>
      <c r="AR13203" s="55">
        <v>28500</v>
      </c>
      <c r="AS13203" s="78">
        <f t="shared" si="210"/>
        <v>0</v>
      </c>
    </row>
    <row r="13204" spans="39:45">
      <c r="AM13204" s="54">
        <v>2020</v>
      </c>
      <c r="AN13204" s="54" t="s">
        <v>188</v>
      </c>
      <c r="AO13204" s="54">
        <v>4</v>
      </c>
      <c r="AP13204" s="54">
        <v>2</v>
      </c>
      <c r="AQ13204" s="54">
        <v>0</v>
      </c>
      <c r="AR13204" s="55">
        <v>28500</v>
      </c>
      <c r="AS13204" s="78">
        <f t="shared" si="210"/>
        <v>0</v>
      </c>
    </row>
    <row r="13205" spans="39:45">
      <c r="AM13205" s="55">
        <v>2020</v>
      </c>
      <c r="AN13205" s="55" t="s">
        <v>188</v>
      </c>
      <c r="AO13205" s="55">
        <v>4</v>
      </c>
      <c r="AP13205" s="55">
        <v>3</v>
      </c>
      <c r="AQ13205" s="55">
        <v>0</v>
      </c>
      <c r="AR13205" s="55">
        <v>28500</v>
      </c>
      <c r="AS13205" s="78">
        <f t="shared" si="210"/>
        <v>0</v>
      </c>
    </row>
    <row r="13206" spans="39:45">
      <c r="AM13206" s="54">
        <v>2020</v>
      </c>
      <c r="AN13206" s="54" t="s">
        <v>188</v>
      </c>
      <c r="AO13206" s="54">
        <v>4</v>
      </c>
      <c r="AP13206" s="54">
        <v>4</v>
      </c>
      <c r="AQ13206" s="54">
        <v>0</v>
      </c>
      <c r="AR13206" s="55">
        <v>28500</v>
      </c>
      <c r="AS13206" s="78">
        <f t="shared" si="210"/>
        <v>0</v>
      </c>
    </row>
    <row r="13207" spans="39:45">
      <c r="AM13207" s="55">
        <v>2020</v>
      </c>
      <c r="AN13207" s="55" t="s">
        <v>188</v>
      </c>
      <c r="AO13207" s="55">
        <v>4</v>
      </c>
      <c r="AP13207" s="55">
        <v>5</v>
      </c>
      <c r="AQ13207" s="55">
        <v>1513</v>
      </c>
      <c r="AR13207" s="55">
        <v>28500</v>
      </c>
      <c r="AS13207" s="78">
        <f t="shared" si="210"/>
        <v>5.3087719298245614E-2</v>
      </c>
    </row>
    <row r="13208" spans="39:45">
      <c r="AM13208" s="54">
        <v>2020</v>
      </c>
      <c r="AN13208" s="54" t="s">
        <v>188</v>
      </c>
      <c r="AO13208" s="54">
        <v>4</v>
      </c>
      <c r="AP13208" s="54">
        <v>6</v>
      </c>
      <c r="AQ13208" s="54">
        <v>1244.5</v>
      </c>
      <c r="AR13208" s="55">
        <v>28500</v>
      </c>
      <c r="AS13208" s="78">
        <f t="shared" si="210"/>
        <v>4.3666666666666666E-2</v>
      </c>
    </row>
    <row r="13209" spans="39:45">
      <c r="AM13209" s="55">
        <v>2020</v>
      </c>
      <c r="AN13209" s="55" t="s">
        <v>188</v>
      </c>
      <c r="AO13209" s="55">
        <v>4</v>
      </c>
      <c r="AP13209" s="55">
        <v>7</v>
      </c>
      <c r="AQ13209" s="55">
        <v>2023</v>
      </c>
      <c r="AR13209" s="55">
        <v>28500</v>
      </c>
      <c r="AS13209" s="78">
        <f t="shared" si="210"/>
        <v>7.0982456140350883E-2</v>
      </c>
    </row>
    <row r="13210" spans="39:45">
      <c r="AM13210" s="54">
        <v>2020</v>
      </c>
      <c r="AN13210" s="54" t="s">
        <v>188</v>
      </c>
      <c r="AO13210" s="54">
        <v>4</v>
      </c>
      <c r="AP13210" s="54">
        <v>8</v>
      </c>
      <c r="AQ13210" s="54">
        <v>9633.5</v>
      </c>
      <c r="AR13210" s="55">
        <v>28500</v>
      </c>
      <c r="AS13210" s="78">
        <f t="shared" si="210"/>
        <v>0.33801754385964911</v>
      </c>
    </row>
    <row r="13211" spans="39:45">
      <c r="AM13211" s="55">
        <v>2020</v>
      </c>
      <c r="AN13211" s="55" t="s">
        <v>188</v>
      </c>
      <c r="AO13211" s="55">
        <v>4</v>
      </c>
      <c r="AP13211" s="55">
        <v>9</v>
      </c>
      <c r="AQ13211" s="55">
        <v>8597</v>
      </c>
      <c r="AR13211" s="55">
        <v>28500</v>
      </c>
      <c r="AS13211" s="78">
        <f t="shared" si="210"/>
        <v>0.30164912280701756</v>
      </c>
    </row>
    <row r="13212" spans="39:45">
      <c r="AM13212" s="54">
        <v>2020</v>
      </c>
      <c r="AN13212" s="54" t="s">
        <v>188</v>
      </c>
      <c r="AO13212" s="54">
        <v>4</v>
      </c>
      <c r="AP13212" s="54">
        <v>10</v>
      </c>
      <c r="AQ13212" s="54">
        <v>6414.5</v>
      </c>
      <c r="AR13212" s="55">
        <v>28500</v>
      </c>
      <c r="AS13212" s="78">
        <f t="shared" si="210"/>
        <v>0.2250701754385965</v>
      </c>
    </row>
    <row r="13213" spans="39:45">
      <c r="AM13213" s="55">
        <v>2020</v>
      </c>
      <c r="AN13213" s="55" t="s">
        <v>188</v>
      </c>
      <c r="AO13213" s="55">
        <v>4</v>
      </c>
      <c r="AP13213" s="55">
        <v>11</v>
      </c>
      <c r="AQ13213" s="55">
        <v>8227.5</v>
      </c>
      <c r="AR13213" s="55">
        <v>28500</v>
      </c>
      <c r="AS13213" s="78">
        <f t="shared" si="210"/>
        <v>0.28868421052631577</v>
      </c>
    </row>
    <row r="13214" spans="39:45">
      <c r="AM13214" s="54">
        <v>2020</v>
      </c>
      <c r="AN13214" s="54" t="s">
        <v>188</v>
      </c>
      <c r="AO13214" s="54">
        <v>4</v>
      </c>
      <c r="AP13214" s="54">
        <v>12</v>
      </c>
      <c r="AQ13214" s="54">
        <v>7490.5</v>
      </c>
      <c r="AR13214" s="55">
        <v>28500</v>
      </c>
      <c r="AS13214" s="78">
        <f t="shared" si="210"/>
        <v>0.26282456140350879</v>
      </c>
    </row>
    <row r="13215" spans="39:45">
      <c r="AM13215" s="55">
        <v>2020</v>
      </c>
      <c r="AN13215" s="55" t="s">
        <v>188</v>
      </c>
      <c r="AO13215" s="55">
        <v>4</v>
      </c>
      <c r="AP13215" s="55">
        <v>13</v>
      </c>
      <c r="AQ13215" s="55">
        <v>5638.5</v>
      </c>
      <c r="AR13215" s="55">
        <v>28500</v>
      </c>
      <c r="AS13215" s="78">
        <f t="shared" si="210"/>
        <v>0.1978421052631579</v>
      </c>
    </row>
    <row r="13216" spans="39:45">
      <c r="AM13216" s="54">
        <v>2020</v>
      </c>
      <c r="AN13216" s="54" t="s">
        <v>188</v>
      </c>
      <c r="AO13216" s="54">
        <v>4</v>
      </c>
      <c r="AP13216" s="54">
        <v>14</v>
      </c>
      <c r="AQ13216" s="54">
        <v>12457</v>
      </c>
      <c r="AR13216" s="55">
        <v>28500</v>
      </c>
      <c r="AS13216" s="78">
        <f t="shared" si="210"/>
        <v>0.43708771929824564</v>
      </c>
    </row>
    <row r="13217" spans="39:45">
      <c r="AM13217" s="55">
        <v>2020</v>
      </c>
      <c r="AN13217" s="55" t="s">
        <v>188</v>
      </c>
      <c r="AO13217" s="55">
        <v>4</v>
      </c>
      <c r="AP13217" s="55">
        <v>15</v>
      </c>
      <c r="AQ13217" s="55">
        <v>5537</v>
      </c>
      <c r="AR13217" s="55">
        <v>28500</v>
      </c>
      <c r="AS13217" s="78">
        <f t="shared" si="210"/>
        <v>0.19428070175438597</v>
      </c>
    </row>
    <row r="13218" spans="39:45">
      <c r="AM13218" s="54">
        <v>2020</v>
      </c>
      <c r="AN13218" s="54" t="s">
        <v>188</v>
      </c>
      <c r="AO13218" s="54">
        <v>4</v>
      </c>
      <c r="AP13218" s="54">
        <v>16</v>
      </c>
      <c r="AQ13218" s="54">
        <v>4775</v>
      </c>
      <c r="AR13218" s="55">
        <v>28500</v>
      </c>
      <c r="AS13218" s="78">
        <f t="shared" si="210"/>
        <v>0.1675438596491228</v>
      </c>
    </row>
    <row r="13219" spans="39:45">
      <c r="AM13219" s="55">
        <v>2020</v>
      </c>
      <c r="AN13219" s="55" t="s">
        <v>188</v>
      </c>
      <c r="AO13219" s="55">
        <v>4</v>
      </c>
      <c r="AP13219" s="55">
        <v>17</v>
      </c>
      <c r="AQ13219" s="55">
        <v>4554</v>
      </c>
      <c r="AR13219" s="55">
        <v>28500</v>
      </c>
      <c r="AS13219" s="78">
        <f t="shared" si="210"/>
        <v>0.15978947368421054</v>
      </c>
    </row>
    <row r="13220" spans="39:45">
      <c r="AM13220" s="54">
        <v>2020</v>
      </c>
      <c r="AN13220" s="54" t="s">
        <v>188</v>
      </c>
      <c r="AO13220" s="54">
        <v>4</v>
      </c>
      <c r="AP13220" s="54">
        <v>18</v>
      </c>
      <c r="AQ13220" s="54">
        <v>1439.5</v>
      </c>
      <c r="AR13220" s="55">
        <v>28500</v>
      </c>
      <c r="AS13220" s="78">
        <f t="shared" si="210"/>
        <v>5.0508771929824559E-2</v>
      </c>
    </row>
    <row r="13221" spans="39:45">
      <c r="AM13221" s="55">
        <v>2020</v>
      </c>
      <c r="AN13221" s="55" t="s">
        <v>188</v>
      </c>
      <c r="AO13221" s="55">
        <v>4</v>
      </c>
      <c r="AP13221" s="55">
        <v>19</v>
      </c>
      <c r="AQ13221" s="55">
        <v>545</v>
      </c>
      <c r="AR13221" s="55">
        <v>28500</v>
      </c>
      <c r="AS13221" s="78">
        <f t="shared" si="210"/>
        <v>1.9122807017543861E-2</v>
      </c>
    </row>
    <row r="13222" spans="39:45">
      <c r="AM13222" s="54">
        <v>2020</v>
      </c>
      <c r="AN13222" s="54" t="s">
        <v>188</v>
      </c>
      <c r="AO13222" s="54">
        <v>4</v>
      </c>
      <c r="AP13222" s="54">
        <v>20</v>
      </c>
      <c r="AQ13222" s="54">
        <v>0</v>
      </c>
      <c r="AR13222" s="55">
        <v>28500</v>
      </c>
      <c r="AS13222" s="78">
        <f t="shared" si="210"/>
        <v>0</v>
      </c>
    </row>
    <row r="13223" spans="39:45">
      <c r="AM13223" s="55">
        <v>2020</v>
      </c>
      <c r="AN13223" s="55" t="s">
        <v>188</v>
      </c>
      <c r="AO13223" s="55">
        <v>4</v>
      </c>
      <c r="AP13223" s="55">
        <v>21</v>
      </c>
      <c r="AQ13223" s="55">
        <v>0</v>
      </c>
      <c r="AR13223" s="55">
        <v>28500</v>
      </c>
      <c r="AS13223" s="78">
        <f t="shared" si="210"/>
        <v>0</v>
      </c>
    </row>
    <row r="13224" spans="39:45">
      <c r="AM13224" s="54">
        <v>2020</v>
      </c>
      <c r="AN13224" s="54" t="s">
        <v>188</v>
      </c>
      <c r="AO13224" s="54">
        <v>4</v>
      </c>
      <c r="AP13224" s="54">
        <v>22</v>
      </c>
      <c r="AQ13224" s="54">
        <v>0</v>
      </c>
      <c r="AR13224" s="55">
        <v>28500</v>
      </c>
      <c r="AS13224" s="78">
        <f t="shared" si="210"/>
        <v>0</v>
      </c>
    </row>
    <row r="13225" spans="39:45">
      <c r="AM13225" s="55">
        <v>2020</v>
      </c>
      <c r="AN13225" s="55" t="s">
        <v>188</v>
      </c>
      <c r="AO13225" s="55">
        <v>4</v>
      </c>
      <c r="AP13225" s="55">
        <v>23</v>
      </c>
      <c r="AQ13225" s="55">
        <v>0</v>
      </c>
      <c r="AR13225" s="55">
        <v>28500</v>
      </c>
      <c r="AS13225" s="78">
        <f t="shared" si="210"/>
        <v>0</v>
      </c>
    </row>
    <row r="13226" spans="39:45">
      <c r="AM13226" s="54">
        <v>2020</v>
      </c>
      <c r="AN13226" s="54" t="s">
        <v>188</v>
      </c>
      <c r="AO13226" s="54">
        <v>5</v>
      </c>
      <c r="AP13226" s="54">
        <v>24</v>
      </c>
      <c r="AQ13226" s="54">
        <v>0</v>
      </c>
      <c r="AR13226" s="55">
        <v>28500</v>
      </c>
      <c r="AS13226" s="78">
        <f t="shared" si="210"/>
        <v>0</v>
      </c>
    </row>
    <row r="13227" spans="39:45">
      <c r="AM13227" s="55">
        <v>2020</v>
      </c>
      <c r="AN13227" s="55" t="s">
        <v>188</v>
      </c>
      <c r="AO13227" s="55">
        <v>5</v>
      </c>
      <c r="AP13227" s="55">
        <v>1</v>
      </c>
      <c r="AQ13227" s="55">
        <v>0</v>
      </c>
      <c r="AR13227" s="55">
        <v>28500</v>
      </c>
      <c r="AS13227" s="78">
        <f t="shared" si="210"/>
        <v>0</v>
      </c>
    </row>
    <row r="13228" spans="39:45">
      <c r="AM13228" s="54">
        <v>2020</v>
      </c>
      <c r="AN13228" s="54" t="s">
        <v>188</v>
      </c>
      <c r="AO13228" s="54">
        <v>5</v>
      </c>
      <c r="AP13228" s="54">
        <v>2</v>
      </c>
      <c r="AQ13228" s="54">
        <v>0</v>
      </c>
      <c r="AR13228" s="55">
        <v>28500</v>
      </c>
      <c r="AS13228" s="78">
        <f t="shared" si="210"/>
        <v>0</v>
      </c>
    </row>
    <row r="13229" spans="39:45">
      <c r="AM13229" s="55">
        <v>2020</v>
      </c>
      <c r="AN13229" s="55" t="s">
        <v>188</v>
      </c>
      <c r="AO13229" s="55">
        <v>5</v>
      </c>
      <c r="AP13229" s="55">
        <v>3</v>
      </c>
      <c r="AQ13229" s="55">
        <v>0</v>
      </c>
      <c r="AR13229" s="55">
        <v>28500</v>
      </c>
      <c r="AS13229" s="78">
        <f t="shared" si="210"/>
        <v>0</v>
      </c>
    </row>
    <row r="13230" spans="39:45">
      <c r="AM13230" s="54">
        <v>2020</v>
      </c>
      <c r="AN13230" s="54" t="s">
        <v>188</v>
      </c>
      <c r="AO13230" s="54">
        <v>5</v>
      </c>
      <c r="AP13230" s="54">
        <v>4</v>
      </c>
      <c r="AQ13230" s="54">
        <v>0</v>
      </c>
      <c r="AR13230" s="55">
        <v>28500</v>
      </c>
      <c r="AS13230" s="78">
        <f t="shared" si="210"/>
        <v>0</v>
      </c>
    </row>
    <row r="13231" spans="39:45">
      <c r="AM13231" s="55">
        <v>2020</v>
      </c>
      <c r="AN13231" s="55" t="s">
        <v>188</v>
      </c>
      <c r="AO13231" s="55">
        <v>5</v>
      </c>
      <c r="AP13231" s="55">
        <v>5</v>
      </c>
      <c r="AQ13231" s="55">
        <v>902</v>
      </c>
      <c r="AR13231" s="55">
        <v>28500</v>
      </c>
      <c r="AS13231" s="78">
        <f t="shared" si="210"/>
        <v>3.1649122807017545E-2</v>
      </c>
    </row>
    <row r="13232" spans="39:45">
      <c r="AM13232" s="54">
        <v>2020</v>
      </c>
      <c r="AN13232" s="54" t="s">
        <v>188</v>
      </c>
      <c r="AO13232" s="54">
        <v>5</v>
      </c>
      <c r="AP13232" s="54">
        <v>6</v>
      </c>
      <c r="AQ13232" s="54">
        <v>3473.5</v>
      </c>
      <c r="AR13232" s="55">
        <v>28500</v>
      </c>
      <c r="AS13232" s="78">
        <f t="shared" si="210"/>
        <v>0.12187719298245614</v>
      </c>
    </row>
    <row r="13233" spans="39:45">
      <c r="AM13233" s="55">
        <v>2020</v>
      </c>
      <c r="AN13233" s="55" t="s">
        <v>188</v>
      </c>
      <c r="AO13233" s="55">
        <v>5</v>
      </c>
      <c r="AP13233" s="55">
        <v>7</v>
      </c>
      <c r="AQ13233" s="55">
        <v>7807.5</v>
      </c>
      <c r="AR13233" s="55">
        <v>28500</v>
      </c>
      <c r="AS13233" s="78">
        <f t="shared" si="210"/>
        <v>0.27394736842105261</v>
      </c>
    </row>
    <row r="13234" spans="39:45">
      <c r="AM13234" s="54">
        <v>2020</v>
      </c>
      <c r="AN13234" s="54" t="s">
        <v>188</v>
      </c>
      <c r="AO13234" s="54">
        <v>5</v>
      </c>
      <c r="AP13234" s="54">
        <v>8</v>
      </c>
      <c r="AQ13234" s="54">
        <v>18147</v>
      </c>
      <c r="AR13234" s="55">
        <v>28500</v>
      </c>
      <c r="AS13234" s="78">
        <f t="shared" si="210"/>
        <v>0.63673684210526316</v>
      </c>
    </row>
    <row r="13235" spans="39:45">
      <c r="AM13235" s="55">
        <v>2020</v>
      </c>
      <c r="AN13235" s="55" t="s">
        <v>188</v>
      </c>
      <c r="AO13235" s="55">
        <v>5</v>
      </c>
      <c r="AP13235" s="55">
        <v>9</v>
      </c>
      <c r="AQ13235" s="55">
        <v>29235.5</v>
      </c>
      <c r="AR13235" s="55">
        <v>28500</v>
      </c>
      <c r="AS13235" s="78">
        <f t="shared" si="210"/>
        <v>1.0258070175438596</v>
      </c>
    </row>
    <row r="13236" spans="39:45">
      <c r="AM13236" s="54">
        <v>2020</v>
      </c>
      <c r="AN13236" s="54" t="s">
        <v>188</v>
      </c>
      <c r="AO13236" s="54">
        <v>5</v>
      </c>
      <c r="AP13236" s="54">
        <v>10</v>
      </c>
      <c r="AQ13236" s="54">
        <v>34850.5</v>
      </c>
      <c r="AR13236" s="55">
        <v>28500</v>
      </c>
      <c r="AS13236" s="78">
        <f t="shared" si="210"/>
        <v>1.2228245614035087</v>
      </c>
    </row>
    <row r="13237" spans="39:45">
      <c r="AM13237" s="55">
        <v>2020</v>
      </c>
      <c r="AN13237" s="55" t="s">
        <v>188</v>
      </c>
      <c r="AO13237" s="55">
        <v>5</v>
      </c>
      <c r="AP13237" s="55">
        <v>11</v>
      </c>
      <c r="AQ13237" s="55">
        <v>39327.5</v>
      </c>
      <c r="AR13237" s="55">
        <v>28500</v>
      </c>
      <c r="AS13237" s="78">
        <f t="shared" si="210"/>
        <v>1.3799122807017543</v>
      </c>
    </row>
    <row r="13238" spans="39:45">
      <c r="AM13238" s="54">
        <v>2020</v>
      </c>
      <c r="AN13238" s="54" t="s">
        <v>188</v>
      </c>
      <c r="AO13238" s="54">
        <v>5</v>
      </c>
      <c r="AP13238" s="54">
        <v>12</v>
      </c>
      <c r="AQ13238" s="54">
        <v>40745.5</v>
      </c>
      <c r="AR13238" s="55">
        <v>28500</v>
      </c>
      <c r="AS13238" s="78">
        <f t="shared" si="210"/>
        <v>1.4296666666666666</v>
      </c>
    </row>
    <row r="13239" spans="39:45">
      <c r="AM13239" s="55">
        <v>2020</v>
      </c>
      <c r="AN13239" s="55" t="s">
        <v>188</v>
      </c>
      <c r="AO13239" s="55">
        <v>5</v>
      </c>
      <c r="AP13239" s="55">
        <v>13</v>
      </c>
      <c r="AQ13239" s="55">
        <v>38950.5</v>
      </c>
      <c r="AR13239" s="55">
        <v>28500</v>
      </c>
      <c r="AS13239" s="78">
        <f t="shared" si="210"/>
        <v>1.3666842105263157</v>
      </c>
    </row>
    <row r="13240" spans="39:45">
      <c r="AM13240" s="54">
        <v>2020</v>
      </c>
      <c r="AN13240" s="54" t="s">
        <v>188</v>
      </c>
      <c r="AO13240" s="54">
        <v>5</v>
      </c>
      <c r="AP13240" s="54">
        <v>14</v>
      </c>
      <c r="AQ13240" s="54">
        <v>32447.5</v>
      </c>
      <c r="AR13240" s="55">
        <v>28500</v>
      </c>
      <c r="AS13240" s="78">
        <f t="shared" si="210"/>
        <v>1.1385087719298246</v>
      </c>
    </row>
    <row r="13241" spans="39:45">
      <c r="AM13241" s="55">
        <v>2020</v>
      </c>
      <c r="AN13241" s="55" t="s">
        <v>188</v>
      </c>
      <c r="AO13241" s="55">
        <v>5</v>
      </c>
      <c r="AP13241" s="55">
        <v>15</v>
      </c>
      <c r="AQ13241" s="55">
        <v>29502.5</v>
      </c>
      <c r="AR13241" s="55">
        <v>28500</v>
      </c>
      <c r="AS13241" s="78">
        <f t="shared" si="210"/>
        <v>1.0351754385964913</v>
      </c>
    </row>
    <row r="13242" spans="39:45">
      <c r="AM13242" s="54">
        <v>2020</v>
      </c>
      <c r="AN13242" s="54" t="s">
        <v>188</v>
      </c>
      <c r="AO13242" s="54">
        <v>5</v>
      </c>
      <c r="AP13242" s="54">
        <v>16</v>
      </c>
      <c r="AQ13242" s="54">
        <v>18851.5</v>
      </c>
      <c r="AR13242" s="55">
        <v>28500</v>
      </c>
      <c r="AS13242" s="78">
        <f t="shared" si="210"/>
        <v>0.66145614035087719</v>
      </c>
    </row>
    <row r="13243" spans="39:45">
      <c r="AM13243" s="55">
        <v>2020</v>
      </c>
      <c r="AN13243" s="55" t="s">
        <v>188</v>
      </c>
      <c r="AO13243" s="55">
        <v>5</v>
      </c>
      <c r="AP13243" s="55">
        <v>17</v>
      </c>
      <c r="AQ13243" s="55">
        <v>10233.5</v>
      </c>
      <c r="AR13243" s="55">
        <v>28500</v>
      </c>
      <c r="AS13243" s="78">
        <f t="shared" si="210"/>
        <v>0.35907017543859648</v>
      </c>
    </row>
    <row r="13244" spans="39:45">
      <c r="AM13244" s="54">
        <v>2020</v>
      </c>
      <c r="AN13244" s="54" t="s">
        <v>188</v>
      </c>
      <c r="AO13244" s="54">
        <v>5</v>
      </c>
      <c r="AP13244" s="54">
        <v>18</v>
      </c>
      <c r="AQ13244" s="54">
        <v>3110.5</v>
      </c>
      <c r="AR13244" s="55">
        <v>28500</v>
      </c>
      <c r="AS13244" s="78">
        <f t="shared" si="210"/>
        <v>0.10914035087719298</v>
      </c>
    </row>
    <row r="13245" spans="39:45">
      <c r="AM13245" s="55">
        <v>2020</v>
      </c>
      <c r="AN13245" s="55" t="s">
        <v>188</v>
      </c>
      <c r="AO13245" s="55">
        <v>5</v>
      </c>
      <c r="AP13245" s="55">
        <v>19</v>
      </c>
      <c r="AQ13245" s="55">
        <v>996.5</v>
      </c>
      <c r="AR13245" s="55">
        <v>28500</v>
      </c>
      <c r="AS13245" s="78">
        <f t="shared" si="210"/>
        <v>3.4964912280701754E-2</v>
      </c>
    </row>
    <row r="13246" spans="39:45">
      <c r="AM13246" s="54">
        <v>2020</v>
      </c>
      <c r="AN13246" s="54" t="s">
        <v>188</v>
      </c>
      <c r="AO13246" s="54">
        <v>5</v>
      </c>
      <c r="AP13246" s="54">
        <v>20</v>
      </c>
      <c r="AQ13246" s="54">
        <v>0</v>
      </c>
      <c r="AR13246" s="55">
        <v>28500</v>
      </c>
      <c r="AS13246" s="78">
        <f t="shared" si="210"/>
        <v>0</v>
      </c>
    </row>
    <row r="13247" spans="39:45">
      <c r="AM13247" s="55">
        <v>2020</v>
      </c>
      <c r="AN13247" s="55" t="s">
        <v>188</v>
      </c>
      <c r="AO13247" s="55">
        <v>5</v>
      </c>
      <c r="AP13247" s="55">
        <v>21</v>
      </c>
      <c r="AQ13247" s="55">
        <v>0</v>
      </c>
      <c r="AR13247" s="55">
        <v>28500</v>
      </c>
      <c r="AS13247" s="78">
        <f t="shared" si="210"/>
        <v>0</v>
      </c>
    </row>
    <row r="13248" spans="39:45">
      <c r="AM13248" s="54">
        <v>2020</v>
      </c>
      <c r="AN13248" s="54" t="s">
        <v>188</v>
      </c>
      <c r="AO13248" s="54">
        <v>5</v>
      </c>
      <c r="AP13248" s="54">
        <v>22</v>
      </c>
      <c r="AQ13248" s="54">
        <v>0</v>
      </c>
      <c r="AR13248" s="55">
        <v>28500</v>
      </c>
      <c r="AS13248" s="78">
        <f t="shared" si="210"/>
        <v>0</v>
      </c>
    </row>
    <row r="13249" spans="39:45">
      <c r="AM13249" s="55">
        <v>2020</v>
      </c>
      <c r="AN13249" s="55" t="s">
        <v>188</v>
      </c>
      <c r="AO13249" s="55">
        <v>5</v>
      </c>
      <c r="AP13249" s="55">
        <v>23</v>
      </c>
      <c r="AQ13249" s="55">
        <v>0</v>
      </c>
      <c r="AR13249" s="55">
        <v>28500</v>
      </c>
      <c r="AS13249" s="78">
        <f t="shared" si="210"/>
        <v>0</v>
      </c>
    </row>
    <row r="13250" spans="39:45">
      <c r="AM13250" s="54">
        <v>2020</v>
      </c>
      <c r="AN13250" s="54" t="s">
        <v>188</v>
      </c>
      <c r="AO13250" s="54">
        <v>6</v>
      </c>
      <c r="AP13250" s="54">
        <v>24</v>
      </c>
      <c r="AQ13250" s="54">
        <v>0</v>
      </c>
      <c r="AR13250" s="55">
        <v>28500</v>
      </c>
      <c r="AS13250" s="78">
        <f t="shared" ref="AS13250:AS13313" si="211">AQ13250/AR13250</f>
        <v>0</v>
      </c>
    </row>
    <row r="13251" spans="39:45">
      <c r="AM13251" s="55">
        <v>2020</v>
      </c>
      <c r="AN13251" s="55" t="s">
        <v>188</v>
      </c>
      <c r="AO13251" s="55">
        <v>6</v>
      </c>
      <c r="AP13251" s="55">
        <v>1</v>
      </c>
      <c r="AQ13251" s="55">
        <v>0</v>
      </c>
      <c r="AR13251" s="55">
        <v>28500</v>
      </c>
      <c r="AS13251" s="78">
        <f t="shared" si="211"/>
        <v>0</v>
      </c>
    </row>
    <row r="13252" spans="39:45">
      <c r="AM13252" s="54">
        <v>2020</v>
      </c>
      <c r="AN13252" s="54" t="s">
        <v>188</v>
      </c>
      <c r="AO13252" s="54">
        <v>6</v>
      </c>
      <c r="AP13252" s="54">
        <v>2</v>
      </c>
      <c r="AQ13252" s="54">
        <v>0</v>
      </c>
      <c r="AR13252" s="55">
        <v>28500</v>
      </c>
      <c r="AS13252" s="78">
        <f t="shared" si="211"/>
        <v>0</v>
      </c>
    </row>
    <row r="13253" spans="39:45">
      <c r="AM13253" s="55">
        <v>2020</v>
      </c>
      <c r="AN13253" s="55" t="s">
        <v>188</v>
      </c>
      <c r="AO13253" s="55">
        <v>6</v>
      </c>
      <c r="AP13253" s="55">
        <v>3</v>
      </c>
      <c r="AQ13253" s="55">
        <v>0</v>
      </c>
      <c r="AR13253" s="55">
        <v>28500</v>
      </c>
      <c r="AS13253" s="78">
        <f t="shared" si="211"/>
        <v>0</v>
      </c>
    </row>
    <row r="13254" spans="39:45">
      <c r="AM13254" s="54">
        <v>2020</v>
      </c>
      <c r="AN13254" s="54" t="s">
        <v>188</v>
      </c>
      <c r="AO13254" s="54">
        <v>6</v>
      </c>
      <c r="AP13254" s="54">
        <v>4</v>
      </c>
      <c r="AQ13254" s="54">
        <v>0</v>
      </c>
      <c r="AR13254" s="55">
        <v>28500</v>
      </c>
      <c r="AS13254" s="78">
        <f t="shared" si="211"/>
        <v>0</v>
      </c>
    </row>
    <row r="13255" spans="39:45">
      <c r="AM13255" s="55">
        <v>2020</v>
      </c>
      <c r="AN13255" s="55" t="s">
        <v>188</v>
      </c>
      <c r="AO13255" s="55">
        <v>6</v>
      </c>
      <c r="AP13255" s="55">
        <v>5</v>
      </c>
      <c r="AQ13255" s="55">
        <v>1409</v>
      </c>
      <c r="AR13255" s="55">
        <v>28500</v>
      </c>
      <c r="AS13255" s="78">
        <f t="shared" si="211"/>
        <v>4.9438596491228073E-2</v>
      </c>
    </row>
    <row r="13256" spans="39:45">
      <c r="AM13256" s="54">
        <v>2020</v>
      </c>
      <c r="AN13256" s="54" t="s">
        <v>188</v>
      </c>
      <c r="AO13256" s="54">
        <v>6</v>
      </c>
      <c r="AP13256" s="54">
        <v>6</v>
      </c>
      <c r="AQ13256" s="54">
        <v>3187</v>
      </c>
      <c r="AR13256" s="55">
        <v>28500</v>
      </c>
      <c r="AS13256" s="78">
        <f t="shared" si="211"/>
        <v>0.11182456140350877</v>
      </c>
    </row>
    <row r="13257" spans="39:45">
      <c r="AM13257" s="55">
        <v>2020</v>
      </c>
      <c r="AN13257" s="55" t="s">
        <v>188</v>
      </c>
      <c r="AO13257" s="55">
        <v>6</v>
      </c>
      <c r="AP13257" s="55">
        <v>7</v>
      </c>
      <c r="AQ13257" s="55">
        <v>12557</v>
      </c>
      <c r="AR13257" s="55">
        <v>28500</v>
      </c>
      <c r="AS13257" s="78">
        <f t="shared" si="211"/>
        <v>0.44059649122807015</v>
      </c>
    </row>
    <row r="13258" spans="39:45">
      <c r="AM13258" s="54">
        <v>2020</v>
      </c>
      <c r="AN13258" s="54" t="s">
        <v>188</v>
      </c>
      <c r="AO13258" s="54">
        <v>6</v>
      </c>
      <c r="AP13258" s="54">
        <v>8</v>
      </c>
      <c r="AQ13258" s="54">
        <v>17831.5</v>
      </c>
      <c r="AR13258" s="55">
        <v>28500</v>
      </c>
      <c r="AS13258" s="78">
        <f t="shared" si="211"/>
        <v>0.6256666666666667</v>
      </c>
    </row>
    <row r="13259" spans="39:45">
      <c r="AM13259" s="55">
        <v>2020</v>
      </c>
      <c r="AN13259" s="55" t="s">
        <v>188</v>
      </c>
      <c r="AO13259" s="55">
        <v>6</v>
      </c>
      <c r="AP13259" s="55">
        <v>9</v>
      </c>
      <c r="AQ13259" s="55">
        <v>7915.5</v>
      </c>
      <c r="AR13259" s="55">
        <v>28500</v>
      </c>
      <c r="AS13259" s="78">
        <f t="shared" si="211"/>
        <v>0.27773684210526317</v>
      </c>
    </row>
    <row r="13260" spans="39:45">
      <c r="AM13260" s="54">
        <v>2020</v>
      </c>
      <c r="AN13260" s="54" t="s">
        <v>188</v>
      </c>
      <c r="AO13260" s="54">
        <v>6</v>
      </c>
      <c r="AP13260" s="54">
        <v>10</v>
      </c>
      <c r="AQ13260" s="54">
        <v>26368</v>
      </c>
      <c r="AR13260" s="55">
        <v>28500</v>
      </c>
      <c r="AS13260" s="78">
        <f t="shared" si="211"/>
        <v>0.92519298245614034</v>
      </c>
    </row>
    <row r="13261" spans="39:45">
      <c r="AM13261" s="55">
        <v>2020</v>
      </c>
      <c r="AN13261" s="55" t="s">
        <v>188</v>
      </c>
      <c r="AO13261" s="55">
        <v>6</v>
      </c>
      <c r="AP13261" s="55">
        <v>11</v>
      </c>
      <c r="AQ13261" s="55">
        <v>21893</v>
      </c>
      <c r="AR13261" s="55">
        <v>28500</v>
      </c>
      <c r="AS13261" s="78">
        <f t="shared" si="211"/>
        <v>0.76817543859649118</v>
      </c>
    </row>
    <row r="13262" spans="39:45">
      <c r="AM13262" s="54">
        <v>2020</v>
      </c>
      <c r="AN13262" s="54" t="s">
        <v>188</v>
      </c>
      <c r="AO13262" s="54">
        <v>6</v>
      </c>
      <c r="AP13262" s="54">
        <v>12</v>
      </c>
      <c r="AQ13262" s="54">
        <v>10905</v>
      </c>
      <c r="AR13262" s="55">
        <v>28500</v>
      </c>
      <c r="AS13262" s="78">
        <f t="shared" si="211"/>
        <v>0.38263157894736843</v>
      </c>
    </row>
    <row r="13263" spans="39:45">
      <c r="AM13263" s="55">
        <v>2020</v>
      </c>
      <c r="AN13263" s="55" t="s">
        <v>188</v>
      </c>
      <c r="AO13263" s="55">
        <v>6</v>
      </c>
      <c r="AP13263" s="55">
        <v>13</v>
      </c>
      <c r="AQ13263" s="55">
        <v>13304</v>
      </c>
      <c r="AR13263" s="55">
        <v>28500</v>
      </c>
      <c r="AS13263" s="78">
        <f t="shared" si="211"/>
        <v>0.46680701754385967</v>
      </c>
    </row>
    <row r="13264" spans="39:45">
      <c r="AM13264" s="54">
        <v>2020</v>
      </c>
      <c r="AN13264" s="54" t="s">
        <v>188</v>
      </c>
      <c r="AO13264" s="54">
        <v>6</v>
      </c>
      <c r="AP13264" s="54">
        <v>14</v>
      </c>
      <c r="AQ13264" s="54">
        <v>23720.5</v>
      </c>
      <c r="AR13264" s="55">
        <v>28500</v>
      </c>
      <c r="AS13264" s="78">
        <f t="shared" si="211"/>
        <v>0.83229824561403509</v>
      </c>
    </row>
    <row r="13265" spans="39:45">
      <c r="AM13265" s="55">
        <v>2020</v>
      </c>
      <c r="AN13265" s="55" t="s">
        <v>188</v>
      </c>
      <c r="AO13265" s="55">
        <v>6</v>
      </c>
      <c r="AP13265" s="55">
        <v>15</v>
      </c>
      <c r="AQ13265" s="55">
        <v>11579.5</v>
      </c>
      <c r="AR13265" s="55">
        <v>28500</v>
      </c>
      <c r="AS13265" s="78">
        <f t="shared" si="211"/>
        <v>0.4062982456140351</v>
      </c>
    </row>
    <row r="13266" spans="39:45">
      <c r="AM13266" s="54">
        <v>2020</v>
      </c>
      <c r="AN13266" s="54" t="s">
        <v>188</v>
      </c>
      <c r="AO13266" s="54">
        <v>6</v>
      </c>
      <c r="AP13266" s="54">
        <v>16</v>
      </c>
      <c r="AQ13266" s="54">
        <v>9933.5</v>
      </c>
      <c r="AR13266" s="55">
        <v>28500</v>
      </c>
      <c r="AS13266" s="78">
        <f t="shared" si="211"/>
        <v>0.34854385964912282</v>
      </c>
    </row>
    <row r="13267" spans="39:45">
      <c r="AM13267" s="55">
        <v>2020</v>
      </c>
      <c r="AN13267" s="55" t="s">
        <v>188</v>
      </c>
      <c r="AO13267" s="55">
        <v>6</v>
      </c>
      <c r="AP13267" s="55">
        <v>17</v>
      </c>
      <c r="AQ13267" s="55">
        <v>8276</v>
      </c>
      <c r="AR13267" s="55">
        <v>28500</v>
      </c>
      <c r="AS13267" s="78">
        <f t="shared" si="211"/>
        <v>0.29038596491228069</v>
      </c>
    </row>
    <row r="13268" spans="39:45">
      <c r="AM13268" s="54">
        <v>2020</v>
      </c>
      <c r="AN13268" s="54" t="s">
        <v>188</v>
      </c>
      <c r="AO13268" s="54">
        <v>6</v>
      </c>
      <c r="AP13268" s="54">
        <v>18</v>
      </c>
      <c r="AQ13268" s="54">
        <v>3601.5</v>
      </c>
      <c r="AR13268" s="55">
        <v>28500</v>
      </c>
      <c r="AS13268" s="78">
        <f t="shared" si="211"/>
        <v>0.12636842105263157</v>
      </c>
    </row>
    <row r="13269" spans="39:45">
      <c r="AM13269" s="55">
        <v>2020</v>
      </c>
      <c r="AN13269" s="55" t="s">
        <v>188</v>
      </c>
      <c r="AO13269" s="55">
        <v>6</v>
      </c>
      <c r="AP13269" s="55">
        <v>19</v>
      </c>
      <c r="AQ13269" s="55">
        <v>1209</v>
      </c>
      <c r="AR13269" s="55">
        <v>28500</v>
      </c>
      <c r="AS13269" s="78">
        <f t="shared" si="211"/>
        <v>4.242105263157895E-2</v>
      </c>
    </row>
    <row r="13270" spans="39:45">
      <c r="AM13270" s="54">
        <v>2020</v>
      </c>
      <c r="AN13270" s="54" t="s">
        <v>188</v>
      </c>
      <c r="AO13270" s="54">
        <v>6</v>
      </c>
      <c r="AP13270" s="54">
        <v>20</v>
      </c>
      <c r="AQ13270" s="54">
        <v>0</v>
      </c>
      <c r="AR13270" s="55">
        <v>28500</v>
      </c>
      <c r="AS13270" s="78">
        <f t="shared" si="211"/>
        <v>0</v>
      </c>
    </row>
    <row r="13271" spans="39:45">
      <c r="AM13271" s="55">
        <v>2020</v>
      </c>
      <c r="AN13271" s="55" t="s">
        <v>188</v>
      </c>
      <c r="AO13271" s="55">
        <v>6</v>
      </c>
      <c r="AP13271" s="55">
        <v>21</v>
      </c>
      <c r="AQ13271" s="55">
        <v>0</v>
      </c>
      <c r="AR13271" s="55">
        <v>28500</v>
      </c>
      <c r="AS13271" s="78">
        <f t="shared" si="211"/>
        <v>0</v>
      </c>
    </row>
    <row r="13272" spans="39:45">
      <c r="AM13272" s="54">
        <v>2020</v>
      </c>
      <c r="AN13272" s="54" t="s">
        <v>188</v>
      </c>
      <c r="AO13272" s="54">
        <v>6</v>
      </c>
      <c r="AP13272" s="54">
        <v>22</v>
      </c>
      <c r="AQ13272" s="54">
        <v>0</v>
      </c>
      <c r="AR13272" s="55">
        <v>28500</v>
      </c>
      <c r="AS13272" s="78">
        <f t="shared" si="211"/>
        <v>0</v>
      </c>
    </row>
    <row r="13273" spans="39:45">
      <c r="AM13273" s="55">
        <v>2020</v>
      </c>
      <c r="AN13273" s="55" t="s">
        <v>188</v>
      </c>
      <c r="AO13273" s="55">
        <v>6</v>
      </c>
      <c r="AP13273" s="55">
        <v>23</v>
      </c>
      <c r="AQ13273" s="55">
        <v>0</v>
      </c>
      <c r="AR13273" s="55">
        <v>28500</v>
      </c>
      <c r="AS13273" s="78">
        <f t="shared" si="211"/>
        <v>0</v>
      </c>
    </row>
    <row r="13274" spans="39:45">
      <c r="AM13274" s="54">
        <v>2020</v>
      </c>
      <c r="AN13274" s="54" t="s">
        <v>188</v>
      </c>
      <c r="AO13274" s="54">
        <v>7</v>
      </c>
      <c r="AP13274" s="54">
        <v>24</v>
      </c>
      <c r="AQ13274" s="54">
        <v>0</v>
      </c>
      <c r="AR13274" s="55">
        <v>28500</v>
      </c>
      <c r="AS13274" s="78">
        <f t="shared" si="211"/>
        <v>0</v>
      </c>
    </row>
    <row r="13275" spans="39:45">
      <c r="AM13275" s="55">
        <v>2020</v>
      </c>
      <c r="AN13275" s="55" t="s">
        <v>188</v>
      </c>
      <c r="AO13275" s="55">
        <v>7</v>
      </c>
      <c r="AP13275" s="55">
        <v>1</v>
      </c>
      <c r="AQ13275" s="55">
        <v>0</v>
      </c>
      <c r="AR13275" s="55">
        <v>28500</v>
      </c>
      <c r="AS13275" s="78">
        <f t="shared" si="211"/>
        <v>0</v>
      </c>
    </row>
    <row r="13276" spans="39:45">
      <c r="AM13276" s="54">
        <v>2020</v>
      </c>
      <c r="AN13276" s="54" t="s">
        <v>188</v>
      </c>
      <c r="AO13276" s="54">
        <v>7</v>
      </c>
      <c r="AP13276" s="54">
        <v>2</v>
      </c>
      <c r="AQ13276" s="54">
        <v>0</v>
      </c>
      <c r="AR13276" s="55">
        <v>28500</v>
      </c>
      <c r="AS13276" s="78">
        <f t="shared" si="211"/>
        <v>0</v>
      </c>
    </row>
    <row r="13277" spans="39:45">
      <c r="AM13277" s="55">
        <v>2020</v>
      </c>
      <c r="AN13277" s="55" t="s">
        <v>188</v>
      </c>
      <c r="AO13277" s="55">
        <v>7</v>
      </c>
      <c r="AP13277" s="55">
        <v>3</v>
      </c>
      <c r="AQ13277" s="55">
        <v>0</v>
      </c>
      <c r="AR13277" s="55">
        <v>28500</v>
      </c>
      <c r="AS13277" s="78">
        <f t="shared" si="211"/>
        <v>0</v>
      </c>
    </row>
    <row r="13278" spans="39:45">
      <c r="AM13278" s="54">
        <v>2020</v>
      </c>
      <c r="AN13278" s="54" t="s">
        <v>188</v>
      </c>
      <c r="AO13278" s="54">
        <v>7</v>
      </c>
      <c r="AP13278" s="54">
        <v>4</v>
      </c>
      <c r="AQ13278" s="54">
        <v>0</v>
      </c>
      <c r="AR13278" s="55">
        <v>28500</v>
      </c>
      <c r="AS13278" s="78">
        <f t="shared" si="211"/>
        <v>0</v>
      </c>
    </row>
    <row r="13279" spans="39:45">
      <c r="AM13279" s="55">
        <v>2020</v>
      </c>
      <c r="AN13279" s="55" t="s">
        <v>188</v>
      </c>
      <c r="AO13279" s="55">
        <v>7</v>
      </c>
      <c r="AP13279" s="55">
        <v>5</v>
      </c>
      <c r="AQ13279" s="55">
        <v>1405.5</v>
      </c>
      <c r="AR13279" s="55">
        <v>28500</v>
      </c>
      <c r="AS13279" s="78">
        <f t="shared" si="211"/>
        <v>4.9315789473684209E-2</v>
      </c>
    </row>
    <row r="13280" spans="39:45">
      <c r="AM13280" s="54">
        <v>2020</v>
      </c>
      <c r="AN13280" s="54" t="s">
        <v>188</v>
      </c>
      <c r="AO13280" s="54">
        <v>7</v>
      </c>
      <c r="AP13280" s="54">
        <v>6</v>
      </c>
      <c r="AQ13280" s="54">
        <v>3452</v>
      </c>
      <c r="AR13280" s="55">
        <v>28500</v>
      </c>
      <c r="AS13280" s="78">
        <f t="shared" si="211"/>
        <v>0.12112280701754385</v>
      </c>
    </row>
    <row r="13281" spans="39:45">
      <c r="AM13281" s="55">
        <v>2020</v>
      </c>
      <c r="AN13281" s="55" t="s">
        <v>188</v>
      </c>
      <c r="AO13281" s="55">
        <v>7</v>
      </c>
      <c r="AP13281" s="55">
        <v>7</v>
      </c>
      <c r="AQ13281" s="55">
        <v>12381.5</v>
      </c>
      <c r="AR13281" s="55">
        <v>28500</v>
      </c>
      <c r="AS13281" s="78">
        <f t="shared" si="211"/>
        <v>0.43443859649122807</v>
      </c>
    </row>
    <row r="13282" spans="39:45">
      <c r="AM13282" s="54">
        <v>2020</v>
      </c>
      <c r="AN13282" s="54" t="s">
        <v>188</v>
      </c>
      <c r="AO13282" s="54">
        <v>7</v>
      </c>
      <c r="AP13282" s="54">
        <v>8</v>
      </c>
      <c r="AQ13282" s="54">
        <v>21984.5</v>
      </c>
      <c r="AR13282" s="55">
        <v>28500</v>
      </c>
      <c r="AS13282" s="78">
        <f t="shared" si="211"/>
        <v>0.77138596491228073</v>
      </c>
    </row>
    <row r="13283" spans="39:45">
      <c r="AM13283" s="55">
        <v>2020</v>
      </c>
      <c r="AN13283" s="55" t="s">
        <v>188</v>
      </c>
      <c r="AO13283" s="55">
        <v>7</v>
      </c>
      <c r="AP13283" s="55">
        <v>9</v>
      </c>
      <c r="AQ13283" s="55">
        <v>27686.5</v>
      </c>
      <c r="AR13283" s="55">
        <v>28500</v>
      </c>
      <c r="AS13283" s="78">
        <f t="shared" si="211"/>
        <v>0.97145614035087724</v>
      </c>
    </row>
    <row r="13284" spans="39:45">
      <c r="AM13284" s="54">
        <v>2020</v>
      </c>
      <c r="AN13284" s="54" t="s">
        <v>188</v>
      </c>
      <c r="AO13284" s="54">
        <v>7</v>
      </c>
      <c r="AP13284" s="54">
        <v>10</v>
      </c>
      <c r="AQ13284" s="54">
        <v>16590</v>
      </c>
      <c r="AR13284" s="55">
        <v>28500</v>
      </c>
      <c r="AS13284" s="78">
        <f t="shared" si="211"/>
        <v>0.58210526315789479</v>
      </c>
    </row>
    <row r="13285" spans="39:45">
      <c r="AM13285" s="55">
        <v>2020</v>
      </c>
      <c r="AN13285" s="55" t="s">
        <v>188</v>
      </c>
      <c r="AO13285" s="55">
        <v>7</v>
      </c>
      <c r="AP13285" s="55">
        <v>11</v>
      </c>
      <c r="AQ13285" s="55">
        <v>21379.5</v>
      </c>
      <c r="AR13285" s="55">
        <v>28500</v>
      </c>
      <c r="AS13285" s="78">
        <f t="shared" si="211"/>
        <v>0.75015789473684213</v>
      </c>
    </row>
    <row r="13286" spans="39:45">
      <c r="AM13286" s="54">
        <v>2020</v>
      </c>
      <c r="AN13286" s="54" t="s">
        <v>188</v>
      </c>
      <c r="AO13286" s="54">
        <v>7</v>
      </c>
      <c r="AP13286" s="54">
        <v>12</v>
      </c>
      <c r="AQ13286" s="54">
        <v>25099.5</v>
      </c>
      <c r="AR13286" s="55">
        <v>28500</v>
      </c>
      <c r="AS13286" s="78">
        <f t="shared" si="211"/>
        <v>0.88068421052631574</v>
      </c>
    </row>
    <row r="13287" spans="39:45">
      <c r="AM13287" s="55">
        <v>2020</v>
      </c>
      <c r="AN13287" s="55" t="s">
        <v>188</v>
      </c>
      <c r="AO13287" s="55">
        <v>7</v>
      </c>
      <c r="AP13287" s="55">
        <v>13</v>
      </c>
      <c r="AQ13287" s="55">
        <v>17408.5</v>
      </c>
      <c r="AR13287" s="55">
        <v>28500</v>
      </c>
      <c r="AS13287" s="78">
        <f t="shared" si="211"/>
        <v>0.61082456140350883</v>
      </c>
    </row>
    <row r="13288" spans="39:45">
      <c r="AM13288" s="54">
        <v>2020</v>
      </c>
      <c r="AN13288" s="54" t="s">
        <v>188</v>
      </c>
      <c r="AO13288" s="54">
        <v>7</v>
      </c>
      <c r="AP13288" s="54">
        <v>14</v>
      </c>
      <c r="AQ13288" s="54">
        <v>9950.5</v>
      </c>
      <c r="AR13288" s="55">
        <v>28500</v>
      </c>
      <c r="AS13288" s="78">
        <f t="shared" si="211"/>
        <v>0.34914035087719297</v>
      </c>
    </row>
    <row r="13289" spans="39:45">
      <c r="AM13289" s="55">
        <v>2020</v>
      </c>
      <c r="AN13289" s="55" t="s">
        <v>188</v>
      </c>
      <c r="AO13289" s="55">
        <v>7</v>
      </c>
      <c r="AP13289" s="55">
        <v>15</v>
      </c>
      <c r="AQ13289" s="55">
        <v>6993.5</v>
      </c>
      <c r="AR13289" s="55">
        <v>28500</v>
      </c>
      <c r="AS13289" s="78">
        <f t="shared" si="211"/>
        <v>0.24538596491228071</v>
      </c>
    </row>
    <row r="13290" spans="39:45">
      <c r="AM13290" s="54">
        <v>2020</v>
      </c>
      <c r="AN13290" s="54" t="s">
        <v>188</v>
      </c>
      <c r="AO13290" s="54">
        <v>7</v>
      </c>
      <c r="AP13290" s="54">
        <v>16</v>
      </c>
      <c r="AQ13290" s="54">
        <v>5728</v>
      </c>
      <c r="AR13290" s="55">
        <v>28500</v>
      </c>
      <c r="AS13290" s="78">
        <f t="shared" si="211"/>
        <v>0.20098245614035087</v>
      </c>
    </row>
    <row r="13291" spans="39:45">
      <c r="AM13291" s="55">
        <v>2020</v>
      </c>
      <c r="AN13291" s="55" t="s">
        <v>188</v>
      </c>
      <c r="AO13291" s="55">
        <v>7</v>
      </c>
      <c r="AP13291" s="55">
        <v>17</v>
      </c>
      <c r="AQ13291" s="55">
        <v>3789</v>
      </c>
      <c r="AR13291" s="55">
        <v>28500</v>
      </c>
      <c r="AS13291" s="78">
        <f t="shared" si="211"/>
        <v>0.13294736842105262</v>
      </c>
    </row>
    <row r="13292" spans="39:45">
      <c r="AM13292" s="54">
        <v>2020</v>
      </c>
      <c r="AN13292" s="54" t="s">
        <v>188</v>
      </c>
      <c r="AO13292" s="54">
        <v>7</v>
      </c>
      <c r="AP13292" s="54">
        <v>18</v>
      </c>
      <c r="AQ13292" s="54">
        <v>3635</v>
      </c>
      <c r="AR13292" s="55">
        <v>28500</v>
      </c>
      <c r="AS13292" s="78">
        <f t="shared" si="211"/>
        <v>0.12754385964912282</v>
      </c>
    </row>
    <row r="13293" spans="39:45">
      <c r="AM13293" s="55">
        <v>2020</v>
      </c>
      <c r="AN13293" s="55" t="s">
        <v>188</v>
      </c>
      <c r="AO13293" s="55">
        <v>7</v>
      </c>
      <c r="AP13293" s="55">
        <v>19</v>
      </c>
      <c r="AQ13293" s="55">
        <v>330</v>
      </c>
      <c r="AR13293" s="55">
        <v>28500</v>
      </c>
      <c r="AS13293" s="78">
        <f t="shared" si="211"/>
        <v>1.1578947368421053E-2</v>
      </c>
    </row>
    <row r="13294" spans="39:45">
      <c r="AM13294" s="54">
        <v>2020</v>
      </c>
      <c r="AN13294" s="54" t="s">
        <v>188</v>
      </c>
      <c r="AO13294" s="54">
        <v>7</v>
      </c>
      <c r="AP13294" s="54">
        <v>20</v>
      </c>
      <c r="AQ13294" s="54">
        <v>0</v>
      </c>
      <c r="AR13294" s="55">
        <v>28500</v>
      </c>
      <c r="AS13294" s="78">
        <f t="shared" si="211"/>
        <v>0</v>
      </c>
    </row>
    <row r="13295" spans="39:45">
      <c r="AM13295" s="55">
        <v>2020</v>
      </c>
      <c r="AN13295" s="55" t="s">
        <v>188</v>
      </c>
      <c r="AO13295" s="55">
        <v>7</v>
      </c>
      <c r="AP13295" s="55">
        <v>21</v>
      </c>
      <c r="AQ13295" s="55">
        <v>0</v>
      </c>
      <c r="AR13295" s="55">
        <v>28500</v>
      </c>
      <c r="AS13295" s="78">
        <f t="shared" si="211"/>
        <v>0</v>
      </c>
    </row>
    <row r="13296" spans="39:45">
      <c r="AM13296" s="54">
        <v>2020</v>
      </c>
      <c r="AN13296" s="54" t="s">
        <v>188</v>
      </c>
      <c r="AO13296" s="54">
        <v>7</v>
      </c>
      <c r="AP13296" s="54">
        <v>22</v>
      </c>
      <c r="AQ13296" s="54">
        <v>0</v>
      </c>
      <c r="AR13296" s="55">
        <v>28500</v>
      </c>
      <c r="AS13296" s="78">
        <f t="shared" si="211"/>
        <v>0</v>
      </c>
    </row>
    <row r="13297" spans="39:45">
      <c r="AM13297" s="55">
        <v>2020</v>
      </c>
      <c r="AN13297" s="55" t="s">
        <v>188</v>
      </c>
      <c r="AO13297" s="55">
        <v>7</v>
      </c>
      <c r="AP13297" s="55">
        <v>23</v>
      </c>
      <c r="AQ13297" s="55">
        <v>0</v>
      </c>
      <c r="AR13297" s="55">
        <v>28500</v>
      </c>
      <c r="AS13297" s="78">
        <f t="shared" si="211"/>
        <v>0</v>
      </c>
    </row>
    <row r="13298" spans="39:45">
      <c r="AM13298" s="54">
        <v>2020</v>
      </c>
      <c r="AN13298" s="54" t="s">
        <v>188</v>
      </c>
      <c r="AO13298" s="54">
        <v>8</v>
      </c>
      <c r="AP13298" s="54">
        <v>24</v>
      </c>
      <c r="AQ13298" s="54">
        <v>0</v>
      </c>
      <c r="AR13298" s="55">
        <v>28500</v>
      </c>
      <c r="AS13298" s="78">
        <f t="shared" si="211"/>
        <v>0</v>
      </c>
    </row>
    <row r="13299" spans="39:45">
      <c r="AM13299" s="55">
        <v>2020</v>
      </c>
      <c r="AN13299" s="55" t="s">
        <v>188</v>
      </c>
      <c r="AO13299" s="55">
        <v>8</v>
      </c>
      <c r="AP13299" s="55">
        <v>1</v>
      </c>
      <c r="AQ13299" s="55">
        <v>0</v>
      </c>
      <c r="AR13299" s="55">
        <v>28500</v>
      </c>
      <c r="AS13299" s="78">
        <f t="shared" si="211"/>
        <v>0</v>
      </c>
    </row>
    <row r="13300" spans="39:45">
      <c r="AM13300" s="54">
        <v>2020</v>
      </c>
      <c r="AN13300" s="54" t="s">
        <v>188</v>
      </c>
      <c r="AO13300" s="54">
        <v>8</v>
      </c>
      <c r="AP13300" s="54">
        <v>2</v>
      </c>
      <c r="AQ13300" s="54">
        <v>0</v>
      </c>
      <c r="AR13300" s="55">
        <v>28500</v>
      </c>
      <c r="AS13300" s="78">
        <f t="shared" si="211"/>
        <v>0</v>
      </c>
    </row>
    <row r="13301" spans="39:45">
      <c r="AM13301" s="55">
        <v>2020</v>
      </c>
      <c r="AN13301" s="55" t="s">
        <v>188</v>
      </c>
      <c r="AO13301" s="55">
        <v>8</v>
      </c>
      <c r="AP13301" s="55">
        <v>3</v>
      </c>
      <c r="AQ13301" s="55">
        <v>0</v>
      </c>
      <c r="AR13301" s="55">
        <v>28500</v>
      </c>
      <c r="AS13301" s="78">
        <f t="shared" si="211"/>
        <v>0</v>
      </c>
    </row>
    <row r="13302" spans="39:45">
      <c r="AM13302" s="54">
        <v>2020</v>
      </c>
      <c r="AN13302" s="54" t="s">
        <v>188</v>
      </c>
      <c r="AO13302" s="54">
        <v>8</v>
      </c>
      <c r="AP13302" s="54">
        <v>4</v>
      </c>
      <c r="AQ13302" s="54">
        <v>0</v>
      </c>
      <c r="AR13302" s="55">
        <v>28500</v>
      </c>
      <c r="AS13302" s="78">
        <f t="shared" si="211"/>
        <v>0</v>
      </c>
    </row>
    <row r="13303" spans="39:45">
      <c r="AM13303" s="55">
        <v>2020</v>
      </c>
      <c r="AN13303" s="55" t="s">
        <v>188</v>
      </c>
      <c r="AO13303" s="55">
        <v>8</v>
      </c>
      <c r="AP13303" s="55">
        <v>5</v>
      </c>
      <c r="AQ13303" s="55">
        <v>94.5</v>
      </c>
      <c r="AR13303" s="55">
        <v>28500</v>
      </c>
      <c r="AS13303" s="78">
        <f t="shared" si="211"/>
        <v>3.3157894736842103E-3</v>
      </c>
    </row>
    <row r="13304" spans="39:45">
      <c r="AM13304" s="54">
        <v>2020</v>
      </c>
      <c r="AN13304" s="54" t="s">
        <v>188</v>
      </c>
      <c r="AO13304" s="54">
        <v>8</v>
      </c>
      <c r="AP13304" s="54">
        <v>6</v>
      </c>
      <c r="AQ13304" s="54">
        <v>620</v>
      </c>
      <c r="AR13304" s="55">
        <v>28500</v>
      </c>
      <c r="AS13304" s="78">
        <f t="shared" si="211"/>
        <v>2.175438596491228E-2</v>
      </c>
    </row>
    <row r="13305" spans="39:45">
      <c r="AM13305" s="55">
        <v>2020</v>
      </c>
      <c r="AN13305" s="55" t="s">
        <v>188</v>
      </c>
      <c r="AO13305" s="55">
        <v>8</v>
      </c>
      <c r="AP13305" s="55">
        <v>7</v>
      </c>
      <c r="AQ13305" s="55">
        <v>3151.5</v>
      </c>
      <c r="AR13305" s="55">
        <v>28500</v>
      </c>
      <c r="AS13305" s="78">
        <f t="shared" si="211"/>
        <v>0.11057894736842105</v>
      </c>
    </row>
    <row r="13306" spans="39:45">
      <c r="AM13306" s="54">
        <v>2020</v>
      </c>
      <c r="AN13306" s="54" t="s">
        <v>188</v>
      </c>
      <c r="AO13306" s="54">
        <v>8</v>
      </c>
      <c r="AP13306" s="54">
        <v>8</v>
      </c>
      <c r="AQ13306" s="54">
        <v>3680.5</v>
      </c>
      <c r="AR13306" s="55">
        <v>28500</v>
      </c>
      <c r="AS13306" s="78">
        <f t="shared" si="211"/>
        <v>0.12914035087719297</v>
      </c>
    </row>
    <row r="13307" spans="39:45">
      <c r="AM13307" s="55">
        <v>2020</v>
      </c>
      <c r="AN13307" s="55" t="s">
        <v>188</v>
      </c>
      <c r="AO13307" s="55">
        <v>8</v>
      </c>
      <c r="AP13307" s="55">
        <v>9</v>
      </c>
      <c r="AQ13307" s="55">
        <v>6137.5</v>
      </c>
      <c r="AR13307" s="55">
        <v>28500</v>
      </c>
      <c r="AS13307" s="78">
        <f t="shared" si="211"/>
        <v>0.21535087719298246</v>
      </c>
    </row>
    <row r="13308" spans="39:45">
      <c r="AM13308" s="54">
        <v>2020</v>
      </c>
      <c r="AN13308" s="54" t="s">
        <v>188</v>
      </c>
      <c r="AO13308" s="54">
        <v>8</v>
      </c>
      <c r="AP13308" s="54">
        <v>10</v>
      </c>
      <c r="AQ13308" s="54">
        <v>6322</v>
      </c>
      <c r="AR13308" s="55">
        <v>28500</v>
      </c>
      <c r="AS13308" s="78">
        <f t="shared" si="211"/>
        <v>0.22182456140350879</v>
      </c>
    </row>
    <row r="13309" spans="39:45">
      <c r="AM13309" s="55">
        <v>2020</v>
      </c>
      <c r="AN13309" s="55" t="s">
        <v>188</v>
      </c>
      <c r="AO13309" s="55">
        <v>8</v>
      </c>
      <c r="AP13309" s="55">
        <v>11</v>
      </c>
      <c r="AQ13309" s="55">
        <v>6346</v>
      </c>
      <c r="AR13309" s="55">
        <v>28500</v>
      </c>
      <c r="AS13309" s="78">
        <f t="shared" si="211"/>
        <v>0.22266666666666668</v>
      </c>
    </row>
    <row r="13310" spans="39:45">
      <c r="AM13310" s="54">
        <v>2020</v>
      </c>
      <c r="AN13310" s="54" t="s">
        <v>188</v>
      </c>
      <c r="AO13310" s="54">
        <v>8</v>
      </c>
      <c r="AP13310" s="54">
        <v>12</v>
      </c>
      <c r="AQ13310" s="54">
        <v>5874.5</v>
      </c>
      <c r="AR13310" s="55">
        <v>28500</v>
      </c>
      <c r="AS13310" s="78">
        <f t="shared" si="211"/>
        <v>0.20612280701754385</v>
      </c>
    </row>
    <row r="13311" spans="39:45">
      <c r="AM13311" s="55">
        <v>2020</v>
      </c>
      <c r="AN13311" s="55" t="s">
        <v>188</v>
      </c>
      <c r="AO13311" s="55">
        <v>8</v>
      </c>
      <c r="AP13311" s="55">
        <v>13</v>
      </c>
      <c r="AQ13311" s="55">
        <v>6061.5</v>
      </c>
      <c r="AR13311" s="55">
        <v>28500</v>
      </c>
      <c r="AS13311" s="78">
        <f t="shared" si="211"/>
        <v>0.21268421052631578</v>
      </c>
    </row>
    <row r="13312" spans="39:45">
      <c r="AM13312" s="54">
        <v>2020</v>
      </c>
      <c r="AN13312" s="54" t="s">
        <v>188</v>
      </c>
      <c r="AO13312" s="54">
        <v>8</v>
      </c>
      <c r="AP13312" s="54">
        <v>14</v>
      </c>
      <c r="AQ13312" s="54">
        <v>8337</v>
      </c>
      <c r="AR13312" s="55">
        <v>28500</v>
      </c>
      <c r="AS13312" s="78">
        <f t="shared" si="211"/>
        <v>0.29252631578947369</v>
      </c>
    </row>
    <row r="13313" spans="39:45">
      <c r="AM13313" s="55">
        <v>2020</v>
      </c>
      <c r="AN13313" s="55" t="s">
        <v>188</v>
      </c>
      <c r="AO13313" s="55">
        <v>8</v>
      </c>
      <c r="AP13313" s="55">
        <v>15</v>
      </c>
      <c r="AQ13313" s="55">
        <v>8838</v>
      </c>
      <c r="AR13313" s="55">
        <v>28500</v>
      </c>
      <c r="AS13313" s="78">
        <f t="shared" si="211"/>
        <v>0.31010526315789472</v>
      </c>
    </row>
    <row r="13314" spans="39:45">
      <c r="AM13314" s="54">
        <v>2020</v>
      </c>
      <c r="AN13314" s="54" t="s">
        <v>188</v>
      </c>
      <c r="AO13314" s="54">
        <v>8</v>
      </c>
      <c r="AP13314" s="54">
        <v>16</v>
      </c>
      <c r="AQ13314" s="54">
        <v>10421.5</v>
      </c>
      <c r="AR13314" s="55">
        <v>28500</v>
      </c>
      <c r="AS13314" s="78">
        <f t="shared" ref="AS13314:AS13377" si="212">AQ13314/AR13314</f>
        <v>0.36566666666666664</v>
      </c>
    </row>
    <row r="13315" spans="39:45">
      <c r="AM13315" s="55">
        <v>2020</v>
      </c>
      <c r="AN13315" s="55" t="s">
        <v>188</v>
      </c>
      <c r="AO13315" s="55">
        <v>8</v>
      </c>
      <c r="AP13315" s="55">
        <v>17</v>
      </c>
      <c r="AQ13315" s="55">
        <v>2137.5</v>
      </c>
      <c r="AR13315" s="55">
        <v>28500</v>
      </c>
      <c r="AS13315" s="78">
        <f t="shared" si="212"/>
        <v>7.4999999999999997E-2</v>
      </c>
    </row>
    <row r="13316" spans="39:45">
      <c r="AM13316" s="54">
        <v>2020</v>
      </c>
      <c r="AN13316" s="54" t="s">
        <v>188</v>
      </c>
      <c r="AO13316" s="54">
        <v>8</v>
      </c>
      <c r="AP13316" s="54">
        <v>18</v>
      </c>
      <c r="AQ13316" s="54">
        <v>2861</v>
      </c>
      <c r="AR13316" s="55">
        <v>28500</v>
      </c>
      <c r="AS13316" s="78">
        <f t="shared" si="212"/>
        <v>0.1003859649122807</v>
      </c>
    </row>
    <row r="13317" spans="39:45">
      <c r="AM13317" s="55">
        <v>2020</v>
      </c>
      <c r="AN13317" s="55" t="s">
        <v>188</v>
      </c>
      <c r="AO13317" s="55">
        <v>8</v>
      </c>
      <c r="AP13317" s="55">
        <v>19</v>
      </c>
      <c r="AQ13317" s="55">
        <v>1082</v>
      </c>
      <c r="AR13317" s="55">
        <v>28500</v>
      </c>
      <c r="AS13317" s="78">
        <f t="shared" si="212"/>
        <v>3.7964912280701757E-2</v>
      </c>
    </row>
    <row r="13318" spans="39:45">
      <c r="AM13318" s="54">
        <v>2020</v>
      </c>
      <c r="AN13318" s="54" t="s">
        <v>188</v>
      </c>
      <c r="AO13318" s="54">
        <v>8</v>
      </c>
      <c r="AP13318" s="54">
        <v>20</v>
      </c>
      <c r="AQ13318" s="54">
        <v>0</v>
      </c>
      <c r="AR13318" s="55">
        <v>28500</v>
      </c>
      <c r="AS13318" s="78">
        <f t="shared" si="212"/>
        <v>0</v>
      </c>
    </row>
    <row r="13319" spans="39:45">
      <c r="AM13319" s="55">
        <v>2020</v>
      </c>
      <c r="AN13319" s="55" t="s">
        <v>188</v>
      </c>
      <c r="AO13319" s="55">
        <v>8</v>
      </c>
      <c r="AP13319" s="55">
        <v>21</v>
      </c>
      <c r="AQ13319" s="55">
        <v>0</v>
      </c>
      <c r="AR13319" s="55">
        <v>28500</v>
      </c>
      <c r="AS13319" s="78">
        <f t="shared" si="212"/>
        <v>0</v>
      </c>
    </row>
    <row r="13320" spans="39:45">
      <c r="AM13320" s="54">
        <v>2020</v>
      </c>
      <c r="AN13320" s="54" t="s">
        <v>188</v>
      </c>
      <c r="AO13320" s="54">
        <v>8</v>
      </c>
      <c r="AP13320" s="54">
        <v>22</v>
      </c>
      <c r="AQ13320" s="54">
        <v>0</v>
      </c>
      <c r="AR13320" s="55">
        <v>28500</v>
      </c>
      <c r="AS13320" s="78">
        <f t="shared" si="212"/>
        <v>0</v>
      </c>
    </row>
    <row r="13321" spans="39:45">
      <c r="AM13321" s="55">
        <v>2020</v>
      </c>
      <c r="AN13321" s="55" t="s">
        <v>188</v>
      </c>
      <c r="AO13321" s="55">
        <v>8</v>
      </c>
      <c r="AP13321" s="55">
        <v>23</v>
      </c>
      <c r="AQ13321" s="55">
        <v>0</v>
      </c>
      <c r="AR13321" s="55">
        <v>28500</v>
      </c>
      <c r="AS13321" s="78">
        <f t="shared" si="212"/>
        <v>0</v>
      </c>
    </row>
    <row r="13322" spans="39:45">
      <c r="AM13322" s="54">
        <v>2020</v>
      </c>
      <c r="AN13322" s="54" t="s">
        <v>188</v>
      </c>
      <c r="AO13322" s="54">
        <v>9</v>
      </c>
      <c r="AP13322" s="54">
        <v>24</v>
      </c>
      <c r="AQ13322" s="54">
        <v>0</v>
      </c>
      <c r="AR13322" s="55">
        <v>28500</v>
      </c>
      <c r="AS13322" s="78">
        <f t="shared" si="212"/>
        <v>0</v>
      </c>
    </row>
    <row r="13323" spans="39:45">
      <c r="AM13323" s="55">
        <v>2020</v>
      </c>
      <c r="AN13323" s="55" t="s">
        <v>188</v>
      </c>
      <c r="AO13323" s="55">
        <v>9</v>
      </c>
      <c r="AP13323" s="55">
        <v>1</v>
      </c>
      <c r="AQ13323" s="55">
        <v>0</v>
      </c>
      <c r="AR13323" s="55">
        <v>28500</v>
      </c>
      <c r="AS13323" s="78">
        <f t="shared" si="212"/>
        <v>0</v>
      </c>
    </row>
    <row r="13324" spans="39:45">
      <c r="AM13324" s="54">
        <v>2020</v>
      </c>
      <c r="AN13324" s="54" t="s">
        <v>188</v>
      </c>
      <c r="AO13324" s="54">
        <v>9</v>
      </c>
      <c r="AP13324" s="54">
        <v>2</v>
      </c>
      <c r="AQ13324" s="54">
        <v>0</v>
      </c>
      <c r="AR13324" s="55">
        <v>28500</v>
      </c>
      <c r="AS13324" s="78">
        <f t="shared" si="212"/>
        <v>0</v>
      </c>
    </row>
    <row r="13325" spans="39:45">
      <c r="AM13325" s="55">
        <v>2020</v>
      </c>
      <c r="AN13325" s="55" t="s">
        <v>188</v>
      </c>
      <c r="AO13325" s="55">
        <v>9</v>
      </c>
      <c r="AP13325" s="55">
        <v>3</v>
      </c>
      <c r="AQ13325" s="55">
        <v>0</v>
      </c>
      <c r="AR13325" s="55">
        <v>28500</v>
      </c>
      <c r="AS13325" s="78">
        <f t="shared" si="212"/>
        <v>0</v>
      </c>
    </row>
    <row r="13326" spans="39:45">
      <c r="AM13326" s="54">
        <v>2020</v>
      </c>
      <c r="AN13326" s="54" t="s">
        <v>188</v>
      </c>
      <c r="AO13326" s="54">
        <v>9</v>
      </c>
      <c r="AP13326" s="54">
        <v>4</v>
      </c>
      <c r="AQ13326" s="54">
        <v>0</v>
      </c>
      <c r="AR13326" s="55">
        <v>28500</v>
      </c>
      <c r="AS13326" s="78">
        <f t="shared" si="212"/>
        <v>0</v>
      </c>
    </row>
    <row r="13327" spans="39:45">
      <c r="AM13327" s="55">
        <v>2020</v>
      </c>
      <c r="AN13327" s="55" t="s">
        <v>188</v>
      </c>
      <c r="AO13327" s="55">
        <v>9</v>
      </c>
      <c r="AP13327" s="55">
        <v>5</v>
      </c>
      <c r="AQ13327" s="55">
        <v>882</v>
      </c>
      <c r="AR13327" s="55">
        <v>28500</v>
      </c>
      <c r="AS13327" s="78">
        <f t="shared" si="212"/>
        <v>3.0947368421052633E-2</v>
      </c>
    </row>
    <row r="13328" spans="39:45">
      <c r="AM13328" s="54">
        <v>2020</v>
      </c>
      <c r="AN13328" s="54" t="s">
        <v>188</v>
      </c>
      <c r="AO13328" s="54">
        <v>9</v>
      </c>
      <c r="AP13328" s="54">
        <v>6</v>
      </c>
      <c r="AQ13328" s="54">
        <v>3636.5</v>
      </c>
      <c r="AR13328" s="55">
        <v>28500</v>
      </c>
      <c r="AS13328" s="78">
        <f t="shared" si="212"/>
        <v>0.12759649122807018</v>
      </c>
    </row>
    <row r="13329" spans="39:45">
      <c r="AM13329" s="55">
        <v>2020</v>
      </c>
      <c r="AN13329" s="55" t="s">
        <v>188</v>
      </c>
      <c r="AO13329" s="55">
        <v>9</v>
      </c>
      <c r="AP13329" s="55">
        <v>7</v>
      </c>
      <c r="AQ13329" s="55">
        <v>5868.5</v>
      </c>
      <c r="AR13329" s="55">
        <v>28500</v>
      </c>
      <c r="AS13329" s="78">
        <f t="shared" si="212"/>
        <v>0.20591228070175438</v>
      </c>
    </row>
    <row r="13330" spans="39:45">
      <c r="AM13330" s="54">
        <v>2020</v>
      </c>
      <c r="AN13330" s="54" t="s">
        <v>188</v>
      </c>
      <c r="AO13330" s="54">
        <v>9</v>
      </c>
      <c r="AP13330" s="54">
        <v>8</v>
      </c>
      <c r="AQ13330" s="54">
        <v>6966.5</v>
      </c>
      <c r="AR13330" s="55">
        <v>28500</v>
      </c>
      <c r="AS13330" s="78">
        <f t="shared" si="212"/>
        <v>0.24443859649122807</v>
      </c>
    </row>
    <row r="13331" spans="39:45">
      <c r="AM13331" s="55">
        <v>2020</v>
      </c>
      <c r="AN13331" s="55" t="s">
        <v>188</v>
      </c>
      <c r="AO13331" s="55">
        <v>9</v>
      </c>
      <c r="AP13331" s="55">
        <v>9</v>
      </c>
      <c r="AQ13331" s="55">
        <v>4844</v>
      </c>
      <c r="AR13331" s="55">
        <v>28500</v>
      </c>
      <c r="AS13331" s="78">
        <f t="shared" si="212"/>
        <v>0.16996491228070176</v>
      </c>
    </row>
    <row r="13332" spans="39:45">
      <c r="AM13332" s="54">
        <v>2020</v>
      </c>
      <c r="AN13332" s="54" t="s">
        <v>188</v>
      </c>
      <c r="AO13332" s="54">
        <v>9</v>
      </c>
      <c r="AP13332" s="54">
        <v>10</v>
      </c>
      <c r="AQ13332" s="54">
        <v>7634.5</v>
      </c>
      <c r="AR13332" s="55">
        <v>28500</v>
      </c>
      <c r="AS13332" s="78">
        <f t="shared" si="212"/>
        <v>0.26787719298245616</v>
      </c>
    </row>
    <row r="13333" spans="39:45">
      <c r="AM13333" s="55">
        <v>2020</v>
      </c>
      <c r="AN13333" s="55" t="s">
        <v>188</v>
      </c>
      <c r="AO13333" s="55">
        <v>9</v>
      </c>
      <c r="AP13333" s="55">
        <v>11</v>
      </c>
      <c r="AQ13333" s="55">
        <v>5997.5</v>
      </c>
      <c r="AR13333" s="55">
        <v>28500</v>
      </c>
      <c r="AS13333" s="78">
        <f t="shared" si="212"/>
        <v>0.21043859649122806</v>
      </c>
    </row>
    <row r="13334" spans="39:45">
      <c r="AM13334" s="54">
        <v>2020</v>
      </c>
      <c r="AN13334" s="54" t="s">
        <v>188</v>
      </c>
      <c r="AO13334" s="54">
        <v>9</v>
      </c>
      <c r="AP13334" s="54">
        <v>12</v>
      </c>
      <c r="AQ13334" s="54">
        <v>4190.5</v>
      </c>
      <c r="AR13334" s="55">
        <v>28500</v>
      </c>
      <c r="AS13334" s="78">
        <f t="shared" si="212"/>
        <v>0.14703508771929824</v>
      </c>
    </row>
    <row r="13335" spans="39:45">
      <c r="AM13335" s="55">
        <v>2020</v>
      </c>
      <c r="AN13335" s="55" t="s">
        <v>188</v>
      </c>
      <c r="AO13335" s="55">
        <v>9</v>
      </c>
      <c r="AP13335" s="55">
        <v>13</v>
      </c>
      <c r="AQ13335" s="55">
        <v>5447.5</v>
      </c>
      <c r="AR13335" s="55">
        <v>28500</v>
      </c>
      <c r="AS13335" s="78">
        <f t="shared" si="212"/>
        <v>0.19114035087719297</v>
      </c>
    </row>
    <row r="13336" spans="39:45">
      <c r="AM13336" s="54">
        <v>2020</v>
      </c>
      <c r="AN13336" s="54" t="s">
        <v>188</v>
      </c>
      <c r="AO13336" s="54">
        <v>9</v>
      </c>
      <c r="AP13336" s="54">
        <v>14</v>
      </c>
      <c r="AQ13336" s="54">
        <v>3773</v>
      </c>
      <c r="AR13336" s="55">
        <v>28500</v>
      </c>
      <c r="AS13336" s="78">
        <f t="shared" si="212"/>
        <v>0.13238596491228069</v>
      </c>
    </row>
    <row r="13337" spans="39:45">
      <c r="AM13337" s="55">
        <v>2020</v>
      </c>
      <c r="AN13337" s="55" t="s">
        <v>188</v>
      </c>
      <c r="AO13337" s="55">
        <v>9</v>
      </c>
      <c r="AP13337" s="55">
        <v>15</v>
      </c>
      <c r="AQ13337" s="55">
        <v>3880</v>
      </c>
      <c r="AR13337" s="55">
        <v>28500</v>
      </c>
      <c r="AS13337" s="78">
        <f t="shared" si="212"/>
        <v>0.13614035087719298</v>
      </c>
    </row>
    <row r="13338" spans="39:45">
      <c r="AM13338" s="54">
        <v>2020</v>
      </c>
      <c r="AN13338" s="54" t="s">
        <v>188</v>
      </c>
      <c r="AO13338" s="54">
        <v>9</v>
      </c>
      <c r="AP13338" s="54">
        <v>16</v>
      </c>
      <c r="AQ13338" s="54">
        <v>7847.5</v>
      </c>
      <c r="AR13338" s="55">
        <v>28500</v>
      </c>
      <c r="AS13338" s="78">
        <f t="shared" si="212"/>
        <v>0.27535087719298246</v>
      </c>
    </row>
    <row r="13339" spans="39:45">
      <c r="AM13339" s="55">
        <v>2020</v>
      </c>
      <c r="AN13339" s="55" t="s">
        <v>188</v>
      </c>
      <c r="AO13339" s="55">
        <v>9</v>
      </c>
      <c r="AP13339" s="55">
        <v>17</v>
      </c>
      <c r="AQ13339" s="55">
        <v>3891.5</v>
      </c>
      <c r="AR13339" s="55">
        <v>28500</v>
      </c>
      <c r="AS13339" s="78">
        <f t="shared" si="212"/>
        <v>0.1365438596491228</v>
      </c>
    </row>
    <row r="13340" spans="39:45">
      <c r="AM13340" s="54">
        <v>2020</v>
      </c>
      <c r="AN13340" s="54" t="s">
        <v>188</v>
      </c>
      <c r="AO13340" s="54">
        <v>9</v>
      </c>
      <c r="AP13340" s="54">
        <v>18</v>
      </c>
      <c r="AQ13340" s="54">
        <v>767</v>
      </c>
      <c r="AR13340" s="55">
        <v>28500</v>
      </c>
      <c r="AS13340" s="78">
        <f t="shared" si="212"/>
        <v>2.6912280701754387E-2</v>
      </c>
    </row>
    <row r="13341" spans="39:45">
      <c r="AM13341" s="55">
        <v>2020</v>
      </c>
      <c r="AN13341" s="55" t="s">
        <v>188</v>
      </c>
      <c r="AO13341" s="55">
        <v>9</v>
      </c>
      <c r="AP13341" s="55">
        <v>19</v>
      </c>
      <c r="AQ13341" s="55">
        <v>3</v>
      </c>
      <c r="AR13341" s="55">
        <v>28500</v>
      </c>
      <c r="AS13341" s="78">
        <f t="shared" si="212"/>
        <v>1.0526315789473685E-4</v>
      </c>
    </row>
    <row r="13342" spans="39:45">
      <c r="AM13342" s="54">
        <v>2020</v>
      </c>
      <c r="AN13342" s="54" t="s">
        <v>188</v>
      </c>
      <c r="AO13342" s="54">
        <v>9</v>
      </c>
      <c r="AP13342" s="54">
        <v>20</v>
      </c>
      <c r="AQ13342" s="54">
        <v>0</v>
      </c>
      <c r="AR13342" s="55">
        <v>28500</v>
      </c>
      <c r="AS13342" s="78">
        <f t="shared" si="212"/>
        <v>0</v>
      </c>
    </row>
    <row r="13343" spans="39:45">
      <c r="AM13343" s="55">
        <v>2020</v>
      </c>
      <c r="AN13343" s="55" t="s">
        <v>188</v>
      </c>
      <c r="AO13343" s="55">
        <v>9</v>
      </c>
      <c r="AP13343" s="55">
        <v>21</v>
      </c>
      <c r="AQ13343" s="55">
        <v>0</v>
      </c>
      <c r="AR13343" s="55">
        <v>28500</v>
      </c>
      <c r="AS13343" s="78">
        <f t="shared" si="212"/>
        <v>0</v>
      </c>
    </row>
    <row r="13344" spans="39:45">
      <c r="AM13344" s="54">
        <v>2020</v>
      </c>
      <c r="AN13344" s="54" t="s">
        <v>188</v>
      </c>
      <c r="AO13344" s="54">
        <v>9</v>
      </c>
      <c r="AP13344" s="54">
        <v>22</v>
      </c>
      <c r="AQ13344" s="54">
        <v>0</v>
      </c>
      <c r="AR13344" s="55">
        <v>28500</v>
      </c>
      <c r="AS13344" s="78">
        <f t="shared" si="212"/>
        <v>0</v>
      </c>
    </row>
    <row r="13345" spans="39:45">
      <c r="AM13345" s="55">
        <v>2020</v>
      </c>
      <c r="AN13345" s="55" t="s">
        <v>188</v>
      </c>
      <c r="AO13345" s="55">
        <v>9</v>
      </c>
      <c r="AP13345" s="55">
        <v>23</v>
      </c>
      <c r="AQ13345" s="55">
        <v>0</v>
      </c>
      <c r="AR13345" s="55">
        <v>28500</v>
      </c>
      <c r="AS13345" s="78">
        <f t="shared" si="212"/>
        <v>0</v>
      </c>
    </row>
    <row r="13346" spans="39:45">
      <c r="AM13346" s="54">
        <v>2020</v>
      </c>
      <c r="AN13346" s="54" t="s">
        <v>188</v>
      </c>
      <c r="AO13346" s="54">
        <v>10</v>
      </c>
      <c r="AP13346" s="54">
        <v>24</v>
      </c>
      <c r="AQ13346" s="54">
        <v>0</v>
      </c>
      <c r="AR13346" s="55">
        <v>28500</v>
      </c>
      <c r="AS13346" s="78">
        <f t="shared" si="212"/>
        <v>0</v>
      </c>
    </row>
    <row r="13347" spans="39:45">
      <c r="AM13347" s="55">
        <v>2020</v>
      </c>
      <c r="AN13347" s="55" t="s">
        <v>188</v>
      </c>
      <c r="AO13347" s="55">
        <v>10</v>
      </c>
      <c r="AP13347" s="55">
        <v>1</v>
      </c>
      <c r="AQ13347" s="55">
        <v>0</v>
      </c>
      <c r="AR13347" s="55">
        <v>28500</v>
      </c>
      <c r="AS13347" s="78">
        <f t="shared" si="212"/>
        <v>0</v>
      </c>
    </row>
    <row r="13348" spans="39:45">
      <c r="AM13348" s="54">
        <v>2020</v>
      </c>
      <c r="AN13348" s="54" t="s">
        <v>188</v>
      </c>
      <c r="AO13348" s="54">
        <v>10</v>
      </c>
      <c r="AP13348" s="54">
        <v>2</v>
      </c>
      <c r="AQ13348" s="54">
        <v>0</v>
      </c>
      <c r="AR13348" s="55">
        <v>28500</v>
      </c>
      <c r="AS13348" s="78">
        <f t="shared" si="212"/>
        <v>0</v>
      </c>
    </row>
    <row r="13349" spans="39:45">
      <c r="AM13349" s="55">
        <v>2020</v>
      </c>
      <c r="AN13349" s="55" t="s">
        <v>188</v>
      </c>
      <c r="AO13349" s="55">
        <v>10</v>
      </c>
      <c r="AP13349" s="55">
        <v>3</v>
      </c>
      <c r="AQ13349" s="55">
        <v>0</v>
      </c>
      <c r="AR13349" s="55">
        <v>28500</v>
      </c>
      <c r="AS13349" s="78">
        <f t="shared" si="212"/>
        <v>0</v>
      </c>
    </row>
    <row r="13350" spans="39:45">
      <c r="AM13350" s="54">
        <v>2020</v>
      </c>
      <c r="AN13350" s="54" t="s">
        <v>188</v>
      </c>
      <c r="AO13350" s="54">
        <v>10</v>
      </c>
      <c r="AP13350" s="54">
        <v>4</v>
      </c>
      <c r="AQ13350" s="54">
        <v>0</v>
      </c>
      <c r="AR13350" s="55">
        <v>28500</v>
      </c>
      <c r="AS13350" s="78">
        <f t="shared" si="212"/>
        <v>0</v>
      </c>
    </row>
    <row r="13351" spans="39:45">
      <c r="AM13351" s="55">
        <v>2020</v>
      </c>
      <c r="AN13351" s="55" t="s">
        <v>188</v>
      </c>
      <c r="AO13351" s="55">
        <v>10</v>
      </c>
      <c r="AP13351" s="55">
        <v>5</v>
      </c>
      <c r="AQ13351" s="55">
        <v>338</v>
      </c>
      <c r="AR13351" s="55">
        <v>28500</v>
      </c>
      <c r="AS13351" s="78">
        <f t="shared" si="212"/>
        <v>1.1859649122807018E-2</v>
      </c>
    </row>
    <row r="13352" spans="39:45">
      <c r="AM13352" s="54">
        <v>2020</v>
      </c>
      <c r="AN13352" s="54" t="s">
        <v>188</v>
      </c>
      <c r="AO13352" s="54">
        <v>10</v>
      </c>
      <c r="AP13352" s="54">
        <v>6</v>
      </c>
      <c r="AQ13352" s="54">
        <v>4354.5</v>
      </c>
      <c r="AR13352" s="55">
        <v>28500</v>
      </c>
      <c r="AS13352" s="78">
        <f t="shared" si="212"/>
        <v>0.15278947368421053</v>
      </c>
    </row>
    <row r="13353" spans="39:45">
      <c r="AM13353" s="55">
        <v>2020</v>
      </c>
      <c r="AN13353" s="55" t="s">
        <v>188</v>
      </c>
      <c r="AO13353" s="55">
        <v>10</v>
      </c>
      <c r="AP13353" s="55">
        <v>7</v>
      </c>
      <c r="AQ13353" s="55">
        <v>8376.5</v>
      </c>
      <c r="AR13353" s="55">
        <v>28500</v>
      </c>
      <c r="AS13353" s="78">
        <f t="shared" si="212"/>
        <v>0.2939122807017544</v>
      </c>
    </row>
    <row r="13354" spans="39:45">
      <c r="AM13354" s="54">
        <v>2020</v>
      </c>
      <c r="AN13354" s="54" t="s">
        <v>188</v>
      </c>
      <c r="AO13354" s="54">
        <v>10</v>
      </c>
      <c r="AP13354" s="54">
        <v>8</v>
      </c>
      <c r="AQ13354" s="54">
        <v>9029</v>
      </c>
      <c r="AR13354" s="55">
        <v>28500</v>
      </c>
      <c r="AS13354" s="78">
        <f t="shared" si="212"/>
        <v>0.31680701754385965</v>
      </c>
    </row>
    <row r="13355" spans="39:45">
      <c r="AM13355" s="55">
        <v>2020</v>
      </c>
      <c r="AN13355" s="55" t="s">
        <v>188</v>
      </c>
      <c r="AO13355" s="55">
        <v>10</v>
      </c>
      <c r="AP13355" s="55">
        <v>9</v>
      </c>
      <c r="AQ13355" s="55">
        <v>26724.5</v>
      </c>
      <c r="AR13355" s="55">
        <v>28500</v>
      </c>
      <c r="AS13355" s="78">
        <f t="shared" si="212"/>
        <v>0.93770175438596493</v>
      </c>
    </row>
    <row r="13356" spans="39:45">
      <c r="AM13356" s="54">
        <v>2020</v>
      </c>
      <c r="AN13356" s="54" t="s">
        <v>188</v>
      </c>
      <c r="AO13356" s="54">
        <v>10</v>
      </c>
      <c r="AP13356" s="54">
        <v>10</v>
      </c>
      <c r="AQ13356" s="54">
        <v>33501</v>
      </c>
      <c r="AR13356" s="55">
        <v>28500</v>
      </c>
      <c r="AS13356" s="78">
        <f t="shared" si="212"/>
        <v>1.1754736842105262</v>
      </c>
    </row>
    <row r="13357" spans="39:45">
      <c r="AM13357" s="55">
        <v>2020</v>
      </c>
      <c r="AN13357" s="55" t="s">
        <v>188</v>
      </c>
      <c r="AO13357" s="55">
        <v>10</v>
      </c>
      <c r="AP13357" s="55">
        <v>11</v>
      </c>
      <c r="AQ13357" s="55">
        <v>18670</v>
      </c>
      <c r="AR13357" s="55">
        <v>28500</v>
      </c>
      <c r="AS13357" s="78">
        <f t="shared" si="212"/>
        <v>0.65508771929824561</v>
      </c>
    </row>
    <row r="13358" spans="39:45">
      <c r="AM13358" s="54">
        <v>2020</v>
      </c>
      <c r="AN13358" s="54" t="s">
        <v>188</v>
      </c>
      <c r="AO13358" s="54">
        <v>10</v>
      </c>
      <c r="AP13358" s="54">
        <v>12</v>
      </c>
      <c r="AQ13358" s="54">
        <v>22426</v>
      </c>
      <c r="AR13358" s="55">
        <v>28500</v>
      </c>
      <c r="AS13358" s="78">
        <f t="shared" si="212"/>
        <v>0.78687719298245618</v>
      </c>
    </row>
    <row r="13359" spans="39:45">
      <c r="AM13359" s="55">
        <v>2020</v>
      </c>
      <c r="AN13359" s="55" t="s">
        <v>188</v>
      </c>
      <c r="AO13359" s="55">
        <v>10</v>
      </c>
      <c r="AP13359" s="55">
        <v>13</v>
      </c>
      <c r="AQ13359" s="55">
        <v>14240.5</v>
      </c>
      <c r="AR13359" s="55">
        <v>28500</v>
      </c>
      <c r="AS13359" s="78">
        <f t="shared" si="212"/>
        <v>0.49966666666666665</v>
      </c>
    </row>
    <row r="13360" spans="39:45">
      <c r="AM13360" s="54">
        <v>2020</v>
      </c>
      <c r="AN13360" s="54" t="s">
        <v>188</v>
      </c>
      <c r="AO13360" s="54">
        <v>10</v>
      </c>
      <c r="AP13360" s="54">
        <v>14</v>
      </c>
      <c r="AQ13360" s="54">
        <v>15498</v>
      </c>
      <c r="AR13360" s="55">
        <v>28500</v>
      </c>
      <c r="AS13360" s="78">
        <f t="shared" si="212"/>
        <v>0.54378947368421049</v>
      </c>
    </row>
    <row r="13361" spans="39:45">
      <c r="AM13361" s="55">
        <v>2020</v>
      </c>
      <c r="AN13361" s="55" t="s">
        <v>188</v>
      </c>
      <c r="AO13361" s="55">
        <v>10</v>
      </c>
      <c r="AP13361" s="55">
        <v>15</v>
      </c>
      <c r="AQ13361" s="55">
        <v>17246.5</v>
      </c>
      <c r="AR13361" s="55">
        <v>28500</v>
      </c>
      <c r="AS13361" s="78">
        <f t="shared" si="212"/>
        <v>0.60514035087719298</v>
      </c>
    </row>
    <row r="13362" spans="39:45">
      <c r="AM13362" s="54">
        <v>2020</v>
      </c>
      <c r="AN13362" s="54" t="s">
        <v>188</v>
      </c>
      <c r="AO13362" s="54">
        <v>10</v>
      </c>
      <c r="AP13362" s="54">
        <v>16</v>
      </c>
      <c r="AQ13362" s="54">
        <v>11809.5</v>
      </c>
      <c r="AR13362" s="55">
        <v>28500</v>
      </c>
      <c r="AS13362" s="78">
        <f t="shared" si="212"/>
        <v>0.41436842105263155</v>
      </c>
    </row>
    <row r="13363" spans="39:45">
      <c r="AM13363" s="55">
        <v>2020</v>
      </c>
      <c r="AN13363" s="55" t="s">
        <v>188</v>
      </c>
      <c r="AO13363" s="55">
        <v>10</v>
      </c>
      <c r="AP13363" s="55">
        <v>17</v>
      </c>
      <c r="AQ13363" s="55">
        <v>9386</v>
      </c>
      <c r="AR13363" s="55">
        <v>28500</v>
      </c>
      <c r="AS13363" s="78">
        <f t="shared" si="212"/>
        <v>0.32933333333333331</v>
      </c>
    </row>
    <row r="13364" spans="39:45">
      <c r="AM13364" s="54">
        <v>2020</v>
      </c>
      <c r="AN13364" s="54" t="s">
        <v>188</v>
      </c>
      <c r="AO13364" s="54">
        <v>10</v>
      </c>
      <c r="AP13364" s="54">
        <v>18</v>
      </c>
      <c r="AQ13364" s="54">
        <v>3749</v>
      </c>
      <c r="AR13364" s="55">
        <v>28500</v>
      </c>
      <c r="AS13364" s="78">
        <f t="shared" si="212"/>
        <v>0.1315438596491228</v>
      </c>
    </row>
    <row r="13365" spans="39:45">
      <c r="AM13365" s="55">
        <v>2020</v>
      </c>
      <c r="AN13365" s="55" t="s">
        <v>188</v>
      </c>
      <c r="AO13365" s="55">
        <v>10</v>
      </c>
      <c r="AP13365" s="55">
        <v>19</v>
      </c>
      <c r="AQ13365" s="55">
        <v>842</v>
      </c>
      <c r="AR13365" s="55">
        <v>28500</v>
      </c>
      <c r="AS13365" s="78">
        <f t="shared" si="212"/>
        <v>2.9543859649122806E-2</v>
      </c>
    </row>
    <row r="13366" spans="39:45">
      <c r="AM13366" s="54">
        <v>2020</v>
      </c>
      <c r="AN13366" s="54" t="s">
        <v>188</v>
      </c>
      <c r="AO13366" s="54">
        <v>10</v>
      </c>
      <c r="AP13366" s="54">
        <v>20</v>
      </c>
      <c r="AQ13366" s="54">
        <v>0</v>
      </c>
      <c r="AR13366" s="55">
        <v>28500</v>
      </c>
      <c r="AS13366" s="78">
        <f t="shared" si="212"/>
        <v>0</v>
      </c>
    </row>
    <row r="13367" spans="39:45">
      <c r="AM13367" s="55">
        <v>2020</v>
      </c>
      <c r="AN13367" s="55" t="s">
        <v>188</v>
      </c>
      <c r="AO13367" s="55">
        <v>10</v>
      </c>
      <c r="AP13367" s="55">
        <v>21</v>
      </c>
      <c r="AQ13367" s="55">
        <v>0</v>
      </c>
      <c r="AR13367" s="55">
        <v>28500</v>
      </c>
      <c r="AS13367" s="78">
        <f t="shared" si="212"/>
        <v>0</v>
      </c>
    </row>
    <row r="13368" spans="39:45">
      <c r="AM13368" s="54">
        <v>2020</v>
      </c>
      <c r="AN13368" s="54" t="s">
        <v>188</v>
      </c>
      <c r="AO13368" s="54">
        <v>10</v>
      </c>
      <c r="AP13368" s="54">
        <v>22</v>
      </c>
      <c r="AQ13368" s="54">
        <v>0</v>
      </c>
      <c r="AR13368" s="55">
        <v>28500</v>
      </c>
      <c r="AS13368" s="78">
        <f t="shared" si="212"/>
        <v>0</v>
      </c>
    </row>
    <row r="13369" spans="39:45">
      <c r="AM13369" s="55">
        <v>2020</v>
      </c>
      <c r="AN13369" s="55" t="s">
        <v>188</v>
      </c>
      <c r="AO13369" s="55">
        <v>10</v>
      </c>
      <c r="AP13369" s="55">
        <v>23</v>
      </c>
      <c r="AQ13369" s="55">
        <v>0</v>
      </c>
      <c r="AR13369" s="55">
        <v>28500</v>
      </c>
      <c r="AS13369" s="78">
        <f t="shared" si="212"/>
        <v>0</v>
      </c>
    </row>
    <row r="13370" spans="39:45">
      <c r="AM13370" s="54">
        <v>2020</v>
      </c>
      <c r="AN13370" s="54" t="s">
        <v>188</v>
      </c>
      <c r="AO13370" s="54">
        <v>11</v>
      </c>
      <c r="AP13370" s="54">
        <v>24</v>
      </c>
      <c r="AQ13370" s="54">
        <v>0</v>
      </c>
      <c r="AR13370" s="55">
        <v>28500</v>
      </c>
      <c r="AS13370" s="78">
        <f t="shared" si="212"/>
        <v>0</v>
      </c>
    </row>
    <row r="13371" spans="39:45">
      <c r="AM13371" s="55">
        <v>2020</v>
      </c>
      <c r="AN13371" s="55" t="s">
        <v>188</v>
      </c>
      <c r="AO13371" s="55">
        <v>11</v>
      </c>
      <c r="AP13371" s="55">
        <v>1</v>
      </c>
      <c r="AQ13371" s="55">
        <v>0</v>
      </c>
      <c r="AR13371" s="55">
        <v>28500</v>
      </c>
      <c r="AS13371" s="78">
        <f t="shared" si="212"/>
        <v>0</v>
      </c>
    </row>
    <row r="13372" spans="39:45">
      <c r="AM13372" s="54">
        <v>2020</v>
      </c>
      <c r="AN13372" s="54" t="s">
        <v>188</v>
      </c>
      <c r="AO13372" s="54">
        <v>11</v>
      </c>
      <c r="AP13372" s="54">
        <v>2</v>
      </c>
      <c r="AQ13372" s="54">
        <v>0</v>
      </c>
      <c r="AR13372" s="55">
        <v>28500</v>
      </c>
      <c r="AS13372" s="78">
        <f t="shared" si="212"/>
        <v>0</v>
      </c>
    </row>
    <row r="13373" spans="39:45">
      <c r="AM13373" s="55">
        <v>2020</v>
      </c>
      <c r="AN13373" s="55" t="s">
        <v>188</v>
      </c>
      <c r="AO13373" s="55">
        <v>11</v>
      </c>
      <c r="AP13373" s="55">
        <v>3</v>
      </c>
      <c r="AQ13373" s="55">
        <v>0</v>
      </c>
      <c r="AR13373" s="55">
        <v>28500</v>
      </c>
      <c r="AS13373" s="78">
        <f t="shared" si="212"/>
        <v>0</v>
      </c>
    </row>
    <row r="13374" spans="39:45">
      <c r="AM13374" s="54">
        <v>2020</v>
      </c>
      <c r="AN13374" s="54" t="s">
        <v>188</v>
      </c>
      <c r="AO13374" s="54">
        <v>11</v>
      </c>
      <c r="AP13374" s="54">
        <v>4</v>
      </c>
      <c r="AQ13374" s="54">
        <v>0</v>
      </c>
      <c r="AR13374" s="55">
        <v>28500</v>
      </c>
      <c r="AS13374" s="78">
        <f t="shared" si="212"/>
        <v>0</v>
      </c>
    </row>
    <row r="13375" spans="39:45">
      <c r="AM13375" s="55">
        <v>2020</v>
      </c>
      <c r="AN13375" s="55" t="s">
        <v>188</v>
      </c>
      <c r="AO13375" s="55">
        <v>11</v>
      </c>
      <c r="AP13375" s="55">
        <v>5</v>
      </c>
      <c r="AQ13375" s="55">
        <v>1188.5</v>
      </c>
      <c r="AR13375" s="55">
        <v>28500</v>
      </c>
      <c r="AS13375" s="78">
        <f t="shared" si="212"/>
        <v>4.1701754385964913E-2</v>
      </c>
    </row>
    <row r="13376" spans="39:45">
      <c r="AM13376" s="54">
        <v>2020</v>
      </c>
      <c r="AN13376" s="54" t="s">
        <v>188</v>
      </c>
      <c r="AO13376" s="54">
        <v>11</v>
      </c>
      <c r="AP13376" s="54">
        <v>6</v>
      </c>
      <c r="AQ13376" s="54">
        <v>3210</v>
      </c>
      <c r="AR13376" s="55">
        <v>28500</v>
      </c>
      <c r="AS13376" s="78">
        <f t="shared" si="212"/>
        <v>0.11263157894736842</v>
      </c>
    </row>
    <row r="13377" spans="39:45">
      <c r="AM13377" s="55">
        <v>2020</v>
      </c>
      <c r="AN13377" s="55" t="s">
        <v>188</v>
      </c>
      <c r="AO13377" s="55">
        <v>11</v>
      </c>
      <c r="AP13377" s="55">
        <v>7</v>
      </c>
      <c r="AQ13377" s="55">
        <v>12800</v>
      </c>
      <c r="AR13377" s="55">
        <v>28500</v>
      </c>
      <c r="AS13377" s="78">
        <f t="shared" si="212"/>
        <v>0.44912280701754387</v>
      </c>
    </row>
    <row r="13378" spans="39:45">
      <c r="AM13378" s="54">
        <v>2020</v>
      </c>
      <c r="AN13378" s="54" t="s">
        <v>188</v>
      </c>
      <c r="AO13378" s="54">
        <v>11</v>
      </c>
      <c r="AP13378" s="54">
        <v>8</v>
      </c>
      <c r="AQ13378" s="54">
        <v>21799.5</v>
      </c>
      <c r="AR13378" s="55">
        <v>28500</v>
      </c>
      <c r="AS13378" s="78">
        <f t="shared" ref="AS13378:AS13441" si="213">AQ13378/AR13378</f>
        <v>0.76489473684210529</v>
      </c>
    </row>
    <row r="13379" spans="39:45">
      <c r="AM13379" s="55">
        <v>2020</v>
      </c>
      <c r="AN13379" s="55" t="s">
        <v>188</v>
      </c>
      <c r="AO13379" s="55">
        <v>11</v>
      </c>
      <c r="AP13379" s="55">
        <v>9</v>
      </c>
      <c r="AQ13379" s="55">
        <v>23450.5</v>
      </c>
      <c r="AR13379" s="55">
        <v>28500</v>
      </c>
      <c r="AS13379" s="78">
        <f t="shared" si="213"/>
        <v>0.82282456140350879</v>
      </c>
    </row>
    <row r="13380" spans="39:45">
      <c r="AM13380" s="54">
        <v>2020</v>
      </c>
      <c r="AN13380" s="54" t="s">
        <v>188</v>
      </c>
      <c r="AO13380" s="54">
        <v>11</v>
      </c>
      <c r="AP13380" s="54">
        <v>10</v>
      </c>
      <c r="AQ13380" s="54">
        <v>26548.5</v>
      </c>
      <c r="AR13380" s="55">
        <v>28500</v>
      </c>
      <c r="AS13380" s="78">
        <f t="shared" si="213"/>
        <v>0.93152631578947365</v>
      </c>
    </row>
    <row r="13381" spans="39:45">
      <c r="AM13381" s="55">
        <v>2020</v>
      </c>
      <c r="AN13381" s="55" t="s">
        <v>188</v>
      </c>
      <c r="AO13381" s="55">
        <v>11</v>
      </c>
      <c r="AP13381" s="55">
        <v>11</v>
      </c>
      <c r="AQ13381" s="55">
        <v>31317.5</v>
      </c>
      <c r="AR13381" s="55">
        <v>28500</v>
      </c>
      <c r="AS13381" s="78">
        <f t="shared" si="213"/>
        <v>1.0988596491228071</v>
      </c>
    </row>
    <row r="13382" spans="39:45">
      <c r="AM13382" s="54">
        <v>2020</v>
      </c>
      <c r="AN13382" s="54" t="s">
        <v>188</v>
      </c>
      <c r="AO13382" s="54">
        <v>11</v>
      </c>
      <c r="AP13382" s="54">
        <v>12</v>
      </c>
      <c r="AQ13382" s="54">
        <v>27525.5</v>
      </c>
      <c r="AR13382" s="55">
        <v>28500</v>
      </c>
      <c r="AS13382" s="78">
        <f t="shared" si="213"/>
        <v>0.96580701754385967</v>
      </c>
    </row>
    <row r="13383" spans="39:45">
      <c r="AM13383" s="55">
        <v>2020</v>
      </c>
      <c r="AN13383" s="55" t="s">
        <v>188</v>
      </c>
      <c r="AO13383" s="55">
        <v>11</v>
      </c>
      <c r="AP13383" s="55">
        <v>13</v>
      </c>
      <c r="AQ13383" s="55">
        <v>20001.5</v>
      </c>
      <c r="AR13383" s="55">
        <v>28500</v>
      </c>
      <c r="AS13383" s="78">
        <f t="shared" si="213"/>
        <v>0.70180701754385966</v>
      </c>
    </row>
    <row r="13384" spans="39:45">
      <c r="AM13384" s="54">
        <v>2020</v>
      </c>
      <c r="AN13384" s="54" t="s">
        <v>188</v>
      </c>
      <c r="AO13384" s="54">
        <v>11</v>
      </c>
      <c r="AP13384" s="54">
        <v>14</v>
      </c>
      <c r="AQ13384" s="54">
        <v>22846</v>
      </c>
      <c r="AR13384" s="55">
        <v>28500</v>
      </c>
      <c r="AS13384" s="78">
        <f t="shared" si="213"/>
        <v>0.80161403508771933</v>
      </c>
    </row>
    <row r="13385" spans="39:45">
      <c r="AM13385" s="55">
        <v>2020</v>
      </c>
      <c r="AN13385" s="55" t="s">
        <v>188</v>
      </c>
      <c r="AO13385" s="55">
        <v>11</v>
      </c>
      <c r="AP13385" s="55">
        <v>15</v>
      </c>
      <c r="AQ13385" s="55">
        <v>8015.5</v>
      </c>
      <c r="AR13385" s="55">
        <v>28500</v>
      </c>
      <c r="AS13385" s="78">
        <f t="shared" si="213"/>
        <v>0.28124561403508774</v>
      </c>
    </row>
    <row r="13386" spans="39:45">
      <c r="AM13386" s="54">
        <v>2020</v>
      </c>
      <c r="AN13386" s="54" t="s">
        <v>188</v>
      </c>
      <c r="AO13386" s="54">
        <v>11</v>
      </c>
      <c r="AP13386" s="54">
        <v>16</v>
      </c>
      <c r="AQ13386" s="54">
        <v>16464</v>
      </c>
      <c r="AR13386" s="55">
        <v>28500</v>
      </c>
      <c r="AS13386" s="78">
        <f t="shared" si="213"/>
        <v>0.5776842105263158</v>
      </c>
    </row>
    <row r="13387" spans="39:45">
      <c r="AM13387" s="55">
        <v>2020</v>
      </c>
      <c r="AN13387" s="55" t="s">
        <v>188</v>
      </c>
      <c r="AO13387" s="55">
        <v>11</v>
      </c>
      <c r="AP13387" s="55">
        <v>17</v>
      </c>
      <c r="AQ13387" s="55">
        <v>10004</v>
      </c>
      <c r="AR13387" s="55">
        <v>28500</v>
      </c>
      <c r="AS13387" s="78">
        <f t="shared" si="213"/>
        <v>0.35101754385964912</v>
      </c>
    </row>
    <row r="13388" spans="39:45">
      <c r="AM13388" s="54">
        <v>2020</v>
      </c>
      <c r="AN13388" s="54" t="s">
        <v>188</v>
      </c>
      <c r="AO13388" s="54">
        <v>11</v>
      </c>
      <c r="AP13388" s="54">
        <v>18</v>
      </c>
      <c r="AQ13388" s="54">
        <v>3628.5</v>
      </c>
      <c r="AR13388" s="55">
        <v>28500</v>
      </c>
      <c r="AS13388" s="78">
        <f t="shared" si="213"/>
        <v>0.12731578947368422</v>
      </c>
    </row>
    <row r="13389" spans="39:45">
      <c r="AM13389" s="55">
        <v>2020</v>
      </c>
      <c r="AN13389" s="55" t="s">
        <v>188</v>
      </c>
      <c r="AO13389" s="55">
        <v>11</v>
      </c>
      <c r="AP13389" s="55">
        <v>19</v>
      </c>
      <c r="AQ13389" s="55">
        <v>1022.5</v>
      </c>
      <c r="AR13389" s="55">
        <v>28500</v>
      </c>
      <c r="AS13389" s="78">
        <f t="shared" si="213"/>
        <v>3.5877192982456139E-2</v>
      </c>
    </row>
    <row r="13390" spans="39:45">
      <c r="AM13390" s="54">
        <v>2020</v>
      </c>
      <c r="AN13390" s="54" t="s">
        <v>188</v>
      </c>
      <c r="AO13390" s="54">
        <v>11</v>
      </c>
      <c r="AP13390" s="54">
        <v>20</v>
      </c>
      <c r="AQ13390" s="54">
        <v>0</v>
      </c>
      <c r="AR13390" s="55">
        <v>28500</v>
      </c>
      <c r="AS13390" s="78">
        <f t="shared" si="213"/>
        <v>0</v>
      </c>
    </row>
    <row r="13391" spans="39:45">
      <c r="AM13391" s="55">
        <v>2020</v>
      </c>
      <c r="AN13391" s="55" t="s">
        <v>188</v>
      </c>
      <c r="AO13391" s="55">
        <v>11</v>
      </c>
      <c r="AP13391" s="55">
        <v>21</v>
      </c>
      <c r="AQ13391" s="55">
        <v>0</v>
      </c>
      <c r="AR13391" s="55">
        <v>28500</v>
      </c>
      <c r="AS13391" s="78">
        <f t="shared" si="213"/>
        <v>0</v>
      </c>
    </row>
    <row r="13392" spans="39:45">
      <c r="AM13392" s="54">
        <v>2020</v>
      </c>
      <c r="AN13392" s="54" t="s">
        <v>188</v>
      </c>
      <c r="AO13392" s="54">
        <v>11</v>
      </c>
      <c r="AP13392" s="54">
        <v>22</v>
      </c>
      <c r="AQ13392" s="54">
        <v>0</v>
      </c>
      <c r="AR13392" s="55">
        <v>28500</v>
      </c>
      <c r="AS13392" s="78">
        <f t="shared" si="213"/>
        <v>0</v>
      </c>
    </row>
    <row r="13393" spans="39:45">
      <c r="AM13393" s="55">
        <v>2020</v>
      </c>
      <c r="AN13393" s="55" t="s">
        <v>188</v>
      </c>
      <c r="AO13393" s="55">
        <v>11</v>
      </c>
      <c r="AP13393" s="55">
        <v>23</v>
      </c>
      <c r="AQ13393" s="55">
        <v>0</v>
      </c>
      <c r="AR13393" s="55">
        <v>28500</v>
      </c>
      <c r="AS13393" s="78">
        <f t="shared" si="213"/>
        <v>0</v>
      </c>
    </row>
    <row r="13394" spans="39:45">
      <c r="AM13394" s="54">
        <v>2020</v>
      </c>
      <c r="AN13394" s="54" t="s">
        <v>188</v>
      </c>
      <c r="AO13394" s="54">
        <v>12</v>
      </c>
      <c r="AP13394" s="54">
        <v>24</v>
      </c>
      <c r="AQ13394" s="54">
        <v>0</v>
      </c>
      <c r="AR13394" s="55">
        <v>28500</v>
      </c>
      <c r="AS13394" s="78">
        <f t="shared" si="213"/>
        <v>0</v>
      </c>
    </row>
    <row r="13395" spans="39:45">
      <c r="AM13395" s="55">
        <v>2020</v>
      </c>
      <c r="AN13395" s="55" t="s">
        <v>188</v>
      </c>
      <c r="AO13395" s="55">
        <v>12</v>
      </c>
      <c r="AP13395" s="55">
        <v>1</v>
      </c>
      <c r="AQ13395" s="55">
        <v>0</v>
      </c>
      <c r="AR13395" s="55">
        <v>28500</v>
      </c>
      <c r="AS13395" s="78">
        <f t="shared" si="213"/>
        <v>0</v>
      </c>
    </row>
    <row r="13396" spans="39:45">
      <c r="AM13396" s="54">
        <v>2020</v>
      </c>
      <c r="AN13396" s="54" t="s">
        <v>188</v>
      </c>
      <c r="AO13396" s="54">
        <v>12</v>
      </c>
      <c r="AP13396" s="54">
        <v>2</v>
      </c>
      <c r="AQ13396" s="54">
        <v>0</v>
      </c>
      <c r="AR13396" s="55">
        <v>28500</v>
      </c>
      <c r="AS13396" s="78">
        <f t="shared" si="213"/>
        <v>0</v>
      </c>
    </row>
    <row r="13397" spans="39:45">
      <c r="AM13397" s="55">
        <v>2020</v>
      </c>
      <c r="AN13397" s="55" t="s">
        <v>188</v>
      </c>
      <c r="AO13397" s="55">
        <v>12</v>
      </c>
      <c r="AP13397" s="55">
        <v>3</v>
      </c>
      <c r="AQ13397" s="55">
        <v>0</v>
      </c>
      <c r="AR13397" s="55">
        <v>28500</v>
      </c>
      <c r="AS13397" s="78">
        <f t="shared" si="213"/>
        <v>0</v>
      </c>
    </row>
    <row r="13398" spans="39:45">
      <c r="AM13398" s="54">
        <v>2020</v>
      </c>
      <c r="AN13398" s="54" t="s">
        <v>188</v>
      </c>
      <c r="AO13398" s="54">
        <v>12</v>
      </c>
      <c r="AP13398" s="54">
        <v>4</v>
      </c>
      <c r="AQ13398" s="54">
        <v>0</v>
      </c>
      <c r="AR13398" s="55">
        <v>28500</v>
      </c>
      <c r="AS13398" s="78">
        <f t="shared" si="213"/>
        <v>0</v>
      </c>
    </row>
    <row r="13399" spans="39:45">
      <c r="AM13399" s="55">
        <v>2020</v>
      </c>
      <c r="AN13399" s="55" t="s">
        <v>188</v>
      </c>
      <c r="AO13399" s="55">
        <v>12</v>
      </c>
      <c r="AP13399" s="55">
        <v>5</v>
      </c>
      <c r="AQ13399" s="55">
        <v>1276</v>
      </c>
      <c r="AR13399" s="55">
        <v>28500</v>
      </c>
      <c r="AS13399" s="78">
        <f t="shared" si="213"/>
        <v>4.47719298245614E-2</v>
      </c>
    </row>
    <row r="13400" spans="39:45">
      <c r="AM13400" s="54">
        <v>2020</v>
      </c>
      <c r="AN13400" s="54" t="s">
        <v>188</v>
      </c>
      <c r="AO13400" s="54">
        <v>12</v>
      </c>
      <c r="AP13400" s="54">
        <v>6</v>
      </c>
      <c r="AQ13400" s="54">
        <v>3248</v>
      </c>
      <c r="AR13400" s="55">
        <v>28500</v>
      </c>
      <c r="AS13400" s="78">
        <f t="shared" si="213"/>
        <v>0.11396491228070176</v>
      </c>
    </row>
    <row r="13401" spans="39:45">
      <c r="AM13401" s="55">
        <v>2020</v>
      </c>
      <c r="AN13401" s="55" t="s">
        <v>188</v>
      </c>
      <c r="AO13401" s="55">
        <v>12</v>
      </c>
      <c r="AP13401" s="55">
        <v>7</v>
      </c>
      <c r="AQ13401" s="55">
        <v>12249</v>
      </c>
      <c r="AR13401" s="55">
        <v>28500</v>
      </c>
      <c r="AS13401" s="78">
        <f t="shared" si="213"/>
        <v>0.4297894736842105</v>
      </c>
    </row>
    <row r="13402" spans="39:45">
      <c r="AM13402" s="54">
        <v>2020</v>
      </c>
      <c r="AN13402" s="54" t="s">
        <v>188</v>
      </c>
      <c r="AO13402" s="54">
        <v>12</v>
      </c>
      <c r="AP13402" s="54">
        <v>8</v>
      </c>
      <c r="AQ13402" s="54">
        <v>20662</v>
      </c>
      <c r="AR13402" s="55">
        <v>28500</v>
      </c>
      <c r="AS13402" s="78">
        <f t="shared" si="213"/>
        <v>0.72498245614035084</v>
      </c>
    </row>
    <row r="13403" spans="39:45">
      <c r="AM13403" s="55">
        <v>2020</v>
      </c>
      <c r="AN13403" s="55" t="s">
        <v>188</v>
      </c>
      <c r="AO13403" s="55">
        <v>12</v>
      </c>
      <c r="AP13403" s="55">
        <v>9</v>
      </c>
      <c r="AQ13403" s="55">
        <v>23124.5</v>
      </c>
      <c r="AR13403" s="55">
        <v>28500</v>
      </c>
      <c r="AS13403" s="78">
        <f t="shared" si="213"/>
        <v>0.81138596491228065</v>
      </c>
    </row>
    <row r="13404" spans="39:45">
      <c r="AM13404" s="54">
        <v>2020</v>
      </c>
      <c r="AN13404" s="54" t="s">
        <v>188</v>
      </c>
      <c r="AO13404" s="54">
        <v>12</v>
      </c>
      <c r="AP13404" s="54">
        <v>10</v>
      </c>
      <c r="AQ13404" s="54">
        <v>26246</v>
      </c>
      <c r="AR13404" s="55">
        <v>28500</v>
      </c>
      <c r="AS13404" s="78">
        <f t="shared" si="213"/>
        <v>0.92091228070175435</v>
      </c>
    </row>
    <row r="13405" spans="39:45">
      <c r="AM13405" s="55">
        <v>2020</v>
      </c>
      <c r="AN13405" s="55" t="s">
        <v>188</v>
      </c>
      <c r="AO13405" s="55">
        <v>12</v>
      </c>
      <c r="AP13405" s="55">
        <v>11</v>
      </c>
      <c r="AQ13405" s="55">
        <v>28050.5</v>
      </c>
      <c r="AR13405" s="55">
        <v>28500</v>
      </c>
      <c r="AS13405" s="78">
        <f t="shared" si="213"/>
        <v>0.98422807017543856</v>
      </c>
    </row>
    <row r="13406" spans="39:45">
      <c r="AM13406" s="54">
        <v>2020</v>
      </c>
      <c r="AN13406" s="54" t="s">
        <v>188</v>
      </c>
      <c r="AO13406" s="54">
        <v>12</v>
      </c>
      <c r="AP13406" s="54">
        <v>12</v>
      </c>
      <c r="AQ13406" s="54">
        <v>32153</v>
      </c>
      <c r="AR13406" s="55">
        <v>28500</v>
      </c>
      <c r="AS13406" s="78">
        <f t="shared" si="213"/>
        <v>1.1281754385964913</v>
      </c>
    </row>
    <row r="13407" spans="39:45">
      <c r="AM13407" s="55">
        <v>2020</v>
      </c>
      <c r="AN13407" s="55" t="s">
        <v>188</v>
      </c>
      <c r="AO13407" s="55">
        <v>12</v>
      </c>
      <c r="AP13407" s="55">
        <v>13</v>
      </c>
      <c r="AQ13407" s="55">
        <v>29768.5</v>
      </c>
      <c r="AR13407" s="55">
        <v>28500</v>
      </c>
      <c r="AS13407" s="78">
        <f t="shared" si="213"/>
        <v>1.0445087719298245</v>
      </c>
    </row>
    <row r="13408" spans="39:45">
      <c r="AM13408" s="54">
        <v>2020</v>
      </c>
      <c r="AN13408" s="54" t="s">
        <v>188</v>
      </c>
      <c r="AO13408" s="54">
        <v>12</v>
      </c>
      <c r="AP13408" s="54">
        <v>14</v>
      </c>
      <c r="AQ13408" s="54">
        <v>28846.5</v>
      </c>
      <c r="AR13408" s="55">
        <v>28500</v>
      </c>
      <c r="AS13408" s="78">
        <f t="shared" si="213"/>
        <v>1.0121578947368421</v>
      </c>
    </row>
    <row r="13409" spans="39:45">
      <c r="AM13409" s="55">
        <v>2020</v>
      </c>
      <c r="AN13409" s="55" t="s">
        <v>188</v>
      </c>
      <c r="AO13409" s="55">
        <v>12</v>
      </c>
      <c r="AP13409" s="55">
        <v>15</v>
      </c>
      <c r="AQ13409" s="55">
        <v>25194</v>
      </c>
      <c r="AR13409" s="55">
        <v>28500</v>
      </c>
      <c r="AS13409" s="78">
        <f t="shared" si="213"/>
        <v>0.88400000000000001</v>
      </c>
    </row>
    <row r="13410" spans="39:45">
      <c r="AM13410" s="54">
        <v>2020</v>
      </c>
      <c r="AN13410" s="54" t="s">
        <v>188</v>
      </c>
      <c r="AO13410" s="54">
        <v>12</v>
      </c>
      <c r="AP13410" s="54">
        <v>16</v>
      </c>
      <c r="AQ13410" s="54">
        <v>17293.5</v>
      </c>
      <c r="AR13410" s="55">
        <v>28500</v>
      </c>
      <c r="AS13410" s="78">
        <f t="shared" si="213"/>
        <v>0.60678947368421055</v>
      </c>
    </row>
    <row r="13411" spans="39:45">
      <c r="AM13411" s="55">
        <v>2020</v>
      </c>
      <c r="AN13411" s="55" t="s">
        <v>188</v>
      </c>
      <c r="AO13411" s="55">
        <v>12</v>
      </c>
      <c r="AP13411" s="55">
        <v>17</v>
      </c>
      <c r="AQ13411" s="55">
        <v>9538</v>
      </c>
      <c r="AR13411" s="55">
        <v>28500</v>
      </c>
      <c r="AS13411" s="78">
        <f t="shared" si="213"/>
        <v>0.33466666666666667</v>
      </c>
    </row>
    <row r="13412" spans="39:45">
      <c r="AM13412" s="54">
        <v>2020</v>
      </c>
      <c r="AN13412" s="54" t="s">
        <v>188</v>
      </c>
      <c r="AO13412" s="54">
        <v>12</v>
      </c>
      <c r="AP13412" s="54">
        <v>18</v>
      </c>
      <c r="AQ13412" s="54">
        <v>2523.5</v>
      </c>
      <c r="AR13412" s="55">
        <v>28500</v>
      </c>
      <c r="AS13412" s="78">
        <f t="shared" si="213"/>
        <v>8.8543859649122814E-2</v>
      </c>
    </row>
    <row r="13413" spans="39:45">
      <c r="AM13413" s="55">
        <v>2020</v>
      </c>
      <c r="AN13413" s="55" t="s">
        <v>188</v>
      </c>
      <c r="AO13413" s="55">
        <v>12</v>
      </c>
      <c r="AP13413" s="55">
        <v>19</v>
      </c>
      <c r="AQ13413" s="55">
        <v>1069.5</v>
      </c>
      <c r="AR13413" s="55">
        <v>28500</v>
      </c>
      <c r="AS13413" s="78">
        <f t="shared" si="213"/>
        <v>3.7526315789473685E-2</v>
      </c>
    </row>
    <row r="13414" spans="39:45">
      <c r="AM13414" s="54">
        <v>2020</v>
      </c>
      <c r="AN13414" s="54" t="s">
        <v>188</v>
      </c>
      <c r="AO13414" s="54">
        <v>12</v>
      </c>
      <c r="AP13414" s="54">
        <v>20</v>
      </c>
      <c r="AQ13414" s="54">
        <v>0</v>
      </c>
      <c r="AR13414" s="55">
        <v>28500</v>
      </c>
      <c r="AS13414" s="78">
        <f t="shared" si="213"/>
        <v>0</v>
      </c>
    </row>
    <row r="13415" spans="39:45">
      <c r="AM13415" s="55">
        <v>2020</v>
      </c>
      <c r="AN13415" s="55" t="s">
        <v>188</v>
      </c>
      <c r="AO13415" s="55">
        <v>12</v>
      </c>
      <c r="AP13415" s="55">
        <v>21</v>
      </c>
      <c r="AQ13415" s="55">
        <v>0</v>
      </c>
      <c r="AR13415" s="55">
        <v>28500</v>
      </c>
      <c r="AS13415" s="78">
        <f t="shared" si="213"/>
        <v>0</v>
      </c>
    </row>
    <row r="13416" spans="39:45">
      <c r="AM13416" s="54">
        <v>2020</v>
      </c>
      <c r="AN13416" s="54" t="s">
        <v>188</v>
      </c>
      <c r="AO13416" s="54">
        <v>12</v>
      </c>
      <c r="AP13416" s="54">
        <v>22</v>
      </c>
      <c r="AQ13416" s="54">
        <v>0</v>
      </c>
      <c r="AR13416" s="55">
        <v>28500</v>
      </c>
      <c r="AS13416" s="78">
        <f t="shared" si="213"/>
        <v>0</v>
      </c>
    </row>
    <row r="13417" spans="39:45">
      <c r="AM13417" s="55">
        <v>2020</v>
      </c>
      <c r="AN13417" s="55" t="s">
        <v>188</v>
      </c>
      <c r="AO13417" s="55">
        <v>12</v>
      </c>
      <c r="AP13417" s="55">
        <v>23</v>
      </c>
      <c r="AQ13417" s="55">
        <v>0</v>
      </c>
      <c r="AR13417" s="55">
        <v>28500</v>
      </c>
      <c r="AS13417" s="78">
        <f t="shared" si="213"/>
        <v>0</v>
      </c>
    </row>
    <row r="13418" spans="39:45">
      <c r="AM13418" s="54">
        <v>2020</v>
      </c>
      <c r="AN13418" s="54" t="s">
        <v>188</v>
      </c>
      <c r="AO13418" s="54">
        <v>13</v>
      </c>
      <c r="AP13418" s="54">
        <v>24</v>
      </c>
      <c r="AQ13418" s="54">
        <v>0</v>
      </c>
      <c r="AR13418" s="55">
        <v>28500</v>
      </c>
      <c r="AS13418" s="78">
        <f t="shared" si="213"/>
        <v>0</v>
      </c>
    </row>
    <row r="13419" spans="39:45">
      <c r="AM13419" s="55">
        <v>2020</v>
      </c>
      <c r="AN13419" s="55" t="s">
        <v>188</v>
      </c>
      <c r="AO13419" s="55">
        <v>13</v>
      </c>
      <c r="AP13419" s="55">
        <v>1</v>
      </c>
      <c r="AQ13419" s="55">
        <v>0</v>
      </c>
      <c r="AR13419" s="55">
        <v>28500</v>
      </c>
      <c r="AS13419" s="78">
        <f t="shared" si="213"/>
        <v>0</v>
      </c>
    </row>
    <row r="13420" spans="39:45">
      <c r="AM13420" s="54">
        <v>2020</v>
      </c>
      <c r="AN13420" s="54" t="s">
        <v>188</v>
      </c>
      <c r="AO13420" s="54">
        <v>13</v>
      </c>
      <c r="AP13420" s="54">
        <v>2</v>
      </c>
      <c r="AQ13420" s="54">
        <v>0</v>
      </c>
      <c r="AR13420" s="55">
        <v>28500</v>
      </c>
      <c r="AS13420" s="78">
        <f t="shared" si="213"/>
        <v>0</v>
      </c>
    </row>
    <row r="13421" spans="39:45">
      <c r="AM13421" s="55">
        <v>2020</v>
      </c>
      <c r="AN13421" s="55" t="s">
        <v>188</v>
      </c>
      <c r="AO13421" s="55">
        <v>13</v>
      </c>
      <c r="AP13421" s="55">
        <v>3</v>
      </c>
      <c r="AQ13421" s="55">
        <v>0</v>
      </c>
      <c r="AR13421" s="55">
        <v>28500</v>
      </c>
      <c r="AS13421" s="78">
        <f t="shared" si="213"/>
        <v>0</v>
      </c>
    </row>
    <row r="13422" spans="39:45">
      <c r="AM13422" s="54">
        <v>2020</v>
      </c>
      <c r="AN13422" s="54" t="s">
        <v>188</v>
      </c>
      <c r="AO13422" s="54">
        <v>13</v>
      </c>
      <c r="AP13422" s="54">
        <v>4</v>
      </c>
      <c r="AQ13422" s="54">
        <v>0</v>
      </c>
      <c r="AR13422" s="55">
        <v>28500</v>
      </c>
      <c r="AS13422" s="78">
        <f t="shared" si="213"/>
        <v>0</v>
      </c>
    </row>
    <row r="13423" spans="39:45">
      <c r="AM13423" s="55">
        <v>2020</v>
      </c>
      <c r="AN13423" s="55" t="s">
        <v>188</v>
      </c>
      <c r="AO13423" s="55">
        <v>13</v>
      </c>
      <c r="AP13423" s="55">
        <v>5</v>
      </c>
      <c r="AQ13423" s="55">
        <v>1440.5</v>
      </c>
      <c r="AR13423" s="55">
        <v>28500</v>
      </c>
      <c r="AS13423" s="78">
        <f t="shared" si="213"/>
        <v>5.0543859649122808E-2</v>
      </c>
    </row>
    <row r="13424" spans="39:45">
      <c r="AM13424" s="54">
        <v>2020</v>
      </c>
      <c r="AN13424" s="54" t="s">
        <v>188</v>
      </c>
      <c r="AO13424" s="54">
        <v>13</v>
      </c>
      <c r="AP13424" s="54">
        <v>6</v>
      </c>
      <c r="AQ13424" s="54">
        <v>3881</v>
      </c>
      <c r="AR13424" s="55">
        <v>28500</v>
      </c>
      <c r="AS13424" s="78">
        <f t="shared" si="213"/>
        <v>0.13617543859649123</v>
      </c>
    </row>
    <row r="13425" spans="39:45">
      <c r="AM13425" s="55">
        <v>2020</v>
      </c>
      <c r="AN13425" s="55" t="s">
        <v>188</v>
      </c>
      <c r="AO13425" s="55">
        <v>13</v>
      </c>
      <c r="AP13425" s="55">
        <v>7</v>
      </c>
      <c r="AQ13425" s="55">
        <v>11240</v>
      </c>
      <c r="AR13425" s="55">
        <v>28500</v>
      </c>
      <c r="AS13425" s="78">
        <f t="shared" si="213"/>
        <v>0.39438596491228073</v>
      </c>
    </row>
    <row r="13426" spans="39:45">
      <c r="AM13426" s="54">
        <v>2020</v>
      </c>
      <c r="AN13426" s="54" t="s">
        <v>188</v>
      </c>
      <c r="AO13426" s="54">
        <v>13</v>
      </c>
      <c r="AP13426" s="54">
        <v>8</v>
      </c>
      <c r="AQ13426" s="54">
        <v>21510</v>
      </c>
      <c r="AR13426" s="55">
        <v>28500</v>
      </c>
      <c r="AS13426" s="78">
        <f t="shared" si="213"/>
        <v>0.75473684210526315</v>
      </c>
    </row>
    <row r="13427" spans="39:45">
      <c r="AM13427" s="55">
        <v>2020</v>
      </c>
      <c r="AN13427" s="55" t="s">
        <v>188</v>
      </c>
      <c r="AO13427" s="55">
        <v>13</v>
      </c>
      <c r="AP13427" s="55">
        <v>9</v>
      </c>
      <c r="AQ13427" s="55">
        <v>29470</v>
      </c>
      <c r="AR13427" s="55">
        <v>28500</v>
      </c>
      <c r="AS13427" s="78">
        <f t="shared" si="213"/>
        <v>1.0340350877192983</v>
      </c>
    </row>
    <row r="13428" spans="39:45">
      <c r="AM13428" s="54">
        <v>2020</v>
      </c>
      <c r="AN13428" s="54" t="s">
        <v>188</v>
      </c>
      <c r="AO13428" s="54">
        <v>13</v>
      </c>
      <c r="AP13428" s="54">
        <v>10</v>
      </c>
      <c r="AQ13428" s="54">
        <v>35326.5</v>
      </c>
      <c r="AR13428" s="55">
        <v>28500</v>
      </c>
      <c r="AS13428" s="78">
        <f t="shared" si="213"/>
        <v>1.2395263157894736</v>
      </c>
    </row>
    <row r="13429" spans="39:45">
      <c r="AM13429" s="55">
        <v>2020</v>
      </c>
      <c r="AN13429" s="55" t="s">
        <v>188</v>
      </c>
      <c r="AO13429" s="55">
        <v>13</v>
      </c>
      <c r="AP13429" s="55">
        <v>11</v>
      </c>
      <c r="AQ13429" s="55">
        <v>38530.5</v>
      </c>
      <c r="AR13429" s="55">
        <v>28500</v>
      </c>
      <c r="AS13429" s="78">
        <f t="shared" si="213"/>
        <v>1.3519473684210526</v>
      </c>
    </row>
    <row r="13430" spans="39:45">
      <c r="AM13430" s="54">
        <v>2020</v>
      </c>
      <c r="AN13430" s="54" t="s">
        <v>188</v>
      </c>
      <c r="AO13430" s="54">
        <v>13</v>
      </c>
      <c r="AP13430" s="54">
        <v>12</v>
      </c>
      <c r="AQ13430" s="54">
        <v>36026</v>
      </c>
      <c r="AR13430" s="55">
        <v>28500</v>
      </c>
      <c r="AS13430" s="78">
        <f t="shared" si="213"/>
        <v>1.2640701754385966</v>
      </c>
    </row>
    <row r="13431" spans="39:45">
      <c r="AM13431" s="55">
        <v>2020</v>
      </c>
      <c r="AN13431" s="55" t="s">
        <v>188</v>
      </c>
      <c r="AO13431" s="55">
        <v>13</v>
      </c>
      <c r="AP13431" s="55">
        <v>13</v>
      </c>
      <c r="AQ13431" s="55">
        <v>36797.5</v>
      </c>
      <c r="AR13431" s="55">
        <v>28500</v>
      </c>
      <c r="AS13431" s="78">
        <f t="shared" si="213"/>
        <v>1.291140350877193</v>
      </c>
    </row>
    <row r="13432" spans="39:45">
      <c r="AM13432" s="54">
        <v>2020</v>
      </c>
      <c r="AN13432" s="54" t="s">
        <v>188</v>
      </c>
      <c r="AO13432" s="54">
        <v>13</v>
      </c>
      <c r="AP13432" s="54">
        <v>14</v>
      </c>
      <c r="AQ13432" s="54">
        <v>22527.5</v>
      </c>
      <c r="AR13432" s="55">
        <v>28500</v>
      </c>
      <c r="AS13432" s="78">
        <f t="shared" si="213"/>
        <v>0.79043859649122805</v>
      </c>
    </row>
    <row r="13433" spans="39:45">
      <c r="AM13433" s="55">
        <v>2020</v>
      </c>
      <c r="AN13433" s="55" t="s">
        <v>188</v>
      </c>
      <c r="AO13433" s="55">
        <v>13</v>
      </c>
      <c r="AP13433" s="55">
        <v>15</v>
      </c>
      <c r="AQ13433" s="55">
        <v>22541.5</v>
      </c>
      <c r="AR13433" s="55">
        <v>28500</v>
      </c>
      <c r="AS13433" s="78">
        <f t="shared" si="213"/>
        <v>0.79092982456140348</v>
      </c>
    </row>
    <row r="13434" spans="39:45">
      <c r="AM13434" s="54">
        <v>2020</v>
      </c>
      <c r="AN13434" s="54" t="s">
        <v>188</v>
      </c>
      <c r="AO13434" s="54">
        <v>13</v>
      </c>
      <c r="AP13434" s="54">
        <v>16</v>
      </c>
      <c r="AQ13434" s="54">
        <v>19162.5</v>
      </c>
      <c r="AR13434" s="55">
        <v>28500</v>
      </c>
      <c r="AS13434" s="78">
        <f t="shared" si="213"/>
        <v>0.67236842105263162</v>
      </c>
    </row>
    <row r="13435" spans="39:45">
      <c r="AM13435" s="55">
        <v>2020</v>
      </c>
      <c r="AN13435" s="55" t="s">
        <v>188</v>
      </c>
      <c r="AO13435" s="55">
        <v>13</v>
      </c>
      <c r="AP13435" s="55">
        <v>17</v>
      </c>
      <c r="AQ13435" s="55">
        <v>9636.5</v>
      </c>
      <c r="AR13435" s="55">
        <v>28500</v>
      </c>
      <c r="AS13435" s="78">
        <f t="shared" si="213"/>
        <v>0.33812280701754388</v>
      </c>
    </row>
    <row r="13436" spans="39:45">
      <c r="AM13436" s="54">
        <v>2020</v>
      </c>
      <c r="AN13436" s="54" t="s">
        <v>188</v>
      </c>
      <c r="AO13436" s="54">
        <v>13</v>
      </c>
      <c r="AP13436" s="54">
        <v>18</v>
      </c>
      <c r="AQ13436" s="54">
        <v>3203.5</v>
      </c>
      <c r="AR13436" s="55">
        <v>28500</v>
      </c>
      <c r="AS13436" s="78">
        <f t="shared" si="213"/>
        <v>0.11240350877192982</v>
      </c>
    </row>
    <row r="13437" spans="39:45">
      <c r="AM13437" s="55">
        <v>2020</v>
      </c>
      <c r="AN13437" s="55" t="s">
        <v>188</v>
      </c>
      <c r="AO13437" s="55">
        <v>13</v>
      </c>
      <c r="AP13437" s="55">
        <v>19</v>
      </c>
      <c r="AQ13437" s="55">
        <v>2.5</v>
      </c>
      <c r="AR13437" s="55">
        <v>28500</v>
      </c>
      <c r="AS13437" s="78">
        <f t="shared" si="213"/>
        <v>8.7719298245614029E-5</v>
      </c>
    </row>
    <row r="13438" spans="39:45">
      <c r="AM13438" s="54">
        <v>2020</v>
      </c>
      <c r="AN13438" s="54" t="s">
        <v>188</v>
      </c>
      <c r="AO13438" s="54">
        <v>13</v>
      </c>
      <c r="AP13438" s="54">
        <v>20</v>
      </c>
      <c r="AQ13438" s="54">
        <v>0</v>
      </c>
      <c r="AR13438" s="55">
        <v>28500</v>
      </c>
      <c r="AS13438" s="78">
        <f t="shared" si="213"/>
        <v>0</v>
      </c>
    </row>
    <row r="13439" spans="39:45">
      <c r="AM13439" s="55">
        <v>2020</v>
      </c>
      <c r="AN13439" s="55" t="s">
        <v>188</v>
      </c>
      <c r="AO13439" s="55">
        <v>13</v>
      </c>
      <c r="AP13439" s="55">
        <v>21</v>
      </c>
      <c r="AQ13439" s="55">
        <v>0</v>
      </c>
      <c r="AR13439" s="55">
        <v>28500</v>
      </c>
      <c r="AS13439" s="78">
        <f t="shared" si="213"/>
        <v>0</v>
      </c>
    </row>
    <row r="13440" spans="39:45">
      <c r="AM13440" s="54">
        <v>2020</v>
      </c>
      <c r="AN13440" s="54" t="s">
        <v>188</v>
      </c>
      <c r="AO13440" s="54">
        <v>13</v>
      </c>
      <c r="AP13440" s="54">
        <v>22</v>
      </c>
      <c r="AQ13440" s="54">
        <v>0</v>
      </c>
      <c r="AR13440" s="55">
        <v>28500</v>
      </c>
      <c r="AS13440" s="78">
        <f t="shared" si="213"/>
        <v>0</v>
      </c>
    </row>
    <row r="13441" spans="39:45">
      <c r="AM13441" s="55">
        <v>2020</v>
      </c>
      <c r="AN13441" s="55" t="s">
        <v>188</v>
      </c>
      <c r="AO13441" s="55">
        <v>13</v>
      </c>
      <c r="AP13441" s="55">
        <v>23</v>
      </c>
      <c r="AQ13441" s="55">
        <v>0</v>
      </c>
      <c r="AR13441" s="55">
        <v>28500</v>
      </c>
      <c r="AS13441" s="78">
        <f t="shared" si="213"/>
        <v>0</v>
      </c>
    </row>
    <row r="13442" spans="39:45">
      <c r="AM13442" s="54">
        <v>2020</v>
      </c>
      <c r="AN13442" s="54" t="s">
        <v>188</v>
      </c>
      <c r="AO13442" s="54">
        <v>14</v>
      </c>
      <c r="AP13442" s="54">
        <v>24</v>
      </c>
      <c r="AQ13442" s="54">
        <v>0</v>
      </c>
      <c r="AR13442" s="55">
        <v>28500</v>
      </c>
      <c r="AS13442" s="78">
        <f t="shared" ref="AS13442:AS13505" si="214">AQ13442/AR13442</f>
        <v>0</v>
      </c>
    </row>
    <row r="13443" spans="39:45">
      <c r="AM13443" s="55">
        <v>2020</v>
      </c>
      <c r="AN13443" s="55" t="s">
        <v>188</v>
      </c>
      <c r="AO13443" s="55">
        <v>14</v>
      </c>
      <c r="AP13443" s="55">
        <v>1</v>
      </c>
      <c r="AQ13443" s="55">
        <v>0</v>
      </c>
      <c r="AR13443" s="55">
        <v>28500</v>
      </c>
      <c r="AS13443" s="78">
        <f t="shared" si="214"/>
        <v>0</v>
      </c>
    </row>
    <row r="13444" spans="39:45">
      <c r="AM13444" s="54">
        <v>2020</v>
      </c>
      <c r="AN13444" s="54" t="s">
        <v>188</v>
      </c>
      <c r="AO13444" s="54">
        <v>14</v>
      </c>
      <c r="AP13444" s="54">
        <v>2</v>
      </c>
      <c r="AQ13444" s="54">
        <v>0</v>
      </c>
      <c r="AR13444" s="55">
        <v>28500</v>
      </c>
      <c r="AS13444" s="78">
        <f t="shared" si="214"/>
        <v>0</v>
      </c>
    </row>
    <row r="13445" spans="39:45">
      <c r="AM13445" s="55">
        <v>2020</v>
      </c>
      <c r="AN13445" s="55" t="s">
        <v>188</v>
      </c>
      <c r="AO13445" s="55">
        <v>14</v>
      </c>
      <c r="AP13445" s="55">
        <v>3</v>
      </c>
      <c r="AQ13445" s="55">
        <v>0</v>
      </c>
      <c r="AR13445" s="55">
        <v>28500</v>
      </c>
      <c r="AS13445" s="78">
        <f t="shared" si="214"/>
        <v>0</v>
      </c>
    </row>
    <row r="13446" spans="39:45">
      <c r="AM13446" s="54">
        <v>2020</v>
      </c>
      <c r="AN13446" s="54" t="s">
        <v>188</v>
      </c>
      <c r="AO13446" s="54">
        <v>14</v>
      </c>
      <c r="AP13446" s="54">
        <v>4</v>
      </c>
      <c r="AQ13446" s="54">
        <v>0</v>
      </c>
      <c r="AR13446" s="55">
        <v>28500</v>
      </c>
      <c r="AS13446" s="78">
        <f t="shared" si="214"/>
        <v>0</v>
      </c>
    </row>
    <row r="13447" spans="39:45">
      <c r="AM13447" s="55">
        <v>2020</v>
      </c>
      <c r="AN13447" s="55" t="s">
        <v>188</v>
      </c>
      <c r="AO13447" s="55">
        <v>14</v>
      </c>
      <c r="AP13447" s="55">
        <v>5</v>
      </c>
      <c r="AQ13447" s="55">
        <v>281</v>
      </c>
      <c r="AR13447" s="55">
        <v>28500</v>
      </c>
      <c r="AS13447" s="78">
        <f t="shared" si="214"/>
        <v>9.8596491228070179E-3</v>
      </c>
    </row>
    <row r="13448" spans="39:45">
      <c r="AM13448" s="54">
        <v>2020</v>
      </c>
      <c r="AN13448" s="54" t="s">
        <v>188</v>
      </c>
      <c r="AO13448" s="54">
        <v>14</v>
      </c>
      <c r="AP13448" s="54">
        <v>6</v>
      </c>
      <c r="AQ13448" s="54">
        <v>3777</v>
      </c>
      <c r="AR13448" s="55">
        <v>28500</v>
      </c>
      <c r="AS13448" s="78">
        <f t="shared" si="214"/>
        <v>0.13252631578947369</v>
      </c>
    </row>
    <row r="13449" spans="39:45">
      <c r="AM13449" s="55">
        <v>2020</v>
      </c>
      <c r="AN13449" s="55" t="s">
        <v>188</v>
      </c>
      <c r="AO13449" s="55">
        <v>14</v>
      </c>
      <c r="AP13449" s="55">
        <v>7</v>
      </c>
      <c r="AQ13449" s="55">
        <v>9182</v>
      </c>
      <c r="AR13449" s="55">
        <v>28500</v>
      </c>
      <c r="AS13449" s="78">
        <f t="shared" si="214"/>
        <v>0.32217543859649123</v>
      </c>
    </row>
    <row r="13450" spans="39:45">
      <c r="AM13450" s="54">
        <v>2020</v>
      </c>
      <c r="AN13450" s="54" t="s">
        <v>188</v>
      </c>
      <c r="AO13450" s="54">
        <v>14</v>
      </c>
      <c r="AP13450" s="54">
        <v>8</v>
      </c>
      <c r="AQ13450" s="54">
        <v>16270.5</v>
      </c>
      <c r="AR13450" s="55">
        <v>28500</v>
      </c>
      <c r="AS13450" s="78">
        <f t="shared" si="214"/>
        <v>0.57089473684210523</v>
      </c>
    </row>
    <row r="13451" spans="39:45">
      <c r="AM13451" s="55">
        <v>2020</v>
      </c>
      <c r="AN13451" s="55" t="s">
        <v>188</v>
      </c>
      <c r="AO13451" s="55">
        <v>14</v>
      </c>
      <c r="AP13451" s="55">
        <v>9</v>
      </c>
      <c r="AQ13451" s="55">
        <v>25109</v>
      </c>
      <c r="AR13451" s="55">
        <v>28500</v>
      </c>
      <c r="AS13451" s="78">
        <f t="shared" si="214"/>
        <v>0.88101754385964914</v>
      </c>
    </row>
    <row r="13452" spans="39:45">
      <c r="AM13452" s="54">
        <v>2020</v>
      </c>
      <c r="AN13452" s="54" t="s">
        <v>188</v>
      </c>
      <c r="AO13452" s="54">
        <v>14</v>
      </c>
      <c r="AP13452" s="54">
        <v>10</v>
      </c>
      <c r="AQ13452" s="54">
        <v>13175</v>
      </c>
      <c r="AR13452" s="55">
        <v>28500</v>
      </c>
      <c r="AS13452" s="78">
        <f t="shared" si="214"/>
        <v>0.46228070175438596</v>
      </c>
    </row>
    <row r="13453" spans="39:45">
      <c r="AM13453" s="55">
        <v>2020</v>
      </c>
      <c r="AN13453" s="55" t="s">
        <v>188</v>
      </c>
      <c r="AO13453" s="55">
        <v>14</v>
      </c>
      <c r="AP13453" s="55">
        <v>11</v>
      </c>
      <c r="AQ13453" s="55">
        <v>10785.5</v>
      </c>
      <c r="AR13453" s="55">
        <v>28500</v>
      </c>
      <c r="AS13453" s="78">
        <f t="shared" si="214"/>
        <v>0.37843859649122807</v>
      </c>
    </row>
    <row r="13454" spans="39:45">
      <c r="AM13454" s="54">
        <v>2020</v>
      </c>
      <c r="AN13454" s="54" t="s">
        <v>188</v>
      </c>
      <c r="AO13454" s="54">
        <v>14</v>
      </c>
      <c r="AP13454" s="54">
        <v>12</v>
      </c>
      <c r="AQ13454" s="54">
        <v>16210.5</v>
      </c>
      <c r="AR13454" s="55">
        <v>28500</v>
      </c>
      <c r="AS13454" s="78">
        <f t="shared" si="214"/>
        <v>0.56878947368421051</v>
      </c>
    </row>
    <row r="13455" spans="39:45">
      <c r="AM13455" s="55">
        <v>2020</v>
      </c>
      <c r="AN13455" s="55" t="s">
        <v>188</v>
      </c>
      <c r="AO13455" s="55">
        <v>14</v>
      </c>
      <c r="AP13455" s="55">
        <v>13</v>
      </c>
      <c r="AQ13455" s="55">
        <v>17313</v>
      </c>
      <c r="AR13455" s="55">
        <v>28500</v>
      </c>
      <c r="AS13455" s="78">
        <f t="shared" si="214"/>
        <v>0.60747368421052628</v>
      </c>
    </row>
    <row r="13456" spans="39:45">
      <c r="AM13456" s="54">
        <v>2020</v>
      </c>
      <c r="AN13456" s="54" t="s">
        <v>188</v>
      </c>
      <c r="AO13456" s="54">
        <v>14</v>
      </c>
      <c r="AP13456" s="54">
        <v>14</v>
      </c>
      <c r="AQ13456" s="54">
        <v>11637</v>
      </c>
      <c r="AR13456" s="55">
        <v>28500</v>
      </c>
      <c r="AS13456" s="78">
        <f t="shared" si="214"/>
        <v>0.40831578947368419</v>
      </c>
    </row>
    <row r="13457" spans="39:45">
      <c r="AM13457" s="55">
        <v>2020</v>
      </c>
      <c r="AN13457" s="55" t="s">
        <v>188</v>
      </c>
      <c r="AO13457" s="55">
        <v>14</v>
      </c>
      <c r="AP13457" s="55">
        <v>15</v>
      </c>
      <c r="AQ13457" s="55">
        <v>6245</v>
      </c>
      <c r="AR13457" s="55">
        <v>28500</v>
      </c>
      <c r="AS13457" s="78">
        <f t="shared" si="214"/>
        <v>0.21912280701754386</v>
      </c>
    </row>
    <row r="13458" spans="39:45">
      <c r="AM13458" s="54">
        <v>2020</v>
      </c>
      <c r="AN13458" s="54" t="s">
        <v>188</v>
      </c>
      <c r="AO13458" s="54">
        <v>14</v>
      </c>
      <c r="AP13458" s="54">
        <v>16</v>
      </c>
      <c r="AQ13458" s="54">
        <v>9461</v>
      </c>
      <c r="AR13458" s="55">
        <v>28500</v>
      </c>
      <c r="AS13458" s="78">
        <f t="shared" si="214"/>
        <v>0.33196491228070174</v>
      </c>
    </row>
    <row r="13459" spans="39:45">
      <c r="AM13459" s="55">
        <v>2020</v>
      </c>
      <c r="AN13459" s="55" t="s">
        <v>188</v>
      </c>
      <c r="AO13459" s="55">
        <v>14</v>
      </c>
      <c r="AP13459" s="55">
        <v>17</v>
      </c>
      <c r="AQ13459" s="55">
        <v>6813.5</v>
      </c>
      <c r="AR13459" s="55">
        <v>28500</v>
      </c>
      <c r="AS13459" s="78">
        <f t="shared" si="214"/>
        <v>0.23907017543859649</v>
      </c>
    </row>
    <row r="13460" spans="39:45">
      <c r="AM13460" s="54">
        <v>2020</v>
      </c>
      <c r="AN13460" s="54" t="s">
        <v>188</v>
      </c>
      <c r="AO13460" s="54">
        <v>14</v>
      </c>
      <c r="AP13460" s="54">
        <v>18</v>
      </c>
      <c r="AQ13460" s="54">
        <v>896.5</v>
      </c>
      <c r="AR13460" s="55">
        <v>28500</v>
      </c>
      <c r="AS13460" s="78">
        <f t="shared" si="214"/>
        <v>3.1456140350877196E-2</v>
      </c>
    </row>
    <row r="13461" spans="39:45">
      <c r="AM13461" s="55">
        <v>2020</v>
      </c>
      <c r="AN13461" s="55" t="s">
        <v>188</v>
      </c>
      <c r="AO13461" s="55">
        <v>14</v>
      </c>
      <c r="AP13461" s="55">
        <v>19</v>
      </c>
      <c r="AQ13461" s="55">
        <v>3</v>
      </c>
      <c r="AR13461" s="55">
        <v>28500</v>
      </c>
      <c r="AS13461" s="78">
        <f t="shared" si="214"/>
        <v>1.0526315789473685E-4</v>
      </c>
    </row>
    <row r="13462" spans="39:45">
      <c r="AM13462" s="54">
        <v>2020</v>
      </c>
      <c r="AN13462" s="54" t="s">
        <v>188</v>
      </c>
      <c r="AO13462" s="54">
        <v>14</v>
      </c>
      <c r="AP13462" s="54">
        <v>20</v>
      </c>
      <c r="AQ13462" s="54">
        <v>0</v>
      </c>
      <c r="AR13462" s="55">
        <v>28500</v>
      </c>
      <c r="AS13462" s="78">
        <f t="shared" si="214"/>
        <v>0</v>
      </c>
    </row>
    <row r="13463" spans="39:45">
      <c r="AM13463" s="55">
        <v>2020</v>
      </c>
      <c r="AN13463" s="55" t="s">
        <v>188</v>
      </c>
      <c r="AO13463" s="55">
        <v>14</v>
      </c>
      <c r="AP13463" s="55">
        <v>21</v>
      </c>
      <c r="AQ13463" s="55">
        <v>0</v>
      </c>
      <c r="AR13463" s="55">
        <v>28500</v>
      </c>
      <c r="AS13463" s="78">
        <f t="shared" si="214"/>
        <v>0</v>
      </c>
    </row>
    <row r="13464" spans="39:45">
      <c r="AM13464" s="54">
        <v>2020</v>
      </c>
      <c r="AN13464" s="54" t="s">
        <v>188</v>
      </c>
      <c r="AO13464" s="54">
        <v>14</v>
      </c>
      <c r="AP13464" s="54">
        <v>22</v>
      </c>
      <c r="AQ13464" s="54">
        <v>0</v>
      </c>
      <c r="AR13464" s="55">
        <v>28500</v>
      </c>
      <c r="AS13464" s="78">
        <f t="shared" si="214"/>
        <v>0</v>
      </c>
    </row>
    <row r="13465" spans="39:45">
      <c r="AM13465" s="55">
        <v>2020</v>
      </c>
      <c r="AN13465" s="55" t="s">
        <v>188</v>
      </c>
      <c r="AO13465" s="55">
        <v>14</v>
      </c>
      <c r="AP13465" s="55">
        <v>23</v>
      </c>
      <c r="AQ13465" s="55">
        <v>0</v>
      </c>
      <c r="AR13465" s="55">
        <v>28500</v>
      </c>
      <c r="AS13465" s="78">
        <f t="shared" si="214"/>
        <v>0</v>
      </c>
    </row>
    <row r="13466" spans="39:45">
      <c r="AM13466" s="54">
        <v>2020</v>
      </c>
      <c r="AN13466" s="54" t="s">
        <v>188</v>
      </c>
      <c r="AO13466" s="54">
        <v>15</v>
      </c>
      <c r="AP13466" s="54">
        <v>24</v>
      </c>
      <c r="AQ13466" s="54">
        <v>0</v>
      </c>
      <c r="AR13466" s="55">
        <v>28500</v>
      </c>
      <c r="AS13466" s="78">
        <f t="shared" si="214"/>
        <v>0</v>
      </c>
    </row>
    <row r="13467" spans="39:45">
      <c r="AM13467" s="55">
        <v>2020</v>
      </c>
      <c r="AN13467" s="55" t="s">
        <v>188</v>
      </c>
      <c r="AO13467" s="55">
        <v>15</v>
      </c>
      <c r="AP13467" s="55">
        <v>1</v>
      </c>
      <c r="AQ13467" s="55">
        <v>0</v>
      </c>
      <c r="AR13467" s="55">
        <v>28500</v>
      </c>
      <c r="AS13467" s="78">
        <f t="shared" si="214"/>
        <v>0</v>
      </c>
    </row>
    <row r="13468" spans="39:45">
      <c r="AM13468" s="54">
        <v>2020</v>
      </c>
      <c r="AN13468" s="54" t="s">
        <v>188</v>
      </c>
      <c r="AO13468" s="54">
        <v>15</v>
      </c>
      <c r="AP13468" s="54">
        <v>2</v>
      </c>
      <c r="AQ13468" s="54">
        <v>0</v>
      </c>
      <c r="AR13468" s="55">
        <v>28500</v>
      </c>
      <c r="AS13468" s="78">
        <f t="shared" si="214"/>
        <v>0</v>
      </c>
    </row>
    <row r="13469" spans="39:45">
      <c r="AM13469" s="55">
        <v>2020</v>
      </c>
      <c r="AN13469" s="55" t="s">
        <v>188</v>
      </c>
      <c r="AO13469" s="55">
        <v>15</v>
      </c>
      <c r="AP13469" s="55">
        <v>3</v>
      </c>
      <c r="AQ13469" s="55">
        <v>0</v>
      </c>
      <c r="AR13469" s="55">
        <v>28500</v>
      </c>
      <c r="AS13469" s="78">
        <f t="shared" si="214"/>
        <v>0</v>
      </c>
    </row>
    <row r="13470" spans="39:45">
      <c r="AM13470" s="54">
        <v>2020</v>
      </c>
      <c r="AN13470" s="54" t="s">
        <v>188</v>
      </c>
      <c r="AO13470" s="54">
        <v>15</v>
      </c>
      <c r="AP13470" s="54">
        <v>4</v>
      </c>
      <c r="AQ13470" s="54">
        <v>0</v>
      </c>
      <c r="AR13470" s="55">
        <v>28500</v>
      </c>
      <c r="AS13470" s="78">
        <f t="shared" si="214"/>
        <v>0</v>
      </c>
    </row>
    <row r="13471" spans="39:45">
      <c r="AM13471" s="55">
        <v>2020</v>
      </c>
      <c r="AN13471" s="55" t="s">
        <v>188</v>
      </c>
      <c r="AO13471" s="55">
        <v>15</v>
      </c>
      <c r="AP13471" s="55">
        <v>5</v>
      </c>
      <c r="AQ13471" s="55">
        <v>1266.5</v>
      </c>
      <c r="AR13471" s="55">
        <v>28500</v>
      </c>
      <c r="AS13471" s="78">
        <f t="shared" si="214"/>
        <v>4.4438596491228069E-2</v>
      </c>
    </row>
    <row r="13472" spans="39:45">
      <c r="AM13472" s="54">
        <v>2020</v>
      </c>
      <c r="AN13472" s="54" t="s">
        <v>188</v>
      </c>
      <c r="AO13472" s="54">
        <v>15</v>
      </c>
      <c r="AP13472" s="54">
        <v>6</v>
      </c>
      <c r="AQ13472" s="54">
        <v>4090</v>
      </c>
      <c r="AR13472" s="55">
        <v>28500</v>
      </c>
      <c r="AS13472" s="78">
        <f t="shared" si="214"/>
        <v>0.14350877192982456</v>
      </c>
    </row>
    <row r="13473" spans="39:45">
      <c r="AM13473" s="55">
        <v>2020</v>
      </c>
      <c r="AN13473" s="55" t="s">
        <v>188</v>
      </c>
      <c r="AO13473" s="55">
        <v>15</v>
      </c>
      <c r="AP13473" s="55">
        <v>7</v>
      </c>
      <c r="AQ13473" s="55">
        <v>10868</v>
      </c>
      <c r="AR13473" s="55">
        <v>28500</v>
      </c>
      <c r="AS13473" s="78">
        <f t="shared" si="214"/>
        <v>0.38133333333333336</v>
      </c>
    </row>
    <row r="13474" spans="39:45">
      <c r="AM13474" s="54">
        <v>2020</v>
      </c>
      <c r="AN13474" s="54" t="s">
        <v>188</v>
      </c>
      <c r="AO13474" s="54">
        <v>15</v>
      </c>
      <c r="AP13474" s="54">
        <v>8</v>
      </c>
      <c r="AQ13474" s="54">
        <v>19599</v>
      </c>
      <c r="AR13474" s="55">
        <v>28500</v>
      </c>
      <c r="AS13474" s="78">
        <f t="shared" si="214"/>
        <v>0.68768421052631579</v>
      </c>
    </row>
    <row r="13475" spans="39:45">
      <c r="AM13475" s="55">
        <v>2020</v>
      </c>
      <c r="AN13475" s="55" t="s">
        <v>188</v>
      </c>
      <c r="AO13475" s="55">
        <v>15</v>
      </c>
      <c r="AP13475" s="55">
        <v>9</v>
      </c>
      <c r="AQ13475" s="55">
        <v>18183</v>
      </c>
      <c r="AR13475" s="55">
        <v>28500</v>
      </c>
      <c r="AS13475" s="78">
        <f t="shared" si="214"/>
        <v>0.63800000000000001</v>
      </c>
    </row>
    <row r="13476" spans="39:45">
      <c r="AM13476" s="54">
        <v>2020</v>
      </c>
      <c r="AN13476" s="54" t="s">
        <v>188</v>
      </c>
      <c r="AO13476" s="54">
        <v>15</v>
      </c>
      <c r="AP13476" s="54">
        <v>10</v>
      </c>
      <c r="AQ13476" s="54">
        <v>15328.5</v>
      </c>
      <c r="AR13476" s="55">
        <v>28500</v>
      </c>
      <c r="AS13476" s="78">
        <f t="shared" si="214"/>
        <v>0.5378421052631579</v>
      </c>
    </row>
    <row r="13477" spans="39:45">
      <c r="AM13477" s="55">
        <v>2020</v>
      </c>
      <c r="AN13477" s="55" t="s">
        <v>188</v>
      </c>
      <c r="AO13477" s="55">
        <v>15</v>
      </c>
      <c r="AP13477" s="55">
        <v>11</v>
      </c>
      <c r="AQ13477" s="55">
        <v>16753</v>
      </c>
      <c r="AR13477" s="55">
        <v>28500</v>
      </c>
      <c r="AS13477" s="78">
        <f t="shared" si="214"/>
        <v>0.58782456140350881</v>
      </c>
    </row>
    <row r="13478" spans="39:45">
      <c r="AM13478" s="54">
        <v>2020</v>
      </c>
      <c r="AN13478" s="54" t="s">
        <v>188</v>
      </c>
      <c r="AO13478" s="54">
        <v>15</v>
      </c>
      <c r="AP13478" s="54">
        <v>12</v>
      </c>
      <c r="AQ13478" s="54">
        <v>6949</v>
      </c>
      <c r="AR13478" s="55">
        <v>28500</v>
      </c>
      <c r="AS13478" s="78">
        <f t="shared" si="214"/>
        <v>0.24382456140350878</v>
      </c>
    </row>
    <row r="13479" spans="39:45">
      <c r="AM13479" s="55">
        <v>2020</v>
      </c>
      <c r="AN13479" s="55" t="s">
        <v>188</v>
      </c>
      <c r="AO13479" s="55">
        <v>15</v>
      </c>
      <c r="AP13479" s="55">
        <v>13</v>
      </c>
      <c r="AQ13479" s="55">
        <v>11555</v>
      </c>
      <c r="AR13479" s="55">
        <v>28500</v>
      </c>
      <c r="AS13479" s="78">
        <f t="shared" si="214"/>
        <v>0.40543859649122804</v>
      </c>
    </row>
    <row r="13480" spans="39:45">
      <c r="AM13480" s="54">
        <v>2020</v>
      </c>
      <c r="AN13480" s="54" t="s">
        <v>188</v>
      </c>
      <c r="AO13480" s="54">
        <v>15</v>
      </c>
      <c r="AP13480" s="54">
        <v>14</v>
      </c>
      <c r="AQ13480" s="54">
        <v>5903</v>
      </c>
      <c r="AR13480" s="55">
        <v>28500</v>
      </c>
      <c r="AS13480" s="78">
        <f t="shared" si="214"/>
        <v>0.20712280701754385</v>
      </c>
    </row>
    <row r="13481" spans="39:45">
      <c r="AM13481" s="55">
        <v>2020</v>
      </c>
      <c r="AN13481" s="55" t="s">
        <v>188</v>
      </c>
      <c r="AO13481" s="55">
        <v>15</v>
      </c>
      <c r="AP13481" s="55">
        <v>15</v>
      </c>
      <c r="AQ13481" s="55">
        <v>4098</v>
      </c>
      <c r="AR13481" s="55">
        <v>28500</v>
      </c>
      <c r="AS13481" s="78">
        <f t="shared" si="214"/>
        <v>0.14378947368421052</v>
      </c>
    </row>
    <row r="13482" spans="39:45">
      <c r="AM13482" s="54">
        <v>2020</v>
      </c>
      <c r="AN13482" s="54" t="s">
        <v>188</v>
      </c>
      <c r="AO13482" s="54">
        <v>15</v>
      </c>
      <c r="AP13482" s="54">
        <v>16</v>
      </c>
      <c r="AQ13482" s="54">
        <v>3004.5</v>
      </c>
      <c r="AR13482" s="55">
        <v>28500</v>
      </c>
      <c r="AS13482" s="78">
        <f t="shared" si="214"/>
        <v>0.10542105263157894</v>
      </c>
    </row>
    <row r="13483" spans="39:45">
      <c r="AM13483" s="55">
        <v>2020</v>
      </c>
      <c r="AN13483" s="55" t="s">
        <v>188</v>
      </c>
      <c r="AO13483" s="55">
        <v>15</v>
      </c>
      <c r="AP13483" s="55">
        <v>17</v>
      </c>
      <c r="AQ13483" s="55">
        <v>1797.5</v>
      </c>
      <c r="AR13483" s="55">
        <v>28500</v>
      </c>
      <c r="AS13483" s="78">
        <f t="shared" si="214"/>
        <v>6.3070175438596485E-2</v>
      </c>
    </row>
    <row r="13484" spans="39:45">
      <c r="AM13484" s="54">
        <v>2020</v>
      </c>
      <c r="AN13484" s="54" t="s">
        <v>188</v>
      </c>
      <c r="AO13484" s="54">
        <v>15</v>
      </c>
      <c r="AP13484" s="54">
        <v>18</v>
      </c>
      <c r="AQ13484" s="54">
        <v>1376</v>
      </c>
      <c r="AR13484" s="55">
        <v>28500</v>
      </c>
      <c r="AS13484" s="78">
        <f t="shared" si="214"/>
        <v>4.8280701754385966E-2</v>
      </c>
    </row>
    <row r="13485" spans="39:45">
      <c r="AM13485" s="55">
        <v>2020</v>
      </c>
      <c r="AN13485" s="55" t="s">
        <v>188</v>
      </c>
      <c r="AO13485" s="55">
        <v>15</v>
      </c>
      <c r="AP13485" s="55">
        <v>19</v>
      </c>
      <c r="AQ13485" s="55">
        <v>54</v>
      </c>
      <c r="AR13485" s="55">
        <v>28500</v>
      </c>
      <c r="AS13485" s="78">
        <f t="shared" si="214"/>
        <v>1.8947368421052631E-3</v>
      </c>
    </row>
    <row r="13486" spans="39:45">
      <c r="AM13486" s="54">
        <v>2020</v>
      </c>
      <c r="AN13486" s="54" t="s">
        <v>188</v>
      </c>
      <c r="AO13486" s="54">
        <v>15</v>
      </c>
      <c r="AP13486" s="54">
        <v>20</v>
      </c>
      <c r="AQ13486" s="54">
        <v>0</v>
      </c>
      <c r="AR13486" s="55">
        <v>28500</v>
      </c>
      <c r="AS13486" s="78">
        <f t="shared" si="214"/>
        <v>0</v>
      </c>
    </row>
    <row r="13487" spans="39:45">
      <c r="AM13487" s="55">
        <v>2020</v>
      </c>
      <c r="AN13487" s="55" t="s">
        <v>188</v>
      </c>
      <c r="AO13487" s="55">
        <v>15</v>
      </c>
      <c r="AP13487" s="55">
        <v>21</v>
      </c>
      <c r="AQ13487" s="55">
        <v>0</v>
      </c>
      <c r="AR13487" s="55">
        <v>28500</v>
      </c>
      <c r="AS13487" s="78">
        <f t="shared" si="214"/>
        <v>0</v>
      </c>
    </row>
    <row r="13488" spans="39:45">
      <c r="AM13488" s="54">
        <v>2020</v>
      </c>
      <c r="AN13488" s="54" t="s">
        <v>188</v>
      </c>
      <c r="AO13488" s="54">
        <v>15</v>
      </c>
      <c r="AP13488" s="54">
        <v>22</v>
      </c>
      <c r="AQ13488" s="54">
        <v>0</v>
      </c>
      <c r="AR13488" s="55">
        <v>28500</v>
      </c>
      <c r="AS13488" s="78">
        <f t="shared" si="214"/>
        <v>0</v>
      </c>
    </row>
    <row r="13489" spans="39:45">
      <c r="AM13489" s="55">
        <v>2020</v>
      </c>
      <c r="AN13489" s="55" t="s">
        <v>188</v>
      </c>
      <c r="AO13489" s="55">
        <v>15</v>
      </c>
      <c r="AP13489" s="55">
        <v>23</v>
      </c>
      <c r="AQ13489" s="55">
        <v>0</v>
      </c>
      <c r="AR13489" s="55">
        <v>28500</v>
      </c>
      <c r="AS13489" s="78">
        <f t="shared" si="214"/>
        <v>0</v>
      </c>
    </row>
    <row r="13490" spans="39:45">
      <c r="AM13490" s="54">
        <v>2020</v>
      </c>
      <c r="AN13490" s="54" t="s">
        <v>188</v>
      </c>
      <c r="AO13490" s="54">
        <v>16</v>
      </c>
      <c r="AP13490" s="54">
        <v>24</v>
      </c>
      <c r="AQ13490" s="54">
        <v>0</v>
      </c>
      <c r="AR13490" s="55">
        <v>28500</v>
      </c>
      <c r="AS13490" s="78">
        <f t="shared" si="214"/>
        <v>0</v>
      </c>
    </row>
    <row r="13491" spans="39:45">
      <c r="AM13491" s="55">
        <v>2020</v>
      </c>
      <c r="AN13491" s="55" t="s">
        <v>188</v>
      </c>
      <c r="AO13491" s="55">
        <v>16</v>
      </c>
      <c r="AP13491" s="55">
        <v>1</v>
      </c>
      <c r="AQ13491" s="55">
        <v>0</v>
      </c>
      <c r="AR13491" s="55">
        <v>28500</v>
      </c>
      <c r="AS13491" s="78">
        <f t="shared" si="214"/>
        <v>0</v>
      </c>
    </row>
    <row r="13492" spans="39:45">
      <c r="AM13492" s="54">
        <v>2020</v>
      </c>
      <c r="AN13492" s="54" t="s">
        <v>188</v>
      </c>
      <c r="AO13492" s="54">
        <v>16</v>
      </c>
      <c r="AP13492" s="54">
        <v>2</v>
      </c>
      <c r="AQ13492" s="54">
        <v>0</v>
      </c>
      <c r="AR13492" s="55">
        <v>28500</v>
      </c>
      <c r="AS13492" s="78">
        <f t="shared" si="214"/>
        <v>0</v>
      </c>
    </row>
    <row r="13493" spans="39:45">
      <c r="AM13493" s="55">
        <v>2020</v>
      </c>
      <c r="AN13493" s="55" t="s">
        <v>188</v>
      </c>
      <c r="AO13493" s="55">
        <v>16</v>
      </c>
      <c r="AP13493" s="55">
        <v>3</v>
      </c>
      <c r="AQ13493" s="55">
        <v>0</v>
      </c>
      <c r="AR13493" s="55">
        <v>28500</v>
      </c>
      <c r="AS13493" s="78">
        <f t="shared" si="214"/>
        <v>0</v>
      </c>
    </row>
    <row r="13494" spans="39:45">
      <c r="AM13494" s="54">
        <v>2020</v>
      </c>
      <c r="AN13494" s="54" t="s">
        <v>188</v>
      </c>
      <c r="AO13494" s="54">
        <v>16</v>
      </c>
      <c r="AP13494" s="54">
        <v>4</v>
      </c>
      <c r="AQ13494" s="54">
        <v>0</v>
      </c>
      <c r="AR13494" s="55">
        <v>28500</v>
      </c>
      <c r="AS13494" s="78">
        <f t="shared" si="214"/>
        <v>0</v>
      </c>
    </row>
    <row r="13495" spans="39:45">
      <c r="AM13495" s="55">
        <v>2020</v>
      </c>
      <c r="AN13495" s="55" t="s">
        <v>188</v>
      </c>
      <c r="AO13495" s="55">
        <v>16</v>
      </c>
      <c r="AP13495" s="55">
        <v>5</v>
      </c>
      <c r="AQ13495" s="55">
        <v>386.5</v>
      </c>
      <c r="AR13495" s="55">
        <v>28500</v>
      </c>
      <c r="AS13495" s="78">
        <f t="shared" si="214"/>
        <v>1.356140350877193E-2</v>
      </c>
    </row>
    <row r="13496" spans="39:45">
      <c r="AM13496" s="54">
        <v>2020</v>
      </c>
      <c r="AN13496" s="54" t="s">
        <v>188</v>
      </c>
      <c r="AO13496" s="54">
        <v>16</v>
      </c>
      <c r="AP13496" s="54">
        <v>6</v>
      </c>
      <c r="AQ13496" s="54">
        <v>1213.5</v>
      </c>
      <c r="AR13496" s="55">
        <v>28500</v>
      </c>
      <c r="AS13496" s="78">
        <f t="shared" si="214"/>
        <v>4.257894736842105E-2</v>
      </c>
    </row>
    <row r="13497" spans="39:45">
      <c r="AM13497" s="55">
        <v>2020</v>
      </c>
      <c r="AN13497" s="55" t="s">
        <v>188</v>
      </c>
      <c r="AO13497" s="55">
        <v>16</v>
      </c>
      <c r="AP13497" s="55">
        <v>7</v>
      </c>
      <c r="AQ13497" s="55">
        <v>3441.5</v>
      </c>
      <c r="AR13497" s="55">
        <v>28500</v>
      </c>
      <c r="AS13497" s="78">
        <f t="shared" si="214"/>
        <v>0.12075438596491228</v>
      </c>
    </row>
    <row r="13498" spans="39:45">
      <c r="AM13498" s="54">
        <v>2020</v>
      </c>
      <c r="AN13498" s="54" t="s">
        <v>188</v>
      </c>
      <c r="AO13498" s="54">
        <v>16</v>
      </c>
      <c r="AP13498" s="54">
        <v>8</v>
      </c>
      <c r="AQ13498" s="54">
        <v>5266.5</v>
      </c>
      <c r="AR13498" s="55">
        <v>28500</v>
      </c>
      <c r="AS13498" s="78">
        <f t="shared" si="214"/>
        <v>0.18478947368421053</v>
      </c>
    </row>
    <row r="13499" spans="39:45">
      <c r="AM13499" s="55">
        <v>2020</v>
      </c>
      <c r="AN13499" s="55" t="s">
        <v>188</v>
      </c>
      <c r="AO13499" s="55">
        <v>16</v>
      </c>
      <c r="AP13499" s="55">
        <v>9</v>
      </c>
      <c r="AQ13499" s="55">
        <v>4525</v>
      </c>
      <c r="AR13499" s="55">
        <v>28500</v>
      </c>
      <c r="AS13499" s="78">
        <f t="shared" si="214"/>
        <v>0.1587719298245614</v>
      </c>
    </row>
    <row r="13500" spans="39:45">
      <c r="AM13500" s="54">
        <v>2020</v>
      </c>
      <c r="AN13500" s="54" t="s">
        <v>188</v>
      </c>
      <c r="AO13500" s="54">
        <v>16</v>
      </c>
      <c r="AP13500" s="54">
        <v>10</v>
      </c>
      <c r="AQ13500" s="54">
        <v>4745.5</v>
      </c>
      <c r="AR13500" s="55">
        <v>28500</v>
      </c>
      <c r="AS13500" s="78">
        <f t="shared" si="214"/>
        <v>0.16650877192982455</v>
      </c>
    </row>
    <row r="13501" spans="39:45">
      <c r="AM13501" s="55">
        <v>2020</v>
      </c>
      <c r="AN13501" s="55" t="s">
        <v>188</v>
      </c>
      <c r="AO13501" s="55">
        <v>16</v>
      </c>
      <c r="AP13501" s="55">
        <v>11</v>
      </c>
      <c r="AQ13501" s="55">
        <v>5074.5</v>
      </c>
      <c r="AR13501" s="55">
        <v>28500</v>
      </c>
      <c r="AS13501" s="78">
        <f t="shared" si="214"/>
        <v>0.17805263157894738</v>
      </c>
    </row>
    <row r="13502" spans="39:45">
      <c r="AM13502" s="54">
        <v>2020</v>
      </c>
      <c r="AN13502" s="54" t="s">
        <v>188</v>
      </c>
      <c r="AO13502" s="54">
        <v>16</v>
      </c>
      <c r="AP13502" s="54">
        <v>12</v>
      </c>
      <c r="AQ13502" s="54">
        <v>14882.5</v>
      </c>
      <c r="AR13502" s="55">
        <v>28500</v>
      </c>
      <c r="AS13502" s="78">
        <f t="shared" si="214"/>
        <v>0.52219298245614032</v>
      </c>
    </row>
    <row r="13503" spans="39:45">
      <c r="AM13503" s="55">
        <v>2020</v>
      </c>
      <c r="AN13503" s="55" t="s">
        <v>188</v>
      </c>
      <c r="AO13503" s="55">
        <v>16</v>
      </c>
      <c r="AP13503" s="55">
        <v>13</v>
      </c>
      <c r="AQ13503" s="55">
        <v>17176</v>
      </c>
      <c r="AR13503" s="55">
        <v>28500</v>
      </c>
      <c r="AS13503" s="78">
        <f t="shared" si="214"/>
        <v>0.60266666666666668</v>
      </c>
    </row>
    <row r="13504" spans="39:45">
      <c r="AM13504" s="54">
        <v>2020</v>
      </c>
      <c r="AN13504" s="54" t="s">
        <v>188</v>
      </c>
      <c r="AO13504" s="54">
        <v>16</v>
      </c>
      <c r="AP13504" s="54">
        <v>14</v>
      </c>
      <c r="AQ13504" s="54">
        <v>21718</v>
      </c>
      <c r="AR13504" s="55">
        <v>28500</v>
      </c>
      <c r="AS13504" s="78">
        <f t="shared" si="214"/>
        <v>0.76203508771929829</v>
      </c>
    </row>
    <row r="13505" spans="39:45">
      <c r="AM13505" s="55">
        <v>2020</v>
      </c>
      <c r="AN13505" s="55" t="s">
        <v>188</v>
      </c>
      <c r="AO13505" s="55">
        <v>16</v>
      </c>
      <c r="AP13505" s="55">
        <v>15</v>
      </c>
      <c r="AQ13505" s="55">
        <v>13168</v>
      </c>
      <c r="AR13505" s="55">
        <v>28500</v>
      </c>
      <c r="AS13505" s="78">
        <f t="shared" si="214"/>
        <v>0.46203508771929824</v>
      </c>
    </row>
    <row r="13506" spans="39:45">
      <c r="AM13506" s="54">
        <v>2020</v>
      </c>
      <c r="AN13506" s="54" t="s">
        <v>188</v>
      </c>
      <c r="AO13506" s="54">
        <v>16</v>
      </c>
      <c r="AP13506" s="54">
        <v>16</v>
      </c>
      <c r="AQ13506" s="54">
        <v>16603.5</v>
      </c>
      <c r="AR13506" s="55">
        <v>28500</v>
      </c>
      <c r="AS13506" s="78">
        <f t="shared" ref="AS13506:AS13569" si="215">AQ13506/AR13506</f>
        <v>0.58257894736842109</v>
      </c>
    </row>
    <row r="13507" spans="39:45">
      <c r="AM13507" s="55">
        <v>2020</v>
      </c>
      <c r="AN13507" s="55" t="s">
        <v>188</v>
      </c>
      <c r="AO13507" s="55">
        <v>16</v>
      </c>
      <c r="AP13507" s="55">
        <v>17</v>
      </c>
      <c r="AQ13507" s="55">
        <v>8038</v>
      </c>
      <c r="AR13507" s="55">
        <v>28500</v>
      </c>
      <c r="AS13507" s="78">
        <f t="shared" si="215"/>
        <v>0.28203508771929825</v>
      </c>
    </row>
    <row r="13508" spans="39:45">
      <c r="AM13508" s="54">
        <v>2020</v>
      </c>
      <c r="AN13508" s="54" t="s">
        <v>188</v>
      </c>
      <c r="AO13508" s="54">
        <v>16</v>
      </c>
      <c r="AP13508" s="54">
        <v>18</v>
      </c>
      <c r="AQ13508" s="54">
        <v>3326.5</v>
      </c>
      <c r="AR13508" s="55">
        <v>28500</v>
      </c>
      <c r="AS13508" s="78">
        <f t="shared" si="215"/>
        <v>0.11671929824561403</v>
      </c>
    </row>
    <row r="13509" spans="39:45">
      <c r="AM13509" s="55">
        <v>2020</v>
      </c>
      <c r="AN13509" s="55" t="s">
        <v>188</v>
      </c>
      <c r="AO13509" s="55">
        <v>16</v>
      </c>
      <c r="AP13509" s="55">
        <v>19</v>
      </c>
      <c r="AQ13509" s="55">
        <v>374</v>
      </c>
      <c r="AR13509" s="55">
        <v>28500</v>
      </c>
      <c r="AS13509" s="78">
        <f t="shared" si="215"/>
        <v>1.3122807017543859E-2</v>
      </c>
    </row>
    <row r="13510" spans="39:45">
      <c r="AM13510" s="54">
        <v>2020</v>
      </c>
      <c r="AN13510" s="54" t="s">
        <v>188</v>
      </c>
      <c r="AO13510" s="54">
        <v>16</v>
      </c>
      <c r="AP13510" s="54">
        <v>20</v>
      </c>
      <c r="AQ13510" s="54">
        <v>0</v>
      </c>
      <c r="AR13510" s="55">
        <v>28500</v>
      </c>
      <c r="AS13510" s="78">
        <f t="shared" si="215"/>
        <v>0</v>
      </c>
    </row>
    <row r="13511" spans="39:45">
      <c r="AM13511" s="55">
        <v>2020</v>
      </c>
      <c r="AN13511" s="55" t="s">
        <v>188</v>
      </c>
      <c r="AO13511" s="55">
        <v>16</v>
      </c>
      <c r="AP13511" s="55">
        <v>21</v>
      </c>
      <c r="AQ13511" s="55">
        <v>0</v>
      </c>
      <c r="AR13511" s="55">
        <v>28500</v>
      </c>
      <c r="AS13511" s="78">
        <f t="shared" si="215"/>
        <v>0</v>
      </c>
    </row>
    <row r="13512" spans="39:45">
      <c r="AM13512" s="54">
        <v>2020</v>
      </c>
      <c r="AN13512" s="54" t="s">
        <v>188</v>
      </c>
      <c r="AO13512" s="54">
        <v>16</v>
      </c>
      <c r="AP13512" s="54">
        <v>22</v>
      </c>
      <c r="AQ13512" s="54">
        <v>0</v>
      </c>
      <c r="AR13512" s="55">
        <v>28500</v>
      </c>
      <c r="AS13512" s="78">
        <f t="shared" si="215"/>
        <v>0</v>
      </c>
    </row>
    <row r="13513" spans="39:45">
      <c r="AM13513" s="55">
        <v>2020</v>
      </c>
      <c r="AN13513" s="55" t="s">
        <v>188</v>
      </c>
      <c r="AO13513" s="55">
        <v>16</v>
      </c>
      <c r="AP13513" s="55">
        <v>23</v>
      </c>
      <c r="AQ13513" s="55">
        <v>0</v>
      </c>
      <c r="AR13513" s="55">
        <v>28500</v>
      </c>
      <c r="AS13513" s="78">
        <f t="shared" si="215"/>
        <v>0</v>
      </c>
    </row>
    <row r="13514" spans="39:45">
      <c r="AM13514" s="54">
        <v>2020</v>
      </c>
      <c r="AN13514" s="54" t="s">
        <v>188</v>
      </c>
      <c r="AO13514" s="54">
        <v>17</v>
      </c>
      <c r="AP13514" s="54">
        <v>24</v>
      </c>
      <c r="AQ13514" s="54">
        <v>0</v>
      </c>
      <c r="AR13514" s="55">
        <v>28500</v>
      </c>
      <c r="AS13514" s="78">
        <f t="shared" si="215"/>
        <v>0</v>
      </c>
    </row>
    <row r="13515" spans="39:45">
      <c r="AM13515" s="55">
        <v>2020</v>
      </c>
      <c r="AN13515" s="55" t="s">
        <v>188</v>
      </c>
      <c r="AO13515" s="55">
        <v>17</v>
      </c>
      <c r="AP13515" s="55">
        <v>1</v>
      </c>
      <c r="AQ13515" s="55">
        <v>0</v>
      </c>
      <c r="AR13515" s="55">
        <v>28500</v>
      </c>
      <c r="AS13515" s="78">
        <f t="shared" si="215"/>
        <v>0</v>
      </c>
    </row>
    <row r="13516" spans="39:45">
      <c r="AM13516" s="54">
        <v>2020</v>
      </c>
      <c r="AN13516" s="54" t="s">
        <v>188</v>
      </c>
      <c r="AO13516" s="54">
        <v>17</v>
      </c>
      <c r="AP13516" s="54">
        <v>2</v>
      </c>
      <c r="AQ13516" s="54">
        <v>0</v>
      </c>
      <c r="AR13516" s="55">
        <v>28500</v>
      </c>
      <c r="AS13516" s="78">
        <f t="shared" si="215"/>
        <v>0</v>
      </c>
    </row>
    <row r="13517" spans="39:45">
      <c r="AM13517" s="55">
        <v>2020</v>
      </c>
      <c r="AN13517" s="55" t="s">
        <v>188</v>
      </c>
      <c r="AO13517" s="55">
        <v>17</v>
      </c>
      <c r="AP13517" s="55">
        <v>3</v>
      </c>
      <c r="AQ13517" s="55">
        <v>0</v>
      </c>
      <c r="AR13517" s="55">
        <v>28500</v>
      </c>
      <c r="AS13517" s="78">
        <f t="shared" si="215"/>
        <v>0</v>
      </c>
    </row>
    <row r="13518" spans="39:45">
      <c r="AM13518" s="54">
        <v>2020</v>
      </c>
      <c r="AN13518" s="54" t="s">
        <v>188</v>
      </c>
      <c r="AO13518" s="54">
        <v>17</v>
      </c>
      <c r="AP13518" s="54">
        <v>4</v>
      </c>
      <c r="AQ13518" s="54">
        <v>0</v>
      </c>
      <c r="AR13518" s="55">
        <v>28500</v>
      </c>
      <c r="AS13518" s="78">
        <f t="shared" si="215"/>
        <v>0</v>
      </c>
    </row>
    <row r="13519" spans="39:45">
      <c r="AM13519" s="55">
        <v>2020</v>
      </c>
      <c r="AN13519" s="55" t="s">
        <v>188</v>
      </c>
      <c r="AO13519" s="55">
        <v>17</v>
      </c>
      <c r="AP13519" s="55">
        <v>5</v>
      </c>
      <c r="AQ13519" s="55">
        <v>1279</v>
      </c>
      <c r="AR13519" s="55">
        <v>28500</v>
      </c>
      <c r="AS13519" s="78">
        <f t="shared" si="215"/>
        <v>4.4877192982456141E-2</v>
      </c>
    </row>
    <row r="13520" spans="39:45">
      <c r="AM13520" s="54">
        <v>2020</v>
      </c>
      <c r="AN13520" s="54" t="s">
        <v>188</v>
      </c>
      <c r="AO13520" s="54">
        <v>17</v>
      </c>
      <c r="AP13520" s="54">
        <v>6</v>
      </c>
      <c r="AQ13520" s="54">
        <v>3539</v>
      </c>
      <c r="AR13520" s="55">
        <v>28500</v>
      </c>
      <c r="AS13520" s="78">
        <f t="shared" si="215"/>
        <v>0.12417543859649123</v>
      </c>
    </row>
    <row r="13521" spans="39:45">
      <c r="AM13521" s="55">
        <v>2020</v>
      </c>
      <c r="AN13521" s="55" t="s">
        <v>188</v>
      </c>
      <c r="AO13521" s="55">
        <v>17</v>
      </c>
      <c r="AP13521" s="55">
        <v>7</v>
      </c>
      <c r="AQ13521" s="55">
        <v>9427</v>
      </c>
      <c r="AR13521" s="55">
        <v>28500</v>
      </c>
      <c r="AS13521" s="78">
        <f t="shared" si="215"/>
        <v>0.33077192982456138</v>
      </c>
    </row>
    <row r="13522" spans="39:45">
      <c r="AM13522" s="54">
        <v>2020</v>
      </c>
      <c r="AN13522" s="54" t="s">
        <v>188</v>
      </c>
      <c r="AO13522" s="54">
        <v>17</v>
      </c>
      <c r="AP13522" s="54">
        <v>8</v>
      </c>
      <c r="AQ13522" s="54">
        <v>13966.5</v>
      </c>
      <c r="AR13522" s="55">
        <v>28500</v>
      </c>
      <c r="AS13522" s="78">
        <f t="shared" si="215"/>
        <v>0.49005263157894735</v>
      </c>
    </row>
    <row r="13523" spans="39:45">
      <c r="AM13523" s="55">
        <v>2020</v>
      </c>
      <c r="AN13523" s="55" t="s">
        <v>188</v>
      </c>
      <c r="AO13523" s="55">
        <v>17</v>
      </c>
      <c r="AP13523" s="55">
        <v>9</v>
      </c>
      <c r="AQ13523" s="55">
        <v>18933</v>
      </c>
      <c r="AR13523" s="55">
        <v>28500</v>
      </c>
      <c r="AS13523" s="78">
        <f t="shared" si="215"/>
        <v>0.66431578947368419</v>
      </c>
    </row>
    <row r="13524" spans="39:45">
      <c r="AM13524" s="54">
        <v>2020</v>
      </c>
      <c r="AN13524" s="54" t="s">
        <v>188</v>
      </c>
      <c r="AO13524" s="54">
        <v>17</v>
      </c>
      <c r="AP13524" s="54">
        <v>10</v>
      </c>
      <c r="AQ13524" s="54">
        <v>30955.5</v>
      </c>
      <c r="AR13524" s="55">
        <v>28500</v>
      </c>
      <c r="AS13524" s="78">
        <f t="shared" si="215"/>
        <v>1.0861578947368422</v>
      </c>
    </row>
    <row r="13525" spans="39:45">
      <c r="AM13525" s="55">
        <v>2020</v>
      </c>
      <c r="AN13525" s="55" t="s">
        <v>188</v>
      </c>
      <c r="AO13525" s="55">
        <v>17</v>
      </c>
      <c r="AP13525" s="55">
        <v>11</v>
      </c>
      <c r="AQ13525" s="55">
        <v>33456.5</v>
      </c>
      <c r="AR13525" s="55">
        <v>28500</v>
      </c>
      <c r="AS13525" s="78">
        <f t="shared" si="215"/>
        <v>1.1739122807017544</v>
      </c>
    </row>
    <row r="13526" spans="39:45">
      <c r="AM13526" s="54">
        <v>2020</v>
      </c>
      <c r="AN13526" s="54" t="s">
        <v>188</v>
      </c>
      <c r="AO13526" s="54">
        <v>17</v>
      </c>
      <c r="AP13526" s="54">
        <v>12</v>
      </c>
      <c r="AQ13526" s="54">
        <v>32285</v>
      </c>
      <c r="AR13526" s="55">
        <v>28500</v>
      </c>
      <c r="AS13526" s="78">
        <f t="shared" si="215"/>
        <v>1.1328070175438596</v>
      </c>
    </row>
    <row r="13527" spans="39:45">
      <c r="AM13527" s="55">
        <v>2020</v>
      </c>
      <c r="AN13527" s="55" t="s">
        <v>188</v>
      </c>
      <c r="AO13527" s="55">
        <v>17</v>
      </c>
      <c r="AP13527" s="55">
        <v>13</v>
      </c>
      <c r="AQ13527" s="55">
        <v>35305.5</v>
      </c>
      <c r="AR13527" s="55">
        <v>28500</v>
      </c>
      <c r="AS13527" s="78">
        <f t="shared" si="215"/>
        <v>1.2387894736842104</v>
      </c>
    </row>
    <row r="13528" spans="39:45">
      <c r="AM13528" s="54">
        <v>2020</v>
      </c>
      <c r="AN13528" s="54" t="s">
        <v>188</v>
      </c>
      <c r="AO13528" s="54">
        <v>17</v>
      </c>
      <c r="AP13528" s="54">
        <v>14</v>
      </c>
      <c r="AQ13528" s="54">
        <v>29391</v>
      </c>
      <c r="AR13528" s="55">
        <v>28500</v>
      </c>
      <c r="AS13528" s="78">
        <f t="shared" si="215"/>
        <v>1.0312631578947369</v>
      </c>
    </row>
    <row r="13529" spans="39:45">
      <c r="AM13529" s="55">
        <v>2020</v>
      </c>
      <c r="AN13529" s="55" t="s">
        <v>188</v>
      </c>
      <c r="AO13529" s="55">
        <v>17</v>
      </c>
      <c r="AP13529" s="55">
        <v>15</v>
      </c>
      <c r="AQ13529" s="55">
        <v>26832.5</v>
      </c>
      <c r="AR13529" s="55">
        <v>28500</v>
      </c>
      <c r="AS13529" s="78">
        <f t="shared" si="215"/>
        <v>0.94149122807017549</v>
      </c>
    </row>
    <row r="13530" spans="39:45">
      <c r="AM13530" s="54">
        <v>2020</v>
      </c>
      <c r="AN13530" s="54" t="s">
        <v>188</v>
      </c>
      <c r="AO13530" s="54">
        <v>17</v>
      </c>
      <c r="AP13530" s="54">
        <v>16</v>
      </c>
      <c r="AQ13530" s="54">
        <v>18899.5</v>
      </c>
      <c r="AR13530" s="55">
        <v>28500</v>
      </c>
      <c r="AS13530" s="78">
        <f t="shared" si="215"/>
        <v>0.66314035087719303</v>
      </c>
    </row>
    <row r="13531" spans="39:45">
      <c r="AM13531" s="55">
        <v>2020</v>
      </c>
      <c r="AN13531" s="55" t="s">
        <v>188</v>
      </c>
      <c r="AO13531" s="55">
        <v>17</v>
      </c>
      <c r="AP13531" s="55">
        <v>17</v>
      </c>
      <c r="AQ13531" s="55">
        <v>9825</v>
      </c>
      <c r="AR13531" s="55">
        <v>28500</v>
      </c>
      <c r="AS13531" s="78">
        <f t="shared" si="215"/>
        <v>0.34473684210526317</v>
      </c>
    </row>
    <row r="13532" spans="39:45">
      <c r="AM13532" s="54">
        <v>2020</v>
      </c>
      <c r="AN13532" s="54" t="s">
        <v>188</v>
      </c>
      <c r="AO13532" s="54">
        <v>17</v>
      </c>
      <c r="AP13532" s="54">
        <v>18</v>
      </c>
      <c r="AQ13532" s="54">
        <v>2791.5</v>
      </c>
      <c r="AR13532" s="55">
        <v>28500</v>
      </c>
      <c r="AS13532" s="78">
        <f t="shared" si="215"/>
        <v>9.794736842105263E-2</v>
      </c>
    </row>
    <row r="13533" spans="39:45">
      <c r="AM13533" s="55">
        <v>2020</v>
      </c>
      <c r="AN13533" s="55" t="s">
        <v>188</v>
      </c>
      <c r="AO13533" s="55">
        <v>17</v>
      </c>
      <c r="AP13533" s="55">
        <v>19</v>
      </c>
      <c r="AQ13533" s="55">
        <v>871.5</v>
      </c>
      <c r="AR13533" s="55">
        <v>28500</v>
      </c>
      <c r="AS13533" s="78">
        <f t="shared" si="215"/>
        <v>3.0578947368421053E-2</v>
      </c>
    </row>
    <row r="13534" spans="39:45">
      <c r="AM13534" s="54">
        <v>2020</v>
      </c>
      <c r="AN13534" s="54" t="s">
        <v>188</v>
      </c>
      <c r="AO13534" s="54">
        <v>17</v>
      </c>
      <c r="AP13534" s="54">
        <v>20</v>
      </c>
      <c r="AQ13534" s="54">
        <v>0</v>
      </c>
      <c r="AR13534" s="55">
        <v>28500</v>
      </c>
      <c r="AS13534" s="78">
        <f t="shared" si="215"/>
        <v>0</v>
      </c>
    </row>
    <row r="13535" spans="39:45">
      <c r="AM13535" s="55">
        <v>2020</v>
      </c>
      <c r="AN13535" s="55" t="s">
        <v>188</v>
      </c>
      <c r="AO13535" s="55">
        <v>17</v>
      </c>
      <c r="AP13535" s="55">
        <v>21</v>
      </c>
      <c r="AQ13535" s="55">
        <v>0</v>
      </c>
      <c r="AR13535" s="55">
        <v>28500</v>
      </c>
      <c r="AS13535" s="78">
        <f t="shared" si="215"/>
        <v>0</v>
      </c>
    </row>
    <row r="13536" spans="39:45">
      <c r="AM13536" s="54">
        <v>2020</v>
      </c>
      <c r="AN13536" s="54" t="s">
        <v>188</v>
      </c>
      <c r="AO13536" s="54">
        <v>17</v>
      </c>
      <c r="AP13536" s="54">
        <v>22</v>
      </c>
      <c r="AQ13536" s="54">
        <v>0</v>
      </c>
      <c r="AR13536" s="55">
        <v>28500</v>
      </c>
      <c r="AS13536" s="78">
        <f t="shared" si="215"/>
        <v>0</v>
      </c>
    </row>
    <row r="13537" spans="39:45">
      <c r="AM13537" s="55">
        <v>2020</v>
      </c>
      <c r="AN13537" s="55" t="s">
        <v>188</v>
      </c>
      <c r="AO13537" s="55">
        <v>17</v>
      </c>
      <c r="AP13537" s="55">
        <v>23</v>
      </c>
      <c r="AQ13537" s="55">
        <v>0</v>
      </c>
      <c r="AR13537" s="55">
        <v>28500</v>
      </c>
      <c r="AS13537" s="78">
        <f t="shared" si="215"/>
        <v>0</v>
      </c>
    </row>
    <row r="13538" spans="39:45">
      <c r="AM13538" s="54">
        <v>2020</v>
      </c>
      <c r="AN13538" s="54" t="s">
        <v>188</v>
      </c>
      <c r="AO13538" s="54">
        <v>18</v>
      </c>
      <c r="AP13538" s="54">
        <v>24</v>
      </c>
      <c r="AQ13538" s="54">
        <v>0</v>
      </c>
      <c r="AR13538" s="55">
        <v>28500</v>
      </c>
      <c r="AS13538" s="78">
        <f t="shared" si="215"/>
        <v>0</v>
      </c>
    </row>
    <row r="13539" spans="39:45">
      <c r="AM13539" s="55">
        <v>2020</v>
      </c>
      <c r="AN13539" s="55" t="s">
        <v>188</v>
      </c>
      <c r="AO13539" s="55">
        <v>18</v>
      </c>
      <c r="AP13539" s="55">
        <v>1</v>
      </c>
      <c r="AQ13539" s="55">
        <v>0</v>
      </c>
      <c r="AR13539" s="55">
        <v>28500</v>
      </c>
      <c r="AS13539" s="78">
        <f t="shared" si="215"/>
        <v>0</v>
      </c>
    </row>
    <row r="13540" spans="39:45">
      <c r="AM13540" s="54">
        <v>2020</v>
      </c>
      <c r="AN13540" s="54" t="s">
        <v>188</v>
      </c>
      <c r="AO13540" s="54">
        <v>18</v>
      </c>
      <c r="AP13540" s="54">
        <v>2</v>
      </c>
      <c r="AQ13540" s="54">
        <v>0</v>
      </c>
      <c r="AR13540" s="55">
        <v>28500</v>
      </c>
      <c r="AS13540" s="78">
        <f t="shared" si="215"/>
        <v>0</v>
      </c>
    </row>
    <row r="13541" spans="39:45">
      <c r="AM13541" s="55">
        <v>2020</v>
      </c>
      <c r="AN13541" s="55" t="s">
        <v>188</v>
      </c>
      <c r="AO13541" s="55">
        <v>18</v>
      </c>
      <c r="AP13541" s="55">
        <v>3</v>
      </c>
      <c r="AQ13541" s="55">
        <v>0</v>
      </c>
      <c r="AR13541" s="55">
        <v>28500</v>
      </c>
      <c r="AS13541" s="78">
        <f t="shared" si="215"/>
        <v>0</v>
      </c>
    </row>
    <row r="13542" spans="39:45">
      <c r="AM13542" s="54">
        <v>2020</v>
      </c>
      <c r="AN13542" s="54" t="s">
        <v>188</v>
      </c>
      <c r="AO13542" s="54">
        <v>18</v>
      </c>
      <c r="AP13542" s="54">
        <v>4</v>
      </c>
      <c r="AQ13542" s="54">
        <v>0</v>
      </c>
      <c r="AR13542" s="55">
        <v>28500</v>
      </c>
      <c r="AS13542" s="78">
        <f t="shared" si="215"/>
        <v>0</v>
      </c>
    </row>
    <row r="13543" spans="39:45">
      <c r="AM13543" s="55">
        <v>2020</v>
      </c>
      <c r="AN13543" s="55" t="s">
        <v>188</v>
      </c>
      <c r="AO13543" s="55">
        <v>18</v>
      </c>
      <c r="AP13543" s="55">
        <v>5</v>
      </c>
      <c r="AQ13543" s="55">
        <v>1168</v>
      </c>
      <c r="AR13543" s="55">
        <v>28500</v>
      </c>
      <c r="AS13543" s="78">
        <f t="shared" si="215"/>
        <v>4.0982456140350877E-2</v>
      </c>
    </row>
    <row r="13544" spans="39:45">
      <c r="AM13544" s="54">
        <v>2020</v>
      </c>
      <c r="AN13544" s="54" t="s">
        <v>188</v>
      </c>
      <c r="AO13544" s="54">
        <v>18</v>
      </c>
      <c r="AP13544" s="54">
        <v>6</v>
      </c>
      <c r="AQ13544" s="54">
        <v>3285.5</v>
      </c>
      <c r="AR13544" s="55">
        <v>28500</v>
      </c>
      <c r="AS13544" s="78">
        <f t="shared" si="215"/>
        <v>0.11528070175438597</v>
      </c>
    </row>
    <row r="13545" spans="39:45">
      <c r="AM13545" s="55">
        <v>2020</v>
      </c>
      <c r="AN13545" s="55" t="s">
        <v>188</v>
      </c>
      <c r="AO13545" s="55">
        <v>18</v>
      </c>
      <c r="AP13545" s="55">
        <v>7</v>
      </c>
      <c r="AQ13545" s="55">
        <v>10260.5</v>
      </c>
      <c r="AR13545" s="55">
        <v>28500</v>
      </c>
      <c r="AS13545" s="78">
        <f t="shared" si="215"/>
        <v>0.36001754385964913</v>
      </c>
    </row>
    <row r="13546" spans="39:45">
      <c r="AM13546" s="54">
        <v>2020</v>
      </c>
      <c r="AN13546" s="54" t="s">
        <v>188</v>
      </c>
      <c r="AO13546" s="54">
        <v>18</v>
      </c>
      <c r="AP13546" s="54">
        <v>8</v>
      </c>
      <c r="AQ13546" s="54">
        <v>18522</v>
      </c>
      <c r="AR13546" s="55">
        <v>28500</v>
      </c>
      <c r="AS13546" s="78">
        <f t="shared" si="215"/>
        <v>0.6498947368421053</v>
      </c>
    </row>
    <row r="13547" spans="39:45">
      <c r="AM13547" s="55">
        <v>2020</v>
      </c>
      <c r="AN13547" s="55" t="s">
        <v>188</v>
      </c>
      <c r="AO13547" s="55">
        <v>18</v>
      </c>
      <c r="AP13547" s="55">
        <v>9</v>
      </c>
      <c r="AQ13547" s="55">
        <v>20775.5</v>
      </c>
      <c r="AR13547" s="55">
        <v>28500</v>
      </c>
      <c r="AS13547" s="78">
        <f t="shared" si="215"/>
        <v>0.7289649122807017</v>
      </c>
    </row>
    <row r="13548" spans="39:45">
      <c r="AM13548" s="54">
        <v>2020</v>
      </c>
      <c r="AN13548" s="54" t="s">
        <v>188</v>
      </c>
      <c r="AO13548" s="54">
        <v>18</v>
      </c>
      <c r="AP13548" s="54">
        <v>10</v>
      </c>
      <c r="AQ13548" s="54">
        <v>25704</v>
      </c>
      <c r="AR13548" s="55">
        <v>28500</v>
      </c>
      <c r="AS13548" s="78">
        <f t="shared" si="215"/>
        <v>0.9018947368421053</v>
      </c>
    </row>
    <row r="13549" spans="39:45">
      <c r="AM13549" s="55">
        <v>2020</v>
      </c>
      <c r="AN13549" s="55" t="s">
        <v>188</v>
      </c>
      <c r="AO13549" s="55">
        <v>18</v>
      </c>
      <c r="AP13549" s="55">
        <v>11</v>
      </c>
      <c r="AQ13549" s="55">
        <v>37313.5</v>
      </c>
      <c r="AR13549" s="55">
        <v>28500</v>
      </c>
      <c r="AS13549" s="78">
        <f t="shared" si="215"/>
        <v>1.3092456140350877</v>
      </c>
    </row>
    <row r="13550" spans="39:45">
      <c r="AM13550" s="54">
        <v>2020</v>
      </c>
      <c r="AN13550" s="54" t="s">
        <v>188</v>
      </c>
      <c r="AO13550" s="54">
        <v>18</v>
      </c>
      <c r="AP13550" s="54">
        <v>12</v>
      </c>
      <c r="AQ13550" s="54">
        <v>38124.5</v>
      </c>
      <c r="AR13550" s="55">
        <v>28500</v>
      </c>
      <c r="AS13550" s="78">
        <f t="shared" si="215"/>
        <v>1.3377017543859648</v>
      </c>
    </row>
    <row r="13551" spans="39:45">
      <c r="AM13551" s="55">
        <v>2020</v>
      </c>
      <c r="AN13551" s="55" t="s">
        <v>188</v>
      </c>
      <c r="AO13551" s="55">
        <v>18</v>
      </c>
      <c r="AP13551" s="55">
        <v>13</v>
      </c>
      <c r="AQ13551" s="55">
        <v>35773.5</v>
      </c>
      <c r="AR13551" s="55">
        <v>28500</v>
      </c>
      <c r="AS13551" s="78">
        <f t="shared" si="215"/>
        <v>1.2552105263157896</v>
      </c>
    </row>
    <row r="13552" spans="39:45">
      <c r="AM13552" s="54">
        <v>2020</v>
      </c>
      <c r="AN13552" s="54" t="s">
        <v>188</v>
      </c>
      <c r="AO13552" s="54">
        <v>18</v>
      </c>
      <c r="AP13552" s="54">
        <v>14</v>
      </c>
      <c r="AQ13552" s="54">
        <v>33918</v>
      </c>
      <c r="AR13552" s="55">
        <v>28500</v>
      </c>
      <c r="AS13552" s="78">
        <f t="shared" si="215"/>
        <v>1.1901052631578948</v>
      </c>
    </row>
    <row r="13553" spans="39:45">
      <c r="AM13553" s="55">
        <v>2020</v>
      </c>
      <c r="AN13553" s="55" t="s">
        <v>188</v>
      </c>
      <c r="AO13553" s="55">
        <v>18</v>
      </c>
      <c r="AP13553" s="55">
        <v>15</v>
      </c>
      <c r="AQ13553" s="55">
        <v>27836</v>
      </c>
      <c r="AR13553" s="55">
        <v>28500</v>
      </c>
      <c r="AS13553" s="78">
        <f t="shared" si="215"/>
        <v>0.97670175438596496</v>
      </c>
    </row>
    <row r="13554" spans="39:45">
      <c r="AM13554" s="54">
        <v>2020</v>
      </c>
      <c r="AN13554" s="54" t="s">
        <v>188</v>
      </c>
      <c r="AO13554" s="54">
        <v>18</v>
      </c>
      <c r="AP13554" s="54">
        <v>16</v>
      </c>
      <c r="AQ13554" s="54">
        <v>19345.5</v>
      </c>
      <c r="AR13554" s="55">
        <v>28500</v>
      </c>
      <c r="AS13554" s="78">
        <f t="shared" si="215"/>
        <v>0.6787894736842105</v>
      </c>
    </row>
    <row r="13555" spans="39:45">
      <c r="AM13555" s="55">
        <v>2020</v>
      </c>
      <c r="AN13555" s="55" t="s">
        <v>188</v>
      </c>
      <c r="AO13555" s="55">
        <v>18</v>
      </c>
      <c r="AP13555" s="55">
        <v>17</v>
      </c>
      <c r="AQ13555" s="55">
        <v>9906</v>
      </c>
      <c r="AR13555" s="55">
        <v>28500</v>
      </c>
      <c r="AS13555" s="78">
        <f t="shared" si="215"/>
        <v>0.34757894736842104</v>
      </c>
    </row>
    <row r="13556" spans="39:45">
      <c r="AM13556" s="54">
        <v>2020</v>
      </c>
      <c r="AN13556" s="54" t="s">
        <v>188</v>
      </c>
      <c r="AO13556" s="54">
        <v>18</v>
      </c>
      <c r="AP13556" s="54">
        <v>18</v>
      </c>
      <c r="AQ13556" s="54">
        <v>2683</v>
      </c>
      <c r="AR13556" s="55">
        <v>28500</v>
      </c>
      <c r="AS13556" s="78">
        <f t="shared" si="215"/>
        <v>9.4140350877192983E-2</v>
      </c>
    </row>
    <row r="13557" spans="39:45">
      <c r="AM13557" s="55">
        <v>2020</v>
      </c>
      <c r="AN13557" s="55" t="s">
        <v>188</v>
      </c>
      <c r="AO13557" s="55">
        <v>18</v>
      </c>
      <c r="AP13557" s="55">
        <v>19</v>
      </c>
      <c r="AQ13557" s="55">
        <v>730.5</v>
      </c>
      <c r="AR13557" s="55">
        <v>28500</v>
      </c>
      <c r="AS13557" s="78">
        <f t="shared" si="215"/>
        <v>2.5631578947368422E-2</v>
      </c>
    </row>
    <row r="13558" spans="39:45">
      <c r="AM13558" s="54">
        <v>2020</v>
      </c>
      <c r="AN13558" s="54" t="s">
        <v>188</v>
      </c>
      <c r="AO13558" s="54">
        <v>18</v>
      </c>
      <c r="AP13558" s="54">
        <v>20</v>
      </c>
      <c r="AQ13558" s="54">
        <v>0</v>
      </c>
      <c r="AR13558" s="55">
        <v>28500</v>
      </c>
      <c r="AS13558" s="78">
        <f t="shared" si="215"/>
        <v>0</v>
      </c>
    </row>
    <row r="13559" spans="39:45">
      <c r="AM13559" s="55">
        <v>2020</v>
      </c>
      <c r="AN13559" s="55" t="s">
        <v>188</v>
      </c>
      <c r="AO13559" s="55">
        <v>18</v>
      </c>
      <c r="AP13559" s="55">
        <v>21</v>
      </c>
      <c r="AQ13559" s="55">
        <v>0</v>
      </c>
      <c r="AR13559" s="55">
        <v>28500</v>
      </c>
      <c r="AS13559" s="78">
        <f t="shared" si="215"/>
        <v>0</v>
      </c>
    </row>
    <row r="13560" spans="39:45">
      <c r="AM13560" s="54">
        <v>2020</v>
      </c>
      <c r="AN13560" s="54" t="s">
        <v>188</v>
      </c>
      <c r="AO13560" s="54">
        <v>18</v>
      </c>
      <c r="AP13560" s="54">
        <v>22</v>
      </c>
      <c r="AQ13560" s="54">
        <v>0</v>
      </c>
      <c r="AR13560" s="55">
        <v>28500</v>
      </c>
      <c r="AS13560" s="78">
        <f t="shared" si="215"/>
        <v>0</v>
      </c>
    </row>
    <row r="13561" spans="39:45">
      <c r="AM13561" s="55">
        <v>2020</v>
      </c>
      <c r="AN13561" s="55" t="s">
        <v>188</v>
      </c>
      <c r="AO13561" s="55">
        <v>18</v>
      </c>
      <c r="AP13561" s="55">
        <v>23</v>
      </c>
      <c r="AQ13561" s="55">
        <v>0</v>
      </c>
      <c r="AR13561" s="55">
        <v>28500</v>
      </c>
      <c r="AS13561" s="78">
        <f t="shared" si="215"/>
        <v>0</v>
      </c>
    </row>
    <row r="13562" spans="39:45">
      <c r="AM13562" s="54">
        <v>2020</v>
      </c>
      <c r="AN13562" s="54" t="s">
        <v>188</v>
      </c>
      <c r="AO13562" s="54">
        <v>19</v>
      </c>
      <c r="AP13562" s="54">
        <v>24</v>
      </c>
      <c r="AQ13562" s="54">
        <v>0</v>
      </c>
      <c r="AR13562" s="55">
        <v>28500</v>
      </c>
      <c r="AS13562" s="78">
        <f t="shared" si="215"/>
        <v>0</v>
      </c>
    </row>
    <row r="13563" spans="39:45">
      <c r="AM13563" s="55">
        <v>2020</v>
      </c>
      <c r="AN13563" s="55" t="s">
        <v>188</v>
      </c>
      <c r="AO13563" s="55">
        <v>19</v>
      </c>
      <c r="AP13563" s="55">
        <v>1</v>
      </c>
      <c r="AQ13563" s="55">
        <v>0</v>
      </c>
      <c r="AR13563" s="55">
        <v>28500</v>
      </c>
      <c r="AS13563" s="78">
        <f t="shared" si="215"/>
        <v>0</v>
      </c>
    </row>
    <row r="13564" spans="39:45">
      <c r="AM13564" s="54">
        <v>2020</v>
      </c>
      <c r="AN13564" s="54" t="s">
        <v>188</v>
      </c>
      <c r="AO13564" s="54">
        <v>19</v>
      </c>
      <c r="AP13564" s="54">
        <v>2</v>
      </c>
      <c r="AQ13564" s="54">
        <v>0</v>
      </c>
      <c r="AR13564" s="55">
        <v>28500</v>
      </c>
      <c r="AS13564" s="78">
        <f t="shared" si="215"/>
        <v>0</v>
      </c>
    </row>
    <row r="13565" spans="39:45">
      <c r="AM13565" s="55">
        <v>2020</v>
      </c>
      <c r="AN13565" s="55" t="s">
        <v>188</v>
      </c>
      <c r="AO13565" s="55">
        <v>19</v>
      </c>
      <c r="AP13565" s="55">
        <v>3</v>
      </c>
      <c r="AQ13565" s="55">
        <v>0</v>
      </c>
      <c r="AR13565" s="55">
        <v>28500</v>
      </c>
      <c r="AS13565" s="78">
        <f t="shared" si="215"/>
        <v>0</v>
      </c>
    </row>
    <row r="13566" spans="39:45">
      <c r="AM13566" s="54">
        <v>2020</v>
      </c>
      <c r="AN13566" s="54" t="s">
        <v>188</v>
      </c>
      <c r="AO13566" s="54">
        <v>19</v>
      </c>
      <c r="AP13566" s="54">
        <v>4</v>
      </c>
      <c r="AQ13566" s="54">
        <v>0</v>
      </c>
      <c r="AR13566" s="55">
        <v>28500</v>
      </c>
      <c r="AS13566" s="78">
        <f t="shared" si="215"/>
        <v>0</v>
      </c>
    </row>
    <row r="13567" spans="39:45">
      <c r="AM13567" s="55">
        <v>2020</v>
      </c>
      <c r="AN13567" s="55" t="s">
        <v>188</v>
      </c>
      <c r="AO13567" s="55">
        <v>19</v>
      </c>
      <c r="AP13567" s="55">
        <v>5</v>
      </c>
      <c r="AQ13567" s="55">
        <v>1094.5</v>
      </c>
      <c r="AR13567" s="55">
        <v>28500</v>
      </c>
      <c r="AS13567" s="78">
        <f t="shared" si="215"/>
        <v>3.8403508771929822E-2</v>
      </c>
    </row>
    <row r="13568" spans="39:45">
      <c r="AM13568" s="54">
        <v>2020</v>
      </c>
      <c r="AN13568" s="54" t="s">
        <v>188</v>
      </c>
      <c r="AO13568" s="54">
        <v>19</v>
      </c>
      <c r="AP13568" s="54">
        <v>6</v>
      </c>
      <c r="AQ13568" s="54">
        <v>3614</v>
      </c>
      <c r="AR13568" s="55">
        <v>28500</v>
      </c>
      <c r="AS13568" s="78">
        <f t="shared" si="215"/>
        <v>0.12680701754385965</v>
      </c>
    </row>
    <row r="13569" spans="39:45">
      <c r="AM13569" s="55">
        <v>2020</v>
      </c>
      <c r="AN13569" s="55" t="s">
        <v>188</v>
      </c>
      <c r="AO13569" s="55">
        <v>19</v>
      </c>
      <c r="AP13569" s="55">
        <v>7</v>
      </c>
      <c r="AQ13569" s="55">
        <v>7081</v>
      </c>
      <c r="AR13569" s="55">
        <v>28500</v>
      </c>
      <c r="AS13569" s="78">
        <f t="shared" si="215"/>
        <v>0.24845614035087718</v>
      </c>
    </row>
    <row r="13570" spans="39:45">
      <c r="AM13570" s="54">
        <v>2020</v>
      </c>
      <c r="AN13570" s="54" t="s">
        <v>188</v>
      </c>
      <c r="AO13570" s="54">
        <v>19</v>
      </c>
      <c r="AP13570" s="54">
        <v>8</v>
      </c>
      <c r="AQ13570" s="54">
        <v>5650.5</v>
      </c>
      <c r="AR13570" s="55">
        <v>28500</v>
      </c>
      <c r="AS13570" s="78">
        <f t="shared" ref="AS13570:AS13633" si="216">AQ13570/AR13570</f>
        <v>0.19826315789473684</v>
      </c>
    </row>
    <row r="13571" spans="39:45">
      <c r="AM13571" s="55">
        <v>2020</v>
      </c>
      <c r="AN13571" s="55" t="s">
        <v>188</v>
      </c>
      <c r="AO13571" s="55">
        <v>19</v>
      </c>
      <c r="AP13571" s="55">
        <v>9</v>
      </c>
      <c r="AQ13571" s="55">
        <v>6428</v>
      </c>
      <c r="AR13571" s="55">
        <v>28500</v>
      </c>
      <c r="AS13571" s="78">
        <f t="shared" si="216"/>
        <v>0.2255438596491228</v>
      </c>
    </row>
    <row r="13572" spans="39:45">
      <c r="AM13572" s="54">
        <v>2020</v>
      </c>
      <c r="AN13572" s="54" t="s">
        <v>188</v>
      </c>
      <c r="AO13572" s="54">
        <v>19</v>
      </c>
      <c r="AP13572" s="54">
        <v>10</v>
      </c>
      <c r="AQ13572" s="54">
        <v>4546</v>
      </c>
      <c r="AR13572" s="55">
        <v>28500</v>
      </c>
      <c r="AS13572" s="78">
        <f t="shared" si="216"/>
        <v>0.15950877192982457</v>
      </c>
    </row>
    <row r="13573" spans="39:45">
      <c r="AM13573" s="55">
        <v>2020</v>
      </c>
      <c r="AN13573" s="55" t="s">
        <v>188</v>
      </c>
      <c r="AO13573" s="55">
        <v>19</v>
      </c>
      <c r="AP13573" s="55">
        <v>11</v>
      </c>
      <c r="AQ13573" s="55">
        <v>9653</v>
      </c>
      <c r="AR13573" s="55">
        <v>28500</v>
      </c>
      <c r="AS13573" s="78">
        <f t="shared" si="216"/>
        <v>0.33870175438596489</v>
      </c>
    </row>
    <row r="13574" spans="39:45">
      <c r="AM13574" s="54">
        <v>2020</v>
      </c>
      <c r="AN13574" s="54" t="s">
        <v>188</v>
      </c>
      <c r="AO13574" s="54">
        <v>19</v>
      </c>
      <c r="AP13574" s="54">
        <v>12</v>
      </c>
      <c r="AQ13574" s="54">
        <v>11596</v>
      </c>
      <c r="AR13574" s="55">
        <v>28500</v>
      </c>
      <c r="AS13574" s="78">
        <f t="shared" si="216"/>
        <v>0.40687719298245612</v>
      </c>
    </row>
    <row r="13575" spans="39:45">
      <c r="AM13575" s="55">
        <v>2020</v>
      </c>
      <c r="AN13575" s="55" t="s">
        <v>188</v>
      </c>
      <c r="AO13575" s="55">
        <v>19</v>
      </c>
      <c r="AP13575" s="55">
        <v>13</v>
      </c>
      <c r="AQ13575" s="55">
        <v>8671</v>
      </c>
      <c r="AR13575" s="55">
        <v>28500</v>
      </c>
      <c r="AS13575" s="78">
        <f t="shared" si="216"/>
        <v>0.30424561403508771</v>
      </c>
    </row>
    <row r="13576" spans="39:45">
      <c r="AM13576" s="54">
        <v>2020</v>
      </c>
      <c r="AN13576" s="54" t="s">
        <v>188</v>
      </c>
      <c r="AO13576" s="54">
        <v>19</v>
      </c>
      <c r="AP13576" s="54">
        <v>14</v>
      </c>
      <c r="AQ13576" s="54">
        <v>12065.5</v>
      </c>
      <c r="AR13576" s="55">
        <v>28500</v>
      </c>
      <c r="AS13576" s="78">
        <f t="shared" si="216"/>
        <v>0.42335087719298248</v>
      </c>
    </row>
    <row r="13577" spans="39:45">
      <c r="AM13577" s="55">
        <v>2020</v>
      </c>
      <c r="AN13577" s="55" t="s">
        <v>188</v>
      </c>
      <c r="AO13577" s="55">
        <v>19</v>
      </c>
      <c r="AP13577" s="55">
        <v>15</v>
      </c>
      <c r="AQ13577" s="55">
        <v>20607</v>
      </c>
      <c r="AR13577" s="55">
        <v>28500</v>
      </c>
      <c r="AS13577" s="78">
        <f t="shared" si="216"/>
        <v>0.72305263157894739</v>
      </c>
    </row>
    <row r="13578" spans="39:45">
      <c r="AM13578" s="54">
        <v>2020</v>
      </c>
      <c r="AN13578" s="54" t="s">
        <v>188</v>
      </c>
      <c r="AO13578" s="54">
        <v>19</v>
      </c>
      <c r="AP13578" s="54">
        <v>16</v>
      </c>
      <c r="AQ13578" s="54">
        <v>2918</v>
      </c>
      <c r="AR13578" s="55">
        <v>28500</v>
      </c>
      <c r="AS13578" s="78">
        <f t="shared" si="216"/>
        <v>0.10238596491228071</v>
      </c>
    </row>
    <row r="13579" spans="39:45">
      <c r="AM13579" s="55">
        <v>2020</v>
      </c>
      <c r="AN13579" s="55" t="s">
        <v>188</v>
      </c>
      <c r="AO13579" s="55">
        <v>19</v>
      </c>
      <c r="AP13579" s="55">
        <v>17</v>
      </c>
      <c r="AQ13579" s="55">
        <v>3586.5</v>
      </c>
      <c r="AR13579" s="55">
        <v>28500</v>
      </c>
      <c r="AS13579" s="78">
        <f t="shared" si="216"/>
        <v>0.12584210526315789</v>
      </c>
    </row>
    <row r="13580" spans="39:45">
      <c r="AM13580" s="54">
        <v>2020</v>
      </c>
      <c r="AN13580" s="54" t="s">
        <v>188</v>
      </c>
      <c r="AO13580" s="54">
        <v>19</v>
      </c>
      <c r="AP13580" s="54">
        <v>18</v>
      </c>
      <c r="AQ13580" s="54">
        <v>2505.5</v>
      </c>
      <c r="AR13580" s="55">
        <v>28500</v>
      </c>
      <c r="AS13580" s="78">
        <f t="shared" si="216"/>
        <v>8.7912280701754386E-2</v>
      </c>
    </row>
    <row r="13581" spans="39:45">
      <c r="AM13581" s="55">
        <v>2020</v>
      </c>
      <c r="AN13581" s="55" t="s">
        <v>188</v>
      </c>
      <c r="AO13581" s="55">
        <v>19</v>
      </c>
      <c r="AP13581" s="55">
        <v>19</v>
      </c>
      <c r="AQ13581" s="55">
        <v>837</v>
      </c>
      <c r="AR13581" s="55">
        <v>28500</v>
      </c>
      <c r="AS13581" s="78">
        <f t="shared" si="216"/>
        <v>2.9368421052631578E-2</v>
      </c>
    </row>
    <row r="13582" spans="39:45">
      <c r="AM13582" s="54">
        <v>2020</v>
      </c>
      <c r="AN13582" s="54" t="s">
        <v>188</v>
      </c>
      <c r="AO13582" s="54">
        <v>19</v>
      </c>
      <c r="AP13582" s="54">
        <v>20</v>
      </c>
      <c r="AQ13582" s="54">
        <v>0</v>
      </c>
      <c r="AR13582" s="55">
        <v>28500</v>
      </c>
      <c r="AS13582" s="78">
        <f t="shared" si="216"/>
        <v>0</v>
      </c>
    </row>
    <row r="13583" spans="39:45">
      <c r="AM13583" s="55">
        <v>2020</v>
      </c>
      <c r="AN13583" s="55" t="s">
        <v>188</v>
      </c>
      <c r="AO13583" s="55">
        <v>19</v>
      </c>
      <c r="AP13583" s="55">
        <v>21</v>
      </c>
      <c r="AQ13583" s="55">
        <v>0</v>
      </c>
      <c r="AR13583" s="55">
        <v>28500</v>
      </c>
      <c r="AS13583" s="78">
        <f t="shared" si="216"/>
        <v>0</v>
      </c>
    </row>
    <row r="13584" spans="39:45">
      <c r="AM13584" s="54">
        <v>2020</v>
      </c>
      <c r="AN13584" s="54" t="s">
        <v>188</v>
      </c>
      <c r="AO13584" s="54">
        <v>19</v>
      </c>
      <c r="AP13584" s="54">
        <v>22</v>
      </c>
      <c r="AQ13584" s="54">
        <v>0</v>
      </c>
      <c r="AR13584" s="55">
        <v>28500</v>
      </c>
      <c r="AS13584" s="78">
        <f t="shared" si="216"/>
        <v>0</v>
      </c>
    </row>
    <row r="13585" spans="39:45">
      <c r="AM13585" s="55">
        <v>2020</v>
      </c>
      <c r="AN13585" s="55" t="s">
        <v>188</v>
      </c>
      <c r="AO13585" s="55">
        <v>19</v>
      </c>
      <c r="AP13585" s="55">
        <v>23</v>
      </c>
      <c r="AQ13585" s="55">
        <v>0</v>
      </c>
      <c r="AR13585" s="55">
        <v>28500</v>
      </c>
      <c r="AS13585" s="78">
        <f t="shared" si="216"/>
        <v>0</v>
      </c>
    </row>
    <row r="13586" spans="39:45">
      <c r="AM13586" s="54">
        <v>2020</v>
      </c>
      <c r="AN13586" s="54" t="s">
        <v>188</v>
      </c>
      <c r="AO13586" s="54">
        <v>20</v>
      </c>
      <c r="AP13586" s="54">
        <v>24</v>
      </c>
      <c r="AQ13586" s="54">
        <v>0</v>
      </c>
      <c r="AR13586" s="55">
        <v>28500</v>
      </c>
      <c r="AS13586" s="78">
        <f t="shared" si="216"/>
        <v>0</v>
      </c>
    </row>
    <row r="13587" spans="39:45">
      <c r="AM13587" s="55">
        <v>2020</v>
      </c>
      <c r="AN13587" s="55" t="s">
        <v>188</v>
      </c>
      <c r="AO13587" s="55">
        <v>20</v>
      </c>
      <c r="AP13587" s="55">
        <v>1</v>
      </c>
      <c r="AQ13587" s="55">
        <v>0</v>
      </c>
      <c r="AR13587" s="55">
        <v>28500</v>
      </c>
      <c r="AS13587" s="78">
        <f t="shared" si="216"/>
        <v>0</v>
      </c>
    </row>
    <row r="13588" spans="39:45">
      <c r="AM13588" s="54">
        <v>2020</v>
      </c>
      <c r="AN13588" s="54" t="s">
        <v>188</v>
      </c>
      <c r="AO13588" s="54">
        <v>20</v>
      </c>
      <c r="AP13588" s="54">
        <v>2</v>
      </c>
      <c r="AQ13588" s="54">
        <v>0</v>
      </c>
      <c r="AR13588" s="55">
        <v>28500</v>
      </c>
      <c r="AS13588" s="78">
        <f t="shared" si="216"/>
        <v>0</v>
      </c>
    </row>
    <row r="13589" spans="39:45">
      <c r="AM13589" s="55">
        <v>2020</v>
      </c>
      <c r="AN13589" s="55" t="s">
        <v>188</v>
      </c>
      <c r="AO13589" s="55">
        <v>20</v>
      </c>
      <c r="AP13589" s="55">
        <v>3</v>
      </c>
      <c r="AQ13589" s="55">
        <v>0</v>
      </c>
      <c r="AR13589" s="55">
        <v>28500</v>
      </c>
      <c r="AS13589" s="78">
        <f t="shared" si="216"/>
        <v>0</v>
      </c>
    </row>
    <row r="13590" spans="39:45">
      <c r="AM13590" s="54">
        <v>2020</v>
      </c>
      <c r="AN13590" s="54" t="s">
        <v>188</v>
      </c>
      <c r="AO13590" s="54">
        <v>20</v>
      </c>
      <c r="AP13590" s="54">
        <v>4</v>
      </c>
      <c r="AQ13590" s="54">
        <v>0</v>
      </c>
      <c r="AR13590" s="55">
        <v>28500</v>
      </c>
      <c r="AS13590" s="78">
        <f t="shared" si="216"/>
        <v>0</v>
      </c>
    </row>
    <row r="13591" spans="39:45">
      <c r="AM13591" s="55">
        <v>2020</v>
      </c>
      <c r="AN13591" s="55" t="s">
        <v>188</v>
      </c>
      <c r="AO13591" s="55">
        <v>20</v>
      </c>
      <c r="AP13591" s="55">
        <v>5</v>
      </c>
      <c r="AQ13591" s="55">
        <v>1086</v>
      </c>
      <c r="AR13591" s="55">
        <v>28500</v>
      </c>
      <c r="AS13591" s="78">
        <f t="shared" si="216"/>
        <v>3.8105263157894739E-2</v>
      </c>
    </row>
    <row r="13592" spans="39:45">
      <c r="AM13592" s="54">
        <v>2020</v>
      </c>
      <c r="AN13592" s="54" t="s">
        <v>188</v>
      </c>
      <c r="AO13592" s="54">
        <v>20</v>
      </c>
      <c r="AP13592" s="54">
        <v>6</v>
      </c>
      <c r="AQ13592" s="54">
        <v>3026</v>
      </c>
      <c r="AR13592" s="55">
        <v>28500</v>
      </c>
      <c r="AS13592" s="78">
        <f t="shared" si="216"/>
        <v>0.10617543859649123</v>
      </c>
    </row>
    <row r="13593" spans="39:45">
      <c r="AM13593" s="55">
        <v>2020</v>
      </c>
      <c r="AN13593" s="55" t="s">
        <v>188</v>
      </c>
      <c r="AO13593" s="55">
        <v>20</v>
      </c>
      <c r="AP13593" s="55">
        <v>7</v>
      </c>
      <c r="AQ13593" s="55">
        <v>11554</v>
      </c>
      <c r="AR13593" s="55">
        <v>28500</v>
      </c>
      <c r="AS13593" s="78">
        <f t="shared" si="216"/>
        <v>0.40540350877192982</v>
      </c>
    </row>
    <row r="13594" spans="39:45">
      <c r="AM13594" s="54">
        <v>2020</v>
      </c>
      <c r="AN13594" s="54" t="s">
        <v>188</v>
      </c>
      <c r="AO13594" s="54">
        <v>20</v>
      </c>
      <c r="AP13594" s="54">
        <v>8</v>
      </c>
      <c r="AQ13594" s="54">
        <v>20738.5</v>
      </c>
      <c r="AR13594" s="55">
        <v>28500</v>
      </c>
      <c r="AS13594" s="78">
        <f t="shared" si="216"/>
        <v>0.72766666666666668</v>
      </c>
    </row>
    <row r="13595" spans="39:45">
      <c r="AM13595" s="55">
        <v>2020</v>
      </c>
      <c r="AN13595" s="55" t="s">
        <v>188</v>
      </c>
      <c r="AO13595" s="55">
        <v>20</v>
      </c>
      <c r="AP13595" s="55">
        <v>9</v>
      </c>
      <c r="AQ13595" s="55">
        <v>25097</v>
      </c>
      <c r="AR13595" s="55">
        <v>28500</v>
      </c>
      <c r="AS13595" s="78">
        <f t="shared" si="216"/>
        <v>0.88059649122807016</v>
      </c>
    </row>
    <row r="13596" spans="39:45">
      <c r="AM13596" s="54">
        <v>2020</v>
      </c>
      <c r="AN13596" s="54" t="s">
        <v>188</v>
      </c>
      <c r="AO13596" s="54">
        <v>20</v>
      </c>
      <c r="AP13596" s="54">
        <v>10</v>
      </c>
      <c r="AQ13596" s="54">
        <v>32152.5</v>
      </c>
      <c r="AR13596" s="55">
        <v>28500</v>
      </c>
      <c r="AS13596" s="78">
        <f t="shared" si="216"/>
        <v>1.128157894736842</v>
      </c>
    </row>
    <row r="13597" spans="39:45">
      <c r="AM13597" s="55">
        <v>2020</v>
      </c>
      <c r="AN13597" s="55" t="s">
        <v>188</v>
      </c>
      <c r="AO13597" s="55">
        <v>20</v>
      </c>
      <c r="AP13597" s="55">
        <v>11</v>
      </c>
      <c r="AQ13597" s="55">
        <v>30599.5</v>
      </c>
      <c r="AR13597" s="55">
        <v>28500</v>
      </c>
      <c r="AS13597" s="78">
        <f t="shared" si="216"/>
        <v>1.0736666666666668</v>
      </c>
    </row>
    <row r="13598" spans="39:45">
      <c r="AM13598" s="54">
        <v>2020</v>
      </c>
      <c r="AN13598" s="54" t="s">
        <v>188</v>
      </c>
      <c r="AO13598" s="54">
        <v>20</v>
      </c>
      <c r="AP13598" s="54">
        <v>12</v>
      </c>
      <c r="AQ13598" s="54">
        <v>33139</v>
      </c>
      <c r="AR13598" s="55">
        <v>28500</v>
      </c>
      <c r="AS13598" s="78">
        <f t="shared" si="216"/>
        <v>1.1627719298245613</v>
      </c>
    </row>
    <row r="13599" spans="39:45">
      <c r="AM13599" s="55">
        <v>2020</v>
      </c>
      <c r="AN13599" s="55" t="s">
        <v>188</v>
      </c>
      <c r="AO13599" s="55">
        <v>20</v>
      </c>
      <c r="AP13599" s="55">
        <v>13</v>
      </c>
      <c r="AQ13599" s="55">
        <v>37996</v>
      </c>
      <c r="AR13599" s="55">
        <v>28500</v>
      </c>
      <c r="AS13599" s="78">
        <f t="shared" si="216"/>
        <v>1.3331929824561404</v>
      </c>
    </row>
    <row r="13600" spans="39:45">
      <c r="AM13600" s="54">
        <v>2020</v>
      </c>
      <c r="AN13600" s="54" t="s">
        <v>188</v>
      </c>
      <c r="AO13600" s="54">
        <v>20</v>
      </c>
      <c r="AP13600" s="54">
        <v>14</v>
      </c>
      <c r="AQ13600" s="54">
        <v>32463.5</v>
      </c>
      <c r="AR13600" s="55">
        <v>28500</v>
      </c>
      <c r="AS13600" s="78">
        <f t="shared" si="216"/>
        <v>1.1390701754385966</v>
      </c>
    </row>
    <row r="13601" spans="39:45">
      <c r="AM13601" s="55">
        <v>2020</v>
      </c>
      <c r="AN13601" s="55" t="s">
        <v>188</v>
      </c>
      <c r="AO13601" s="55">
        <v>20</v>
      </c>
      <c r="AP13601" s="55">
        <v>15</v>
      </c>
      <c r="AQ13601" s="55">
        <v>28075.5</v>
      </c>
      <c r="AR13601" s="55">
        <v>28500</v>
      </c>
      <c r="AS13601" s="78">
        <f t="shared" si="216"/>
        <v>0.98510526315789471</v>
      </c>
    </row>
    <row r="13602" spans="39:45">
      <c r="AM13602" s="54">
        <v>2020</v>
      </c>
      <c r="AN13602" s="54" t="s">
        <v>188</v>
      </c>
      <c r="AO13602" s="54">
        <v>20</v>
      </c>
      <c r="AP13602" s="54">
        <v>16</v>
      </c>
      <c r="AQ13602" s="54">
        <v>19759.5</v>
      </c>
      <c r="AR13602" s="55">
        <v>28500</v>
      </c>
      <c r="AS13602" s="78">
        <f t="shared" si="216"/>
        <v>0.69331578947368422</v>
      </c>
    </row>
    <row r="13603" spans="39:45">
      <c r="AM13603" s="55">
        <v>2020</v>
      </c>
      <c r="AN13603" s="55" t="s">
        <v>188</v>
      </c>
      <c r="AO13603" s="55">
        <v>20</v>
      </c>
      <c r="AP13603" s="55">
        <v>17</v>
      </c>
      <c r="AQ13603" s="55">
        <v>10170</v>
      </c>
      <c r="AR13603" s="55">
        <v>28500</v>
      </c>
      <c r="AS13603" s="78">
        <f t="shared" si="216"/>
        <v>0.3568421052631579</v>
      </c>
    </row>
    <row r="13604" spans="39:45">
      <c r="AM13604" s="54">
        <v>2020</v>
      </c>
      <c r="AN13604" s="54" t="s">
        <v>188</v>
      </c>
      <c r="AO13604" s="54">
        <v>20</v>
      </c>
      <c r="AP13604" s="54">
        <v>18</v>
      </c>
      <c r="AQ13604" s="54">
        <v>2686.5</v>
      </c>
      <c r="AR13604" s="55">
        <v>28500</v>
      </c>
      <c r="AS13604" s="78">
        <f t="shared" si="216"/>
        <v>9.426315789473684E-2</v>
      </c>
    </row>
    <row r="13605" spans="39:45">
      <c r="AM13605" s="55">
        <v>2020</v>
      </c>
      <c r="AN13605" s="55" t="s">
        <v>188</v>
      </c>
      <c r="AO13605" s="55">
        <v>20</v>
      </c>
      <c r="AP13605" s="55">
        <v>19</v>
      </c>
      <c r="AQ13605" s="55">
        <v>862.5</v>
      </c>
      <c r="AR13605" s="55">
        <v>28500</v>
      </c>
      <c r="AS13605" s="78">
        <f t="shared" si="216"/>
        <v>3.0263157894736843E-2</v>
      </c>
    </row>
    <row r="13606" spans="39:45">
      <c r="AM13606" s="54">
        <v>2020</v>
      </c>
      <c r="AN13606" s="54" t="s">
        <v>188</v>
      </c>
      <c r="AO13606" s="54">
        <v>20</v>
      </c>
      <c r="AP13606" s="54">
        <v>20</v>
      </c>
      <c r="AQ13606" s="54">
        <v>0</v>
      </c>
      <c r="AR13606" s="55">
        <v>28500</v>
      </c>
      <c r="AS13606" s="78">
        <f t="shared" si="216"/>
        <v>0</v>
      </c>
    </row>
    <row r="13607" spans="39:45">
      <c r="AM13607" s="55">
        <v>2020</v>
      </c>
      <c r="AN13607" s="55" t="s">
        <v>188</v>
      </c>
      <c r="AO13607" s="55">
        <v>20</v>
      </c>
      <c r="AP13607" s="55">
        <v>21</v>
      </c>
      <c r="AQ13607" s="55">
        <v>0</v>
      </c>
      <c r="AR13607" s="55">
        <v>28500</v>
      </c>
      <c r="AS13607" s="78">
        <f t="shared" si="216"/>
        <v>0</v>
      </c>
    </row>
    <row r="13608" spans="39:45">
      <c r="AM13608" s="54">
        <v>2020</v>
      </c>
      <c r="AN13608" s="54" t="s">
        <v>188</v>
      </c>
      <c r="AO13608" s="54">
        <v>20</v>
      </c>
      <c r="AP13608" s="54">
        <v>22</v>
      </c>
      <c r="AQ13608" s="54">
        <v>0</v>
      </c>
      <c r="AR13608" s="55">
        <v>28500</v>
      </c>
      <c r="AS13608" s="78">
        <f t="shared" si="216"/>
        <v>0</v>
      </c>
    </row>
    <row r="13609" spans="39:45">
      <c r="AM13609" s="55">
        <v>2020</v>
      </c>
      <c r="AN13609" s="55" t="s">
        <v>188</v>
      </c>
      <c r="AO13609" s="55">
        <v>20</v>
      </c>
      <c r="AP13609" s="55">
        <v>23</v>
      </c>
      <c r="AQ13609" s="55">
        <v>0</v>
      </c>
      <c r="AR13609" s="55">
        <v>28500</v>
      </c>
      <c r="AS13609" s="78">
        <f t="shared" si="216"/>
        <v>0</v>
      </c>
    </row>
    <row r="13610" spans="39:45">
      <c r="AM13610" s="54">
        <v>2020</v>
      </c>
      <c r="AN13610" s="54" t="s">
        <v>188</v>
      </c>
      <c r="AO13610" s="54">
        <v>21</v>
      </c>
      <c r="AP13610" s="54">
        <v>24</v>
      </c>
      <c r="AQ13610" s="54">
        <v>0</v>
      </c>
      <c r="AR13610" s="55">
        <v>28500</v>
      </c>
      <c r="AS13610" s="78">
        <f t="shared" si="216"/>
        <v>0</v>
      </c>
    </row>
    <row r="13611" spans="39:45">
      <c r="AM13611" s="55">
        <v>2020</v>
      </c>
      <c r="AN13611" s="55" t="s">
        <v>188</v>
      </c>
      <c r="AO13611" s="55">
        <v>21</v>
      </c>
      <c r="AP13611" s="55">
        <v>1</v>
      </c>
      <c r="AQ13611" s="55">
        <v>0</v>
      </c>
      <c r="AR13611" s="55">
        <v>28500</v>
      </c>
      <c r="AS13611" s="78">
        <f t="shared" si="216"/>
        <v>0</v>
      </c>
    </row>
    <row r="13612" spans="39:45">
      <c r="AM13612" s="54">
        <v>2020</v>
      </c>
      <c r="AN13612" s="54" t="s">
        <v>188</v>
      </c>
      <c r="AO13612" s="54">
        <v>21</v>
      </c>
      <c r="AP13612" s="54">
        <v>2</v>
      </c>
      <c r="AQ13612" s="54">
        <v>0</v>
      </c>
      <c r="AR13612" s="55">
        <v>28500</v>
      </c>
      <c r="AS13612" s="78">
        <f t="shared" si="216"/>
        <v>0</v>
      </c>
    </row>
    <row r="13613" spans="39:45">
      <c r="AM13613" s="55">
        <v>2020</v>
      </c>
      <c r="AN13613" s="55" t="s">
        <v>188</v>
      </c>
      <c r="AO13613" s="55">
        <v>21</v>
      </c>
      <c r="AP13613" s="55">
        <v>3</v>
      </c>
      <c r="AQ13613" s="55">
        <v>0</v>
      </c>
      <c r="AR13613" s="55">
        <v>28500</v>
      </c>
      <c r="AS13613" s="78">
        <f t="shared" si="216"/>
        <v>0</v>
      </c>
    </row>
    <row r="13614" spans="39:45">
      <c r="AM13614" s="54">
        <v>2020</v>
      </c>
      <c r="AN13614" s="54" t="s">
        <v>188</v>
      </c>
      <c r="AO13614" s="54">
        <v>21</v>
      </c>
      <c r="AP13614" s="54">
        <v>4</v>
      </c>
      <c r="AQ13614" s="54">
        <v>0</v>
      </c>
      <c r="AR13614" s="55">
        <v>28500</v>
      </c>
      <c r="AS13614" s="78">
        <f t="shared" si="216"/>
        <v>0</v>
      </c>
    </row>
    <row r="13615" spans="39:45">
      <c r="AM13615" s="55">
        <v>2020</v>
      </c>
      <c r="AN13615" s="55" t="s">
        <v>188</v>
      </c>
      <c r="AO13615" s="55">
        <v>21</v>
      </c>
      <c r="AP13615" s="55">
        <v>5</v>
      </c>
      <c r="AQ13615" s="55">
        <v>1028</v>
      </c>
      <c r="AR13615" s="55">
        <v>28500</v>
      </c>
      <c r="AS13615" s="78">
        <f t="shared" si="216"/>
        <v>3.6070175438596488E-2</v>
      </c>
    </row>
    <row r="13616" spans="39:45">
      <c r="AM13616" s="54">
        <v>2020</v>
      </c>
      <c r="AN13616" s="54" t="s">
        <v>188</v>
      </c>
      <c r="AO13616" s="54">
        <v>21</v>
      </c>
      <c r="AP13616" s="54">
        <v>6</v>
      </c>
      <c r="AQ13616" s="54">
        <v>2971</v>
      </c>
      <c r="AR13616" s="55">
        <v>28500</v>
      </c>
      <c r="AS13616" s="78">
        <f t="shared" si="216"/>
        <v>0.10424561403508772</v>
      </c>
    </row>
    <row r="13617" spans="39:45">
      <c r="AM13617" s="55">
        <v>2020</v>
      </c>
      <c r="AN13617" s="55" t="s">
        <v>188</v>
      </c>
      <c r="AO13617" s="55">
        <v>21</v>
      </c>
      <c r="AP13617" s="55">
        <v>7</v>
      </c>
      <c r="AQ13617" s="55">
        <v>12098.5</v>
      </c>
      <c r="AR13617" s="55">
        <v>28500</v>
      </c>
      <c r="AS13617" s="78">
        <f t="shared" si="216"/>
        <v>0.42450877192982456</v>
      </c>
    </row>
    <row r="13618" spans="39:45">
      <c r="AM13618" s="54">
        <v>2020</v>
      </c>
      <c r="AN13618" s="54" t="s">
        <v>188</v>
      </c>
      <c r="AO13618" s="54">
        <v>21</v>
      </c>
      <c r="AP13618" s="54">
        <v>8</v>
      </c>
      <c r="AQ13618" s="54">
        <v>21952.5</v>
      </c>
      <c r="AR13618" s="55">
        <v>28500</v>
      </c>
      <c r="AS13618" s="78">
        <f t="shared" si="216"/>
        <v>0.77026315789473687</v>
      </c>
    </row>
    <row r="13619" spans="39:45">
      <c r="AM13619" s="55">
        <v>2020</v>
      </c>
      <c r="AN13619" s="55" t="s">
        <v>188</v>
      </c>
      <c r="AO13619" s="55">
        <v>21</v>
      </c>
      <c r="AP13619" s="55">
        <v>9</v>
      </c>
      <c r="AQ13619" s="55">
        <v>29653.5</v>
      </c>
      <c r="AR13619" s="55">
        <v>28500</v>
      </c>
      <c r="AS13619" s="78">
        <f t="shared" si="216"/>
        <v>1.0404736842105262</v>
      </c>
    </row>
    <row r="13620" spans="39:45">
      <c r="AM13620" s="54">
        <v>2020</v>
      </c>
      <c r="AN13620" s="54" t="s">
        <v>188</v>
      </c>
      <c r="AO13620" s="54">
        <v>21</v>
      </c>
      <c r="AP13620" s="54">
        <v>10</v>
      </c>
      <c r="AQ13620" s="54">
        <v>28495</v>
      </c>
      <c r="AR13620" s="55">
        <v>28500</v>
      </c>
      <c r="AS13620" s="78">
        <f t="shared" si="216"/>
        <v>0.99982456140350873</v>
      </c>
    </row>
    <row r="13621" spans="39:45">
      <c r="AM13621" s="55">
        <v>2020</v>
      </c>
      <c r="AN13621" s="55" t="s">
        <v>188</v>
      </c>
      <c r="AO13621" s="55">
        <v>21</v>
      </c>
      <c r="AP13621" s="55">
        <v>11</v>
      </c>
      <c r="AQ13621" s="55">
        <v>31264</v>
      </c>
      <c r="AR13621" s="55">
        <v>28500</v>
      </c>
      <c r="AS13621" s="78">
        <f t="shared" si="216"/>
        <v>1.0969824561403509</v>
      </c>
    </row>
    <row r="13622" spans="39:45">
      <c r="AM13622" s="54">
        <v>2020</v>
      </c>
      <c r="AN13622" s="54" t="s">
        <v>188</v>
      </c>
      <c r="AO13622" s="54">
        <v>21</v>
      </c>
      <c r="AP13622" s="54">
        <v>12</v>
      </c>
      <c r="AQ13622" s="54">
        <v>32986.5</v>
      </c>
      <c r="AR13622" s="55">
        <v>28500</v>
      </c>
      <c r="AS13622" s="78">
        <f t="shared" si="216"/>
        <v>1.1574210526315789</v>
      </c>
    </row>
    <row r="13623" spans="39:45">
      <c r="AM13623" s="55">
        <v>2020</v>
      </c>
      <c r="AN13623" s="55" t="s">
        <v>188</v>
      </c>
      <c r="AO13623" s="55">
        <v>21</v>
      </c>
      <c r="AP13623" s="55">
        <v>13</v>
      </c>
      <c r="AQ13623" s="55">
        <v>31905</v>
      </c>
      <c r="AR13623" s="55">
        <v>28500</v>
      </c>
      <c r="AS13623" s="78">
        <f t="shared" si="216"/>
        <v>1.1194736842105264</v>
      </c>
    </row>
    <row r="13624" spans="39:45">
      <c r="AM13624" s="54">
        <v>2020</v>
      </c>
      <c r="AN13624" s="54" t="s">
        <v>188</v>
      </c>
      <c r="AO13624" s="54">
        <v>21</v>
      </c>
      <c r="AP13624" s="54">
        <v>14</v>
      </c>
      <c r="AQ13624" s="54">
        <v>30430</v>
      </c>
      <c r="AR13624" s="55">
        <v>28500</v>
      </c>
      <c r="AS13624" s="78">
        <f t="shared" si="216"/>
        <v>1.0677192982456141</v>
      </c>
    </row>
    <row r="13625" spans="39:45">
      <c r="AM13625" s="55">
        <v>2020</v>
      </c>
      <c r="AN13625" s="55" t="s">
        <v>188</v>
      </c>
      <c r="AO13625" s="55">
        <v>21</v>
      </c>
      <c r="AP13625" s="55">
        <v>15</v>
      </c>
      <c r="AQ13625" s="55">
        <v>21781.5</v>
      </c>
      <c r="AR13625" s="55">
        <v>28500</v>
      </c>
      <c r="AS13625" s="78">
        <f t="shared" si="216"/>
        <v>0.76426315789473687</v>
      </c>
    </row>
    <row r="13626" spans="39:45">
      <c r="AM13626" s="54">
        <v>2020</v>
      </c>
      <c r="AN13626" s="54" t="s">
        <v>188</v>
      </c>
      <c r="AO13626" s="54">
        <v>21</v>
      </c>
      <c r="AP13626" s="54">
        <v>16</v>
      </c>
      <c r="AQ13626" s="54">
        <v>18093.5</v>
      </c>
      <c r="AR13626" s="55">
        <v>28500</v>
      </c>
      <c r="AS13626" s="78">
        <f t="shared" si="216"/>
        <v>0.63485964912280701</v>
      </c>
    </row>
    <row r="13627" spans="39:45">
      <c r="AM13627" s="55">
        <v>2020</v>
      </c>
      <c r="AN13627" s="55" t="s">
        <v>188</v>
      </c>
      <c r="AO13627" s="55">
        <v>21</v>
      </c>
      <c r="AP13627" s="55">
        <v>17</v>
      </c>
      <c r="AQ13627" s="55">
        <v>9230</v>
      </c>
      <c r="AR13627" s="55">
        <v>28500</v>
      </c>
      <c r="AS13627" s="78">
        <f t="shared" si="216"/>
        <v>0.32385964912280701</v>
      </c>
    </row>
    <row r="13628" spans="39:45">
      <c r="AM13628" s="54">
        <v>2020</v>
      </c>
      <c r="AN13628" s="54" t="s">
        <v>188</v>
      </c>
      <c r="AO13628" s="54">
        <v>21</v>
      </c>
      <c r="AP13628" s="54">
        <v>18</v>
      </c>
      <c r="AQ13628" s="54">
        <v>3057.5</v>
      </c>
      <c r="AR13628" s="55">
        <v>28500</v>
      </c>
      <c r="AS13628" s="78">
        <f t="shared" si="216"/>
        <v>0.10728070175438596</v>
      </c>
    </row>
    <row r="13629" spans="39:45">
      <c r="AM13629" s="55">
        <v>2020</v>
      </c>
      <c r="AN13629" s="55" t="s">
        <v>188</v>
      </c>
      <c r="AO13629" s="55">
        <v>21</v>
      </c>
      <c r="AP13629" s="55">
        <v>19</v>
      </c>
      <c r="AQ13629" s="55">
        <v>803</v>
      </c>
      <c r="AR13629" s="55">
        <v>28500</v>
      </c>
      <c r="AS13629" s="78">
        <f t="shared" si="216"/>
        <v>2.8175438596491229E-2</v>
      </c>
    </row>
    <row r="13630" spans="39:45">
      <c r="AM13630" s="54">
        <v>2020</v>
      </c>
      <c r="AN13630" s="54" t="s">
        <v>188</v>
      </c>
      <c r="AO13630" s="54">
        <v>21</v>
      </c>
      <c r="AP13630" s="54">
        <v>20</v>
      </c>
      <c r="AQ13630" s="54">
        <v>0</v>
      </c>
      <c r="AR13630" s="55">
        <v>28500</v>
      </c>
      <c r="AS13630" s="78">
        <f t="shared" si="216"/>
        <v>0</v>
      </c>
    </row>
    <row r="13631" spans="39:45">
      <c r="AM13631" s="55">
        <v>2020</v>
      </c>
      <c r="AN13631" s="55" t="s">
        <v>188</v>
      </c>
      <c r="AO13631" s="55">
        <v>21</v>
      </c>
      <c r="AP13631" s="55">
        <v>21</v>
      </c>
      <c r="AQ13631" s="55">
        <v>0</v>
      </c>
      <c r="AR13631" s="55">
        <v>28500</v>
      </c>
      <c r="AS13631" s="78">
        <f t="shared" si="216"/>
        <v>0</v>
      </c>
    </row>
    <row r="13632" spans="39:45">
      <c r="AM13632" s="54">
        <v>2020</v>
      </c>
      <c r="AN13632" s="54" t="s">
        <v>188</v>
      </c>
      <c r="AO13632" s="54">
        <v>21</v>
      </c>
      <c r="AP13632" s="54">
        <v>22</v>
      </c>
      <c r="AQ13632" s="54">
        <v>0</v>
      </c>
      <c r="AR13632" s="55">
        <v>28500</v>
      </c>
      <c r="AS13632" s="78">
        <f t="shared" si="216"/>
        <v>0</v>
      </c>
    </row>
    <row r="13633" spans="39:45">
      <c r="AM13633" s="55">
        <v>2020</v>
      </c>
      <c r="AN13633" s="55" t="s">
        <v>188</v>
      </c>
      <c r="AO13633" s="55">
        <v>21</v>
      </c>
      <c r="AP13633" s="55">
        <v>23</v>
      </c>
      <c r="AQ13633" s="55">
        <v>0</v>
      </c>
      <c r="AR13633" s="55">
        <v>28500</v>
      </c>
      <c r="AS13633" s="78">
        <f t="shared" si="216"/>
        <v>0</v>
      </c>
    </row>
    <row r="13634" spans="39:45">
      <c r="AM13634" s="54">
        <v>2020</v>
      </c>
      <c r="AN13634" s="54" t="s">
        <v>188</v>
      </c>
      <c r="AO13634" s="54">
        <v>22</v>
      </c>
      <c r="AP13634" s="54">
        <v>24</v>
      </c>
      <c r="AQ13634" s="54">
        <v>0</v>
      </c>
      <c r="AR13634" s="55">
        <v>28500</v>
      </c>
      <c r="AS13634" s="78">
        <f t="shared" ref="AS13634:AS13697" si="217">AQ13634/AR13634</f>
        <v>0</v>
      </c>
    </row>
    <row r="13635" spans="39:45">
      <c r="AM13635" s="55">
        <v>2020</v>
      </c>
      <c r="AN13635" s="55" t="s">
        <v>188</v>
      </c>
      <c r="AO13635" s="55">
        <v>22</v>
      </c>
      <c r="AP13635" s="55">
        <v>1</v>
      </c>
      <c r="AQ13635" s="55">
        <v>0</v>
      </c>
      <c r="AR13635" s="55">
        <v>28500</v>
      </c>
      <c r="AS13635" s="78">
        <f t="shared" si="217"/>
        <v>0</v>
      </c>
    </row>
    <row r="13636" spans="39:45">
      <c r="AM13636" s="54">
        <v>2020</v>
      </c>
      <c r="AN13636" s="54" t="s">
        <v>188</v>
      </c>
      <c r="AO13636" s="54">
        <v>22</v>
      </c>
      <c r="AP13636" s="54">
        <v>2</v>
      </c>
      <c r="AQ13636" s="54">
        <v>0</v>
      </c>
      <c r="AR13636" s="55">
        <v>28500</v>
      </c>
      <c r="AS13636" s="78">
        <f t="shared" si="217"/>
        <v>0</v>
      </c>
    </row>
    <row r="13637" spans="39:45">
      <c r="AM13637" s="55">
        <v>2020</v>
      </c>
      <c r="AN13637" s="55" t="s">
        <v>188</v>
      </c>
      <c r="AO13637" s="55">
        <v>22</v>
      </c>
      <c r="AP13637" s="55">
        <v>3</v>
      </c>
      <c r="AQ13637" s="55">
        <v>0</v>
      </c>
      <c r="AR13637" s="55">
        <v>28500</v>
      </c>
      <c r="AS13637" s="78">
        <f t="shared" si="217"/>
        <v>0</v>
      </c>
    </row>
    <row r="13638" spans="39:45">
      <c r="AM13638" s="54">
        <v>2020</v>
      </c>
      <c r="AN13638" s="54" t="s">
        <v>188</v>
      </c>
      <c r="AO13638" s="54">
        <v>22</v>
      </c>
      <c r="AP13638" s="54">
        <v>4</v>
      </c>
      <c r="AQ13638" s="54">
        <v>0</v>
      </c>
      <c r="AR13638" s="55">
        <v>28500</v>
      </c>
      <c r="AS13638" s="78">
        <f t="shared" si="217"/>
        <v>0</v>
      </c>
    </row>
    <row r="13639" spans="39:45">
      <c r="AM13639" s="55">
        <v>2020</v>
      </c>
      <c r="AN13639" s="55" t="s">
        <v>188</v>
      </c>
      <c r="AO13639" s="55">
        <v>22</v>
      </c>
      <c r="AP13639" s="55">
        <v>5</v>
      </c>
      <c r="AQ13639" s="55">
        <v>953</v>
      </c>
      <c r="AR13639" s="55">
        <v>28500</v>
      </c>
      <c r="AS13639" s="78">
        <f t="shared" si="217"/>
        <v>3.3438596491228073E-2</v>
      </c>
    </row>
    <row r="13640" spans="39:45">
      <c r="AM13640" s="54">
        <v>2020</v>
      </c>
      <c r="AN13640" s="54" t="s">
        <v>188</v>
      </c>
      <c r="AO13640" s="54">
        <v>22</v>
      </c>
      <c r="AP13640" s="54">
        <v>6</v>
      </c>
      <c r="AQ13640" s="54">
        <v>2805</v>
      </c>
      <c r="AR13640" s="55">
        <v>28500</v>
      </c>
      <c r="AS13640" s="78">
        <f t="shared" si="217"/>
        <v>9.8421052631578951E-2</v>
      </c>
    </row>
    <row r="13641" spans="39:45">
      <c r="AM13641" s="55">
        <v>2020</v>
      </c>
      <c r="AN13641" s="55" t="s">
        <v>188</v>
      </c>
      <c r="AO13641" s="55">
        <v>22</v>
      </c>
      <c r="AP13641" s="55">
        <v>7</v>
      </c>
      <c r="AQ13641" s="55">
        <v>10396.5</v>
      </c>
      <c r="AR13641" s="55">
        <v>28500</v>
      </c>
      <c r="AS13641" s="78">
        <f t="shared" si="217"/>
        <v>0.36478947368421055</v>
      </c>
    </row>
    <row r="13642" spans="39:45">
      <c r="AM13642" s="54">
        <v>2020</v>
      </c>
      <c r="AN13642" s="54" t="s">
        <v>188</v>
      </c>
      <c r="AO13642" s="54">
        <v>22</v>
      </c>
      <c r="AP13642" s="54">
        <v>8</v>
      </c>
      <c r="AQ13642" s="54">
        <v>18206.5</v>
      </c>
      <c r="AR13642" s="55">
        <v>28500</v>
      </c>
      <c r="AS13642" s="78">
        <f t="shared" si="217"/>
        <v>0.63882456140350874</v>
      </c>
    </row>
    <row r="13643" spans="39:45">
      <c r="AM13643" s="55">
        <v>2020</v>
      </c>
      <c r="AN13643" s="55" t="s">
        <v>188</v>
      </c>
      <c r="AO13643" s="55">
        <v>22</v>
      </c>
      <c r="AP13643" s="55">
        <v>9</v>
      </c>
      <c r="AQ13643" s="55">
        <v>29503</v>
      </c>
      <c r="AR13643" s="55">
        <v>28500</v>
      </c>
      <c r="AS13643" s="78">
        <f t="shared" si="217"/>
        <v>1.0351929824561403</v>
      </c>
    </row>
    <row r="13644" spans="39:45">
      <c r="AM13644" s="54">
        <v>2020</v>
      </c>
      <c r="AN13644" s="54" t="s">
        <v>188</v>
      </c>
      <c r="AO13644" s="54">
        <v>22</v>
      </c>
      <c r="AP13644" s="54">
        <v>10</v>
      </c>
      <c r="AQ13644" s="54">
        <v>34319</v>
      </c>
      <c r="AR13644" s="55">
        <v>28500</v>
      </c>
      <c r="AS13644" s="78">
        <f t="shared" si="217"/>
        <v>1.2041754385964911</v>
      </c>
    </row>
    <row r="13645" spans="39:45">
      <c r="AM13645" s="55">
        <v>2020</v>
      </c>
      <c r="AN13645" s="55" t="s">
        <v>188</v>
      </c>
      <c r="AO13645" s="55">
        <v>22</v>
      </c>
      <c r="AP13645" s="55">
        <v>11</v>
      </c>
      <c r="AQ13645" s="55">
        <v>30442</v>
      </c>
      <c r="AR13645" s="55">
        <v>28500</v>
      </c>
      <c r="AS13645" s="78">
        <f t="shared" si="217"/>
        <v>1.0681403508771929</v>
      </c>
    </row>
    <row r="13646" spans="39:45">
      <c r="AM13646" s="54">
        <v>2020</v>
      </c>
      <c r="AN13646" s="54" t="s">
        <v>188</v>
      </c>
      <c r="AO13646" s="54">
        <v>22</v>
      </c>
      <c r="AP13646" s="54">
        <v>12</v>
      </c>
      <c r="AQ13646" s="54">
        <v>19912</v>
      </c>
      <c r="AR13646" s="55">
        <v>28500</v>
      </c>
      <c r="AS13646" s="78">
        <f t="shared" si="217"/>
        <v>0.69866666666666666</v>
      </c>
    </row>
    <row r="13647" spans="39:45">
      <c r="AM13647" s="55">
        <v>2020</v>
      </c>
      <c r="AN13647" s="55" t="s">
        <v>188</v>
      </c>
      <c r="AO13647" s="55">
        <v>22</v>
      </c>
      <c r="AP13647" s="55">
        <v>13</v>
      </c>
      <c r="AQ13647" s="55">
        <v>27010.5</v>
      </c>
      <c r="AR13647" s="55">
        <v>28500</v>
      </c>
      <c r="AS13647" s="78">
        <f t="shared" si="217"/>
        <v>0.94773684210526321</v>
      </c>
    </row>
    <row r="13648" spans="39:45">
      <c r="AM13648" s="54">
        <v>2020</v>
      </c>
      <c r="AN13648" s="54" t="s">
        <v>188</v>
      </c>
      <c r="AO13648" s="54">
        <v>22</v>
      </c>
      <c r="AP13648" s="54">
        <v>14</v>
      </c>
      <c r="AQ13648" s="54">
        <v>21293</v>
      </c>
      <c r="AR13648" s="55">
        <v>28500</v>
      </c>
      <c r="AS13648" s="78">
        <f t="shared" si="217"/>
        <v>0.74712280701754386</v>
      </c>
    </row>
    <row r="13649" spans="39:45">
      <c r="AM13649" s="55">
        <v>2020</v>
      </c>
      <c r="AN13649" s="55" t="s">
        <v>188</v>
      </c>
      <c r="AO13649" s="55">
        <v>22</v>
      </c>
      <c r="AP13649" s="55">
        <v>15</v>
      </c>
      <c r="AQ13649" s="55">
        <v>25774</v>
      </c>
      <c r="AR13649" s="55">
        <v>28500</v>
      </c>
      <c r="AS13649" s="78">
        <f t="shared" si="217"/>
        <v>0.90435087719298246</v>
      </c>
    </row>
    <row r="13650" spans="39:45">
      <c r="AM13650" s="54">
        <v>2020</v>
      </c>
      <c r="AN13650" s="54" t="s">
        <v>188</v>
      </c>
      <c r="AO13650" s="54">
        <v>22</v>
      </c>
      <c r="AP13650" s="54">
        <v>16</v>
      </c>
      <c r="AQ13650" s="54">
        <v>18369</v>
      </c>
      <c r="AR13650" s="55">
        <v>28500</v>
      </c>
      <c r="AS13650" s="78">
        <f t="shared" si="217"/>
        <v>0.64452631578947372</v>
      </c>
    </row>
    <row r="13651" spans="39:45">
      <c r="AM13651" s="55">
        <v>2020</v>
      </c>
      <c r="AN13651" s="55" t="s">
        <v>188</v>
      </c>
      <c r="AO13651" s="55">
        <v>22</v>
      </c>
      <c r="AP13651" s="55">
        <v>17</v>
      </c>
      <c r="AQ13651" s="55">
        <v>9830</v>
      </c>
      <c r="AR13651" s="55">
        <v>28500</v>
      </c>
      <c r="AS13651" s="78">
        <f t="shared" si="217"/>
        <v>0.34491228070175439</v>
      </c>
    </row>
    <row r="13652" spans="39:45">
      <c r="AM13652" s="54">
        <v>2020</v>
      </c>
      <c r="AN13652" s="54" t="s">
        <v>188</v>
      </c>
      <c r="AO13652" s="54">
        <v>22</v>
      </c>
      <c r="AP13652" s="54">
        <v>18</v>
      </c>
      <c r="AQ13652" s="54">
        <v>2085</v>
      </c>
      <c r="AR13652" s="55">
        <v>28500</v>
      </c>
      <c r="AS13652" s="78">
        <f t="shared" si="217"/>
        <v>7.3157894736842102E-2</v>
      </c>
    </row>
    <row r="13653" spans="39:45">
      <c r="AM13653" s="55">
        <v>2020</v>
      </c>
      <c r="AN13653" s="55" t="s">
        <v>188</v>
      </c>
      <c r="AO13653" s="55">
        <v>22</v>
      </c>
      <c r="AP13653" s="55">
        <v>19</v>
      </c>
      <c r="AQ13653" s="55">
        <v>739</v>
      </c>
      <c r="AR13653" s="55">
        <v>28500</v>
      </c>
      <c r="AS13653" s="78">
        <f t="shared" si="217"/>
        <v>2.5929824561403508E-2</v>
      </c>
    </row>
    <row r="13654" spans="39:45">
      <c r="AM13654" s="54">
        <v>2020</v>
      </c>
      <c r="AN13654" s="54" t="s">
        <v>188</v>
      </c>
      <c r="AO13654" s="54">
        <v>22</v>
      </c>
      <c r="AP13654" s="54">
        <v>20</v>
      </c>
      <c r="AQ13654" s="54">
        <v>0</v>
      </c>
      <c r="AR13654" s="55">
        <v>28500</v>
      </c>
      <c r="AS13654" s="78">
        <f t="shared" si="217"/>
        <v>0</v>
      </c>
    </row>
    <row r="13655" spans="39:45">
      <c r="AM13655" s="55">
        <v>2020</v>
      </c>
      <c r="AN13655" s="55" t="s">
        <v>188</v>
      </c>
      <c r="AO13655" s="55">
        <v>22</v>
      </c>
      <c r="AP13655" s="55">
        <v>21</v>
      </c>
      <c r="AQ13655" s="55">
        <v>0</v>
      </c>
      <c r="AR13655" s="55">
        <v>28500</v>
      </c>
      <c r="AS13655" s="78">
        <f t="shared" si="217"/>
        <v>0</v>
      </c>
    </row>
    <row r="13656" spans="39:45">
      <c r="AM13656" s="54">
        <v>2020</v>
      </c>
      <c r="AN13656" s="54" t="s">
        <v>188</v>
      </c>
      <c r="AO13656" s="54">
        <v>22</v>
      </c>
      <c r="AP13656" s="54">
        <v>22</v>
      </c>
      <c r="AQ13656" s="54">
        <v>0</v>
      </c>
      <c r="AR13656" s="55">
        <v>28500</v>
      </c>
      <c r="AS13656" s="78">
        <f t="shared" si="217"/>
        <v>0</v>
      </c>
    </row>
    <row r="13657" spans="39:45">
      <c r="AM13657" s="55">
        <v>2020</v>
      </c>
      <c r="AN13657" s="55" t="s">
        <v>188</v>
      </c>
      <c r="AO13657" s="55">
        <v>22</v>
      </c>
      <c r="AP13657" s="55">
        <v>23</v>
      </c>
      <c r="AQ13657" s="55">
        <v>0</v>
      </c>
      <c r="AR13657" s="55">
        <v>28500</v>
      </c>
      <c r="AS13657" s="78">
        <f t="shared" si="217"/>
        <v>0</v>
      </c>
    </row>
    <row r="13658" spans="39:45">
      <c r="AM13658" s="54">
        <v>2020</v>
      </c>
      <c r="AN13658" s="54" t="s">
        <v>188</v>
      </c>
      <c r="AO13658" s="54">
        <v>23</v>
      </c>
      <c r="AP13658" s="54">
        <v>24</v>
      </c>
      <c r="AQ13658" s="54">
        <v>0</v>
      </c>
      <c r="AR13658" s="55">
        <v>28500</v>
      </c>
      <c r="AS13658" s="78">
        <f t="shared" si="217"/>
        <v>0</v>
      </c>
    </row>
    <row r="13659" spans="39:45">
      <c r="AM13659" s="55">
        <v>2020</v>
      </c>
      <c r="AN13659" s="55" t="s">
        <v>188</v>
      </c>
      <c r="AO13659" s="55">
        <v>23</v>
      </c>
      <c r="AP13659" s="55">
        <v>1</v>
      </c>
      <c r="AQ13659" s="55">
        <v>0</v>
      </c>
      <c r="AR13659" s="55">
        <v>28500</v>
      </c>
      <c r="AS13659" s="78">
        <f t="shared" si="217"/>
        <v>0</v>
      </c>
    </row>
    <row r="13660" spans="39:45">
      <c r="AM13660" s="54">
        <v>2020</v>
      </c>
      <c r="AN13660" s="54" t="s">
        <v>188</v>
      </c>
      <c r="AO13660" s="54">
        <v>23</v>
      </c>
      <c r="AP13660" s="54">
        <v>2</v>
      </c>
      <c r="AQ13660" s="54">
        <v>0</v>
      </c>
      <c r="AR13660" s="55">
        <v>28500</v>
      </c>
      <c r="AS13660" s="78">
        <f t="shared" si="217"/>
        <v>0</v>
      </c>
    </row>
    <row r="13661" spans="39:45">
      <c r="AM13661" s="55">
        <v>2020</v>
      </c>
      <c r="AN13661" s="55" t="s">
        <v>188</v>
      </c>
      <c r="AO13661" s="55">
        <v>23</v>
      </c>
      <c r="AP13661" s="55">
        <v>3</v>
      </c>
      <c r="AQ13661" s="55">
        <v>0</v>
      </c>
      <c r="AR13661" s="55">
        <v>28500</v>
      </c>
      <c r="AS13661" s="78">
        <f t="shared" si="217"/>
        <v>0</v>
      </c>
    </row>
    <row r="13662" spans="39:45">
      <c r="AM13662" s="54">
        <v>2020</v>
      </c>
      <c r="AN13662" s="54" t="s">
        <v>188</v>
      </c>
      <c r="AO13662" s="54">
        <v>23</v>
      </c>
      <c r="AP13662" s="54">
        <v>4</v>
      </c>
      <c r="AQ13662" s="54">
        <v>0</v>
      </c>
      <c r="AR13662" s="55">
        <v>28500</v>
      </c>
      <c r="AS13662" s="78">
        <f t="shared" si="217"/>
        <v>0</v>
      </c>
    </row>
    <row r="13663" spans="39:45">
      <c r="AM13663" s="55">
        <v>2020</v>
      </c>
      <c r="AN13663" s="55" t="s">
        <v>188</v>
      </c>
      <c r="AO13663" s="55">
        <v>23</v>
      </c>
      <c r="AP13663" s="55">
        <v>5</v>
      </c>
      <c r="AQ13663" s="55">
        <v>558.5</v>
      </c>
      <c r="AR13663" s="55">
        <v>28500</v>
      </c>
      <c r="AS13663" s="78">
        <f t="shared" si="217"/>
        <v>1.9596491228070174E-2</v>
      </c>
    </row>
    <row r="13664" spans="39:45">
      <c r="AM13664" s="54">
        <v>2020</v>
      </c>
      <c r="AN13664" s="54" t="s">
        <v>188</v>
      </c>
      <c r="AO13664" s="54">
        <v>23</v>
      </c>
      <c r="AP13664" s="54">
        <v>6</v>
      </c>
      <c r="AQ13664" s="54">
        <v>3284.5</v>
      </c>
      <c r="AR13664" s="55">
        <v>28500</v>
      </c>
      <c r="AS13664" s="78">
        <f t="shared" si="217"/>
        <v>0.11524561403508772</v>
      </c>
    </row>
    <row r="13665" spans="39:45">
      <c r="AM13665" s="55">
        <v>2020</v>
      </c>
      <c r="AN13665" s="55" t="s">
        <v>188</v>
      </c>
      <c r="AO13665" s="55">
        <v>23</v>
      </c>
      <c r="AP13665" s="55">
        <v>7</v>
      </c>
      <c r="AQ13665" s="55">
        <v>7488.5</v>
      </c>
      <c r="AR13665" s="55">
        <v>28500</v>
      </c>
      <c r="AS13665" s="78">
        <f t="shared" si="217"/>
        <v>0.2627543859649123</v>
      </c>
    </row>
    <row r="13666" spans="39:45">
      <c r="AM13666" s="54">
        <v>2020</v>
      </c>
      <c r="AN13666" s="54" t="s">
        <v>188</v>
      </c>
      <c r="AO13666" s="54">
        <v>23</v>
      </c>
      <c r="AP13666" s="54">
        <v>8</v>
      </c>
      <c r="AQ13666" s="54">
        <v>9217</v>
      </c>
      <c r="AR13666" s="55">
        <v>28500</v>
      </c>
      <c r="AS13666" s="78">
        <f t="shared" si="217"/>
        <v>0.3234035087719298</v>
      </c>
    </row>
    <row r="13667" spans="39:45">
      <c r="AM13667" s="55">
        <v>2020</v>
      </c>
      <c r="AN13667" s="55" t="s">
        <v>188</v>
      </c>
      <c r="AO13667" s="55">
        <v>23</v>
      </c>
      <c r="AP13667" s="55">
        <v>9</v>
      </c>
      <c r="AQ13667" s="55">
        <v>15880</v>
      </c>
      <c r="AR13667" s="55">
        <v>28500</v>
      </c>
      <c r="AS13667" s="78">
        <f t="shared" si="217"/>
        <v>0.55719298245614035</v>
      </c>
    </row>
    <row r="13668" spans="39:45">
      <c r="AM13668" s="54">
        <v>2020</v>
      </c>
      <c r="AN13668" s="54" t="s">
        <v>188</v>
      </c>
      <c r="AO13668" s="54">
        <v>23</v>
      </c>
      <c r="AP13668" s="54">
        <v>10</v>
      </c>
      <c r="AQ13668" s="54">
        <v>21956</v>
      </c>
      <c r="AR13668" s="55">
        <v>28500</v>
      </c>
      <c r="AS13668" s="78">
        <f t="shared" si="217"/>
        <v>0.77038596491228073</v>
      </c>
    </row>
    <row r="13669" spans="39:45">
      <c r="AM13669" s="55">
        <v>2020</v>
      </c>
      <c r="AN13669" s="55" t="s">
        <v>188</v>
      </c>
      <c r="AO13669" s="55">
        <v>23</v>
      </c>
      <c r="AP13669" s="55">
        <v>11</v>
      </c>
      <c r="AQ13669" s="55">
        <v>37016.5</v>
      </c>
      <c r="AR13669" s="55">
        <v>28500</v>
      </c>
      <c r="AS13669" s="78">
        <f t="shared" si="217"/>
        <v>1.2988245614035088</v>
      </c>
    </row>
    <row r="13670" spans="39:45">
      <c r="AM13670" s="54">
        <v>2020</v>
      </c>
      <c r="AN13670" s="54" t="s">
        <v>188</v>
      </c>
      <c r="AO13670" s="54">
        <v>23</v>
      </c>
      <c r="AP13670" s="54">
        <v>12</v>
      </c>
      <c r="AQ13670" s="54">
        <v>13240.5</v>
      </c>
      <c r="AR13670" s="55">
        <v>28500</v>
      </c>
      <c r="AS13670" s="78">
        <f t="shared" si="217"/>
        <v>0.46457894736842104</v>
      </c>
    </row>
    <row r="13671" spans="39:45">
      <c r="AM13671" s="55">
        <v>2020</v>
      </c>
      <c r="AN13671" s="55" t="s">
        <v>188</v>
      </c>
      <c r="AO13671" s="55">
        <v>23</v>
      </c>
      <c r="AP13671" s="55">
        <v>13</v>
      </c>
      <c r="AQ13671" s="55">
        <v>35817.5</v>
      </c>
      <c r="AR13671" s="55">
        <v>28500</v>
      </c>
      <c r="AS13671" s="78">
        <f t="shared" si="217"/>
        <v>1.2567543859649122</v>
      </c>
    </row>
    <row r="13672" spans="39:45">
      <c r="AM13672" s="54">
        <v>2020</v>
      </c>
      <c r="AN13672" s="54" t="s">
        <v>188</v>
      </c>
      <c r="AO13672" s="54">
        <v>23</v>
      </c>
      <c r="AP13672" s="54">
        <v>14</v>
      </c>
      <c r="AQ13672" s="54">
        <v>33033.5</v>
      </c>
      <c r="AR13672" s="55">
        <v>28500</v>
      </c>
      <c r="AS13672" s="78">
        <f t="shared" si="217"/>
        <v>1.1590701754385966</v>
      </c>
    </row>
    <row r="13673" spans="39:45">
      <c r="AM13673" s="55">
        <v>2020</v>
      </c>
      <c r="AN13673" s="55" t="s">
        <v>188</v>
      </c>
      <c r="AO13673" s="55">
        <v>23</v>
      </c>
      <c r="AP13673" s="55">
        <v>15</v>
      </c>
      <c r="AQ13673" s="55">
        <v>27063</v>
      </c>
      <c r="AR13673" s="55">
        <v>28500</v>
      </c>
      <c r="AS13673" s="78">
        <f t="shared" si="217"/>
        <v>0.94957894736842108</v>
      </c>
    </row>
    <row r="13674" spans="39:45">
      <c r="AM13674" s="54">
        <v>2020</v>
      </c>
      <c r="AN13674" s="54" t="s">
        <v>188</v>
      </c>
      <c r="AO13674" s="54">
        <v>23</v>
      </c>
      <c r="AP13674" s="54">
        <v>16</v>
      </c>
      <c r="AQ13674" s="54">
        <v>13703.5</v>
      </c>
      <c r="AR13674" s="55">
        <v>28500</v>
      </c>
      <c r="AS13674" s="78">
        <f t="shared" si="217"/>
        <v>0.48082456140350877</v>
      </c>
    </row>
    <row r="13675" spans="39:45">
      <c r="AM13675" s="55">
        <v>2020</v>
      </c>
      <c r="AN13675" s="55" t="s">
        <v>188</v>
      </c>
      <c r="AO13675" s="55">
        <v>23</v>
      </c>
      <c r="AP13675" s="55">
        <v>17</v>
      </c>
      <c r="AQ13675" s="55">
        <v>7472.5</v>
      </c>
      <c r="AR13675" s="55">
        <v>28500</v>
      </c>
      <c r="AS13675" s="78">
        <f t="shared" si="217"/>
        <v>0.26219298245614037</v>
      </c>
    </row>
    <row r="13676" spans="39:45">
      <c r="AM13676" s="54">
        <v>2020</v>
      </c>
      <c r="AN13676" s="54" t="s">
        <v>188</v>
      </c>
      <c r="AO13676" s="54">
        <v>23</v>
      </c>
      <c r="AP13676" s="54">
        <v>18</v>
      </c>
      <c r="AQ13676" s="54">
        <v>2602.5</v>
      </c>
      <c r="AR13676" s="55">
        <v>28500</v>
      </c>
      <c r="AS13676" s="78">
        <f t="shared" si="217"/>
        <v>9.1315789473684211E-2</v>
      </c>
    </row>
    <row r="13677" spans="39:45">
      <c r="AM13677" s="55">
        <v>2020</v>
      </c>
      <c r="AN13677" s="55" t="s">
        <v>188</v>
      </c>
      <c r="AO13677" s="55">
        <v>23</v>
      </c>
      <c r="AP13677" s="55">
        <v>19</v>
      </c>
      <c r="AQ13677" s="55">
        <v>323.5</v>
      </c>
      <c r="AR13677" s="55">
        <v>28500</v>
      </c>
      <c r="AS13677" s="78">
        <f t="shared" si="217"/>
        <v>1.1350877192982457E-2</v>
      </c>
    </row>
    <row r="13678" spans="39:45">
      <c r="AM13678" s="54">
        <v>2020</v>
      </c>
      <c r="AN13678" s="54" t="s">
        <v>188</v>
      </c>
      <c r="AO13678" s="54">
        <v>23</v>
      </c>
      <c r="AP13678" s="54">
        <v>20</v>
      </c>
      <c r="AQ13678" s="54">
        <v>0</v>
      </c>
      <c r="AR13678" s="55">
        <v>28500</v>
      </c>
      <c r="AS13678" s="78">
        <f t="shared" si="217"/>
        <v>0</v>
      </c>
    </row>
    <row r="13679" spans="39:45">
      <c r="AM13679" s="55">
        <v>2020</v>
      </c>
      <c r="AN13679" s="55" t="s">
        <v>188</v>
      </c>
      <c r="AO13679" s="55">
        <v>23</v>
      </c>
      <c r="AP13679" s="55">
        <v>21</v>
      </c>
      <c r="AQ13679" s="55">
        <v>0</v>
      </c>
      <c r="AR13679" s="55">
        <v>28500</v>
      </c>
      <c r="AS13679" s="78">
        <f t="shared" si="217"/>
        <v>0</v>
      </c>
    </row>
    <row r="13680" spans="39:45">
      <c r="AM13680" s="54">
        <v>2020</v>
      </c>
      <c r="AN13680" s="54" t="s">
        <v>188</v>
      </c>
      <c r="AO13680" s="54">
        <v>23</v>
      </c>
      <c r="AP13680" s="54">
        <v>22</v>
      </c>
      <c r="AQ13680" s="54">
        <v>0</v>
      </c>
      <c r="AR13680" s="55">
        <v>28500</v>
      </c>
      <c r="AS13680" s="78">
        <f t="shared" si="217"/>
        <v>0</v>
      </c>
    </row>
    <row r="13681" spans="39:45">
      <c r="AM13681" s="55">
        <v>2020</v>
      </c>
      <c r="AN13681" s="55" t="s">
        <v>188</v>
      </c>
      <c r="AO13681" s="55">
        <v>23</v>
      </c>
      <c r="AP13681" s="55">
        <v>23</v>
      </c>
      <c r="AQ13681" s="55">
        <v>0</v>
      </c>
      <c r="AR13681" s="55">
        <v>28500</v>
      </c>
      <c r="AS13681" s="78">
        <f t="shared" si="217"/>
        <v>0</v>
      </c>
    </row>
    <row r="13682" spans="39:45">
      <c r="AM13682" s="54">
        <v>2020</v>
      </c>
      <c r="AN13682" s="54" t="s">
        <v>188</v>
      </c>
      <c r="AO13682" s="54">
        <v>24</v>
      </c>
      <c r="AP13682" s="54">
        <v>24</v>
      </c>
      <c r="AQ13682" s="54">
        <v>0</v>
      </c>
      <c r="AR13682" s="55">
        <v>28500</v>
      </c>
      <c r="AS13682" s="78">
        <f t="shared" si="217"/>
        <v>0</v>
      </c>
    </row>
    <row r="13683" spans="39:45">
      <c r="AM13683" s="55">
        <v>2020</v>
      </c>
      <c r="AN13683" s="55" t="s">
        <v>188</v>
      </c>
      <c r="AO13683" s="55">
        <v>24</v>
      </c>
      <c r="AP13683" s="55">
        <v>1</v>
      </c>
      <c r="AQ13683" s="55">
        <v>0</v>
      </c>
      <c r="AR13683" s="55">
        <v>28500</v>
      </c>
      <c r="AS13683" s="78">
        <f t="shared" si="217"/>
        <v>0</v>
      </c>
    </row>
    <row r="13684" spans="39:45">
      <c r="AM13684" s="54">
        <v>2020</v>
      </c>
      <c r="AN13684" s="54" t="s">
        <v>188</v>
      </c>
      <c r="AO13684" s="54">
        <v>24</v>
      </c>
      <c r="AP13684" s="54">
        <v>2</v>
      </c>
      <c r="AQ13684" s="54">
        <v>0</v>
      </c>
      <c r="AR13684" s="55">
        <v>28500</v>
      </c>
      <c r="AS13684" s="78">
        <f t="shared" si="217"/>
        <v>0</v>
      </c>
    </row>
    <row r="13685" spans="39:45">
      <c r="AM13685" s="55">
        <v>2020</v>
      </c>
      <c r="AN13685" s="55" t="s">
        <v>188</v>
      </c>
      <c r="AO13685" s="55">
        <v>24</v>
      </c>
      <c r="AP13685" s="55">
        <v>3</v>
      </c>
      <c r="AQ13685" s="55">
        <v>0</v>
      </c>
      <c r="AR13685" s="55">
        <v>28500</v>
      </c>
      <c r="AS13685" s="78">
        <f t="shared" si="217"/>
        <v>0</v>
      </c>
    </row>
    <row r="13686" spans="39:45">
      <c r="AM13686" s="54">
        <v>2020</v>
      </c>
      <c r="AN13686" s="54" t="s">
        <v>188</v>
      </c>
      <c r="AO13686" s="54">
        <v>24</v>
      </c>
      <c r="AP13686" s="54">
        <v>4</v>
      </c>
      <c r="AQ13686" s="54">
        <v>0</v>
      </c>
      <c r="AR13686" s="55">
        <v>28500</v>
      </c>
      <c r="AS13686" s="78">
        <f t="shared" si="217"/>
        <v>0</v>
      </c>
    </row>
    <row r="13687" spans="39:45">
      <c r="AM13687" s="55">
        <v>2020</v>
      </c>
      <c r="AN13687" s="55" t="s">
        <v>188</v>
      </c>
      <c r="AO13687" s="55">
        <v>24</v>
      </c>
      <c r="AP13687" s="55">
        <v>5</v>
      </c>
      <c r="AQ13687" s="55">
        <v>439</v>
      </c>
      <c r="AR13687" s="55">
        <v>28500</v>
      </c>
      <c r="AS13687" s="78">
        <f t="shared" si="217"/>
        <v>1.5403508771929825E-2</v>
      </c>
    </row>
    <row r="13688" spans="39:45">
      <c r="AM13688" s="54">
        <v>2020</v>
      </c>
      <c r="AN13688" s="54" t="s">
        <v>188</v>
      </c>
      <c r="AO13688" s="54">
        <v>24</v>
      </c>
      <c r="AP13688" s="54">
        <v>6</v>
      </c>
      <c r="AQ13688" s="54">
        <v>3069.5</v>
      </c>
      <c r="AR13688" s="55">
        <v>28500</v>
      </c>
      <c r="AS13688" s="78">
        <f t="shared" si="217"/>
        <v>0.10770175438596491</v>
      </c>
    </row>
    <row r="13689" spans="39:45">
      <c r="AM13689" s="55">
        <v>2020</v>
      </c>
      <c r="AN13689" s="55" t="s">
        <v>188</v>
      </c>
      <c r="AO13689" s="55">
        <v>24</v>
      </c>
      <c r="AP13689" s="55">
        <v>7</v>
      </c>
      <c r="AQ13689" s="55">
        <v>6104.5</v>
      </c>
      <c r="AR13689" s="55">
        <v>28500</v>
      </c>
      <c r="AS13689" s="78">
        <f t="shared" si="217"/>
        <v>0.21419298245614035</v>
      </c>
    </row>
    <row r="13690" spans="39:45">
      <c r="AM13690" s="54">
        <v>2020</v>
      </c>
      <c r="AN13690" s="54" t="s">
        <v>188</v>
      </c>
      <c r="AO13690" s="54">
        <v>24</v>
      </c>
      <c r="AP13690" s="54">
        <v>8</v>
      </c>
      <c r="AQ13690" s="54">
        <v>9107</v>
      </c>
      <c r="AR13690" s="55">
        <v>28500</v>
      </c>
      <c r="AS13690" s="78">
        <f t="shared" si="217"/>
        <v>0.3195438596491228</v>
      </c>
    </row>
    <row r="13691" spans="39:45">
      <c r="AM13691" s="55">
        <v>2020</v>
      </c>
      <c r="AN13691" s="55" t="s">
        <v>188</v>
      </c>
      <c r="AO13691" s="55">
        <v>24</v>
      </c>
      <c r="AP13691" s="55">
        <v>9</v>
      </c>
      <c r="AQ13691" s="55">
        <v>20596.5</v>
      </c>
      <c r="AR13691" s="55">
        <v>28500</v>
      </c>
      <c r="AS13691" s="78">
        <f t="shared" si="217"/>
        <v>0.72268421052631582</v>
      </c>
    </row>
    <row r="13692" spans="39:45">
      <c r="AM13692" s="54">
        <v>2020</v>
      </c>
      <c r="AN13692" s="54" t="s">
        <v>188</v>
      </c>
      <c r="AO13692" s="54">
        <v>24</v>
      </c>
      <c r="AP13692" s="54">
        <v>10</v>
      </c>
      <c r="AQ13692" s="54">
        <v>12865.5</v>
      </c>
      <c r="AR13692" s="55">
        <v>28500</v>
      </c>
      <c r="AS13692" s="78">
        <f t="shared" si="217"/>
        <v>0.45142105263157895</v>
      </c>
    </row>
    <row r="13693" spans="39:45">
      <c r="AM13693" s="55">
        <v>2020</v>
      </c>
      <c r="AN13693" s="55" t="s">
        <v>188</v>
      </c>
      <c r="AO13693" s="55">
        <v>24</v>
      </c>
      <c r="AP13693" s="55">
        <v>11</v>
      </c>
      <c r="AQ13693" s="55">
        <v>13816.5</v>
      </c>
      <c r="AR13693" s="55">
        <v>28500</v>
      </c>
      <c r="AS13693" s="78">
        <f t="shared" si="217"/>
        <v>0.48478947368421055</v>
      </c>
    </row>
    <row r="13694" spans="39:45">
      <c r="AM13694" s="54">
        <v>2020</v>
      </c>
      <c r="AN13694" s="54" t="s">
        <v>188</v>
      </c>
      <c r="AO13694" s="54">
        <v>24</v>
      </c>
      <c r="AP13694" s="54">
        <v>12</v>
      </c>
      <c r="AQ13694" s="54">
        <v>24889.5</v>
      </c>
      <c r="AR13694" s="55">
        <v>28500</v>
      </c>
      <c r="AS13694" s="78">
        <f t="shared" si="217"/>
        <v>0.87331578947368416</v>
      </c>
    </row>
    <row r="13695" spans="39:45">
      <c r="AM13695" s="55">
        <v>2020</v>
      </c>
      <c r="AN13695" s="55" t="s">
        <v>188</v>
      </c>
      <c r="AO13695" s="55">
        <v>24</v>
      </c>
      <c r="AP13695" s="55">
        <v>13</v>
      </c>
      <c r="AQ13695" s="55">
        <v>9018.5</v>
      </c>
      <c r="AR13695" s="55">
        <v>28500</v>
      </c>
      <c r="AS13695" s="78">
        <f t="shared" si="217"/>
        <v>0.31643859649122807</v>
      </c>
    </row>
    <row r="13696" spans="39:45">
      <c r="AM13696" s="54">
        <v>2020</v>
      </c>
      <c r="AN13696" s="54" t="s">
        <v>188</v>
      </c>
      <c r="AO13696" s="54">
        <v>24</v>
      </c>
      <c r="AP13696" s="54">
        <v>14</v>
      </c>
      <c r="AQ13696" s="54">
        <v>11177</v>
      </c>
      <c r="AR13696" s="55">
        <v>28500</v>
      </c>
      <c r="AS13696" s="78">
        <f t="shared" si="217"/>
        <v>0.39217543859649123</v>
      </c>
    </row>
    <row r="13697" spans="39:45">
      <c r="AM13697" s="55">
        <v>2020</v>
      </c>
      <c r="AN13697" s="55" t="s">
        <v>188</v>
      </c>
      <c r="AO13697" s="55">
        <v>24</v>
      </c>
      <c r="AP13697" s="55">
        <v>15</v>
      </c>
      <c r="AQ13697" s="55">
        <v>10228.5</v>
      </c>
      <c r="AR13697" s="55">
        <v>28500</v>
      </c>
      <c r="AS13697" s="78">
        <f t="shared" si="217"/>
        <v>0.35889473684210527</v>
      </c>
    </row>
    <row r="13698" spans="39:45">
      <c r="AM13698" s="54">
        <v>2020</v>
      </c>
      <c r="AN13698" s="54" t="s">
        <v>188</v>
      </c>
      <c r="AO13698" s="54">
        <v>24</v>
      </c>
      <c r="AP13698" s="54">
        <v>16</v>
      </c>
      <c r="AQ13698" s="54">
        <v>13965</v>
      </c>
      <c r="AR13698" s="55">
        <v>28500</v>
      </c>
      <c r="AS13698" s="78">
        <f t="shared" ref="AS13698:AS13761" si="218">AQ13698/AR13698</f>
        <v>0.49</v>
      </c>
    </row>
    <row r="13699" spans="39:45">
      <c r="AM13699" s="55">
        <v>2020</v>
      </c>
      <c r="AN13699" s="55" t="s">
        <v>188</v>
      </c>
      <c r="AO13699" s="55">
        <v>24</v>
      </c>
      <c r="AP13699" s="55">
        <v>17</v>
      </c>
      <c r="AQ13699" s="55">
        <v>9171.5</v>
      </c>
      <c r="AR13699" s="55">
        <v>28500</v>
      </c>
      <c r="AS13699" s="78">
        <f t="shared" si="218"/>
        <v>0.32180701754385965</v>
      </c>
    </row>
    <row r="13700" spans="39:45">
      <c r="AM13700" s="54">
        <v>2020</v>
      </c>
      <c r="AN13700" s="54" t="s">
        <v>188</v>
      </c>
      <c r="AO13700" s="54">
        <v>24</v>
      </c>
      <c r="AP13700" s="54">
        <v>18</v>
      </c>
      <c r="AQ13700" s="54">
        <v>2114.5</v>
      </c>
      <c r="AR13700" s="55">
        <v>28500</v>
      </c>
      <c r="AS13700" s="78">
        <f t="shared" si="218"/>
        <v>7.4192982456140352E-2</v>
      </c>
    </row>
    <row r="13701" spans="39:45">
      <c r="AM13701" s="55">
        <v>2020</v>
      </c>
      <c r="AN13701" s="55" t="s">
        <v>188</v>
      </c>
      <c r="AO13701" s="55">
        <v>24</v>
      </c>
      <c r="AP13701" s="55">
        <v>19</v>
      </c>
      <c r="AQ13701" s="55">
        <v>509</v>
      </c>
      <c r="AR13701" s="55">
        <v>28500</v>
      </c>
      <c r="AS13701" s="78">
        <f t="shared" si="218"/>
        <v>1.7859649122807016E-2</v>
      </c>
    </row>
    <row r="13702" spans="39:45">
      <c r="AM13702" s="54">
        <v>2020</v>
      </c>
      <c r="AN13702" s="54" t="s">
        <v>188</v>
      </c>
      <c r="AO13702" s="54">
        <v>24</v>
      </c>
      <c r="AP13702" s="54">
        <v>20</v>
      </c>
      <c r="AQ13702" s="54">
        <v>0</v>
      </c>
      <c r="AR13702" s="55">
        <v>28500</v>
      </c>
      <c r="AS13702" s="78">
        <f t="shared" si="218"/>
        <v>0</v>
      </c>
    </row>
    <row r="13703" spans="39:45">
      <c r="AM13703" s="55">
        <v>2020</v>
      </c>
      <c r="AN13703" s="55" t="s">
        <v>188</v>
      </c>
      <c r="AO13703" s="55">
        <v>24</v>
      </c>
      <c r="AP13703" s="55">
        <v>21</v>
      </c>
      <c r="AQ13703" s="55">
        <v>0</v>
      </c>
      <c r="AR13703" s="55">
        <v>28500</v>
      </c>
      <c r="AS13703" s="78">
        <f t="shared" si="218"/>
        <v>0</v>
      </c>
    </row>
    <row r="13704" spans="39:45">
      <c r="AM13704" s="54">
        <v>2020</v>
      </c>
      <c r="AN13704" s="54" t="s">
        <v>188</v>
      </c>
      <c r="AO13704" s="54">
        <v>24</v>
      </c>
      <c r="AP13704" s="54">
        <v>22</v>
      </c>
      <c r="AQ13704" s="54">
        <v>0</v>
      </c>
      <c r="AR13704" s="55">
        <v>28500</v>
      </c>
      <c r="AS13704" s="78">
        <f t="shared" si="218"/>
        <v>0</v>
      </c>
    </row>
    <row r="13705" spans="39:45">
      <c r="AM13705" s="55">
        <v>2020</v>
      </c>
      <c r="AN13705" s="55" t="s">
        <v>188</v>
      </c>
      <c r="AO13705" s="55">
        <v>24</v>
      </c>
      <c r="AP13705" s="55">
        <v>23</v>
      </c>
      <c r="AQ13705" s="55">
        <v>0</v>
      </c>
      <c r="AR13705" s="55">
        <v>28500</v>
      </c>
      <c r="AS13705" s="78">
        <f t="shared" si="218"/>
        <v>0</v>
      </c>
    </row>
    <row r="13706" spans="39:45">
      <c r="AM13706" s="54">
        <v>2020</v>
      </c>
      <c r="AN13706" s="54" t="s">
        <v>188</v>
      </c>
      <c r="AO13706" s="54">
        <v>25</v>
      </c>
      <c r="AP13706" s="54">
        <v>24</v>
      </c>
      <c r="AQ13706" s="54">
        <v>0</v>
      </c>
      <c r="AR13706" s="55">
        <v>28500</v>
      </c>
      <c r="AS13706" s="78">
        <f t="shared" si="218"/>
        <v>0</v>
      </c>
    </row>
    <row r="13707" spans="39:45">
      <c r="AM13707" s="55">
        <v>2020</v>
      </c>
      <c r="AN13707" s="55" t="s">
        <v>188</v>
      </c>
      <c r="AO13707" s="55">
        <v>25</v>
      </c>
      <c r="AP13707" s="55">
        <v>1</v>
      </c>
      <c r="AQ13707" s="55">
        <v>0</v>
      </c>
      <c r="AR13707" s="55">
        <v>28500</v>
      </c>
      <c r="AS13707" s="78">
        <f t="shared" si="218"/>
        <v>0</v>
      </c>
    </row>
    <row r="13708" spans="39:45">
      <c r="AM13708" s="54">
        <v>2020</v>
      </c>
      <c r="AN13708" s="54" t="s">
        <v>188</v>
      </c>
      <c r="AO13708" s="54">
        <v>25</v>
      </c>
      <c r="AP13708" s="54">
        <v>2</v>
      </c>
      <c r="AQ13708" s="54">
        <v>0</v>
      </c>
      <c r="AR13708" s="55">
        <v>28500</v>
      </c>
      <c r="AS13708" s="78">
        <f t="shared" si="218"/>
        <v>0</v>
      </c>
    </row>
    <row r="13709" spans="39:45">
      <c r="AM13709" s="55">
        <v>2020</v>
      </c>
      <c r="AN13709" s="55" t="s">
        <v>188</v>
      </c>
      <c r="AO13709" s="55">
        <v>25</v>
      </c>
      <c r="AP13709" s="55">
        <v>3</v>
      </c>
      <c r="AQ13709" s="55">
        <v>0</v>
      </c>
      <c r="AR13709" s="55">
        <v>28500</v>
      </c>
      <c r="AS13709" s="78">
        <f t="shared" si="218"/>
        <v>0</v>
      </c>
    </row>
    <row r="13710" spans="39:45">
      <c r="AM13710" s="54">
        <v>2020</v>
      </c>
      <c r="AN13710" s="54" t="s">
        <v>188</v>
      </c>
      <c r="AO13710" s="54">
        <v>25</v>
      </c>
      <c r="AP13710" s="54">
        <v>4</v>
      </c>
      <c r="AQ13710" s="54">
        <v>0</v>
      </c>
      <c r="AR13710" s="55">
        <v>28500</v>
      </c>
      <c r="AS13710" s="78">
        <f t="shared" si="218"/>
        <v>0</v>
      </c>
    </row>
    <row r="13711" spans="39:45">
      <c r="AM13711" s="55">
        <v>2020</v>
      </c>
      <c r="AN13711" s="55" t="s">
        <v>188</v>
      </c>
      <c r="AO13711" s="55">
        <v>25</v>
      </c>
      <c r="AP13711" s="55">
        <v>5</v>
      </c>
      <c r="AQ13711" s="55">
        <v>329</v>
      </c>
      <c r="AR13711" s="55">
        <v>28500</v>
      </c>
      <c r="AS13711" s="78">
        <f t="shared" si="218"/>
        <v>1.1543859649122808E-2</v>
      </c>
    </row>
    <row r="13712" spans="39:45">
      <c r="AM13712" s="54">
        <v>2020</v>
      </c>
      <c r="AN13712" s="54" t="s">
        <v>188</v>
      </c>
      <c r="AO13712" s="54">
        <v>25</v>
      </c>
      <c r="AP13712" s="54">
        <v>6</v>
      </c>
      <c r="AQ13712" s="54">
        <v>770</v>
      </c>
      <c r="AR13712" s="55">
        <v>28500</v>
      </c>
      <c r="AS13712" s="78">
        <f t="shared" si="218"/>
        <v>2.7017543859649124E-2</v>
      </c>
    </row>
    <row r="13713" spans="39:45">
      <c r="AM13713" s="55">
        <v>2020</v>
      </c>
      <c r="AN13713" s="55" t="s">
        <v>188</v>
      </c>
      <c r="AO13713" s="55">
        <v>25</v>
      </c>
      <c r="AP13713" s="55">
        <v>7</v>
      </c>
      <c r="AQ13713" s="55">
        <v>3761</v>
      </c>
      <c r="AR13713" s="55">
        <v>28500</v>
      </c>
      <c r="AS13713" s="78">
        <f t="shared" si="218"/>
        <v>0.13196491228070176</v>
      </c>
    </row>
    <row r="13714" spans="39:45">
      <c r="AM13714" s="54">
        <v>2020</v>
      </c>
      <c r="AN13714" s="54" t="s">
        <v>188</v>
      </c>
      <c r="AO13714" s="54">
        <v>25</v>
      </c>
      <c r="AP13714" s="54">
        <v>8</v>
      </c>
      <c r="AQ13714" s="54">
        <v>3381</v>
      </c>
      <c r="AR13714" s="55">
        <v>28500</v>
      </c>
      <c r="AS13714" s="78">
        <f t="shared" si="218"/>
        <v>0.11863157894736842</v>
      </c>
    </row>
    <row r="13715" spans="39:45">
      <c r="AM13715" s="55">
        <v>2020</v>
      </c>
      <c r="AN13715" s="55" t="s">
        <v>188</v>
      </c>
      <c r="AO13715" s="55">
        <v>25</v>
      </c>
      <c r="AP13715" s="55">
        <v>9</v>
      </c>
      <c r="AQ13715" s="55">
        <v>4285.5</v>
      </c>
      <c r="AR13715" s="55">
        <v>28500</v>
      </c>
      <c r="AS13715" s="78">
        <f t="shared" si="218"/>
        <v>0.15036842105263157</v>
      </c>
    </row>
    <row r="13716" spans="39:45">
      <c r="AM13716" s="54">
        <v>2020</v>
      </c>
      <c r="AN13716" s="54" t="s">
        <v>188</v>
      </c>
      <c r="AO13716" s="54">
        <v>25</v>
      </c>
      <c r="AP13716" s="54">
        <v>10</v>
      </c>
      <c r="AQ13716" s="54">
        <v>7766.5</v>
      </c>
      <c r="AR13716" s="55">
        <v>28500</v>
      </c>
      <c r="AS13716" s="78">
        <f t="shared" si="218"/>
        <v>0.27250877192982453</v>
      </c>
    </row>
    <row r="13717" spans="39:45">
      <c r="AM13717" s="55">
        <v>2020</v>
      </c>
      <c r="AN13717" s="55" t="s">
        <v>188</v>
      </c>
      <c r="AO13717" s="55">
        <v>25</v>
      </c>
      <c r="AP13717" s="55">
        <v>11</v>
      </c>
      <c r="AQ13717" s="55">
        <v>7635</v>
      </c>
      <c r="AR13717" s="55">
        <v>28500</v>
      </c>
      <c r="AS13717" s="78">
        <f t="shared" si="218"/>
        <v>0.26789473684210524</v>
      </c>
    </row>
    <row r="13718" spans="39:45">
      <c r="AM13718" s="54">
        <v>2020</v>
      </c>
      <c r="AN13718" s="54" t="s">
        <v>188</v>
      </c>
      <c r="AO13718" s="54">
        <v>25</v>
      </c>
      <c r="AP13718" s="54">
        <v>12</v>
      </c>
      <c r="AQ13718" s="54">
        <v>10861</v>
      </c>
      <c r="AR13718" s="55">
        <v>28500</v>
      </c>
      <c r="AS13718" s="78">
        <f t="shared" si="218"/>
        <v>0.38108771929824559</v>
      </c>
    </row>
    <row r="13719" spans="39:45">
      <c r="AM13719" s="55">
        <v>2020</v>
      </c>
      <c r="AN13719" s="55" t="s">
        <v>188</v>
      </c>
      <c r="AO13719" s="55">
        <v>25</v>
      </c>
      <c r="AP13719" s="55">
        <v>13</v>
      </c>
      <c r="AQ13719" s="55">
        <v>7167</v>
      </c>
      <c r="AR13719" s="55">
        <v>28500</v>
      </c>
      <c r="AS13719" s="78">
        <f t="shared" si="218"/>
        <v>0.25147368421052629</v>
      </c>
    </row>
    <row r="13720" spans="39:45">
      <c r="AM13720" s="54">
        <v>2020</v>
      </c>
      <c r="AN13720" s="54" t="s">
        <v>188</v>
      </c>
      <c r="AO13720" s="54">
        <v>25</v>
      </c>
      <c r="AP13720" s="54">
        <v>14</v>
      </c>
      <c r="AQ13720" s="54">
        <v>3675.5</v>
      </c>
      <c r="AR13720" s="55">
        <v>28500</v>
      </c>
      <c r="AS13720" s="78">
        <f t="shared" si="218"/>
        <v>0.12896491228070175</v>
      </c>
    </row>
    <row r="13721" spans="39:45">
      <c r="AM13721" s="55">
        <v>2020</v>
      </c>
      <c r="AN13721" s="55" t="s">
        <v>188</v>
      </c>
      <c r="AO13721" s="55">
        <v>25</v>
      </c>
      <c r="AP13721" s="55">
        <v>15</v>
      </c>
      <c r="AQ13721" s="55">
        <v>2537</v>
      </c>
      <c r="AR13721" s="55">
        <v>28500</v>
      </c>
      <c r="AS13721" s="78">
        <f t="shared" si="218"/>
        <v>8.901754385964912E-2</v>
      </c>
    </row>
    <row r="13722" spans="39:45">
      <c r="AM13722" s="54">
        <v>2020</v>
      </c>
      <c r="AN13722" s="54" t="s">
        <v>188</v>
      </c>
      <c r="AO13722" s="54">
        <v>25</v>
      </c>
      <c r="AP13722" s="54">
        <v>16</v>
      </c>
      <c r="AQ13722" s="54">
        <v>1864</v>
      </c>
      <c r="AR13722" s="55">
        <v>28500</v>
      </c>
      <c r="AS13722" s="78">
        <f t="shared" si="218"/>
        <v>6.5403508771929825E-2</v>
      </c>
    </row>
    <row r="13723" spans="39:45">
      <c r="AM13723" s="55">
        <v>2020</v>
      </c>
      <c r="AN13723" s="55" t="s">
        <v>188</v>
      </c>
      <c r="AO13723" s="55">
        <v>25</v>
      </c>
      <c r="AP13723" s="55">
        <v>17</v>
      </c>
      <c r="AQ13723" s="55">
        <v>645</v>
      </c>
      <c r="AR13723" s="55">
        <v>28500</v>
      </c>
      <c r="AS13723" s="78">
        <f t="shared" si="218"/>
        <v>2.2631578947368423E-2</v>
      </c>
    </row>
    <row r="13724" spans="39:45">
      <c r="AM13724" s="54">
        <v>2020</v>
      </c>
      <c r="AN13724" s="54" t="s">
        <v>188</v>
      </c>
      <c r="AO13724" s="54">
        <v>25</v>
      </c>
      <c r="AP13724" s="54">
        <v>18</v>
      </c>
      <c r="AQ13724" s="54">
        <v>237</v>
      </c>
      <c r="AR13724" s="55">
        <v>28500</v>
      </c>
      <c r="AS13724" s="78">
        <f t="shared" si="218"/>
        <v>8.3157894736842104E-3</v>
      </c>
    </row>
    <row r="13725" spans="39:45">
      <c r="AM13725" s="55">
        <v>2020</v>
      </c>
      <c r="AN13725" s="55" t="s">
        <v>188</v>
      </c>
      <c r="AO13725" s="55">
        <v>25</v>
      </c>
      <c r="AP13725" s="55">
        <v>19</v>
      </c>
      <c r="AQ13725" s="55">
        <v>692</v>
      </c>
      <c r="AR13725" s="55">
        <v>28500</v>
      </c>
      <c r="AS13725" s="78">
        <f t="shared" si="218"/>
        <v>2.4280701754385965E-2</v>
      </c>
    </row>
    <row r="13726" spans="39:45">
      <c r="AM13726" s="54">
        <v>2020</v>
      </c>
      <c r="AN13726" s="54" t="s">
        <v>188</v>
      </c>
      <c r="AO13726" s="54">
        <v>25</v>
      </c>
      <c r="AP13726" s="54">
        <v>20</v>
      </c>
      <c r="AQ13726" s="54">
        <v>0</v>
      </c>
      <c r="AR13726" s="55">
        <v>28500</v>
      </c>
      <c r="AS13726" s="78">
        <f t="shared" si="218"/>
        <v>0</v>
      </c>
    </row>
    <row r="13727" spans="39:45">
      <c r="AM13727" s="55">
        <v>2020</v>
      </c>
      <c r="AN13727" s="55" t="s">
        <v>188</v>
      </c>
      <c r="AO13727" s="55">
        <v>25</v>
      </c>
      <c r="AP13727" s="55">
        <v>21</v>
      </c>
      <c r="AQ13727" s="55">
        <v>0</v>
      </c>
      <c r="AR13727" s="55">
        <v>28500</v>
      </c>
      <c r="AS13727" s="78">
        <f t="shared" si="218"/>
        <v>0</v>
      </c>
    </row>
    <row r="13728" spans="39:45">
      <c r="AM13728" s="54">
        <v>2020</v>
      </c>
      <c r="AN13728" s="54" t="s">
        <v>188</v>
      </c>
      <c r="AO13728" s="54">
        <v>25</v>
      </c>
      <c r="AP13728" s="54">
        <v>22</v>
      </c>
      <c r="AQ13728" s="54">
        <v>0</v>
      </c>
      <c r="AR13728" s="55">
        <v>28500</v>
      </c>
      <c r="AS13728" s="78">
        <f t="shared" si="218"/>
        <v>0</v>
      </c>
    </row>
    <row r="13729" spans="39:45">
      <c r="AM13729" s="55">
        <v>2020</v>
      </c>
      <c r="AN13729" s="55" t="s">
        <v>188</v>
      </c>
      <c r="AO13729" s="55">
        <v>25</v>
      </c>
      <c r="AP13729" s="55">
        <v>23</v>
      </c>
      <c r="AQ13729" s="55">
        <v>0</v>
      </c>
      <c r="AR13729" s="55">
        <v>28500</v>
      </c>
      <c r="AS13729" s="78">
        <f t="shared" si="218"/>
        <v>0</v>
      </c>
    </row>
    <row r="13730" spans="39:45">
      <c r="AM13730" s="54">
        <v>2020</v>
      </c>
      <c r="AN13730" s="54" t="s">
        <v>188</v>
      </c>
      <c r="AO13730" s="54">
        <v>26</v>
      </c>
      <c r="AP13730" s="54">
        <v>24</v>
      </c>
      <c r="AQ13730" s="54">
        <v>0</v>
      </c>
      <c r="AR13730" s="55">
        <v>28500</v>
      </c>
      <c r="AS13730" s="78">
        <f t="shared" si="218"/>
        <v>0</v>
      </c>
    </row>
    <row r="13731" spans="39:45">
      <c r="AM13731" s="55">
        <v>2020</v>
      </c>
      <c r="AN13731" s="55" t="s">
        <v>188</v>
      </c>
      <c r="AO13731" s="55">
        <v>26</v>
      </c>
      <c r="AP13731" s="55">
        <v>1</v>
      </c>
      <c r="AQ13731" s="55">
        <v>0</v>
      </c>
      <c r="AR13731" s="55">
        <v>28500</v>
      </c>
      <c r="AS13731" s="78">
        <f t="shared" si="218"/>
        <v>0</v>
      </c>
    </row>
    <row r="13732" spans="39:45">
      <c r="AM13732" s="54">
        <v>2020</v>
      </c>
      <c r="AN13732" s="54" t="s">
        <v>188</v>
      </c>
      <c r="AO13732" s="54">
        <v>26</v>
      </c>
      <c r="AP13732" s="54">
        <v>2</v>
      </c>
      <c r="AQ13732" s="54">
        <v>0</v>
      </c>
      <c r="AR13732" s="55">
        <v>28500</v>
      </c>
      <c r="AS13732" s="78">
        <f t="shared" si="218"/>
        <v>0</v>
      </c>
    </row>
    <row r="13733" spans="39:45">
      <c r="AM13733" s="55">
        <v>2020</v>
      </c>
      <c r="AN13733" s="55" t="s">
        <v>188</v>
      </c>
      <c r="AO13733" s="55">
        <v>26</v>
      </c>
      <c r="AP13733" s="55">
        <v>3</v>
      </c>
      <c r="AQ13733" s="55">
        <v>0</v>
      </c>
      <c r="AR13733" s="55">
        <v>28500</v>
      </c>
      <c r="AS13733" s="78">
        <f t="shared" si="218"/>
        <v>0</v>
      </c>
    </row>
    <row r="13734" spans="39:45">
      <c r="AM13734" s="54">
        <v>2020</v>
      </c>
      <c r="AN13734" s="54" t="s">
        <v>188</v>
      </c>
      <c r="AO13734" s="54">
        <v>26</v>
      </c>
      <c r="AP13734" s="54">
        <v>4</v>
      </c>
      <c r="AQ13734" s="54">
        <v>0</v>
      </c>
      <c r="AR13734" s="55">
        <v>28500</v>
      </c>
      <c r="AS13734" s="78">
        <f t="shared" si="218"/>
        <v>0</v>
      </c>
    </row>
    <row r="13735" spans="39:45">
      <c r="AM13735" s="55">
        <v>2020</v>
      </c>
      <c r="AN13735" s="55" t="s">
        <v>188</v>
      </c>
      <c r="AO13735" s="55">
        <v>26</v>
      </c>
      <c r="AP13735" s="55">
        <v>5</v>
      </c>
      <c r="AQ13735" s="55">
        <v>828.5</v>
      </c>
      <c r="AR13735" s="55">
        <v>28500</v>
      </c>
      <c r="AS13735" s="78">
        <f t="shared" si="218"/>
        <v>2.9070175438596493E-2</v>
      </c>
    </row>
    <row r="13736" spans="39:45">
      <c r="AM13736" s="54">
        <v>2020</v>
      </c>
      <c r="AN13736" s="54" t="s">
        <v>188</v>
      </c>
      <c r="AO13736" s="54">
        <v>26</v>
      </c>
      <c r="AP13736" s="54">
        <v>6</v>
      </c>
      <c r="AQ13736" s="54">
        <v>2644.5</v>
      </c>
      <c r="AR13736" s="55">
        <v>28500</v>
      </c>
      <c r="AS13736" s="78">
        <f t="shared" si="218"/>
        <v>9.2789473684210533E-2</v>
      </c>
    </row>
    <row r="13737" spans="39:45">
      <c r="AM13737" s="55">
        <v>2020</v>
      </c>
      <c r="AN13737" s="55" t="s">
        <v>188</v>
      </c>
      <c r="AO13737" s="55">
        <v>26</v>
      </c>
      <c r="AP13737" s="55">
        <v>7</v>
      </c>
      <c r="AQ13737" s="55">
        <v>6664</v>
      </c>
      <c r="AR13737" s="55">
        <v>28500</v>
      </c>
      <c r="AS13737" s="78">
        <f t="shared" si="218"/>
        <v>0.23382456140350877</v>
      </c>
    </row>
    <row r="13738" spans="39:45">
      <c r="AM13738" s="54">
        <v>2020</v>
      </c>
      <c r="AN13738" s="54" t="s">
        <v>188</v>
      </c>
      <c r="AO13738" s="54">
        <v>26</v>
      </c>
      <c r="AP13738" s="54">
        <v>8</v>
      </c>
      <c r="AQ13738" s="54">
        <v>10798</v>
      </c>
      <c r="AR13738" s="55">
        <v>28500</v>
      </c>
      <c r="AS13738" s="78">
        <f t="shared" si="218"/>
        <v>0.37887719298245615</v>
      </c>
    </row>
    <row r="13739" spans="39:45">
      <c r="AM13739" s="55">
        <v>2020</v>
      </c>
      <c r="AN13739" s="55" t="s">
        <v>188</v>
      </c>
      <c r="AO13739" s="55">
        <v>26</v>
      </c>
      <c r="AP13739" s="55">
        <v>9</v>
      </c>
      <c r="AQ13739" s="55">
        <v>23061</v>
      </c>
      <c r="AR13739" s="55">
        <v>28500</v>
      </c>
      <c r="AS13739" s="78">
        <f t="shared" si="218"/>
        <v>0.80915789473684208</v>
      </c>
    </row>
    <row r="13740" spans="39:45">
      <c r="AM13740" s="54">
        <v>2020</v>
      </c>
      <c r="AN13740" s="54" t="s">
        <v>188</v>
      </c>
      <c r="AO13740" s="54">
        <v>26</v>
      </c>
      <c r="AP13740" s="54">
        <v>10</v>
      </c>
      <c r="AQ13740" s="54">
        <v>14379.5</v>
      </c>
      <c r="AR13740" s="55">
        <v>28500</v>
      </c>
      <c r="AS13740" s="78">
        <f t="shared" si="218"/>
        <v>0.50454385964912285</v>
      </c>
    </row>
    <row r="13741" spans="39:45">
      <c r="AM13741" s="55">
        <v>2020</v>
      </c>
      <c r="AN13741" s="55" t="s">
        <v>188</v>
      </c>
      <c r="AO13741" s="55">
        <v>26</v>
      </c>
      <c r="AP13741" s="55">
        <v>11</v>
      </c>
      <c r="AQ13741" s="55">
        <v>23175</v>
      </c>
      <c r="AR13741" s="55">
        <v>28500</v>
      </c>
      <c r="AS13741" s="78">
        <f t="shared" si="218"/>
        <v>0.81315789473684208</v>
      </c>
    </row>
    <row r="13742" spans="39:45">
      <c r="AM13742" s="54">
        <v>2020</v>
      </c>
      <c r="AN13742" s="54" t="s">
        <v>188</v>
      </c>
      <c r="AO13742" s="54">
        <v>26</v>
      </c>
      <c r="AP13742" s="54">
        <v>12</v>
      </c>
      <c r="AQ13742" s="54">
        <v>29313</v>
      </c>
      <c r="AR13742" s="55">
        <v>28500</v>
      </c>
      <c r="AS13742" s="78">
        <f t="shared" si="218"/>
        <v>1.0285263157894737</v>
      </c>
    </row>
    <row r="13743" spans="39:45">
      <c r="AM13743" s="55">
        <v>2020</v>
      </c>
      <c r="AN13743" s="55" t="s">
        <v>188</v>
      </c>
      <c r="AO13743" s="55">
        <v>26</v>
      </c>
      <c r="AP13743" s="55">
        <v>13</v>
      </c>
      <c r="AQ13743" s="55">
        <v>28459.5</v>
      </c>
      <c r="AR13743" s="55">
        <v>28500</v>
      </c>
      <c r="AS13743" s="78">
        <f t="shared" si="218"/>
        <v>0.99857894736842101</v>
      </c>
    </row>
    <row r="13744" spans="39:45">
      <c r="AM13744" s="54">
        <v>2020</v>
      </c>
      <c r="AN13744" s="54" t="s">
        <v>188</v>
      </c>
      <c r="AO13744" s="54">
        <v>26</v>
      </c>
      <c r="AP13744" s="54">
        <v>14</v>
      </c>
      <c r="AQ13744" s="54">
        <v>16229</v>
      </c>
      <c r="AR13744" s="55">
        <v>28500</v>
      </c>
      <c r="AS13744" s="78">
        <f t="shared" si="218"/>
        <v>0.56943859649122808</v>
      </c>
    </row>
    <row r="13745" spans="39:45">
      <c r="AM13745" s="55">
        <v>2020</v>
      </c>
      <c r="AN13745" s="55" t="s">
        <v>188</v>
      </c>
      <c r="AO13745" s="55">
        <v>26</v>
      </c>
      <c r="AP13745" s="55">
        <v>15</v>
      </c>
      <c r="AQ13745" s="55">
        <v>6538</v>
      </c>
      <c r="AR13745" s="55">
        <v>28500</v>
      </c>
      <c r="AS13745" s="78">
        <f t="shared" si="218"/>
        <v>0.22940350877192983</v>
      </c>
    </row>
    <row r="13746" spans="39:45">
      <c r="AM13746" s="54">
        <v>2020</v>
      </c>
      <c r="AN13746" s="54" t="s">
        <v>188</v>
      </c>
      <c r="AO13746" s="54">
        <v>26</v>
      </c>
      <c r="AP13746" s="54">
        <v>16</v>
      </c>
      <c r="AQ13746" s="54">
        <v>5788.5</v>
      </c>
      <c r="AR13746" s="55">
        <v>28500</v>
      </c>
      <c r="AS13746" s="78">
        <f t="shared" si="218"/>
        <v>0.20310526315789473</v>
      </c>
    </row>
    <row r="13747" spans="39:45">
      <c r="AM13747" s="55">
        <v>2020</v>
      </c>
      <c r="AN13747" s="55" t="s">
        <v>188</v>
      </c>
      <c r="AO13747" s="55">
        <v>26</v>
      </c>
      <c r="AP13747" s="55">
        <v>17</v>
      </c>
      <c r="AQ13747" s="55">
        <v>5961</v>
      </c>
      <c r="AR13747" s="55">
        <v>28500</v>
      </c>
      <c r="AS13747" s="78">
        <f t="shared" si="218"/>
        <v>0.2091578947368421</v>
      </c>
    </row>
    <row r="13748" spans="39:45">
      <c r="AM13748" s="54">
        <v>2020</v>
      </c>
      <c r="AN13748" s="54" t="s">
        <v>188</v>
      </c>
      <c r="AO13748" s="54">
        <v>26</v>
      </c>
      <c r="AP13748" s="54">
        <v>18</v>
      </c>
      <c r="AQ13748" s="54">
        <v>2987</v>
      </c>
      <c r="AR13748" s="55">
        <v>28500</v>
      </c>
      <c r="AS13748" s="78">
        <f t="shared" si="218"/>
        <v>0.10480701754385965</v>
      </c>
    </row>
    <row r="13749" spans="39:45">
      <c r="AM13749" s="55">
        <v>2020</v>
      </c>
      <c r="AN13749" s="55" t="s">
        <v>188</v>
      </c>
      <c r="AO13749" s="55">
        <v>26</v>
      </c>
      <c r="AP13749" s="55">
        <v>19</v>
      </c>
      <c r="AQ13749" s="55">
        <v>113</v>
      </c>
      <c r="AR13749" s="55">
        <v>28500</v>
      </c>
      <c r="AS13749" s="78">
        <f t="shared" si="218"/>
        <v>3.9649122807017545E-3</v>
      </c>
    </row>
    <row r="13750" spans="39:45">
      <c r="AM13750" s="54">
        <v>2020</v>
      </c>
      <c r="AN13750" s="54" t="s">
        <v>188</v>
      </c>
      <c r="AO13750" s="54">
        <v>26</v>
      </c>
      <c r="AP13750" s="54">
        <v>20</v>
      </c>
      <c r="AQ13750" s="54">
        <v>0</v>
      </c>
      <c r="AR13750" s="55">
        <v>28500</v>
      </c>
      <c r="AS13750" s="78">
        <f t="shared" si="218"/>
        <v>0</v>
      </c>
    </row>
    <row r="13751" spans="39:45">
      <c r="AM13751" s="55">
        <v>2020</v>
      </c>
      <c r="AN13751" s="55" t="s">
        <v>188</v>
      </c>
      <c r="AO13751" s="55">
        <v>26</v>
      </c>
      <c r="AP13751" s="55">
        <v>21</v>
      </c>
      <c r="AQ13751" s="55">
        <v>0</v>
      </c>
      <c r="AR13751" s="55">
        <v>28500</v>
      </c>
      <c r="AS13751" s="78">
        <f t="shared" si="218"/>
        <v>0</v>
      </c>
    </row>
    <row r="13752" spans="39:45">
      <c r="AM13752" s="54">
        <v>2020</v>
      </c>
      <c r="AN13752" s="54" t="s">
        <v>188</v>
      </c>
      <c r="AO13752" s="54">
        <v>26</v>
      </c>
      <c r="AP13752" s="54">
        <v>22</v>
      </c>
      <c r="AQ13752" s="54">
        <v>0</v>
      </c>
      <c r="AR13752" s="55">
        <v>28500</v>
      </c>
      <c r="AS13752" s="78">
        <f t="shared" si="218"/>
        <v>0</v>
      </c>
    </row>
    <row r="13753" spans="39:45">
      <c r="AM13753" s="55">
        <v>2020</v>
      </c>
      <c r="AN13753" s="55" t="s">
        <v>188</v>
      </c>
      <c r="AO13753" s="55">
        <v>26</v>
      </c>
      <c r="AP13753" s="55">
        <v>23</v>
      </c>
      <c r="AQ13753" s="55">
        <v>0</v>
      </c>
      <c r="AR13753" s="55">
        <v>28500</v>
      </c>
      <c r="AS13753" s="78">
        <f t="shared" si="218"/>
        <v>0</v>
      </c>
    </row>
    <row r="13754" spans="39:45">
      <c r="AM13754" s="54">
        <v>2020</v>
      </c>
      <c r="AN13754" s="54" t="s">
        <v>188</v>
      </c>
      <c r="AO13754" s="54">
        <v>27</v>
      </c>
      <c r="AP13754" s="54">
        <v>24</v>
      </c>
      <c r="AQ13754" s="54">
        <v>0</v>
      </c>
      <c r="AR13754" s="55">
        <v>28500</v>
      </c>
      <c r="AS13754" s="78">
        <f t="shared" si="218"/>
        <v>0</v>
      </c>
    </row>
    <row r="13755" spans="39:45">
      <c r="AM13755" s="55">
        <v>2020</v>
      </c>
      <c r="AN13755" s="55" t="s">
        <v>188</v>
      </c>
      <c r="AO13755" s="55">
        <v>27</v>
      </c>
      <c r="AP13755" s="55">
        <v>1</v>
      </c>
      <c r="AQ13755" s="55">
        <v>0</v>
      </c>
      <c r="AR13755" s="55">
        <v>28500</v>
      </c>
      <c r="AS13755" s="78">
        <f t="shared" si="218"/>
        <v>0</v>
      </c>
    </row>
    <row r="13756" spans="39:45">
      <c r="AM13756" s="54">
        <v>2020</v>
      </c>
      <c r="AN13756" s="54" t="s">
        <v>188</v>
      </c>
      <c r="AO13756" s="54">
        <v>27</v>
      </c>
      <c r="AP13756" s="54">
        <v>2</v>
      </c>
      <c r="AQ13756" s="54">
        <v>0</v>
      </c>
      <c r="AR13756" s="55">
        <v>28500</v>
      </c>
      <c r="AS13756" s="78">
        <f t="shared" si="218"/>
        <v>0</v>
      </c>
    </row>
    <row r="13757" spans="39:45">
      <c r="AM13757" s="55">
        <v>2020</v>
      </c>
      <c r="AN13757" s="55" t="s">
        <v>188</v>
      </c>
      <c r="AO13757" s="55">
        <v>27</v>
      </c>
      <c r="AP13757" s="55">
        <v>3</v>
      </c>
      <c r="AQ13757" s="55">
        <v>0</v>
      </c>
      <c r="AR13757" s="55">
        <v>28500</v>
      </c>
      <c r="AS13757" s="78">
        <f t="shared" si="218"/>
        <v>0</v>
      </c>
    </row>
    <row r="13758" spans="39:45">
      <c r="AM13758" s="54">
        <v>2020</v>
      </c>
      <c r="AN13758" s="54" t="s">
        <v>188</v>
      </c>
      <c r="AO13758" s="54">
        <v>27</v>
      </c>
      <c r="AP13758" s="54">
        <v>4</v>
      </c>
      <c r="AQ13758" s="54">
        <v>0</v>
      </c>
      <c r="AR13758" s="55">
        <v>28500</v>
      </c>
      <c r="AS13758" s="78">
        <f t="shared" si="218"/>
        <v>0</v>
      </c>
    </row>
    <row r="13759" spans="39:45">
      <c r="AM13759" s="55">
        <v>2020</v>
      </c>
      <c r="AN13759" s="55" t="s">
        <v>188</v>
      </c>
      <c r="AO13759" s="55">
        <v>27</v>
      </c>
      <c r="AP13759" s="55">
        <v>5</v>
      </c>
      <c r="AQ13759" s="55">
        <v>36.5</v>
      </c>
      <c r="AR13759" s="55">
        <v>28500</v>
      </c>
      <c r="AS13759" s="78">
        <f t="shared" si="218"/>
        <v>1.2807017543859649E-3</v>
      </c>
    </row>
    <row r="13760" spans="39:45">
      <c r="AM13760" s="54">
        <v>2020</v>
      </c>
      <c r="AN13760" s="54" t="s">
        <v>188</v>
      </c>
      <c r="AO13760" s="54">
        <v>27</v>
      </c>
      <c r="AP13760" s="54">
        <v>6</v>
      </c>
      <c r="AQ13760" s="54">
        <v>649.5</v>
      </c>
      <c r="AR13760" s="55">
        <v>28500</v>
      </c>
      <c r="AS13760" s="78">
        <f t="shared" si="218"/>
        <v>2.2789473684210526E-2</v>
      </c>
    </row>
    <row r="13761" spans="39:45">
      <c r="AM13761" s="55">
        <v>2020</v>
      </c>
      <c r="AN13761" s="55" t="s">
        <v>188</v>
      </c>
      <c r="AO13761" s="55">
        <v>27</v>
      </c>
      <c r="AP13761" s="55">
        <v>7</v>
      </c>
      <c r="AQ13761" s="55">
        <v>2538</v>
      </c>
      <c r="AR13761" s="55">
        <v>28500</v>
      </c>
      <c r="AS13761" s="78">
        <f t="shared" si="218"/>
        <v>8.9052631578947369E-2</v>
      </c>
    </row>
    <row r="13762" spans="39:45">
      <c r="AM13762" s="54">
        <v>2020</v>
      </c>
      <c r="AN13762" s="54" t="s">
        <v>188</v>
      </c>
      <c r="AO13762" s="54">
        <v>27</v>
      </c>
      <c r="AP13762" s="54">
        <v>8</v>
      </c>
      <c r="AQ13762" s="54">
        <v>4411</v>
      </c>
      <c r="AR13762" s="55">
        <v>28500</v>
      </c>
      <c r="AS13762" s="78">
        <f t="shared" ref="AS13762:AS13825" si="219">AQ13762/AR13762</f>
        <v>0.15477192982456139</v>
      </c>
    </row>
    <row r="13763" spans="39:45">
      <c r="AM13763" s="55">
        <v>2020</v>
      </c>
      <c r="AN13763" s="55" t="s">
        <v>188</v>
      </c>
      <c r="AO13763" s="55">
        <v>27</v>
      </c>
      <c r="AP13763" s="55">
        <v>9</v>
      </c>
      <c r="AQ13763" s="55">
        <v>5205.5</v>
      </c>
      <c r="AR13763" s="55">
        <v>28500</v>
      </c>
      <c r="AS13763" s="78">
        <f t="shared" si="219"/>
        <v>0.18264912280701753</v>
      </c>
    </row>
    <row r="13764" spans="39:45">
      <c r="AM13764" s="54">
        <v>2020</v>
      </c>
      <c r="AN13764" s="54" t="s">
        <v>188</v>
      </c>
      <c r="AO13764" s="54">
        <v>27</v>
      </c>
      <c r="AP13764" s="54">
        <v>10</v>
      </c>
      <c r="AQ13764" s="54">
        <v>28126.5</v>
      </c>
      <c r="AR13764" s="55">
        <v>28500</v>
      </c>
      <c r="AS13764" s="78">
        <f t="shared" si="219"/>
        <v>0.98689473684210527</v>
      </c>
    </row>
    <row r="13765" spans="39:45">
      <c r="AM13765" s="55">
        <v>2020</v>
      </c>
      <c r="AN13765" s="55" t="s">
        <v>188</v>
      </c>
      <c r="AO13765" s="55">
        <v>27</v>
      </c>
      <c r="AP13765" s="55">
        <v>11</v>
      </c>
      <c r="AQ13765" s="55">
        <v>3102</v>
      </c>
      <c r="AR13765" s="55">
        <v>28500</v>
      </c>
      <c r="AS13765" s="78">
        <f t="shared" si="219"/>
        <v>0.10884210526315789</v>
      </c>
    </row>
    <row r="13766" spans="39:45">
      <c r="AM13766" s="54">
        <v>2020</v>
      </c>
      <c r="AN13766" s="54" t="s">
        <v>188</v>
      </c>
      <c r="AO13766" s="54">
        <v>27</v>
      </c>
      <c r="AP13766" s="54">
        <v>12</v>
      </c>
      <c r="AQ13766" s="54">
        <v>4175</v>
      </c>
      <c r="AR13766" s="55">
        <v>28500</v>
      </c>
      <c r="AS13766" s="78">
        <f t="shared" si="219"/>
        <v>0.14649122807017545</v>
      </c>
    </row>
    <row r="13767" spans="39:45">
      <c r="AM13767" s="55">
        <v>2020</v>
      </c>
      <c r="AN13767" s="55" t="s">
        <v>188</v>
      </c>
      <c r="AO13767" s="55">
        <v>27</v>
      </c>
      <c r="AP13767" s="55">
        <v>13</v>
      </c>
      <c r="AQ13767" s="55">
        <v>11096</v>
      </c>
      <c r="AR13767" s="55">
        <v>28500</v>
      </c>
      <c r="AS13767" s="78">
        <f t="shared" si="219"/>
        <v>0.38933333333333331</v>
      </c>
    </row>
    <row r="13768" spans="39:45">
      <c r="AM13768" s="54">
        <v>2020</v>
      </c>
      <c r="AN13768" s="54" t="s">
        <v>188</v>
      </c>
      <c r="AO13768" s="54">
        <v>27</v>
      </c>
      <c r="AP13768" s="54">
        <v>14</v>
      </c>
      <c r="AQ13768" s="54">
        <v>4940</v>
      </c>
      <c r="AR13768" s="55">
        <v>28500</v>
      </c>
      <c r="AS13768" s="78">
        <f t="shared" si="219"/>
        <v>0.17333333333333334</v>
      </c>
    </row>
    <row r="13769" spans="39:45">
      <c r="AM13769" s="55">
        <v>2020</v>
      </c>
      <c r="AN13769" s="55" t="s">
        <v>188</v>
      </c>
      <c r="AO13769" s="55">
        <v>27</v>
      </c>
      <c r="AP13769" s="55">
        <v>15</v>
      </c>
      <c r="AQ13769" s="55">
        <v>6744</v>
      </c>
      <c r="AR13769" s="55">
        <v>28500</v>
      </c>
      <c r="AS13769" s="78">
        <f t="shared" si="219"/>
        <v>0.23663157894736842</v>
      </c>
    </row>
    <row r="13770" spans="39:45">
      <c r="AM13770" s="54">
        <v>2020</v>
      </c>
      <c r="AN13770" s="54" t="s">
        <v>188</v>
      </c>
      <c r="AO13770" s="54">
        <v>27</v>
      </c>
      <c r="AP13770" s="54">
        <v>16</v>
      </c>
      <c r="AQ13770" s="54">
        <v>8572.5</v>
      </c>
      <c r="AR13770" s="55">
        <v>28500</v>
      </c>
      <c r="AS13770" s="78">
        <f t="shared" si="219"/>
        <v>0.30078947368421055</v>
      </c>
    </row>
    <row r="13771" spans="39:45">
      <c r="AM13771" s="55">
        <v>2020</v>
      </c>
      <c r="AN13771" s="55" t="s">
        <v>188</v>
      </c>
      <c r="AO13771" s="55">
        <v>27</v>
      </c>
      <c r="AP13771" s="55">
        <v>17</v>
      </c>
      <c r="AQ13771" s="55">
        <v>5624</v>
      </c>
      <c r="AR13771" s="55">
        <v>28500</v>
      </c>
      <c r="AS13771" s="78">
        <f t="shared" si="219"/>
        <v>0.19733333333333333</v>
      </c>
    </row>
    <row r="13772" spans="39:45">
      <c r="AM13772" s="54">
        <v>2020</v>
      </c>
      <c r="AN13772" s="54" t="s">
        <v>188</v>
      </c>
      <c r="AO13772" s="54">
        <v>27</v>
      </c>
      <c r="AP13772" s="54">
        <v>18</v>
      </c>
      <c r="AQ13772" s="54">
        <v>2067.5</v>
      </c>
      <c r="AR13772" s="55">
        <v>28500</v>
      </c>
      <c r="AS13772" s="78">
        <f t="shared" si="219"/>
        <v>7.2543859649122813E-2</v>
      </c>
    </row>
    <row r="13773" spans="39:45">
      <c r="AM13773" s="55">
        <v>2020</v>
      </c>
      <c r="AN13773" s="55" t="s">
        <v>188</v>
      </c>
      <c r="AO13773" s="55">
        <v>27</v>
      </c>
      <c r="AP13773" s="55">
        <v>19</v>
      </c>
      <c r="AQ13773" s="55">
        <v>0</v>
      </c>
      <c r="AR13773" s="55">
        <v>28500</v>
      </c>
      <c r="AS13773" s="78">
        <f t="shared" si="219"/>
        <v>0</v>
      </c>
    </row>
    <row r="13774" spans="39:45">
      <c r="AM13774" s="54">
        <v>2020</v>
      </c>
      <c r="AN13774" s="54" t="s">
        <v>188</v>
      </c>
      <c r="AO13774" s="54">
        <v>27</v>
      </c>
      <c r="AP13774" s="54">
        <v>20</v>
      </c>
      <c r="AQ13774" s="54">
        <v>0</v>
      </c>
      <c r="AR13774" s="55">
        <v>28500</v>
      </c>
      <c r="AS13774" s="78">
        <f t="shared" si="219"/>
        <v>0</v>
      </c>
    </row>
    <row r="13775" spans="39:45">
      <c r="AM13775" s="55">
        <v>2020</v>
      </c>
      <c r="AN13775" s="55" t="s">
        <v>188</v>
      </c>
      <c r="AO13775" s="55">
        <v>27</v>
      </c>
      <c r="AP13775" s="55">
        <v>21</v>
      </c>
      <c r="AQ13775" s="55">
        <v>0</v>
      </c>
      <c r="AR13775" s="55">
        <v>28500</v>
      </c>
      <c r="AS13775" s="78">
        <f t="shared" si="219"/>
        <v>0</v>
      </c>
    </row>
    <row r="13776" spans="39:45">
      <c r="AM13776" s="54">
        <v>2020</v>
      </c>
      <c r="AN13776" s="54" t="s">
        <v>188</v>
      </c>
      <c r="AO13776" s="54">
        <v>27</v>
      </c>
      <c r="AP13776" s="54">
        <v>22</v>
      </c>
      <c r="AQ13776" s="54">
        <v>0</v>
      </c>
      <c r="AR13776" s="55">
        <v>28500</v>
      </c>
      <c r="AS13776" s="78">
        <f t="shared" si="219"/>
        <v>0</v>
      </c>
    </row>
    <row r="13777" spans="39:45">
      <c r="AM13777" s="55">
        <v>2020</v>
      </c>
      <c r="AN13777" s="55" t="s">
        <v>188</v>
      </c>
      <c r="AO13777" s="55">
        <v>27</v>
      </c>
      <c r="AP13777" s="55">
        <v>23</v>
      </c>
      <c r="AQ13777" s="55">
        <v>0</v>
      </c>
      <c r="AR13777" s="55">
        <v>28500</v>
      </c>
      <c r="AS13777" s="78">
        <f t="shared" si="219"/>
        <v>0</v>
      </c>
    </row>
    <row r="13778" spans="39:45">
      <c r="AM13778" s="54">
        <v>2020</v>
      </c>
      <c r="AN13778" s="54" t="s">
        <v>188</v>
      </c>
      <c r="AO13778" s="54">
        <v>28</v>
      </c>
      <c r="AP13778" s="54">
        <v>24</v>
      </c>
      <c r="AQ13778" s="54">
        <v>0</v>
      </c>
      <c r="AR13778" s="55">
        <v>28500</v>
      </c>
      <c r="AS13778" s="78">
        <f t="shared" si="219"/>
        <v>0</v>
      </c>
    </row>
    <row r="13779" spans="39:45">
      <c r="AM13779" s="55">
        <v>2020</v>
      </c>
      <c r="AN13779" s="55" t="s">
        <v>188</v>
      </c>
      <c r="AO13779" s="55">
        <v>28</v>
      </c>
      <c r="AP13779" s="55">
        <v>1</v>
      </c>
      <c r="AQ13779" s="55">
        <v>0</v>
      </c>
      <c r="AR13779" s="55">
        <v>28500</v>
      </c>
      <c r="AS13779" s="78">
        <f t="shared" si="219"/>
        <v>0</v>
      </c>
    </row>
    <row r="13780" spans="39:45">
      <c r="AM13780" s="54">
        <v>2020</v>
      </c>
      <c r="AN13780" s="54" t="s">
        <v>188</v>
      </c>
      <c r="AO13780" s="54">
        <v>28</v>
      </c>
      <c r="AP13780" s="54">
        <v>2</v>
      </c>
      <c r="AQ13780" s="54">
        <v>0</v>
      </c>
      <c r="AR13780" s="55">
        <v>28500</v>
      </c>
      <c r="AS13780" s="78">
        <f t="shared" si="219"/>
        <v>0</v>
      </c>
    </row>
    <row r="13781" spans="39:45">
      <c r="AM13781" s="55">
        <v>2020</v>
      </c>
      <c r="AN13781" s="55" t="s">
        <v>188</v>
      </c>
      <c r="AO13781" s="55">
        <v>28</v>
      </c>
      <c r="AP13781" s="55">
        <v>3</v>
      </c>
      <c r="AQ13781" s="55">
        <v>0</v>
      </c>
      <c r="AR13781" s="55">
        <v>28500</v>
      </c>
      <c r="AS13781" s="78">
        <f t="shared" si="219"/>
        <v>0</v>
      </c>
    </row>
    <row r="13782" spans="39:45">
      <c r="AM13782" s="54">
        <v>2020</v>
      </c>
      <c r="AN13782" s="54" t="s">
        <v>188</v>
      </c>
      <c r="AO13782" s="54">
        <v>28</v>
      </c>
      <c r="AP13782" s="54">
        <v>4</v>
      </c>
      <c r="AQ13782" s="54">
        <v>0</v>
      </c>
      <c r="AR13782" s="55">
        <v>28500</v>
      </c>
      <c r="AS13782" s="78">
        <f t="shared" si="219"/>
        <v>0</v>
      </c>
    </row>
    <row r="13783" spans="39:45">
      <c r="AM13783" s="55">
        <v>2020</v>
      </c>
      <c r="AN13783" s="55" t="s">
        <v>188</v>
      </c>
      <c r="AO13783" s="55">
        <v>28</v>
      </c>
      <c r="AP13783" s="55">
        <v>5</v>
      </c>
      <c r="AQ13783" s="55">
        <v>797.5</v>
      </c>
      <c r="AR13783" s="55">
        <v>28500</v>
      </c>
      <c r="AS13783" s="78">
        <f t="shared" si="219"/>
        <v>2.7982456140350876E-2</v>
      </c>
    </row>
    <row r="13784" spans="39:45">
      <c r="AM13784" s="54">
        <v>2020</v>
      </c>
      <c r="AN13784" s="54" t="s">
        <v>188</v>
      </c>
      <c r="AO13784" s="54">
        <v>28</v>
      </c>
      <c r="AP13784" s="54">
        <v>6</v>
      </c>
      <c r="AQ13784" s="54">
        <v>2773.5</v>
      </c>
      <c r="AR13784" s="55">
        <v>28500</v>
      </c>
      <c r="AS13784" s="78">
        <f t="shared" si="219"/>
        <v>9.7315789473684217E-2</v>
      </c>
    </row>
    <row r="13785" spans="39:45">
      <c r="AM13785" s="55">
        <v>2020</v>
      </c>
      <c r="AN13785" s="55" t="s">
        <v>188</v>
      </c>
      <c r="AO13785" s="55">
        <v>28</v>
      </c>
      <c r="AP13785" s="55">
        <v>7</v>
      </c>
      <c r="AQ13785" s="55">
        <v>10601</v>
      </c>
      <c r="AR13785" s="55">
        <v>28500</v>
      </c>
      <c r="AS13785" s="78">
        <f t="shared" si="219"/>
        <v>0.37196491228070178</v>
      </c>
    </row>
    <row r="13786" spans="39:45">
      <c r="AM13786" s="54">
        <v>2020</v>
      </c>
      <c r="AN13786" s="54" t="s">
        <v>188</v>
      </c>
      <c r="AO13786" s="54">
        <v>28</v>
      </c>
      <c r="AP13786" s="54">
        <v>8</v>
      </c>
      <c r="AQ13786" s="54">
        <v>21820.5</v>
      </c>
      <c r="AR13786" s="55">
        <v>28500</v>
      </c>
      <c r="AS13786" s="78">
        <f t="shared" si="219"/>
        <v>0.76563157894736844</v>
      </c>
    </row>
    <row r="13787" spans="39:45">
      <c r="AM13787" s="55">
        <v>2020</v>
      </c>
      <c r="AN13787" s="55" t="s">
        <v>188</v>
      </c>
      <c r="AO13787" s="55">
        <v>28</v>
      </c>
      <c r="AP13787" s="55">
        <v>9</v>
      </c>
      <c r="AQ13787" s="55">
        <v>21334.5</v>
      </c>
      <c r="AR13787" s="55">
        <v>28500</v>
      </c>
      <c r="AS13787" s="78">
        <f t="shared" si="219"/>
        <v>0.74857894736842101</v>
      </c>
    </row>
    <row r="13788" spans="39:45">
      <c r="AM13788" s="54">
        <v>2020</v>
      </c>
      <c r="AN13788" s="54" t="s">
        <v>188</v>
      </c>
      <c r="AO13788" s="54">
        <v>28</v>
      </c>
      <c r="AP13788" s="54">
        <v>10</v>
      </c>
      <c r="AQ13788" s="54">
        <v>27848.5</v>
      </c>
      <c r="AR13788" s="55">
        <v>28500</v>
      </c>
      <c r="AS13788" s="78">
        <f t="shared" si="219"/>
        <v>0.97714035087719298</v>
      </c>
    </row>
    <row r="13789" spans="39:45">
      <c r="AM13789" s="55">
        <v>2020</v>
      </c>
      <c r="AN13789" s="55" t="s">
        <v>188</v>
      </c>
      <c r="AO13789" s="55">
        <v>28</v>
      </c>
      <c r="AP13789" s="55">
        <v>11</v>
      </c>
      <c r="AQ13789" s="55">
        <v>19555.5</v>
      </c>
      <c r="AR13789" s="55">
        <v>28500</v>
      </c>
      <c r="AS13789" s="78">
        <f t="shared" si="219"/>
        <v>0.68615789473684208</v>
      </c>
    </row>
    <row r="13790" spans="39:45">
      <c r="AM13790" s="54">
        <v>2020</v>
      </c>
      <c r="AN13790" s="54" t="s">
        <v>188</v>
      </c>
      <c r="AO13790" s="54">
        <v>28</v>
      </c>
      <c r="AP13790" s="54">
        <v>12</v>
      </c>
      <c r="AQ13790" s="54">
        <v>23558</v>
      </c>
      <c r="AR13790" s="55">
        <v>28500</v>
      </c>
      <c r="AS13790" s="78">
        <f t="shared" si="219"/>
        <v>0.82659649122807022</v>
      </c>
    </row>
    <row r="13791" spans="39:45">
      <c r="AM13791" s="55">
        <v>2020</v>
      </c>
      <c r="AN13791" s="55" t="s">
        <v>188</v>
      </c>
      <c r="AO13791" s="55">
        <v>28</v>
      </c>
      <c r="AP13791" s="55">
        <v>13</v>
      </c>
      <c r="AQ13791" s="55">
        <v>22201</v>
      </c>
      <c r="AR13791" s="55">
        <v>28500</v>
      </c>
      <c r="AS13791" s="78">
        <f t="shared" si="219"/>
        <v>0.77898245614035089</v>
      </c>
    </row>
    <row r="13792" spans="39:45">
      <c r="AM13792" s="54">
        <v>2020</v>
      </c>
      <c r="AN13792" s="54" t="s">
        <v>188</v>
      </c>
      <c r="AO13792" s="54">
        <v>28</v>
      </c>
      <c r="AP13792" s="54">
        <v>14</v>
      </c>
      <c r="AQ13792" s="54">
        <v>21772.5</v>
      </c>
      <c r="AR13792" s="55">
        <v>28500</v>
      </c>
      <c r="AS13792" s="78">
        <f t="shared" si="219"/>
        <v>0.7639473684210526</v>
      </c>
    </row>
    <row r="13793" spans="39:45">
      <c r="AM13793" s="55">
        <v>2020</v>
      </c>
      <c r="AN13793" s="55" t="s">
        <v>188</v>
      </c>
      <c r="AO13793" s="55">
        <v>28</v>
      </c>
      <c r="AP13793" s="55">
        <v>15</v>
      </c>
      <c r="AQ13793" s="55">
        <v>11839.5</v>
      </c>
      <c r="AR13793" s="55">
        <v>28500</v>
      </c>
      <c r="AS13793" s="78">
        <f t="shared" si="219"/>
        <v>0.41542105263157897</v>
      </c>
    </row>
    <row r="13794" spans="39:45">
      <c r="AM13794" s="54">
        <v>2020</v>
      </c>
      <c r="AN13794" s="54" t="s">
        <v>188</v>
      </c>
      <c r="AO13794" s="54">
        <v>28</v>
      </c>
      <c r="AP13794" s="54">
        <v>16</v>
      </c>
      <c r="AQ13794" s="54">
        <v>14270.5</v>
      </c>
      <c r="AR13794" s="55">
        <v>28500</v>
      </c>
      <c r="AS13794" s="78">
        <f t="shared" si="219"/>
        <v>0.50071929824561401</v>
      </c>
    </row>
    <row r="13795" spans="39:45">
      <c r="AM13795" s="55">
        <v>2020</v>
      </c>
      <c r="AN13795" s="55" t="s">
        <v>188</v>
      </c>
      <c r="AO13795" s="55">
        <v>28</v>
      </c>
      <c r="AP13795" s="55">
        <v>17</v>
      </c>
      <c r="AQ13795" s="55">
        <v>9132</v>
      </c>
      <c r="AR13795" s="55">
        <v>28500</v>
      </c>
      <c r="AS13795" s="78">
        <f t="shared" si="219"/>
        <v>0.32042105263157894</v>
      </c>
    </row>
    <row r="13796" spans="39:45">
      <c r="AM13796" s="54">
        <v>2020</v>
      </c>
      <c r="AN13796" s="54" t="s">
        <v>188</v>
      </c>
      <c r="AO13796" s="54">
        <v>28</v>
      </c>
      <c r="AP13796" s="54">
        <v>18</v>
      </c>
      <c r="AQ13796" s="54">
        <v>3004</v>
      </c>
      <c r="AR13796" s="55">
        <v>28500</v>
      </c>
      <c r="AS13796" s="78">
        <f t="shared" si="219"/>
        <v>0.10540350877192982</v>
      </c>
    </row>
    <row r="13797" spans="39:45">
      <c r="AM13797" s="55">
        <v>2020</v>
      </c>
      <c r="AN13797" s="55" t="s">
        <v>188</v>
      </c>
      <c r="AO13797" s="55">
        <v>28</v>
      </c>
      <c r="AP13797" s="55">
        <v>19</v>
      </c>
      <c r="AQ13797" s="55">
        <v>407</v>
      </c>
      <c r="AR13797" s="55">
        <v>28500</v>
      </c>
      <c r="AS13797" s="78">
        <f t="shared" si="219"/>
        <v>1.4280701754385965E-2</v>
      </c>
    </row>
    <row r="13798" spans="39:45">
      <c r="AM13798" s="54">
        <v>2020</v>
      </c>
      <c r="AN13798" s="54" t="s">
        <v>188</v>
      </c>
      <c r="AO13798" s="54">
        <v>28</v>
      </c>
      <c r="AP13798" s="54">
        <v>20</v>
      </c>
      <c r="AQ13798" s="54">
        <v>0</v>
      </c>
      <c r="AR13798" s="55">
        <v>28500</v>
      </c>
      <c r="AS13798" s="78">
        <f t="shared" si="219"/>
        <v>0</v>
      </c>
    </row>
    <row r="13799" spans="39:45">
      <c r="AM13799" s="55">
        <v>2020</v>
      </c>
      <c r="AN13799" s="55" t="s">
        <v>188</v>
      </c>
      <c r="AO13799" s="55">
        <v>28</v>
      </c>
      <c r="AP13799" s="55">
        <v>21</v>
      </c>
      <c r="AQ13799" s="55">
        <v>0</v>
      </c>
      <c r="AR13799" s="55">
        <v>28500</v>
      </c>
      <c r="AS13799" s="78">
        <f t="shared" si="219"/>
        <v>0</v>
      </c>
    </row>
    <row r="13800" spans="39:45">
      <c r="AM13800" s="54">
        <v>2020</v>
      </c>
      <c r="AN13800" s="54" t="s">
        <v>188</v>
      </c>
      <c r="AO13800" s="54">
        <v>28</v>
      </c>
      <c r="AP13800" s="54">
        <v>22</v>
      </c>
      <c r="AQ13800" s="54">
        <v>0</v>
      </c>
      <c r="AR13800" s="55">
        <v>28500</v>
      </c>
      <c r="AS13800" s="78">
        <f t="shared" si="219"/>
        <v>0</v>
      </c>
    </row>
    <row r="13801" spans="39:45">
      <c r="AM13801" s="55">
        <v>2020</v>
      </c>
      <c r="AN13801" s="55" t="s">
        <v>188</v>
      </c>
      <c r="AO13801" s="55">
        <v>28</v>
      </c>
      <c r="AP13801" s="55">
        <v>23</v>
      </c>
      <c r="AQ13801" s="55">
        <v>0</v>
      </c>
      <c r="AR13801" s="55">
        <v>28500</v>
      </c>
      <c r="AS13801" s="78">
        <f t="shared" si="219"/>
        <v>0</v>
      </c>
    </row>
    <row r="13802" spans="39:45">
      <c r="AM13802" s="54">
        <v>2020</v>
      </c>
      <c r="AN13802" s="54" t="s">
        <v>188</v>
      </c>
      <c r="AO13802" s="54">
        <v>29</v>
      </c>
      <c r="AP13802" s="54">
        <v>24</v>
      </c>
      <c r="AQ13802" s="54">
        <v>0</v>
      </c>
      <c r="AR13802" s="55">
        <v>28500</v>
      </c>
      <c r="AS13802" s="78">
        <f t="shared" si="219"/>
        <v>0</v>
      </c>
    </row>
    <row r="13803" spans="39:45">
      <c r="AM13803" s="55">
        <v>2020</v>
      </c>
      <c r="AN13803" s="55" t="s">
        <v>188</v>
      </c>
      <c r="AO13803" s="55">
        <v>29</v>
      </c>
      <c r="AP13803" s="55">
        <v>1</v>
      </c>
      <c r="AQ13803" s="55">
        <v>0</v>
      </c>
      <c r="AR13803" s="55">
        <v>28500</v>
      </c>
      <c r="AS13803" s="78">
        <f t="shared" si="219"/>
        <v>0</v>
      </c>
    </row>
    <row r="13804" spans="39:45">
      <c r="AM13804" s="54">
        <v>2020</v>
      </c>
      <c r="AN13804" s="54" t="s">
        <v>188</v>
      </c>
      <c r="AO13804" s="54">
        <v>29</v>
      </c>
      <c r="AP13804" s="54">
        <v>2</v>
      </c>
      <c r="AQ13804" s="54">
        <v>0</v>
      </c>
      <c r="AR13804" s="55">
        <v>28500</v>
      </c>
      <c r="AS13804" s="78">
        <f t="shared" si="219"/>
        <v>0</v>
      </c>
    </row>
    <row r="13805" spans="39:45">
      <c r="AM13805" s="55">
        <v>2020</v>
      </c>
      <c r="AN13805" s="55" t="s">
        <v>188</v>
      </c>
      <c r="AO13805" s="55">
        <v>29</v>
      </c>
      <c r="AP13805" s="55">
        <v>3</v>
      </c>
      <c r="AQ13805" s="55">
        <v>0</v>
      </c>
      <c r="AR13805" s="55">
        <v>28500</v>
      </c>
      <c r="AS13805" s="78">
        <f t="shared" si="219"/>
        <v>0</v>
      </c>
    </row>
    <row r="13806" spans="39:45">
      <c r="AM13806" s="54">
        <v>2020</v>
      </c>
      <c r="AN13806" s="54" t="s">
        <v>188</v>
      </c>
      <c r="AO13806" s="54">
        <v>29</v>
      </c>
      <c r="AP13806" s="54">
        <v>4</v>
      </c>
      <c r="AQ13806" s="54">
        <v>0</v>
      </c>
      <c r="AR13806" s="55">
        <v>28500</v>
      </c>
      <c r="AS13806" s="78">
        <f t="shared" si="219"/>
        <v>0</v>
      </c>
    </row>
    <row r="13807" spans="39:45">
      <c r="AM13807" s="55">
        <v>2020</v>
      </c>
      <c r="AN13807" s="55" t="s">
        <v>188</v>
      </c>
      <c r="AO13807" s="55">
        <v>29</v>
      </c>
      <c r="AP13807" s="55">
        <v>5</v>
      </c>
      <c r="AQ13807" s="55">
        <v>775.5</v>
      </c>
      <c r="AR13807" s="55">
        <v>28500</v>
      </c>
      <c r="AS13807" s="78">
        <f t="shared" si="219"/>
        <v>2.7210526315789473E-2</v>
      </c>
    </row>
    <row r="13808" spans="39:45">
      <c r="AM13808" s="54">
        <v>2020</v>
      </c>
      <c r="AN13808" s="54" t="s">
        <v>188</v>
      </c>
      <c r="AO13808" s="54">
        <v>29</v>
      </c>
      <c r="AP13808" s="54">
        <v>6</v>
      </c>
      <c r="AQ13808" s="54">
        <v>2825</v>
      </c>
      <c r="AR13808" s="55">
        <v>28500</v>
      </c>
      <c r="AS13808" s="78">
        <f t="shared" si="219"/>
        <v>9.9122807017543862E-2</v>
      </c>
    </row>
    <row r="13809" spans="39:45">
      <c r="AM13809" s="55">
        <v>2020</v>
      </c>
      <c r="AN13809" s="55" t="s">
        <v>188</v>
      </c>
      <c r="AO13809" s="55">
        <v>29</v>
      </c>
      <c r="AP13809" s="55">
        <v>7</v>
      </c>
      <c r="AQ13809" s="55">
        <v>11369</v>
      </c>
      <c r="AR13809" s="55">
        <v>28500</v>
      </c>
      <c r="AS13809" s="78">
        <f t="shared" si="219"/>
        <v>0.39891228070175438</v>
      </c>
    </row>
    <row r="13810" spans="39:45">
      <c r="AM13810" s="54">
        <v>2020</v>
      </c>
      <c r="AN13810" s="54" t="s">
        <v>188</v>
      </c>
      <c r="AO13810" s="54">
        <v>29</v>
      </c>
      <c r="AP13810" s="54">
        <v>8</v>
      </c>
      <c r="AQ13810" s="54">
        <v>21406</v>
      </c>
      <c r="AR13810" s="55">
        <v>28500</v>
      </c>
      <c r="AS13810" s="78">
        <f t="shared" si="219"/>
        <v>0.75108771929824558</v>
      </c>
    </row>
    <row r="13811" spans="39:45">
      <c r="AM13811" s="55">
        <v>2020</v>
      </c>
      <c r="AN13811" s="55" t="s">
        <v>188</v>
      </c>
      <c r="AO13811" s="55">
        <v>29</v>
      </c>
      <c r="AP13811" s="55">
        <v>9</v>
      </c>
      <c r="AQ13811" s="55">
        <v>28068</v>
      </c>
      <c r="AR13811" s="55">
        <v>28500</v>
      </c>
      <c r="AS13811" s="78">
        <f t="shared" si="219"/>
        <v>0.98484210526315785</v>
      </c>
    </row>
    <row r="13812" spans="39:45">
      <c r="AM13812" s="54">
        <v>2020</v>
      </c>
      <c r="AN13812" s="54" t="s">
        <v>188</v>
      </c>
      <c r="AO13812" s="54">
        <v>29</v>
      </c>
      <c r="AP13812" s="54">
        <v>10</v>
      </c>
      <c r="AQ13812" s="54">
        <v>34847.5</v>
      </c>
      <c r="AR13812" s="55">
        <v>28500</v>
      </c>
      <c r="AS13812" s="78">
        <f t="shared" si="219"/>
        <v>1.2227192982456141</v>
      </c>
    </row>
    <row r="13813" spans="39:45">
      <c r="AM13813" s="55">
        <v>2020</v>
      </c>
      <c r="AN13813" s="55" t="s">
        <v>188</v>
      </c>
      <c r="AO13813" s="55">
        <v>29</v>
      </c>
      <c r="AP13813" s="55">
        <v>11</v>
      </c>
      <c r="AQ13813" s="55">
        <v>38083</v>
      </c>
      <c r="AR13813" s="55">
        <v>28500</v>
      </c>
      <c r="AS13813" s="78">
        <f t="shared" si="219"/>
        <v>1.3362456140350878</v>
      </c>
    </row>
    <row r="13814" spans="39:45">
      <c r="AM13814" s="54">
        <v>2020</v>
      </c>
      <c r="AN13814" s="54" t="s">
        <v>188</v>
      </c>
      <c r="AO13814" s="54">
        <v>29</v>
      </c>
      <c r="AP13814" s="54">
        <v>12</v>
      </c>
      <c r="AQ13814" s="54">
        <v>39873</v>
      </c>
      <c r="AR13814" s="55">
        <v>28500</v>
      </c>
      <c r="AS13814" s="78">
        <f t="shared" si="219"/>
        <v>1.3990526315789473</v>
      </c>
    </row>
    <row r="13815" spans="39:45">
      <c r="AM13815" s="55">
        <v>2020</v>
      </c>
      <c r="AN13815" s="55" t="s">
        <v>188</v>
      </c>
      <c r="AO13815" s="55">
        <v>29</v>
      </c>
      <c r="AP13815" s="55">
        <v>13</v>
      </c>
      <c r="AQ13815" s="55">
        <v>39294.5</v>
      </c>
      <c r="AR13815" s="55">
        <v>28500</v>
      </c>
      <c r="AS13815" s="78">
        <f t="shared" si="219"/>
        <v>1.3787543859649123</v>
      </c>
    </row>
    <row r="13816" spans="39:45">
      <c r="AM13816" s="54">
        <v>2020</v>
      </c>
      <c r="AN13816" s="54" t="s">
        <v>188</v>
      </c>
      <c r="AO13816" s="54">
        <v>29</v>
      </c>
      <c r="AP13816" s="54">
        <v>14</v>
      </c>
      <c r="AQ13816" s="54">
        <v>30719</v>
      </c>
      <c r="AR13816" s="55">
        <v>28500</v>
      </c>
      <c r="AS13816" s="78">
        <f t="shared" si="219"/>
        <v>1.077859649122807</v>
      </c>
    </row>
    <row r="13817" spans="39:45">
      <c r="AM13817" s="55">
        <v>2020</v>
      </c>
      <c r="AN13817" s="55" t="s">
        <v>188</v>
      </c>
      <c r="AO13817" s="55">
        <v>29</v>
      </c>
      <c r="AP13817" s="55">
        <v>15</v>
      </c>
      <c r="AQ13817" s="55">
        <v>22952</v>
      </c>
      <c r="AR13817" s="55">
        <v>28500</v>
      </c>
      <c r="AS13817" s="78">
        <f t="shared" si="219"/>
        <v>0.80533333333333335</v>
      </c>
    </row>
    <row r="13818" spans="39:45">
      <c r="AM13818" s="54">
        <v>2020</v>
      </c>
      <c r="AN13818" s="54" t="s">
        <v>188</v>
      </c>
      <c r="AO13818" s="54">
        <v>29</v>
      </c>
      <c r="AP13818" s="54">
        <v>16</v>
      </c>
      <c r="AQ13818" s="54">
        <v>18941</v>
      </c>
      <c r="AR13818" s="55">
        <v>28500</v>
      </c>
      <c r="AS13818" s="78">
        <f t="shared" si="219"/>
        <v>0.66459649122807019</v>
      </c>
    </row>
    <row r="13819" spans="39:45">
      <c r="AM13819" s="55">
        <v>2020</v>
      </c>
      <c r="AN13819" s="55" t="s">
        <v>188</v>
      </c>
      <c r="AO13819" s="55">
        <v>29</v>
      </c>
      <c r="AP13819" s="55">
        <v>17</v>
      </c>
      <c r="AQ13819" s="55">
        <v>8379.5</v>
      </c>
      <c r="AR13819" s="55">
        <v>28500</v>
      </c>
      <c r="AS13819" s="78">
        <f t="shared" si="219"/>
        <v>0.29401754385964912</v>
      </c>
    </row>
    <row r="13820" spans="39:45">
      <c r="AM13820" s="54">
        <v>2020</v>
      </c>
      <c r="AN13820" s="54" t="s">
        <v>188</v>
      </c>
      <c r="AO13820" s="54">
        <v>29</v>
      </c>
      <c r="AP13820" s="54">
        <v>18</v>
      </c>
      <c r="AQ13820" s="54">
        <v>2801.5</v>
      </c>
      <c r="AR13820" s="55">
        <v>28500</v>
      </c>
      <c r="AS13820" s="78">
        <f t="shared" si="219"/>
        <v>9.8298245614035093E-2</v>
      </c>
    </row>
    <row r="13821" spans="39:45">
      <c r="AM13821" s="55">
        <v>2020</v>
      </c>
      <c r="AN13821" s="55" t="s">
        <v>188</v>
      </c>
      <c r="AO13821" s="55">
        <v>29</v>
      </c>
      <c r="AP13821" s="55">
        <v>19</v>
      </c>
      <c r="AQ13821" s="55">
        <v>456.5</v>
      </c>
      <c r="AR13821" s="55">
        <v>28500</v>
      </c>
      <c r="AS13821" s="78">
        <f t="shared" si="219"/>
        <v>1.6017543859649121E-2</v>
      </c>
    </row>
    <row r="13822" spans="39:45">
      <c r="AM13822" s="54">
        <v>2020</v>
      </c>
      <c r="AN13822" s="54" t="s">
        <v>188</v>
      </c>
      <c r="AO13822" s="54">
        <v>29</v>
      </c>
      <c r="AP13822" s="54">
        <v>20</v>
      </c>
      <c r="AQ13822" s="54">
        <v>0</v>
      </c>
      <c r="AR13822" s="55">
        <v>28500</v>
      </c>
      <c r="AS13822" s="78">
        <f t="shared" si="219"/>
        <v>0</v>
      </c>
    </row>
    <row r="13823" spans="39:45">
      <c r="AM13823" s="55">
        <v>2020</v>
      </c>
      <c r="AN13823" s="55" t="s">
        <v>188</v>
      </c>
      <c r="AO13823" s="55">
        <v>29</v>
      </c>
      <c r="AP13823" s="55">
        <v>21</v>
      </c>
      <c r="AQ13823" s="55">
        <v>0</v>
      </c>
      <c r="AR13823" s="55">
        <v>28500</v>
      </c>
      <c r="AS13823" s="78">
        <f t="shared" si="219"/>
        <v>0</v>
      </c>
    </row>
    <row r="13824" spans="39:45">
      <c r="AM13824" s="54">
        <v>2020</v>
      </c>
      <c r="AN13824" s="54" t="s">
        <v>188</v>
      </c>
      <c r="AO13824" s="54">
        <v>29</v>
      </c>
      <c r="AP13824" s="54">
        <v>22</v>
      </c>
      <c r="AQ13824" s="54">
        <v>0</v>
      </c>
      <c r="AR13824" s="55">
        <v>28500</v>
      </c>
      <c r="AS13824" s="78">
        <f t="shared" si="219"/>
        <v>0</v>
      </c>
    </row>
    <row r="13825" spans="39:45">
      <c r="AM13825" s="55">
        <v>2020</v>
      </c>
      <c r="AN13825" s="55" t="s">
        <v>188</v>
      </c>
      <c r="AO13825" s="55">
        <v>29</v>
      </c>
      <c r="AP13825" s="55">
        <v>23</v>
      </c>
      <c r="AQ13825" s="55">
        <v>0</v>
      </c>
      <c r="AR13825" s="55">
        <v>28500</v>
      </c>
      <c r="AS13825" s="78">
        <f t="shared" si="219"/>
        <v>0</v>
      </c>
    </row>
    <row r="13826" spans="39:45">
      <c r="AM13826" s="54">
        <v>2020</v>
      </c>
      <c r="AN13826" s="54" t="s">
        <v>188</v>
      </c>
      <c r="AO13826" s="54">
        <v>30</v>
      </c>
      <c r="AP13826" s="54">
        <v>24</v>
      </c>
      <c r="AQ13826" s="54">
        <v>0</v>
      </c>
      <c r="AR13826" s="55">
        <v>28500</v>
      </c>
      <c r="AS13826" s="78">
        <f t="shared" ref="AS13826:AS13889" si="220">AQ13826/AR13826</f>
        <v>0</v>
      </c>
    </row>
    <row r="13827" spans="39:45">
      <c r="AM13827" s="55">
        <v>2020</v>
      </c>
      <c r="AN13827" s="55" t="s">
        <v>188</v>
      </c>
      <c r="AO13827" s="55">
        <v>30</v>
      </c>
      <c r="AP13827" s="55">
        <v>1</v>
      </c>
      <c r="AQ13827" s="55">
        <v>0</v>
      </c>
      <c r="AR13827" s="55">
        <v>28500</v>
      </c>
      <c r="AS13827" s="78">
        <f t="shared" si="220"/>
        <v>0</v>
      </c>
    </row>
    <row r="13828" spans="39:45">
      <c r="AM13828" s="54">
        <v>2020</v>
      </c>
      <c r="AN13828" s="54" t="s">
        <v>188</v>
      </c>
      <c r="AO13828" s="54">
        <v>30</v>
      </c>
      <c r="AP13828" s="54">
        <v>2</v>
      </c>
      <c r="AQ13828" s="54">
        <v>0</v>
      </c>
      <c r="AR13828" s="55">
        <v>28500</v>
      </c>
      <c r="AS13828" s="78">
        <f t="shared" si="220"/>
        <v>0</v>
      </c>
    </row>
    <row r="13829" spans="39:45">
      <c r="AM13829" s="55">
        <v>2020</v>
      </c>
      <c r="AN13829" s="55" t="s">
        <v>188</v>
      </c>
      <c r="AO13829" s="55">
        <v>30</v>
      </c>
      <c r="AP13829" s="55">
        <v>3</v>
      </c>
      <c r="AQ13829" s="55">
        <v>0</v>
      </c>
      <c r="AR13829" s="55">
        <v>28500</v>
      </c>
      <c r="AS13829" s="78">
        <f t="shared" si="220"/>
        <v>0</v>
      </c>
    </row>
    <row r="13830" spans="39:45">
      <c r="AM13830" s="54">
        <v>2020</v>
      </c>
      <c r="AN13830" s="54" t="s">
        <v>188</v>
      </c>
      <c r="AO13830" s="54">
        <v>30</v>
      </c>
      <c r="AP13830" s="54">
        <v>4</v>
      </c>
      <c r="AQ13830" s="54">
        <v>0</v>
      </c>
      <c r="AR13830" s="55">
        <v>28500</v>
      </c>
      <c r="AS13830" s="78">
        <f t="shared" si="220"/>
        <v>0</v>
      </c>
    </row>
    <row r="13831" spans="39:45">
      <c r="AM13831" s="55">
        <v>2020</v>
      </c>
      <c r="AN13831" s="55" t="s">
        <v>188</v>
      </c>
      <c r="AO13831" s="55">
        <v>30</v>
      </c>
      <c r="AP13831" s="55">
        <v>5</v>
      </c>
      <c r="AQ13831" s="55">
        <v>679.5</v>
      </c>
      <c r="AR13831" s="55">
        <v>28500</v>
      </c>
      <c r="AS13831" s="78">
        <f t="shared" si="220"/>
        <v>2.3842105263157894E-2</v>
      </c>
    </row>
    <row r="13832" spans="39:45">
      <c r="AM13832" s="54">
        <v>2020</v>
      </c>
      <c r="AN13832" s="54" t="s">
        <v>188</v>
      </c>
      <c r="AO13832" s="54">
        <v>30</v>
      </c>
      <c r="AP13832" s="54">
        <v>6</v>
      </c>
      <c r="AQ13832" s="54">
        <v>2613</v>
      </c>
      <c r="AR13832" s="55">
        <v>28500</v>
      </c>
      <c r="AS13832" s="78">
        <f t="shared" si="220"/>
        <v>9.1684210526315785E-2</v>
      </c>
    </row>
    <row r="13833" spans="39:45">
      <c r="AM13833" s="55">
        <v>2020</v>
      </c>
      <c r="AN13833" s="55" t="s">
        <v>188</v>
      </c>
      <c r="AO13833" s="55">
        <v>30</v>
      </c>
      <c r="AP13833" s="55">
        <v>7</v>
      </c>
      <c r="AQ13833" s="55">
        <v>11330.5</v>
      </c>
      <c r="AR13833" s="55">
        <v>28500</v>
      </c>
      <c r="AS13833" s="78">
        <f t="shared" si="220"/>
        <v>0.39756140350877195</v>
      </c>
    </row>
    <row r="13834" spans="39:45">
      <c r="AM13834" s="54">
        <v>2020</v>
      </c>
      <c r="AN13834" s="54" t="s">
        <v>188</v>
      </c>
      <c r="AO13834" s="54">
        <v>30</v>
      </c>
      <c r="AP13834" s="54">
        <v>8</v>
      </c>
      <c r="AQ13834" s="54">
        <v>21223</v>
      </c>
      <c r="AR13834" s="55">
        <v>28500</v>
      </c>
      <c r="AS13834" s="78">
        <f t="shared" si="220"/>
        <v>0.7446666666666667</v>
      </c>
    </row>
    <row r="13835" spans="39:45">
      <c r="AM13835" s="55">
        <v>2020</v>
      </c>
      <c r="AN13835" s="55" t="s">
        <v>188</v>
      </c>
      <c r="AO13835" s="55">
        <v>30</v>
      </c>
      <c r="AP13835" s="55">
        <v>9</v>
      </c>
      <c r="AQ13835" s="55">
        <v>28927</v>
      </c>
      <c r="AR13835" s="55">
        <v>28500</v>
      </c>
      <c r="AS13835" s="78">
        <f t="shared" si="220"/>
        <v>1.0149824561403509</v>
      </c>
    </row>
    <row r="13836" spans="39:45">
      <c r="AM13836" s="54">
        <v>2020</v>
      </c>
      <c r="AN13836" s="54" t="s">
        <v>188</v>
      </c>
      <c r="AO13836" s="54">
        <v>30</v>
      </c>
      <c r="AP13836" s="54">
        <v>10</v>
      </c>
      <c r="AQ13836" s="54">
        <v>34909</v>
      </c>
      <c r="AR13836" s="55">
        <v>28500</v>
      </c>
      <c r="AS13836" s="78">
        <f t="shared" si="220"/>
        <v>1.2248771929824562</v>
      </c>
    </row>
    <row r="13837" spans="39:45">
      <c r="AM13837" s="55">
        <v>2020</v>
      </c>
      <c r="AN13837" s="55" t="s">
        <v>188</v>
      </c>
      <c r="AO13837" s="55">
        <v>30</v>
      </c>
      <c r="AP13837" s="55">
        <v>11</v>
      </c>
      <c r="AQ13837" s="55">
        <v>38838.5</v>
      </c>
      <c r="AR13837" s="55">
        <v>28500</v>
      </c>
      <c r="AS13837" s="78">
        <f t="shared" si="220"/>
        <v>1.3627543859649123</v>
      </c>
    </row>
    <row r="13838" spans="39:45">
      <c r="AM13838" s="54">
        <v>2020</v>
      </c>
      <c r="AN13838" s="54" t="s">
        <v>188</v>
      </c>
      <c r="AO13838" s="54">
        <v>30</v>
      </c>
      <c r="AP13838" s="54">
        <v>12</v>
      </c>
      <c r="AQ13838" s="54">
        <v>38228.5</v>
      </c>
      <c r="AR13838" s="55">
        <v>28500</v>
      </c>
      <c r="AS13838" s="78">
        <f t="shared" si="220"/>
        <v>1.3413508771929825</v>
      </c>
    </row>
    <row r="13839" spans="39:45">
      <c r="AM13839" s="55">
        <v>2020</v>
      </c>
      <c r="AN13839" s="55" t="s">
        <v>188</v>
      </c>
      <c r="AO13839" s="55">
        <v>30</v>
      </c>
      <c r="AP13839" s="55">
        <v>13</v>
      </c>
      <c r="AQ13839" s="55">
        <v>37617.5</v>
      </c>
      <c r="AR13839" s="55">
        <v>28500</v>
      </c>
      <c r="AS13839" s="78">
        <f t="shared" si="220"/>
        <v>1.3199122807017545</v>
      </c>
    </row>
    <row r="13840" spans="39:45">
      <c r="AM13840" s="54">
        <v>2020</v>
      </c>
      <c r="AN13840" s="54" t="s">
        <v>188</v>
      </c>
      <c r="AO13840" s="54">
        <v>30</v>
      </c>
      <c r="AP13840" s="54">
        <v>14</v>
      </c>
      <c r="AQ13840" s="54">
        <v>34053.5</v>
      </c>
      <c r="AR13840" s="55">
        <v>28500</v>
      </c>
      <c r="AS13840" s="78">
        <f t="shared" si="220"/>
        <v>1.194859649122807</v>
      </c>
    </row>
    <row r="13841" spans="39:45">
      <c r="AM13841" s="55">
        <v>2020</v>
      </c>
      <c r="AN13841" s="55" t="s">
        <v>188</v>
      </c>
      <c r="AO13841" s="55">
        <v>30</v>
      </c>
      <c r="AP13841" s="55">
        <v>15</v>
      </c>
      <c r="AQ13841" s="55">
        <v>24616</v>
      </c>
      <c r="AR13841" s="55">
        <v>28500</v>
      </c>
      <c r="AS13841" s="78">
        <f t="shared" si="220"/>
        <v>0.863719298245614</v>
      </c>
    </row>
    <row r="13842" spans="39:45">
      <c r="AM13842" s="54">
        <v>2020</v>
      </c>
      <c r="AN13842" s="54" t="s">
        <v>188</v>
      </c>
      <c r="AO13842" s="54">
        <v>30</v>
      </c>
      <c r="AP13842" s="54">
        <v>16</v>
      </c>
      <c r="AQ13842" s="54">
        <v>19428.5</v>
      </c>
      <c r="AR13842" s="55">
        <v>28500</v>
      </c>
      <c r="AS13842" s="78">
        <f t="shared" si="220"/>
        <v>0.68170175438596492</v>
      </c>
    </row>
    <row r="13843" spans="39:45">
      <c r="AM13843" s="55">
        <v>2020</v>
      </c>
      <c r="AN13843" s="55" t="s">
        <v>188</v>
      </c>
      <c r="AO13843" s="55">
        <v>30</v>
      </c>
      <c r="AP13843" s="55">
        <v>17</v>
      </c>
      <c r="AQ13843" s="55">
        <v>9300</v>
      </c>
      <c r="AR13843" s="55">
        <v>28500</v>
      </c>
      <c r="AS13843" s="78">
        <f t="shared" si="220"/>
        <v>0.32631578947368423</v>
      </c>
    </row>
    <row r="13844" spans="39:45">
      <c r="AM13844" s="54">
        <v>2020</v>
      </c>
      <c r="AN13844" s="54" t="s">
        <v>188</v>
      </c>
      <c r="AO13844" s="54">
        <v>30</v>
      </c>
      <c r="AP13844" s="54">
        <v>18</v>
      </c>
      <c r="AQ13844" s="54">
        <v>1398</v>
      </c>
      <c r="AR13844" s="55">
        <v>28500</v>
      </c>
      <c r="AS13844" s="78">
        <f t="shared" si="220"/>
        <v>4.9052631578947369E-2</v>
      </c>
    </row>
    <row r="13845" spans="39:45">
      <c r="AM13845" s="55">
        <v>2020</v>
      </c>
      <c r="AN13845" s="55" t="s">
        <v>188</v>
      </c>
      <c r="AO13845" s="55">
        <v>30</v>
      </c>
      <c r="AP13845" s="55">
        <v>19</v>
      </c>
      <c r="AQ13845" s="55">
        <v>447</v>
      </c>
      <c r="AR13845" s="55">
        <v>28500</v>
      </c>
      <c r="AS13845" s="78">
        <f t="shared" si="220"/>
        <v>1.568421052631579E-2</v>
      </c>
    </row>
    <row r="13846" spans="39:45">
      <c r="AM13846" s="54">
        <v>2020</v>
      </c>
      <c r="AN13846" s="54" t="s">
        <v>188</v>
      </c>
      <c r="AO13846" s="54">
        <v>30</v>
      </c>
      <c r="AP13846" s="54">
        <v>20</v>
      </c>
      <c r="AQ13846" s="54">
        <v>0</v>
      </c>
      <c r="AR13846" s="55">
        <v>28500</v>
      </c>
      <c r="AS13846" s="78">
        <f t="shared" si="220"/>
        <v>0</v>
      </c>
    </row>
    <row r="13847" spans="39:45">
      <c r="AM13847" s="55">
        <v>2020</v>
      </c>
      <c r="AN13847" s="55" t="s">
        <v>188</v>
      </c>
      <c r="AO13847" s="55">
        <v>30</v>
      </c>
      <c r="AP13847" s="55">
        <v>21</v>
      </c>
      <c r="AQ13847" s="55">
        <v>0</v>
      </c>
      <c r="AR13847" s="55">
        <v>28500</v>
      </c>
      <c r="AS13847" s="78">
        <f t="shared" si="220"/>
        <v>0</v>
      </c>
    </row>
    <row r="13848" spans="39:45">
      <c r="AM13848" s="54">
        <v>2020</v>
      </c>
      <c r="AN13848" s="54" t="s">
        <v>188</v>
      </c>
      <c r="AO13848" s="54">
        <v>30</v>
      </c>
      <c r="AP13848" s="54">
        <v>22</v>
      </c>
      <c r="AQ13848" s="54">
        <v>0</v>
      </c>
      <c r="AR13848" s="55">
        <v>28500</v>
      </c>
      <c r="AS13848" s="78">
        <f t="shared" si="220"/>
        <v>0</v>
      </c>
    </row>
    <row r="13849" spans="39:45">
      <c r="AM13849" s="55">
        <v>2020</v>
      </c>
      <c r="AN13849" s="55" t="s">
        <v>188</v>
      </c>
      <c r="AO13849" s="55">
        <v>30</v>
      </c>
      <c r="AP13849" s="55">
        <v>23</v>
      </c>
      <c r="AQ13849" s="55">
        <v>0</v>
      </c>
      <c r="AR13849" s="55">
        <v>28500</v>
      </c>
      <c r="AS13849" s="78">
        <f t="shared" si="220"/>
        <v>0</v>
      </c>
    </row>
    <row r="13850" spans="39:45">
      <c r="AM13850" s="54">
        <v>2020</v>
      </c>
      <c r="AN13850" s="54" t="s">
        <v>188</v>
      </c>
      <c r="AO13850" s="54">
        <v>31</v>
      </c>
      <c r="AP13850" s="54">
        <v>24</v>
      </c>
      <c r="AQ13850" s="54">
        <v>0</v>
      </c>
      <c r="AR13850" s="55">
        <v>28500</v>
      </c>
      <c r="AS13850" s="78">
        <f t="shared" si="220"/>
        <v>0</v>
      </c>
    </row>
    <row r="13851" spans="39:45">
      <c r="AM13851" s="55">
        <v>2020</v>
      </c>
      <c r="AN13851" s="55" t="s">
        <v>188</v>
      </c>
      <c r="AO13851" s="55">
        <v>31</v>
      </c>
      <c r="AP13851" s="55">
        <v>1</v>
      </c>
      <c r="AQ13851" s="55">
        <v>0</v>
      </c>
      <c r="AR13851" s="55">
        <v>28500</v>
      </c>
      <c r="AS13851" s="78">
        <f t="shared" si="220"/>
        <v>0</v>
      </c>
    </row>
    <row r="13852" spans="39:45">
      <c r="AM13852" s="54">
        <v>2020</v>
      </c>
      <c r="AN13852" s="54" t="s">
        <v>188</v>
      </c>
      <c r="AO13852" s="54">
        <v>31</v>
      </c>
      <c r="AP13852" s="54">
        <v>2</v>
      </c>
      <c r="AQ13852" s="54">
        <v>0</v>
      </c>
      <c r="AR13852" s="55">
        <v>28500</v>
      </c>
      <c r="AS13852" s="78">
        <f t="shared" si="220"/>
        <v>0</v>
      </c>
    </row>
    <row r="13853" spans="39:45">
      <c r="AM13853" s="55">
        <v>2020</v>
      </c>
      <c r="AN13853" s="55" t="s">
        <v>188</v>
      </c>
      <c r="AO13853" s="55">
        <v>31</v>
      </c>
      <c r="AP13853" s="55">
        <v>3</v>
      </c>
      <c r="AQ13853" s="55">
        <v>0</v>
      </c>
      <c r="AR13853" s="55">
        <v>28500</v>
      </c>
      <c r="AS13853" s="78">
        <f t="shared" si="220"/>
        <v>0</v>
      </c>
    </row>
    <row r="13854" spans="39:45">
      <c r="AM13854" s="54">
        <v>2020</v>
      </c>
      <c r="AN13854" s="54" t="s">
        <v>188</v>
      </c>
      <c r="AO13854" s="54">
        <v>31</v>
      </c>
      <c r="AP13854" s="54">
        <v>4</v>
      </c>
      <c r="AQ13854" s="54">
        <v>0</v>
      </c>
      <c r="AR13854" s="55">
        <v>28500</v>
      </c>
      <c r="AS13854" s="78">
        <f t="shared" si="220"/>
        <v>0</v>
      </c>
    </row>
    <row r="13855" spans="39:45">
      <c r="AM13855" s="55">
        <v>2020</v>
      </c>
      <c r="AN13855" s="55" t="s">
        <v>188</v>
      </c>
      <c r="AO13855" s="55">
        <v>31</v>
      </c>
      <c r="AP13855" s="55">
        <v>5</v>
      </c>
      <c r="AQ13855" s="55">
        <v>719</v>
      </c>
      <c r="AR13855" s="55">
        <v>28500</v>
      </c>
      <c r="AS13855" s="78">
        <f t="shared" si="220"/>
        <v>2.5228070175438596E-2</v>
      </c>
    </row>
    <row r="13856" spans="39:45">
      <c r="AM13856" s="54">
        <v>2020</v>
      </c>
      <c r="AN13856" s="54" t="s">
        <v>188</v>
      </c>
      <c r="AO13856" s="54">
        <v>31</v>
      </c>
      <c r="AP13856" s="54">
        <v>6</v>
      </c>
      <c r="AQ13856" s="54">
        <v>2677</v>
      </c>
      <c r="AR13856" s="55">
        <v>28500</v>
      </c>
      <c r="AS13856" s="78">
        <f t="shared" si="220"/>
        <v>9.3929824561403502E-2</v>
      </c>
    </row>
    <row r="13857" spans="39:45">
      <c r="AM13857" s="55">
        <v>2020</v>
      </c>
      <c r="AN13857" s="55" t="s">
        <v>188</v>
      </c>
      <c r="AO13857" s="55">
        <v>31</v>
      </c>
      <c r="AP13857" s="55">
        <v>7</v>
      </c>
      <c r="AQ13857" s="55">
        <v>10916</v>
      </c>
      <c r="AR13857" s="55">
        <v>28500</v>
      </c>
      <c r="AS13857" s="78">
        <f t="shared" si="220"/>
        <v>0.38301754385964915</v>
      </c>
    </row>
    <row r="13858" spans="39:45">
      <c r="AM13858" s="54">
        <v>2020</v>
      </c>
      <c r="AN13858" s="54" t="s">
        <v>188</v>
      </c>
      <c r="AO13858" s="54">
        <v>31</v>
      </c>
      <c r="AP13858" s="54">
        <v>8</v>
      </c>
      <c r="AQ13858" s="54">
        <v>20449</v>
      </c>
      <c r="AR13858" s="55">
        <v>28500</v>
      </c>
      <c r="AS13858" s="78">
        <f t="shared" si="220"/>
        <v>0.71750877192982454</v>
      </c>
    </row>
    <row r="13859" spans="39:45">
      <c r="AM13859" s="55">
        <v>2020</v>
      </c>
      <c r="AN13859" s="55" t="s">
        <v>188</v>
      </c>
      <c r="AO13859" s="55">
        <v>31</v>
      </c>
      <c r="AP13859" s="55">
        <v>9</v>
      </c>
      <c r="AQ13859" s="55">
        <v>28011.5</v>
      </c>
      <c r="AR13859" s="55">
        <v>28500</v>
      </c>
      <c r="AS13859" s="78">
        <f t="shared" si="220"/>
        <v>0.98285964912280699</v>
      </c>
    </row>
    <row r="13860" spans="39:45">
      <c r="AM13860" s="54">
        <v>2020</v>
      </c>
      <c r="AN13860" s="54" t="s">
        <v>188</v>
      </c>
      <c r="AO13860" s="54">
        <v>31</v>
      </c>
      <c r="AP13860" s="54">
        <v>10</v>
      </c>
      <c r="AQ13860" s="54">
        <v>33312.5</v>
      </c>
      <c r="AR13860" s="55">
        <v>28500</v>
      </c>
      <c r="AS13860" s="78">
        <f t="shared" si="220"/>
        <v>1.1688596491228069</v>
      </c>
    </row>
    <row r="13861" spans="39:45">
      <c r="AM13861" s="55">
        <v>2020</v>
      </c>
      <c r="AN13861" s="55" t="s">
        <v>188</v>
      </c>
      <c r="AO13861" s="55">
        <v>31</v>
      </c>
      <c r="AP13861" s="55">
        <v>11</v>
      </c>
      <c r="AQ13861" s="55">
        <v>37981.5</v>
      </c>
      <c r="AR13861" s="55">
        <v>28500</v>
      </c>
      <c r="AS13861" s="78">
        <f t="shared" si="220"/>
        <v>1.3326842105263157</v>
      </c>
    </row>
    <row r="13862" spans="39:45">
      <c r="AM13862" s="54">
        <v>2020</v>
      </c>
      <c r="AN13862" s="54" t="s">
        <v>188</v>
      </c>
      <c r="AO13862" s="54">
        <v>31</v>
      </c>
      <c r="AP13862" s="54">
        <v>12</v>
      </c>
      <c r="AQ13862" s="54">
        <v>38714</v>
      </c>
      <c r="AR13862" s="55">
        <v>28500</v>
      </c>
      <c r="AS13862" s="78">
        <f t="shared" si="220"/>
        <v>1.3583859649122807</v>
      </c>
    </row>
    <row r="13863" spans="39:45">
      <c r="AM13863" s="55">
        <v>2020</v>
      </c>
      <c r="AN13863" s="55" t="s">
        <v>188</v>
      </c>
      <c r="AO13863" s="55">
        <v>31</v>
      </c>
      <c r="AP13863" s="55">
        <v>13</v>
      </c>
      <c r="AQ13863" s="55">
        <v>37244.5</v>
      </c>
      <c r="AR13863" s="55">
        <v>28500</v>
      </c>
      <c r="AS13863" s="78">
        <f t="shared" si="220"/>
        <v>1.3068245614035088</v>
      </c>
    </row>
    <row r="13864" spans="39:45">
      <c r="AM13864" s="54">
        <v>2020</v>
      </c>
      <c r="AN13864" s="54" t="s">
        <v>188</v>
      </c>
      <c r="AO13864" s="54">
        <v>31</v>
      </c>
      <c r="AP13864" s="54">
        <v>14</v>
      </c>
      <c r="AQ13864" s="54">
        <v>33024.5</v>
      </c>
      <c r="AR13864" s="55">
        <v>28500</v>
      </c>
      <c r="AS13864" s="78">
        <f t="shared" si="220"/>
        <v>1.1587543859649123</v>
      </c>
    </row>
    <row r="13865" spans="39:45">
      <c r="AM13865" s="55">
        <v>2020</v>
      </c>
      <c r="AN13865" s="55" t="s">
        <v>188</v>
      </c>
      <c r="AO13865" s="55">
        <v>31</v>
      </c>
      <c r="AP13865" s="55">
        <v>15</v>
      </c>
      <c r="AQ13865" s="55">
        <v>22001</v>
      </c>
      <c r="AR13865" s="55">
        <v>28500</v>
      </c>
      <c r="AS13865" s="78">
        <f t="shared" si="220"/>
        <v>0.77196491228070174</v>
      </c>
    </row>
    <row r="13866" spans="39:45">
      <c r="AM13866" s="54">
        <v>2020</v>
      </c>
      <c r="AN13866" s="54" t="s">
        <v>188</v>
      </c>
      <c r="AO13866" s="54">
        <v>31</v>
      </c>
      <c r="AP13866" s="54">
        <v>16</v>
      </c>
      <c r="AQ13866" s="54">
        <v>10048</v>
      </c>
      <c r="AR13866" s="55">
        <v>28500</v>
      </c>
      <c r="AS13866" s="78">
        <f t="shared" si="220"/>
        <v>0.35256140350877191</v>
      </c>
    </row>
    <row r="13867" spans="39:45">
      <c r="AM13867" s="55">
        <v>2020</v>
      </c>
      <c r="AN13867" s="55" t="s">
        <v>188</v>
      </c>
      <c r="AO13867" s="55">
        <v>31</v>
      </c>
      <c r="AP13867" s="55">
        <v>17</v>
      </c>
      <c r="AQ13867" s="55">
        <v>1237.5</v>
      </c>
      <c r="AR13867" s="55">
        <v>28500</v>
      </c>
      <c r="AS13867" s="78">
        <f t="shared" si="220"/>
        <v>4.3421052631578951E-2</v>
      </c>
    </row>
    <row r="13868" spans="39:45">
      <c r="AM13868" s="54">
        <v>2020</v>
      </c>
      <c r="AN13868" s="54" t="s">
        <v>188</v>
      </c>
      <c r="AO13868" s="54">
        <v>31</v>
      </c>
      <c r="AP13868" s="54">
        <v>18</v>
      </c>
      <c r="AQ13868" s="54">
        <v>1996</v>
      </c>
      <c r="AR13868" s="55">
        <v>28500</v>
      </c>
      <c r="AS13868" s="78">
        <f t="shared" si="220"/>
        <v>7.0035087719298242E-2</v>
      </c>
    </row>
    <row r="13869" spans="39:45">
      <c r="AM13869" s="55">
        <v>2020</v>
      </c>
      <c r="AN13869" s="55" t="s">
        <v>188</v>
      </c>
      <c r="AO13869" s="55">
        <v>31</v>
      </c>
      <c r="AP13869" s="55">
        <v>19</v>
      </c>
      <c r="AQ13869" s="55">
        <v>266.5</v>
      </c>
      <c r="AR13869" s="55">
        <v>28500</v>
      </c>
      <c r="AS13869" s="78">
        <f t="shared" si="220"/>
        <v>9.3508771929824569E-3</v>
      </c>
    </row>
    <row r="13870" spans="39:45">
      <c r="AM13870" s="54">
        <v>2020</v>
      </c>
      <c r="AN13870" s="54" t="s">
        <v>188</v>
      </c>
      <c r="AO13870" s="54">
        <v>31</v>
      </c>
      <c r="AP13870" s="54">
        <v>20</v>
      </c>
      <c r="AQ13870" s="54">
        <v>0</v>
      </c>
      <c r="AR13870" s="55">
        <v>28500</v>
      </c>
      <c r="AS13870" s="78">
        <f t="shared" si="220"/>
        <v>0</v>
      </c>
    </row>
    <row r="13871" spans="39:45">
      <c r="AM13871" s="55">
        <v>2020</v>
      </c>
      <c r="AN13871" s="55" t="s">
        <v>188</v>
      </c>
      <c r="AO13871" s="55">
        <v>31</v>
      </c>
      <c r="AP13871" s="55">
        <v>21</v>
      </c>
      <c r="AQ13871" s="55">
        <v>0</v>
      </c>
      <c r="AR13871" s="55">
        <v>28500</v>
      </c>
      <c r="AS13871" s="78">
        <f t="shared" si="220"/>
        <v>0</v>
      </c>
    </row>
    <row r="13872" spans="39:45">
      <c r="AM13872" s="54">
        <v>2020</v>
      </c>
      <c r="AN13872" s="54" t="s">
        <v>188</v>
      </c>
      <c r="AO13872" s="54">
        <v>31</v>
      </c>
      <c r="AP13872" s="54">
        <v>22</v>
      </c>
      <c r="AQ13872" s="54">
        <v>0</v>
      </c>
      <c r="AR13872" s="55">
        <v>28500</v>
      </c>
      <c r="AS13872" s="78">
        <f t="shared" si="220"/>
        <v>0</v>
      </c>
    </row>
    <row r="13873" spans="39:45">
      <c r="AM13873" s="55">
        <v>2020</v>
      </c>
      <c r="AN13873" s="55" t="s">
        <v>188</v>
      </c>
      <c r="AO13873" s="55">
        <v>31</v>
      </c>
      <c r="AP13873" s="55">
        <v>23</v>
      </c>
      <c r="AQ13873" s="55">
        <v>0</v>
      </c>
      <c r="AR13873" s="55">
        <v>28500</v>
      </c>
      <c r="AS13873" s="78">
        <f t="shared" si="220"/>
        <v>0</v>
      </c>
    </row>
    <row r="13874" spans="39:45">
      <c r="AM13874" s="54">
        <v>2020</v>
      </c>
      <c r="AN13874" s="54" t="s">
        <v>189</v>
      </c>
      <c r="AO13874" s="54">
        <v>1</v>
      </c>
      <c r="AP13874" s="54">
        <v>24</v>
      </c>
      <c r="AQ13874" s="54">
        <v>0</v>
      </c>
      <c r="AR13874" s="55">
        <v>28500</v>
      </c>
      <c r="AS13874" s="78">
        <f t="shared" si="220"/>
        <v>0</v>
      </c>
    </row>
    <row r="13875" spans="39:45">
      <c r="AM13875" s="55">
        <v>2020</v>
      </c>
      <c r="AN13875" s="55" t="s">
        <v>189</v>
      </c>
      <c r="AO13875" s="55">
        <v>1</v>
      </c>
      <c r="AP13875" s="55">
        <v>1</v>
      </c>
      <c r="AQ13875" s="55">
        <v>0</v>
      </c>
      <c r="AR13875" s="55">
        <v>28500</v>
      </c>
      <c r="AS13875" s="78">
        <f t="shared" si="220"/>
        <v>0</v>
      </c>
    </row>
    <row r="13876" spans="39:45">
      <c r="AM13876" s="54">
        <v>2020</v>
      </c>
      <c r="AN13876" s="54" t="s">
        <v>189</v>
      </c>
      <c r="AO13876" s="54">
        <v>1</v>
      </c>
      <c r="AP13876" s="54">
        <v>2</v>
      </c>
      <c r="AQ13876" s="54">
        <v>0</v>
      </c>
      <c r="AR13876" s="55">
        <v>28500</v>
      </c>
      <c r="AS13876" s="78">
        <f t="shared" si="220"/>
        <v>0</v>
      </c>
    </row>
    <row r="13877" spans="39:45">
      <c r="AM13877" s="55">
        <v>2020</v>
      </c>
      <c r="AN13877" s="55" t="s">
        <v>189</v>
      </c>
      <c r="AO13877" s="55">
        <v>1</v>
      </c>
      <c r="AP13877" s="55">
        <v>3</v>
      </c>
      <c r="AQ13877" s="55">
        <v>0</v>
      </c>
      <c r="AR13877" s="55">
        <v>28500</v>
      </c>
      <c r="AS13877" s="78">
        <f t="shared" si="220"/>
        <v>0</v>
      </c>
    </row>
    <row r="13878" spans="39:45">
      <c r="AM13878" s="54">
        <v>2020</v>
      </c>
      <c r="AN13878" s="54" t="s">
        <v>189</v>
      </c>
      <c r="AO13878" s="54">
        <v>1</v>
      </c>
      <c r="AP13878" s="54">
        <v>4</v>
      </c>
      <c r="AQ13878" s="54">
        <v>0</v>
      </c>
      <c r="AR13878" s="55">
        <v>28500</v>
      </c>
      <c r="AS13878" s="78">
        <f t="shared" si="220"/>
        <v>0</v>
      </c>
    </row>
    <row r="13879" spans="39:45">
      <c r="AM13879" s="55">
        <v>2020</v>
      </c>
      <c r="AN13879" s="55" t="s">
        <v>189</v>
      </c>
      <c r="AO13879" s="55">
        <v>1</v>
      </c>
      <c r="AP13879" s="55">
        <v>5</v>
      </c>
      <c r="AQ13879" s="55">
        <v>658.5</v>
      </c>
      <c r="AR13879" s="55">
        <v>28500</v>
      </c>
      <c r="AS13879" s="78">
        <f t="shared" si="220"/>
        <v>2.3105263157894736E-2</v>
      </c>
    </row>
    <row r="13880" spans="39:45">
      <c r="AM13880" s="54">
        <v>2020</v>
      </c>
      <c r="AN13880" s="54" t="s">
        <v>189</v>
      </c>
      <c r="AO13880" s="54">
        <v>1</v>
      </c>
      <c r="AP13880" s="54">
        <v>6</v>
      </c>
      <c r="AQ13880" s="54">
        <v>2557.5</v>
      </c>
      <c r="AR13880" s="55">
        <v>28500</v>
      </c>
      <c r="AS13880" s="78">
        <f t="shared" si="220"/>
        <v>8.9736842105263157E-2</v>
      </c>
    </row>
    <row r="13881" spans="39:45">
      <c r="AM13881" s="55">
        <v>2020</v>
      </c>
      <c r="AN13881" s="55" t="s">
        <v>189</v>
      </c>
      <c r="AO13881" s="55">
        <v>1</v>
      </c>
      <c r="AP13881" s="55">
        <v>7</v>
      </c>
      <c r="AQ13881" s="55">
        <v>11340</v>
      </c>
      <c r="AR13881" s="55">
        <v>28500</v>
      </c>
      <c r="AS13881" s="78">
        <f t="shared" si="220"/>
        <v>0.39789473684210525</v>
      </c>
    </row>
    <row r="13882" spans="39:45">
      <c r="AM13882" s="54">
        <v>2020</v>
      </c>
      <c r="AN13882" s="54" t="s">
        <v>189</v>
      </c>
      <c r="AO13882" s="54">
        <v>1</v>
      </c>
      <c r="AP13882" s="54">
        <v>8</v>
      </c>
      <c r="AQ13882" s="54">
        <v>21140</v>
      </c>
      <c r="AR13882" s="55">
        <v>28500</v>
      </c>
      <c r="AS13882" s="78">
        <f t="shared" si="220"/>
        <v>0.74175438596491228</v>
      </c>
    </row>
    <row r="13883" spans="39:45">
      <c r="AM13883" s="55">
        <v>2020</v>
      </c>
      <c r="AN13883" s="55" t="s">
        <v>189</v>
      </c>
      <c r="AO13883" s="55">
        <v>1</v>
      </c>
      <c r="AP13883" s="55">
        <v>9</v>
      </c>
      <c r="AQ13883" s="55">
        <v>27364</v>
      </c>
      <c r="AR13883" s="55">
        <v>28500</v>
      </c>
      <c r="AS13883" s="78">
        <f t="shared" si="220"/>
        <v>0.96014035087719296</v>
      </c>
    </row>
    <row r="13884" spans="39:45">
      <c r="AM13884" s="54">
        <v>2020</v>
      </c>
      <c r="AN13884" s="54" t="s">
        <v>189</v>
      </c>
      <c r="AO13884" s="54">
        <v>1</v>
      </c>
      <c r="AP13884" s="54">
        <v>10</v>
      </c>
      <c r="AQ13884" s="54">
        <v>15196</v>
      </c>
      <c r="AR13884" s="55">
        <v>28500</v>
      </c>
      <c r="AS13884" s="78">
        <f t="shared" si="220"/>
        <v>0.53319298245614033</v>
      </c>
    </row>
    <row r="13885" spans="39:45">
      <c r="AM13885" s="55">
        <v>2020</v>
      </c>
      <c r="AN13885" s="55" t="s">
        <v>189</v>
      </c>
      <c r="AO13885" s="55">
        <v>1</v>
      </c>
      <c r="AP13885" s="55">
        <v>11</v>
      </c>
      <c r="AQ13885" s="55">
        <v>21101</v>
      </c>
      <c r="AR13885" s="55">
        <v>28500</v>
      </c>
      <c r="AS13885" s="78">
        <f t="shared" si="220"/>
        <v>0.7403859649122807</v>
      </c>
    </row>
    <row r="13886" spans="39:45">
      <c r="AM13886" s="54">
        <v>2020</v>
      </c>
      <c r="AN13886" s="54" t="s">
        <v>189</v>
      </c>
      <c r="AO13886" s="54">
        <v>1</v>
      </c>
      <c r="AP13886" s="54">
        <v>12</v>
      </c>
      <c r="AQ13886" s="54">
        <v>13375</v>
      </c>
      <c r="AR13886" s="55">
        <v>28500</v>
      </c>
      <c r="AS13886" s="78">
        <f t="shared" si="220"/>
        <v>0.4692982456140351</v>
      </c>
    </row>
    <row r="13887" spans="39:45">
      <c r="AM13887" s="55">
        <v>2020</v>
      </c>
      <c r="AN13887" s="55" t="s">
        <v>189</v>
      </c>
      <c r="AO13887" s="55">
        <v>1</v>
      </c>
      <c r="AP13887" s="55">
        <v>13</v>
      </c>
      <c r="AQ13887" s="55">
        <v>14591</v>
      </c>
      <c r="AR13887" s="55">
        <v>28500</v>
      </c>
      <c r="AS13887" s="78">
        <f t="shared" si="220"/>
        <v>0.51196491228070173</v>
      </c>
    </row>
    <row r="13888" spans="39:45">
      <c r="AM13888" s="54">
        <v>2020</v>
      </c>
      <c r="AN13888" s="54" t="s">
        <v>189</v>
      </c>
      <c r="AO13888" s="54">
        <v>1</v>
      </c>
      <c r="AP13888" s="54">
        <v>14</v>
      </c>
      <c r="AQ13888" s="54">
        <v>13334</v>
      </c>
      <c r="AR13888" s="55">
        <v>28500</v>
      </c>
      <c r="AS13888" s="78">
        <f t="shared" si="220"/>
        <v>0.46785964912280703</v>
      </c>
    </row>
    <row r="13889" spans="39:45">
      <c r="AM13889" s="55">
        <v>2020</v>
      </c>
      <c r="AN13889" s="55" t="s">
        <v>189</v>
      </c>
      <c r="AO13889" s="55">
        <v>1</v>
      </c>
      <c r="AP13889" s="55">
        <v>15</v>
      </c>
      <c r="AQ13889" s="55">
        <v>19133</v>
      </c>
      <c r="AR13889" s="55">
        <v>28500</v>
      </c>
      <c r="AS13889" s="78">
        <f t="shared" si="220"/>
        <v>0.67133333333333334</v>
      </c>
    </row>
    <row r="13890" spans="39:45">
      <c r="AM13890" s="54">
        <v>2020</v>
      </c>
      <c r="AN13890" s="54" t="s">
        <v>189</v>
      </c>
      <c r="AO13890" s="54">
        <v>1</v>
      </c>
      <c r="AP13890" s="54">
        <v>16</v>
      </c>
      <c r="AQ13890" s="54">
        <v>8735.5</v>
      </c>
      <c r="AR13890" s="55">
        <v>28500</v>
      </c>
      <c r="AS13890" s="78">
        <f t="shared" ref="AS13890:AS13953" si="221">AQ13890/AR13890</f>
        <v>0.30650877192982456</v>
      </c>
    </row>
    <row r="13891" spans="39:45">
      <c r="AM13891" s="55">
        <v>2020</v>
      </c>
      <c r="AN13891" s="55" t="s">
        <v>189</v>
      </c>
      <c r="AO13891" s="55">
        <v>1</v>
      </c>
      <c r="AP13891" s="55">
        <v>17</v>
      </c>
      <c r="AQ13891" s="55">
        <v>8798.5</v>
      </c>
      <c r="AR13891" s="55">
        <v>28500</v>
      </c>
      <c r="AS13891" s="78">
        <f t="shared" si="221"/>
        <v>0.30871929824561406</v>
      </c>
    </row>
    <row r="13892" spans="39:45">
      <c r="AM13892" s="54">
        <v>2020</v>
      </c>
      <c r="AN13892" s="54" t="s">
        <v>189</v>
      </c>
      <c r="AO13892" s="54">
        <v>1</v>
      </c>
      <c r="AP13892" s="54">
        <v>18</v>
      </c>
      <c r="AQ13892" s="54">
        <v>2627</v>
      </c>
      <c r="AR13892" s="55">
        <v>28500</v>
      </c>
      <c r="AS13892" s="78">
        <f t="shared" si="221"/>
        <v>9.217543859649123E-2</v>
      </c>
    </row>
    <row r="13893" spans="39:45">
      <c r="AM13893" s="55">
        <v>2020</v>
      </c>
      <c r="AN13893" s="55" t="s">
        <v>189</v>
      </c>
      <c r="AO13893" s="55">
        <v>1</v>
      </c>
      <c r="AP13893" s="55">
        <v>19</v>
      </c>
      <c r="AQ13893" s="55">
        <v>0</v>
      </c>
      <c r="AR13893" s="55">
        <v>28500</v>
      </c>
      <c r="AS13893" s="78">
        <f t="shared" si="221"/>
        <v>0</v>
      </c>
    </row>
    <row r="13894" spans="39:45">
      <c r="AM13894" s="54">
        <v>2020</v>
      </c>
      <c r="AN13894" s="54" t="s">
        <v>189</v>
      </c>
      <c r="AO13894" s="54">
        <v>1</v>
      </c>
      <c r="AP13894" s="54">
        <v>20</v>
      </c>
      <c r="AQ13894" s="54">
        <v>0</v>
      </c>
      <c r="AR13894" s="55">
        <v>28500</v>
      </c>
      <c r="AS13894" s="78">
        <f t="shared" si="221"/>
        <v>0</v>
      </c>
    </row>
    <row r="13895" spans="39:45">
      <c r="AM13895" s="55">
        <v>2020</v>
      </c>
      <c r="AN13895" s="55" t="s">
        <v>189</v>
      </c>
      <c r="AO13895" s="55">
        <v>1</v>
      </c>
      <c r="AP13895" s="55">
        <v>21</v>
      </c>
      <c r="AQ13895" s="55">
        <v>0</v>
      </c>
      <c r="AR13895" s="55">
        <v>28500</v>
      </c>
      <c r="AS13895" s="78">
        <f t="shared" si="221"/>
        <v>0</v>
      </c>
    </row>
    <row r="13896" spans="39:45">
      <c r="AM13896" s="54">
        <v>2020</v>
      </c>
      <c r="AN13896" s="54" t="s">
        <v>189</v>
      </c>
      <c r="AO13896" s="54">
        <v>1</v>
      </c>
      <c r="AP13896" s="54">
        <v>22</v>
      </c>
      <c r="AQ13896" s="54">
        <v>0</v>
      </c>
      <c r="AR13896" s="55">
        <v>28500</v>
      </c>
      <c r="AS13896" s="78">
        <f t="shared" si="221"/>
        <v>0</v>
      </c>
    </row>
    <row r="13897" spans="39:45">
      <c r="AM13897" s="55">
        <v>2020</v>
      </c>
      <c r="AN13897" s="55" t="s">
        <v>189</v>
      </c>
      <c r="AO13897" s="55">
        <v>1</v>
      </c>
      <c r="AP13897" s="55">
        <v>23</v>
      </c>
      <c r="AQ13897" s="55">
        <v>0</v>
      </c>
      <c r="AR13897" s="55">
        <v>28500</v>
      </c>
      <c r="AS13897" s="78">
        <f t="shared" si="221"/>
        <v>0</v>
      </c>
    </row>
    <row r="13898" spans="39:45">
      <c r="AM13898" s="54">
        <v>2020</v>
      </c>
      <c r="AN13898" s="54" t="s">
        <v>189</v>
      </c>
      <c r="AO13898" s="54">
        <v>2</v>
      </c>
      <c r="AP13898" s="54">
        <v>24</v>
      </c>
      <c r="AQ13898" s="54">
        <v>0</v>
      </c>
      <c r="AR13898" s="55">
        <v>28500</v>
      </c>
      <c r="AS13898" s="78">
        <f t="shared" si="221"/>
        <v>0</v>
      </c>
    </row>
    <row r="13899" spans="39:45">
      <c r="AM13899" s="55">
        <v>2020</v>
      </c>
      <c r="AN13899" s="55" t="s">
        <v>189</v>
      </c>
      <c r="AO13899" s="55">
        <v>2</v>
      </c>
      <c r="AP13899" s="55">
        <v>1</v>
      </c>
      <c r="AQ13899" s="55">
        <v>0</v>
      </c>
      <c r="AR13899" s="55">
        <v>28500</v>
      </c>
      <c r="AS13899" s="78">
        <f t="shared" si="221"/>
        <v>0</v>
      </c>
    </row>
    <row r="13900" spans="39:45">
      <c r="AM13900" s="54">
        <v>2020</v>
      </c>
      <c r="AN13900" s="54" t="s">
        <v>189</v>
      </c>
      <c r="AO13900" s="54">
        <v>2</v>
      </c>
      <c r="AP13900" s="54">
        <v>2</v>
      </c>
      <c r="AQ13900" s="54">
        <v>0</v>
      </c>
      <c r="AR13900" s="55">
        <v>28500</v>
      </c>
      <c r="AS13900" s="78">
        <f t="shared" si="221"/>
        <v>0</v>
      </c>
    </row>
    <row r="13901" spans="39:45">
      <c r="AM13901" s="55">
        <v>2020</v>
      </c>
      <c r="AN13901" s="55" t="s">
        <v>189</v>
      </c>
      <c r="AO13901" s="55">
        <v>2</v>
      </c>
      <c r="AP13901" s="55">
        <v>3</v>
      </c>
      <c r="AQ13901" s="55">
        <v>0</v>
      </c>
      <c r="AR13901" s="55">
        <v>28500</v>
      </c>
      <c r="AS13901" s="78">
        <f t="shared" si="221"/>
        <v>0</v>
      </c>
    </row>
    <row r="13902" spans="39:45">
      <c r="AM13902" s="54">
        <v>2020</v>
      </c>
      <c r="AN13902" s="54" t="s">
        <v>189</v>
      </c>
      <c r="AO13902" s="54">
        <v>2</v>
      </c>
      <c r="AP13902" s="54">
        <v>4</v>
      </c>
      <c r="AQ13902" s="54">
        <v>0</v>
      </c>
      <c r="AR13902" s="55">
        <v>28500</v>
      </c>
      <c r="AS13902" s="78">
        <f t="shared" si="221"/>
        <v>0</v>
      </c>
    </row>
    <row r="13903" spans="39:45">
      <c r="AM13903" s="55">
        <v>2020</v>
      </c>
      <c r="AN13903" s="55" t="s">
        <v>189</v>
      </c>
      <c r="AO13903" s="55">
        <v>2</v>
      </c>
      <c r="AP13903" s="55">
        <v>5</v>
      </c>
      <c r="AQ13903" s="55">
        <v>584</v>
      </c>
      <c r="AR13903" s="55">
        <v>28500</v>
      </c>
      <c r="AS13903" s="78">
        <f t="shared" si="221"/>
        <v>2.0491228070175439E-2</v>
      </c>
    </row>
    <row r="13904" spans="39:45">
      <c r="AM13904" s="54">
        <v>2020</v>
      </c>
      <c r="AN13904" s="54" t="s">
        <v>189</v>
      </c>
      <c r="AO13904" s="54">
        <v>2</v>
      </c>
      <c r="AP13904" s="54">
        <v>6</v>
      </c>
      <c r="AQ13904" s="54">
        <v>2480</v>
      </c>
      <c r="AR13904" s="55">
        <v>28500</v>
      </c>
      <c r="AS13904" s="78">
        <f t="shared" si="221"/>
        <v>8.7017543859649119E-2</v>
      </c>
    </row>
    <row r="13905" spans="39:45">
      <c r="AM13905" s="55">
        <v>2020</v>
      </c>
      <c r="AN13905" s="55" t="s">
        <v>189</v>
      </c>
      <c r="AO13905" s="55">
        <v>2</v>
      </c>
      <c r="AP13905" s="55">
        <v>7</v>
      </c>
      <c r="AQ13905" s="55">
        <v>11613.5</v>
      </c>
      <c r="AR13905" s="55">
        <v>28500</v>
      </c>
      <c r="AS13905" s="78">
        <f t="shared" si="221"/>
        <v>0.40749122807017546</v>
      </c>
    </row>
    <row r="13906" spans="39:45">
      <c r="AM13906" s="54">
        <v>2020</v>
      </c>
      <c r="AN13906" s="54" t="s">
        <v>189</v>
      </c>
      <c r="AO13906" s="54">
        <v>2</v>
      </c>
      <c r="AP13906" s="54">
        <v>8</v>
      </c>
      <c r="AQ13906" s="54">
        <v>21695.5</v>
      </c>
      <c r="AR13906" s="55">
        <v>28500</v>
      </c>
      <c r="AS13906" s="78">
        <f t="shared" si="221"/>
        <v>0.76124561403508773</v>
      </c>
    </row>
    <row r="13907" spans="39:45">
      <c r="AM13907" s="55">
        <v>2020</v>
      </c>
      <c r="AN13907" s="55" t="s">
        <v>189</v>
      </c>
      <c r="AO13907" s="55">
        <v>2</v>
      </c>
      <c r="AP13907" s="55">
        <v>9</v>
      </c>
      <c r="AQ13907" s="55">
        <v>18953.5</v>
      </c>
      <c r="AR13907" s="55">
        <v>28500</v>
      </c>
      <c r="AS13907" s="78">
        <f t="shared" si="221"/>
        <v>0.6650350877192982</v>
      </c>
    </row>
    <row r="13908" spans="39:45">
      <c r="AM13908" s="54">
        <v>2020</v>
      </c>
      <c r="AN13908" s="54" t="s">
        <v>189</v>
      </c>
      <c r="AO13908" s="54">
        <v>2</v>
      </c>
      <c r="AP13908" s="54">
        <v>10</v>
      </c>
      <c r="AQ13908" s="54">
        <v>26621.5</v>
      </c>
      <c r="AR13908" s="55">
        <v>28500</v>
      </c>
      <c r="AS13908" s="78">
        <f t="shared" si="221"/>
        <v>0.93408771929824563</v>
      </c>
    </row>
    <row r="13909" spans="39:45">
      <c r="AM13909" s="55">
        <v>2020</v>
      </c>
      <c r="AN13909" s="55" t="s">
        <v>189</v>
      </c>
      <c r="AO13909" s="55">
        <v>2</v>
      </c>
      <c r="AP13909" s="55">
        <v>11</v>
      </c>
      <c r="AQ13909" s="55">
        <v>33678.5</v>
      </c>
      <c r="AR13909" s="55">
        <v>28500</v>
      </c>
      <c r="AS13909" s="78">
        <f t="shared" si="221"/>
        <v>1.1817017543859649</v>
      </c>
    </row>
    <row r="13910" spans="39:45">
      <c r="AM13910" s="54">
        <v>2020</v>
      </c>
      <c r="AN13910" s="54" t="s">
        <v>189</v>
      </c>
      <c r="AO13910" s="54">
        <v>2</v>
      </c>
      <c r="AP13910" s="54">
        <v>12</v>
      </c>
      <c r="AQ13910" s="54">
        <v>38791</v>
      </c>
      <c r="AR13910" s="55">
        <v>28500</v>
      </c>
      <c r="AS13910" s="78">
        <f t="shared" si="221"/>
        <v>1.3610877192982456</v>
      </c>
    </row>
    <row r="13911" spans="39:45">
      <c r="AM13911" s="55">
        <v>2020</v>
      </c>
      <c r="AN13911" s="55" t="s">
        <v>189</v>
      </c>
      <c r="AO13911" s="55">
        <v>2</v>
      </c>
      <c r="AP13911" s="55">
        <v>13</v>
      </c>
      <c r="AQ13911" s="55">
        <v>27438.5</v>
      </c>
      <c r="AR13911" s="55">
        <v>28500</v>
      </c>
      <c r="AS13911" s="78">
        <f t="shared" si="221"/>
        <v>0.96275438596491225</v>
      </c>
    </row>
    <row r="13912" spans="39:45">
      <c r="AM13912" s="54">
        <v>2020</v>
      </c>
      <c r="AN13912" s="54" t="s">
        <v>189</v>
      </c>
      <c r="AO13912" s="54">
        <v>2</v>
      </c>
      <c r="AP13912" s="54">
        <v>14</v>
      </c>
      <c r="AQ13912" s="54">
        <v>21832</v>
      </c>
      <c r="AR13912" s="55">
        <v>28500</v>
      </c>
      <c r="AS13912" s="78">
        <f t="shared" si="221"/>
        <v>0.76603508771929829</v>
      </c>
    </row>
    <row r="13913" spans="39:45">
      <c r="AM13913" s="55">
        <v>2020</v>
      </c>
      <c r="AN13913" s="55" t="s">
        <v>189</v>
      </c>
      <c r="AO13913" s="55">
        <v>2</v>
      </c>
      <c r="AP13913" s="55">
        <v>15</v>
      </c>
      <c r="AQ13913" s="55">
        <v>17094.5</v>
      </c>
      <c r="AR13913" s="55">
        <v>28500</v>
      </c>
      <c r="AS13913" s="78">
        <f t="shared" si="221"/>
        <v>0.59980701754385968</v>
      </c>
    </row>
    <row r="13914" spans="39:45">
      <c r="AM13914" s="54">
        <v>2020</v>
      </c>
      <c r="AN13914" s="54" t="s">
        <v>189</v>
      </c>
      <c r="AO13914" s="54">
        <v>2</v>
      </c>
      <c r="AP13914" s="54">
        <v>16</v>
      </c>
      <c r="AQ13914" s="54">
        <v>19833.5</v>
      </c>
      <c r="AR13914" s="55">
        <v>28500</v>
      </c>
      <c r="AS13914" s="78">
        <f t="shared" si="221"/>
        <v>0.69591228070175437</v>
      </c>
    </row>
    <row r="13915" spans="39:45">
      <c r="AM13915" s="55">
        <v>2020</v>
      </c>
      <c r="AN13915" s="55" t="s">
        <v>189</v>
      </c>
      <c r="AO13915" s="55">
        <v>2</v>
      </c>
      <c r="AP13915" s="55">
        <v>17</v>
      </c>
      <c r="AQ13915" s="55">
        <v>6788.5</v>
      </c>
      <c r="AR13915" s="55">
        <v>28500</v>
      </c>
      <c r="AS13915" s="78">
        <f t="shared" si="221"/>
        <v>0.23819298245614035</v>
      </c>
    </row>
    <row r="13916" spans="39:45">
      <c r="AM13916" s="54">
        <v>2020</v>
      </c>
      <c r="AN13916" s="54" t="s">
        <v>189</v>
      </c>
      <c r="AO13916" s="54">
        <v>2</v>
      </c>
      <c r="AP13916" s="54">
        <v>18</v>
      </c>
      <c r="AQ13916" s="54">
        <v>918.5</v>
      </c>
      <c r="AR13916" s="55">
        <v>28500</v>
      </c>
      <c r="AS13916" s="78">
        <f t="shared" si="221"/>
        <v>3.2228070175438599E-2</v>
      </c>
    </row>
    <row r="13917" spans="39:45">
      <c r="AM13917" s="55">
        <v>2020</v>
      </c>
      <c r="AN13917" s="55" t="s">
        <v>189</v>
      </c>
      <c r="AO13917" s="55">
        <v>2</v>
      </c>
      <c r="AP13917" s="55">
        <v>19</v>
      </c>
      <c r="AQ13917" s="55">
        <v>299</v>
      </c>
      <c r="AR13917" s="55">
        <v>28500</v>
      </c>
      <c r="AS13917" s="78">
        <f t="shared" si="221"/>
        <v>1.0491228070175438E-2</v>
      </c>
    </row>
    <row r="13918" spans="39:45">
      <c r="AM13918" s="54">
        <v>2020</v>
      </c>
      <c r="AN13918" s="54" t="s">
        <v>189</v>
      </c>
      <c r="AO13918" s="54">
        <v>2</v>
      </c>
      <c r="AP13918" s="54">
        <v>20</v>
      </c>
      <c r="AQ13918" s="54">
        <v>0</v>
      </c>
      <c r="AR13918" s="55">
        <v>28500</v>
      </c>
      <c r="AS13918" s="78">
        <f t="shared" si="221"/>
        <v>0</v>
      </c>
    </row>
    <row r="13919" spans="39:45">
      <c r="AM13919" s="55">
        <v>2020</v>
      </c>
      <c r="AN13919" s="55" t="s">
        <v>189</v>
      </c>
      <c r="AO13919" s="55">
        <v>2</v>
      </c>
      <c r="AP13919" s="55">
        <v>21</v>
      </c>
      <c r="AQ13919" s="55">
        <v>0</v>
      </c>
      <c r="AR13919" s="55">
        <v>28500</v>
      </c>
      <c r="AS13919" s="78">
        <f t="shared" si="221"/>
        <v>0</v>
      </c>
    </row>
    <row r="13920" spans="39:45">
      <c r="AM13920" s="54">
        <v>2020</v>
      </c>
      <c r="AN13920" s="54" t="s">
        <v>189</v>
      </c>
      <c r="AO13920" s="54">
        <v>2</v>
      </c>
      <c r="AP13920" s="54">
        <v>22</v>
      </c>
      <c r="AQ13920" s="54">
        <v>0</v>
      </c>
      <c r="AR13920" s="55">
        <v>28500</v>
      </c>
      <c r="AS13920" s="78">
        <f t="shared" si="221"/>
        <v>0</v>
      </c>
    </row>
    <row r="13921" spans="39:45">
      <c r="AM13921" s="55">
        <v>2020</v>
      </c>
      <c r="AN13921" s="55" t="s">
        <v>189</v>
      </c>
      <c r="AO13921" s="55">
        <v>2</v>
      </c>
      <c r="AP13921" s="55">
        <v>23</v>
      </c>
      <c r="AQ13921" s="55">
        <v>0</v>
      </c>
      <c r="AR13921" s="55">
        <v>28500</v>
      </c>
      <c r="AS13921" s="78">
        <f t="shared" si="221"/>
        <v>0</v>
      </c>
    </row>
    <row r="13922" spans="39:45">
      <c r="AM13922" s="54">
        <v>2020</v>
      </c>
      <c r="AN13922" s="54" t="s">
        <v>189</v>
      </c>
      <c r="AO13922" s="54">
        <v>3</v>
      </c>
      <c r="AP13922" s="54">
        <v>24</v>
      </c>
      <c r="AQ13922" s="54">
        <v>0</v>
      </c>
      <c r="AR13922" s="55">
        <v>28500</v>
      </c>
      <c r="AS13922" s="78">
        <f t="shared" si="221"/>
        <v>0</v>
      </c>
    </row>
    <row r="13923" spans="39:45">
      <c r="AM13923" s="55">
        <v>2020</v>
      </c>
      <c r="AN13923" s="55" t="s">
        <v>189</v>
      </c>
      <c r="AO13923" s="55">
        <v>3</v>
      </c>
      <c r="AP13923" s="55">
        <v>1</v>
      </c>
      <c r="AQ13923" s="55">
        <v>0</v>
      </c>
      <c r="AR13923" s="55">
        <v>28500</v>
      </c>
      <c r="AS13923" s="78">
        <f t="shared" si="221"/>
        <v>0</v>
      </c>
    </row>
    <row r="13924" spans="39:45">
      <c r="AM13924" s="54">
        <v>2020</v>
      </c>
      <c r="AN13924" s="54" t="s">
        <v>189</v>
      </c>
      <c r="AO13924" s="54">
        <v>3</v>
      </c>
      <c r="AP13924" s="54">
        <v>2</v>
      </c>
      <c r="AQ13924" s="54">
        <v>0</v>
      </c>
      <c r="AR13924" s="55">
        <v>28500</v>
      </c>
      <c r="AS13924" s="78">
        <f t="shared" si="221"/>
        <v>0</v>
      </c>
    </row>
    <row r="13925" spans="39:45">
      <c r="AM13925" s="55">
        <v>2020</v>
      </c>
      <c r="AN13925" s="55" t="s">
        <v>189</v>
      </c>
      <c r="AO13925" s="55">
        <v>3</v>
      </c>
      <c r="AP13925" s="55">
        <v>3</v>
      </c>
      <c r="AQ13925" s="55">
        <v>0</v>
      </c>
      <c r="AR13925" s="55">
        <v>28500</v>
      </c>
      <c r="AS13925" s="78">
        <f t="shared" si="221"/>
        <v>0</v>
      </c>
    </row>
    <row r="13926" spans="39:45">
      <c r="AM13926" s="54">
        <v>2020</v>
      </c>
      <c r="AN13926" s="54" t="s">
        <v>189</v>
      </c>
      <c r="AO13926" s="54">
        <v>3</v>
      </c>
      <c r="AP13926" s="54">
        <v>4</v>
      </c>
      <c r="AQ13926" s="54">
        <v>0</v>
      </c>
      <c r="AR13926" s="55">
        <v>28500</v>
      </c>
      <c r="AS13926" s="78">
        <f t="shared" si="221"/>
        <v>0</v>
      </c>
    </row>
    <row r="13927" spans="39:45">
      <c r="AM13927" s="55">
        <v>2020</v>
      </c>
      <c r="AN13927" s="55" t="s">
        <v>189</v>
      </c>
      <c r="AO13927" s="55">
        <v>3</v>
      </c>
      <c r="AP13927" s="55">
        <v>5</v>
      </c>
      <c r="AQ13927" s="55">
        <v>586</v>
      </c>
      <c r="AR13927" s="55">
        <v>28500</v>
      </c>
      <c r="AS13927" s="78">
        <f t="shared" si="221"/>
        <v>2.056140350877193E-2</v>
      </c>
    </row>
    <row r="13928" spans="39:45">
      <c r="AM13928" s="54">
        <v>2020</v>
      </c>
      <c r="AN13928" s="54" t="s">
        <v>189</v>
      </c>
      <c r="AO13928" s="54">
        <v>3</v>
      </c>
      <c r="AP13928" s="54">
        <v>6</v>
      </c>
      <c r="AQ13928" s="54">
        <v>3241</v>
      </c>
      <c r="AR13928" s="55">
        <v>28500</v>
      </c>
      <c r="AS13928" s="78">
        <f t="shared" si="221"/>
        <v>0.11371929824561404</v>
      </c>
    </row>
    <row r="13929" spans="39:45">
      <c r="AM13929" s="55">
        <v>2020</v>
      </c>
      <c r="AN13929" s="55" t="s">
        <v>189</v>
      </c>
      <c r="AO13929" s="55">
        <v>3</v>
      </c>
      <c r="AP13929" s="55">
        <v>7</v>
      </c>
      <c r="AQ13929" s="55">
        <v>8908</v>
      </c>
      <c r="AR13929" s="55">
        <v>28500</v>
      </c>
      <c r="AS13929" s="78">
        <f t="shared" si="221"/>
        <v>0.31256140350877193</v>
      </c>
    </row>
    <row r="13930" spans="39:45">
      <c r="AM13930" s="54">
        <v>2020</v>
      </c>
      <c r="AN13930" s="54" t="s">
        <v>189</v>
      </c>
      <c r="AO13930" s="54">
        <v>3</v>
      </c>
      <c r="AP13930" s="54">
        <v>8</v>
      </c>
      <c r="AQ13930" s="54">
        <v>20992</v>
      </c>
      <c r="AR13930" s="55">
        <v>28500</v>
      </c>
      <c r="AS13930" s="78">
        <f t="shared" si="221"/>
        <v>0.73656140350877197</v>
      </c>
    </row>
    <row r="13931" spans="39:45">
      <c r="AM13931" s="55">
        <v>2020</v>
      </c>
      <c r="AN13931" s="55" t="s">
        <v>189</v>
      </c>
      <c r="AO13931" s="55">
        <v>3</v>
      </c>
      <c r="AP13931" s="55">
        <v>9</v>
      </c>
      <c r="AQ13931" s="55">
        <v>27971.5</v>
      </c>
      <c r="AR13931" s="55">
        <v>28500</v>
      </c>
      <c r="AS13931" s="78">
        <f t="shared" si="221"/>
        <v>0.98145614035087714</v>
      </c>
    </row>
    <row r="13932" spans="39:45">
      <c r="AM13932" s="54">
        <v>2020</v>
      </c>
      <c r="AN13932" s="54" t="s">
        <v>189</v>
      </c>
      <c r="AO13932" s="54">
        <v>3</v>
      </c>
      <c r="AP13932" s="54">
        <v>10</v>
      </c>
      <c r="AQ13932" s="54">
        <v>24841</v>
      </c>
      <c r="AR13932" s="55">
        <v>28500</v>
      </c>
      <c r="AS13932" s="78">
        <f t="shared" si="221"/>
        <v>0.87161403508771929</v>
      </c>
    </row>
    <row r="13933" spans="39:45">
      <c r="AM13933" s="55">
        <v>2020</v>
      </c>
      <c r="AN13933" s="55" t="s">
        <v>189</v>
      </c>
      <c r="AO13933" s="55">
        <v>3</v>
      </c>
      <c r="AP13933" s="55">
        <v>11</v>
      </c>
      <c r="AQ13933" s="55">
        <v>24142</v>
      </c>
      <c r="AR13933" s="55">
        <v>28500</v>
      </c>
      <c r="AS13933" s="78">
        <f t="shared" si="221"/>
        <v>0.84708771929824567</v>
      </c>
    </row>
    <row r="13934" spans="39:45">
      <c r="AM13934" s="54">
        <v>2020</v>
      </c>
      <c r="AN13934" s="54" t="s">
        <v>189</v>
      </c>
      <c r="AO13934" s="54">
        <v>3</v>
      </c>
      <c r="AP13934" s="54">
        <v>12</v>
      </c>
      <c r="AQ13934" s="54">
        <v>17653</v>
      </c>
      <c r="AR13934" s="55">
        <v>28500</v>
      </c>
      <c r="AS13934" s="78">
        <f t="shared" si="221"/>
        <v>0.61940350877192984</v>
      </c>
    </row>
    <row r="13935" spans="39:45">
      <c r="AM13935" s="55">
        <v>2020</v>
      </c>
      <c r="AN13935" s="55" t="s">
        <v>189</v>
      </c>
      <c r="AO13935" s="55">
        <v>3</v>
      </c>
      <c r="AP13935" s="55">
        <v>13</v>
      </c>
      <c r="AQ13935" s="55">
        <v>19734</v>
      </c>
      <c r="AR13935" s="55">
        <v>28500</v>
      </c>
      <c r="AS13935" s="78">
        <f t="shared" si="221"/>
        <v>0.69242105263157894</v>
      </c>
    </row>
    <row r="13936" spans="39:45">
      <c r="AM13936" s="54">
        <v>2020</v>
      </c>
      <c r="AN13936" s="54" t="s">
        <v>189</v>
      </c>
      <c r="AO13936" s="54">
        <v>3</v>
      </c>
      <c r="AP13936" s="54">
        <v>14</v>
      </c>
      <c r="AQ13936" s="54">
        <v>17569.5</v>
      </c>
      <c r="AR13936" s="55">
        <v>28500</v>
      </c>
      <c r="AS13936" s="78">
        <f t="shared" si="221"/>
        <v>0.61647368421052628</v>
      </c>
    </row>
    <row r="13937" spans="39:45">
      <c r="AM13937" s="55">
        <v>2020</v>
      </c>
      <c r="AN13937" s="55" t="s">
        <v>189</v>
      </c>
      <c r="AO13937" s="55">
        <v>3</v>
      </c>
      <c r="AP13937" s="55">
        <v>15</v>
      </c>
      <c r="AQ13937" s="55">
        <v>18899</v>
      </c>
      <c r="AR13937" s="55">
        <v>28500</v>
      </c>
      <c r="AS13937" s="78">
        <f t="shared" si="221"/>
        <v>0.66312280701754389</v>
      </c>
    </row>
    <row r="13938" spans="39:45">
      <c r="AM13938" s="54">
        <v>2020</v>
      </c>
      <c r="AN13938" s="54" t="s">
        <v>189</v>
      </c>
      <c r="AO13938" s="54">
        <v>3</v>
      </c>
      <c r="AP13938" s="54">
        <v>16</v>
      </c>
      <c r="AQ13938" s="54">
        <v>7569</v>
      </c>
      <c r="AR13938" s="55">
        <v>28500</v>
      </c>
      <c r="AS13938" s="78">
        <f t="shared" si="221"/>
        <v>0.26557894736842103</v>
      </c>
    </row>
    <row r="13939" spans="39:45">
      <c r="AM13939" s="55">
        <v>2020</v>
      </c>
      <c r="AN13939" s="55" t="s">
        <v>189</v>
      </c>
      <c r="AO13939" s="55">
        <v>3</v>
      </c>
      <c r="AP13939" s="55">
        <v>17</v>
      </c>
      <c r="AQ13939" s="55">
        <v>5899.5</v>
      </c>
      <c r="AR13939" s="55">
        <v>28500</v>
      </c>
      <c r="AS13939" s="78">
        <f t="shared" si="221"/>
        <v>0.20699999999999999</v>
      </c>
    </row>
    <row r="13940" spans="39:45">
      <c r="AM13940" s="54">
        <v>2020</v>
      </c>
      <c r="AN13940" s="54" t="s">
        <v>189</v>
      </c>
      <c r="AO13940" s="54">
        <v>3</v>
      </c>
      <c r="AP13940" s="54">
        <v>18</v>
      </c>
      <c r="AQ13940" s="54">
        <v>1670</v>
      </c>
      <c r="AR13940" s="55">
        <v>28500</v>
      </c>
      <c r="AS13940" s="78">
        <f t="shared" si="221"/>
        <v>5.8596491228070174E-2</v>
      </c>
    </row>
    <row r="13941" spans="39:45">
      <c r="AM13941" s="55">
        <v>2020</v>
      </c>
      <c r="AN13941" s="55" t="s">
        <v>189</v>
      </c>
      <c r="AO13941" s="55">
        <v>3</v>
      </c>
      <c r="AP13941" s="55">
        <v>19</v>
      </c>
      <c r="AQ13941" s="55">
        <v>18</v>
      </c>
      <c r="AR13941" s="55">
        <v>28500</v>
      </c>
      <c r="AS13941" s="78">
        <f t="shared" si="221"/>
        <v>6.3157894736842106E-4</v>
      </c>
    </row>
    <row r="13942" spans="39:45">
      <c r="AM13942" s="54">
        <v>2020</v>
      </c>
      <c r="AN13942" s="54" t="s">
        <v>189</v>
      </c>
      <c r="AO13942" s="54">
        <v>3</v>
      </c>
      <c r="AP13942" s="54">
        <v>20</v>
      </c>
      <c r="AQ13942" s="54">
        <v>0</v>
      </c>
      <c r="AR13942" s="55">
        <v>28500</v>
      </c>
      <c r="AS13942" s="78">
        <f t="shared" si="221"/>
        <v>0</v>
      </c>
    </row>
    <row r="13943" spans="39:45">
      <c r="AM13943" s="55">
        <v>2020</v>
      </c>
      <c r="AN13943" s="55" t="s">
        <v>189</v>
      </c>
      <c r="AO13943" s="55">
        <v>3</v>
      </c>
      <c r="AP13943" s="55">
        <v>21</v>
      </c>
      <c r="AQ13943" s="55">
        <v>0</v>
      </c>
      <c r="AR13943" s="55">
        <v>28500</v>
      </c>
      <c r="AS13943" s="78">
        <f t="shared" si="221"/>
        <v>0</v>
      </c>
    </row>
    <row r="13944" spans="39:45">
      <c r="AM13944" s="54">
        <v>2020</v>
      </c>
      <c r="AN13944" s="54" t="s">
        <v>189</v>
      </c>
      <c r="AO13944" s="54">
        <v>3</v>
      </c>
      <c r="AP13944" s="54">
        <v>22</v>
      </c>
      <c r="AQ13944" s="54">
        <v>0</v>
      </c>
      <c r="AR13944" s="55">
        <v>28500</v>
      </c>
      <c r="AS13944" s="78">
        <f t="shared" si="221"/>
        <v>0</v>
      </c>
    </row>
    <row r="13945" spans="39:45">
      <c r="AM13945" s="55">
        <v>2020</v>
      </c>
      <c r="AN13945" s="55" t="s">
        <v>189</v>
      </c>
      <c r="AO13945" s="55">
        <v>3</v>
      </c>
      <c r="AP13945" s="55">
        <v>23</v>
      </c>
      <c r="AQ13945" s="55">
        <v>0</v>
      </c>
      <c r="AR13945" s="55">
        <v>28500</v>
      </c>
      <c r="AS13945" s="78">
        <f t="shared" si="221"/>
        <v>0</v>
      </c>
    </row>
    <row r="13946" spans="39:45">
      <c r="AM13946" s="54">
        <v>2020</v>
      </c>
      <c r="AN13946" s="54" t="s">
        <v>189</v>
      </c>
      <c r="AO13946" s="54">
        <v>4</v>
      </c>
      <c r="AP13946" s="54">
        <v>24</v>
      </c>
      <c r="AQ13946" s="54">
        <v>0</v>
      </c>
      <c r="AR13946" s="55">
        <v>28500</v>
      </c>
      <c r="AS13946" s="78">
        <f t="shared" si="221"/>
        <v>0</v>
      </c>
    </row>
    <row r="13947" spans="39:45">
      <c r="AM13947" s="55">
        <v>2020</v>
      </c>
      <c r="AN13947" s="55" t="s">
        <v>189</v>
      </c>
      <c r="AO13947" s="55">
        <v>4</v>
      </c>
      <c r="AP13947" s="55">
        <v>1</v>
      </c>
      <c r="AQ13947" s="55">
        <v>0</v>
      </c>
      <c r="AR13947" s="55">
        <v>28500</v>
      </c>
      <c r="AS13947" s="78">
        <f t="shared" si="221"/>
        <v>0</v>
      </c>
    </row>
    <row r="13948" spans="39:45">
      <c r="AM13948" s="54">
        <v>2020</v>
      </c>
      <c r="AN13948" s="54" t="s">
        <v>189</v>
      </c>
      <c r="AO13948" s="54">
        <v>4</v>
      </c>
      <c r="AP13948" s="54">
        <v>2</v>
      </c>
      <c r="AQ13948" s="54">
        <v>0</v>
      </c>
      <c r="AR13948" s="55">
        <v>28500</v>
      </c>
      <c r="AS13948" s="78">
        <f t="shared" si="221"/>
        <v>0</v>
      </c>
    </row>
    <row r="13949" spans="39:45">
      <c r="AM13949" s="55">
        <v>2020</v>
      </c>
      <c r="AN13949" s="55" t="s">
        <v>189</v>
      </c>
      <c r="AO13949" s="55">
        <v>4</v>
      </c>
      <c r="AP13949" s="55">
        <v>3</v>
      </c>
      <c r="AQ13949" s="55">
        <v>0</v>
      </c>
      <c r="AR13949" s="55">
        <v>28500</v>
      </c>
      <c r="AS13949" s="78">
        <f t="shared" si="221"/>
        <v>0</v>
      </c>
    </row>
    <row r="13950" spans="39:45">
      <c r="AM13950" s="54">
        <v>2020</v>
      </c>
      <c r="AN13950" s="54" t="s">
        <v>189</v>
      </c>
      <c r="AO13950" s="54">
        <v>4</v>
      </c>
      <c r="AP13950" s="54">
        <v>4</v>
      </c>
      <c r="AQ13950" s="54">
        <v>0</v>
      </c>
      <c r="AR13950" s="55">
        <v>28500</v>
      </c>
      <c r="AS13950" s="78">
        <f t="shared" si="221"/>
        <v>0</v>
      </c>
    </row>
    <row r="13951" spans="39:45">
      <c r="AM13951" s="55">
        <v>2020</v>
      </c>
      <c r="AN13951" s="55" t="s">
        <v>189</v>
      </c>
      <c r="AO13951" s="55">
        <v>4</v>
      </c>
      <c r="AP13951" s="55">
        <v>5</v>
      </c>
      <c r="AQ13951" s="55">
        <v>563</v>
      </c>
      <c r="AR13951" s="55">
        <v>28500</v>
      </c>
      <c r="AS13951" s="78">
        <f t="shared" si="221"/>
        <v>1.9754385964912281E-2</v>
      </c>
    </row>
    <row r="13952" spans="39:45">
      <c r="AM13952" s="54">
        <v>2020</v>
      </c>
      <c r="AN13952" s="54" t="s">
        <v>189</v>
      </c>
      <c r="AO13952" s="54">
        <v>4</v>
      </c>
      <c r="AP13952" s="54">
        <v>6</v>
      </c>
      <c r="AQ13952" s="54">
        <v>2456.5</v>
      </c>
      <c r="AR13952" s="55">
        <v>28500</v>
      </c>
      <c r="AS13952" s="78">
        <f t="shared" si="221"/>
        <v>8.6192982456140349E-2</v>
      </c>
    </row>
    <row r="13953" spans="39:45">
      <c r="AM13953" s="55">
        <v>2020</v>
      </c>
      <c r="AN13953" s="55" t="s">
        <v>189</v>
      </c>
      <c r="AO13953" s="55">
        <v>4</v>
      </c>
      <c r="AP13953" s="55">
        <v>7</v>
      </c>
      <c r="AQ13953" s="55">
        <v>11010</v>
      </c>
      <c r="AR13953" s="55">
        <v>28500</v>
      </c>
      <c r="AS13953" s="78">
        <f t="shared" si="221"/>
        <v>0.38631578947368422</v>
      </c>
    </row>
    <row r="13954" spans="39:45">
      <c r="AM13954" s="54">
        <v>2020</v>
      </c>
      <c r="AN13954" s="54" t="s">
        <v>189</v>
      </c>
      <c r="AO13954" s="54">
        <v>4</v>
      </c>
      <c r="AP13954" s="54">
        <v>8</v>
      </c>
      <c r="AQ13954" s="54">
        <v>20765</v>
      </c>
      <c r="AR13954" s="55">
        <v>28500</v>
      </c>
      <c r="AS13954" s="78">
        <f t="shared" ref="AS13954:AS14017" si="222">AQ13954/AR13954</f>
        <v>0.72859649122807013</v>
      </c>
    </row>
    <row r="13955" spans="39:45">
      <c r="AM13955" s="55">
        <v>2020</v>
      </c>
      <c r="AN13955" s="55" t="s">
        <v>189</v>
      </c>
      <c r="AO13955" s="55">
        <v>4</v>
      </c>
      <c r="AP13955" s="55">
        <v>9</v>
      </c>
      <c r="AQ13955" s="55">
        <v>26213.5</v>
      </c>
      <c r="AR13955" s="55">
        <v>28500</v>
      </c>
      <c r="AS13955" s="78">
        <f t="shared" si="222"/>
        <v>0.91977192982456135</v>
      </c>
    </row>
    <row r="13956" spans="39:45">
      <c r="AM13956" s="54">
        <v>2020</v>
      </c>
      <c r="AN13956" s="54" t="s">
        <v>189</v>
      </c>
      <c r="AO13956" s="54">
        <v>4</v>
      </c>
      <c r="AP13956" s="54">
        <v>10</v>
      </c>
      <c r="AQ13956" s="54">
        <v>30573.5</v>
      </c>
      <c r="AR13956" s="55">
        <v>28500</v>
      </c>
      <c r="AS13956" s="78">
        <f t="shared" si="222"/>
        <v>1.0727543859649122</v>
      </c>
    </row>
    <row r="13957" spans="39:45">
      <c r="AM13957" s="55">
        <v>2020</v>
      </c>
      <c r="AN13957" s="55" t="s">
        <v>189</v>
      </c>
      <c r="AO13957" s="55">
        <v>4</v>
      </c>
      <c r="AP13957" s="55">
        <v>11</v>
      </c>
      <c r="AQ13957" s="55">
        <v>33458</v>
      </c>
      <c r="AR13957" s="55">
        <v>28500</v>
      </c>
      <c r="AS13957" s="78">
        <f t="shared" si="222"/>
        <v>1.1739649122807017</v>
      </c>
    </row>
    <row r="13958" spans="39:45">
      <c r="AM13958" s="54">
        <v>2020</v>
      </c>
      <c r="AN13958" s="54" t="s">
        <v>189</v>
      </c>
      <c r="AO13958" s="54">
        <v>4</v>
      </c>
      <c r="AP13958" s="54">
        <v>12</v>
      </c>
      <c r="AQ13958" s="54">
        <v>24705.5</v>
      </c>
      <c r="AR13958" s="55">
        <v>28500</v>
      </c>
      <c r="AS13958" s="78">
        <f t="shared" si="222"/>
        <v>0.866859649122807</v>
      </c>
    </row>
    <row r="13959" spans="39:45">
      <c r="AM13959" s="55">
        <v>2020</v>
      </c>
      <c r="AN13959" s="55" t="s">
        <v>189</v>
      </c>
      <c r="AO13959" s="55">
        <v>4</v>
      </c>
      <c r="AP13959" s="55">
        <v>13</v>
      </c>
      <c r="AQ13959" s="55">
        <v>10184</v>
      </c>
      <c r="AR13959" s="55">
        <v>28500</v>
      </c>
      <c r="AS13959" s="78">
        <f t="shared" si="222"/>
        <v>0.35733333333333334</v>
      </c>
    </row>
    <row r="13960" spans="39:45">
      <c r="AM13960" s="54">
        <v>2020</v>
      </c>
      <c r="AN13960" s="54" t="s">
        <v>189</v>
      </c>
      <c r="AO13960" s="54">
        <v>4</v>
      </c>
      <c r="AP13960" s="54">
        <v>14</v>
      </c>
      <c r="AQ13960" s="54">
        <v>34131.5</v>
      </c>
      <c r="AR13960" s="55">
        <v>28500</v>
      </c>
      <c r="AS13960" s="78">
        <f t="shared" si="222"/>
        <v>1.1975964912280701</v>
      </c>
    </row>
    <row r="13961" spans="39:45">
      <c r="AM13961" s="55">
        <v>2020</v>
      </c>
      <c r="AN13961" s="55" t="s">
        <v>189</v>
      </c>
      <c r="AO13961" s="55">
        <v>4</v>
      </c>
      <c r="AP13961" s="55">
        <v>15</v>
      </c>
      <c r="AQ13961" s="55">
        <v>28247.5</v>
      </c>
      <c r="AR13961" s="55">
        <v>28500</v>
      </c>
      <c r="AS13961" s="78">
        <f t="shared" si="222"/>
        <v>0.99114035087719299</v>
      </c>
    </row>
    <row r="13962" spans="39:45">
      <c r="AM13962" s="54">
        <v>2020</v>
      </c>
      <c r="AN13962" s="54" t="s">
        <v>189</v>
      </c>
      <c r="AO13962" s="54">
        <v>4</v>
      </c>
      <c r="AP13962" s="54">
        <v>16</v>
      </c>
      <c r="AQ13962" s="54">
        <v>13658</v>
      </c>
      <c r="AR13962" s="55">
        <v>28500</v>
      </c>
      <c r="AS13962" s="78">
        <f t="shared" si="222"/>
        <v>0.47922807017543861</v>
      </c>
    </row>
    <row r="13963" spans="39:45">
      <c r="AM13963" s="55">
        <v>2020</v>
      </c>
      <c r="AN13963" s="55" t="s">
        <v>189</v>
      </c>
      <c r="AO13963" s="55">
        <v>4</v>
      </c>
      <c r="AP13963" s="55">
        <v>17</v>
      </c>
      <c r="AQ13963" s="55">
        <v>9364</v>
      </c>
      <c r="AR13963" s="55">
        <v>28500</v>
      </c>
      <c r="AS13963" s="78">
        <f t="shared" si="222"/>
        <v>0.32856140350877194</v>
      </c>
    </row>
    <row r="13964" spans="39:45">
      <c r="AM13964" s="54">
        <v>2020</v>
      </c>
      <c r="AN13964" s="54" t="s">
        <v>189</v>
      </c>
      <c r="AO13964" s="54">
        <v>4</v>
      </c>
      <c r="AP13964" s="54">
        <v>18</v>
      </c>
      <c r="AQ13964" s="54">
        <v>1371</v>
      </c>
      <c r="AR13964" s="55">
        <v>28500</v>
      </c>
      <c r="AS13964" s="78">
        <f t="shared" si="222"/>
        <v>4.8105263157894734E-2</v>
      </c>
    </row>
    <row r="13965" spans="39:45">
      <c r="AM13965" s="55">
        <v>2020</v>
      </c>
      <c r="AN13965" s="55" t="s">
        <v>189</v>
      </c>
      <c r="AO13965" s="55">
        <v>4</v>
      </c>
      <c r="AP13965" s="55">
        <v>19</v>
      </c>
      <c r="AQ13965" s="55">
        <v>276</v>
      </c>
      <c r="AR13965" s="55">
        <v>28500</v>
      </c>
      <c r="AS13965" s="78">
        <f t="shared" si="222"/>
        <v>9.6842105263157899E-3</v>
      </c>
    </row>
    <row r="13966" spans="39:45">
      <c r="AM13966" s="54">
        <v>2020</v>
      </c>
      <c r="AN13966" s="54" t="s">
        <v>189</v>
      </c>
      <c r="AO13966" s="54">
        <v>4</v>
      </c>
      <c r="AP13966" s="54">
        <v>20</v>
      </c>
      <c r="AQ13966" s="54">
        <v>0</v>
      </c>
      <c r="AR13966" s="55">
        <v>28500</v>
      </c>
      <c r="AS13966" s="78">
        <f t="shared" si="222"/>
        <v>0</v>
      </c>
    </row>
    <row r="13967" spans="39:45">
      <c r="AM13967" s="55">
        <v>2020</v>
      </c>
      <c r="AN13967" s="55" t="s">
        <v>189</v>
      </c>
      <c r="AO13967" s="55">
        <v>4</v>
      </c>
      <c r="AP13967" s="55">
        <v>21</v>
      </c>
      <c r="AQ13967" s="55">
        <v>0</v>
      </c>
      <c r="AR13967" s="55">
        <v>28500</v>
      </c>
      <c r="AS13967" s="78">
        <f t="shared" si="222"/>
        <v>0</v>
      </c>
    </row>
    <row r="13968" spans="39:45">
      <c r="AM13968" s="54">
        <v>2020</v>
      </c>
      <c r="AN13968" s="54" t="s">
        <v>189</v>
      </c>
      <c r="AO13968" s="54">
        <v>4</v>
      </c>
      <c r="AP13968" s="54">
        <v>22</v>
      </c>
      <c r="AQ13968" s="54">
        <v>0</v>
      </c>
      <c r="AR13968" s="55">
        <v>28500</v>
      </c>
      <c r="AS13968" s="78">
        <f t="shared" si="222"/>
        <v>0</v>
      </c>
    </row>
    <row r="13969" spans="39:45">
      <c r="AM13969" s="55">
        <v>2020</v>
      </c>
      <c r="AN13969" s="55" t="s">
        <v>189</v>
      </c>
      <c r="AO13969" s="55">
        <v>4</v>
      </c>
      <c r="AP13969" s="55">
        <v>23</v>
      </c>
      <c r="AQ13969" s="55">
        <v>0</v>
      </c>
      <c r="AR13969" s="55">
        <v>28500</v>
      </c>
      <c r="AS13969" s="78">
        <f t="shared" si="222"/>
        <v>0</v>
      </c>
    </row>
    <row r="13970" spans="39:45">
      <c r="AM13970" s="54">
        <v>2020</v>
      </c>
      <c r="AN13970" s="54" t="s">
        <v>189</v>
      </c>
      <c r="AO13970" s="54">
        <v>5</v>
      </c>
      <c r="AP13970" s="54">
        <v>24</v>
      </c>
      <c r="AQ13970" s="54">
        <v>0</v>
      </c>
      <c r="AR13970" s="55">
        <v>28500</v>
      </c>
      <c r="AS13970" s="78">
        <f t="shared" si="222"/>
        <v>0</v>
      </c>
    </row>
    <row r="13971" spans="39:45">
      <c r="AM13971" s="55">
        <v>2020</v>
      </c>
      <c r="AN13971" s="55" t="s">
        <v>189</v>
      </c>
      <c r="AO13971" s="55">
        <v>5</v>
      </c>
      <c r="AP13971" s="55">
        <v>1</v>
      </c>
      <c r="AQ13971" s="55">
        <v>0</v>
      </c>
      <c r="AR13971" s="55">
        <v>28500</v>
      </c>
      <c r="AS13971" s="78">
        <f t="shared" si="222"/>
        <v>0</v>
      </c>
    </row>
    <row r="13972" spans="39:45">
      <c r="AM13972" s="54">
        <v>2020</v>
      </c>
      <c r="AN13972" s="54" t="s">
        <v>189</v>
      </c>
      <c r="AO13972" s="54">
        <v>5</v>
      </c>
      <c r="AP13972" s="54">
        <v>2</v>
      </c>
      <c r="AQ13972" s="54">
        <v>0</v>
      </c>
      <c r="AR13972" s="55">
        <v>28500</v>
      </c>
      <c r="AS13972" s="78">
        <f t="shared" si="222"/>
        <v>0</v>
      </c>
    </row>
    <row r="13973" spans="39:45">
      <c r="AM13973" s="55">
        <v>2020</v>
      </c>
      <c r="AN13973" s="55" t="s">
        <v>189</v>
      </c>
      <c r="AO13973" s="55">
        <v>5</v>
      </c>
      <c r="AP13973" s="55">
        <v>3</v>
      </c>
      <c r="AQ13973" s="55">
        <v>0</v>
      </c>
      <c r="AR13973" s="55">
        <v>28500</v>
      </c>
      <c r="AS13973" s="78">
        <f t="shared" si="222"/>
        <v>0</v>
      </c>
    </row>
    <row r="13974" spans="39:45">
      <c r="AM13974" s="54">
        <v>2020</v>
      </c>
      <c r="AN13974" s="54" t="s">
        <v>189</v>
      </c>
      <c r="AO13974" s="54">
        <v>5</v>
      </c>
      <c r="AP13974" s="54">
        <v>4</v>
      </c>
      <c r="AQ13974" s="54">
        <v>0</v>
      </c>
      <c r="AR13974" s="55">
        <v>28500</v>
      </c>
      <c r="AS13974" s="78">
        <f t="shared" si="222"/>
        <v>0</v>
      </c>
    </row>
    <row r="13975" spans="39:45">
      <c r="AM13975" s="55">
        <v>2020</v>
      </c>
      <c r="AN13975" s="55" t="s">
        <v>189</v>
      </c>
      <c r="AO13975" s="55">
        <v>5</v>
      </c>
      <c r="AP13975" s="55">
        <v>5</v>
      </c>
      <c r="AQ13975" s="55">
        <v>467</v>
      </c>
      <c r="AR13975" s="55">
        <v>28500</v>
      </c>
      <c r="AS13975" s="78">
        <f t="shared" si="222"/>
        <v>1.6385964912280702E-2</v>
      </c>
    </row>
    <row r="13976" spans="39:45">
      <c r="AM13976" s="54">
        <v>2020</v>
      </c>
      <c r="AN13976" s="54" t="s">
        <v>189</v>
      </c>
      <c r="AO13976" s="54">
        <v>5</v>
      </c>
      <c r="AP13976" s="54">
        <v>6</v>
      </c>
      <c r="AQ13976" s="54">
        <v>3006</v>
      </c>
      <c r="AR13976" s="55">
        <v>28500</v>
      </c>
      <c r="AS13976" s="78">
        <f t="shared" si="222"/>
        <v>0.10547368421052632</v>
      </c>
    </row>
    <row r="13977" spans="39:45">
      <c r="AM13977" s="55">
        <v>2020</v>
      </c>
      <c r="AN13977" s="55" t="s">
        <v>189</v>
      </c>
      <c r="AO13977" s="55">
        <v>5</v>
      </c>
      <c r="AP13977" s="55">
        <v>7</v>
      </c>
      <c r="AQ13977" s="55">
        <v>8795</v>
      </c>
      <c r="AR13977" s="55">
        <v>28500</v>
      </c>
      <c r="AS13977" s="78">
        <f t="shared" si="222"/>
        <v>0.3085964912280702</v>
      </c>
    </row>
    <row r="13978" spans="39:45">
      <c r="AM13978" s="54">
        <v>2020</v>
      </c>
      <c r="AN13978" s="54" t="s">
        <v>189</v>
      </c>
      <c r="AO13978" s="54">
        <v>5</v>
      </c>
      <c r="AP13978" s="54">
        <v>8</v>
      </c>
      <c r="AQ13978" s="54">
        <v>19835.5</v>
      </c>
      <c r="AR13978" s="55">
        <v>28500</v>
      </c>
      <c r="AS13978" s="78">
        <f t="shared" si="222"/>
        <v>0.69598245614035092</v>
      </c>
    </row>
    <row r="13979" spans="39:45">
      <c r="AM13979" s="55">
        <v>2020</v>
      </c>
      <c r="AN13979" s="55" t="s">
        <v>189</v>
      </c>
      <c r="AO13979" s="55">
        <v>5</v>
      </c>
      <c r="AP13979" s="55">
        <v>9</v>
      </c>
      <c r="AQ13979" s="55">
        <v>29497</v>
      </c>
      <c r="AR13979" s="55">
        <v>28500</v>
      </c>
      <c r="AS13979" s="78">
        <f t="shared" si="222"/>
        <v>1.0349824561403509</v>
      </c>
    </row>
    <row r="13980" spans="39:45">
      <c r="AM13980" s="54">
        <v>2020</v>
      </c>
      <c r="AN13980" s="54" t="s">
        <v>189</v>
      </c>
      <c r="AO13980" s="54">
        <v>5</v>
      </c>
      <c r="AP13980" s="54">
        <v>10</v>
      </c>
      <c r="AQ13980" s="54">
        <v>34857</v>
      </c>
      <c r="AR13980" s="55">
        <v>28500</v>
      </c>
      <c r="AS13980" s="78">
        <f t="shared" si="222"/>
        <v>1.2230526315789474</v>
      </c>
    </row>
    <row r="13981" spans="39:45">
      <c r="AM13981" s="55">
        <v>2020</v>
      </c>
      <c r="AN13981" s="55" t="s">
        <v>189</v>
      </c>
      <c r="AO13981" s="55">
        <v>5</v>
      </c>
      <c r="AP13981" s="55">
        <v>11</v>
      </c>
      <c r="AQ13981" s="55">
        <v>39299</v>
      </c>
      <c r="AR13981" s="55">
        <v>28500</v>
      </c>
      <c r="AS13981" s="78">
        <f t="shared" si="222"/>
        <v>1.3789122807017544</v>
      </c>
    </row>
    <row r="13982" spans="39:45">
      <c r="AM13982" s="54">
        <v>2020</v>
      </c>
      <c r="AN13982" s="54" t="s">
        <v>189</v>
      </c>
      <c r="AO13982" s="54">
        <v>5</v>
      </c>
      <c r="AP13982" s="54">
        <v>12</v>
      </c>
      <c r="AQ13982" s="54">
        <v>38594.5</v>
      </c>
      <c r="AR13982" s="55">
        <v>28500</v>
      </c>
      <c r="AS13982" s="78">
        <f t="shared" si="222"/>
        <v>1.3541929824561403</v>
      </c>
    </row>
    <row r="13983" spans="39:45">
      <c r="AM13983" s="55">
        <v>2020</v>
      </c>
      <c r="AN13983" s="55" t="s">
        <v>189</v>
      </c>
      <c r="AO13983" s="55">
        <v>5</v>
      </c>
      <c r="AP13983" s="55">
        <v>13</v>
      </c>
      <c r="AQ13983" s="55">
        <v>26297</v>
      </c>
      <c r="AR13983" s="55">
        <v>28500</v>
      </c>
      <c r="AS13983" s="78">
        <f t="shared" si="222"/>
        <v>0.92270175438596491</v>
      </c>
    </row>
    <row r="13984" spans="39:45">
      <c r="AM13984" s="54">
        <v>2020</v>
      </c>
      <c r="AN13984" s="54" t="s">
        <v>189</v>
      </c>
      <c r="AO13984" s="54">
        <v>5</v>
      </c>
      <c r="AP13984" s="54">
        <v>14</v>
      </c>
      <c r="AQ13984" s="54">
        <v>34517</v>
      </c>
      <c r="AR13984" s="55">
        <v>28500</v>
      </c>
      <c r="AS13984" s="78">
        <f t="shared" si="222"/>
        <v>1.2111228070175439</v>
      </c>
    </row>
    <row r="13985" spans="39:45">
      <c r="AM13985" s="55">
        <v>2020</v>
      </c>
      <c r="AN13985" s="55" t="s">
        <v>189</v>
      </c>
      <c r="AO13985" s="55">
        <v>5</v>
      </c>
      <c r="AP13985" s="55">
        <v>15</v>
      </c>
      <c r="AQ13985" s="55">
        <v>27464</v>
      </c>
      <c r="AR13985" s="55">
        <v>28500</v>
      </c>
      <c r="AS13985" s="78">
        <f t="shared" si="222"/>
        <v>0.96364912280701753</v>
      </c>
    </row>
    <row r="13986" spans="39:45">
      <c r="AM13986" s="54">
        <v>2020</v>
      </c>
      <c r="AN13986" s="54" t="s">
        <v>189</v>
      </c>
      <c r="AO13986" s="54">
        <v>5</v>
      </c>
      <c r="AP13986" s="54">
        <v>16</v>
      </c>
      <c r="AQ13986" s="54">
        <v>20026</v>
      </c>
      <c r="AR13986" s="55">
        <v>28500</v>
      </c>
      <c r="AS13986" s="78">
        <f t="shared" si="222"/>
        <v>0.70266666666666666</v>
      </c>
    </row>
    <row r="13987" spans="39:45">
      <c r="AM13987" s="55">
        <v>2020</v>
      </c>
      <c r="AN13987" s="55" t="s">
        <v>189</v>
      </c>
      <c r="AO13987" s="55">
        <v>5</v>
      </c>
      <c r="AP13987" s="55">
        <v>17</v>
      </c>
      <c r="AQ13987" s="55">
        <v>8418.5</v>
      </c>
      <c r="AR13987" s="55">
        <v>28500</v>
      </c>
      <c r="AS13987" s="78">
        <f t="shared" si="222"/>
        <v>0.2953859649122807</v>
      </c>
    </row>
    <row r="13988" spans="39:45">
      <c r="AM13988" s="54">
        <v>2020</v>
      </c>
      <c r="AN13988" s="54" t="s">
        <v>189</v>
      </c>
      <c r="AO13988" s="54">
        <v>5</v>
      </c>
      <c r="AP13988" s="54">
        <v>18</v>
      </c>
      <c r="AQ13988" s="54">
        <v>2367.5</v>
      </c>
      <c r="AR13988" s="55">
        <v>28500</v>
      </c>
      <c r="AS13988" s="78">
        <f t="shared" si="222"/>
        <v>8.3070175438596489E-2</v>
      </c>
    </row>
    <row r="13989" spans="39:45">
      <c r="AM13989" s="55">
        <v>2020</v>
      </c>
      <c r="AN13989" s="55" t="s">
        <v>189</v>
      </c>
      <c r="AO13989" s="55">
        <v>5</v>
      </c>
      <c r="AP13989" s="55">
        <v>19</v>
      </c>
      <c r="AQ13989" s="55">
        <v>154.5</v>
      </c>
      <c r="AR13989" s="55">
        <v>28500</v>
      </c>
      <c r="AS13989" s="78">
        <f t="shared" si="222"/>
        <v>5.4210526315789471E-3</v>
      </c>
    </row>
    <row r="13990" spans="39:45">
      <c r="AM13990" s="54">
        <v>2020</v>
      </c>
      <c r="AN13990" s="54" t="s">
        <v>189</v>
      </c>
      <c r="AO13990" s="54">
        <v>5</v>
      </c>
      <c r="AP13990" s="54">
        <v>20</v>
      </c>
      <c r="AQ13990" s="54">
        <v>0</v>
      </c>
      <c r="AR13990" s="55">
        <v>28500</v>
      </c>
      <c r="AS13990" s="78">
        <f t="shared" si="222"/>
        <v>0</v>
      </c>
    </row>
    <row r="13991" spans="39:45">
      <c r="AM13991" s="55">
        <v>2020</v>
      </c>
      <c r="AN13991" s="55" t="s">
        <v>189</v>
      </c>
      <c r="AO13991" s="55">
        <v>5</v>
      </c>
      <c r="AP13991" s="55">
        <v>21</v>
      </c>
      <c r="AQ13991" s="55">
        <v>0</v>
      </c>
      <c r="AR13991" s="55">
        <v>28500</v>
      </c>
      <c r="AS13991" s="78">
        <f t="shared" si="222"/>
        <v>0</v>
      </c>
    </row>
    <row r="13992" spans="39:45">
      <c r="AM13992" s="54">
        <v>2020</v>
      </c>
      <c r="AN13992" s="54" t="s">
        <v>189</v>
      </c>
      <c r="AO13992" s="54">
        <v>5</v>
      </c>
      <c r="AP13992" s="54">
        <v>22</v>
      </c>
      <c r="AQ13992" s="54">
        <v>0</v>
      </c>
      <c r="AR13992" s="55">
        <v>28500</v>
      </c>
      <c r="AS13992" s="78">
        <f t="shared" si="222"/>
        <v>0</v>
      </c>
    </row>
    <row r="13993" spans="39:45">
      <c r="AM13993" s="55">
        <v>2020</v>
      </c>
      <c r="AN13993" s="55" t="s">
        <v>189</v>
      </c>
      <c r="AO13993" s="55">
        <v>5</v>
      </c>
      <c r="AP13993" s="55">
        <v>23</v>
      </c>
      <c r="AQ13993" s="55">
        <v>0</v>
      </c>
      <c r="AR13993" s="55">
        <v>28500</v>
      </c>
      <c r="AS13993" s="78">
        <f t="shared" si="222"/>
        <v>0</v>
      </c>
    </row>
    <row r="13994" spans="39:45">
      <c r="AM13994" s="54">
        <v>2020</v>
      </c>
      <c r="AN13994" s="54" t="s">
        <v>189</v>
      </c>
      <c r="AO13994" s="54">
        <v>6</v>
      </c>
      <c r="AP13994" s="54">
        <v>24</v>
      </c>
      <c r="AQ13994" s="54">
        <v>0</v>
      </c>
      <c r="AR13994" s="55">
        <v>28500</v>
      </c>
      <c r="AS13994" s="78">
        <f t="shared" si="222"/>
        <v>0</v>
      </c>
    </row>
    <row r="13995" spans="39:45">
      <c r="AM13995" s="55">
        <v>2020</v>
      </c>
      <c r="AN13995" s="55" t="s">
        <v>189</v>
      </c>
      <c r="AO13995" s="55">
        <v>6</v>
      </c>
      <c r="AP13995" s="55">
        <v>1</v>
      </c>
      <c r="AQ13995" s="55">
        <v>0</v>
      </c>
      <c r="AR13995" s="55">
        <v>28500</v>
      </c>
      <c r="AS13995" s="78">
        <f t="shared" si="222"/>
        <v>0</v>
      </c>
    </row>
    <row r="13996" spans="39:45">
      <c r="AM13996" s="54">
        <v>2020</v>
      </c>
      <c r="AN13996" s="54" t="s">
        <v>189</v>
      </c>
      <c r="AO13996" s="54">
        <v>6</v>
      </c>
      <c r="AP13996" s="54">
        <v>2</v>
      </c>
      <c r="AQ13996" s="54">
        <v>0</v>
      </c>
      <c r="AR13996" s="55">
        <v>28500</v>
      </c>
      <c r="AS13996" s="78">
        <f t="shared" si="222"/>
        <v>0</v>
      </c>
    </row>
    <row r="13997" spans="39:45">
      <c r="AM13997" s="55">
        <v>2020</v>
      </c>
      <c r="AN13997" s="55" t="s">
        <v>189</v>
      </c>
      <c r="AO13997" s="55">
        <v>6</v>
      </c>
      <c r="AP13997" s="55">
        <v>3</v>
      </c>
      <c r="AQ13997" s="55">
        <v>0</v>
      </c>
      <c r="AR13997" s="55">
        <v>28500</v>
      </c>
      <c r="AS13997" s="78">
        <f t="shared" si="222"/>
        <v>0</v>
      </c>
    </row>
    <row r="13998" spans="39:45">
      <c r="AM13998" s="54">
        <v>2020</v>
      </c>
      <c r="AN13998" s="54" t="s">
        <v>189</v>
      </c>
      <c r="AO13998" s="54">
        <v>6</v>
      </c>
      <c r="AP13998" s="54">
        <v>4</v>
      </c>
      <c r="AQ13998" s="54">
        <v>0</v>
      </c>
      <c r="AR13998" s="55">
        <v>28500</v>
      </c>
      <c r="AS13998" s="78">
        <f t="shared" si="222"/>
        <v>0</v>
      </c>
    </row>
    <row r="13999" spans="39:45">
      <c r="AM13999" s="55">
        <v>2020</v>
      </c>
      <c r="AN13999" s="55" t="s">
        <v>189</v>
      </c>
      <c r="AO13999" s="55">
        <v>6</v>
      </c>
      <c r="AP13999" s="55">
        <v>5</v>
      </c>
      <c r="AQ13999" s="55">
        <v>329</v>
      </c>
      <c r="AR13999" s="55">
        <v>28500</v>
      </c>
      <c r="AS13999" s="78">
        <f t="shared" si="222"/>
        <v>1.1543859649122808E-2</v>
      </c>
    </row>
    <row r="14000" spans="39:45">
      <c r="AM14000" s="54">
        <v>2020</v>
      </c>
      <c r="AN14000" s="54" t="s">
        <v>189</v>
      </c>
      <c r="AO14000" s="54">
        <v>6</v>
      </c>
      <c r="AP14000" s="54">
        <v>6</v>
      </c>
      <c r="AQ14000" s="54">
        <v>2919</v>
      </c>
      <c r="AR14000" s="55">
        <v>28500</v>
      </c>
      <c r="AS14000" s="78">
        <f t="shared" si="222"/>
        <v>0.10242105263157894</v>
      </c>
    </row>
    <row r="14001" spans="39:45">
      <c r="AM14001" s="55">
        <v>2020</v>
      </c>
      <c r="AN14001" s="55" t="s">
        <v>189</v>
      </c>
      <c r="AO14001" s="55">
        <v>6</v>
      </c>
      <c r="AP14001" s="55">
        <v>7</v>
      </c>
      <c r="AQ14001" s="55">
        <v>5420.5</v>
      </c>
      <c r="AR14001" s="55">
        <v>28500</v>
      </c>
      <c r="AS14001" s="78">
        <f t="shared" si="222"/>
        <v>0.19019298245614036</v>
      </c>
    </row>
    <row r="14002" spans="39:45">
      <c r="AM14002" s="54">
        <v>2020</v>
      </c>
      <c r="AN14002" s="54" t="s">
        <v>189</v>
      </c>
      <c r="AO14002" s="54">
        <v>6</v>
      </c>
      <c r="AP14002" s="54">
        <v>8</v>
      </c>
      <c r="AQ14002" s="54">
        <v>4133.5</v>
      </c>
      <c r="AR14002" s="55">
        <v>28500</v>
      </c>
      <c r="AS14002" s="78">
        <f t="shared" si="222"/>
        <v>0.14503508771929824</v>
      </c>
    </row>
    <row r="14003" spans="39:45">
      <c r="AM14003" s="55">
        <v>2020</v>
      </c>
      <c r="AN14003" s="55" t="s">
        <v>189</v>
      </c>
      <c r="AO14003" s="55">
        <v>6</v>
      </c>
      <c r="AP14003" s="55">
        <v>9</v>
      </c>
      <c r="AQ14003" s="55">
        <v>10967</v>
      </c>
      <c r="AR14003" s="55">
        <v>28500</v>
      </c>
      <c r="AS14003" s="78">
        <f t="shared" si="222"/>
        <v>0.38480701754385965</v>
      </c>
    </row>
    <row r="14004" spans="39:45">
      <c r="AM14004" s="54">
        <v>2020</v>
      </c>
      <c r="AN14004" s="54" t="s">
        <v>189</v>
      </c>
      <c r="AO14004" s="54">
        <v>6</v>
      </c>
      <c r="AP14004" s="54">
        <v>10</v>
      </c>
      <c r="AQ14004" s="54">
        <v>17272.5</v>
      </c>
      <c r="AR14004" s="55">
        <v>28500</v>
      </c>
      <c r="AS14004" s="78">
        <f t="shared" si="222"/>
        <v>0.6060526315789474</v>
      </c>
    </row>
    <row r="14005" spans="39:45">
      <c r="AM14005" s="55">
        <v>2020</v>
      </c>
      <c r="AN14005" s="55" t="s">
        <v>189</v>
      </c>
      <c r="AO14005" s="55">
        <v>6</v>
      </c>
      <c r="AP14005" s="55">
        <v>11</v>
      </c>
      <c r="AQ14005" s="55">
        <v>15727</v>
      </c>
      <c r="AR14005" s="55">
        <v>28500</v>
      </c>
      <c r="AS14005" s="78">
        <f t="shared" si="222"/>
        <v>0.55182456140350877</v>
      </c>
    </row>
    <row r="14006" spans="39:45">
      <c r="AM14006" s="54">
        <v>2020</v>
      </c>
      <c r="AN14006" s="54" t="s">
        <v>189</v>
      </c>
      <c r="AO14006" s="54">
        <v>6</v>
      </c>
      <c r="AP14006" s="54">
        <v>12</v>
      </c>
      <c r="AQ14006" s="54">
        <v>34182.5</v>
      </c>
      <c r="AR14006" s="55">
        <v>28500</v>
      </c>
      <c r="AS14006" s="78">
        <f t="shared" si="222"/>
        <v>1.1993859649122807</v>
      </c>
    </row>
    <row r="14007" spans="39:45">
      <c r="AM14007" s="55">
        <v>2020</v>
      </c>
      <c r="AN14007" s="55" t="s">
        <v>189</v>
      </c>
      <c r="AO14007" s="55">
        <v>6</v>
      </c>
      <c r="AP14007" s="55">
        <v>13</v>
      </c>
      <c r="AQ14007" s="55">
        <v>20303.5</v>
      </c>
      <c r="AR14007" s="55">
        <v>28500</v>
      </c>
      <c r="AS14007" s="78">
        <f t="shared" si="222"/>
        <v>0.71240350877192982</v>
      </c>
    </row>
    <row r="14008" spans="39:45">
      <c r="AM14008" s="54">
        <v>2020</v>
      </c>
      <c r="AN14008" s="54" t="s">
        <v>189</v>
      </c>
      <c r="AO14008" s="54">
        <v>6</v>
      </c>
      <c r="AP14008" s="54">
        <v>14</v>
      </c>
      <c r="AQ14008" s="54">
        <v>16528.5</v>
      </c>
      <c r="AR14008" s="55">
        <v>28500</v>
      </c>
      <c r="AS14008" s="78">
        <f t="shared" si="222"/>
        <v>0.57994736842105266</v>
      </c>
    </row>
    <row r="14009" spans="39:45">
      <c r="AM14009" s="55">
        <v>2020</v>
      </c>
      <c r="AN14009" s="55" t="s">
        <v>189</v>
      </c>
      <c r="AO14009" s="55">
        <v>6</v>
      </c>
      <c r="AP14009" s="55">
        <v>15</v>
      </c>
      <c r="AQ14009" s="55">
        <v>25166.5</v>
      </c>
      <c r="AR14009" s="55">
        <v>28500</v>
      </c>
      <c r="AS14009" s="78">
        <f t="shared" si="222"/>
        <v>0.88303508771929828</v>
      </c>
    </row>
    <row r="14010" spans="39:45">
      <c r="AM14010" s="54">
        <v>2020</v>
      </c>
      <c r="AN14010" s="54" t="s">
        <v>189</v>
      </c>
      <c r="AO14010" s="54">
        <v>6</v>
      </c>
      <c r="AP14010" s="54">
        <v>16</v>
      </c>
      <c r="AQ14010" s="54">
        <v>17677</v>
      </c>
      <c r="AR14010" s="55">
        <v>28500</v>
      </c>
      <c r="AS14010" s="78">
        <f t="shared" si="222"/>
        <v>0.62024561403508771</v>
      </c>
    </row>
    <row r="14011" spans="39:45">
      <c r="AM14011" s="55">
        <v>2020</v>
      </c>
      <c r="AN14011" s="55" t="s">
        <v>189</v>
      </c>
      <c r="AO14011" s="55">
        <v>6</v>
      </c>
      <c r="AP14011" s="55">
        <v>17</v>
      </c>
      <c r="AQ14011" s="55">
        <v>8602.5</v>
      </c>
      <c r="AR14011" s="55">
        <v>28500</v>
      </c>
      <c r="AS14011" s="78">
        <f t="shared" si="222"/>
        <v>0.30184210526315791</v>
      </c>
    </row>
    <row r="14012" spans="39:45">
      <c r="AM14012" s="54">
        <v>2020</v>
      </c>
      <c r="AN14012" s="54" t="s">
        <v>189</v>
      </c>
      <c r="AO14012" s="54">
        <v>6</v>
      </c>
      <c r="AP14012" s="54">
        <v>18</v>
      </c>
      <c r="AQ14012" s="54">
        <v>1419</v>
      </c>
      <c r="AR14012" s="55">
        <v>28500</v>
      </c>
      <c r="AS14012" s="78">
        <f t="shared" si="222"/>
        <v>4.9789473684210529E-2</v>
      </c>
    </row>
    <row r="14013" spans="39:45">
      <c r="AM14013" s="55">
        <v>2020</v>
      </c>
      <c r="AN14013" s="55" t="s">
        <v>189</v>
      </c>
      <c r="AO14013" s="55">
        <v>6</v>
      </c>
      <c r="AP14013" s="55">
        <v>19</v>
      </c>
      <c r="AQ14013" s="55">
        <v>194.5</v>
      </c>
      <c r="AR14013" s="55">
        <v>28500</v>
      </c>
      <c r="AS14013" s="78">
        <f t="shared" si="222"/>
        <v>6.8245614035087722E-3</v>
      </c>
    </row>
    <row r="14014" spans="39:45">
      <c r="AM14014" s="54">
        <v>2020</v>
      </c>
      <c r="AN14014" s="54" t="s">
        <v>189</v>
      </c>
      <c r="AO14014" s="54">
        <v>6</v>
      </c>
      <c r="AP14014" s="54">
        <v>20</v>
      </c>
      <c r="AQ14014" s="54">
        <v>0</v>
      </c>
      <c r="AR14014" s="55">
        <v>28500</v>
      </c>
      <c r="AS14014" s="78">
        <f t="shared" si="222"/>
        <v>0</v>
      </c>
    </row>
    <row r="14015" spans="39:45">
      <c r="AM14015" s="55">
        <v>2020</v>
      </c>
      <c r="AN14015" s="55" t="s">
        <v>189</v>
      </c>
      <c r="AO14015" s="55">
        <v>6</v>
      </c>
      <c r="AP14015" s="55">
        <v>21</v>
      </c>
      <c r="AQ14015" s="55">
        <v>0</v>
      </c>
      <c r="AR14015" s="55">
        <v>28500</v>
      </c>
      <c r="AS14015" s="78">
        <f t="shared" si="222"/>
        <v>0</v>
      </c>
    </row>
    <row r="14016" spans="39:45">
      <c r="AM14016" s="54">
        <v>2020</v>
      </c>
      <c r="AN14016" s="54" t="s">
        <v>189</v>
      </c>
      <c r="AO14016" s="54">
        <v>6</v>
      </c>
      <c r="AP14016" s="54">
        <v>22</v>
      </c>
      <c r="AQ14016" s="54">
        <v>0</v>
      </c>
      <c r="AR14016" s="55">
        <v>28500</v>
      </c>
      <c r="AS14016" s="78">
        <f t="shared" si="222"/>
        <v>0</v>
      </c>
    </row>
    <row r="14017" spans="39:45">
      <c r="AM14017" s="55">
        <v>2020</v>
      </c>
      <c r="AN14017" s="55" t="s">
        <v>189</v>
      </c>
      <c r="AO14017" s="55">
        <v>6</v>
      </c>
      <c r="AP14017" s="55">
        <v>23</v>
      </c>
      <c r="AQ14017" s="55">
        <v>0</v>
      </c>
      <c r="AR14017" s="55">
        <v>28500</v>
      </c>
      <c r="AS14017" s="78">
        <f t="shared" si="222"/>
        <v>0</v>
      </c>
    </row>
    <row r="14018" spans="39:45">
      <c r="AM14018" s="54">
        <v>2020</v>
      </c>
      <c r="AN14018" s="54" t="s">
        <v>189</v>
      </c>
      <c r="AO14018" s="54">
        <v>7</v>
      </c>
      <c r="AP14018" s="54">
        <v>24</v>
      </c>
      <c r="AQ14018" s="54">
        <v>0</v>
      </c>
      <c r="AR14018" s="55">
        <v>28500</v>
      </c>
      <c r="AS14018" s="78">
        <f t="shared" ref="AS14018:AS14081" si="223">AQ14018/AR14018</f>
        <v>0</v>
      </c>
    </row>
    <row r="14019" spans="39:45">
      <c r="AM14019" s="55">
        <v>2020</v>
      </c>
      <c r="AN14019" s="55" t="s">
        <v>189</v>
      </c>
      <c r="AO14019" s="55">
        <v>7</v>
      </c>
      <c r="AP14019" s="55">
        <v>1</v>
      </c>
      <c r="AQ14019" s="55">
        <v>0</v>
      </c>
      <c r="AR14019" s="55">
        <v>28500</v>
      </c>
      <c r="AS14019" s="78">
        <f t="shared" si="223"/>
        <v>0</v>
      </c>
    </row>
    <row r="14020" spans="39:45">
      <c r="AM14020" s="54">
        <v>2020</v>
      </c>
      <c r="AN14020" s="54" t="s">
        <v>189</v>
      </c>
      <c r="AO14020" s="54">
        <v>7</v>
      </c>
      <c r="AP14020" s="54">
        <v>2</v>
      </c>
      <c r="AQ14020" s="54">
        <v>0</v>
      </c>
      <c r="AR14020" s="55">
        <v>28500</v>
      </c>
      <c r="AS14020" s="78">
        <f t="shared" si="223"/>
        <v>0</v>
      </c>
    </row>
    <row r="14021" spans="39:45">
      <c r="AM14021" s="55">
        <v>2020</v>
      </c>
      <c r="AN14021" s="55" t="s">
        <v>189</v>
      </c>
      <c r="AO14021" s="55">
        <v>7</v>
      </c>
      <c r="AP14021" s="55">
        <v>3</v>
      </c>
      <c r="AQ14021" s="55">
        <v>0</v>
      </c>
      <c r="AR14021" s="55">
        <v>28500</v>
      </c>
      <c r="AS14021" s="78">
        <f t="shared" si="223"/>
        <v>0</v>
      </c>
    </row>
    <row r="14022" spans="39:45">
      <c r="AM14022" s="54">
        <v>2020</v>
      </c>
      <c r="AN14022" s="54" t="s">
        <v>189</v>
      </c>
      <c r="AO14022" s="54">
        <v>7</v>
      </c>
      <c r="AP14022" s="54">
        <v>4</v>
      </c>
      <c r="AQ14022" s="54">
        <v>0</v>
      </c>
      <c r="AR14022" s="55">
        <v>28500</v>
      </c>
      <c r="AS14022" s="78">
        <f t="shared" si="223"/>
        <v>0</v>
      </c>
    </row>
    <row r="14023" spans="39:45">
      <c r="AM14023" s="55">
        <v>2020</v>
      </c>
      <c r="AN14023" s="55" t="s">
        <v>189</v>
      </c>
      <c r="AO14023" s="55">
        <v>7</v>
      </c>
      <c r="AP14023" s="55">
        <v>5</v>
      </c>
      <c r="AQ14023" s="55">
        <v>443</v>
      </c>
      <c r="AR14023" s="55">
        <v>28500</v>
      </c>
      <c r="AS14023" s="78">
        <f t="shared" si="223"/>
        <v>1.5543859649122808E-2</v>
      </c>
    </row>
    <row r="14024" spans="39:45">
      <c r="AM14024" s="54">
        <v>2020</v>
      </c>
      <c r="AN14024" s="54" t="s">
        <v>189</v>
      </c>
      <c r="AO14024" s="54">
        <v>7</v>
      </c>
      <c r="AP14024" s="54">
        <v>6</v>
      </c>
      <c r="AQ14024" s="54">
        <v>2386</v>
      </c>
      <c r="AR14024" s="55">
        <v>28500</v>
      </c>
      <c r="AS14024" s="78">
        <f t="shared" si="223"/>
        <v>8.3719298245614041E-2</v>
      </c>
    </row>
    <row r="14025" spans="39:45">
      <c r="AM14025" s="55">
        <v>2020</v>
      </c>
      <c r="AN14025" s="55" t="s">
        <v>189</v>
      </c>
      <c r="AO14025" s="55">
        <v>7</v>
      </c>
      <c r="AP14025" s="55">
        <v>7</v>
      </c>
      <c r="AQ14025" s="55">
        <v>10693.5</v>
      </c>
      <c r="AR14025" s="55">
        <v>28500</v>
      </c>
      <c r="AS14025" s="78">
        <f t="shared" si="223"/>
        <v>0.37521052631578949</v>
      </c>
    </row>
    <row r="14026" spans="39:45">
      <c r="AM14026" s="54">
        <v>2020</v>
      </c>
      <c r="AN14026" s="54" t="s">
        <v>189</v>
      </c>
      <c r="AO14026" s="54">
        <v>7</v>
      </c>
      <c r="AP14026" s="54">
        <v>8</v>
      </c>
      <c r="AQ14026" s="54">
        <v>20082</v>
      </c>
      <c r="AR14026" s="55">
        <v>28500</v>
      </c>
      <c r="AS14026" s="78">
        <f t="shared" si="223"/>
        <v>0.70463157894736839</v>
      </c>
    </row>
    <row r="14027" spans="39:45">
      <c r="AM14027" s="55">
        <v>2020</v>
      </c>
      <c r="AN14027" s="55" t="s">
        <v>189</v>
      </c>
      <c r="AO14027" s="55">
        <v>7</v>
      </c>
      <c r="AP14027" s="55">
        <v>9</v>
      </c>
      <c r="AQ14027" s="55">
        <v>27261</v>
      </c>
      <c r="AR14027" s="55">
        <v>28500</v>
      </c>
      <c r="AS14027" s="78">
        <f t="shared" si="223"/>
        <v>0.95652631578947367</v>
      </c>
    </row>
    <row r="14028" spans="39:45">
      <c r="AM14028" s="54">
        <v>2020</v>
      </c>
      <c r="AN14028" s="54" t="s">
        <v>189</v>
      </c>
      <c r="AO14028" s="54">
        <v>7</v>
      </c>
      <c r="AP14028" s="54">
        <v>10</v>
      </c>
      <c r="AQ14028" s="54">
        <v>32068</v>
      </c>
      <c r="AR14028" s="55">
        <v>28500</v>
      </c>
      <c r="AS14028" s="78">
        <f t="shared" si="223"/>
        <v>1.1251929824561404</v>
      </c>
    </row>
    <row r="14029" spans="39:45">
      <c r="AM14029" s="55">
        <v>2020</v>
      </c>
      <c r="AN14029" s="55" t="s">
        <v>189</v>
      </c>
      <c r="AO14029" s="55">
        <v>7</v>
      </c>
      <c r="AP14029" s="55">
        <v>11</v>
      </c>
      <c r="AQ14029" s="55">
        <v>35831</v>
      </c>
      <c r="AR14029" s="55">
        <v>28500</v>
      </c>
      <c r="AS14029" s="78">
        <f t="shared" si="223"/>
        <v>1.2572280701754386</v>
      </c>
    </row>
    <row r="14030" spans="39:45">
      <c r="AM14030" s="54">
        <v>2020</v>
      </c>
      <c r="AN14030" s="54" t="s">
        <v>189</v>
      </c>
      <c r="AO14030" s="54">
        <v>7</v>
      </c>
      <c r="AP14030" s="54">
        <v>12</v>
      </c>
      <c r="AQ14030" s="54">
        <v>37257.5</v>
      </c>
      <c r="AR14030" s="55">
        <v>28500</v>
      </c>
      <c r="AS14030" s="78">
        <f t="shared" si="223"/>
        <v>1.3072807017543859</v>
      </c>
    </row>
    <row r="14031" spans="39:45">
      <c r="AM14031" s="55">
        <v>2020</v>
      </c>
      <c r="AN14031" s="55" t="s">
        <v>189</v>
      </c>
      <c r="AO14031" s="55">
        <v>7</v>
      </c>
      <c r="AP14031" s="55">
        <v>13</v>
      </c>
      <c r="AQ14031" s="55">
        <v>35501</v>
      </c>
      <c r="AR14031" s="55">
        <v>28500</v>
      </c>
      <c r="AS14031" s="78">
        <f t="shared" si="223"/>
        <v>1.2456491228070175</v>
      </c>
    </row>
    <row r="14032" spans="39:45">
      <c r="AM14032" s="54">
        <v>2020</v>
      </c>
      <c r="AN14032" s="54" t="s">
        <v>189</v>
      </c>
      <c r="AO14032" s="54">
        <v>7</v>
      </c>
      <c r="AP14032" s="54">
        <v>14</v>
      </c>
      <c r="AQ14032" s="54">
        <v>31086.5</v>
      </c>
      <c r="AR14032" s="55">
        <v>28500</v>
      </c>
      <c r="AS14032" s="78">
        <f t="shared" si="223"/>
        <v>1.0907543859649123</v>
      </c>
    </row>
    <row r="14033" spans="39:45">
      <c r="AM14033" s="55">
        <v>2020</v>
      </c>
      <c r="AN14033" s="55" t="s">
        <v>189</v>
      </c>
      <c r="AO14033" s="55">
        <v>7</v>
      </c>
      <c r="AP14033" s="55">
        <v>15</v>
      </c>
      <c r="AQ14033" s="55">
        <v>25461</v>
      </c>
      <c r="AR14033" s="55">
        <v>28500</v>
      </c>
      <c r="AS14033" s="78">
        <f t="shared" si="223"/>
        <v>0.89336842105263159</v>
      </c>
    </row>
    <row r="14034" spans="39:45">
      <c r="AM14034" s="54">
        <v>2020</v>
      </c>
      <c r="AN14034" s="54" t="s">
        <v>189</v>
      </c>
      <c r="AO14034" s="54">
        <v>7</v>
      </c>
      <c r="AP14034" s="54">
        <v>16</v>
      </c>
      <c r="AQ14034" s="54">
        <v>8642.5</v>
      </c>
      <c r="AR14034" s="55">
        <v>28500</v>
      </c>
      <c r="AS14034" s="78">
        <f t="shared" si="223"/>
        <v>0.30324561403508771</v>
      </c>
    </row>
    <row r="14035" spans="39:45">
      <c r="AM14035" s="55">
        <v>2020</v>
      </c>
      <c r="AN14035" s="55" t="s">
        <v>189</v>
      </c>
      <c r="AO14035" s="55">
        <v>7</v>
      </c>
      <c r="AP14035" s="55">
        <v>17</v>
      </c>
      <c r="AQ14035" s="55">
        <v>2408.5</v>
      </c>
      <c r="AR14035" s="55">
        <v>28500</v>
      </c>
      <c r="AS14035" s="78">
        <f t="shared" si="223"/>
        <v>8.4508771929824561E-2</v>
      </c>
    </row>
    <row r="14036" spans="39:45">
      <c r="AM14036" s="54">
        <v>2020</v>
      </c>
      <c r="AN14036" s="54" t="s">
        <v>189</v>
      </c>
      <c r="AO14036" s="54">
        <v>7</v>
      </c>
      <c r="AP14036" s="54">
        <v>18</v>
      </c>
      <c r="AQ14036" s="54">
        <v>398.5</v>
      </c>
      <c r="AR14036" s="55">
        <v>28500</v>
      </c>
      <c r="AS14036" s="78">
        <f t="shared" si="223"/>
        <v>1.3982456140350877E-2</v>
      </c>
    </row>
    <row r="14037" spans="39:45">
      <c r="AM14037" s="55">
        <v>2020</v>
      </c>
      <c r="AN14037" s="55" t="s">
        <v>189</v>
      </c>
      <c r="AO14037" s="55">
        <v>7</v>
      </c>
      <c r="AP14037" s="55">
        <v>19</v>
      </c>
      <c r="AQ14037" s="55">
        <v>0</v>
      </c>
      <c r="AR14037" s="55">
        <v>28500</v>
      </c>
      <c r="AS14037" s="78">
        <f t="shared" si="223"/>
        <v>0</v>
      </c>
    </row>
    <row r="14038" spans="39:45">
      <c r="AM14038" s="54">
        <v>2020</v>
      </c>
      <c r="AN14038" s="54" t="s">
        <v>189</v>
      </c>
      <c r="AO14038" s="54">
        <v>7</v>
      </c>
      <c r="AP14038" s="54">
        <v>20</v>
      </c>
      <c r="AQ14038" s="54">
        <v>0</v>
      </c>
      <c r="AR14038" s="55">
        <v>28500</v>
      </c>
      <c r="AS14038" s="78">
        <f t="shared" si="223"/>
        <v>0</v>
      </c>
    </row>
    <row r="14039" spans="39:45">
      <c r="AM14039" s="55">
        <v>2020</v>
      </c>
      <c r="AN14039" s="55" t="s">
        <v>189</v>
      </c>
      <c r="AO14039" s="55">
        <v>7</v>
      </c>
      <c r="AP14039" s="55">
        <v>21</v>
      </c>
      <c r="AQ14039" s="55">
        <v>0</v>
      </c>
      <c r="AR14039" s="55">
        <v>28500</v>
      </c>
      <c r="AS14039" s="78">
        <f t="shared" si="223"/>
        <v>0</v>
      </c>
    </row>
    <row r="14040" spans="39:45">
      <c r="AM14040" s="54">
        <v>2020</v>
      </c>
      <c r="AN14040" s="54" t="s">
        <v>189</v>
      </c>
      <c r="AO14040" s="54">
        <v>7</v>
      </c>
      <c r="AP14040" s="54">
        <v>22</v>
      </c>
      <c r="AQ14040" s="54">
        <v>0</v>
      </c>
      <c r="AR14040" s="55">
        <v>28500</v>
      </c>
      <c r="AS14040" s="78">
        <f t="shared" si="223"/>
        <v>0</v>
      </c>
    </row>
    <row r="14041" spans="39:45">
      <c r="AM14041" s="55">
        <v>2020</v>
      </c>
      <c r="AN14041" s="55" t="s">
        <v>189</v>
      </c>
      <c r="AO14041" s="55">
        <v>7</v>
      </c>
      <c r="AP14041" s="55">
        <v>23</v>
      </c>
      <c r="AQ14041" s="55">
        <v>0</v>
      </c>
      <c r="AR14041" s="55">
        <v>28500</v>
      </c>
      <c r="AS14041" s="78">
        <f t="shared" si="223"/>
        <v>0</v>
      </c>
    </row>
    <row r="14042" spans="39:45">
      <c r="AM14042" s="54">
        <v>2020</v>
      </c>
      <c r="AN14042" s="54" t="s">
        <v>189</v>
      </c>
      <c r="AO14042" s="54">
        <v>8</v>
      </c>
      <c r="AP14042" s="54">
        <v>24</v>
      </c>
      <c r="AQ14042" s="54">
        <v>0</v>
      </c>
      <c r="AR14042" s="55">
        <v>28500</v>
      </c>
      <c r="AS14042" s="78">
        <f t="shared" si="223"/>
        <v>0</v>
      </c>
    </row>
    <row r="14043" spans="39:45">
      <c r="AM14043" s="55">
        <v>2020</v>
      </c>
      <c r="AN14043" s="55" t="s">
        <v>189</v>
      </c>
      <c r="AO14043" s="55">
        <v>8</v>
      </c>
      <c r="AP14043" s="55">
        <v>1</v>
      </c>
      <c r="AQ14043" s="55">
        <v>0</v>
      </c>
      <c r="AR14043" s="55">
        <v>28500</v>
      </c>
      <c r="AS14043" s="78">
        <f t="shared" si="223"/>
        <v>0</v>
      </c>
    </row>
    <row r="14044" spans="39:45">
      <c r="AM14044" s="54">
        <v>2020</v>
      </c>
      <c r="AN14044" s="54" t="s">
        <v>189</v>
      </c>
      <c r="AO14044" s="54">
        <v>8</v>
      </c>
      <c r="AP14044" s="54">
        <v>2</v>
      </c>
      <c r="AQ14044" s="54">
        <v>0</v>
      </c>
      <c r="AR14044" s="55">
        <v>28500</v>
      </c>
      <c r="AS14044" s="78">
        <f t="shared" si="223"/>
        <v>0</v>
      </c>
    </row>
    <row r="14045" spans="39:45">
      <c r="AM14045" s="55">
        <v>2020</v>
      </c>
      <c r="AN14045" s="55" t="s">
        <v>189</v>
      </c>
      <c r="AO14045" s="55">
        <v>8</v>
      </c>
      <c r="AP14045" s="55">
        <v>3</v>
      </c>
      <c r="AQ14045" s="55">
        <v>0</v>
      </c>
      <c r="AR14045" s="55">
        <v>28500</v>
      </c>
      <c r="AS14045" s="78">
        <f t="shared" si="223"/>
        <v>0</v>
      </c>
    </row>
    <row r="14046" spans="39:45">
      <c r="AM14046" s="54">
        <v>2020</v>
      </c>
      <c r="AN14046" s="54" t="s">
        <v>189</v>
      </c>
      <c r="AO14046" s="54">
        <v>8</v>
      </c>
      <c r="AP14046" s="54">
        <v>4</v>
      </c>
      <c r="AQ14046" s="54">
        <v>0</v>
      </c>
      <c r="AR14046" s="55">
        <v>28500</v>
      </c>
      <c r="AS14046" s="78">
        <f t="shared" si="223"/>
        <v>0</v>
      </c>
    </row>
    <row r="14047" spans="39:45">
      <c r="AM14047" s="55">
        <v>2020</v>
      </c>
      <c r="AN14047" s="55" t="s">
        <v>189</v>
      </c>
      <c r="AO14047" s="55">
        <v>8</v>
      </c>
      <c r="AP14047" s="55">
        <v>5</v>
      </c>
      <c r="AQ14047" s="55">
        <v>0</v>
      </c>
      <c r="AR14047" s="55">
        <v>28500</v>
      </c>
      <c r="AS14047" s="78">
        <f t="shared" si="223"/>
        <v>0</v>
      </c>
    </row>
    <row r="14048" spans="39:45">
      <c r="AM14048" s="54">
        <v>2020</v>
      </c>
      <c r="AN14048" s="54" t="s">
        <v>189</v>
      </c>
      <c r="AO14048" s="54">
        <v>8</v>
      </c>
      <c r="AP14048" s="54">
        <v>6</v>
      </c>
      <c r="AQ14048" s="54">
        <v>663.5</v>
      </c>
      <c r="AR14048" s="55">
        <v>28500</v>
      </c>
      <c r="AS14048" s="78">
        <f t="shared" si="223"/>
        <v>2.3280701754385964E-2</v>
      </c>
    </row>
    <row r="14049" spans="39:45">
      <c r="AM14049" s="55">
        <v>2020</v>
      </c>
      <c r="AN14049" s="55" t="s">
        <v>189</v>
      </c>
      <c r="AO14049" s="55">
        <v>8</v>
      </c>
      <c r="AP14049" s="55">
        <v>7</v>
      </c>
      <c r="AQ14049" s="55">
        <v>6996</v>
      </c>
      <c r="AR14049" s="55">
        <v>28500</v>
      </c>
      <c r="AS14049" s="78">
        <f t="shared" si="223"/>
        <v>0.24547368421052632</v>
      </c>
    </row>
    <row r="14050" spans="39:45">
      <c r="AM14050" s="54">
        <v>2020</v>
      </c>
      <c r="AN14050" s="54" t="s">
        <v>189</v>
      </c>
      <c r="AO14050" s="54">
        <v>8</v>
      </c>
      <c r="AP14050" s="54">
        <v>8</v>
      </c>
      <c r="AQ14050" s="54">
        <v>14447.5</v>
      </c>
      <c r="AR14050" s="55">
        <v>28500</v>
      </c>
      <c r="AS14050" s="78">
        <f t="shared" si="223"/>
        <v>0.50692982456140356</v>
      </c>
    </row>
    <row r="14051" spans="39:45">
      <c r="AM14051" s="55">
        <v>2020</v>
      </c>
      <c r="AN14051" s="55" t="s">
        <v>189</v>
      </c>
      <c r="AO14051" s="55">
        <v>8</v>
      </c>
      <c r="AP14051" s="55">
        <v>9</v>
      </c>
      <c r="AQ14051" s="55">
        <v>14468</v>
      </c>
      <c r="AR14051" s="55">
        <v>28500</v>
      </c>
      <c r="AS14051" s="78">
        <f t="shared" si="223"/>
        <v>0.50764912280701757</v>
      </c>
    </row>
    <row r="14052" spans="39:45">
      <c r="AM14052" s="54">
        <v>2020</v>
      </c>
      <c r="AN14052" s="54" t="s">
        <v>189</v>
      </c>
      <c r="AO14052" s="54">
        <v>8</v>
      </c>
      <c r="AP14052" s="54">
        <v>10</v>
      </c>
      <c r="AQ14052" s="54">
        <v>16778</v>
      </c>
      <c r="AR14052" s="55">
        <v>28500</v>
      </c>
      <c r="AS14052" s="78">
        <f t="shared" si="223"/>
        <v>0.58870175438596495</v>
      </c>
    </row>
    <row r="14053" spans="39:45">
      <c r="AM14053" s="55">
        <v>2020</v>
      </c>
      <c r="AN14053" s="55" t="s">
        <v>189</v>
      </c>
      <c r="AO14053" s="55">
        <v>8</v>
      </c>
      <c r="AP14053" s="55">
        <v>11</v>
      </c>
      <c r="AQ14053" s="55">
        <v>20796.5</v>
      </c>
      <c r="AR14053" s="55">
        <v>28500</v>
      </c>
      <c r="AS14053" s="78">
        <f t="shared" si="223"/>
        <v>0.72970175438596496</v>
      </c>
    </row>
    <row r="14054" spans="39:45">
      <c r="AM14054" s="54">
        <v>2020</v>
      </c>
      <c r="AN14054" s="54" t="s">
        <v>189</v>
      </c>
      <c r="AO14054" s="54">
        <v>8</v>
      </c>
      <c r="AP14054" s="54">
        <v>12</v>
      </c>
      <c r="AQ14054" s="54">
        <v>21538.5</v>
      </c>
      <c r="AR14054" s="55">
        <v>28500</v>
      </c>
      <c r="AS14054" s="78">
        <f t="shared" si="223"/>
        <v>0.75573684210526315</v>
      </c>
    </row>
    <row r="14055" spans="39:45">
      <c r="AM14055" s="55">
        <v>2020</v>
      </c>
      <c r="AN14055" s="55" t="s">
        <v>189</v>
      </c>
      <c r="AO14055" s="55">
        <v>8</v>
      </c>
      <c r="AP14055" s="55">
        <v>13</v>
      </c>
      <c r="AQ14055" s="55">
        <v>33865</v>
      </c>
      <c r="AR14055" s="55">
        <v>28500</v>
      </c>
      <c r="AS14055" s="78">
        <f t="shared" si="223"/>
        <v>1.1882456140350877</v>
      </c>
    </row>
    <row r="14056" spans="39:45">
      <c r="AM14056" s="54">
        <v>2020</v>
      </c>
      <c r="AN14056" s="54" t="s">
        <v>189</v>
      </c>
      <c r="AO14056" s="54">
        <v>8</v>
      </c>
      <c r="AP14056" s="54">
        <v>14</v>
      </c>
      <c r="AQ14056" s="54">
        <v>24679.5</v>
      </c>
      <c r="AR14056" s="55">
        <v>28500</v>
      </c>
      <c r="AS14056" s="78">
        <f t="shared" si="223"/>
        <v>0.86594736842105258</v>
      </c>
    </row>
    <row r="14057" spans="39:45">
      <c r="AM14057" s="55">
        <v>2020</v>
      </c>
      <c r="AN14057" s="55" t="s">
        <v>189</v>
      </c>
      <c r="AO14057" s="55">
        <v>8</v>
      </c>
      <c r="AP14057" s="55">
        <v>15</v>
      </c>
      <c r="AQ14057" s="55">
        <v>17456.5</v>
      </c>
      <c r="AR14057" s="55">
        <v>28500</v>
      </c>
      <c r="AS14057" s="78">
        <f t="shared" si="223"/>
        <v>0.61250877192982456</v>
      </c>
    </row>
    <row r="14058" spans="39:45">
      <c r="AM14058" s="54">
        <v>2020</v>
      </c>
      <c r="AN14058" s="54" t="s">
        <v>189</v>
      </c>
      <c r="AO14058" s="54">
        <v>8</v>
      </c>
      <c r="AP14058" s="54">
        <v>16</v>
      </c>
      <c r="AQ14058" s="54">
        <v>13308.5</v>
      </c>
      <c r="AR14058" s="55">
        <v>28500</v>
      </c>
      <c r="AS14058" s="78">
        <f t="shared" si="223"/>
        <v>0.46696491228070175</v>
      </c>
    </row>
    <row r="14059" spans="39:45">
      <c r="AM14059" s="55">
        <v>2020</v>
      </c>
      <c r="AN14059" s="55" t="s">
        <v>189</v>
      </c>
      <c r="AO14059" s="55">
        <v>8</v>
      </c>
      <c r="AP14059" s="55">
        <v>17</v>
      </c>
      <c r="AQ14059" s="55">
        <v>7734</v>
      </c>
      <c r="AR14059" s="55">
        <v>28500</v>
      </c>
      <c r="AS14059" s="78">
        <f t="shared" si="223"/>
        <v>0.27136842105263159</v>
      </c>
    </row>
    <row r="14060" spans="39:45">
      <c r="AM14060" s="54">
        <v>2020</v>
      </c>
      <c r="AN14060" s="54" t="s">
        <v>189</v>
      </c>
      <c r="AO14060" s="54">
        <v>8</v>
      </c>
      <c r="AP14060" s="54">
        <v>18</v>
      </c>
      <c r="AQ14060" s="54">
        <v>982.5</v>
      </c>
      <c r="AR14060" s="55">
        <v>28500</v>
      </c>
      <c r="AS14060" s="78">
        <f t="shared" si="223"/>
        <v>3.4473684210526316E-2</v>
      </c>
    </row>
    <row r="14061" spans="39:45">
      <c r="AM14061" s="55">
        <v>2020</v>
      </c>
      <c r="AN14061" s="55" t="s">
        <v>189</v>
      </c>
      <c r="AO14061" s="55">
        <v>8</v>
      </c>
      <c r="AP14061" s="55">
        <v>19</v>
      </c>
      <c r="AQ14061" s="55">
        <v>0</v>
      </c>
      <c r="AR14061" s="55">
        <v>28500</v>
      </c>
      <c r="AS14061" s="78">
        <f t="shared" si="223"/>
        <v>0</v>
      </c>
    </row>
    <row r="14062" spans="39:45">
      <c r="AM14062" s="54">
        <v>2020</v>
      </c>
      <c r="AN14062" s="54" t="s">
        <v>189</v>
      </c>
      <c r="AO14062" s="54">
        <v>8</v>
      </c>
      <c r="AP14062" s="54">
        <v>20</v>
      </c>
      <c r="AQ14062" s="54">
        <v>0</v>
      </c>
      <c r="AR14062" s="55">
        <v>28500</v>
      </c>
      <c r="AS14062" s="78">
        <f t="shared" si="223"/>
        <v>0</v>
      </c>
    </row>
    <row r="14063" spans="39:45">
      <c r="AM14063" s="55">
        <v>2020</v>
      </c>
      <c r="AN14063" s="55" t="s">
        <v>189</v>
      </c>
      <c r="AO14063" s="55">
        <v>8</v>
      </c>
      <c r="AP14063" s="55">
        <v>21</v>
      </c>
      <c r="AQ14063" s="55">
        <v>0</v>
      </c>
      <c r="AR14063" s="55">
        <v>28500</v>
      </c>
      <c r="AS14063" s="78">
        <f t="shared" si="223"/>
        <v>0</v>
      </c>
    </row>
    <row r="14064" spans="39:45">
      <c r="AM14064" s="54">
        <v>2020</v>
      </c>
      <c r="AN14064" s="54" t="s">
        <v>189</v>
      </c>
      <c r="AO14064" s="54">
        <v>8</v>
      </c>
      <c r="AP14064" s="54">
        <v>22</v>
      </c>
      <c r="AQ14064" s="54">
        <v>0</v>
      </c>
      <c r="AR14064" s="55">
        <v>28500</v>
      </c>
      <c r="AS14064" s="78">
        <f t="shared" si="223"/>
        <v>0</v>
      </c>
    </row>
    <row r="14065" spans="39:45">
      <c r="AM14065" s="55">
        <v>2020</v>
      </c>
      <c r="AN14065" s="55" t="s">
        <v>189</v>
      </c>
      <c r="AO14065" s="55">
        <v>8</v>
      </c>
      <c r="AP14065" s="55">
        <v>23</v>
      </c>
      <c r="AQ14065" s="55">
        <v>0</v>
      </c>
      <c r="AR14065" s="55">
        <v>28500</v>
      </c>
      <c r="AS14065" s="78">
        <f t="shared" si="223"/>
        <v>0</v>
      </c>
    </row>
    <row r="14066" spans="39:45">
      <c r="AM14066" s="54">
        <v>2020</v>
      </c>
      <c r="AN14066" s="54" t="s">
        <v>189</v>
      </c>
      <c r="AO14066" s="54">
        <v>9</v>
      </c>
      <c r="AP14066" s="54">
        <v>24</v>
      </c>
      <c r="AQ14066" s="54">
        <v>0</v>
      </c>
      <c r="AR14066" s="55">
        <v>28500</v>
      </c>
      <c r="AS14066" s="78">
        <f t="shared" si="223"/>
        <v>0</v>
      </c>
    </row>
    <row r="14067" spans="39:45">
      <c r="AM14067" s="55">
        <v>2020</v>
      </c>
      <c r="AN14067" s="55" t="s">
        <v>189</v>
      </c>
      <c r="AO14067" s="55">
        <v>9</v>
      </c>
      <c r="AP14067" s="55">
        <v>1</v>
      </c>
      <c r="AQ14067" s="55">
        <v>0</v>
      </c>
      <c r="AR14067" s="55">
        <v>28500</v>
      </c>
      <c r="AS14067" s="78">
        <f t="shared" si="223"/>
        <v>0</v>
      </c>
    </row>
    <row r="14068" spans="39:45">
      <c r="AM14068" s="54">
        <v>2020</v>
      </c>
      <c r="AN14068" s="54" t="s">
        <v>189</v>
      </c>
      <c r="AO14068" s="54">
        <v>9</v>
      </c>
      <c r="AP14068" s="54">
        <v>2</v>
      </c>
      <c r="AQ14068" s="54">
        <v>0</v>
      </c>
      <c r="AR14068" s="55">
        <v>28500</v>
      </c>
      <c r="AS14068" s="78">
        <f t="shared" si="223"/>
        <v>0</v>
      </c>
    </row>
    <row r="14069" spans="39:45">
      <c r="AM14069" s="55">
        <v>2020</v>
      </c>
      <c r="AN14069" s="55" t="s">
        <v>189</v>
      </c>
      <c r="AO14069" s="55">
        <v>9</v>
      </c>
      <c r="AP14069" s="55">
        <v>3</v>
      </c>
      <c r="AQ14069" s="55">
        <v>0</v>
      </c>
      <c r="AR14069" s="55">
        <v>28500</v>
      </c>
      <c r="AS14069" s="78">
        <f t="shared" si="223"/>
        <v>0</v>
      </c>
    </row>
    <row r="14070" spans="39:45">
      <c r="AM14070" s="54">
        <v>2020</v>
      </c>
      <c r="AN14070" s="54" t="s">
        <v>189</v>
      </c>
      <c r="AO14070" s="54">
        <v>9</v>
      </c>
      <c r="AP14070" s="54">
        <v>4</v>
      </c>
      <c r="AQ14070" s="54">
        <v>0</v>
      </c>
      <c r="AR14070" s="55">
        <v>28500</v>
      </c>
      <c r="AS14070" s="78">
        <f t="shared" si="223"/>
        <v>0</v>
      </c>
    </row>
    <row r="14071" spans="39:45">
      <c r="AM14071" s="55">
        <v>2020</v>
      </c>
      <c r="AN14071" s="55" t="s">
        <v>189</v>
      </c>
      <c r="AO14071" s="55">
        <v>9</v>
      </c>
      <c r="AP14071" s="55">
        <v>5</v>
      </c>
      <c r="AQ14071" s="55">
        <v>353</v>
      </c>
      <c r="AR14071" s="55">
        <v>28500</v>
      </c>
      <c r="AS14071" s="78">
        <f t="shared" si="223"/>
        <v>1.2385964912280702E-2</v>
      </c>
    </row>
    <row r="14072" spans="39:45">
      <c r="AM14072" s="54">
        <v>2020</v>
      </c>
      <c r="AN14072" s="54" t="s">
        <v>189</v>
      </c>
      <c r="AO14072" s="54">
        <v>9</v>
      </c>
      <c r="AP14072" s="54">
        <v>6</v>
      </c>
      <c r="AQ14072" s="54">
        <v>2814.5</v>
      </c>
      <c r="AR14072" s="55">
        <v>28500</v>
      </c>
      <c r="AS14072" s="78">
        <f t="shared" si="223"/>
        <v>9.8754385964912275E-2</v>
      </c>
    </row>
    <row r="14073" spans="39:45">
      <c r="AM14073" s="55">
        <v>2020</v>
      </c>
      <c r="AN14073" s="55" t="s">
        <v>189</v>
      </c>
      <c r="AO14073" s="55">
        <v>9</v>
      </c>
      <c r="AP14073" s="55">
        <v>7</v>
      </c>
      <c r="AQ14073" s="55">
        <v>7634.5</v>
      </c>
      <c r="AR14073" s="55">
        <v>28500</v>
      </c>
      <c r="AS14073" s="78">
        <f t="shared" si="223"/>
        <v>0.26787719298245616</v>
      </c>
    </row>
    <row r="14074" spans="39:45">
      <c r="AM14074" s="54">
        <v>2020</v>
      </c>
      <c r="AN14074" s="54" t="s">
        <v>189</v>
      </c>
      <c r="AO14074" s="54">
        <v>9</v>
      </c>
      <c r="AP14074" s="54">
        <v>8</v>
      </c>
      <c r="AQ14074" s="54">
        <v>18832</v>
      </c>
      <c r="AR14074" s="55">
        <v>28500</v>
      </c>
      <c r="AS14074" s="78">
        <f t="shared" si="223"/>
        <v>0.66077192982456145</v>
      </c>
    </row>
    <row r="14075" spans="39:45">
      <c r="AM14075" s="55">
        <v>2020</v>
      </c>
      <c r="AN14075" s="55" t="s">
        <v>189</v>
      </c>
      <c r="AO14075" s="55">
        <v>9</v>
      </c>
      <c r="AP14075" s="55">
        <v>9</v>
      </c>
      <c r="AQ14075" s="55">
        <v>23349</v>
      </c>
      <c r="AR14075" s="55">
        <v>28500</v>
      </c>
      <c r="AS14075" s="78">
        <f t="shared" si="223"/>
        <v>0.8192631578947368</v>
      </c>
    </row>
    <row r="14076" spans="39:45">
      <c r="AM14076" s="54">
        <v>2020</v>
      </c>
      <c r="AN14076" s="54" t="s">
        <v>189</v>
      </c>
      <c r="AO14076" s="54">
        <v>9</v>
      </c>
      <c r="AP14076" s="54">
        <v>10</v>
      </c>
      <c r="AQ14076" s="54">
        <v>24589.5</v>
      </c>
      <c r="AR14076" s="55">
        <v>28500</v>
      </c>
      <c r="AS14076" s="78">
        <f t="shared" si="223"/>
        <v>0.86278947368421055</v>
      </c>
    </row>
    <row r="14077" spans="39:45">
      <c r="AM14077" s="55">
        <v>2020</v>
      </c>
      <c r="AN14077" s="55" t="s">
        <v>189</v>
      </c>
      <c r="AO14077" s="55">
        <v>9</v>
      </c>
      <c r="AP14077" s="55">
        <v>11</v>
      </c>
      <c r="AQ14077" s="55">
        <v>36721.5</v>
      </c>
      <c r="AR14077" s="55">
        <v>28500</v>
      </c>
      <c r="AS14077" s="78">
        <f t="shared" si="223"/>
        <v>1.2884736842105262</v>
      </c>
    </row>
    <row r="14078" spans="39:45">
      <c r="AM14078" s="54">
        <v>2020</v>
      </c>
      <c r="AN14078" s="54" t="s">
        <v>189</v>
      </c>
      <c r="AO14078" s="54">
        <v>9</v>
      </c>
      <c r="AP14078" s="54">
        <v>12</v>
      </c>
      <c r="AQ14078" s="54">
        <v>38338</v>
      </c>
      <c r="AR14078" s="55">
        <v>28500</v>
      </c>
      <c r="AS14078" s="78">
        <f t="shared" si="223"/>
        <v>1.3451929824561404</v>
      </c>
    </row>
    <row r="14079" spans="39:45">
      <c r="AM14079" s="55">
        <v>2020</v>
      </c>
      <c r="AN14079" s="55" t="s">
        <v>189</v>
      </c>
      <c r="AO14079" s="55">
        <v>9</v>
      </c>
      <c r="AP14079" s="55">
        <v>13</v>
      </c>
      <c r="AQ14079" s="55">
        <v>34298</v>
      </c>
      <c r="AR14079" s="55">
        <v>28500</v>
      </c>
      <c r="AS14079" s="78">
        <f t="shared" si="223"/>
        <v>1.203438596491228</v>
      </c>
    </row>
    <row r="14080" spans="39:45">
      <c r="AM14080" s="54">
        <v>2020</v>
      </c>
      <c r="AN14080" s="54" t="s">
        <v>189</v>
      </c>
      <c r="AO14080" s="54">
        <v>9</v>
      </c>
      <c r="AP14080" s="54">
        <v>14</v>
      </c>
      <c r="AQ14080" s="54">
        <v>31261.5</v>
      </c>
      <c r="AR14080" s="55">
        <v>28500</v>
      </c>
      <c r="AS14080" s="78">
        <f t="shared" si="223"/>
        <v>1.0968947368421054</v>
      </c>
    </row>
    <row r="14081" spans="39:45">
      <c r="AM14081" s="55">
        <v>2020</v>
      </c>
      <c r="AN14081" s="55" t="s">
        <v>189</v>
      </c>
      <c r="AO14081" s="55">
        <v>9</v>
      </c>
      <c r="AP14081" s="55">
        <v>15</v>
      </c>
      <c r="AQ14081" s="55">
        <v>25898.5</v>
      </c>
      <c r="AR14081" s="55">
        <v>28500</v>
      </c>
      <c r="AS14081" s="78">
        <f t="shared" si="223"/>
        <v>0.90871929824561404</v>
      </c>
    </row>
    <row r="14082" spans="39:45">
      <c r="AM14082" s="54">
        <v>2020</v>
      </c>
      <c r="AN14082" s="54" t="s">
        <v>189</v>
      </c>
      <c r="AO14082" s="54">
        <v>9</v>
      </c>
      <c r="AP14082" s="54">
        <v>16</v>
      </c>
      <c r="AQ14082" s="54">
        <v>13726</v>
      </c>
      <c r="AR14082" s="55">
        <v>28500</v>
      </c>
      <c r="AS14082" s="78">
        <f t="shared" ref="AS14082:AS14145" si="224">AQ14082/AR14082</f>
        <v>0.48161403508771927</v>
      </c>
    </row>
    <row r="14083" spans="39:45">
      <c r="AM14083" s="55">
        <v>2020</v>
      </c>
      <c r="AN14083" s="55" t="s">
        <v>189</v>
      </c>
      <c r="AO14083" s="55">
        <v>9</v>
      </c>
      <c r="AP14083" s="55">
        <v>17</v>
      </c>
      <c r="AQ14083" s="55">
        <v>7355</v>
      </c>
      <c r="AR14083" s="55">
        <v>28500</v>
      </c>
      <c r="AS14083" s="78">
        <f t="shared" si="224"/>
        <v>0.25807017543859651</v>
      </c>
    </row>
    <row r="14084" spans="39:45">
      <c r="AM14084" s="54">
        <v>2020</v>
      </c>
      <c r="AN14084" s="54" t="s">
        <v>189</v>
      </c>
      <c r="AO14084" s="54">
        <v>9</v>
      </c>
      <c r="AP14084" s="54">
        <v>18</v>
      </c>
      <c r="AQ14084" s="54">
        <v>2014</v>
      </c>
      <c r="AR14084" s="55">
        <v>28500</v>
      </c>
      <c r="AS14084" s="78">
        <f t="shared" si="224"/>
        <v>7.0666666666666669E-2</v>
      </c>
    </row>
    <row r="14085" spans="39:45">
      <c r="AM14085" s="55">
        <v>2020</v>
      </c>
      <c r="AN14085" s="55" t="s">
        <v>189</v>
      </c>
      <c r="AO14085" s="55">
        <v>9</v>
      </c>
      <c r="AP14085" s="55">
        <v>19</v>
      </c>
      <c r="AQ14085" s="55">
        <v>16</v>
      </c>
      <c r="AR14085" s="55">
        <v>28500</v>
      </c>
      <c r="AS14085" s="78">
        <f t="shared" si="224"/>
        <v>5.6140350877192978E-4</v>
      </c>
    </row>
    <row r="14086" spans="39:45">
      <c r="AM14086" s="54">
        <v>2020</v>
      </c>
      <c r="AN14086" s="54" t="s">
        <v>189</v>
      </c>
      <c r="AO14086" s="54">
        <v>9</v>
      </c>
      <c r="AP14086" s="54">
        <v>20</v>
      </c>
      <c r="AQ14086" s="54">
        <v>0</v>
      </c>
      <c r="AR14086" s="55">
        <v>28500</v>
      </c>
      <c r="AS14086" s="78">
        <f t="shared" si="224"/>
        <v>0</v>
      </c>
    </row>
    <row r="14087" spans="39:45">
      <c r="AM14087" s="55">
        <v>2020</v>
      </c>
      <c r="AN14087" s="55" t="s">
        <v>189</v>
      </c>
      <c r="AO14087" s="55">
        <v>9</v>
      </c>
      <c r="AP14087" s="55">
        <v>21</v>
      </c>
      <c r="AQ14087" s="55">
        <v>0</v>
      </c>
      <c r="AR14087" s="55">
        <v>28500</v>
      </c>
      <c r="AS14087" s="78">
        <f t="shared" si="224"/>
        <v>0</v>
      </c>
    </row>
    <row r="14088" spans="39:45">
      <c r="AM14088" s="54">
        <v>2020</v>
      </c>
      <c r="AN14088" s="54" t="s">
        <v>189</v>
      </c>
      <c r="AO14088" s="54">
        <v>9</v>
      </c>
      <c r="AP14088" s="54">
        <v>22</v>
      </c>
      <c r="AQ14088" s="54">
        <v>0</v>
      </c>
      <c r="AR14088" s="55">
        <v>28500</v>
      </c>
      <c r="AS14088" s="78">
        <f t="shared" si="224"/>
        <v>0</v>
      </c>
    </row>
    <row r="14089" spans="39:45">
      <c r="AM14089" s="55">
        <v>2020</v>
      </c>
      <c r="AN14089" s="55" t="s">
        <v>189</v>
      </c>
      <c r="AO14089" s="55">
        <v>9</v>
      </c>
      <c r="AP14089" s="55">
        <v>23</v>
      </c>
      <c r="AQ14089" s="55">
        <v>0</v>
      </c>
      <c r="AR14089" s="55">
        <v>28500</v>
      </c>
      <c r="AS14089" s="78">
        <f t="shared" si="224"/>
        <v>0</v>
      </c>
    </row>
    <row r="14090" spans="39:45">
      <c r="AM14090" s="54">
        <v>2020</v>
      </c>
      <c r="AN14090" s="54" t="s">
        <v>189</v>
      </c>
      <c r="AO14090" s="54">
        <v>10</v>
      </c>
      <c r="AP14090" s="54">
        <v>24</v>
      </c>
      <c r="AQ14090" s="54">
        <v>0</v>
      </c>
      <c r="AR14090" s="55">
        <v>28500</v>
      </c>
      <c r="AS14090" s="78">
        <f t="shared" si="224"/>
        <v>0</v>
      </c>
    </row>
    <row r="14091" spans="39:45">
      <c r="AM14091" s="55">
        <v>2020</v>
      </c>
      <c r="AN14091" s="55" t="s">
        <v>189</v>
      </c>
      <c r="AO14091" s="55">
        <v>10</v>
      </c>
      <c r="AP14091" s="55">
        <v>1</v>
      </c>
      <c r="AQ14091" s="55">
        <v>0</v>
      </c>
      <c r="AR14091" s="55">
        <v>28500</v>
      </c>
      <c r="AS14091" s="78">
        <f t="shared" si="224"/>
        <v>0</v>
      </c>
    </row>
    <row r="14092" spans="39:45">
      <c r="AM14092" s="54">
        <v>2020</v>
      </c>
      <c r="AN14092" s="54" t="s">
        <v>189</v>
      </c>
      <c r="AO14092" s="54">
        <v>10</v>
      </c>
      <c r="AP14092" s="54">
        <v>2</v>
      </c>
      <c r="AQ14092" s="54">
        <v>0</v>
      </c>
      <c r="AR14092" s="55">
        <v>28500</v>
      </c>
      <c r="AS14092" s="78">
        <f t="shared" si="224"/>
        <v>0</v>
      </c>
    </row>
    <row r="14093" spans="39:45">
      <c r="AM14093" s="55">
        <v>2020</v>
      </c>
      <c r="AN14093" s="55" t="s">
        <v>189</v>
      </c>
      <c r="AO14093" s="55">
        <v>10</v>
      </c>
      <c r="AP14093" s="55">
        <v>3</v>
      </c>
      <c r="AQ14093" s="55">
        <v>0</v>
      </c>
      <c r="AR14093" s="55">
        <v>28500</v>
      </c>
      <c r="AS14093" s="78">
        <f t="shared" si="224"/>
        <v>0</v>
      </c>
    </row>
    <row r="14094" spans="39:45">
      <c r="AM14094" s="54">
        <v>2020</v>
      </c>
      <c r="AN14094" s="54" t="s">
        <v>189</v>
      </c>
      <c r="AO14094" s="54">
        <v>10</v>
      </c>
      <c r="AP14094" s="54">
        <v>4</v>
      </c>
      <c r="AQ14094" s="54">
        <v>0</v>
      </c>
      <c r="AR14094" s="55">
        <v>28500</v>
      </c>
      <c r="AS14094" s="78">
        <f t="shared" si="224"/>
        <v>0</v>
      </c>
    </row>
    <row r="14095" spans="39:45">
      <c r="AM14095" s="55">
        <v>2020</v>
      </c>
      <c r="AN14095" s="55" t="s">
        <v>189</v>
      </c>
      <c r="AO14095" s="55">
        <v>10</v>
      </c>
      <c r="AP14095" s="55">
        <v>5</v>
      </c>
      <c r="AQ14095" s="55">
        <v>272.5</v>
      </c>
      <c r="AR14095" s="55">
        <v>28500</v>
      </c>
      <c r="AS14095" s="78">
        <f t="shared" si="224"/>
        <v>9.5614035087719304E-3</v>
      </c>
    </row>
    <row r="14096" spans="39:45">
      <c r="AM14096" s="54">
        <v>2020</v>
      </c>
      <c r="AN14096" s="54" t="s">
        <v>189</v>
      </c>
      <c r="AO14096" s="54">
        <v>10</v>
      </c>
      <c r="AP14096" s="54">
        <v>6</v>
      </c>
      <c r="AQ14096" s="54">
        <v>2727.5</v>
      </c>
      <c r="AR14096" s="55">
        <v>28500</v>
      </c>
      <c r="AS14096" s="78">
        <f t="shared" si="224"/>
        <v>9.5701754385964913E-2</v>
      </c>
    </row>
    <row r="14097" spans="39:45">
      <c r="AM14097" s="55">
        <v>2020</v>
      </c>
      <c r="AN14097" s="55" t="s">
        <v>189</v>
      </c>
      <c r="AO14097" s="55">
        <v>10</v>
      </c>
      <c r="AP14097" s="55">
        <v>7</v>
      </c>
      <c r="AQ14097" s="55">
        <v>9558</v>
      </c>
      <c r="AR14097" s="55">
        <v>28500</v>
      </c>
      <c r="AS14097" s="78">
        <f t="shared" si="224"/>
        <v>0.33536842105263159</v>
      </c>
    </row>
    <row r="14098" spans="39:45">
      <c r="AM14098" s="54">
        <v>2020</v>
      </c>
      <c r="AN14098" s="54" t="s">
        <v>189</v>
      </c>
      <c r="AO14098" s="54">
        <v>10</v>
      </c>
      <c r="AP14098" s="54">
        <v>8</v>
      </c>
      <c r="AQ14098" s="54">
        <v>19254</v>
      </c>
      <c r="AR14098" s="55">
        <v>28500</v>
      </c>
      <c r="AS14098" s="78">
        <f t="shared" si="224"/>
        <v>0.67557894736842106</v>
      </c>
    </row>
    <row r="14099" spans="39:45">
      <c r="AM14099" s="55">
        <v>2020</v>
      </c>
      <c r="AN14099" s="55" t="s">
        <v>189</v>
      </c>
      <c r="AO14099" s="55">
        <v>10</v>
      </c>
      <c r="AP14099" s="55">
        <v>9</v>
      </c>
      <c r="AQ14099" s="55">
        <v>26062.5</v>
      </c>
      <c r="AR14099" s="55">
        <v>28500</v>
      </c>
      <c r="AS14099" s="78">
        <f t="shared" si="224"/>
        <v>0.91447368421052633</v>
      </c>
    </row>
    <row r="14100" spans="39:45">
      <c r="AM14100" s="54">
        <v>2020</v>
      </c>
      <c r="AN14100" s="54" t="s">
        <v>189</v>
      </c>
      <c r="AO14100" s="54">
        <v>10</v>
      </c>
      <c r="AP14100" s="54">
        <v>10</v>
      </c>
      <c r="AQ14100" s="54">
        <v>31259</v>
      </c>
      <c r="AR14100" s="55">
        <v>28500</v>
      </c>
      <c r="AS14100" s="78">
        <f t="shared" si="224"/>
        <v>1.0968070175438596</v>
      </c>
    </row>
    <row r="14101" spans="39:45">
      <c r="AM14101" s="55">
        <v>2020</v>
      </c>
      <c r="AN14101" s="55" t="s">
        <v>189</v>
      </c>
      <c r="AO14101" s="55">
        <v>10</v>
      </c>
      <c r="AP14101" s="55">
        <v>11</v>
      </c>
      <c r="AQ14101" s="55">
        <v>34533.5</v>
      </c>
      <c r="AR14101" s="55">
        <v>28500</v>
      </c>
      <c r="AS14101" s="78">
        <f t="shared" si="224"/>
        <v>1.2117017543859649</v>
      </c>
    </row>
    <row r="14102" spans="39:45">
      <c r="AM14102" s="54">
        <v>2020</v>
      </c>
      <c r="AN14102" s="54" t="s">
        <v>189</v>
      </c>
      <c r="AO14102" s="54">
        <v>10</v>
      </c>
      <c r="AP14102" s="54">
        <v>12</v>
      </c>
      <c r="AQ14102" s="54">
        <v>35126</v>
      </c>
      <c r="AR14102" s="55">
        <v>28500</v>
      </c>
      <c r="AS14102" s="78">
        <f t="shared" si="224"/>
        <v>1.2324912280701754</v>
      </c>
    </row>
    <row r="14103" spans="39:45">
      <c r="AM14103" s="55">
        <v>2020</v>
      </c>
      <c r="AN14103" s="55" t="s">
        <v>189</v>
      </c>
      <c r="AO14103" s="55">
        <v>10</v>
      </c>
      <c r="AP14103" s="55">
        <v>13</v>
      </c>
      <c r="AQ14103" s="55">
        <v>35225</v>
      </c>
      <c r="AR14103" s="55">
        <v>28500</v>
      </c>
      <c r="AS14103" s="78">
        <f t="shared" si="224"/>
        <v>1.2359649122807017</v>
      </c>
    </row>
    <row r="14104" spans="39:45">
      <c r="AM14104" s="54">
        <v>2020</v>
      </c>
      <c r="AN14104" s="54" t="s">
        <v>189</v>
      </c>
      <c r="AO14104" s="54">
        <v>10</v>
      </c>
      <c r="AP14104" s="54">
        <v>14</v>
      </c>
      <c r="AQ14104" s="54">
        <v>30362</v>
      </c>
      <c r="AR14104" s="55">
        <v>28500</v>
      </c>
      <c r="AS14104" s="78">
        <f t="shared" si="224"/>
        <v>1.0653333333333332</v>
      </c>
    </row>
    <row r="14105" spans="39:45">
      <c r="AM14105" s="55">
        <v>2020</v>
      </c>
      <c r="AN14105" s="55" t="s">
        <v>189</v>
      </c>
      <c r="AO14105" s="55">
        <v>10</v>
      </c>
      <c r="AP14105" s="55">
        <v>15</v>
      </c>
      <c r="AQ14105" s="55">
        <v>25118.5</v>
      </c>
      <c r="AR14105" s="55">
        <v>28500</v>
      </c>
      <c r="AS14105" s="78">
        <f t="shared" si="224"/>
        <v>0.88135087719298244</v>
      </c>
    </row>
    <row r="14106" spans="39:45">
      <c r="AM14106" s="54">
        <v>2020</v>
      </c>
      <c r="AN14106" s="54" t="s">
        <v>189</v>
      </c>
      <c r="AO14106" s="54">
        <v>10</v>
      </c>
      <c r="AP14106" s="54">
        <v>16</v>
      </c>
      <c r="AQ14106" s="54">
        <v>16965</v>
      </c>
      <c r="AR14106" s="55">
        <v>28500</v>
      </c>
      <c r="AS14106" s="78">
        <f t="shared" si="224"/>
        <v>0.59526315789473683</v>
      </c>
    </row>
    <row r="14107" spans="39:45">
      <c r="AM14107" s="55">
        <v>2020</v>
      </c>
      <c r="AN14107" s="55" t="s">
        <v>189</v>
      </c>
      <c r="AO14107" s="55">
        <v>10</v>
      </c>
      <c r="AP14107" s="55">
        <v>17</v>
      </c>
      <c r="AQ14107" s="55">
        <v>6680.5</v>
      </c>
      <c r="AR14107" s="55">
        <v>28500</v>
      </c>
      <c r="AS14107" s="78">
        <f t="shared" si="224"/>
        <v>0.23440350877192984</v>
      </c>
    </row>
    <row r="14108" spans="39:45">
      <c r="AM14108" s="54">
        <v>2020</v>
      </c>
      <c r="AN14108" s="54" t="s">
        <v>189</v>
      </c>
      <c r="AO14108" s="54">
        <v>10</v>
      </c>
      <c r="AP14108" s="54">
        <v>18</v>
      </c>
      <c r="AQ14108" s="54">
        <v>1946.5</v>
      </c>
      <c r="AR14108" s="55">
        <v>28500</v>
      </c>
      <c r="AS14108" s="78">
        <f t="shared" si="224"/>
        <v>6.8298245614035094E-2</v>
      </c>
    </row>
    <row r="14109" spans="39:45">
      <c r="AM14109" s="55">
        <v>2020</v>
      </c>
      <c r="AN14109" s="55" t="s">
        <v>189</v>
      </c>
      <c r="AO14109" s="55">
        <v>10</v>
      </c>
      <c r="AP14109" s="55">
        <v>19</v>
      </c>
      <c r="AQ14109" s="55">
        <v>0</v>
      </c>
      <c r="AR14109" s="55">
        <v>28500</v>
      </c>
      <c r="AS14109" s="78">
        <f t="shared" si="224"/>
        <v>0</v>
      </c>
    </row>
    <row r="14110" spans="39:45">
      <c r="AM14110" s="54">
        <v>2020</v>
      </c>
      <c r="AN14110" s="54" t="s">
        <v>189</v>
      </c>
      <c r="AO14110" s="54">
        <v>10</v>
      </c>
      <c r="AP14110" s="54">
        <v>20</v>
      </c>
      <c r="AQ14110" s="54">
        <v>0</v>
      </c>
      <c r="AR14110" s="55">
        <v>28500</v>
      </c>
      <c r="AS14110" s="78">
        <f t="shared" si="224"/>
        <v>0</v>
      </c>
    </row>
    <row r="14111" spans="39:45">
      <c r="AM14111" s="55">
        <v>2020</v>
      </c>
      <c r="AN14111" s="55" t="s">
        <v>189</v>
      </c>
      <c r="AO14111" s="55">
        <v>10</v>
      </c>
      <c r="AP14111" s="55">
        <v>21</v>
      </c>
      <c r="AQ14111" s="55">
        <v>0</v>
      </c>
      <c r="AR14111" s="55">
        <v>28500</v>
      </c>
      <c r="AS14111" s="78">
        <f t="shared" si="224"/>
        <v>0</v>
      </c>
    </row>
    <row r="14112" spans="39:45">
      <c r="AM14112" s="54">
        <v>2020</v>
      </c>
      <c r="AN14112" s="54" t="s">
        <v>189</v>
      </c>
      <c r="AO14112" s="54">
        <v>10</v>
      </c>
      <c r="AP14112" s="54">
        <v>22</v>
      </c>
      <c r="AQ14112" s="54">
        <v>0</v>
      </c>
      <c r="AR14112" s="55">
        <v>28500</v>
      </c>
      <c r="AS14112" s="78">
        <f t="shared" si="224"/>
        <v>0</v>
      </c>
    </row>
    <row r="14113" spans="39:45">
      <c r="AM14113" s="55">
        <v>2020</v>
      </c>
      <c r="AN14113" s="55" t="s">
        <v>189</v>
      </c>
      <c r="AO14113" s="55">
        <v>10</v>
      </c>
      <c r="AP14113" s="55">
        <v>23</v>
      </c>
      <c r="AQ14113" s="55">
        <v>0</v>
      </c>
      <c r="AR14113" s="55">
        <v>28500</v>
      </c>
      <c r="AS14113" s="78">
        <f t="shared" si="224"/>
        <v>0</v>
      </c>
    </row>
    <row r="14114" spans="39:45">
      <c r="AM14114" s="54">
        <v>2020</v>
      </c>
      <c r="AN14114" s="54" t="s">
        <v>189</v>
      </c>
      <c r="AO14114" s="54">
        <v>11</v>
      </c>
      <c r="AP14114" s="54">
        <v>24</v>
      </c>
      <c r="AQ14114" s="54">
        <v>0</v>
      </c>
      <c r="AR14114" s="55">
        <v>28500</v>
      </c>
      <c r="AS14114" s="78">
        <f t="shared" si="224"/>
        <v>0</v>
      </c>
    </row>
    <row r="14115" spans="39:45">
      <c r="AM14115" s="55">
        <v>2020</v>
      </c>
      <c r="AN14115" s="55" t="s">
        <v>189</v>
      </c>
      <c r="AO14115" s="55">
        <v>11</v>
      </c>
      <c r="AP14115" s="55">
        <v>1</v>
      </c>
      <c r="AQ14115" s="55">
        <v>0</v>
      </c>
      <c r="AR14115" s="55">
        <v>28500</v>
      </c>
      <c r="AS14115" s="78">
        <f t="shared" si="224"/>
        <v>0</v>
      </c>
    </row>
    <row r="14116" spans="39:45">
      <c r="AM14116" s="54">
        <v>2020</v>
      </c>
      <c r="AN14116" s="54" t="s">
        <v>189</v>
      </c>
      <c r="AO14116" s="54">
        <v>11</v>
      </c>
      <c r="AP14116" s="54">
        <v>2</v>
      </c>
      <c r="AQ14116" s="54">
        <v>0</v>
      </c>
      <c r="AR14116" s="55">
        <v>28500</v>
      </c>
      <c r="AS14116" s="78">
        <f t="shared" si="224"/>
        <v>0</v>
      </c>
    </row>
    <row r="14117" spans="39:45">
      <c r="AM14117" s="55">
        <v>2020</v>
      </c>
      <c r="AN14117" s="55" t="s">
        <v>189</v>
      </c>
      <c r="AO14117" s="55">
        <v>11</v>
      </c>
      <c r="AP14117" s="55">
        <v>3</v>
      </c>
      <c r="AQ14117" s="55">
        <v>0</v>
      </c>
      <c r="AR14117" s="55">
        <v>28500</v>
      </c>
      <c r="AS14117" s="78">
        <f t="shared" si="224"/>
        <v>0</v>
      </c>
    </row>
    <row r="14118" spans="39:45">
      <c r="AM14118" s="54">
        <v>2020</v>
      </c>
      <c r="AN14118" s="54" t="s">
        <v>189</v>
      </c>
      <c r="AO14118" s="54">
        <v>11</v>
      </c>
      <c r="AP14118" s="54">
        <v>4</v>
      </c>
      <c r="AQ14118" s="54">
        <v>0</v>
      </c>
      <c r="AR14118" s="55">
        <v>28500</v>
      </c>
      <c r="AS14118" s="78">
        <f t="shared" si="224"/>
        <v>0</v>
      </c>
    </row>
    <row r="14119" spans="39:45">
      <c r="AM14119" s="55">
        <v>2020</v>
      </c>
      <c r="AN14119" s="55" t="s">
        <v>189</v>
      </c>
      <c r="AO14119" s="55">
        <v>11</v>
      </c>
      <c r="AP14119" s="55">
        <v>5</v>
      </c>
      <c r="AQ14119" s="55">
        <v>248</v>
      </c>
      <c r="AR14119" s="55">
        <v>28500</v>
      </c>
      <c r="AS14119" s="78">
        <f t="shared" si="224"/>
        <v>8.7017543859649119E-3</v>
      </c>
    </row>
    <row r="14120" spans="39:45">
      <c r="AM14120" s="54">
        <v>2020</v>
      </c>
      <c r="AN14120" s="54" t="s">
        <v>189</v>
      </c>
      <c r="AO14120" s="54">
        <v>11</v>
      </c>
      <c r="AP14120" s="54">
        <v>6</v>
      </c>
      <c r="AQ14120" s="54">
        <v>2685.5</v>
      </c>
      <c r="AR14120" s="55">
        <v>28500</v>
      </c>
      <c r="AS14120" s="78">
        <f t="shared" si="224"/>
        <v>9.4228070175438591E-2</v>
      </c>
    </row>
    <row r="14121" spans="39:45">
      <c r="AM14121" s="55">
        <v>2020</v>
      </c>
      <c r="AN14121" s="55" t="s">
        <v>189</v>
      </c>
      <c r="AO14121" s="55">
        <v>11</v>
      </c>
      <c r="AP14121" s="55">
        <v>7</v>
      </c>
      <c r="AQ14121" s="55">
        <v>9673.5</v>
      </c>
      <c r="AR14121" s="55">
        <v>28500</v>
      </c>
      <c r="AS14121" s="78">
        <f t="shared" si="224"/>
        <v>0.33942105263157896</v>
      </c>
    </row>
    <row r="14122" spans="39:45">
      <c r="AM14122" s="54">
        <v>2020</v>
      </c>
      <c r="AN14122" s="54" t="s">
        <v>189</v>
      </c>
      <c r="AO14122" s="54">
        <v>11</v>
      </c>
      <c r="AP14122" s="54">
        <v>8</v>
      </c>
      <c r="AQ14122" s="54">
        <v>19814.5</v>
      </c>
      <c r="AR14122" s="55">
        <v>28500</v>
      </c>
      <c r="AS14122" s="78">
        <f t="shared" si="224"/>
        <v>0.69524561403508767</v>
      </c>
    </row>
    <row r="14123" spans="39:45">
      <c r="AM14123" s="55">
        <v>2020</v>
      </c>
      <c r="AN14123" s="55" t="s">
        <v>189</v>
      </c>
      <c r="AO14123" s="55">
        <v>11</v>
      </c>
      <c r="AP14123" s="55">
        <v>9</v>
      </c>
      <c r="AQ14123" s="55">
        <v>26767</v>
      </c>
      <c r="AR14123" s="55">
        <v>28500</v>
      </c>
      <c r="AS14123" s="78">
        <f t="shared" si="224"/>
        <v>0.93919298245614036</v>
      </c>
    </row>
    <row r="14124" spans="39:45">
      <c r="AM14124" s="54">
        <v>2020</v>
      </c>
      <c r="AN14124" s="54" t="s">
        <v>189</v>
      </c>
      <c r="AO14124" s="54">
        <v>11</v>
      </c>
      <c r="AP14124" s="54">
        <v>10</v>
      </c>
      <c r="AQ14124" s="54">
        <v>31817</v>
      </c>
      <c r="AR14124" s="55">
        <v>28500</v>
      </c>
      <c r="AS14124" s="78">
        <f t="shared" si="224"/>
        <v>1.1163859649122807</v>
      </c>
    </row>
    <row r="14125" spans="39:45">
      <c r="AM14125" s="55">
        <v>2020</v>
      </c>
      <c r="AN14125" s="55" t="s">
        <v>189</v>
      </c>
      <c r="AO14125" s="55">
        <v>11</v>
      </c>
      <c r="AP14125" s="55">
        <v>11</v>
      </c>
      <c r="AQ14125" s="55">
        <v>35181</v>
      </c>
      <c r="AR14125" s="55">
        <v>28500</v>
      </c>
      <c r="AS14125" s="78">
        <f t="shared" si="224"/>
        <v>1.2344210526315789</v>
      </c>
    </row>
    <row r="14126" spans="39:45">
      <c r="AM14126" s="54">
        <v>2020</v>
      </c>
      <c r="AN14126" s="54" t="s">
        <v>189</v>
      </c>
      <c r="AO14126" s="54">
        <v>11</v>
      </c>
      <c r="AP14126" s="54">
        <v>12</v>
      </c>
      <c r="AQ14126" s="54">
        <v>36249.5</v>
      </c>
      <c r="AR14126" s="55">
        <v>28500</v>
      </c>
      <c r="AS14126" s="78">
        <f t="shared" si="224"/>
        <v>1.2719122807017544</v>
      </c>
    </row>
    <row r="14127" spans="39:45">
      <c r="AM14127" s="55">
        <v>2020</v>
      </c>
      <c r="AN14127" s="55" t="s">
        <v>189</v>
      </c>
      <c r="AO14127" s="55">
        <v>11</v>
      </c>
      <c r="AP14127" s="55">
        <v>13</v>
      </c>
      <c r="AQ14127" s="55">
        <v>34456.5</v>
      </c>
      <c r="AR14127" s="55">
        <v>28500</v>
      </c>
      <c r="AS14127" s="78">
        <f t="shared" si="224"/>
        <v>1.2090000000000001</v>
      </c>
    </row>
    <row r="14128" spans="39:45">
      <c r="AM14128" s="54">
        <v>2020</v>
      </c>
      <c r="AN14128" s="54" t="s">
        <v>189</v>
      </c>
      <c r="AO14128" s="54">
        <v>11</v>
      </c>
      <c r="AP14128" s="54">
        <v>14</v>
      </c>
      <c r="AQ14128" s="54">
        <v>29848.5</v>
      </c>
      <c r="AR14128" s="55">
        <v>28500</v>
      </c>
      <c r="AS14128" s="78">
        <f t="shared" si="224"/>
        <v>1.0473157894736842</v>
      </c>
    </row>
    <row r="14129" spans="39:45">
      <c r="AM14129" s="55">
        <v>2020</v>
      </c>
      <c r="AN14129" s="55" t="s">
        <v>189</v>
      </c>
      <c r="AO14129" s="55">
        <v>11</v>
      </c>
      <c r="AP14129" s="55">
        <v>15</v>
      </c>
      <c r="AQ14129" s="55">
        <v>24191.5</v>
      </c>
      <c r="AR14129" s="55">
        <v>28500</v>
      </c>
      <c r="AS14129" s="78">
        <f t="shared" si="224"/>
        <v>0.84882456140350881</v>
      </c>
    </row>
    <row r="14130" spans="39:45">
      <c r="AM14130" s="54">
        <v>2020</v>
      </c>
      <c r="AN14130" s="54" t="s">
        <v>189</v>
      </c>
      <c r="AO14130" s="54">
        <v>11</v>
      </c>
      <c r="AP14130" s="54">
        <v>16</v>
      </c>
      <c r="AQ14130" s="54">
        <v>16814.5</v>
      </c>
      <c r="AR14130" s="55">
        <v>28500</v>
      </c>
      <c r="AS14130" s="78">
        <f t="shared" si="224"/>
        <v>0.58998245614035083</v>
      </c>
    </row>
    <row r="14131" spans="39:45">
      <c r="AM14131" s="55">
        <v>2020</v>
      </c>
      <c r="AN14131" s="55" t="s">
        <v>189</v>
      </c>
      <c r="AO14131" s="55">
        <v>11</v>
      </c>
      <c r="AP14131" s="55">
        <v>17</v>
      </c>
      <c r="AQ14131" s="55">
        <v>7132.5</v>
      </c>
      <c r="AR14131" s="55">
        <v>28500</v>
      </c>
      <c r="AS14131" s="78">
        <f t="shared" si="224"/>
        <v>0.25026315789473685</v>
      </c>
    </row>
    <row r="14132" spans="39:45">
      <c r="AM14132" s="54">
        <v>2020</v>
      </c>
      <c r="AN14132" s="54" t="s">
        <v>189</v>
      </c>
      <c r="AO14132" s="54">
        <v>11</v>
      </c>
      <c r="AP14132" s="54">
        <v>18</v>
      </c>
      <c r="AQ14132" s="54">
        <v>1745</v>
      </c>
      <c r="AR14132" s="55">
        <v>28500</v>
      </c>
      <c r="AS14132" s="78">
        <f t="shared" si="224"/>
        <v>6.1228070175438597E-2</v>
      </c>
    </row>
    <row r="14133" spans="39:45">
      <c r="AM14133" s="55">
        <v>2020</v>
      </c>
      <c r="AN14133" s="55" t="s">
        <v>189</v>
      </c>
      <c r="AO14133" s="55">
        <v>11</v>
      </c>
      <c r="AP14133" s="55">
        <v>19</v>
      </c>
      <c r="AQ14133" s="55">
        <v>0</v>
      </c>
      <c r="AR14133" s="55">
        <v>28500</v>
      </c>
      <c r="AS14133" s="78">
        <f t="shared" si="224"/>
        <v>0</v>
      </c>
    </row>
    <row r="14134" spans="39:45">
      <c r="AM14134" s="54">
        <v>2020</v>
      </c>
      <c r="AN14134" s="54" t="s">
        <v>189</v>
      </c>
      <c r="AO14134" s="54">
        <v>11</v>
      </c>
      <c r="AP14134" s="54">
        <v>20</v>
      </c>
      <c r="AQ14134" s="54">
        <v>0</v>
      </c>
      <c r="AR14134" s="55">
        <v>28500</v>
      </c>
      <c r="AS14134" s="78">
        <f t="shared" si="224"/>
        <v>0</v>
      </c>
    </row>
    <row r="14135" spans="39:45">
      <c r="AM14135" s="55">
        <v>2020</v>
      </c>
      <c r="AN14135" s="55" t="s">
        <v>189</v>
      </c>
      <c r="AO14135" s="55">
        <v>11</v>
      </c>
      <c r="AP14135" s="55">
        <v>21</v>
      </c>
      <c r="AQ14135" s="55">
        <v>0</v>
      </c>
      <c r="AR14135" s="55">
        <v>28500</v>
      </c>
      <c r="AS14135" s="78">
        <f t="shared" si="224"/>
        <v>0</v>
      </c>
    </row>
    <row r="14136" spans="39:45">
      <c r="AM14136" s="54">
        <v>2020</v>
      </c>
      <c r="AN14136" s="54" t="s">
        <v>189</v>
      </c>
      <c r="AO14136" s="54">
        <v>11</v>
      </c>
      <c r="AP14136" s="54">
        <v>22</v>
      </c>
      <c r="AQ14136" s="54">
        <v>0</v>
      </c>
      <c r="AR14136" s="55">
        <v>28500</v>
      </c>
      <c r="AS14136" s="78">
        <f t="shared" si="224"/>
        <v>0</v>
      </c>
    </row>
    <row r="14137" spans="39:45">
      <c r="AM14137" s="55">
        <v>2020</v>
      </c>
      <c r="AN14137" s="55" t="s">
        <v>189</v>
      </c>
      <c r="AO14137" s="55">
        <v>11</v>
      </c>
      <c r="AP14137" s="55">
        <v>23</v>
      </c>
      <c r="AQ14137" s="55">
        <v>0</v>
      </c>
      <c r="AR14137" s="55">
        <v>28500</v>
      </c>
      <c r="AS14137" s="78">
        <f t="shared" si="224"/>
        <v>0</v>
      </c>
    </row>
    <row r="14138" spans="39:45">
      <c r="AM14138" s="54">
        <v>2020</v>
      </c>
      <c r="AN14138" s="54" t="s">
        <v>189</v>
      </c>
      <c r="AO14138" s="54">
        <v>12</v>
      </c>
      <c r="AP14138" s="54">
        <v>24</v>
      </c>
      <c r="AQ14138" s="54">
        <v>0</v>
      </c>
      <c r="AR14138" s="55">
        <v>28500</v>
      </c>
      <c r="AS14138" s="78">
        <f t="shared" si="224"/>
        <v>0</v>
      </c>
    </row>
    <row r="14139" spans="39:45">
      <c r="AM14139" s="55">
        <v>2020</v>
      </c>
      <c r="AN14139" s="55" t="s">
        <v>189</v>
      </c>
      <c r="AO14139" s="55">
        <v>12</v>
      </c>
      <c r="AP14139" s="55">
        <v>1</v>
      </c>
      <c r="AQ14139" s="55">
        <v>0</v>
      </c>
      <c r="AR14139" s="55">
        <v>28500</v>
      </c>
      <c r="AS14139" s="78">
        <f t="shared" si="224"/>
        <v>0</v>
      </c>
    </row>
    <row r="14140" spans="39:45">
      <c r="AM14140" s="54">
        <v>2020</v>
      </c>
      <c r="AN14140" s="54" t="s">
        <v>189</v>
      </c>
      <c r="AO14140" s="54">
        <v>12</v>
      </c>
      <c r="AP14140" s="54">
        <v>2</v>
      </c>
      <c r="AQ14140" s="54">
        <v>0</v>
      </c>
      <c r="AR14140" s="55">
        <v>28500</v>
      </c>
      <c r="AS14140" s="78">
        <f t="shared" si="224"/>
        <v>0</v>
      </c>
    </row>
    <row r="14141" spans="39:45">
      <c r="AM14141" s="55">
        <v>2020</v>
      </c>
      <c r="AN14141" s="55" t="s">
        <v>189</v>
      </c>
      <c r="AO14141" s="55">
        <v>12</v>
      </c>
      <c r="AP14141" s="55">
        <v>3</v>
      </c>
      <c r="AQ14141" s="55">
        <v>0</v>
      </c>
      <c r="AR14141" s="55">
        <v>28500</v>
      </c>
      <c r="AS14141" s="78">
        <f t="shared" si="224"/>
        <v>0</v>
      </c>
    </row>
    <row r="14142" spans="39:45">
      <c r="AM14142" s="54">
        <v>2020</v>
      </c>
      <c r="AN14142" s="54" t="s">
        <v>189</v>
      </c>
      <c r="AO14142" s="54">
        <v>12</v>
      </c>
      <c r="AP14142" s="54">
        <v>4</v>
      </c>
      <c r="AQ14142" s="54">
        <v>0</v>
      </c>
      <c r="AR14142" s="55">
        <v>28500</v>
      </c>
      <c r="AS14142" s="78">
        <f t="shared" si="224"/>
        <v>0</v>
      </c>
    </row>
    <row r="14143" spans="39:45">
      <c r="AM14143" s="55">
        <v>2020</v>
      </c>
      <c r="AN14143" s="55" t="s">
        <v>189</v>
      </c>
      <c r="AO14143" s="55">
        <v>12</v>
      </c>
      <c r="AP14143" s="55">
        <v>5</v>
      </c>
      <c r="AQ14143" s="55">
        <v>223.5</v>
      </c>
      <c r="AR14143" s="55">
        <v>28500</v>
      </c>
      <c r="AS14143" s="78">
        <f t="shared" si="224"/>
        <v>7.842105263157895E-3</v>
      </c>
    </row>
    <row r="14144" spans="39:45">
      <c r="AM14144" s="54">
        <v>2020</v>
      </c>
      <c r="AN14144" s="54" t="s">
        <v>189</v>
      </c>
      <c r="AO14144" s="54">
        <v>12</v>
      </c>
      <c r="AP14144" s="54">
        <v>6</v>
      </c>
      <c r="AQ14144" s="54">
        <v>2192</v>
      </c>
      <c r="AR14144" s="55">
        <v>28500</v>
      </c>
      <c r="AS14144" s="78">
        <f t="shared" si="224"/>
        <v>7.691228070175439E-2</v>
      </c>
    </row>
    <row r="14145" spans="39:45">
      <c r="AM14145" s="55">
        <v>2020</v>
      </c>
      <c r="AN14145" s="55" t="s">
        <v>189</v>
      </c>
      <c r="AO14145" s="55">
        <v>12</v>
      </c>
      <c r="AP14145" s="55">
        <v>7</v>
      </c>
      <c r="AQ14145" s="55">
        <v>7609</v>
      </c>
      <c r="AR14145" s="55">
        <v>28500</v>
      </c>
      <c r="AS14145" s="78">
        <f t="shared" si="224"/>
        <v>0.26698245614035088</v>
      </c>
    </row>
    <row r="14146" spans="39:45">
      <c r="AM14146" s="54">
        <v>2020</v>
      </c>
      <c r="AN14146" s="54" t="s">
        <v>189</v>
      </c>
      <c r="AO14146" s="54">
        <v>12</v>
      </c>
      <c r="AP14146" s="54">
        <v>8</v>
      </c>
      <c r="AQ14146" s="54">
        <v>18094.5</v>
      </c>
      <c r="AR14146" s="55">
        <v>28500</v>
      </c>
      <c r="AS14146" s="78">
        <f t="shared" ref="AS14146:AS14209" si="225">AQ14146/AR14146</f>
        <v>0.63489473684210529</v>
      </c>
    </row>
    <row r="14147" spans="39:45">
      <c r="AM14147" s="55">
        <v>2020</v>
      </c>
      <c r="AN14147" s="55" t="s">
        <v>189</v>
      </c>
      <c r="AO14147" s="55">
        <v>12</v>
      </c>
      <c r="AP14147" s="55">
        <v>9</v>
      </c>
      <c r="AQ14147" s="55">
        <v>25985</v>
      </c>
      <c r="AR14147" s="55">
        <v>28500</v>
      </c>
      <c r="AS14147" s="78">
        <f t="shared" si="225"/>
        <v>0.91175438596491232</v>
      </c>
    </row>
    <row r="14148" spans="39:45">
      <c r="AM14148" s="54">
        <v>2020</v>
      </c>
      <c r="AN14148" s="54" t="s">
        <v>189</v>
      </c>
      <c r="AO14148" s="54">
        <v>12</v>
      </c>
      <c r="AP14148" s="54">
        <v>10</v>
      </c>
      <c r="AQ14148" s="54">
        <v>31449</v>
      </c>
      <c r="AR14148" s="55">
        <v>28500</v>
      </c>
      <c r="AS14148" s="78">
        <f t="shared" si="225"/>
        <v>1.1034736842105264</v>
      </c>
    </row>
    <row r="14149" spans="39:45">
      <c r="AM14149" s="55">
        <v>2020</v>
      </c>
      <c r="AN14149" s="55" t="s">
        <v>189</v>
      </c>
      <c r="AO14149" s="55">
        <v>12</v>
      </c>
      <c r="AP14149" s="55">
        <v>11</v>
      </c>
      <c r="AQ14149" s="55">
        <v>34255.5</v>
      </c>
      <c r="AR14149" s="55">
        <v>28500</v>
      </c>
      <c r="AS14149" s="78">
        <f t="shared" si="225"/>
        <v>1.2019473684210527</v>
      </c>
    </row>
    <row r="14150" spans="39:45">
      <c r="AM14150" s="54">
        <v>2020</v>
      </c>
      <c r="AN14150" s="54" t="s">
        <v>189</v>
      </c>
      <c r="AO14150" s="54">
        <v>12</v>
      </c>
      <c r="AP14150" s="54">
        <v>12</v>
      </c>
      <c r="AQ14150" s="54">
        <v>35643.5</v>
      </c>
      <c r="AR14150" s="55">
        <v>28500</v>
      </c>
      <c r="AS14150" s="78">
        <f t="shared" si="225"/>
        <v>1.2506491228070176</v>
      </c>
    </row>
    <row r="14151" spans="39:45">
      <c r="AM14151" s="55">
        <v>2020</v>
      </c>
      <c r="AN14151" s="55" t="s">
        <v>189</v>
      </c>
      <c r="AO14151" s="55">
        <v>12</v>
      </c>
      <c r="AP14151" s="55">
        <v>13</v>
      </c>
      <c r="AQ14151" s="55">
        <v>32983</v>
      </c>
      <c r="AR14151" s="55">
        <v>28500</v>
      </c>
      <c r="AS14151" s="78">
        <f t="shared" si="225"/>
        <v>1.157298245614035</v>
      </c>
    </row>
    <row r="14152" spans="39:45">
      <c r="AM14152" s="54">
        <v>2020</v>
      </c>
      <c r="AN14152" s="54" t="s">
        <v>189</v>
      </c>
      <c r="AO14152" s="54">
        <v>12</v>
      </c>
      <c r="AP14152" s="54">
        <v>14</v>
      </c>
      <c r="AQ14152" s="54">
        <v>23318</v>
      </c>
      <c r="AR14152" s="55">
        <v>28500</v>
      </c>
      <c r="AS14152" s="78">
        <f t="shared" si="225"/>
        <v>0.81817543859649122</v>
      </c>
    </row>
    <row r="14153" spans="39:45">
      <c r="AM14153" s="55">
        <v>2020</v>
      </c>
      <c r="AN14153" s="55" t="s">
        <v>189</v>
      </c>
      <c r="AO14153" s="55">
        <v>12</v>
      </c>
      <c r="AP14153" s="55">
        <v>15</v>
      </c>
      <c r="AQ14153" s="55">
        <v>13980</v>
      </c>
      <c r="AR14153" s="55">
        <v>28500</v>
      </c>
      <c r="AS14153" s="78">
        <f t="shared" si="225"/>
        <v>0.4905263157894737</v>
      </c>
    </row>
    <row r="14154" spans="39:45">
      <c r="AM14154" s="54">
        <v>2020</v>
      </c>
      <c r="AN14154" s="54" t="s">
        <v>189</v>
      </c>
      <c r="AO14154" s="54">
        <v>12</v>
      </c>
      <c r="AP14154" s="54">
        <v>16</v>
      </c>
      <c r="AQ14154" s="54">
        <v>16851.5</v>
      </c>
      <c r="AR14154" s="55">
        <v>28500</v>
      </c>
      <c r="AS14154" s="78">
        <f t="shared" si="225"/>
        <v>0.59128070175438596</v>
      </c>
    </row>
    <row r="14155" spans="39:45">
      <c r="AM14155" s="55">
        <v>2020</v>
      </c>
      <c r="AN14155" s="55" t="s">
        <v>189</v>
      </c>
      <c r="AO14155" s="55">
        <v>12</v>
      </c>
      <c r="AP14155" s="55">
        <v>17</v>
      </c>
      <c r="AQ14155" s="55">
        <v>7711.5</v>
      </c>
      <c r="AR14155" s="55">
        <v>28500</v>
      </c>
      <c r="AS14155" s="78">
        <f t="shared" si="225"/>
        <v>0.27057894736842103</v>
      </c>
    </row>
    <row r="14156" spans="39:45">
      <c r="AM14156" s="54">
        <v>2020</v>
      </c>
      <c r="AN14156" s="54" t="s">
        <v>189</v>
      </c>
      <c r="AO14156" s="54">
        <v>12</v>
      </c>
      <c r="AP14156" s="54">
        <v>18</v>
      </c>
      <c r="AQ14156" s="54">
        <v>1147</v>
      </c>
      <c r="AR14156" s="55">
        <v>28500</v>
      </c>
      <c r="AS14156" s="78">
        <f t="shared" si="225"/>
        <v>4.0245614035087716E-2</v>
      </c>
    </row>
    <row r="14157" spans="39:45">
      <c r="AM14157" s="55">
        <v>2020</v>
      </c>
      <c r="AN14157" s="55" t="s">
        <v>189</v>
      </c>
      <c r="AO14157" s="55">
        <v>12</v>
      </c>
      <c r="AP14157" s="55">
        <v>19</v>
      </c>
      <c r="AQ14157" s="55">
        <v>0</v>
      </c>
      <c r="AR14157" s="55">
        <v>28500</v>
      </c>
      <c r="AS14157" s="78">
        <f t="shared" si="225"/>
        <v>0</v>
      </c>
    </row>
    <row r="14158" spans="39:45">
      <c r="AM14158" s="54">
        <v>2020</v>
      </c>
      <c r="AN14158" s="54" t="s">
        <v>189</v>
      </c>
      <c r="AO14158" s="54">
        <v>12</v>
      </c>
      <c r="AP14158" s="54">
        <v>20</v>
      </c>
      <c r="AQ14158" s="54">
        <v>0</v>
      </c>
      <c r="AR14158" s="55">
        <v>28500</v>
      </c>
      <c r="AS14158" s="78">
        <f t="shared" si="225"/>
        <v>0</v>
      </c>
    </row>
    <row r="14159" spans="39:45">
      <c r="AM14159" s="55">
        <v>2020</v>
      </c>
      <c r="AN14159" s="55" t="s">
        <v>189</v>
      </c>
      <c r="AO14159" s="55">
        <v>12</v>
      </c>
      <c r="AP14159" s="55">
        <v>21</v>
      </c>
      <c r="AQ14159" s="55">
        <v>0</v>
      </c>
      <c r="AR14159" s="55">
        <v>28500</v>
      </c>
      <c r="AS14159" s="78">
        <f t="shared" si="225"/>
        <v>0</v>
      </c>
    </row>
    <row r="14160" spans="39:45">
      <c r="AM14160" s="54">
        <v>2020</v>
      </c>
      <c r="AN14160" s="54" t="s">
        <v>189</v>
      </c>
      <c r="AO14160" s="54">
        <v>12</v>
      </c>
      <c r="AP14160" s="54">
        <v>22</v>
      </c>
      <c r="AQ14160" s="54">
        <v>0</v>
      </c>
      <c r="AR14160" s="55">
        <v>28500</v>
      </c>
      <c r="AS14160" s="78">
        <f t="shared" si="225"/>
        <v>0</v>
      </c>
    </row>
    <row r="14161" spans="39:45">
      <c r="AM14161" s="55">
        <v>2020</v>
      </c>
      <c r="AN14161" s="55" t="s">
        <v>189</v>
      </c>
      <c r="AO14161" s="55">
        <v>12</v>
      </c>
      <c r="AP14161" s="55">
        <v>23</v>
      </c>
      <c r="AQ14161" s="55">
        <v>0</v>
      </c>
      <c r="AR14161" s="55">
        <v>28500</v>
      </c>
      <c r="AS14161" s="78">
        <f t="shared" si="225"/>
        <v>0</v>
      </c>
    </row>
    <row r="14162" spans="39:45">
      <c r="AM14162" s="54">
        <v>2020</v>
      </c>
      <c r="AN14162" s="54" t="s">
        <v>189</v>
      </c>
      <c r="AO14162" s="54">
        <v>13</v>
      </c>
      <c r="AP14162" s="54">
        <v>24</v>
      </c>
      <c r="AQ14162" s="54">
        <v>0</v>
      </c>
      <c r="AR14162" s="55">
        <v>28500</v>
      </c>
      <c r="AS14162" s="78">
        <f t="shared" si="225"/>
        <v>0</v>
      </c>
    </row>
    <row r="14163" spans="39:45">
      <c r="AM14163" s="55">
        <v>2020</v>
      </c>
      <c r="AN14163" s="55" t="s">
        <v>189</v>
      </c>
      <c r="AO14163" s="55">
        <v>13</v>
      </c>
      <c r="AP14163" s="55">
        <v>1</v>
      </c>
      <c r="AQ14163" s="55">
        <v>0</v>
      </c>
      <c r="AR14163" s="55">
        <v>28500</v>
      </c>
      <c r="AS14163" s="78">
        <f t="shared" si="225"/>
        <v>0</v>
      </c>
    </row>
    <row r="14164" spans="39:45">
      <c r="AM14164" s="54">
        <v>2020</v>
      </c>
      <c r="AN14164" s="54" t="s">
        <v>189</v>
      </c>
      <c r="AO14164" s="54">
        <v>13</v>
      </c>
      <c r="AP14164" s="54">
        <v>2</v>
      </c>
      <c r="AQ14164" s="54">
        <v>0</v>
      </c>
      <c r="AR14164" s="55">
        <v>28500</v>
      </c>
      <c r="AS14164" s="78">
        <f t="shared" si="225"/>
        <v>0</v>
      </c>
    </row>
    <row r="14165" spans="39:45">
      <c r="AM14165" s="55">
        <v>2020</v>
      </c>
      <c r="AN14165" s="55" t="s">
        <v>189</v>
      </c>
      <c r="AO14165" s="55">
        <v>13</v>
      </c>
      <c r="AP14165" s="55">
        <v>3</v>
      </c>
      <c r="AQ14165" s="55">
        <v>0</v>
      </c>
      <c r="AR14165" s="55">
        <v>28500</v>
      </c>
      <c r="AS14165" s="78">
        <f t="shared" si="225"/>
        <v>0</v>
      </c>
    </row>
    <row r="14166" spans="39:45">
      <c r="AM14166" s="54">
        <v>2020</v>
      </c>
      <c r="AN14166" s="54" t="s">
        <v>189</v>
      </c>
      <c r="AO14166" s="54">
        <v>13</v>
      </c>
      <c r="AP14166" s="54">
        <v>4</v>
      </c>
      <c r="AQ14166" s="54">
        <v>0</v>
      </c>
      <c r="AR14166" s="55">
        <v>28500</v>
      </c>
      <c r="AS14166" s="78">
        <f t="shared" si="225"/>
        <v>0</v>
      </c>
    </row>
    <row r="14167" spans="39:45">
      <c r="AM14167" s="55">
        <v>2020</v>
      </c>
      <c r="AN14167" s="55" t="s">
        <v>189</v>
      </c>
      <c r="AO14167" s="55">
        <v>13</v>
      </c>
      <c r="AP14167" s="55">
        <v>5</v>
      </c>
      <c r="AQ14167" s="55">
        <v>0</v>
      </c>
      <c r="AR14167" s="55">
        <v>28500</v>
      </c>
      <c r="AS14167" s="78">
        <f t="shared" si="225"/>
        <v>0</v>
      </c>
    </row>
    <row r="14168" spans="39:45">
      <c r="AM14168" s="54">
        <v>2020</v>
      </c>
      <c r="AN14168" s="54" t="s">
        <v>189</v>
      </c>
      <c r="AO14168" s="54">
        <v>13</v>
      </c>
      <c r="AP14168" s="54">
        <v>6</v>
      </c>
      <c r="AQ14168" s="54">
        <v>2212.5</v>
      </c>
      <c r="AR14168" s="55">
        <v>28500</v>
      </c>
      <c r="AS14168" s="78">
        <f t="shared" si="225"/>
        <v>7.7631578947368426E-2</v>
      </c>
    </row>
    <row r="14169" spans="39:45">
      <c r="AM14169" s="55">
        <v>2020</v>
      </c>
      <c r="AN14169" s="55" t="s">
        <v>189</v>
      </c>
      <c r="AO14169" s="55">
        <v>13</v>
      </c>
      <c r="AP14169" s="55">
        <v>7</v>
      </c>
      <c r="AQ14169" s="55">
        <v>9119</v>
      </c>
      <c r="AR14169" s="55">
        <v>28500</v>
      </c>
      <c r="AS14169" s="78">
        <f t="shared" si="225"/>
        <v>0.31996491228070173</v>
      </c>
    </row>
    <row r="14170" spans="39:45">
      <c r="AM14170" s="54">
        <v>2020</v>
      </c>
      <c r="AN14170" s="54" t="s">
        <v>189</v>
      </c>
      <c r="AO14170" s="54">
        <v>13</v>
      </c>
      <c r="AP14170" s="54">
        <v>8</v>
      </c>
      <c r="AQ14170" s="54">
        <v>18320.5</v>
      </c>
      <c r="AR14170" s="55">
        <v>28500</v>
      </c>
      <c r="AS14170" s="78">
        <f t="shared" si="225"/>
        <v>0.64282456140350874</v>
      </c>
    </row>
    <row r="14171" spans="39:45">
      <c r="AM14171" s="55">
        <v>2020</v>
      </c>
      <c r="AN14171" s="55" t="s">
        <v>189</v>
      </c>
      <c r="AO14171" s="55">
        <v>13</v>
      </c>
      <c r="AP14171" s="55">
        <v>9</v>
      </c>
      <c r="AQ14171" s="55">
        <v>26028</v>
      </c>
      <c r="AR14171" s="55">
        <v>28500</v>
      </c>
      <c r="AS14171" s="78">
        <f t="shared" si="225"/>
        <v>0.91326315789473689</v>
      </c>
    </row>
    <row r="14172" spans="39:45">
      <c r="AM14172" s="54">
        <v>2020</v>
      </c>
      <c r="AN14172" s="54" t="s">
        <v>189</v>
      </c>
      <c r="AO14172" s="54">
        <v>13</v>
      </c>
      <c r="AP14172" s="54">
        <v>10</v>
      </c>
      <c r="AQ14172" s="54">
        <v>32195.5</v>
      </c>
      <c r="AR14172" s="55">
        <v>28500</v>
      </c>
      <c r="AS14172" s="78">
        <f t="shared" si="225"/>
        <v>1.1296666666666666</v>
      </c>
    </row>
    <row r="14173" spans="39:45">
      <c r="AM14173" s="55">
        <v>2020</v>
      </c>
      <c r="AN14173" s="55" t="s">
        <v>189</v>
      </c>
      <c r="AO14173" s="55">
        <v>13</v>
      </c>
      <c r="AP14173" s="55">
        <v>11</v>
      </c>
      <c r="AQ14173" s="55">
        <v>33314</v>
      </c>
      <c r="AR14173" s="55">
        <v>28500</v>
      </c>
      <c r="AS14173" s="78">
        <f t="shared" si="225"/>
        <v>1.1689122807017545</v>
      </c>
    </row>
    <row r="14174" spans="39:45">
      <c r="AM14174" s="54">
        <v>2020</v>
      </c>
      <c r="AN14174" s="54" t="s">
        <v>189</v>
      </c>
      <c r="AO14174" s="54">
        <v>13</v>
      </c>
      <c r="AP14174" s="54">
        <v>12</v>
      </c>
      <c r="AQ14174" s="54">
        <v>16110</v>
      </c>
      <c r="AR14174" s="55">
        <v>28500</v>
      </c>
      <c r="AS14174" s="78">
        <f t="shared" si="225"/>
        <v>0.5652631578947368</v>
      </c>
    </row>
    <row r="14175" spans="39:45">
      <c r="AM14175" s="55">
        <v>2020</v>
      </c>
      <c r="AN14175" s="55" t="s">
        <v>189</v>
      </c>
      <c r="AO14175" s="55">
        <v>13</v>
      </c>
      <c r="AP14175" s="55">
        <v>13</v>
      </c>
      <c r="AQ14175" s="55">
        <v>7756</v>
      </c>
      <c r="AR14175" s="55">
        <v>28500</v>
      </c>
      <c r="AS14175" s="78">
        <f t="shared" si="225"/>
        <v>0.27214035087719296</v>
      </c>
    </row>
    <row r="14176" spans="39:45">
      <c r="AM14176" s="54">
        <v>2020</v>
      </c>
      <c r="AN14176" s="54" t="s">
        <v>189</v>
      </c>
      <c r="AO14176" s="54">
        <v>13</v>
      </c>
      <c r="AP14176" s="54">
        <v>14</v>
      </c>
      <c r="AQ14176" s="54">
        <v>1599</v>
      </c>
      <c r="AR14176" s="55">
        <v>28500</v>
      </c>
      <c r="AS14176" s="78">
        <f t="shared" si="225"/>
        <v>5.6105263157894734E-2</v>
      </c>
    </row>
    <row r="14177" spans="39:45">
      <c r="AM14177" s="55">
        <v>2020</v>
      </c>
      <c r="AN14177" s="55" t="s">
        <v>189</v>
      </c>
      <c r="AO14177" s="55">
        <v>13</v>
      </c>
      <c r="AP14177" s="55">
        <v>15</v>
      </c>
      <c r="AQ14177" s="55">
        <v>3030</v>
      </c>
      <c r="AR14177" s="55">
        <v>28500</v>
      </c>
      <c r="AS14177" s="78">
        <f t="shared" si="225"/>
        <v>0.10631578947368421</v>
      </c>
    </row>
    <row r="14178" spans="39:45">
      <c r="AM14178" s="54">
        <v>2020</v>
      </c>
      <c r="AN14178" s="54" t="s">
        <v>189</v>
      </c>
      <c r="AO14178" s="54">
        <v>13</v>
      </c>
      <c r="AP14178" s="54">
        <v>16</v>
      </c>
      <c r="AQ14178" s="54">
        <v>9643.5</v>
      </c>
      <c r="AR14178" s="55">
        <v>28500</v>
      </c>
      <c r="AS14178" s="78">
        <f t="shared" si="225"/>
        <v>0.3383684210526316</v>
      </c>
    </row>
    <row r="14179" spans="39:45">
      <c r="AM14179" s="55">
        <v>2020</v>
      </c>
      <c r="AN14179" s="55" t="s">
        <v>189</v>
      </c>
      <c r="AO14179" s="55">
        <v>13</v>
      </c>
      <c r="AP14179" s="55">
        <v>17</v>
      </c>
      <c r="AQ14179" s="55">
        <v>3627.5</v>
      </c>
      <c r="AR14179" s="55">
        <v>28500</v>
      </c>
      <c r="AS14179" s="78">
        <f t="shared" si="225"/>
        <v>0.12728070175438597</v>
      </c>
    </row>
    <row r="14180" spans="39:45">
      <c r="AM14180" s="54">
        <v>2020</v>
      </c>
      <c r="AN14180" s="54" t="s">
        <v>189</v>
      </c>
      <c r="AO14180" s="54">
        <v>13</v>
      </c>
      <c r="AP14180" s="54">
        <v>18</v>
      </c>
      <c r="AQ14180" s="54">
        <v>1726.5</v>
      </c>
      <c r="AR14180" s="55">
        <v>28500</v>
      </c>
      <c r="AS14180" s="78">
        <f t="shared" si="225"/>
        <v>6.0578947368421052E-2</v>
      </c>
    </row>
    <row r="14181" spans="39:45">
      <c r="AM14181" s="55">
        <v>2020</v>
      </c>
      <c r="AN14181" s="55" t="s">
        <v>189</v>
      </c>
      <c r="AO14181" s="55">
        <v>13</v>
      </c>
      <c r="AP14181" s="55">
        <v>19</v>
      </c>
      <c r="AQ14181" s="55">
        <v>0</v>
      </c>
      <c r="AR14181" s="55">
        <v>28500</v>
      </c>
      <c r="AS14181" s="78">
        <f t="shared" si="225"/>
        <v>0</v>
      </c>
    </row>
    <row r="14182" spans="39:45">
      <c r="AM14182" s="54">
        <v>2020</v>
      </c>
      <c r="AN14182" s="54" t="s">
        <v>189</v>
      </c>
      <c r="AO14182" s="54">
        <v>13</v>
      </c>
      <c r="AP14182" s="54">
        <v>20</v>
      </c>
      <c r="AQ14182" s="54">
        <v>0</v>
      </c>
      <c r="AR14182" s="55">
        <v>28500</v>
      </c>
      <c r="AS14182" s="78">
        <f t="shared" si="225"/>
        <v>0</v>
      </c>
    </row>
    <row r="14183" spans="39:45">
      <c r="AM14183" s="55">
        <v>2020</v>
      </c>
      <c r="AN14183" s="55" t="s">
        <v>189</v>
      </c>
      <c r="AO14183" s="55">
        <v>13</v>
      </c>
      <c r="AP14183" s="55">
        <v>21</v>
      </c>
      <c r="AQ14183" s="55">
        <v>0</v>
      </c>
      <c r="AR14183" s="55">
        <v>28500</v>
      </c>
      <c r="AS14183" s="78">
        <f t="shared" si="225"/>
        <v>0</v>
      </c>
    </row>
    <row r="14184" spans="39:45">
      <c r="AM14184" s="54">
        <v>2020</v>
      </c>
      <c r="AN14184" s="54" t="s">
        <v>189</v>
      </c>
      <c r="AO14184" s="54">
        <v>13</v>
      </c>
      <c r="AP14184" s="54">
        <v>22</v>
      </c>
      <c r="AQ14184" s="54">
        <v>0</v>
      </c>
      <c r="AR14184" s="55">
        <v>28500</v>
      </c>
      <c r="AS14184" s="78">
        <f t="shared" si="225"/>
        <v>0</v>
      </c>
    </row>
    <row r="14185" spans="39:45">
      <c r="AM14185" s="55">
        <v>2020</v>
      </c>
      <c r="AN14185" s="55" t="s">
        <v>189</v>
      </c>
      <c r="AO14185" s="55">
        <v>13</v>
      </c>
      <c r="AP14185" s="55">
        <v>23</v>
      </c>
      <c r="AQ14185" s="55">
        <v>0</v>
      </c>
      <c r="AR14185" s="55">
        <v>28500</v>
      </c>
      <c r="AS14185" s="78">
        <f t="shared" si="225"/>
        <v>0</v>
      </c>
    </row>
    <row r="14186" spans="39:45">
      <c r="AM14186" s="54">
        <v>2020</v>
      </c>
      <c r="AN14186" s="54" t="s">
        <v>189</v>
      </c>
      <c r="AO14186" s="54">
        <v>14</v>
      </c>
      <c r="AP14186" s="54">
        <v>24</v>
      </c>
      <c r="AQ14186" s="54">
        <v>0</v>
      </c>
      <c r="AR14186" s="55">
        <v>28500</v>
      </c>
      <c r="AS14186" s="78">
        <f t="shared" si="225"/>
        <v>0</v>
      </c>
    </row>
    <row r="14187" spans="39:45">
      <c r="AM14187" s="55">
        <v>2020</v>
      </c>
      <c r="AN14187" s="55" t="s">
        <v>189</v>
      </c>
      <c r="AO14187" s="55">
        <v>14</v>
      </c>
      <c r="AP14187" s="55">
        <v>1</v>
      </c>
      <c r="AQ14187" s="55">
        <v>0</v>
      </c>
      <c r="AR14187" s="55">
        <v>28500</v>
      </c>
      <c r="AS14187" s="78">
        <f t="shared" si="225"/>
        <v>0</v>
      </c>
    </row>
    <row r="14188" spans="39:45">
      <c r="AM14188" s="54">
        <v>2020</v>
      </c>
      <c r="AN14188" s="54" t="s">
        <v>189</v>
      </c>
      <c r="AO14188" s="54">
        <v>14</v>
      </c>
      <c r="AP14188" s="54">
        <v>2</v>
      </c>
      <c r="AQ14188" s="54">
        <v>0</v>
      </c>
      <c r="AR14188" s="55">
        <v>28500</v>
      </c>
      <c r="AS14188" s="78">
        <f t="shared" si="225"/>
        <v>0</v>
      </c>
    </row>
    <row r="14189" spans="39:45">
      <c r="AM14189" s="55">
        <v>2020</v>
      </c>
      <c r="AN14189" s="55" t="s">
        <v>189</v>
      </c>
      <c r="AO14189" s="55">
        <v>14</v>
      </c>
      <c r="AP14189" s="55">
        <v>3</v>
      </c>
      <c r="AQ14189" s="55">
        <v>0</v>
      </c>
      <c r="AR14189" s="55">
        <v>28500</v>
      </c>
      <c r="AS14189" s="78">
        <f t="shared" si="225"/>
        <v>0</v>
      </c>
    </row>
    <row r="14190" spans="39:45">
      <c r="AM14190" s="54">
        <v>2020</v>
      </c>
      <c r="AN14190" s="54" t="s">
        <v>189</v>
      </c>
      <c r="AO14190" s="54">
        <v>14</v>
      </c>
      <c r="AP14190" s="54">
        <v>4</v>
      </c>
      <c r="AQ14190" s="54">
        <v>0</v>
      </c>
      <c r="AR14190" s="55">
        <v>28500</v>
      </c>
      <c r="AS14190" s="78">
        <f t="shared" si="225"/>
        <v>0</v>
      </c>
    </row>
    <row r="14191" spans="39:45">
      <c r="AM14191" s="55">
        <v>2020</v>
      </c>
      <c r="AN14191" s="55" t="s">
        <v>189</v>
      </c>
      <c r="AO14191" s="55">
        <v>14</v>
      </c>
      <c r="AP14191" s="55">
        <v>5</v>
      </c>
      <c r="AQ14191" s="55">
        <v>0</v>
      </c>
      <c r="AR14191" s="55">
        <v>28500</v>
      </c>
      <c r="AS14191" s="78">
        <f t="shared" si="225"/>
        <v>0</v>
      </c>
    </row>
    <row r="14192" spans="39:45">
      <c r="AM14192" s="54">
        <v>2020</v>
      </c>
      <c r="AN14192" s="54" t="s">
        <v>189</v>
      </c>
      <c r="AO14192" s="54">
        <v>14</v>
      </c>
      <c r="AP14192" s="54">
        <v>6</v>
      </c>
      <c r="AQ14192" s="54">
        <v>428</v>
      </c>
      <c r="AR14192" s="55">
        <v>28500</v>
      </c>
      <c r="AS14192" s="78">
        <f t="shared" si="225"/>
        <v>1.5017543859649122E-2</v>
      </c>
    </row>
    <row r="14193" spans="39:45">
      <c r="AM14193" s="55">
        <v>2020</v>
      </c>
      <c r="AN14193" s="55" t="s">
        <v>189</v>
      </c>
      <c r="AO14193" s="55">
        <v>14</v>
      </c>
      <c r="AP14193" s="55">
        <v>7</v>
      </c>
      <c r="AQ14193" s="55">
        <v>2436.5</v>
      </c>
      <c r="AR14193" s="55">
        <v>28500</v>
      </c>
      <c r="AS14193" s="78">
        <f t="shared" si="225"/>
        <v>8.5491228070175437E-2</v>
      </c>
    </row>
    <row r="14194" spans="39:45">
      <c r="AM14194" s="54">
        <v>2020</v>
      </c>
      <c r="AN14194" s="54" t="s">
        <v>189</v>
      </c>
      <c r="AO14194" s="54">
        <v>14</v>
      </c>
      <c r="AP14194" s="54">
        <v>8</v>
      </c>
      <c r="AQ14194" s="54">
        <v>4250</v>
      </c>
      <c r="AR14194" s="55">
        <v>28500</v>
      </c>
      <c r="AS14194" s="78">
        <f t="shared" si="225"/>
        <v>0.14912280701754385</v>
      </c>
    </row>
    <row r="14195" spans="39:45">
      <c r="AM14195" s="55">
        <v>2020</v>
      </c>
      <c r="AN14195" s="55" t="s">
        <v>189</v>
      </c>
      <c r="AO14195" s="55">
        <v>14</v>
      </c>
      <c r="AP14195" s="55">
        <v>9</v>
      </c>
      <c r="AQ14195" s="55">
        <v>3899</v>
      </c>
      <c r="AR14195" s="55">
        <v>28500</v>
      </c>
      <c r="AS14195" s="78">
        <f t="shared" si="225"/>
        <v>0.13680701754385965</v>
      </c>
    </row>
    <row r="14196" spans="39:45">
      <c r="AM14196" s="54">
        <v>2020</v>
      </c>
      <c r="AN14196" s="54" t="s">
        <v>189</v>
      </c>
      <c r="AO14196" s="54">
        <v>14</v>
      </c>
      <c r="AP14196" s="54">
        <v>10</v>
      </c>
      <c r="AQ14196" s="54">
        <v>7115</v>
      </c>
      <c r="AR14196" s="55">
        <v>28500</v>
      </c>
      <c r="AS14196" s="78">
        <f t="shared" si="225"/>
        <v>0.24964912280701754</v>
      </c>
    </row>
    <row r="14197" spans="39:45">
      <c r="AM14197" s="55">
        <v>2020</v>
      </c>
      <c r="AN14197" s="55" t="s">
        <v>189</v>
      </c>
      <c r="AO14197" s="55">
        <v>14</v>
      </c>
      <c r="AP14197" s="55">
        <v>11</v>
      </c>
      <c r="AQ14197" s="55">
        <v>4697</v>
      </c>
      <c r="AR14197" s="55">
        <v>28500</v>
      </c>
      <c r="AS14197" s="78">
        <f t="shared" si="225"/>
        <v>0.16480701754385965</v>
      </c>
    </row>
    <row r="14198" spans="39:45">
      <c r="AM14198" s="54">
        <v>2020</v>
      </c>
      <c r="AN14198" s="54" t="s">
        <v>189</v>
      </c>
      <c r="AO14198" s="54">
        <v>14</v>
      </c>
      <c r="AP14198" s="54">
        <v>12</v>
      </c>
      <c r="AQ14198" s="54">
        <v>10517</v>
      </c>
      <c r="AR14198" s="55">
        <v>28500</v>
      </c>
      <c r="AS14198" s="78">
        <f t="shared" si="225"/>
        <v>0.36901754385964913</v>
      </c>
    </row>
    <row r="14199" spans="39:45">
      <c r="AM14199" s="55">
        <v>2020</v>
      </c>
      <c r="AN14199" s="55" t="s">
        <v>189</v>
      </c>
      <c r="AO14199" s="55">
        <v>14</v>
      </c>
      <c r="AP14199" s="55">
        <v>13</v>
      </c>
      <c r="AQ14199" s="55">
        <v>4927</v>
      </c>
      <c r="AR14199" s="55">
        <v>28500</v>
      </c>
      <c r="AS14199" s="78">
        <f t="shared" si="225"/>
        <v>0.17287719298245613</v>
      </c>
    </row>
    <row r="14200" spans="39:45">
      <c r="AM14200" s="54">
        <v>2020</v>
      </c>
      <c r="AN14200" s="54" t="s">
        <v>189</v>
      </c>
      <c r="AO14200" s="54">
        <v>14</v>
      </c>
      <c r="AP14200" s="54">
        <v>14</v>
      </c>
      <c r="AQ14200" s="54">
        <v>4061</v>
      </c>
      <c r="AR14200" s="55">
        <v>28500</v>
      </c>
      <c r="AS14200" s="78">
        <f t="shared" si="225"/>
        <v>0.14249122807017545</v>
      </c>
    </row>
    <row r="14201" spans="39:45">
      <c r="AM14201" s="55">
        <v>2020</v>
      </c>
      <c r="AN14201" s="55" t="s">
        <v>189</v>
      </c>
      <c r="AO14201" s="55">
        <v>14</v>
      </c>
      <c r="AP14201" s="55">
        <v>15</v>
      </c>
      <c r="AQ14201" s="55">
        <v>3534</v>
      </c>
      <c r="AR14201" s="55">
        <v>28500</v>
      </c>
      <c r="AS14201" s="78">
        <f t="shared" si="225"/>
        <v>0.124</v>
      </c>
    </row>
    <row r="14202" spans="39:45">
      <c r="AM14202" s="54">
        <v>2020</v>
      </c>
      <c r="AN14202" s="54" t="s">
        <v>189</v>
      </c>
      <c r="AO14202" s="54">
        <v>14</v>
      </c>
      <c r="AP14202" s="54">
        <v>16</v>
      </c>
      <c r="AQ14202" s="54">
        <v>12024.5</v>
      </c>
      <c r="AR14202" s="55">
        <v>28500</v>
      </c>
      <c r="AS14202" s="78">
        <f t="shared" si="225"/>
        <v>0.42191228070175441</v>
      </c>
    </row>
    <row r="14203" spans="39:45">
      <c r="AM14203" s="55">
        <v>2020</v>
      </c>
      <c r="AN14203" s="55" t="s">
        <v>189</v>
      </c>
      <c r="AO14203" s="55">
        <v>14</v>
      </c>
      <c r="AP14203" s="55">
        <v>17</v>
      </c>
      <c r="AQ14203" s="55">
        <v>5795</v>
      </c>
      <c r="AR14203" s="55">
        <v>28500</v>
      </c>
      <c r="AS14203" s="78">
        <f t="shared" si="225"/>
        <v>0.20333333333333334</v>
      </c>
    </row>
    <row r="14204" spans="39:45">
      <c r="AM14204" s="54">
        <v>2020</v>
      </c>
      <c r="AN14204" s="54" t="s">
        <v>189</v>
      </c>
      <c r="AO14204" s="54">
        <v>14</v>
      </c>
      <c r="AP14204" s="54">
        <v>18</v>
      </c>
      <c r="AQ14204" s="54">
        <v>1734</v>
      </c>
      <c r="AR14204" s="55">
        <v>28500</v>
      </c>
      <c r="AS14204" s="78">
        <f t="shared" si="225"/>
        <v>6.0842105263157892E-2</v>
      </c>
    </row>
    <row r="14205" spans="39:45">
      <c r="AM14205" s="55">
        <v>2020</v>
      </c>
      <c r="AN14205" s="55" t="s">
        <v>189</v>
      </c>
      <c r="AO14205" s="55">
        <v>14</v>
      </c>
      <c r="AP14205" s="55">
        <v>19</v>
      </c>
      <c r="AQ14205" s="55">
        <v>0</v>
      </c>
      <c r="AR14205" s="55">
        <v>28500</v>
      </c>
      <c r="AS14205" s="78">
        <f t="shared" si="225"/>
        <v>0</v>
      </c>
    </row>
    <row r="14206" spans="39:45">
      <c r="AM14206" s="54">
        <v>2020</v>
      </c>
      <c r="AN14206" s="54" t="s">
        <v>189</v>
      </c>
      <c r="AO14206" s="54">
        <v>14</v>
      </c>
      <c r="AP14206" s="54">
        <v>20</v>
      </c>
      <c r="AQ14206" s="54">
        <v>0</v>
      </c>
      <c r="AR14206" s="55">
        <v>28500</v>
      </c>
      <c r="AS14206" s="78">
        <f t="shared" si="225"/>
        <v>0</v>
      </c>
    </row>
    <row r="14207" spans="39:45">
      <c r="AM14207" s="55">
        <v>2020</v>
      </c>
      <c r="AN14207" s="55" t="s">
        <v>189</v>
      </c>
      <c r="AO14207" s="55">
        <v>14</v>
      </c>
      <c r="AP14207" s="55">
        <v>21</v>
      </c>
      <c r="AQ14207" s="55">
        <v>0</v>
      </c>
      <c r="AR14207" s="55">
        <v>28500</v>
      </c>
      <c r="AS14207" s="78">
        <f t="shared" si="225"/>
        <v>0</v>
      </c>
    </row>
    <row r="14208" spans="39:45">
      <c r="AM14208" s="54">
        <v>2020</v>
      </c>
      <c r="AN14208" s="54" t="s">
        <v>189</v>
      </c>
      <c r="AO14208" s="54">
        <v>14</v>
      </c>
      <c r="AP14208" s="54">
        <v>22</v>
      </c>
      <c r="AQ14208" s="54">
        <v>0</v>
      </c>
      <c r="AR14208" s="55">
        <v>28500</v>
      </c>
      <c r="AS14208" s="78">
        <f t="shared" si="225"/>
        <v>0</v>
      </c>
    </row>
    <row r="14209" spans="39:45">
      <c r="AM14209" s="55">
        <v>2020</v>
      </c>
      <c r="AN14209" s="55" t="s">
        <v>189</v>
      </c>
      <c r="AO14209" s="55">
        <v>14</v>
      </c>
      <c r="AP14209" s="55">
        <v>23</v>
      </c>
      <c r="AQ14209" s="55">
        <v>0</v>
      </c>
      <c r="AR14209" s="55">
        <v>28500</v>
      </c>
      <c r="AS14209" s="78">
        <f t="shared" si="225"/>
        <v>0</v>
      </c>
    </row>
    <row r="14210" spans="39:45">
      <c r="AM14210" s="54">
        <v>2020</v>
      </c>
      <c r="AN14210" s="54" t="s">
        <v>189</v>
      </c>
      <c r="AO14210" s="54">
        <v>15</v>
      </c>
      <c r="AP14210" s="54">
        <v>24</v>
      </c>
      <c r="AQ14210" s="54">
        <v>0</v>
      </c>
      <c r="AR14210" s="55">
        <v>28500</v>
      </c>
      <c r="AS14210" s="78">
        <f t="shared" ref="AS14210:AS14273" si="226">AQ14210/AR14210</f>
        <v>0</v>
      </c>
    </row>
    <row r="14211" spans="39:45">
      <c r="AM14211" s="55">
        <v>2020</v>
      </c>
      <c r="AN14211" s="55" t="s">
        <v>189</v>
      </c>
      <c r="AO14211" s="55">
        <v>15</v>
      </c>
      <c r="AP14211" s="55">
        <v>1</v>
      </c>
      <c r="AQ14211" s="55">
        <v>0</v>
      </c>
      <c r="AR14211" s="55">
        <v>28500</v>
      </c>
      <c r="AS14211" s="78">
        <f t="shared" si="226"/>
        <v>0</v>
      </c>
    </row>
    <row r="14212" spans="39:45">
      <c r="AM14212" s="54">
        <v>2020</v>
      </c>
      <c r="AN14212" s="54" t="s">
        <v>189</v>
      </c>
      <c r="AO14212" s="54">
        <v>15</v>
      </c>
      <c r="AP14212" s="54">
        <v>2</v>
      </c>
      <c r="AQ14212" s="54">
        <v>0</v>
      </c>
      <c r="AR14212" s="55">
        <v>28500</v>
      </c>
      <c r="AS14212" s="78">
        <f t="shared" si="226"/>
        <v>0</v>
      </c>
    </row>
    <row r="14213" spans="39:45">
      <c r="AM14213" s="55">
        <v>2020</v>
      </c>
      <c r="AN14213" s="55" t="s">
        <v>189</v>
      </c>
      <c r="AO14213" s="55">
        <v>15</v>
      </c>
      <c r="AP14213" s="55">
        <v>3</v>
      </c>
      <c r="AQ14213" s="55">
        <v>0</v>
      </c>
      <c r="AR14213" s="55">
        <v>28500</v>
      </c>
      <c r="AS14213" s="78">
        <f t="shared" si="226"/>
        <v>0</v>
      </c>
    </row>
    <row r="14214" spans="39:45">
      <c r="AM14214" s="54">
        <v>2020</v>
      </c>
      <c r="AN14214" s="54" t="s">
        <v>189</v>
      </c>
      <c r="AO14214" s="54">
        <v>15</v>
      </c>
      <c r="AP14214" s="54">
        <v>4</v>
      </c>
      <c r="AQ14214" s="54">
        <v>0</v>
      </c>
      <c r="AR14214" s="55">
        <v>28500</v>
      </c>
      <c r="AS14214" s="78">
        <f t="shared" si="226"/>
        <v>0</v>
      </c>
    </row>
    <row r="14215" spans="39:45">
      <c r="AM14215" s="55">
        <v>2020</v>
      </c>
      <c r="AN14215" s="55" t="s">
        <v>189</v>
      </c>
      <c r="AO14215" s="55">
        <v>15</v>
      </c>
      <c r="AP14215" s="55">
        <v>5</v>
      </c>
      <c r="AQ14215" s="55">
        <v>0</v>
      </c>
      <c r="AR14215" s="55">
        <v>28500</v>
      </c>
      <c r="AS14215" s="78">
        <f t="shared" si="226"/>
        <v>0</v>
      </c>
    </row>
    <row r="14216" spans="39:45">
      <c r="AM14216" s="54">
        <v>2020</v>
      </c>
      <c r="AN14216" s="54" t="s">
        <v>189</v>
      </c>
      <c r="AO14216" s="54">
        <v>15</v>
      </c>
      <c r="AP14216" s="54">
        <v>6</v>
      </c>
      <c r="AQ14216" s="54">
        <v>956.5</v>
      </c>
      <c r="AR14216" s="55">
        <v>28500</v>
      </c>
      <c r="AS14216" s="78">
        <f t="shared" si="226"/>
        <v>3.3561403508771931E-2</v>
      </c>
    </row>
    <row r="14217" spans="39:45">
      <c r="AM14217" s="55">
        <v>2020</v>
      </c>
      <c r="AN14217" s="55" t="s">
        <v>189</v>
      </c>
      <c r="AO14217" s="55">
        <v>15</v>
      </c>
      <c r="AP14217" s="55">
        <v>7</v>
      </c>
      <c r="AQ14217" s="55">
        <v>2318</v>
      </c>
      <c r="AR14217" s="55">
        <v>28500</v>
      </c>
      <c r="AS14217" s="78">
        <f t="shared" si="226"/>
        <v>8.1333333333333327E-2</v>
      </c>
    </row>
    <row r="14218" spans="39:45">
      <c r="AM14218" s="54">
        <v>2020</v>
      </c>
      <c r="AN14218" s="54" t="s">
        <v>189</v>
      </c>
      <c r="AO14218" s="54">
        <v>15</v>
      </c>
      <c r="AP14218" s="54">
        <v>8</v>
      </c>
      <c r="AQ14218" s="54">
        <v>3456</v>
      </c>
      <c r="AR14218" s="55">
        <v>28500</v>
      </c>
      <c r="AS14218" s="78">
        <f t="shared" si="226"/>
        <v>0.12126315789473684</v>
      </c>
    </row>
    <row r="14219" spans="39:45">
      <c r="AM14219" s="55">
        <v>2020</v>
      </c>
      <c r="AN14219" s="55" t="s">
        <v>189</v>
      </c>
      <c r="AO14219" s="55">
        <v>15</v>
      </c>
      <c r="AP14219" s="55">
        <v>9</v>
      </c>
      <c r="AQ14219" s="55">
        <v>4575</v>
      </c>
      <c r="AR14219" s="55">
        <v>28500</v>
      </c>
      <c r="AS14219" s="78">
        <f t="shared" si="226"/>
        <v>0.16052631578947368</v>
      </c>
    </row>
    <row r="14220" spans="39:45">
      <c r="AM14220" s="54">
        <v>2020</v>
      </c>
      <c r="AN14220" s="54" t="s">
        <v>189</v>
      </c>
      <c r="AO14220" s="54">
        <v>15</v>
      </c>
      <c r="AP14220" s="54">
        <v>10</v>
      </c>
      <c r="AQ14220" s="54">
        <v>4302</v>
      </c>
      <c r="AR14220" s="55">
        <v>28500</v>
      </c>
      <c r="AS14220" s="78">
        <f t="shared" si="226"/>
        <v>0.15094736842105264</v>
      </c>
    </row>
    <row r="14221" spans="39:45">
      <c r="AM14221" s="55">
        <v>2020</v>
      </c>
      <c r="AN14221" s="55" t="s">
        <v>189</v>
      </c>
      <c r="AO14221" s="55">
        <v>15</v>
      </c>
      <c r="AP14221" s="55">
        <v>11</v>
      </c>
      <c r="AQ14221" s="55">
        <v>3723.5</v>
      </c>
      <c r="AR14221" s="55">
        <v>28500</v>
      </c>
      <c r="AS14221" s="78">
        <f t="shared" si="226"/>
        <v>0.13064912280701754</v>
      </c>
    </row>
    <row r="14222" spans="39:45">
      <c r="AM14222" s="54">
        <v>2020</v>
      </c>
      <c r="AN14222" s="54" t="s">
        <v>189</v>
      </c>
      <c r="AO14222" s="54">
        <v>15</v>
      </c>
      <c r="AP14222" s="54">
        <v>12</v>
      </c>
      <c r="AQ14222" s="54">
        <v>2356.5</v>
      </c>
      <c r="AR14222" s="55">
        <v>28500</v>
      </c>
      <c r="AS14222" s="78">
        <f t="shared" si="226"/>
        <v>8.2684210526315791E-2</v>
      </c>
    </row>
    <row r="14223" spans="39:45">
      <c r="AM14223" s="55">
        <v>2020</v>
      </c>
      <c r="AN14223" s="55" t="s">
        <v>189</v>
      </c>
      <c r="AO14223" s="55">
        <v>15</v>
      </c>
      <c r="AP14223" s="55">
        <v>13</v>
      </c>
      <c r="AQ14223" s="55">
        <v>1849</v>
      </c>
      <c r="AR14223" s="55">
        <v>28500</v>
      </c>
      <c r="AS14223" s="78">
        <f t="shared" si="226"/>
        <v>6.4877192982456144E-2</v>
      </c>
    </row>
    <row r="14224" spans="39:45">
      <c r="AM14224" s="54">
        <v>2020</v>
      </c>
      <c r="AN14224" s="54" t="s">
        <v>189</v>
      </c>
      <c r="AO14224" s="54">
        <v>15</v>
      </c>
      <c r="AP14224" s="54">
        <v>14</v>
      </c>
      <c r="AQ14224" s="54">
        <v>2490</v>
      </c>
      <c r="AR14224" s="55">
        <v>28500</v>
      </c>
      <c r="AS14224" s="78">
        <f t="shared" si="226"/>
        <v>8.7368421052631581E-2</v>
      </c>
    </row>
    <row r="14225" spans="39:45">
      <c r="AM14225" s="55">
        <v>2020</v>
      </c>
      <c r="AN14225" s="55" t="s">
        <v>189</v>
      </c>
      <c r="AO14225" s="55">
        <v>15</v>
      </c>
      <c r="AP14225" s="55">
        <v>15</v>
      </c>
      <c r="AQ14225" s="55">
        <v>10119.5</v>
      </c>
      <c r="AR14225" s="55">
        <v>28500</v>
      </c>
      <c r="AS14225" s="78">
        <f t="shared" si="226"/>
        <v>0.35507017543859648</v>
      </c>
    </row>
    <row r="14226" spans="39:45">
      <c r="AM14226" s="54">
        <v>2020</v>
      </c>
      <c r="AN14226" s="54" t="s">
        <v>189</v>
      </c>
      <c r="AO14226" s="54">
        <v>15</v>
      </c>
      <c r="AP14226" s="54">
        <v>16</v>
      </c>
      <c r="AQ14226" s="54">
        <v>3519</v>
      </c>
      <c r="AR14226" s="55">
        <v>28500</v>
      </c>
      <c r="AS14226" s="78">
        <f t="shared" si="226"/>
        <v>0.12347368421052632</v>
      </c>
    </row>
    <row r="14227" spans="39:45">
      <c r="AM14227" s="55">
        <v>2020</v>
      </c>
      <c r="AN14227" s="55" t="s">
        <v>189</v>
      </c>
      <c r="AO14227" s="55">
        <v>15</v>
      </c>
      <c r="AP14227" s="55">
        <v>17</v>
      </c>
      <c r="AQ14227" s="55">
        <v>1863</v>
      </c>
      <c r="AR14227" s="55">
        <v>28500</v>
      </c>
      <c r="AS14227" s="78">
        <f t="shared" si="226"/>
        <v>6.5368421052631576E-2</v>
      </c>
    </row>
    <row r="14228" spans="39:45">
      <c r="AM14228" s="54">
        <v>2020</v>
      </c>
      <c r="AN14228" s="54" t="s">
        <v>189</v>
      </c>
      <c r="AO14228" s="54">
        <v>15</v>
      </c>
      <c r="AP14228" s="54">
        <v>18</v>
      </c>
      <c r="AQ14228" s="54">
        <v>539.5</v>
      </c>
      <c r="AR14228" s="55">
        <v>28500</v>
      </c>
      <c r="AS14228" s="78">
        <f t="shared" si="226"/>
        <v>1.8929824561403508E-2</v>
      </c>
    </row>
    <row r="14229" spans="39:45">
      <c r="AM14229" s="55">
        <v>2020</v>
      </c>
      <c r="AN14229" s="55" t="s">
        <v>189</v>
      </c>
      <c r="AO14229" s="55">
        <v>15</v>
      </c>
      <c r="AP14229" s="55">
        <v>19</v>
      </c>
      <c r="AQ14229" s="55">
        <v>0</v>
      </c>
      <c r="AR14229" s="55">
        <v>28500</v>
      </c>
      <c r="AS14229" s="78">
        <f t="shared" si="226"/>
        <v>0</v>
      </c>
    </row>
    <row r="14230" spans="39:45">
      <c r="AM14230" s="54">
        <v>2020</v>
      </c>
      <c r="AN14230" s="54" t="s">
        <v>189</v>
      </c>
      <c r="AO14230" s="54">
        <v>15</v>
      </c>
      <c r="AP14230" s="54">
        <v>20</v>
      </c>
      <c r="AQ14230" s="54">
        <v>0</v>
      </c>
      <c r="AR14230" s="55">
        <v>28500</v>
      </c>
      <c r="AS14230" s="78">
        <f t="shared" si="226"/>
        <v>0</v>
      </c>
    </row>
    <row r="14231" spans="39:45">
      <c r="AM14231" s="55">
        <v>2020</v>
      </c>
      <c r="AN14231" s="55" t="s">
        <v>189</v>
      </c>
      <c r="AO14231" s="55">
        <v>15</v>
      </c>
      <c r="AP14231" s="55">
        <v>21</v>
      </c>
      <c r="AQ14231" s="55">
        <v>0</v>
      </c>
      <c r="AR14231" s="55">
        <v>28500</v>
      </c>
      <c r="AS14231" s="78">
        <f t="shared" si="226"/>
        <v>0</v>
      </c>
    </row>
    <row r="14232" spans="39:45">
      <c r="AM14232" s="54">
        <v>2020</v>
      </c>
      <c r="AN14232" s="54" t="s">
        <v>189</v>
      </c>
      <c r="AO14232" s="54">
        <v>15</v>
      </c>
      <c r="AP14232" s="54">
        <v>22</v>
      </c>
      <c r="AQ14232" s="54">
        <v>0</v>
      </c>
      <c r="AR14232" s="55">
        <v>28500</v>
      </c>
      <c r="AS14232" s="78">
        <f t="shared" si="226"/>
        <v>0</v>
      </c>
    </row>
    <row r="14233" spans="39:45">
      <c r="AM14233" s="55">
        <v>2020</v>
      </c>
      <c r="AN14233" s="55" t="s">
        <v>189</v>
      </c>
      <c r="AO14233" s="55">
        <v>15</v>
      </c>
      <c r="AP14233" s="55">
        <v>23</v>
      </c>
      <c r="AQ14233" s="55">
        <v>0</v>
      </c>
      <c r="AR14233" s="55">
        <v>28500</v>
      </c>
      <c r="AS14233" s="78">
        <f t="shared" si="226"/>
        <v>0</v>
      </c>
    </row>
    <row r="14234" spans="39:45">
      <c r="AM14234" s="54">
        <v>2020</v>
      </c>
      <c r="AN14234" s="54" t="s">
        <v>189</v>
      </c>
      <c r="AO14234" s="54">
        <v>16</v>
      </c>
      <c r="AP14234" s="54">
        <v>24</v>
      </c>
      <c r="AQ14234" s="54">
        <v>0</v>
      </c>
      <c r="AR14234" s="55">
        <v>28500</v>
      </c>
      <c r="AS14234" s="78">
        <f t="shared" si="226"/>
        <v>0</v>
      </c>
    </row>
    <row r="14235" spans="39:45">
      <c r="AM14235" s="55">
        <v>2020</v>
      </c>
      <c r="AN14235" s="55" t="s">
        <v>189</v>
      </c>
      <c r="AO14235" s="55">
        <v>16</v>
      </c>
      <c r="AP14235" s="55">
        <v>1</v>
      </c>
      <c r="AQ14235" s="55">
        <v>0</v>
      </c>
      <c r="AR14235" s="55">
        <v>28500</v>
      </c>
      <c r="AS14235" s="78">
        <f t="shared" si="226"/>
        <v>0</v>
      </c>
    </row>
    <row r="14236" spans="39:45">
      <c r="AM14236" s="54">
        <v>2020</v>
      </c>
      <c r="AN14236" s="54" t="s">
        <v>189</v>
      </c>
      <c r="AO14236" s="54">
        <v>16</v>
      </c>
      <c r="AP14236" s="54">
        <v>2</v>
      </c>
      <c r="AQ14236" s="54">
        <v>0</v>
      </c>
      <c r="AR14236" s="55">
        <v>28500</v>
      </c>
      <c r="AS14236" s="78">
        <f t="shared" si="226"/>
        <v>0</v>
      </c>
    </row>
    <row r="14237" spans="39:45">
      <c r="AM14237" s="55">
        <v>2020</v>
      </c>
      <c r="AN14237" s="55" t="s">
        <v>189</v>
      </c>
      <c r="AO14237" s="55">
        <v>16</v>
      </c>
      <c r="AP14237" s="55">
        <v>3</v>
      </c>
      <c r="AQ14237" s="55">
        <v>0</v>
      </c>
      <c r="AR14237" s="55">
        <v>28500</v>
      </c>
      <c r="AS14237" s="78">
        <f t="shared" si="226"/>
        <v>0</v>
      </c>
    </row>
    <row r="14238" spans="39:45">
      <c r="AM14238" s="54">
        <v>2020</v>
      </c>
      <c r="AN14238" s="54" t="s">
        <v>189</v>
      </c>
      <c r="AO14238" s="54">
        <v>16</v>
      </c>
      <c r="AP14238" s="54">
        <v>4</v>
      </c>
      <c r="AQ14238" s="54">
        <v>0</v>
      </c>
      <c r="AR14238" s="55">
        <v>28500</v>
      </c>
      <c r="AS14238" s="78">
        <f t="shared" si="226"/>
        <v>0</v>
      </c>
    </row>
    <row r="14239" spans="39:45">
      <c r="AM14239" s="55">
        <v>2020</v>
      </c>
      <c r="AN14239" s="55" t="s">
        <v>189</v>
      </c>
      <c r="AO14239" s="55">
        <v>16</v>
      </c>
      <c r="AP14239" s="55">
        <v>5</v>
      </c>
      <c r="AQ14239" s="55">
        <v>0</v>
      </c>
      <c r="AR14239" s="55">
        <v>28500</v>
      </c>
      <c r="AS14239" s="78">
        <f t="shared" si="226"/>
        <v>0</v>
      </c>
    </row>
    <row r="14240" spans="39:45">
      <c r="AM14240" s="54">
        <v>2020</v>
      </c>
      <c r="AN14240" s="54" t="s">
        <v>189</v>
      </c>
      <c r="AO14240" s="54">
        <v>16</v>
      </c>
      <c r="AP14240" s="54">
        <v>6</v>
      </c>
      <c r="AQ14240" s="54">
        <v>135.5</v>
      </c>
      <c r="AR14240" s="55">
        <v>28500</v>
      </c>
      <c r="AS14240" s="78">
        <f t="shared" si="226"/>
        <v>4.754385964912281E-3</v>
      </c>
    </row>
    <row r="14241" spans="39:45">
      <c r="AM14241" s="55">
        <v>2020</v>
      </c>
      <c r="AN14241" s="55" t="s">
        <v>189</v>
      </c>
      <c r="AO14241" s="55">
        <v>16</v>
      </c>
      <c r="AP14241" s="55">
        <v>7</v>
      </c>
      <c r="AQ14241" s="55">
        <v>990.5</v>
      </c>
      <c r="AR14241" s="55">
        <v>28500</v>
      </c>
      <c r="AS14241" s="78">
        <f t="shared" si="226"/>
        <v>3.4754385964912281E-2</v>
      </c>
    </row>
    <row r="14242" spans="39:45">
      <c r="AM14242" s="54">
        <v>2020</v>
      </c>
      <c r="AN14242" s="54" t="s">
        <v>189</v>
      </c>
      <c r="AO14242" s="54">
        <v>16</v>
      </c>
      <c r="AP14242" s="54">
        <v>8</v>
      </c>
      <c r="AQ14242" s="54">
        <v>5357.5</v>
      </c>
      <c r="AR14242" s="55">
        <v>28500</v>
      </c>
      <c r="AS14242" s="78">
        <f t="shared" si="226"/>
        <v>0.18798245614035089</v>
      </c>
    </row>
    <row r="14243" spans="39:45">
      <c r="AM14243" s="55">
        <v>2020</v>
      </c>
      <c r="AN14243" s="55" t="s">
        <v>189</v>
      </c>
      <c r="AO14243" s="55">
        <v>16</v>
      </c>
      <c r="AP14243" s="55">
        <v>9</v>
      </c>
      <c r="AQ14243" s="55">
        <v>10293</v>
      </c>
      <c r="AR14243" s="55">
        <v>28500</v>
      </c>
      <c r="AS14243" s="78">
        <f t="shared" si="226"/>
        <v>0.36115789473684212</v>
      </c>
    </row>
    <row r="14244" spans="39:45">
      <c r="AM14244" s="54">
        <v>2020</v>
      </c>
      <c r="AN14244" s="54" t="s">
        <v>189</v>
      </c>
      <c r="AO14244" s="54">
        <v>16</v>
      </c>
      <c r="AP14244" s="54">
        <v>10</v>
      </c>
      <c r="AQ14244" s="54">
        <v>17086</v>
      </c>
      <c r="AR14244" s="55">
        <v>28500</v>
      </c>
      <c r="AS14244" s="78">
        <f t="shared" si="226"/>
        <v>0.59950877192982455</v>
      </c>
    </row>
    <row r="14245" spans="39:45">
      <c r="AM14245" s="55">
        <v>2020</v>
      </c>
      <c r="AN14245" s="55" t="s">
        <v>189</v>
      </c>
      <c r="AO14245" s="55">
        <v>16</v>
      </c>
      <c r="AP14245" s="55">
        <v>11</v>
      </c>
      <c r="AQ14245" s="55">
        <v>13781</v>
      </c>
      <c r="AR14245" s="55">
        <v>28500</v>
      </c>
      <c r="AS14245" s="78">
        <f t="shared" si="226"/>
        <v>0.48354385964912283</v>
      </c>
    </row>
    <row r="14246" spans="39:45">
      <c r="AM14246" s="54">
        <v>2020</v>
      </c>
      <c r="AN14246" s="54" t="s">
        <v>189</v>
      </c>
      <c r="AO14246" s="54">
        <v>16</v>
      </c>
      <c r="AP14246" s="54">
        <v>12</v>
      </c>
      <c r="AQ14246" s="54">
        <v>10046.5</v>
      </c>
      <c r="AR14246" s="55">
        <v>28500</v>
      </c>
      <c r="AS14246" s="78">
        <f t="shared" si="226"/>
        <v>0.35250877192982455</v>
      </c>
    </row>
    <row r="14247" spans="39:45">
      <c r="AM14247" s="55">
        <v>2020</v>
      </c>
      <c r="AN14247" s="55" t="s">
        <v>189</v>
      </c>
      <c r="AO14247" s="55">
        <v>16</v>
      </c>
      <c r="AP14247" s="55">
        <v>13</v>
      </c>
      <c r="AQ14247" s="55">
        <v>5623.5</v>
      </c>
      <c r="AR14247" s="55">
        <v>28500</v>
      </c>
      <c r="AS14247" s="78">
        <f t="shared" si="226"/>
        <v>0.19731578947368422</v>
      </c>
    </row>
    <row r="14248" spans="39:45">
      <c r="AM14248" s="54">
        <v>2020</v>
      </c>
      <c r="AN14248" s="54" t="s">
        <v>189</v>
      </c>
      <c r="AO14248" s="54">
        <v>16</v>
      </c>
      <c r="AP14248" s="54">
        <v>14</v>
      </c>
      <c r="AQ14248" s="54">
        <v>2614</v>
      </c>
      <c r="AR14248" s="55">
        <v>28500</v>
      </c>
      <c r="AS14248" s="78">
        <f t="shared" si="226"/>
        <v>9.1719298245614034E-2</v>
      </c>
    </row>
    <row r="14249" spans="39:45">
      <c r="AM14249" s="55">
        <v>2020</v>
      </c>
      <c r="AN14249" s="55" t="s">
        <v>189</v>
      </c>
      <c r="AO14249" s="55">
        <v>16</v>
      </c>
      <c r="AP14249" s="55">
        <v>15</v>
      </c>
      <c r="AQ14249" s="55">
        <v>6555</v>
      </c>
      <c r="AR14249" s="55">
        <v>28500</v>
      </c>
      <c r="AS14249" s="78">
        <f t="shared" si="226"/>
        <v>0.23</v>
      </c>
    </row>
    <row r="14250" spans="39:45">
      <c r="AM14250" s="54">
        <v>2020</v>
      </c>
      <c r="AN14250" s="54" t="s">
        <v>189</v>
      </c>
      <c r="AO14250" s="54">
        <v>16</v>
      </c>
      <c r="AP14250" s="54">
        <v>16</v>
      </c>
      <c r="AQ14250" s="54">
        <v>9865.5</v>
      </c>
      <c r="AR14250" s="55">
        <v>28500</v>
      </c>
      <c r="AS14250" s="78">
        <f t="shared" si="226"/>
        <v>0.34615789473684211</v>
      </c>
    </row>
    <row r="14251" spans="39:45">
      <c r="AM14251" s="55">
        <v>2020</v>
      </c>
      <c r="AN14251" s="55" t="s">
        <v>189</v>
      </c>
      <c r="AO14251" s="55">
        <v>16</v>
      </c>
      <c r="AP14251" s="55">
        <v>17</v>
      </c>
      <c r="AQ14251" s="55">
        <v>8152.5</v>
      </c>
      <c r="AR14251" s="55">
        <v>28500</v>
      </c>
      <c r="AS14251" s="78">
        <f t="shared" si="226"/>
        <v>0.28605263157894739</v>
      </c>
    </row>
    <row r="14252" spans="39:45">
      <c r="AM14252" s="54">
        <v>2020</v>
      </c>
      <c r="AN14252" s="54" t="s">
        <v>189</v>
      </c>
      <c r="AO14252" s="54">
        <v>16</v>
      </c>
      <c r="AP14252" s="54">
        <v>18</v>
      </c>
      <c r="AQ14252" s="54">
        <v>1327</v>
      </c>
      <c r="AR14252" s="55">
        <v>28500</v>
      </c>
      <c r="AS14252" s="78">
        <f t="shared" si="226"/>
        <v>4.6561403508771929E-2</v>
      </c>
    </row>
    <row r="14253" spans="39:45">
      <c r="AM14253" s="55">
        <v>2020</v>
      </c>
      <c r="AN14253" s="55" t="s">
        <v>189</v>
      </c>
      <c r="AO14253" s="55">
        <v>16</v>
      </c>
      <c r="AP14253" s="55">
        <v>19</v>
      </c>
      <c r="AQ14253" s="55">
        <v>0</v>
      </c>
      <c r="AR14253" s="55">
        <v>28500</v>
      </c>
      <c r="AS14253" s="78">
        <f t="shared" si="226"/>
        <v>0</v>
      </c>
    </row>
    <row r="14254" spans="39:45">
      <c r="AM14254" s="54">
        <v>2020</v>
      </c>
      <c r="AN14254" s="54" t="s">
        <v>189</v>
      </c>
      <c r="AO14254" s="54">
        <v>16</v>
      </c>
      <c r="AP14254" s="54">
        <v>20</v>
      </c>
      <c r="AQ14254" s="54">
        <v>0</v>
      </c>
      <c r="AR14254" s="55">
        <v>28500</v>
      </c>
      <c r="AS14254" s="78">
        <f t="shared" si="226"/>
        <v>0</v>
      </c>
    </row>
    <row r="14255" spans="39:45">
      <c r="AM14255" s="55">
        <v>2020</v>
      </c>
      <c r="AN14255" s="55" t="s">
        <v>189</v>
      </c>
      <c r="AO14255" s="55">
        <v>16</v>
      </c>
      <c r="AP14255" s="55">
        <v>21</v>
      </c>
      <c r="AQ14255" s="55">
        <v>0</v>
      </c>
      <c r="AR14255" s="55">
        <v>28500</v>
      </c>
      <c r="AS14255" s="78">
        <f t="shared" si="226"/>
        <v>0</v>
      </c>
    </row>
    <row r="14256" spans="39:45">
      <c r="AM14256" s="54">
        <v>2020</v>
      </c>
      <c r="AN14256" s="54" t="s">
        <v>189</v>
      </c>
      <c r="AO14256" s="54">
        <v>16</v>
      </c>
      <c r="AP14256" s="54">
        <v>22</v>
      </c>
      <c r="AQ14256" s="54">
        <v>0</v>
      </c>
      <c r="AR14256" s="55">
        <v>28500</v>
      </c>
      <c r="AS14256" s="78">
        <f t="shared" si="226"/>
        <v>0</v>
      </c>
    </row>
    <row r="14257" spans="39:45">
      <c r="AM14257" s="55">
        <v>2020</v>
      </c>
      <c r="AN14257" s="55" t="s">
        <v>189</v>
      </c>
      <c r="AO14257" s="55">
        <v>16</v>
      </c>
      <c r="AP14257" s="55">
        <v>23</v>
      </c>
      <c r="AQ14257" s="55">
        <v>0</v>
      </c>
      <c r="AR14257" s="55">
        <v>28500</v>
      </c>
      <c r="AS14257" s="78">
        <f t="shared" si="226"/>
        <v>0</v>
      </c>
    </row>
    <row r="14258" spans="39:45">
      <c r="AM14258" s="54">
        <v>2020</v>
      </c>
      <c r="AN14258" s="54" t="s">
        <v>189</v>
      </c>
      <c r="AO14258" s="54">
        <v>17</v>
      </c>
      <c r="AP14258" s="54">
        <v>24</v>
      </c>
      <c r="AQ14258" s="54">
        <v>0</v>
      </c>
      <c r="AR14258" s="55">
        <v>28500</v>
      </c>
      <c r="AS14258" s="78">
        <f t="shared" si="226"/>
        <v>0</v>
      </c>
    </row>
    <row r="14259" spans="39:45">
      <c r="AM14259" s="55">
        <v>2020</v>
      </c>
      <c r="AN14259" s="55" t="s">
        <v>189</v>
      </c>
      <c r="AO14259" s="55">
        <v>17</v>
      </c>
      <c r="AP14259" s="55">
        <v>1</v>
      </c>
      <c r="AQ14259" s="55">
        <v>0</v>
      </c>
      <c r="AR14259" s="55">
        <v>28500</v>
      </c>
      <c r="AS14259" s="78">
        <f t="shared" si="226"/>
        <v>0</v>
      </c>
    </row>
    <row r="14260" spans="39:45">
      <c r="AM14260" s="54">
        <v>2020</v>
      </c>
      <c r="AN14260" s="54" t="s">
        <v>189</v>
      </c>
      <c r="AO14260" s="54">
        <v>17</v>
      </c>
      <c r="AP14260" s="54">
        <v>2</v>
      </c>
      <c r="AQ14260" s="54">
        <v>0</v>
      </c>
      <c r="AR14260" s="55">
        <v>28500</v>
      </c>
      <c r="AS14260" s="78">
        <f t="shared" si="226"/>
        <v>0</v>
      </c>
    </row>
    <row r="14261" spans="39:45">
      <c r="AM14261" s="55">
        <v>2020</v>
      </c>
      <c r="AN14261" s="55" t="s">
        <v>189</v>
      </c>
      <c r="AO14261" s="55">
        <v>17</v>
      </c>
      <c r="AP14261" s="55">
        <v>3</v>
      </c>
      <c r="AQ14261" s="55">
        <v>0</v>
      </c>
      <c r="AR14261" s="55">
        <v>28500</v>
      </c>
      <c r="AS14261" s="78">
        <f t="shared" si="226"/>
        <v>0</v>
      </c>
    </row>
    <row r="14262" spans="39:45">
      <c r="AM14262" s="54">
        <v>2020</v>
      </c>
      <c r="AN14262" s="54" t="s">
        <v>189</v>
      </c>
      <c r="AO14262" s="54">
        <v>17</v>
      </c>
      <c r="AP14262" s="54">
        <v>4</v>
      </c>
      <c r="AQ14262" s="54">
        <v>0</v>
      </c>
      <c r="AR14262" s="55">
        <v>28500</v>
      </c>
      <c r="AS14262" s="78">
        <f t="shared" si="226"/>
        <v>0</v>
      </c>
    </row>
    <row r="14263" spans="39:45">
      <c r="AM14263" s="55">
        <v>2020</v>
      </c>
      <c r="AN14263" s="55" t="s">
        <v>189</v>
      </c>
      <c r="AO14263" s="55">
        <v>17</v>
      </c>
      <c r="AP14263" s="55">
        <v>5</v>
      </c>
      <c r="AQ14263" s="55">
        <v>19</v>
      </c>
      <c r="AR14263" s="55">
        <v>28500</v>
      </c>
      <c r="AS14263" s="78">
        <f t="shared" si="226"/>
        <v>6.6666666666666664E-4</v>
      </c>
    </row>
    <row r="14264" spans="39:45">
      <c r="AM14264" s="54">
        <v>2020</v>
      </c>
      <c r="AN14264" s="54" t="s">
        <v>189</v>
      </c>
      <c r="AO14264" s="54">
        <v>17</v>
      </c>
      <c r="AP14264" s="54">
        <v>6</v>
      </c>
      <c r="AQ14264" s="54">
        <v>2119.5</v>
      </c>
      <c r="AR14264" s="55">
        <v>28500</v>
      </c>
      <c r="AS14264" s="78">
        <f t="shared" si="226"/>
        <v>7.4368421052631584E-2</v>
      </c>
    </row>
    <row r="14265" spans="39:45">
      <c r="AM14265" s="55">
        <v>2020</v>
      </c>
      <c r="AN14265" s="55" t="s">
        <v>189</v>
      </c>
      <c r="AO14265" s="55">
        <v>17</v>
      </c>
      <c r="AP14265" s="55">
        <v>7</v>
      </c>
      <c r="AQ14265" s="55">
        <v>10172</v>
      </c>
      <c r="AR14265" s="55">
        <v>28500</v>
      </c>
      <c r="AS14265" s="78">
        <f t="shared" si="226"/>
        <v>0.3569122807017544</v>
      </c>
    </row>
    <row r="14266" spans="39:45">
      <c r="AM14266" s="54">
        <v>2020</v>
      </c>
      <c r="AN14266" s="54" t="s">
        <v>189</v>
      </c>
      <c r="AO14266" s="54">
        <v>17</v>
      </c>
      <c r="AP14266" s="54">
        <v>8</v>
      </c>
      <c r="AQ14266" s="54">
        <v>12477.5</v>
      </c>
      <c r="AR14266" s="55">
        <v>28500</v>
      </c>
      <c r="AS14266" s="78">
        <f t="shared" si="226"/>
        <v>0.43780701754385964</v>
      </c>
    </row>
    <row r="14267" spans="39:45">
      <c r="AM14267" s="55">
        <v>2020</v>
      </c>
      <c r="AN14267" s="55" t="s">
        <v>189</v>
      </c>
      <c r="AO14267" s="55">
        <v>17</v>
      </c>
      <c r="AP14267" s="55">
        <v>9</v>
      </c>
      <c r="AQ14267" s="55">
        <v>23744.5</v>
      </c>
      <c r="AR14267" s="55">
        <v>28500</v>
      </c>
      <c r="AS14267" s="78">
        <f t="shared" si="226"/>
        <v>0.83314035087719296</v>
      </c>
    </row>
    <row r="14268" spans="39:45">
      <c r="AM14268" s="54">
        <v>2020</v>
      </c>
      <c r="AN14268" s="54" t="s">
        <v>189</v>
      </c>
      <c r="AO14268" s="54">
        <v>17</v>
      </c>
      <c r="AP14268" s="54">
        <v>10</v>
      </c>
      <c r="AQ14268" s="54">
        <v>12923</v>
      </c>
      <c r="AR14268" s="55">
        <v>28500</v>
      </c>
      <c r="AS14268" s="78">
        <f t="shared" si="226"/>
        <v>0.45343859649122809</v>
      </c>
    </row>
    <row r="14269" spans="39:45">
      <c r="AM14269" s="55">
        <v>2020</v>
      </c>
      <c r="AN14269" s="55" t="s">
        <v>189</v>
      </c>
      <c r="AO14269" s="55">
        <v>17</v>
      </c>
      <c r="AP14269" s="55">
        <v>11</v>
      </c>
      <c r="AQ14269" s="55">
        <v>20656</v>
      </c>
      <c r="AR14269" s="55">
        <v>28500</v>
      </c>
      <c r="AS14269" s="78">
        <f t="shared" si="226"/>
        <v>0.7247719298245614</v>
      </c>
    </row>
    <row r="14270" spans="39:45">
      <c r="AM14270" s="54">
        <v>2020</v>
      </c>
      <c r="AN14270" s="54" t="s">
        <v>189</v>
      </c>
      <c r="AO14270" s="54">
        <v>17</v>
      </c>
      <c r="AP14270" s="54">
        <v>12</v>
      </c>
      <c r="AQ14270" s="54">
        <v>19042.5</v>
      </c>
      <c r="AR14270" s="55">
        <v>28500</v>
      </c>
      <c r="AS14270" s="78">
        <f t="shared" si="226"/>
        <v>0.66815789473684206</v>
      </c>
    </row>
    <row r="14271" spans="39:45">
      <c r="AM14271" s="55">
        <v>2020</v>
      </c>
      <c r="AN14271" s="55" t="s">
        <v>189</v>
      </c>
      <c r="AO14271" s="55">
        <v>17</v>
      </c>
      <c r="AP14271" s="55">
        <v>13</v>
      </c>
      <c r="AQ14271" s="55">
        <v>30952.5</v>
      </c>
      <c r="AR14271" s="55">
        <v>28500</v>
      </c>
      <c r="AS14271" s="78">
        <f t="shared" si="226"/>
        <v>1.0860526315789474</v>
      </c>
    </row>
    <row r="14272" spans="39:45">
      <c r="AM14272" s="54">
        <v>2020</v>
      </c>
      <c r="AN14272" s="54" t="s">
        <v>189</v>
      </c>
      <c r="AO14272" s="54">
        <v>17</v>
      </c>
      <c r="AP14272" s="54">
        <v>14</v>
      </c>
      <c r="AQ14272" s="54">
        <v>12196</v>
      </c>
      <c r="AR14272" s="55">
        <v>28500</v>
      </c>
      <c r="AS14272" s="78">
        <f t="shared" si="226"/>
        <v>0.42792982456140349</v>
      </c>
    </row>
    <row r="14273" spans="39:45">
      <c r="AM14273" s="55">
        <v>2020</v>
      </c>
      <c r="AN14273" s="55" t="s">
        <v>189</v>
      </c>
      <c r="AO14273" s="55">
        <v>17</v>
      </c>
      <c r="AP14273" s="55">
        <v>15</v>
      </c>
      <c r="AQ14273" s="55">
        <v>5403</v>
      </c>
      <c r="AR14273" s="55">
        <v>28500</v>
      </c>
      <c r="AS14273" s="78">
        <f t="shared" si="226"/>
        <v>0.18957894736842104</v>
      </c>
    </row>
    <row r="14274" spans="39:45">
      <c r="AM14274" s="54">
        <v>2020</v>
      </c>
      <c r="AN14274" s="54" t="s">
        <v>189</v>
      </c>
      <c r="AO14274" s="54">
        <v>17</v>
      </c>
      <c r="AP14274" s="54">
        <v>16</v>
      </c>
      <c r="AQ14274" s="54">
        <v>14429</v>
      </c>
      <c r="AR14274" s="55">
        <v>28500</v>
      </c>
      <c r="AS14274" s="78">
        <f t="shared" ref="AS14274:AS14337" si="227">AQ14274/AR14274</f>
        <v>0.506280701754386</v>
      </c>
    </row>
    <row r="14275" spans="39:45">
      <c r="AM14275" s="55">
        <v>2020</v>
      </c>
      <c r="AN14275" s="55" t="s">
        <v>189</v>
      </c>
      <c r="AO14275" s="55">
        <v>17</v>
      </c>
      <c r="AP14275" s="55">
        <v>17</v>
      </c>
      <c r="AQ14275" s="55">
        <v>7862.5</v>
      </c>
      <c r="AR14275" s="55">
        <v>28500</v>
      </c>
      <c r="AS14275" s="78">
        <f t="shared" si="227"/>
        <v>0.27587719298245617</v>
      </c>
    </row>
    <row r="14276" spans="39:45">
      <c r="AM14276" s="54">
        <v>2020</v>
      </c>
      <c r="AN14276" s="54" t="s">
        <v>189</v>
      </c>
      <c r="AO14276" s="54">
        <v>17</v>
      </c>
      <c r="AP14276" s="54">
        <v>18</v>
      </c>
      <c r="AQ14276" s="54">
        <v>1405</v>
      </c>
      <c r="AR14276" s="55">
        <v>28500</v>
      </c>
      <c r="AS14276" s="78">
        <f t="shared" si="227"/>
        <v>4.9298245614035091E-2</v>
      </c>
    </row>
    <row r="14277" spans="39:45">
      <c r="AM14277" s="55">
        <v>2020</v>
      </c>
      <c r="AN14277" s="55" t="s">
        <v>189</v>
      </c>
      <c r="AO14277" s="55">
        <v>17</v>
      </c>
      <c r="AP14277" s="55">
        <v>19</v>
      </c>
      <c r="AQ14277" s="55">
        <v>0</v>
      </c>
      <c r="AR14277" s="55">
        <v>28500</v>
      </c>
      <c r="AS14277" s="78">
        <f t="shared" si="227"/>
        <v>0</v>
      </c>
    </row>
    <row r="14278" spans="39:45">
      <c r="AM14278" s="54">
        <v>2020</v>
      </c>
      <c r="AN14278" s="54" t="s">
        <v>189</v>
      </c>
      <c r="AO14278" s="54">
        <v>17</v>
      </c>
      <c r="AP14278" s="54">
        <v>20</v>
      </c>
      <c r="AQ14278" s="54">
        <v>0</v>
      </c>
      <c r="AR14278" s="55">
        <v>28500</v>
      </c>
      <c r="AS14278" s="78">
        <f t="shared" si="227"/>
        <v>0</v>
      </c>
    </row>
    <row r="14279" spans="39:45">
      <c r="AM14279" s="55">
        <v>2020</v>
      </c>
      <c r="AN14279" s="55" t="s">
        <v>189</v>
      </c>
      <c r="AO14279" s="55">
        <v>17</v>
      </c>
      <c r="AP14279" s="55">
        <v>21</v>
      </c>
      <c r="AQ14279" s="55">
        <v>0</v>
      </c>
      <c r="AR14279" s="55">
        <v>28500</v>
      </c>
      <c r="AS14279" s="78">
        <f t="shared" si="227"/>
        <v>0</v>
      </c>
    </row>
    <row r="14280" spans="39:45">
      <c r="AM14280" s="54">
        <v>2020</v>
      </c>
      <c r="AN14280" s="54" t="s">
        <v>189</v>
      </c>
      <c r="AO14280" s="54">
        <v>17</v>
      </c>
      <c r="AP14280" s="54">
        <v>22</v>
      </c>
      <c r="AQ14280" s="54">
        <v>0</v>
      </c>
      <c r="AR14280" s="55">
        <v>28500</v>
      </c>
      <c r="AS14280" s="78">
        <f t="shared" si="227"/>
        <v>0</v>
      </c>
    </row>
    <row r="14281" spans="39:45">
      <c r="AM14281" s="55">
        <v>2020</v>
      </c>
      <c r="AN14281" s="55" t="s">
        <v>189</v>
      </c>
      <c r="AO14281" s="55">
        <v>17</v>
      </c>
      <c r="AP14281" s="55">
        <v>23</v>
      </c>
      <c r="AQ14281" s="55">
        <v>0</v>
      </c>
      <c r="AR14281" s="55">
        <v>28500</v>
      </c>
      <c r="AS14281" s="78">
        <f t="shared" si="227"/>
        <v>0</v>
      </c>
    </row>
    <row r="14282" spans="39:45">
      <c r="AM14282" s="54">
        <v>2020</v>
      </c>
      <c r="AN14282" s="54" t="s">
        <v>189</v>
      </c>
      <c r="AO14282" s="54">
        <v>18</v>
      </c>
      <c r="AP14282" s="54">
        <v>24</v>
      </c>
      <c r="AQ14282" s="54">
        <v>0</v>
      </c>
      <c r="AR14282" s="55">
        <v>28500</v>
      </c>
      <c r="AS14282" s="78">
        <f t="shared" si="227"/>
        <v>0</v>
      </c>
    </row>
    <row r="14283" spans="39:45">
      <c r="AM14283" s="55">
        <v>2020</v>
      </c>
      <c r="AN14283" s="55" t="s">
        <v>189</v>
      </c>
      <c r="AO14283" s="55">
        <v>18</v>
      </c>
      <c r="AP14283" s="55">
        <v>1</v>
      </c>
      <c r="AQ14283" s="55">
        <v>0</v>
      </c>
      <c r="AR14283" s="55">
        <v>28500</v>
      </c>
      <c r="AS14283" s="78">
        <f t="shared" si="227"/>
        <v>0</v>
      </c>
    </row>
    <row r="14284" spans="39:45">
      <c r="AM14284" s="54">
        <v>2020</v>
      </c>
      <c r="AN14284" s="54" t="s">
        <v>189</v>
      </c>
      <c r="AO14284" s="54">
        <v>18</v>
      </c>
      <c r="AP14284" s="54">
        <v>2</v>
      </c>
      <c r="AQ14284" s="54">
        <v>0</v>
      </c>
      <c r="AR14284" s="55">
        <v>28500</v>
      </c>
      <c r="AS14284" s="78">
        <f t="shared" si="227"/>
        <v>0</v>
      </c>
    </row>
    <row r="14285" spans="39:45">
      <c r="AM14285" s="55">
        <v>2020</v>
      </c>
      <c r="AN14285" s="55" t="s">
        <v>189</v>
      </c>
      <c r="AO14285" s="55">
        <v>18</v>
      </c>
      <c r="AP14285" s="55">
        <v>3</v>
      </c>
      <c r="AQ14285" s="55">
        <v>0</v>
      </c>
      <c r="AR14285" s="55">
        <v>28500</v>
      </c>
      <c r="AS14285" s="78">
        <f t="shared" si="227"/>
        <v>0</v>
      </c>
    </row>
    <row r="14286" spans="39:45">
      <c r="AM14286" s="54">
        <v>2020</v>
      </c>
      <c r="AN14286" s="54" t="s">
        <v>189</v>
      </c>
      <c r="AO14286" s="54">
        <v>18</v>
      </c>
      <c r="AP14286" s="54">
        <v>4</v>
      </c>
      <c r="AQ14286" s="54">
        <v>0</v>
      </c>
      <c r="AR14286" s="55">
        <v>28500</v>
      </c>
      <c r="AS14286" s="78">
        <f t="shared" si="227"/>
        <v>0</v>
      </c>
    </row>
    <row r="14287" spans="39:45">
      <c r="AM14287" s="55">
        <v>2020</v>
      </c>
      <c r="AN14287" s="55" t="s">
        <v>189</v>
      </c>
      <c r="AO14287" s="55">
        <v>18</v>
      </c>
      <c r="AP14287" s="55">
        <v>5</v>
      </c>
      <c r="AQ14287" s="55">
        <v>0</v>
      </c>
      <c r="AR14287" s="55">
        <v>28500</v>
      </c>
      <c r="AS14287" s="78">
        <f t="shared" si="227"/>
        <v>0</v>
      </c>
    </row>
    <row r="14288" spans="39:45">
      <c r="AM14288" s="54">
        <v>2020</v>
      </c>
      <c r="AN14288" s="54" t="s">
        <v>189</v>
      </c>
      <c r="AO14288" s="54">
        <v>18</v>
      </c>
      <c r="AP14288" s="54">
        <v>6</v>
      </c>
      <c r="AQ14288" s="54">
        <v>2180</v>
      </c>
      <c r="AR14288" s="55">
        <v>28500</v>
      </c>
      <c r="AS14288" s="78">
        <f t="shared" si="227"/>
        <v>7.6491228070175443E-2</v>
      </c>
    </row>
    <row r="14289" spans="39:45">
      <c r="AM14289" s="55">
        <v>2020</v>
      </c>
      <c r="AN14289" s="55" t="s">
        <v>189</v>
      </c>
      <c r="AO14289" s="55">
        <v>18</v>
      </c>
      <c r="AP14289" s="55">
        <v>7</v>
      </c>
      <c r="AQ14289" s="55">
        <v>10400.5</v>
      </c>
      <c r="AR14289" s="55">
        <v>28500</v>
      </c>
      <c r="AS14289" s="78">
        <f t="shared" si="227"/>
        <v>0.36492982456140349</v>
      </c>
    </row>
    <row r="14290" spans="39:45">
      <c r="AM14290" s="54">
        <v>2020</v>
      </c>
      <c r="AN14290" s="54" t="s">
        <v>189</v>
      </c>
      <c r="AO14290" s="54">
        <v>18</v>
      </c>
      <c r="AP14290" s="54">
        <v>8</v>
      </c>
      <c r="AQ14290" s="54">
        <v>17546.5</v>
      </c>
      <c r="AR14290" s="55">
        <v>28500</v>
      </c>
      <c r="AS14290" s="78">
        <f t="shared" si="227"/>
        <v>0.6156666666666667</v>
      </c>
    </row>
    <row r="14291" spans="39:45">
      <c r="AM14291" s="55">
        <v>2020</v>
      </c>
      <c r="AN14291" s="55" t="s">
        <v>189</v>
      </c>
      <c r="AO14291" s="55">
        <v>18</v>
      </c>
      <c r="AP14291" s="55">
        <v>9</v>
      </c>
      <c r="AQ14291" s="55">
        <v>24138.5</v>
      </c>
      <c r="AR14291" s="55">
        <v>28500</v>
      </c>
      <c r="AS14291" s="78">
        <f t="shared" si="227"/>
        <v>0.84696491228070181</v>
      </c>
    </row>
    <row r="14292" spans="39:45">
      <c r="AM14292" s="54">
        <v>2020</v>
      </c>
      <c r="AN14292" s="54" t="s">
        <v>189</v>
      </c>
      <c r="AO14292" s="54">
        <v>18</v>
      </c>
      <c r="AP14292" s="54">
        <v>10</v>
      </c>
      <c r="AQ14292" s="54">
        <v>16974.5</v>
      </c>
      <c r="AR14292" s="55">
        <v>28500</v>
      </c>
      <c r="AS14292" s="78">
        <f t="shared" si="227"/>
        <v>0.59559649122807012</v>
      </c>
    </row>
    <row r="14293" spans="39:45">
      <c r="AM14293" s="55">
        <v>2020</v>
      </c>
      <c r="AN14293" s="55" t="s">
        <v>189</v>
      </c>
      <c r="AO14293" s="55">
        <v>18</v>
      </c>
      <c r="AP14293" s="55">
        <v>11</v>
      </c>
      <c r="AQ14293" s="55">
        <v>19176.5</v>
      </c>
      <c r="AR14293" s="55">
        <v>28500</v>
      </c>
      <c r="AS14293" s="78">
        <f t="shared" si="227"/>
        <v>0.67285964912280705</v>
      </c>
    </row>
    <row r="14294" spans="39:45">
      <c r="AM14294" s="54">
        <v>2020</v>
      </c>
      <c r="AN14294" s="54" t="s">
        <v>189</v>
      </c>
      <c r="AO14294" s="54">
        <v>18</v>
      </c>
      <c r="AP14294" s="54">
        <v>12</v>
      </c>
      <c r="AQ14294" s="54">
        <v>27204</v>
      </c>
      <c r="AR14294" s="55">
        <v>28500</v>
      </c>
      <c r="AS14294" s="78">
        <f t="shared" si="227"/>
        <v>0.95452631578947367</v>
      </c>
    </row>
    <row r="14295" spans="39:45">
      <c r="AM14295" s="55">
        <v>2020</v>
      </c>
      <c r="AN14295" s="55" t="s">
        <v>189</v>
      </c>
      <c r="AO14295" s="55">
        <v>18</v>
      </c>
      <c r="AP14295" s="55">
        <v>13</v>
      </c>
      <c r="AQ14295" s="55">
        <v>15363.5</v>
      </c>
      <c r="AR14295" s="55">
        <v>28500</v>
      </c>
      <c r="AS14295" s="78">
        <f t="shared" si="227"/>
        <v>0.53907017543859648</v>
      </c>
    </row>
    <row r="14296" spans="39:45">
      <c r="AM14296" s="54">
        <v>2020</v>
      </c>
      <c r="AN14296" s="54" t="s">
        <v>189</v>
      </c>
      <c r="AO14296" s="54">
        <v>18</v>
      </c>
      <c r="AP14296" s="54">
        <v>14</v>
      </c>
      <c r="AQ14296" s="54">
        <v>24052</v>
      </c>
      <c r="AR14296" s="55">
        <v>28500</v>
      </c>
      <c r="AS14296" s="78">
        <f t="shared" si="227"/>
        <v>0.84392982456140353</v>
      </c>
    </row>
    <row r="14297" spans="39:45">
      <c r="AM14297" s="55">
        <v>2020</v>
      </c>
      <c r="AN14297" s="55" t="s">
        <v>189</v>
      </c>
      <c r="AO14297" s="55">
        <v>18</v>
      </c>
      <c r="AP14297" s="55">
        <v>15</v>
      </c>
      <c r="AQ14297" s="55">
        <v>25459</v>
      </c>
      <c r="AR14297" s="55">
        <v>28500</v>
      </c>
      <c r="AS14297" s="78">
        <f t="shared" si="227"/>
        <v>0.89329824561403504</v>
      </c>
    </row>
    <row r="14298" spans="39:45">
      <c r="AM14298" s="54">
        <v>2020</v>
      </c>
      <c r="AN14298" s="54" t="s">
        <v>189</v>
      </c>
      <c r="AO14298" s="54">
        <v>18</v>
      </c>
      <c r="AP14298" s="54">
        <v>16</v>
      </c>
      <c r="AQ14298" s="54">
        <v>17332.5</v>
      </c>
      <c r="AR14298" s="55">
        <v>28500</v>
      </c>
      <c r="AS14298" s="78">
        <f t="shared" si="227"/>
        <v>0.60815789473684212</v>
      </c>
    </row>
    <row r="14299" spans="39:45">
      <c r="AM14299" s="55">
        <v>2020</v>
      </c>
      <c r="AN14299" s="55" t="s">
        <v>189</v>
      </c>
      <c r="AO14299" s="55">
        <v>18</v>
      </c>
      <c r="AP14299" s="55">
        <v>17</v>
      </c>
      <c r="AQ14299" s="55">
        <v>7704.5</v>
      </c>
      <c r="AR14299" s="55">
        <v>28500</v>
      </c>
      <c r="AS14299" s="78">
        <f t="shared" si="227"/>
        <v>0.27033333333333331</v>
      </c>
    </row>
    <row r="14300" spans="39:45">
      <c r="AM14300" s="54">
        <v>2020</v>
      </c>
      <c r="AN14300" s="54" t="s">
        <v>189</v>
      </c>
      <c r="AO14300" s="54">
        <v>18</v>
      </c>
      <c r="AP14300" s="54">
        <v>18</v>
      </c>
      <c r="AQ14300" s="54">
        <v>1380.5</v>
      </c>
      <c r="AR14300" s="55">
        <v>28500</v>
      </c>
      <c r="AS14300" s="78">
        <f t="shared" si="227"/>
        <v>4.8438596491228073E-2</v>
      </c>
    </row>
    <row r="14301" spans="39:45">
      <c r="AM14301" s="55">
        <v>2020</v>
      </c>
      <c r="AN14301" s="55" t="s">
        <v>189</v>
      </c>
      <c r="AO14301" s="55">
        <v>18</v>
      </c>
      <c r="AP14301" s="55">
        <v>19</v>
      </c>
      <c r="AQ14301" s="55">
        <v>0</v>
      </c>
      <c r="AR14301" s="55">
        <v>28500</v>
      </c>
      <c r="AS14301" s="78">
        <f t="shared" si="227"/>
        <v>0</v>
      </c>
    </row>
    <row r="14302" spans="39:45">
      <c r="AM14302" s="54">
        <v>2020</v>
      </c>
      <c r="AN14302" s="54" t="s">
        <v>189</v>
      </c>
      <c r="AO14302" s="54">
        <v>18</v>
      </c>
      <c r="AP14302" s="54">
        <v>20</v>
      </c>
      <c r="AQ14302" s="54">
        <v>0</v>
      </c>
      <c r="AR14302" s="55">
        <v>28500</v>
      </c>
      <c r="AS14302" s="78">
        <f t="shared" si="227"/>
        <v>0</v>
      </c>
    </row>
    <row r="14303" spans="39:45">
      <c r="AM14303" s="55">
        <v>2020</v>
      </c>
      <c r="AN14303" s="55" t="s">
        <v>189</v>
      </c>
      <c r="AO14303" s="55">
        <v>18</v>
      </c>
      <c r="AP14303" s="55">
        <v>21</v>
      </c>
      <c r="AQ14303" s="55">
        <v>0</v>
      </c>
      <c r="AR14303" s="55">
        <v>28500</v>
      </c>
      <c r="AS14303" s="78">
        <f t="shared" si="227"/>
        <v>0</v>
      </c>
    </row>
    <row r="14304" spans="39:45">
      <c r="AM14304" s="54">
        <v>2020</v>
      </c>
      <c r="AN14304" s="54" t="s">
        <v>189</v>
      </c>
      <c r="AO14304" s="54">
        <v>18</v>
      </c>
      <c r="AP14304" s="54">
        <v>22</v>
      </c>
      <c r="AQ14304" s="54">
        <v>0</v>
      </c>
      <c r="AR14304" s="55">
        <v>28500</v>
      </c>
      <c r="AS14304" s="78">
        <f t="shared" si="227"/>
        <v>0</v>
      </c>
    </row>
    <row r="14305" spans="39:45">
      <c r="AM14305" s="55">
        <v>2020</v>
      </c>
      <c r="AN14305" s="55" t="s">
        <v>189</v>
      </c>
      <c r="AO14305" s="55">
        <v>18</v>
      </c>
      <c r="AP14305" s="55">
        <v>23</v>
      </c>
      <c r="AQ14305" s="55">
        <v>0</v>
      </c>
      <c r="AR14305" s="55">
        <v>28500</v>
      </c>
      <c r="AS14305" s="78">
        <f t="shared" si="227"/>
        <v>0</v>
      </c>
    </row>
    <row r="14306" spans="39:45">
      <c r="AM14306" s="54">
        <v>2020</v>
      </c>
      <c r="AN14306" s="54" t="s">
        <v>189</v>
      </c>
      <c r="AO14306" s="54">
        <v>19</v>
      </c>
      <c r="AP14306" s="54">
        <v>24</v>
      </c>
      <c r="AQ14306" s="54">
        <v>0</v>
      </c>
      <c r="AR14306" s="55">
        <v>28500</v>
      </c>
      <c r="AS14306" s="78">
        <f t="shared" si="227"/>
        <v>0</v>
      </c>
    </row>
    <row r="14307" spans="39:45">
      <c r="AM14307" s="55">
        <v>2020</v>
      </c>
      <c r="AN14307" s="55" t="s">
        <v>189</v>
      </c>
      <c r="AO14307" s="55">
        <v>19</v>
      </c>
      <c r="AP14307" s="55">
        <v>1</v>
      </c>
      <c r="AQ14307" s="55">
        <v>0</v>
      </c>
      <c r="AR14307" s="55">
        <v>28500</v>
      </c>
      <c r="AS14307" s="78">
        <f t="shared" si="227"/>
        <v>0</v>
      </c>
    </row>
    <row r="14308" spans="39:45">
      <c r="AM14308" s="54">
        <v>2020</v>
      </c>
      <c r="AN14308" s="54" t="s">
        <v>189</v>
      </c>
      <c r="AO14308" s="54">
        <v>19</v>
      </c>
      <c r="AP14308" s="54">
        <v>2</v>
      </c>
      <c r="AQ14308" s="54">
        <v>0</v>
      </c>
      <c r="AR14308" s="55">
        <v>28500</v>
      </c>
      <c r="AS14308" s="78">
        <f t="shared" si="227"/>
        <v>0</v>
      </c>
    </row>
    <row r="14309" spans="39:45">
      <c r="AM14309" s="55">
        <v>2020</v>
      </c>
      <c r="AN14309" s="55" t="s">
        <v>189</v>
      </c>
      <c r="AO14309" s="55">
        <v>19</v>
      </c>
      <c r="AP14309" s="55">
        <v>3</v>
      </c>
      <c r="AQ14309" s="55">
        <v>0</v>
      </c>
      <c r="AR14309" s="55">
        <v>28500</v>
      </c>
      <c r="AS14309" s="78">
        <f t="shared" si="227"/>
        <v>0</v>
      </c>
    </row>
    <row r="14310" spans="39:45">
      <c r="AM14310" s="54">
        <v>2020</v>
      </c>
      <c r="AN14310" s="54" t="s">
        <v>189</v>
      </c>
      <c r="AO14310" s="54">
        <v>19</v>
      </c>
      <c r="AP14310" s="54">
        <v>4</v>
      </c>
      <c r="AQ14310" s="54">
        <v>0</v>
      </c>
      <c r="AR14310" s="55">
        <v>28500</v>
      </c>
      <c r="AS14310" s="78">
        <f t="shared" si="227"/>
        <v>0</v>
      </c>
    </row>
    <row r="14311" spans="39:45">
      <c r="AM14311" s="55">
        <v>2020</v>
      </c>
      <c r="AN14311" s="55" t="s">
        <v>189</v>
      </c>
      <c r="AO14311" s="55">
        <v>19</v>
      </c>
      <c r="AP14311" s="55">
        <v>5</v>
      </c>
      <c r="AQ14311" s="55">
        <v>0</v>
      </c>
      <c r="AR14311" s="55">
        <v>28500</v>
      </c>
      <c r="AS14311" s="78">
        <f t="shared" si="227"/>
        <v>0</v>
      </c>
    </row>
    <row r="14312" spans="39:45">
      <c r="AM14312" s="54">
        <v>2020</v>
      </c>
      <c r="AN14312" s="54" t="s">
        <v>189</v>
      </c>
      <c r="AO14312" s="54">
        <v>19</v>
      </c>
      <c r="AP14312" s="54">
        <v>6</v>
      </c>
      <c r="AQ14312" s="54">
        <v>2230.5</v>
      </c>
      <c r="AR14312" s="55">
        <v>28500</v>
      </c>
      <c r="AS14312" s="78">
        <f t="shared" si="227"/>
        <v>7.826315789473684E-2</v>
      </c>
    </row>
    <row r="14313" spans="39:45">
      <c r="AM14313" s="55">
        <v>2020</v>
      </c>
      <c r="AN14313" s="55" t="s">
        <v>189</v>
      </c>
      <c r="AO14313" s="55">
        <v>19</v>
      </c>
      <c r="AP14313" s="55">
        <v>7</v>
      </c>
      <c r="AQ14313" s="55">
        <v>489</v>
      </c>
      <c r="AR14313" s="55">
        <v>28500</v>
      </c>
      <c r="AS14313" s="78">
        <f t="shared" si="227"/>
        <v>1.7157894736842105E-2</v>
      </c>
    </row>
    <row r="14314" spans="39:45">
      <c r="AM14314" s="54">
        <v>2020</v>
      </c>
      <c r="AN14314" s="54" t="s">
        <v>189</v>
      </c>
      <c r="AO14314" s="54">
        <v>19</v>
      </c>
      <c r="AP14314" s="54">
        <v>8</v>
      </c>
      <c r="AQ14314" s="54">
        <v>2497.5</v>
      </c>
      <c r="AR14314" s="55">
        <v>28500</v>
      </c>
      <c r="AS14314" s="78">
        <f t="shared" si="227"/>
        <v>8.7631578947368421E-2</v>
      </c>
    </row>
    <row r="14315" spans="39:45">
      <c r="AM14315" s="55">
        <v>2020</v>
      </c>
      <c r="AN14315" s="55" t="s">
        <v>189</v>
      </c>
      <c r="AO14315" s="55">
        <v>19</v>
      </c>
      <c r="AP14315" s="55">
        <v>9</v>
      </c>
      <c r="AQ14315" s="55">
        <v>2999</v>
      </c>
      <c r="AR14315" s="55">
        <v>28500</v>
      </c>
      <c r="AS14315" s="78">
        <f t="shared" si="227"/>
        <v>0.1052280701754386</v>
      </c>
    </row>
    <row r="14316" spans="39:45">
      <c r="AM14316" s="54">
        <v>2020</v>
      </c>
      <c r="AN14316" s="54" t="s">
        <v>189</v>
      </c>
      <c r="AO14316" s="54">
        <v>19</v>
      </c>
      <c r="AP14316" s="54">
        <v>10</v>
      </c>
      <c r="AQ14316" s="54">
        <v>2711.5</v>
      </c>
      <c r="AR14316" s="55">
        <v>28500</v>
      </c>
      <c r="AS14316" s="78">
        <f t="shared" si="227"/>
        <v>9.5140350877192983E-2</v>
      </c>
    </row>
    <row r="14317" spans="39:45">
      <c r="AM14317" s="55">
        <v>2020</v>
      </c>
      <c r="AN14317" s="55" t="s">
        <v>189</v>
      </c>
      <c r="AO14317" s="55">
        <v>19</v>
      </c>
      <c r="AP14317" s="55">
        <v>11</v>
      </c>
      <c r="AQ14317" s="55">
        <v>4250</v>
      </c>
      <c r="AR14317" s="55">
        <v>28500</v>
      </c>
      <c r="AS14317" s="78">
        <f t="shared" si="227"/>
        <v>0.14912280701754385</v>
      </c>
    </row>
    <row r="14318" spans="39:45">
      <c r="AM14318" s="54">
        <v>2020</v>
      </c>
      <c r="AN14318" s="54" t="s">
        <v>189</v>
      </c>
      <c r="AO14318" s="54">
        <v>19</v>
      </c>
      <c r="AP14318" s="54">
        <v>12</v>
      </c>
      <c r="AQ14318" s="54">
        <v>5244</v>
      </c>
      <c r="AR14318" s="55">
        <v>28500</v>
      </c>
      <c r="AS14318" s="78">
        <f t="shared" si="227"/>
        <v>0.184</v>
      </c>
    </row>
    <row r="14319" spans="39:45">
      <c r="AM14319" s="55">
        <v>2020</v>
      </c>
      <c r="AN14319" s="55" t="s">
        <v>189</v>
      </c>
      <c r="AO14319" s="55">
        <v>19</v>
      </c>
      <c r="AP14319" s="55">
        <v>13</v>
      </c>
      <c r="AQ14319" s="55">
        <v>3465</v>
      </c>
      <c r="AR14319" s="55">
        <v>28500</v>
      </c>
      <c r="AS14319" s="78">
        <f t="shared" si="227"/>
        <v>0.12157894736842105</v>
      </c>
    </row>
    <row r="14320" spans="39:45">
      <c r="AM14320" s="54">
        <v>2020</v>
      </c>
      <c r="AN14320" s="54" t="s">
        <v>189</v>
      </c>
      <c r="AO14320" s="54">
        <v>19</v>
      </c>
      <c r="AP14320" s="54">
        <v>14</v>
      </c>
      <c r="AQ14320" s="54">
        <v>3125</v>
      </c>
      <c r="AR14320" s="55">
        <v>28500</v>
      </c>
      <c r="AS14320" s="78">
        <f t="shared" si="227"/>
        <v>0.10964912280701754</v>
      </c>
    </row>
    <row r="14321" spans="39:45">
      <c r="AM14321" s="55">
        <v>2020</v>
      </c>
      <c r="AN14321" s="55" t="s">
        <v>189</v>
      </c>
      <c r="AO14321" s="55">
        <v>19</v>
      </c>
      <c r="AP14321" s="55">
        <v>15</v>
      </c>
      <c r="AQ14321" s="55">
        <v>6081</v>
      </c>
      <c r="AR14321" s="55">
        <v>28500</v>
      </c>
      <c r="AS14321" s="78">
        <f t="shared" si="227"/>
        <v>0.21336842105263157</v>
      </c>
    </row>
    <row r="14322" spans="39:45">
      <c r="AM14322" s="54">
        <v>2020</v>
      </c>
      <c r="AN14322" s="54" t="s">
        <v>189</v>
      </c>
      <c r="AO14322" s="54">
        <v>19</v>
      </c>
      <c r="AP14322" s="54">
        <v>16</v>
      </c>
      <c r="AQ14322" s="54">
        <v>3151.5</v>
      </c>
      <c r="AR14322" s="55">
        <v>28500</v>
      </c>
      <c r="AS14322" s="78">
        <f t="shared" si="227"/>
        <v>0.11057894736842105</v>
      </c>
    </row>
    <row r="14323" spans="39:45">
      <c r="AM14323" s="55">
        <v>2020</v>
      </c>
      <c r="AN14323" s="55" t="s">
        <v>189</v>
      </c>
      <c r="AO14323" s="55">
        <v>19</v>
      </c>
      <c r="AP14323" s="55">
        <v>17</v>
      </c>
      <c r="AQ14323" s="55">
        <v>2056</v>
      </c>
      <c r="AR14323" s="55">
        <v>28500</v>
      </c>
      <c r="AS14323" s="78">
        <f t="shared" si="227"/>
        <v>7.2140350877192977E-2</v>
      </c>
    </row>
    <row r="14324" spans="39:45">
      <c r="AM14324" s="54">
        <v>2020</v>
      </c>
      <c r="AN14324" s="54" t="s">
        <v>189</v>
      </c>
      <c r="AO14324" s="54">
        <v>19</v>
      </c>
      <c r="AP14324" s="54">
        <v>18</v>
      </c>
      <c r="AQ14324" s="54">
        <v>284.5</v>
      </c>
      <c r="AR14324" s="55">
        <v>28500</v>
      </c>
      <c r="AS14324" s="78">
        <f t="shared" si="227"/>
        <v>9.9824561403508774E-3</v>
      </c>
    </row>
    <row r="14325" spans="39:45">
      <c r="AM14325" s="55">
        <v>2020</v>
      </c>
      <c r="AN14325" s="55" t="s">
        <v>189</v>
      </c>
      <c r="AO14325" s="55">
        <v>19</v>
      </c>
      <c r="AP14325" s="55">
        <v>19</v>
      </c>
      <c r="AQ14325" s="55">
        <v>0</v>
      </c>
      <c r="AR14325" s="55">
        <v>28500</v>
      </c>
      <c r="AS14325" s="78">
        <f t="shared" si="227"/>
        <v>0</v>
      </c>
    </row>
    <row r="14326" spans="39:45">
      <c r="AM14326" s="54">
        <v>2020</v>
      </c>
      <c r="AN14326" s="54" t="s">
        <v>189</v>
      </c>
      <c r="AO14326" s="54">
        <v>19</v>
      </c>
      <c r="AP14326" s="54">
        <v>20</v>
      </c>
      <c r="AQ14326" s="54">
        <v>0</v>
      </c>
      <c r="AR14326" s="55">
        <v>28500</v>
      </c>
      <c r="AS14326" s="78">
        <f t="shared" si="227"/>
        <v>0</v>
      </c>
    </row>
    <row r="14327" spans="39:45">
      <c r="AM14327" s="55">
        <v>2020</v>
      </c>
      <c r="AN14327" s="55" t="s">
        <v>189</v>
      </c>
      <c r="AO14327" s="55">
        <v>19</v>
      </c>
      <c r="AP14327" s="55">
        <v>21</v>
      </c>
      <c r="AQ14327" s="55">
        <v>0</v>
      </c>
      <c r="AR14327" s="55">
        <v>28500</v>
      </c>
      <c r="AS14327" s="78">
        <f t="shared" si="227"/>
        <v>0</v>
      </c>
    </row>
    <row r="14328" spans="39:45">
      <c r="AM14328" s="54">
        <v>2020</v>
      </c>
      <c r="AN14328" s="54" t="s">
        <v>189</v>
      </c>
      <c r="AO14328" s="54">
        <v>19</v>
      </c>
      <c r="AP14328" s="54">
        <v>22</v>
      </c>
      <c r="AQ14328" s="54">
        <v>0</v>
      </c>
      <c r="AR14328" s="55">
        <v>28500</v>
      </c>
      <c r="AS14328" s="78">
        <f t="shared" si="227"/>
        <v>0</v>
      </c>
    </row>
    <row r="14329" spans="39:45">
      <c r="AM14329" s="55">
        <v>2020</v>
      </c>
      <c r="AN14329" s="55" t="s">
        <v>189</v>
      </c>
      <c r="AO14329" s="55">
        <v>19</v>
      </c>
      <c r="AP14329" s="55">
        <v>23</v>
      </c>
      <c r="AQ14329" s="55">
        <v>0</v>
      </c>
      <c r="AR14329" s="55">
        <v>28500</v>
      </c>
      <c r="AS14329" s="78">
        <f t="shared" si="227"/>
        <v>0</v>
      </c>
    </row>
    <row r="14330" spans="39:45">
      <c r="AM14330" s="54">
        <v>2020</v>
      </c>
      <c r="AN14330" s="54" t="s">
        <v>189</v>
      </c>
      <c r="AO14330" s="54">
        <v>20</v>
      </c>
      <c r="AP14330" s="54">
        <v>24</v>
      </c>
      <c r="AQ14330" s="54">
        <v>0</v>
      </c>
      <c r="AR14330" s="55">
        <v>28500</v>
      </c>
      <c r="AS14330" s="78">
        <f t="shared" si="227"/>
        <v>0</v>
      </c>
    </row>
    <row r="14331" spans="39:45">
      <c r="AM14331" s="55">
        <v>2020</v>
      </c>
      <c r="AN14331" s="55" t="s">
        <v>189</v>
      </c>
      <c r="AO14331" s="55">
        <v>20</v>
      </c>
      <c r="AP14331" s="55">
        <v>1</v>
      </c>
      <c r="AQ14331" s="55">
        <v>0</v>
      </c>
      <c r="AR14331" s="55">
        <v>28500</v>
      </c>
      <c r="AS14331" s="78">
        <f t="shared" si="227"/>
        <v>0</v>
      </c>
    </row>
    <row r="14332" spans="39:45">
      <c r="AM14332" s="54">
        <v>2020</v>
      </c>
      <c r="AN14332" s="54" t="s">
        <v>189</v>
      </c>
      <c r="AO14332" s="54">
        <v>20</v>
      </c>
      <c r="AP14332" s="54">
        <v>2</v>
      </c>
      <c r="AQ14332" s="54">
        <v>0</v>
      </c>
      <c r="AR14332" s="55">
        <v>28500</v>
      </c>
      <c r="AS14332" s="78">
        <f t="shared" si="227"/>
        <v>0</v>
      </c>
    </row>
    <row r="14333" spans="39:45">
      <c r="AM14333" s="55">
        <v>2020</v>
      </c>
      <c r="AN14333" s="55" t="s">
        <v>189</v>
      </c>
      <c r="AO14333" s="55">
        <v>20</v>
      </c>
      <c r="AP14333" s="55">
        <v>3</v>
      </c>
      <c r="AQ14333" s="55">
        <v>0</v>
      </c>
      <c r="AR14333" s="55">
        <v>28500</v>
      </c>
      <c r="AS14333" s="78">
        <f t="shared" si="227"/>
        <v>0</v>
      </c>
    </row>
    <row r="14334" spans="39:45">
      <c r="AM14334" s="54">
        <v>2020</v>
      </c>
      <c r="AN14334" s="54" t="s">
        <v>189</v>
      </c>
      <c r="AO14334" s="54">
        <v>20</v>
      </c>
      <c r="AP14334" s="54">
        <v>4</v>
      </c>
      <c r="AQ14334" s="54">
        <v>0</v>
      </c>
      <c r="AR14334" s="55">
        <v>28500</v>
      </c>
      <c r="AS14334" s="78">
        <f t="shared" si="227"/>
        <v>0</v>
      </c>
    </row>
    <row r="14335" spans="39:45">
      <c r="AM14335" s="55">
        <v>2020</v>
      </c>
      <c r="AN14335" s="55" t="s">
        <v>189</v>
      </c>
      <c r="AO14335" s="55">
        <v>20</v>
      </c>
      <c r="AP14335" s="55">
        <v>5</v>
      </c>
      <c r="AQ14335" s="55">
        <v>0</v>
      </c>
      <c r="AR14335" s="55">
        <v>28500</v>
      </c>
      <c r="AS14335" s="78">
        <f t="shared" si="227"/>
        <v>0</v>
      </c>
    </row>
    <row r="14336" spans="39:45">
      <c r="AM14336" s="54">
        <v>2020</v>
      </c>
      <c r="AN14336" s="54" t="s">
        <v>189</v>
      </c>
      <c r="AO14336" s="54">
        <v>20</v>
      </c>
      <c r="AP14336" s="54">
        <v>6</v>
      </c>
      <c r="AQ14336" s="54">
        <v>1722</v>
      </c>
      <c r="AR14336" s="55">
        <v>28500</v>
      </c>
      <c r="AS14336" s="78">
        <f t="shared" si="227"/>
        <v>6.0421052631578945E-2</v>
      </c>
    </row>
    <row r="14337" spans="39:45">
      <c r="AM14337" s="55">
        <v>2020</v>
      </c>
      <c r="AN14337" s="55" t="s">
        <v>189</v>
      </c>
      <c r="AO14337" s="55">
        <v>20</v>
      </c>
      <c r="AP14337" s="55">
        <v>7</v>
      </c>
      <c r="AQ14337" s="55">
        <v>10474</v>
      </c>
      <c r="AR14337" s="55">
        <v>28500</v>
      </c>
      <c r="AS14337" s="78">
        <f t="shared" si="227"/>
        <v>0.36750877192982456</v>
      </c>
    </row>
    <row r="14338" spans="39:45">
      <c r="AM14338" s="54">
        <v>2020</v>
      </c>
      <c r="AN14338" s="54" t="s">
        <v>189</v>
      </c>
      <c r="AO14338" s="54">
        <v>20</v>
      </c>
      <c r="AP14338" s="54">
        <v>8</v>
      </c>
      <c r="AQ14338" s="54">
        <v>17663.5</v>
      </c>
      <c r="AR14338" s="55">
        <v>28500</v>
      </c>
      <c r="AS14338" s="78">
        <f t="shared" ref="AS14338:AS14401" si="228">AQ14338/AR14338</f>
        <v>0.61977192982456142</v>
      </c>
    </row>
    <row r="14339" spans="39:45">
      <c r="AM14339" s="55">
        <v>2020</v>
      </c>
      <c r="AN14339" s="55" t="s">
        <v>189</v>
      </c>
      <c r="AO14339" s="55">
        <v>20</v>
      </c>
      <c r="AP14339" s="55">
        <v>9</v>
      </c>
      <c r="AQ14339" s="55">
        <v>11247</v>
      </c>
      <c r="AR14339" s="55">
        <v>28500</v>
      </c>
      <c r="AS14339" s="78">
        <f t="shared" si="228"/>
        <v>0.39463157894736844</v>
      </c>
    </row>
    <row r="14340" spans="39:45">
      <c r="AM14340" s="54">
        <v>2020</v>
      </c>
      <c r="AN14340" s="54" t="s">
        <v>189</v>
      </c>
      <c r="AO14340" s="54">
        <v>20</v>
      </c>
      <c r="AP14340" s="54">
        <v>10</v>
      </c>
      <c r="AQ14340" s="54">
        <v>33825.5</v>
      </c>
      <c r="AR14340" s="55">
        <v>28500</v>
      </c>
      <c r="AS14340" s="78">
        <f t="shared" si="228"/>
        <v>1.1868596491228069</v>
      </c>
    </row>
    <row r="14341" spans="39:45">
      <c r="AM14341" s="55">
        <v>2020</v>
      </c>
      <c r="AN14341" s="55" t="s">
        <v>189</v>
      </c>
      <c r="AO14341" s="55">
        <v>20</v>
      </c>
      <c r="AP14341" s="55">
        <v>11</v>
      </c>
      <c r="AQ14341" s="55">
        <v>28442.5</v>
      </c>
      <c r="AR14341" s="55">
        <v>28500</v>
      </c>
      <c r="AS14341" s="78">
        <f t="shared" si="228"/>
        <v>0.99798245614035086</v>
      </c>
    </row>
    <row r="14342" spans="39:45">
      <c r="AM14342" s="54">
        <v>2020</v>
      </c>
      <c r="AN14342" s="54" t="s">
        <v>189</v>
      </c>
      <c r="AO14342" s="54">
        <v>20</v>
      </c>
      <c r="AP14342" s="54">
        <v>12</v>
      </c>
      <c r="AQ14342" s="54">
        <v>34259.5</v>
      </c>
      <c r="AR14342" s="55">
        <v>28500</v>
      </c>
      <c r="AS14342" s="78">
        <f t="shared" si="228"/>
        <v>1.2020877192982455</v>
      </c>
    </row>
    <row r="14343" spans="39:45">
      <c r="AM14343" s="55">
        <v>2020</v>
      </c>
      <c r="AN14343" s="55" t="s">
        <v>189</v>
      </c>
      <c r="AO14343" s="55">
        <v>20</v>
      </c>
      <c r="AP14343" s="55">
        <v>13</v>
      </c>
      <c r="AQ14343" s="55">
        <v>38576.5</v>
      </c>
      <c r="AR14343" s="55">
        <v>28500</v>
      </c>
      <c r="AS14343" s="78">
        <f t="shared" si="228"/>
        <v>1.353561403508772</v>
      </c>
    </row>
    <row r="14344" spans="39:45">
      <c r="AM14344" s="54">
        <v>2020</v>
      </c>
      <c r="AN14344" s="54" t="s">
        <v>189</v>
      </c>
      <c r="AO14344" s="54">
        <v>20</v>
      </c>
      <c r="AP14344" s="54">
        <v>14</v>
      </c>
      <c r="AQ14344" s="54">
        <v>32872</v>
      </c>
      <c r="AR14344" s="55">
        <v>28500</v>
      </c>
      <c r="AS14344" s="78">
        <f t="shared" si="228"/>
        <v>1.1534035087719299</v>
      </c>
    </row>
    <row r="14345" spans="39:45">
      <c r="AM14345" s="55">
        <v>2020</v>
      </c>
      <c r="AN14345" s="55" t="s">
        <v>189</v>
      </c>
      <c r="AO14345" s="55">
        <v>20</v>
      </c>
      <c r="AP14345" s="55">
        <v>15</v>
      </c>
      <c r="AQ14345" s="55">
        <v>24712</v>
      </c>
      <c r="AR14345" s="55">
        <v>28500</v>
      </c>
      <c r="AS14345" s="78">
        <f t="shared" si="228"/>
        <v>0.86708771929824557</v>
      </c>
    </row>
    <row r="14346" spans="39:45">
      <c r="AM14346" s="54">
        <v>2020</v>
      </c>
      <c r="AN14346" s="54" t="s">
        <v>189</v>
      </c>
      <c r="AO14346" s="54">
        <v>20</v>
      </c>
      <c r="AP14346" s="54">
        <v>16</v>
      </c>
      <c r="AQ14346" s="54">
        <v>17521</v>
      </c>
      <c r="AR14346" s="55">
        <v>28500</v>
      </c>
      <c r="AS14346" s="78">
        <f t="shared" si="228"/>
        <v>0.61477192982456141</v>
      </c>
    </row>
    <row r="14347" spans="39:45">
      <c r="AM14347" s="55">
        <v>2020</v>
      </c>
      <c r="AN14347" s="55" t="s">
        <v>189</v>
      </c>
      <c r="AO14347" s="55">
        <v>20</v>
      </c>
      <c r="AP14347" s="55">
        <v>17</v>
      </c>
      <c r="AQ14347" s="55">
        <v>7666.5</v>
      </c>
      <c r="AR14347" s="55">
        <v>28500</v>
      </c>
      <c r="AS14347" s="78">
        <f t="shared" si="228"/>
        <v>0.26900000000000002</v>
      </c>
    </row>
    <row r="14348" spans="39:45">
      <c r="AM14348" s="54">
        <v>2020</v>
      </c>
      <c r="AN14348" s="54" t="s">
        <v>189</v>
      </c>
      <c r="AO14348" s="54">
        <v>20</v>
      </c>
      <c r="AP14348" s="54">
        <v>18</v>
      </c>
      <c r="AQ14348" s="54">
        <v>998</v>
      </c>
      <c r="AR14348" s="55">
        <v>28500</v>
      </c>
      <c r="AS14348" s="78">
        <f t="shared" si="228"/>
        <v>3.5017543859649121E-2</v>
      </c>
    </row>
    <row r="14349" spans="39:45">
      <c r="AM14349" s="55">
        <v>2020</v>
      </c>
      <c r="AN14349" s="55" t="s">
        <v>189</v>
      </c>
      <c r="AO14349" s="55">
        <v>20</v>
      </c>
      <c r="AP14349" s="55">
        <v>19</v>
      </c>
      <c r="AQ14349" s="55">
        <v>0</v>
      </c>
      <c r="AR14349" s="55">
        <v>28500</v>
      </c>
      <c r="AS14349" s="78">
        <f t="shared" si="228"/>
        <v>0</v>
      </c>
    </row>
    <row r="14350" spans="39:45">
      <c r="AM14350" s="54">
        <v>2020</v>
      </c>
      <c r="AN14350" s="54" t="s">
        <v>189</v>
      </c>
      <c r="AO14350" s="54">
        <v>20</v>
      </c>
      <c r="AP14350" s="54">
        <v>20</v>
      </c>
      <c r="AQ14350" s="54">
        <v>0</v>
      </c>
      <c r="AR14350" s="55">
        <v>28500</v>
      </c>
      <c r="AS14350" s="78">
        <f t="shared" si="228"/>
        <v>0</v>
      </c>
    </row>
    <row r="14351" spans="39:45">
      <c r="AM14351" s="55">
        <v>2020</v>
      </c>
      <c r="AN14351" s="55" t="s">
        <v>189</v>
      </c>
      <c r="AO14351" s="55">
        <v>20</v>
      </c>
      <c r="AP14351" s="55">
        <v>21</v>
      </c>
      <c r="AQ14351" s="55">
        <v>0</v>
      </c>
      <c r="AR14351" s="55">
        <v>28500</v>
      </c>
      <c r="AS14351" s="78">
        <f t="shared" si="228"/>
        <v>0</v>
      </c>
    </row>
    <row r="14352" spans="39:45">
      <c r="AM14352" s="54">
        <v>2020</v>
      </c>
      <c r="AN14352" s="54" t="s">
        <v>189</v>
      </c>
      <c r="AO14352" s="54">
        <v>20</v>
      </c>
      <c r="AP14352" s="54">
        <v>22</v>
      </c>
      <c r="AQ14352" s="54">
        <v>0</v>
      </c>
      <c r="AR14352" s="55">
        <v>28500</v>
      </c>
      <c r="AS14352" s="78">
        <f t="shared" si="228"/>
        <v>0</v>
      </c>
    </row>
    <row r="14353" spans="39:45">
      <c r="AM14353" s="55">
        <v>2020</v>
      </c>
      <c r="AN14353" s="55" t="s">
        <v>189</v>
      </c>
      <c r="AO14353" s="55">
        <v>20</v>
      </c>
      <c r="AP14353" s="55">
        <v>23</v>
      </c>
      <c r="AQ14353" s="55">
        <v>0</v>
      </c>
      <c r="AR14353" s="55">
        <v>28500</v>
      </c>
      <c r="AS14353" s="78">
        <f t="shared" si="228"/>
        <v>0</v>
      </c>
    </row>
    <row r="14354" spans="39:45">
      <c r="AM14354" s="54">
        <v>2020</v>
      </c>
      <c r="AN14354" s="54" t="s">
        <v>189</v>
      </c>
      <c r="AO14354" s="54">
        <v>21</v>
      </c>
      <c r="AP14354" s="54">
        <v>24</v>
      </c>
      <c r="AQ14354" s="54">
        <v>0</v>
      </c>
      <c r="AR14354" s="55">
        <v>28500</v>
      </c>
      <c r="AS14354" s="78">
        <f t="shared" si="228"/>
        <v>0</v>
      </c>
    </row>
    <row r="14355" spans="39:45">
      <c r="AM14355" s="55">
        <v>2020</v>
      </c>
      <c r="AN14355" s="55" t="s">
        <v>189</v>
      </c>
      <c r="AO14355" s="55">
        <v>21</v>
      </c>
      <c r="AP14355" s="55">
        <v>1</v>
      </c>
      <c r="AQ14355" s="55">
        <v>0</v>
      </c>
      <c r="AR14355" s="55">
        <v>28500</v>
      </c>
      <c r="AS14355" s="78">
        <f t="shared" si="228"/>
        <v>0</v>
      </c>
    </row>
    <row r="14356" spans="39:45">
      <c r="AM14356" s="54">
        <v>2020</v>
      </c>
      <c r="AN14356" s="54" t="s">
        <v>189</v>
      </c>
      <c r="AO14356" s="54">
        <v>21</v>
      </c>
      <c r="AP14356" s="54">
        <v>2</v>
      </c>
      <c r="AQ14356" s="54">
        <v>0</v>
      </c>
      <c r="AR14356" s="55">
        <v>28500</v>
      </c>
      <c r="AS14356" s="78">
        <f t="shared" si="228"/>
        <v>0</v>
      </c>
    </row>
    <row r="14357" spans="39:45">
      <c r="AM14357" s="55">
        <v>2020</v>
      </c>
      <c r="AN14357" s="55" t="s">
        <v>189</v>
      </c>
      <c r="AO14357" s="55">
        <v>21</v>
      </c>
      <c r="AP14357" s="55">
        <v>3</v>
      </c>
      <c r="AQ14357" s="55">
        <v>0</v>
      </c>
      <c r="AR14357" s="55">
        <v>28500</v>
      </c>
      <c r="AS14357" s="78">
        <f t="shared" si="228"/>
        <v>0</v>
      </c>
    </row>
    <row r="14358" spans="39:45">
      <c r="AM14358" s="54">
        <v>2020</v>
      </c>
      <c r="AN14358" s="54" t="s">
        <v>189</v>
      </c>
      <c r="AO14358" s="54">
        <v>21</v>
      </c>
      <c r="AP14358" s="54">
        <v>4</v>
      </c>
      <c r="AQ14358" s="54">
        <v>0</v>
      </c>
      <c r="AR14358" s="55">
        <v>28500</v>
      </c>
      <c r="AS14358" s="78">
        <f t="shared" si="228"/>
        <v>0</v>
      </c>
    </row>
    <row r="14359" spans="39:45">
      <c r="AM14359" s="55">
        <v>2020</v>
      </c>
      <c r="AN14359" s="55" t="s">
        <v>189</v>
      </c>
      <c r="AO14359" s="55">
        <v>21</v>
      </c>
      <c r="AP14359" s="55">
        <v>5</v>
      </c>
      <c r="AQ14359" s="55">
        <v>0</v>
      </c>
      <c r="AR14359" s="55">
        <v>28500</v>
      </c>
      <c r="AS14359" s="78">
        <f t="shared" si="228"/>
        <v>0</v>
      </c>
    </row>
    <row r="14360" spans="39:45">
      <c r="AM14360" s="54">
        <v>2020</v>
      </c>
      <c r="AN14360" s="54" t="s">
        <v>189</v>
      </c>
      <c r="AO14360" s="54">
        <v>21</v>
      </c>
      <c r="AP14360" s="54">
        <v>6</v>
      </c>
      <c r="AQ14360" s="54">
        <v>1233.5</v>
      </c>
      <c r="AR14360" s="55">
        <v>28500</v>
      </c>
      <c r="AS14360" s="78">
        <f t="shared" si="228"/>
        <v>4.3280701754385968E-2</v>
      </c>
    </row>
    <row r="14361" spans="39:45">
      <c r="AM14361" s="55">
        <v>2020</v>
      </c>
      <c r="AN14361" s="55" t="s">
        <v>189</v>
      </c>
      <c r="AO14361" s="55">
        <v>21</v>
      </c>
      <c r="AP14361" s="55">
        <v>7</v>
      </c>
      <c r="AQ14361" s="55">
        <v>4086</v>
      </c>
      <c r="AR14361" s="55">
        <v>28500</v>
      </c>
      <c r="AS14361" s="78">
        <f t="shared" si="228"/>
        <v>0.14336842105263159</v>
      </c>
    </row>
    <row r="14362" spans="39:45">
      <c r="AM14362" s="54">
        <v>2020</v>
      </c>
      <c r="AN14362" s="54" t="s">
        <v>189</v>
      </c>
      <c r="AO14362" s="54">
        <v>21</v>
      </c>
      <c r="AP14362" s="54">
        <v>8</v>
      </c>
      <c r="AQ14362" s="54">
        <v>8887.5</v>
      </c>
      <c r="AR14362" s="55">
        <v>28500</v>
      </c>
      <c r="AS14362" s="78">
        <f t="shared" si="228"/>
        <v>0.31184210526315792</v>
      </c>
    </row>
    <row r="14363" spans="39:45">
      <c r="AM14363" s="55">
        <v>2020</v>
      </c>
      <c r="AN14363" s="55" t="s">
        <v>189</v>
      </c>
      <c r="AO14363" s="55">
        <v>21</v>
      </c>
      <c r="AP14363" s="55">
        <v>9</v>
      </c>
      <c r="AQ14363" s="55">
        <v>14002.5</v>
      </c>
      <c r="AR14363" s="55">
        <v>28500</v>
      </c>
      <c r="AS14363" s="78">
        <f t="shared" si="228"/>
        <v>0.49131578947368421</v>
      </c>
    </row>
    <row r="14364" spans="39:45">
      <c r="AM14364" s="54">
        <v>2020</v>
      </c>
      <c r="AN14364" s="54" t="s">
        <v>189</v>
      </c>
      <c r="AO14364" s="54">
        <v>21</v>
      </c>
      <c r="AP14364" s="54">
        <v>10</v>
      </c>
      <c r="AQ14364" s="54">
        <v>6621</v>
      </c>
      <c r="AR14364" s="55">
        <v>28500</v>
      </c>
      <c r="AS14364" s="78">
        <f t="shared" si="228"/>
        <v>0.2323157894736842</v>
      </c>
    </row>
    <row r="14365" spans="39:45">
      <c r="AM14365" s="55">
        <v>2020</v>
      </c>
      <c r="AN14365" s="55" t="s">
        <v>189</v>
      </c>
      <c r="AO14365" s="55">
        <v>21</v>
      </c>
      <c r="AP14365" s="55">
        <v>11</v>
      </c>
      <c r="AQ14365" s="55">
        <v>13275.5</v>
      </c>
      <c r="AR14365" s="55">
        <v>28500</v>
      </c>
      <c r="AS14365" s="78">
        <f t="shared" si="228"/>
        <v>0.46580701754385967</v>
      </c>
    </row>
    <row r="14366" spans="39:45">
      <c r="AM14366" s="54">
        <v>2020</v>
      </c>
      <c r="AN14366" s="54" t="s">
        <v>189</v>
      </c>
      <c r="AO14366" s="54">
        <v>21</v>
      </c>
      <c r="AP14366" s="54">
        <v>12</v>
      </c>
      <c r="AQ14366" s="54">
        <v>21653.5</v>
      </c>
      <c r="AR14366" s="55">
        <v>28500</v>
      </c>
      <c r="AS14366" s="78">
        <f t="shared" si="228"/>
        <v>0.75977192982456143</v>
      </c>
    </row>
    <row r="14367" spans="39:45">
      <c r="AM14367" s="55">
        <v>2020</v>
      </c>
      <c r="AN14367" s="55" t="s">
        <v>189</v>
      </c>
      <c r="AO14367" s="55">
        <v>21</v>
      </c>
      <c r="AP14367" s="55">
        <v>13</v>
      </c>
      <c r="AQ14367" s="55">
        <v>8944</v>
      </c>
      <c r="AR14367" s="55">
        <v>28500</v>
      </c>
      <c r="AS14367" s="78">
        <f t="shared" si="228"/>
        <v>0.31382456140350878</v>
      </c>
    </row>
    <row r="14368" spans="39:45">
      <c r="AM14368" s="54">
        <v>2020</v>
      </c>
      <c r="AN14368" s="54" t="s">
        <v>189</v>
      </c>
      <c r="AO14368" s="54">
        <v>21</v>
      </c>
      <c r="AP14368" s="54">
        <v>14</v>
      </c>
      <c r="AQ14368" s="54">
        <v>11881.5</v>
      </c>
      <c r="AR14368" s="55">
        <v>28500</v>
      </c>
      <c r="AS14368" s="78">
        <f t="shared" si="228"/>
        <v>0.41689473684210526</v>
      </c>
    </row>
    <row r="14369" spans="39:45">
      <c r="AM14369" s="55">
        <v>2020</v>
      </c>
      <c r="AN14369" s="55" t="s">
        <v>189</v>
      </c>
      <c r="AO14369" s="55">
        <v>21</v>
      </c>
      <c r="AP14369" s="55">
        <v>15</v>
      </c>
      <c r="AQ14369" s="55">
        <v>17281.5</v>
      </c>
      <c r="AR14369" s="55">
        <v>28500</v>
      </c>
      <c r="AS14369" s="78">
        <f t="shared" si="228"/>
        <v>0.60636842105263156</v>
      </c>
    </row>
    <row r="14370" spans="39:45">
      <c r="AM14370" s="54">
        <v>2020</v>
      </c>
      <c r="AN14370" s="54" t="s">
        <v>189</v>
      </c>
      <c r="AO14370" s="54">
        <v>21</v>
      </c>
      <c r="AP14370" s="54">
        <v>16</v>
      </c>
      <c r="AQ14370" s="54">
        <v>14395</v>
      </c>
      <c r="AR14370" s="55">
        <v>28500</v>
      </c>
      <c r="AS14370" s="78">
        <f t="shared" si="228"/>
        <v>0.50508771929824559</v>
      </c>
    </row>
    <row r="14371" spans="39:45">
      <c r="AM14371" s="55">
        <v>2020</v>
      </c>
      <c r="AN14371" s="55" t="s">
        <v>189</v>
      </c>
      <c r="AO14371" s="55">
        <v>21</v>
      </c>
      <c r="AP14371" s="55">
        <v>17</v>
      </c>
      <c r="AQ14371" s="55">
        <v>7115</v>
      </c>
      <c r="AR14371" s="55">
        <v>28500</v>
      </c>
      <c r="AS14371" s="78">
        <f t="shared" si="228"/>
        <v>0.24964912280701754</v>
      </c>
    </row>
    <row r="14372" spans="39:45">
      <c r="AM14372" s="54">
        <v>2020</v>
      </c>
      <c r="AN14372" s="54" t="s">
        <v>189</v>
      </c>
      <c r="AO14372" s="54">
        <v>21</v>
      </c>
      <c r="AP14372" s="54">
        <v>18</v>
      </c>
      <c r="AQ14372" s="54">
        <v>1046.5</v>
      </c>
      <c r="AR14372" s="55">
        <v>28500</v>
      </c>
      <c r="AS14372" s="78">
        <f t="shared" si="228"/>
        <v>3.6719298245614033E-2</v>
      </c>
    </row>
    <row r="14373" spans="39:45">
      <c r="AM14373" s="55">
        <v>2020</v>
      </c>
      <c r="AN14373" s="55" t="s">
        <v>189</v>
      </c>
      <c r="AO14373" s="55">
        <v>21</v>
      </c>
      <c r="AP14373" s="55">
        <v>19</v>
      </c>
      <c r="AQ14373" s="55">
        <v>0</v>
      </c>
      <c r="AR14373" s="55">
        <v>28500</v>
      </c>
      <c r="AS14373" s="78">
        <f t="shared" si="228"/>
        <v>0</v>
      </c>
    </row>
    <row r="14374" spans="39:45">
      <c r="AM14374" s="54">
        <v>2020</v>
      </c>
      <c r="AN14374" s="54" t="s">
        <v>189</v>
      </c>
      <c r="AO14374" s="54">
        <v>21</v>
      </c>
      <c r="AP14374" s="54">
        <v>20</v>
      </c>
      <c r="AQ14374" s="54">
        <v>0</v>
      </c>
      <c r="AR14374" s="55">
        <v>28500</v>
      </c>
      <c r="AS14374" s="78">
        <f t="shared" si="228"/>
        <v>0</v>
      </c>
    </row>
    <row r="14375" spans="39:45">
      <c r="AM14375" s="55">
        <v>2020</v>
      </c>
      <c r="AN14375" s="55" t="s">
        <v>189</v>
      </c>
      <c r="AO14375" s="55">
        <v>21</v>
      </c>
      <c r="AP14375" s="55">
        <v>21</v>
      </c>
      <c r="AQ14375" s="55">
        <v>0</v>
      </c>
      <c r="AR14375" s="55">
        <v>28500</v>
      </c>
      <c r="AS14375" s="78">
        <f t="shared" si="228"/>
        <v>0</v>
      </c>
    </row>
    <row r="14376" spans="39:45">
      <c r="AM14376" s="54">
        <v>2020</v>
      </c>
      <c r="AN14376" s="54" t="s">
        <v>189</v>
      </c>
      <c r="AO14376" s="54">
        <v>21</v>
      </c>
      <c r="AP14376" s="54">
        <v>22</v>
      </c>
      <c r="AQ14376" s="54">
        <v>0</v>
      </c>
      <c r="AR14376" s="55">
        <v>28500</v>
      </c>
      <c r="AS14376" s="78">
        <f t="shared" si="228"/>
        <v>0</v>
      </c>
    </row>
    <row r="14377" spans="39:45">
      <c r="AM14377" s="55">
        <v>2020</v>
      </c>
      <c r="AN14377" s="55" t="s">
        <v>189</v>
      </c>
      <c r="AO14377" s="55">
        <v>21</v>
      </c>
      <c r="AP14377" s="55">
        <v>23</v>
      </c>
      <c r="AQ14377" s="55">
        <v>0</v>
      </c>
      <c r="AR14377" s="55">
        <v>28500</v>
      </c>
      <c r="AS14377" s="78">
        <f t="shared" si="228"/>
        <v>0</v>
      </c>
    </row>
    <row r="14378" spans="39:45">
      <c r="AM14378" s="54">
        <v>2020</v>
      </c>
      <c r="AN14378" s="54" t="s">
        <v>189</v>
      </c>
      <c r="AO14378" s="54">
        <v>22</v>
      </c>
      <c r="AP14378" s="54">
        <v>24</v>
      </c>
      <c r="AQ14378" s="54">
        <v>0</v>
      </c>
      <c r="AR14378" s="55">
        <v>28500</v>
      </c>
      <c r="AS14378" s="78">
        <f t="shared" si="228"/>
        <v>0</v>
      </c>
    </row>
    <row r="14379" spans="39:45">
      <c r="AM14379" s="55">
        <v>2020</v>
      </c>
      <c r="AN14379" s="55" t="s">
        <v>189</v>
      </c>
      <c r="AO14379" s="55">
        <v>22</v>
      </c>
      <c r="AP14379" s="55">
        <v>1</v>
      </c>
      <c r="AQ14379" s="55">
        <v>0</v>
      </c>
      <c r="AR14379" s="55">
        <v>28500</v>
      </c>
      <c r="AS14379" s="78">
        <f t="shared" si="228"/>
        <v>0</v>
      </c>
    </row>
    <row r="14380" spans="39:45">
      <c r="AM14380" s="54">
        <v>2020</v>
      </c>
      <c r="AN14380" s="54" t="s">
        <v>189</v>
      </c>
      <c r="AO14380" s="54">
        <v>22</v>
      </c>
      <c r="AP14380" s="54">
        <v>2</v>
      </c>
      <c r="AQ14380" s="54">
        <v>0</v>
      </c>
      <c r="AR14380" s="55">
        <v>28500</v>
      </c>
      <c r="AS14380" s="78">
        <f t="shared" si="228"/>
        <v>0</v>
      </c>
    </row>
    <row r="14381" spans="39:45">
      <c r="AM14381" s="55">
        <v>2020</v>
      </c>
      <c r="AN14381" s="55" t="s">
        <v>189</v>
      </c>
      <c r="AO14381" s="55">
        <v>22</v>
      </c>
      <c r="AP14381" s="55">
        <v>3</v>
      </c>
      <c r="AQ14381" s="55">
        <v>0</v>
      </c>
      <c r="AR14381" s="55">
        <v>28500</v>
      </c>
      <c r="AS14381" s="78">
        <f t="shared" si="228"/>
        <v>0</v>
      </c>
    </row>
    <row r="14382" spans="39:45">
      <c r="AM14382" s="54">
        <v>2020</v>
      </c>
      <c r="AN14382" s="54" t="s">
        <v>189</v>
      </c>
      <c r="AO14382" s="54">
        <v>22</v>
      </c>
      <c r="AP14382" s="54">
        <v>4</v>
      </c>
      <c r="AQ14382" s="54">
        <v>0</v>
      </c>
      <c r="AR14382" s="55">
        <v>28500</v>
      </c>
      <c r="AS14382" s="78">
        <f t="shared" si="228"/>
        <v>0</v>
      </c>
    </row>
    <row r="14383" spans="39:45">
      <c r="AM14383" s="55">
        <v>2020</v>
      </c>
      <c r="AN14383" s="55" t="s">
        <v>189</v>
      </c>
      <c r="AO14383" s="55">
        <v>22</v>
      </c>
      <c r="AP14383" s="55">
        <v>5</v>
      </c>
      <c r="AQ14383" s="55">
        <v>0</v>
      </c>
      <c r="AR14383" s="55">
        <v>28500</v>
      </c>
      <c r="AS14383" s="78">
        <f t="shared" si="228"/>
        <v>0</v>
      </c>
    </row>
    <row r="14384" spans="39:45">
      <c r="AM14384" s="54">
        <v>2020</v>
      </c>
      <c r="AN14384" s="54" t="s">
        <v>189</v>
      </c>
      <c r="AO14384" s="54">
        <v>22</v>
      </c>
      <c r="AP14384" s="54">
        <v>6</v>
      </c>
      <c r="AQ14384" s="54">
        <v>1988.5</v>
      </c>
      <c r="AR14384" s="55">
        <v>28500</v>
      </c>
      <c r="AS14384" s="78">
        <f t="shared" si="228"/>
        <v>6.9771929824561402E-2</v>
      </c>
    </row>
    <row r="14385" spans="39:45">
      <c r="AM14385" s="55">
        <v>2020</v>
      </c>
      <c r="AN14385" s="55" t="s">
        <v>189</v>
      </c>
      <c r="AO14385" s="55">
        <v>22</v>
      </c>
      <c r="AP14385" s="55">
        <v>7</v>
      </c>
      <c r="AQ14385" s="55">
        <v>9642</v>
      </c>
      <c r="AR14385" s="55">
        <v>28500</v>
      </c>
      <c r="AS14385" s="78">
        <f t="shared" si="228"/>
        <v>0.33831578947368424</v>
      </c>
    </row>
    <row r="14386" spans="39:45">
      <c r="AM14386" s="54">
        <v>2020</v>
      </c>
      <c r="AN14386" s="54" t="s">
        <v>189</v>
      </c>
      <c r="AO14386" s="54">
        <v>22</v>
      </c>
      <c r="AP14386" s="54">
        <v>8</v>
      </c>
      <c r="AQ14386" s="54">
        <v>14907</v>
      </c>
      <c r="AR14386" s="55">
        <v>28500</v>
      </c>
      <c r="AS14386" s="78">
        <f t="shared" si="228"/>
        <v>0.52305263157894732</v>
      </c>
    </row>
    <row r="14387" spans="39:45">
      <c r="AM14387" s="55">
        <v>2020</v>
      </c>
      <c r="AN14387" s="55" t="s">
        <v>189</v>
      </c>
      <c r="AO14387" s="55">
        <v>22</v>
      </c>
      <c r="AP14387" s="55">
        <v>9</v>
      </c>
      <c r="AQ14387" s="55">
        <v>16207</v>
      </c>
      <c r="AR14387" s="55">
        <v>28500</v>
      </c>
      <c r="AS14387" s="78">
        <f t="shared" si="228"/>
        <v>0.56866666666666665</v>
      </c>
    </row>
    <row r="14388" spans="39:45">
      <c r="AM14388" s="54">
        <v>2020</v>
      </c>
      <c r="AN14388" s="54" t="s">
        <v>189</v>
      </c>
      <c r="AO14388" s="54">
        <v>22</v>
      </c>
      <c r="AP14388" s="54">
        <v>10</v>
      </c>
      <c r="AQ14388" s="54">
        <v>33359.5</v>
      </c>
      <c r="AR14388" s="55">
        <v>28500</v>
      </c>
      <c r="AS14388" s="78">
        <f t="shared" si="228"/>
        <v>1.1705087719298246</v>
      </c>
    </row>
    <row r="14389" spans="39:45">
      <c r="AM14389" s="55">
        <v>2020</v>
      </c>
      <c r="AN14389" s="55" t="s">
        <v>189</v>
      </c>
      <c r="AO14389" s="55">
        <v>22</v>
      </c>
      <c r="AP14389" s="55">
        <v>11</v>
      </c>
      <c r="AQ14389" s="55">
        <v>29731.5</v>
      </c>
      <c r="AR14389" s="55">
        <v>28500</v>
      </c>
      <c r="AS14389" s="78">
        <f t="shared" si="228"/>
        <v>1.0432105263157894</v>
      </c>
    </row>
    <row r="14390" spans="39:45">
      <c r="AM14390" s="54">
        <v>2020</v>
      </c>
      <c r="AN14390" s="54" t="s">
        <v>189</v>
      </c>
      <c r="AO14390" s="54">
        <v>22</v>
      </c>
      <c r="AP14390" s="54">
        <v>12</v>
      </c>
      <c r="AQ14390" s="54">
        <v>39744</v>
      </c>
      <c r="AR14390" s="55">
        <v>28500</v>
      </c>
      <c r="AS14390" s="78">
        <f t="shared" si="228"/>
        <v>1.3945263157894736</v>
      </c>
    </row>
    <row r="14391" spans="39:45">
      <c r="AM14391" s="55">
        <v>2020</v>
      </c>
      <c r="AN14391" s="55" t="s">
        <v>189</v>
      </c>
      <c r="AO14391" s="55">
        <v>22</v>
      </c>
      <c r="AP14391" s="55">
        <v>13</v>
      </c>
      <c r="AQ14391" s="55">
        <v>12256.5</v>
      </c>
      <c r="AR14391" s="55">
        <v>28500</v>
      </c>
      <c r="AS14391" s="78">
        <f t="shared" si="228"/>
        <v>0.43005263157894735</v>
      </c>
    </row>
    <row r="14392" spans="39:45">
      <c r="AM14392" s="54">
        <v>2020</v>
      </c>
      <c r="AN14392" s="54" t="s">
        <v>189</v>
      </c>
      <c r="AO14392" s="54">
        <v>22</v>
      </c>
      <c r="AP14392" s="54">
        <v>14</v>
      </c>
      <c r="AQ14392" s="54">
        <v>28497.5</v>
      </c>
      <c r="AR14392" s="55">
        <v>28500</v>
      </c>
      <c r="AS14392" s="78">
        <f t="shared" si="228"/>
        <v>0.99991228070175442</v>
      </c>
    </row>
    <row r="14393" spans="39:45">
      <c r="AM14393" s="55">
        <v>2020</v>
      </c>
      <c r="AN14393" s="55" t="s">
        <v>189</v>
      </c>
      <c r="AO14393" s="55">
        <v>22</v>
      </c>
      <c r="AP14393" s="55">
        <v>15</v>
      </c>
      <c r="AQ14393" s="55">
        <v>21449</v>
      </c>
      <c r="AR14393" s="55">
        <v>28500</v>
      </c>
      <c r="AS14393" s="78">
        <f t="shared" si="228"/>
        <v>0.75259649122807015</v>
      </c>
    </row>
    <row r="14394" spans="39:45">
      <c r="AM14394" s="54">
        <v>2020</v>
      </c>
      <c r="AN14394" s="54" t="s">
        <v>189</v>
      </c>
      <c r="AO14394" s="54">
        <v>22</v>
      </c>
      <c r="AP14394" s="54">
        <v>16</v>
      </c>
      <c r="AQ14394" s="54">
        <v>12548.5</v>
      </c>
      <c r="AR14394" s="55">
        <v>28500</v>
      </c>
      <c r="AS14394" s="78">
        <f t="shared" si="228"/>
        <v>0.44029824561403508</v>
      </c>
    </row>
    <row r="14395" spans="39:45">
      <c r="AM14395" s="55">
        <v>2020</v>
      </c>
      <c r="AN14395" s="55" t="s">
        <v>189</v>
      </c>
      <c r="AO14395" s="55">
        <v>22</v>
      </c>
      <c r="AP14395" s="55">
        <v>17</v>
      </c>
      <c r="AQ14395" s="55">
        <v>6111</v>
      </c>
      <c r="AR14395" s="55">
        <v>28500</v>
      </c>
      <c r="AS14395" s="78">
        <f t="shared" si="228"/>
        <v>0.21442105263157896</v>
      </c>
    </row>
    <row r="14396" spans="39:45">
      <c r="AM14396" s="54">
        <v>2020</v>
      </c>
      <c r="AN14396" s="54" t="s">
        <v>189</v>
      </c>
      <c r="AO14396" s="54">
        <v>22</v>
      </c>
      <c r="AP14396" s="54">
        <v>18</v>
      </c>
      <c r="AQ14396" s="54">
        <v>1235</v>
      </c>
      <c r="AR14396" s="55">
        <v>28500</v>
      </c>
      <c r="AS14396" s="78">
        <f t="shared" si="228"/>
        <v>4.3333333333333335E-2</v>
      </c>
    </row>
    <row r="14397" spans="39:45">
      <c r="AM14397" s="55">
        <v>2020</v>
      </c>
      <c r="AN14397" s="55" t="s">
        <v>189</v>
      </c>
      <c r="AO14397" s="55">
        <v>22</v>
      </c>
      <c r="AP14397" s="55">
        <v>19</v>
      </c>
      <c r="AQ14397" s="55">
        <v>0</v>
      </c>
      <c r="AR14397" s="55">
        <v>28500</v>
      </c>
      <c r="AS14397" s="78">
        <f t="shared" si="228"/>
        <v>0</v>
      </c>
    </row>
    <row r="14398" spans="39:45">
      <c r="AM14398" s="54">
        <v>2020</v>
      </c>
      <c r="AN14398" s="54" t="s">
        <v>189</v>
      </c>
      <c r="AO14398" s="54">
        <v>22</v>
      </c>
      <c r="AP14398" s="54">
        <v>20</v>
      </c>
      <c r="AQ14398" s="54">
        <v>0</v>
      </c>
      <c r="AR14398" s="55">
        <v>28500</v>
      </c>
      <c r="AS14398" s="78">
        <f t="shared" si="228"/>
        <v>0</v>
      </c>
    </row>
    <row r="14399" spans="39:45">
      <c r="AM14399" s="55">
        <v>2020</v>
      </c>
      <c r="AN14399" s="55" t="s">
        <v>189</v>
      </c>
      <c r="AO14399" s="55">
        <v>22</v>
      </c>
      <c r="AP14399" s="55">
        <v>21</v>
      </c>
      <c r="AQ14399" s="55">
        <v>0</v>
      </c>
      <c r="AR14399" s="55">
        <v>28500</v>
      </c>
      <c r="AS14399" s="78">
        <f t="shared" si="228"/>
        <v>0</v>
      </c>
    </row>
    <row r="14400" spans="39:45">
      <c r="AM14400" s="54">
        <v>2020</v>
      </c>
      <c r="AN14400" s="54" t="s">
        <v>189</v>
      </c>
      <c r="AO14400" s="54">
        <v>22</v>
      </c>
      <c r="AP14400" s="54">
        <v>22</v>
      </c>
      <c r="AQ14400" s="54">
        <v>0</v>
      </c>
      <c r="AR14400" s="55">
        <v>28500</v>
      </c>
      <c r="AS14400" s="78">
        <f t="shared" si="228"/>
        <v>0</v>
      </c>
    </row>
    <row r="14401" spans="39:45">
      <c r="AM14401" s="55">
        <v>2020</v>
      </c>
      <c r="AN14401" s="55" t="s">
        <v>189</v>
      </c>
      <c r="AO14401" s="55">
        <v>22</v>
      </c>
      <c r="AP14401" s="55">
        <v>23</v>
      </c>
      <c r="AQ14401" s="55">
        <v>0</v>
      </c>
      <c r="AR14401" s="55">
        <v>28500</v>
      </c>
      <c r="AS14401" s="78">
        <f t="shared" si="228"/>
        <v>0</v>
      </c>
    </row>
    <row r="14402" spans="39:45">
      <c r="AM14402" s="54">
        <v>2020</v>
      </c>
      <c r="AN14402" s="54" t="s">
        <v>189</v>
      </c>
      <c r="AO14402" s="54">
        <v>23</v>
      </c>
      <c r="AP14402" s="54">
        <v>24</v>
      </c>
      <c r="AQ14402" s="54">
        <v>0</v>
      </c>
      <c r="AR14402" s="55">
        <v>28500</v>
      </c>
      <c r="AS14402" s="78">
        <f t="shared" ref="AS14402:AS14465" si="229">AQ14402/AR14402</f>
        <v>0</v>
      </c>
    </row>
    <row r="14403" spans="39:45">
      <c r="AM14403" s="55">
        <v>2020</v>
      </c>
      <c r="AN14403" s="55" t="s">
        <v>189</v>
      </c>
      <c r="AO14403" s="55">
        <v>23</v>
      </c>
      <c r="AP14403" s="55">
        <v>1</v>
      </c>
      <c r="AQ14403" s="55">
        <v>0</v>
      </c>
      <c r="AR14403" s="55">
        <v>28500</v>
      </c>
      <c r="AS14403" s="78">
        <f t="shared" si="229"/>
        <v>0</v>
      </c>
    </row>
    <row r="14404" spans="39:45">
      <c r="AM14404" s="54">
        <v>2020</v>
      </c>
      <c r="AN14404" s="54" t="s">
        <v>189</v>
      </c>
      <c r="AO14404" s="54">
        <v>23</v>
      </c>
      <c r="AP14404" s="54">
        <v>2</v>
      </c>
      <c r="AQ14404" s="54">
        <v>0</v>
      </c>
      <c r="AR14404" s="55">
        <v>28500</v>
      </c>
      <c r="AS14404" s="78">
        <f t="shared" si="229"/>
        <v>0</v>
      </c>
    </row>
    <row r="14405" spans="39:45">
      <c r="AM14405" s="55">
        <v>2020</v>
      </c>
      <c r="AN14405" s="55" t="s">
        <v>189</v>
      </c>
      <c r="AO14405" s="55">
        <v>23</v>
      </c>
      <c r="AP14405" s="55">
        <v>3</v>
      </c>
      <c r="AQ14405" s="55">
        <v>0</v>
      </c>
      <c r="AR14405" s="55">
        <v>28500</v>
      </c>
      <c r="AS14405" s="78">
        <f t="shared" si="229"/>
        <v>0</v>
      </c>
    </row>
    <row r="14406" spans="39:45">
      <c r="AM14406" s="54">
        <v>2020</v>
      </c>
      <c r="AN14406" s="54" t="s">
        <v>189</v>
      </c>
      <c r="AO14406" s="54">
        <v>23</v>
      </c>
      <c r="AP14406" s="54">
        <v>4</v>
      </c>
      <c r="AQ14406" s="54">
        <v>0</v>
      </c>
      <c r="AR14406" s="55">
        <v>28500</v>
      </c>
      <c r="AS14406" s="78">
        <f t="shared" si="229"/>
        <v>0</v>
      </c>
    </row>
    <row r="14407" spans="39:45">
      <c r="AM14407" s="55">
        <v>2020</v>
      </c>
      <c r="AN14407" s="55" t="s">
        <v>189</v>
      </c>
      <c r="AO14407" s="55">
        <v>23</v>
      </c>
      <c r="AP14407" s="55">
        <v>5</v>
      </c>
      <c r="AQ14407" s="55">
        <v>0</v>
      </c>
      <c r="AR14407" s="55">
        <v>28500</v>
      </c>
      <c r="AS14407" s="78">
        <f t="shared" si="229"/>
        <v>0</v>
      </c>
    </row>
    <row r="14408" spans="39:45">
      <c r="AM14408" s="54">
        <v>2020</v>
      </c>
      <c r="AN14408" s="54" t="s">
        <v>189</v>
      </c>
      <c r="AO14408" s="54">
        <v>23</v>
      </c>
      <c r="AP14408" s="54">
        <v>6</v>
      </c>
      <c r="AQ14408" s="54">
        <v>2092.5</v>
      </c>
      <c r="AR14408" s="55">
        <v>28500</v>
      </c>
      <c r="AS14408" s="78">
        <f t="shared" si="229"/>
        <v>7.3421052631578942E-2</v>
      </c>
    </row>
    <row r="14409" spans="39:45">
      <c r="AM14409" s="55">
        <v>2020</v>
      </c>
      <c r="AN14409" s="55" t="s">
        <v>189</v>
      </c>
      <c r="AO14409" s="55">
        <v>23</v>
      </c>
      <c r="AP14409" s="55">
        <v>7</v>
      </c>
      <c r="AQ14409" s="55">
        <v>9757</v>
      </c>
      <c r="AR14409" s="55">
        <v>28500</v>
      </c>
      <c r="AS14409" s="78">
        <f t="shared" si="229"/>
        <v>0.34235087719298246</v>
      </c>
    </row>
    <row r="14410" spans="39:45">
      <c r="AM14410" s="54">
        <v>2020</v>
      </c>
      <c r="AN14410" s="54" t="s">
        <v>189</v>
      </c>
      <c r="AO14410" s="54">
        <v>23</v>
      </c>
      <c r="AP14410" s="54">
        <v>8</v>
      </c>
      <c r="AQ14410" s="54">
        <v>15169</v>
      </c>
      <c r="AR14410" s="55">
        <v>28500</v>
      </c>
      <c r="AS14410" s="78">
        <f t="shared" si="229"/>
        <v>0.53224561403508774</v>
      </c>
    </row>
    <row r="14411" spans="39:45">
      <c r="AM14411" s="55">
        <v>2020</v>
      </c>
      <c r="AN14411" s="55" t="s">
        <v>189</v>
      </c>
      <c r="AO14411" s="55">
        <v>23</v>
      </c>
      <c r="AP14411" s="55">
        <v>9</v>
      </c>
      <c r="AQ14411" s="55">
        <v>13523</v>
      </c>
      <c r="AR14411" s="55">
        <v>28500</v>
      </c>
      <c r="AS14411" s="78">
        <f t="shared" si="229"/>
        <v>0.47449122807017546</v>
      </c>
    </row>
    <row r="14412" spans="39:45">
      <c r="AM14412" s="54">
        <v>2020</v>
      </c>
      <c r="AN14412" s="54" t="s">
        <v>189</v>
      </c>
      <c r="AO14412" s="54">
        <v>23</v>
      </c>
      <c r="AP14412" s="54">
        <v>10</v>
      </c>
      <c r="AQ14412" s="54">
        <v>11942</v>
      </c>
      <c r="AR14412" s="55">
        <v>28500</v>
      </c>
      <c r="AS14412" s="78">
        <f t="shared" si="229"/>
        <v>0.41901754385964912</v>
      </c>
    </row>
    <row r="14413" spans="39:45">
      <c r="AM14413" s="55">
        <v>2020</v>
      </c>
      <c r="AN14413" s="55" t="s">
        <v>189</v>
      </c>
      <c r="AO14413" s="55">
        <v>23</v>
      </c>
      <c r="AP14413" s="55">
        <v>11</v>
      </c>
      <c r="AQ14413" s="55">
        <v>9510</v>
      </c>
      <c r="AR14413" s="55">
        <v>28500</v>
      </c>
      <c r="AS14413" s="78">
        <f t="shared" si="229"/>
        <v>0.33368421052631581</v>
      </c>
    </row>
    <row r="14414" spans="39:45">
      <c r="AM14414" s="54">
        <v>2020</v>
      </c>
      <c r="AN14414" s="54" t="s">
        <v>189</v>
      </c>
      <c r="AO14414" s="54">
        <v>23</v>
      </c>
      <c r="AP14414" s="54">
        <v>12</v>
      </c>
      <c r="AQ14414" s="54">
        <v>15429.5</v>
      </c>
      <c r="AR14414" s="55">
        <v>28500</v>
      </c>
      <c r="AS14414" s="78">
        <f t="shared" si="229"/>
        <v>0.54138596491228075</v>
      </c>
    </row>
    <row r="14415" spans="39:45">
      <c r="AM14415" s="55">
        <v>2020</v>
      </c>
      <c r="AN14415" s="55" t="s">
        <v>189</v>
      </c>
      <c r="AO14415" s="55">
        <v>23</v>
      </c>
      <c r="AP14415" s="55">
        <v>13</v>
      </c>
      <c r="AQ14415" s="55">
        <v>16208.5</v>
      </c>
      <c r="AR14415" s="55">
        <v>28500</v>
      </c>
      <c r="AS14415" s="78">
        <f t="shared" si="229"/>
        <v>0.56871929824561407</v>
      </c>
    </row>
    <row r="14416" spans="39:45">
      <c r="AM14416" s="54">
        <v>2020</v>
      </c>
      <c r="AN14416" s="54" t="s">
        <v>189</v>
      </c>
      <c r="AO14416" s="54">
        <v>23</v>
      </c>
      <c r="AP14416" s="54">
        <v>14</v>
      </c>
      <c r="AQ14416" s="54">
        <v>8193</v>
      </c>
      <c r="AR14416" s="55">
        <v>28500</v>
      </c>
      <c r="AS14416" s="78">
        <f t="shared" si="229"/>
        <v>0.28747368421052633</v>
      </c>
    </row>
    <row r="14417" spans="39:45">
      <c r="AM14417" s="55">
        <v>2020</v>
      </c>
      <c r="AN14417" s="55" t="s">
        <v>189</v>
      </c>
      <c r="AO14417" s="55">
        <v>23</v>
      </c>
      <c r="AP14417" s="55">
        <v>15</v>
      </c>
      <c r="AQ14417" s="55">
        <v>20803</v>
      </c>
      <c r="AR14417" s="55">
        <v>28500</v>
      </c>
      <c r="AS14417" s="78">
        <f t="shared" si="229"/>
        <v>0.72992982456140354</v>
      </c>
    </row>
    <row r="14418" spans="39:45">
      <c r="AM14418" s="54">
        <v>2020</v>
      </c>
      <c r="AN14418" s="54" t="s">
        <v>189</v>
      </c>
      <c r="AO14418" s="54">
        <v>23</v>
      </c>
      <c r="AP14418" s="54">
        <v>16</v>
      </c>
      <c r="AQ14418" s="54">
        <v>14856</v>
      </c>
      <c r="AR14418" s="55">
        <v>28500</v>
      </c>
      <c r="AS14418" s="78">
        <f t="shared" si="229"/>
        <v>0.52126315789473687</v>
      </c>
    </row>
    <row r="14419" spans="39:45">
      <c r="AM14419" s="55">
        <v>2020</v>
      </c>
      <c r="AN14419" s="55" t="s">
        <v>189</v>
      </c>
      <c r="AO14419" s="55">
        <v>23</v>
      </c>
      <c r="AP14419" s="55">
        <v>17</v>
      </c>
      <c r="AQ14419" s="55">
        <v>5765.5</v>
      </c>
      <c r="AR14419" s="55">
        <v>28500</v>
      </c>
      <c r="AS14419" s="78">
        <f t="shared" si="229"/>
        <v>0.20229824561403509</v>
      </c>
    </row>
    <row r="14420" spans="39:45">
      <c r="AM14420" s="54">
        <v>2020</v>
      </c>
      <c r="AN14420" s="54" t="s">
        <v>189</v>
      </c>
      <c r="AO14420" s="54">
        <v>23</v>
      </c>
      <c r="AP14420" s="54">
        <v>18</v>
      </c>
      <c r="AQ14420" s="54">
        <v>1029</v>
      </c>
      <c r="AR14420" s="55">
        <v>28500</v>
      </c>
      <c r="AS14420" s="78">
        <f t="shared" si="229"/>
        <v>3.6105263157894738E-2</v>
      </c>
    </row>
    <row r="14421" spans="39:45">
      <c r="AM14421" s="55">
        <v>2020</v>
      </c>
      <c r="AN14421" s="55" t="s">
        <v>189</v>
      </c>
      <c r="AO14421" s="55">
        <v>23</v>
      </c>
      <c r="AP14421" s="55">
        <v>19</v>
      </c>
      <c r="AQ14421" s="55">
        <v>0</v>
      </c>
      <c r="AR14421" s="55">
        <v>28500</v>
      </c>
      <c r="AS14421" s="78">
        <f t="shared" si="229"/>
        <v>0</v>
      </c>
    </row>
    <row r="14422" spans="39:45">
      <c r="AM14422" s="54">
        <v>2020</v>
      </c>
      <c r="AN14422" s="54" t="s">
        <v>189</v>
      </c>
      <c r="AO14422" s="54">
        <v>23</v>
      </c>
      <c r="AP14422" s="54">
        <v>20</v>
      </c>
      <c r="AQ14422" s="54">
        <v>0</v>
      </c>
      <c r="AR14422" s="55">
        <v>28500</v>
      </c>
      <c r="AS14422" s="78">
        <f t="shared" si="229"/>
        <v>0</v>
      </c>
    </row>
    <row r="14423" spans="39:45">
      <c r="AM14423" s="55">
        <v>2020</v>
      </c>
      <c r="AN14423" s="55" t="s">
        <v>189</v>
      </c>
      <c r="AO14423" s="55">
        <v>23</v>
      </c>
      <c r="AP14423" s="55">
        <v>21</v>
      </c>
      <c r="AQ14423" s="55">
        <v>0</v>
      </c>
      <c r="AR14423" s="55">
        <v>28500</v>
      </c>
      <c r="AS14423" s="78">
        <f t="shared" si="229"/>
        <v>0</v>
      </c>
    </row>
    <row r="14424" spans="39:45">
      <c r="AM14424" s="54">
        <v>2020</v>
      </c>
      <c r="AN14424" s="54" t="s">
        <v>189</v>
      </c>
      <c r="AO14424" s="54">
        <v>23</v>
      </c>
      <c r="AP14424" s="54">
        <v>22</v>
      </c>
      <c r="AQ14424" s="54">
        <v>0</v>
      </c>
      <c r="AR14424" s="55">
        <v>28500</v>
      </c>
      <c r="AS14424" s="78">
        <f t="shared" si="229"/>
        <v>0</v>
      </c>
    </row>
    <row r="14425" spans="39:45">
      <c r="AM14425" s="55">
        <v>2020</v>
      </c>
      <c r="AN14425" s="55" t="s">
        <v>189</v>
      </c>
      <c r="AO14425" s="55">
        <v>23</v>
      </c>
      <c r="AP14425" s="55">
        <v>23</v>
      </c>
      <c r="AQ14425" s="55">
        <v>0</v>
      </c>
      <c r="AR14425" s="55">
        <v>28500</v>
      </c>
      <c r="AS14425" s="78">
        <f t="shared" si="229"/>
        <v>0</v>
      </c>
    </row>
    <row r="14426" spans="39:45">
      <c r="AM14426" s="54">
        <v>2020</v>
      </c>
      <c r="AN14426" s="54" t="s">
        <v>189</v>
      </c>
      <c r="AO14426" s="54">
        <v>24</v>
      </c>
      <c r="AP14426" s="54">
        <v>24</v>
      </c>
      <c r="AQ14426" s="54">
        <v>0</v>
      </c>
      <c r="AR14426" s="55">
        <v>28500</v>
      </c>
      <c r="AS14426" s="78">
        <f t="shared" si="229"/>
        <v>0</v>
      </c>
    </row>
    <row r="14427" spans="39:45">
      <c r="AM14427" s="55">
        <v>2020</v>
      </c>
      <c r="AN14427" s="55" t="s">
        <v>189</v>
      </c>
      <c r="AO14427" s="55">
        <v>24</v>
      </c>
      <c r="AP14427" s="55">
        <v>1</v>
      </c>
      <c r="AQ14427" s="55">
        <v>0</v>
      </c>
      <c r="AR14427" s="55">
        <v>28500</v>
      </c>
      <c r="AS14427" s="78">
        <f t="shared" si="229"/>
        <v>0</v>
      </c>
    </row>
    <row r="14428" spans="39:45">
      <c r="AM14428" s="54">
        <v>2020</v>
      </c>
      <c r="AN14428" s="54" t="s">
        <v>189</v>
      </c>
      <c r="AO14428" s="54">
        <v>24</v>
      </c>
      <c r="AP14428" s="54">
        <v>2</v>
      </c>
      <c r="AQ14428" s="54">
        <v>0</v>
      </c>
      <c r="AR14428" s="55">
        <v>28500</v>
      </c>
      <c r="AS14428" s="78">
        <f t="shared" si="229"/>
        <v>0</v>
      </c>
    </row>
    <row r="14429" spans="39:45">
      <c r="AM14429" s="55">
        <v>2020</v>
      </c>
      <c r="AN14429" s="55" t="s">
        <v>189</v>
      </c>
      <c r="AO14429" s="55">
        <v>24</v>
      </c>
      <c r="AP14429" s="55">
        <v>3</v>
      </c>
      <c r="AQ14429" s="55">
        <v>0</v>
      </c>
      <c r="AR14429" s="55">
        <v>28500</v>
      </c>
      <c r="AS14429" s="78">
        <f t="shared" si="229"/>
        <v>0</v>
      </c>
    </row>
    <row r="14430" spans="39:45">
      <c r="AM14430" s="54">
        <v>2020</v>
      </c>
      <c r="AN14430" s="54" t="s">
        <v>189</v>
      </c>
      <c r="AO14430" s="54">
        <v>24</v>
      </c>
      <c r="AP14430" s="54">
        <v>4</v>
      </c>
      <c r="AQ14430" s="54">
        <v>0</v>
      </c>
      <c r="AR14430" s="55">
        <v>28500</v>
      </c>
      <c r="AS14430" s="78">
        <f t="shared" si="229"/>
        <v>0</v>
      </c>
    </row>
    <row r="14431" spans="39:45">
      <c r="AM14431" s="55">
        <v>2020</v>
      </c>
      <c r="AN14431" s="55" t="s">
        <v>189</v>
      </c>
      <c r="AO14431" s="55">
        <v>24</v>
      </c>
      <c r="AP14431" s="55">
        <v>5</v>
      </c>
      <c r="AQ14431" s="55">
        <v>0</v>
      </c>
      <c r="AR14431" s="55">
        <v>28500</v>
      </c>
      <c r="AS14431" s="78">
        <f t="shared" si="229"/>
        <v>0</v>
      </c>
    </row>
    <row r="14432" spans="39:45">
      <c r="AM14432" s="54">
        <v>2020</v>
      </c>
      <c r="AN14432" s="54" t="s">
        <v>189</v>
      </c>
      <c r="AO14432" s="54">
        <v>24</v>
      </c>
      <c r="AP14432" s="54">
        <v>6</v>
      </c>
      <c r="AQ14432" s="54">
        <v>1521.5</v>
      </c>
      <c r="AR14432" s="55">
        <v>28500</v>
      </c>
      <c r="AS14432" s="78">
        <f t="shared" si="229"/>
        <v>5.3385964912280703E-2</v>
      </c>
    </row>
    <row r="14433" spans="39:45">
      <c r="AM14433" s="55">
        <v>2020</v>
      </c>
      <c r="AN14433" s="55" t="s">
        <v>189</v>
      </c>
      <c r="AO14433" s="55">
        <v>24</v>
      </c>
      <c r="AP14433" s="55">
        <v>7</v>
      </c>
      <c r="AQ14433" s="55">
        <v>4685.5</v>
      </c>
      <c r="AR14433" s="55">
        <v>28500</v>
      </c>
      <c r="AS14433" s="78">
        <f t="shared" si="229"/>
        <v>0.16440350877192983</v>
      </c>
    </row>
    <row r="14434" spans="39:45">
      <c r="AM14434" s="54">
        <v>2020</v>
      </c>
      <c r="AN14434" s="54" t="s">
        <v>189</v>
      </c>
      <c r="AO14434" s="54">
        <v>24</v>
      </c>
      <c r="AP14434" s="54">
        <v>8</v>
      </c>
      <c r="AQ14434" s="54">
        <v>19603.5</v>
      </c>
      <c r="AR14434" s="55">
        <v>28500</v>
      </c>
      <c r="AS14434" s="78">
        <f t="shared" si="229"/>
        <v>0.68784210526315792</v>
      </c>
    </row>
    <row r="14435" spans="39:45">
      <c r="AM14435" s="55">
        <v>2020</v>
      </c>
      <c r="AN14435" s="55" t="s">
        <v>189</v>
      </c>
      <c r="AO14435" s="55">
        <v>24</v>
      </c>
      <c r="AP14435" s="55">
        <v>9</v>
      </c>
      <c r="AQ14435" s="55">
        <v>17557</v>
      </c>
      <c r="AR14435" s="55">
        <v>28500</v>
      </c>
      <c r="AS14435" s="78">
        <f t="shared" si="229"/>
        <v>0.61603508771929827</v>
      </c>
    </row>
    <row r="14436" spans="39:45">
      <c r="AM14436" s="54">
        <v>2020</v>
      </c>
      <c r="AN14436" s="54" t="s">
        <v>189</v>
      </c>
      <c r="AO14436" s="54">
        <v>24</v>
      </c>
      <c r="AP14436" s="54">
        <v>10</v>
      </c>
      <c r="AQ14436" s="54">
        <v>17314</v>
      </c>
      <c r="AR14436" s="55">
        <v>28500</v>
      </c>
      <c r="AS14436" s="78">
        <f t="shared" si="229"/>
        <v>0.60750877192982455</v>
      </c>
    </row>
    <row r="14437" spans="39:45">
      <c r="AM14437" s="55">
        <v>2020</v>
      </c>
      <c r="AN14437" s="55" t="s">
        <v>189</v>
      </c>
      <c r="AO14437" s="55">
        <v>24</v>
      </c>
      <c r="AP14437" s="55">
        <v>11</v>
      </c>
      <c r="AQ14437" s="55">
        <v>26590</v>
      </c>
      <c r="AR14437" s="55">
        <v>28500</v>
      </c>
      <c r="AS14437" s="78">
        <f t="shared" si="229"/>
        <v>0.93298245614035091</v>
      </c>
    </row>
    <row r="14438" spans="39:45">
      <c r="AM14438" s="54">
        <v>2020</v>
      </c>
      <c r="AN14438" s="54" t="s">
        <v>189</v>
      </c>
      <c r="AO14438" s="54">
        <v>24</v>
      </c>
      <c r="AP14438" s="54">
        <v>12</v>
      </c>
      <c r="AQ14438" s="54">
        <v>22292.5</v>
      </c>
      <c r="AR14438" s="55">
        <v>28500</v>
      </c>
      <c r="AS14438" s="78">
        <f t="shared" si="229"/>
        <v>0.78219298245614033</v>
      </c>
    </row>
    <row r="14439" spans="39:45">
      <c r="AM14439" s="55">
        <v>2020</v>
      </c>
      <c r="AN14439" s="55" t="s">
        <v>189</v>
      </c>
      <c r="AO14439" s="55">
        <v>24</v>
      </c>
      <c r="AP14439" s="55">
        <v>13</v>
      </c>
      <c r="AQ14439" s="55">
        <v>19309</v>
      </c>
      <c r="AR14439" s="55">
        <v>28500</v>
      </c>
      <c r="AS14439" s="78">
        <f t="shared" si="229"/>
        <v>0.67750877192982462</v>
      </c>
    </row>
    <row r="14440" spans="39:45">
      <c r="AM14440" s="54">
        <v>2020</v>
      </c>
      <c r="AN14440" s="54" t="s">
        <v>189</v>
      </c>
      <c r="AO14440" s="54">
        <v>24</v>
      </c>
      <c r="AP14440" s="54">
        <v>14</v>
      </c>
      <c r="AQ14440" s="54">
        <v>24873</v>
      </c>
      <c r="AR14440" s="55">
        <v>28500</v>
      </c>
      <c r="AS14440" s="78">
        <f t="shared" si="229"/>
        <v>0.87273684210526314</v>
      </c>
    </row>
    <row r="14441" spans="39:45">
      <c r="AM14441" s="55">
        <v>2020</v>
      </c>
      <c r="AN14441" s="55" t="s">
        <v>189</v>
      </c>
      <c r="AO14441" s="55">
        <v>24</v>
      </c>
      <c r="AP14441" s="55">
        <v>15</v>
      </c>
      <c r="AQ14441" s="55">
        <v>6278</v>
      </c>
      <c r="AR14441" s="55">
        <v>28500</v>
      </c>
      <c r="AS14441" s="78">
        <f t="shared" si="229"/>
        <v>0.22028070175438597</v>
      </c>
    </row>
    <row r="14442" spans="39:45">
      <c r="AM14442" s="54">
        <v>2020</v>
      </c>
      <c r="AN14442" s="54" t="s">
        <v>189</v>
      </c>
      <c r="AO14442" s="54">
        <v>24</v>
      </c>
      <c r="AP14442" s="54">
        <v>16</v>
      </c>
      <c r="AQ14442" s="54">
        <v>4291</v>
      </c>
      <c r="AR14442" s="55">
        <v>28500</v>
      </c>
      <c r="AS14442" s="78">
        <f t="shared" si="229"/>
        <v>0.15056140350877192</v>
      </c>
    </row>
    <row r="14443" spans="39:45">
      <c r="AM14443" s="55">
        <v>2020</v>
      </c>
      <c r="AN14443" s="55" t="s">
        <v>189</v>
      </c>
      <c r="AO14443" s="55">
        <v>24</v>
      </c>
      <c r="AP14443" s="55">
        <v>17</v>
      </c>
      <c r="AQ14443" s="55">
        <v>3442</v>
      </c>
      <c r="AR14443" s="55">
        <v>28500</v>
      </c>
      <c r="AS14443" s="78">
        <f t="shared" si="229"/>
        <v>0.12077192982456141</v>
      </c>
    </row>
    <row r="14444" spans="39:45">
      <c r="AM14444" s="54">
        <v>2020</v>
      </c>
      <c r="AN14444" s="54" t="s">
        <v>189</v>
      </c>
      <c r="AO14444" s="54">
        <v>24</v>
      </c>
      <c r="AP14444" s="54">
        <v>18</v>
      </c>
      <c r="AQ14444" s="54">
        <v>548</v>
      </c>
      <c r="AR14444" s="55">
        <v>28500</v>
      </c>
      <c r="AS14444" s="78">
        <f t="shared" si="229"/>
        <v>1.9228070175438598E-2</v>
      </c>
    </row>
    <row r="14445" spans="39:45">
      <c r="AM14445" s="55">
        <v>2020</v>
      </c>
      <c r="AN14445" s="55" t="s">
        <v>189</v>
      </c>
      <c r="AO14445" s="55">
        <v>24</v>
      </c>
      <c r="AP14445" s="55">
        <v>19</v>
      </c>
      <c r="AQ14445" s="55">
        <v>0</v>
      </c>
      <c r="AR14445" s="55">
        <v>28500</v>
      </c>
      <c r="AS14445" s="78">
        <f t="shared" si="229"/>
        <v>0</v>
      </c>
    </row>
    <row r="14446" spans="39:45">
      <c r="AM14446" s="54">
        <v>2020</v>
      </c>
      <c r="AN14446" s="54" t="s">
        <v>189</v>
      </c>
      <c r="AO14446" s="54">
        <v>24</v>
      </c>
      <c r="AP14446" s="54">
        <v>20</v>
      </c>
      <c r="AQ14446" s="54">
        <v>0</v>
      </c>
      <c r="AR14446" s="55">
        <v>28500</v>
      </c>
      <c r="AS14446" s="78">
        <f t="shared" si="229"/>
        <v>0</v>
      </c>
    </row>
    <row r="14447" spans="39:45">
      <c r="AM14447" s="55">
        <v>2020</v>
      </c>
      <c r="AN14447" s="55" t="s">
        <v>189</v>
      </c>
      <c r="AO14447" s="55">
        <v>24</v>
      </c>
      <c r="AP14447" s="55">
        <v>21</v>
      </c>
      <c r="AQ14447" s="55">
        <v>0</v>
      </c>
      <c r="AR14447" s="55">
        <v>28500</v>
      </c>
      <c r="AS14447" s="78">
        <f t="shared" si="229"/>
        <v>0</v>
      </c>
    </row>
    <row r="14448" spans="39:45">
      <c r="AM14448" s="54">
        <v>2020</v>
      </c>
      <c r="AN14448" s="54" t="s">
        <v>189</v>
      </c>
      <c r="AO14448" s="54">
        <v>24</v>
      </c>
      <c r="AP14448" s="54">
        <v>22</v>
      </c>
      <c r="AQ14448" s="54">
        <v>0</v>
      </c>
      <c r="AR14448" s="55">
        <v>28500</v>
      </c>
      <c r="AS14448" s="78">
        <f t="shared" si="229"/>
        <v>0</v>
      </c>
    </row>
    <row r="14449" spans="39:45">
      <c r="AM14449" s="55">
        <v>2020</v>
      </c>
      <c r="AN14449" s="55" t="s">
        <v>189</v>
      </c>
      <c r="AO14449" s="55">
        <v>24</v>
      </c>
      <c r="AP14449" s="55">
        <v>23</v>
      </c>
      <c r="AQ14449" s="55">
        <v>0</v>
      </c>
      <c r="AR14449" s="55">
        <v>28500</v>
      </c>
      <c r="AS14449" s="78">
        <f t="shared" si="229"/>
        <v>0</v>
      </c>
    </row>
    <row r="14450" spans="39:45">
      <c r="AM14450" s="54">
        <v>2020</v>
      </c>
      <c r="AN14450" s="54" t="s">
        <v>189</v>
      </c>
      <c r="AO14450" s="54">
        <v>25</v>
      </c>
      <c r="AP14450" s="54">
        <v>24</v>
      </c>
      <c r="AQ14450" s="54">
        <v>0</v>
      </c>
      <c r="AR14450" s="55">
        <v>28500</v>
      </c>
      <c r="AS14450" s="78">
        <f t="shared" si="229"/>
        <v>0</v>
      </c>
    </row>
    <row r="14451" spans="39:45">
      <c r="AM14451" s="55">
        <v>2020</v>
      </c>
      <c r="AN14451" s="55" t="s">
        <v>189</v>
      </c>
      <c r="AO14451" s="55">
        <v>25</v>
      </c>
      <c r="AP14451" s="55">
        <v>1</v>
      </c>
      <c r="AQ14451" s="55">
        <v>0</v>
      </c>
      <c r="AR14451" s="55">
        <v>28500</v>
      </c>
      <c r="AS14451" s="78">
        <f t="shared" si="229"/>
        <v>0</v>
      </c>
    </row>
    <row r="14452" spans="39:45">
      <c r="AM14452" s="54">
        <v>2020</v>
      </c>
      <c r="AN14452" s="54" t="s">
        <v>189</v>
      </c>
      <c r="AO14452" s="54">
        <v>25</v>
      </c>
      <c r="AP14452" s="54">
        <v>2</v>
      </c>
      <c r="AQ14452" s="54">
        <v>0</v>
      </c>
      <c r="AR14452" s="55">
        <v>28500</v>
      </c>
      <c r="AS14452" s="78">
        <f t="shared" si="229"/>
        <v>0</v>
      </c>
    </row>
    <row r="14453" spans="39:45">
      <c r="AM14453" s="55">
        <v>2020</v>
      </c>
      <c r="AN14453" s="55" t="s">
        <v>189</v>
      </c>
      <c r="AO14453" s="55">
        <v>25</v>
      </c>
      <c r="AP14453" s="55">
        <v>3</v>
      </c>
      <c r="AQ14453" s="55">
        <v>0</v>
      </c>
      <c r="AR14453" s="55">
        <v>28500</v>
      </c>
      <c r="AS14453" s="78">
        <f t="shared" si="229"/>
        <v>0</v>
      </c>
    </row>
    <row r="14454" spans="39:45">
      <c r="AM14454" s="54">
        <v>2020</v>
      </c>
      <c r="AN14454" s="54" t="s">
        <v>189</v>
      </c>
      <c r="AO14454" s="54">
        <v>25</v>
      </c>
      <c r="AP14454" s="54">
        <v>4</v>
      </c>
      <c r="AQ14454" s="54">
        <v>0</v>
      </c>
      <c r="AR14454" s="55">
        <v>28500</v>
      </c>
      <c r="AS14454" s="78">
        <f t="shared" si="229"/>
        <v>0</v>
      </c>
    </row>
    <row r="14455" spans="39:45">
      <c r="AM14455" s="55">
        <v>2020</v>
      </c>
      <c r="AN14455" s="55" t="s">
        <v>189</v>
      </c>
      <c r="AO14455" s="55">
        <v>25</v>
      </c>
      <c r="AP14455" s="55">
        <v>5</v>
      </c>
      <c r="AQ14455" s="55">
        <v>0</v>
      </c>
      <c r="AR14455" s="55">
        <v>28500</v>
      </c>
      <c r="AS14455" s="78">
        <f t="shared" si="229"/>
        <v>0</v>
      </c>
    </row>
    <row r="14456" spans="39:45">
      <c r="AM14456" s="54">
        <v>2020</v>
      </c>
      <c r="AN14456" s="54" t="s">
        <v>189</v>
      </c>
      <c r="AO14456" s="54">
        <v>25</v>
      </c>
      <c r="AP14456" s="54">
        <v>6</v>
      </c>
      <c r="AQ14456" s="54">
        <v>907</v>
      </c>
      <c r="AR14456" s="55">
        <v>28500</v>
      </c>
      <c r="AS14456" s="78">
        <f t="shared" si="229"/>
        <v>3.1824561403508769E-2</v>
      </c>
    </row>
    <row r="14457" spans="39:45">
      <c r="AM14457" s="55">
        <v>2020</v>
      </c>
      <c r="AN14457" s="55" t="s">
        <v>189</v>
      </c>
      <c r="AO14457" s="55">
        <v>25</v>
      </c>
      <c r="AP14457" s="55">
        <v>7</v>
      </c>
      <c r="AQ14457" s="55">
        <v>3926</v>
      </c>
      <c r="AR14457" s="55">
        <v>28500</v>
      </c>
      <c r="AS14457" s="78">
        <f t="shared" si="229"/>
        <v>0.13775438596491227</v>
      </c>
    </row>
    <row r="14458" spans="39:45">
      <c r="AM14458" s="54">
        <v>2020</v>
      </c>
      <c r="AN14458" s="54" t="s">
        <v>189</v>
      </c>
      <c r="AO14458" s="54">
        <v>25</v>
      </c>
      <c r="AP14458" s="54">
        <v>8</v>
      </c>
      <c r="AQ14458" s="54">
        <v>7877.5</v>
      </c>
      <c r="AR14458" s="55">
        <v>28500</v>
      </c>
      <c r="AS14458" s="78">
        <f t="shared" si="229"/>
        <v>0.27640350877192982</v>
      </c>
    </row>
    <row r="14459" spans="39:45">
      <c r="AM14459" s="55">
        <v>2020</v>
      </c>
      <c r="AN14459" s="55" t="s">
        <v>189</v>
      </c>
      <c r="AO14459" s="55">
        <v>25</v>
      </c>
      <c r="AP14459" s="55">
        <v>9</v>
      </c>
      <c r="AQ14459" s="55">
        <v>13940.5</v>
      </c>
      <c r="AR14459" s="55">
        <v>28500</v>
      </c>
      <c r="AS14459" s="78">
        <f t="shared" si="229"/>
        <v>0.48914035087719299</v>
      </c>
    </row>
    <row r="14460" spans="39:45">
      <c r="AM14460" s="54">
        <v>2020</v>
      </c>
      <c r="AN14460" s="54" t="s">
        <v>189</v>
      </c>
      <c r="AO14460" s="54">
        <v>25</v>
      </c>
      <c r="AP14460" s="54">
        <v>10</v>
      </c>
      <c r="AQ14460" s="54">
        <v>10333</v>
      </c>
      <c r="AR14460" s="55">
        <v>28500</v>
      </c>
      <c r="AS14460" s="78">
        <f t="shared" si="229"/>
        <v>0.36256140350877192</v>
      </c>
    </row>
    <row r="14461" spans="39:45">
      <c r="AM14461" s="55">
        <v>2020</v>
      </c>
      <c r="AN14461" s="55" t="s">
        <v>189</v>
      </c>
      <c r="AO14461" s="55">
        <v>25</v>
      </c>
      <c r="AP14461" s="55">
        <v>11</v>
      </c>
      <c r="AQ14461" s="55">
        <v>12473.5</v>
      </c>
      <c r="AR14461" s="55">
        <v>28500</v>
      </c>
      <c r="AS14461" s="78">
        <f t="shared" si="229"/>
        <v>0.43766666666666665</v>
      </c>
    </row>
    <row r="14462" spans="39:45">
      <c r="AM14462" s="54">
        <v>2020</v>
      </c>
      <c r="AN14462" s="54" t="s">
        <v>189</v>
      </c>
      <c r="AO14462" s="54">
        <v>25</v>
      </c>
      <c r="AP14462" s="54">
        <v>12</v>
      </c>
      <c r="AQ14462" s="54">
        <v>10259</v>
      </c>
      <c r="AR14462" s="55">
        <v>28500</v>
      </c>
      <c r="AS14462" s="78">
        <f t="shared" si="229"/>
        <v>0.35996491228070177</v>
      </c>
    </row>
    <row r="14463" spans="39:45">
      <c r="AM14463" s="55">
        <v>2020</v>
      </c>
      <c r="AN14463" s="55" t="s">
        <v>189</v>
      </c>
      <c r="AO14463" s="55">
        <v>25</v>
      </c>
      <c r="AP14463" s="55">
        <v>13</v>
      </c>
      <c r="AQ14463" s="55">
        <v>17865</v>
      </c>
      <c r="AR14463" s="55">
        <v>28500</v>
      </c>
      <c r="AS14463" s="78">
        <f t="shared" si="229"/>
        <v>0.62684210526315787</v>
      </c>
    </row>
    <row r="14464" spans="39:45">
      <c r="AM14464" s="54">
        <v>2020</v>
      </c>
      <c r="AN14464" s="54" t="s">
        <v>189</v>
      </c>
      <c r="AO14464" s="54">
        <v>25</v>
      </c>
      <c r="AP14464" s="54">
        <v>14</v>
      </c>
      <c r="AQ14464" s="54">
        <v>27434</v>
      </c>
      <c r="AR14464" s="55">
        <v>28500</v>
      </c>
      <c r="AS14464" s="78">
        <f t="shared" si="229"/>
        <v>0.96259649122807023</v>
      </c>
    </row>
    <row r="14465" spans="39:45">
      <c r="AM14465" s="55">
        <v>2020</v>
      </c>
      <c r="AN14465" s="55" t="s">
        <v>189</v>
      </c>
      <c r="AO14465" s="55">
        <v>25</v>
      </c>
      <c r="AP14465" s="55">
        <v>15</v>
      </c>
      <c r="AQ14465" s="55">
        <v>19087.5</v>
      </c>
      <c r="AR14465" s="55">
        <v>28500</v>
      </c>
      <c r="AS14465" s="78">
        <f t="shared" si="229"/>
        <v>0.66973684210526319</v>
      </c>
    </row>
    <row r="14466" spans="39:45">
      <c r="AM14466" s="54">
        <v>2020</v>
      </c>
      <c r="AN14466" s="54" t="s">
        <v>189</v>
      </c>
      <c r="AO14466" s="54">
        <v>25</v>
      </c>
      <c r="AP14466" s="54">
        <v>16</v>
      </c>
      <c r="AQ14466" s="54">
        <v>16049</v>
      </c>
      <c r="AR14466" s="55">
        <v>28500</v>
      </c>
      <c r="AS14466" s="78">
        <f t="shared" ref="AS14466:AS14529" si="230">AQ14466/AR14466</f>
        <v>0.56312280701754391</v>
      </c>
    </row>
    <row r="14467" spans="39:45">
      <c r="AM14467" s="55">
        <v>2020</v>
      </c>
      <c r="AN14467" s="55" t="s">
        <v>189</v>
      </c>
      <c r="AO14467" s="55">
        <v>25</v>
      </c>
      <c r="AP14467" s="55">
        <v>17</v>
      </c>
      <c r="AQ14467" s="55">
        <v>6286.5</v>
      </c>
      <c r="AR14467" s="55">
        <v>28500</v>
      </c>
      <c r="AS14467" s="78">
        <f t="shared" si="230"/>
        <v>0.22057894736842104</v>
      </c>
    </row>
    <row r="14468" spans="39:45">
      <c r="AM14468" s="54">
        <v>2020</v>
      </c>
      <c r="AN14468" s="54" t="s">
        <v>189</v>
      </c>
      <c r="AO14468" s="54">
        <v>25</v>
      </c>
      <c r="AP14468" s="54">
        <v>18</v>
      </c>
      <c r="AQ14468" s="54">
        <v>893.5</v>
      </c>
      <c r="AR14468" s="55">
        <v>28500</v>
      </c>
      <c r="AS14468" s="78">
        <f t="shared" si="230"/>
        <v>3.1350877192982456E-2</v>
      </c>
    </row>
    <row r="14469" spans="39:45">
      <c r="AM14469" s="55">
        <v>2020</v>
      </c>
      <c r="AN14469" s="55" t="s">
        <v>189</v>
      </c>
      <c r="AO14469" s="55">
        <v>25</v>
      </c>
      <c r="AP14469" s="55">
        <v>19</v>
      </c>
      <c r="AQ14469" s="55">
        <v>0</v>
      </c>
      <c r="AR14469" s="55">
        <v>28500</v>
      </c>
      <c r="AS14469" s="78">
        <f t="shared" si="230"/>
        <v>0</v>
      </c>
    </row>
    <row r="14470" spans="39:45">
      <c r="AM14470" s="54">
        <v>2020</v>
      </c>
      <c r="AN14470" s="54" t="s">
        <v>189</v>
      </c>
      <c r="AO14470" s="54">
        <v>25</v>
      </c>
      <c r="AP14470" s="54">
        <v>20</v>
      </c>
      <c r="AQ14470" s="54">
        <v>0</v>
      </c>
      <c r="AR14470" s="55">
        <v>28500</v>
      </c>
      <c r="AS14470" s="78">
        <f t="shared" si="230"/>
        <v>0</v>
      </c>
    </row>
    <row r="14471" spans="39:45">
      <c r="AM14471" s="55">
        <v>2020</v>
      </c>
      <c r="AN14471" s="55" t="s">
        <v>189</v>
      </c>
      <c r="AO14471" s="55">
        <v>25</v>
      </c>
      <c r="AP14471" s="55">
        <v>21</v>
      </c>
      <c r="AQ14471" s="55">
        <v>0</v>
      </c>
      <c r="AR14471" s="55">
        <v>28500</v>
      </c>
      <c r="AS14471" s="78">
        <f t="shared" si="230"/>
        <v>0</v>
      </c>
    </row>
    <row r="14472" spans="39:45">
      <c r="AM14472" s="54">
        <v>2020</v>
      </c>
      <c r="AN14472" s="54" t="s">
        <v>189</v>
      </c>
      <c r="AO14472" s="54">
        <v>25</v>
      </c>
      <c r="AP14472" s="54">
        <v>22</v>
      </c>
      <c r="AQ14472" s="54">
        <v>0</v>
      </c>
      <c r="AR14472" s="55">
        <v>28500</v>
      </c>
      <c r="AS14472" s="78">
        <f t="shared" si="230"/>
        <v>0</v>
      </c>
    </row>
    <row r="14473" spans="39:45">
      <c r="AM14473" s="55">
        <v>2020</v>
      </c>
      <c r="AN14473" s="55" t="s">
        <v>189</v>
      </c>
      <c r="AO14473" s="55">
        <v>25</v>
      </c>
      <c r="AP14473" s="55">
        <v>23</v>
      </c>
      <c r="AQ14473" s="55">
        <v>0</v>
      </c>
      <c r="AR14473" s="55">
        <v>28500</v>
      </c>
      <c r="AS14473" s="78">
        <f t="shared" si="230"/>
        <v>0</v>
      </c>
    </row>
    <row r="14474" spans="39:45">
      <c r="AM14474" s="54">
        <v>2020</v>
      </c>
      <c r="AN14474" s="54" t="s">
        <v>189</v>
      </c>
      <c r="AO14474" s="54">
        <v>26</v>
      </c>
      <c r="AP14474" s="54">
        <v>24</v>
      </c>
      <c r="AQ14474" s="54">
        <v>0</v>
      </c>
      <c r="AR14474" s="55">
        <v>28500</v>
      </c>
      <c r="AS14474" s="78">
        <f t="shared" si="230"/>
        <v>0</v>
      </c>
    </row>
    <row r="14475" spans="39:45">
      <c r="AM14475" s="55">
        <v>2020</v>
      </c>
      <c r="AN14475" s="55" t="s">
        <v>189</v>
      </c>
      <c r="AO14475" s="55">
        <v>26</v>
      </c>
      <c r="AP14475" s="55">
        <v>1</v>
      </c>
      <c r="AQ14475" s="55">
        <v>0</v>
      </c>
      <c r="AR14475" s="55">
        <v>28500</v>
      </c>
      <c r="AS14475" s="78">
        <f t="shared" si="230"/>
        <v>0</v>
      </c>
    </row>
    <row r="14476" spans="39:45">
      <c r="AM14476" s="54">
        <v>2020</v>
      </c>
      <c r="AN14476" s="54" t="s">
        <v>189</v>
      </c>
      <c r="AO14476" s="54">
        <v>26</v>
      </c>
      <c r="AP14476" s="54">
        <v>2</v>
      </c>
      <c r="AQ14476" s="54">
        <v>0</v>
      </c>
      <c r="AR14476" s="55">
        <v>28500</v>
      </c>
      <c r="AS14476" s="78">
        <f t="shared" si="230"/>
        <v>0</v>
      </c>
    </row>
    <row r="14477" spans="39:45">
      <c r="AM14477" s="55">
        <v>2020</v>
      </c>
      <c r="AN14477" s="55" t="s">
        <v>189</v>
      </c>
      <c r="AO14477" s="55">
        <v>26</v>
      </c>
      <c r="AP14477" s="55">
        <v>3</v>
      </c>
      <c r="AQ14477" s="55">
        <v>0</v>
      </c>
      <c r="AR14477" s="55">
        <v>28500</v>
      </c>
      <c r="AS14477" s="78">
        <f t="shared" si="230"/>
        <v>0</v>
      </c>
    </row>
    <row r="14478" spans="39:45">
      <c r="AM14478" s="54">
        <v>2020</v>
      </c>
      <c r="AN14478" s="54" t="s">
        <v>189</v>
      </c>
      <c r="AO14478" s="54">
        <v>26</v>
      </c>
      <c r="AP14478" s="54">
        <v>4</v>
      </c>
      <c r="AQ14478" s="54">
        <v>0</v>
      </c>
      <c r="AR14478" s="55">
        <v>28500</v>
      </c>
      <c r="AS14478" s="78">
        <f t="shared" si="230"/>
        <v>0</v>
      </c>
    </row>
    <row r="14479" spans="39:45">
      <c r="AM14479" s="55">
        <v>2020</v>
      </c>
      <c r="AN14479" s="55" t="s">
        <v>189</v>
      </c>
      <c r="AO14479" s="55">
        <v>26</v>
      </c>
      <c r="AP14479" s="55">
        <v>5</v>
      </c>
      <c r="AQ14479" s="55">
        <v>0</v>
      </c>
      <c r="AR14479" s="55">
        <v>28500</v>
      </c>
      <c r="AS14479" s="78">
        <f t="shared" si="230"/>
        <v>0</v>
      </c>
    </row>
    <row r="14480" spans="39:45">
      <c r="AM14480" s="54">
        <v>2020</v>
      </c>
      <c r="AN14480" s="54" t="s">
        <v>189</v>
      </c>
      <c r="AO14480" s="54">
        <v>26</v>
      </c>
      <c r="AP14480" s="54">
        <v>6</v>
      </c>
      <c r="AQ14480" s="54">
        <v>1945.5</v>
      </c>
      <c r="AR14480" s="55">
        <v>28500</v>
      </c>
      <c r="AS14480" s="78">
        <f t="shared" si="230"/>
        <v>6.8263157894736845E-2</v>
      </c>
    </row>
    <row r="14481" spans="39:45">
      <c r="AM14481" s="55">
        <v>2020</v>
      </c>
      <c r="AN14481" s="55" t="s">
        <v>189</v>
      </c>
      <c r="AO14481" s="55">
        <v>26</v>
      </c>
      <c r="AP14481" s="55">
        <v>7</v>
      </c>
      <c r="AQ14481" s="55">
        <v>9912</v>
      </c>
      <c r="AR14481" s="55">
        <v>28500</v>
      </c>
      <c r="AS14481" s="78">
        <f t="shared" si="230"/>
        <v>0.34778947368421054</v>
      </c>
    </row>
    <row r="14482" spans="39:45">
      <c r="AM14482" s="54">
        <v>2020</v>
      </c>
      <c r="AN14482" s="54" t="s">
        <v>189</v>
      </c>
      <c r="AO14482" s="54">
        <v>26</v>
      </c>
      <c r="AP14482" s="54">
        <v>8</v>
      </c>
      <c r="AQ14482" s="54">
        <v>20619.5</v>
      </c>
      <c r="AR14482" s="55">
        <v>28500</v>
      </c>
      <c r="AS14482" s="78">
        <f t="shared" si="230"/>
        <v>0.72349122807017541</v>
      </c>
    </row>
    <row r="14483" spans="39:45">
      <c r="AM14483" s="55">
        <v>2020</v>
      </c>
      <c r="AN14483" s="55" t="s">
        <v>189</v>
      </c>
      <c r="AO14483" s="55">
        <v>26</v>
      </c>
      <c r="AP14483" s="55">
        <v>9</v>
      </c>
      <c r="AQ14483" s="55">
        <v>17924.5</v>
      </c>
      <c r="AR14483" s="55">
        <v>28500</v>
      </c>
      <c r="AS14483" s="78">
        <f t="shared" si="230"/>
        <v>0.62892982456140356</v>
      </c>
    </row>
    <row r="14484" spans="39:45">
      <c r="AM14484" s="54">
        <v>2020</v>
      </c>
      <c r="AN14484" s="54" t="s">
        <v>189</v>
      </c>
      <c r="AO14484" s="54">
        <v>26</v>
      </c>
      <c r="AP14484" s="54">
        <v>10</v>
      </c>
      <c r="AQ14484" s="54">
        <v>16195</v>
      </c>
      <c r="AR14484" s="55">
        <v>28500</v>
      </c>
      <c r="AS14484" s="78">
        <f t="shared" si="230"/>
        <v>0.56824561403508766</v>
      </c>
    </row>
    <row r="14485" spans="39:45">
      <c r="AM14485" s="55">
        <v>2020</v>
      </c>
      <c r="AN14485" s="55" t="s">
        <v>189</v>
      </c>
      <c r="AO14485" s="55">
        <v>26</v>
      </c>
      <c r="AP14485" s="55">
        <v>11</v>
      </c>
      <c r="AQ14485" s="55">
        <v>36861.5</v>
      </c>
      <c r="AR14485" s="55">
        <v>28500</v>
      </c>
      <c r="AS14485" s="78">
        <f t="shared" si="230"/>
        <v>1.2933859649122808</v>
      </c>
    </row>
    <row r="14486" spans="39:45">
      <c r="AM14486" s="54">
        <v>2020</v>
      </c>
      <c r="AN14486" s="54" t="s">
        <v>189</v>
      </c>
      <c r="AO14486" s="54">
        <v>26</v>
      </c>
      <c r="AP14486" s="54">
        <v>12</v>
      </c>
      <c r="AQ14486" s="54">
        <v>34431.5</v>
      </c>
      <c r="AR14486" s="55">
        <v>28500</v>
      </c>
      <c r="AS14486" s="78">
        <f t="shared" si="230"/>
        <v>1.2081228070175438</v>
      </c>
    </row>
    <row r="14487" spans="39:45">
      <c r="AM14487" s="55">
        <v>2020</v>
      </c>
      <c r="AN14487" s="55" t="s">
        <v>189</v>
      </c>
      <c r="AO14487" s="55">
        <v>26</v>
      </c>
      <c r="AP14487" s="55">
        <v>13</v>
      </c>
      <c r="AQ14487" s="55">
        <v>12215.5</v>
      </c>
      <c r="AR14487" s="55">
        <v>28500</v>
      </c>
      <c r="AS14487" s="78">
        <f t="shared" si="230"/>
        <v>0.42861403508771928</v>
      </c>
    </row>
    <row r="14488" spans="39:45">
      <c r="AM14488" s="54">
        <v>2020</v>
      </c>
      <c r="AN14488" s="54" t="s">
        <v>189</v>
      </c>
      <c r="AO14488" s="54">
        <v>26</v>
      </c>
      <c r="AP14488" s="54">
        <v>14</v>
      </c>
      <c r="AQ14488" s="54">
        <v>14075.5</v>
      </c>
      <c r="AR14488" s="55">
        <v>28500</v>
      </c>
      <c r="AS14488" s="78">
        <f t="shared" si="230"/>
        <v>0.49387719298245614</v>
      </c>
    </row>
    <row r="14489" spans="39:45">
      <c r="AM14489" s="55">
        <v>2020</v>
      </c>
      <c r="AN14489" s="55" t="s">
        <v>189</v>
      </c>
      <c r="AO14489" s="55">
        <v>26</v>
      </c>
      <c r="AP14489" s="55">
        <v>15</v>
      </c>
      <c r="AQ14489" s="55">
        <v>10069</v>
      </c>
      <c r="AR14489" s="55">
        <v>28500</v>
      </c>
      <c r="AS14489" s="78">
        <f t="shared" si="230"/>
        <v>0.35329824561403511</v>
      </c>
    </row>
    <row r="14490" spans="39:45">
      <c r="AM14490" s="54">
        <v>2020</v>
      </c>
      <c r="AN14490" s="54" t="s">
        <v>189</v>
      </c>
      <c r="AO14490" s="54">
        <v>26</v>
      </c>
      <c r="AP14490" s="54">
        <v>16</v>
      </c>
      <c r="AQ14490" s="54">
        <v>8045</v>
      </c>
      <c r="AR14490" s="55">
        <v>28500</v>
      </c>
      <c r="AS14490" s="78">
        <f t="shared" si="230"/>
        <v>0.28228070175438597</v>
      </c>
    </row>
    <row r="14491" spans="39:45">
      <c r="AM14491" s="55">
        <v>2020</v>
      </c>
      <c r="AN14491" s="55" t="s">
        <v>189</v>
      </c>
      <c r="AO14491" s="55">
        <v>26</v>
      </c>
      <c r="AP14491" s="55">
        <v>17</v>
      </c>
      <c r="AQ14491" s="55">
        <v>4855.5</v>
      </c>
      <c r="AR14491" s="55">
        <v>28500</v>
      </c>
      <c r="AS14491" s="78">
        <f t="shared" si="230"/>
        <v>0.17036842105263159</v>
      </c>
    </row>
    <row r="14492" spans="39:45">
      <c r="AM14492" s="54">
        <v>2020</v>
      </c>
      <c r="AN14492" s="54" t="s">
        <v>189</v>
      </c>
      <c r="AO14492" s="54">
        <v>26</v>
      </c>
      <c r="AP14492" s="54">
        <v>18</v>
      </c>
      <c r="AQ14492" s="54">
        <v>802.5</v>
      </c>
      <c r="AR14492" s="55">
        <v>28500</v>
      </c>
      <c r="AS14492" s="78">
        <f t="shared" si="230"/>
        <v>2.8157894736842104E-2</v>
      </c>
    </row>
    <row r="14493" spans="39:45">
      <c r="AM14493" s="55">
        <v>2020</v>
      </c>
      <c r="AN14493" s="55" t="s">
        <v>189</v>
      </c>
      <c r="AO14493" s="55">
        <v>26</v>
      </c>
      <c r="AP14493" s="55">
        <v>19</v>
      </c>
      <c r="AQ14493" s="55">
        <v>0</v>
      </c>
      <c r="AR14493" s="55">
        <v>28500</v>
      </c>
      <c r="AS14493" s="78">
        <f t="shared" si="230"/>
        <v>0</v>
      </c>
    </row>
    <row r="14494" spans="39:45">
      <c r="AM14494" s="54">
        <v>2020</v>
      </c>
      <c r="AN14494" s="54" t="s">
        <v>189</v>
      </c>
      <c r="AO14494" s="54">
        <v>26</v>
      </c>
      <c r="AP14494" s="54">
        <v>20</v>
      </c>
      <c r="AQ14494" s="54">
        <v>0</v>
      </c>
      <c r="AR14494" s="55">
        <v>28500</v>
      </c>
      <c r="AS14494" s="78">
        <f t="shared" si="230"/>
        <v>0</v>
      </c>
    </row>
    <row r="14495" spans="39:45">
      <c r="AM14495" s="55">
        <v>2020</v>
      </c>
      <c r="AN14495" s="55" t="s">
        <v>189</v>
      </c>
      <c r="AO14495" s="55">
        <v>26</v>
      </c>
      <c r="AP14495" s="55">
        <v>21</v>
      </c>
      <c r="AQ14495" s="55">
        <v>0</v>
      </c>
      <c r="AR14495" s="55">
        <v>28500</v>
      </c>
      <c r="AS14495" s="78">
        <f t="shared" si="230"/>
        <v>0</v>
      </c>
    </row>
    <row r="14496" spans="39:45">
      <c r="AM14496" s="54">
        <v>2020</v>
      </c>
      <c r="AN14496" s="54" t="s">
        <v>189</v>
      </c>
      <c r="AO14496" s="54">
        <v>26</v>
      </c>
      <c r="AP14496" s="54">
        <v>22</v>
      </c>
      <c r="AQ14496" s="54">
        <v>0</v>
      </c>
      <c r="AR14496" s="55">
        <v>28500</v>
      </c>
      <c r="AS14496" s="78">
        <f t="shared" si="230"/>
        <v>0</v>
      </c>
    </row>
    <row r="14497" spans="39:45">
      <c r="AM14497" s="55">
        <v>2020</v>
      </c>
      <c r="AN14497" s="55" t="s">
        <v>189</v>
      </c>
      <c r="AO14497" s="55">
        <v>26</v>
      </c>
      <c r="AP14497" s="55">
        <v>23</v>
      </c>
      <c r="AQ14497" s="55">
        <v>0</v>
      </c>
      <c r="AR14497" s="55">
        <v>28500</v>
      </c>
      <c r="AS14497" s="78">
        <f t="shared" si="230"/>
        <v>0</v>
      </c>
    </row>
    <row r="14498" spans="39:45">
      <c r="AM14498" s="54">
        <v>2020</v>
      </c>
      <c r="AN14498" s="54" t="s">
        <v>189</v>
      </c>
      <c r="AO14498" s="54">
        <v>27</v>
      </c>
      <c r="AP14498" s="54">
        <v>24</v>
      </c>
      <c r="AQ14498" s="54">
        <v>0</v>
      </c>
      <c r="AR14498" s="55">
        <v>28500</v>
      </c>
      <c r="AS14498" s="78">
        <f t="shared" si="230"/>
        <v>0</v>
      </c>
    </row>
    <row r="14499" spans="39:45">
      <c r="AM14499" s="55">
        <v>2020</v>
      </c>
      <c r="AN14499" s="55" t="s">
        <v>189</v>
      </c>
      <c r="AO14499" s="55">
        <v>27</v>
      </c>
      <c r="AP14499" s="55">
        <v>1</v>
      </c>
      <c r="AQ14499" s="55">
        <v>0</v>
      </c>
      <c r="AR14499" s="55">
        <v>28500</v>
      </c>
      <c r="AS14499" s="78">
        <f t="shared" si="230"/>
        <v>0</v>
      </c>
    </row>
    <row r="14500" spans="39:45">
      <c r="AM14500" s="54">
        <v>2020</v>
      </c>
      <c r="AN14500" s="54" t="s">
        <v>189</v>
      </c>
      <c r="AO14500" s="54">
        <v>27</v>
      </c>
      <c r="AP14500" s="54">
        <v>2</v>
      </c>
      <c r="AQ14500" s="54">
        <v>0</v>
      </c>
      <c r="AR14500" s="55">
        <v>28500</v>
      </c>
      <c r="AS14500" s="78">
        <f t="shared" si="230"/>
        <v>0</v>
      </c>
    </row>
    <row r="14501" spans="39:45">
      <c r="AM14501" s="55">
        <v>2020</v>
      </c>
      <c r="AN14501" s="55" t="s">
        <v>189</v>
      </c>
      <c r="AO14501" s="55">
        <v>27</v>
      </c>
      <c r="AP14501" s="55">
        <v>3</v>
      </c>
      <c r="AQ14501" s="55">
        <v>0</v>
      </c>
      <c r="AR14501" s="55">
        <v>28500</v>
      </c>
      <c r="AS14501" s="78">
        <f t="shared" si="230"/>
        <v>0</v>
      </c>
    </row>
    <row r="14502" spans="39:45">
      <c r="AM14502" s="54">
        <v>2020</v>
      </c>
      <c r="AN14502" s="54" t="s">
        <v>189</v>
      </c>
      <c r="AO14502" s="54">
        <v>27</v>
      </c>
      <c r="AP14502" s="54">
        <v>4</v>
      </c>
      <c r="AQ14502" s="54">
        <v>0</v>
      </c>
      <c r="AR14502" s="55">
        <v>28500</v>
      </c>
      <c r="AS14502" s="78">
        <f t="shared" si="230"/>
        <v>0</v>
      </c>
    </row>
    <row r="14503" spans="39:45">
      <c r="AM14503" s="55">
        <v>2020</v>
      </c>
      <c r="AN14503" s="55" t="s">
        <v>189</v>
      </c>
      <c r="AO14503" s="55">
        <v>27</v>
      </c>
      <c r="AP14503" s="55">
        <v>5</v>
      </c>
      <c r="AQ14503" s="55">
        <v>0</v>
      </c>
      <c r="AR14503" s="55">
        <v>28500</v>
      </c>
      <c r="AS14503" s="78">
        <f t="shared" si="230"/>
        <v>0</v>
      </c>
    </row>
    <row r="14504" spans="39:45">
      <c r="AM14504" s="54">
        <v>2020</v>
      </c>
      <c r="AN14504" s="54" t="s">
        <v>189</v>
      </c>
      <c r="AO14504" s="54">
        <v>27</v>
      </c>
      <c r="AP14504" s="54">
        <v>6</v>
      </c>
      <c r="AQ14504" s="54">
        <v>1877.5</v>
      </c>
      <c r="AR14504" s="55">
        <v>28500</v>
      </c>
      <c r="AS14504" s="78">
        <f t="shared" si="230"/>
        <v>6.5877192982456145E-2</v>
      </c>
    </row>
    <row r="14505" spans="39:45">
      <c r="AM14505" s="55">
        <v>2020</v>
      </c>
      <c r="AN14505" s="55" t="s">
        <v>189</v>
      </c>
      <c r="AO14505" s="55">
        <v>27</v>
      </c>
      <c r="AP14505" s="55">
        <v>7</v>
      </c>
      <c r="AQ14505" s="55">
        <v>7867.5</v>
      </c>
      <c r="AR14505" s="55">
        <v>28500</v>
      </c>
      <c r="AS14505" s="78">
        <f t="shared" si="230"/>
        <v>0.27605263157894738</v>
      </c>
    </row>
    <row r="14506" spans="39:45">
      <c r="AM14506" s="54">
        <v>2020</v>
      </c>
      <c r="AN14506" s="54" t="s">
        <v>189</v>
      </c>
      <c r="AO14506" s="54">
        <v>27</v>
      </c>
      <c r="AP14506" s="54">
        <v>8</v>
      </c>
      <c r="AQ14506" s="54">
        <v>19134</v>
      </c>
      <c r="AR14506" s="55">
        <v>28500</v>
      </c>
      <c r="AS14506" s="78">
        <f t="shared" si="230"/>
        <v>0.67136842105263161</v>
      </c>
    </row>
    <row r="14507" spans="39:45">
      <c r="AM14507" s="55">
        <v>2020</v>
      </c>
      <c r="AN14507" s="55" t="s">
        <v>189</v>
      </c>
      <c r="AO14507" s="55">
        <v>27</v>
      </c>
      <c r="AP14507" s="55">
        <v>9</v>
      </c>
      <c r="AQ14507" s="55">
        <v>11883.5</v>
      </c>
      <c r="AR14507" s="55">
        <v>28500</v>
      </c>
      <c r="AS14507" s="78">
        <f t="shared" si="230"/>
        <v>0.41696491228070176</v>
      </c>
    </row>
    <row r="14508" spans="39:45">
      <c r="AM14508" s="54">
        <v>2020</v>
      </c>
      <c r="AN14508" s="54" t="s">
        <v>189</v>
      </c>
      <c r="AO14508" s="54">
        <v>27</v>
      </c>
      <c r="AP14508" s="54">
        <v>10</v>
      </c>
      <c r="AQ14508" s="54">
        <v>7513</v>
      </c>
      <c r="AR14508" s="55">
        <v>28500</v>
      </c>
      <c r="AS14508" s="78">
        <f t="shared" si="230"/>
        <v>0.2636140350877193</v>
      </c>
    </row>
    <row r="14509" spans="39:45">
      <c r="AM14509" s="55">
        <v>2020</v>
      </c>
      <c r="AN14509" s="55" t="s">
        <v>189</v>
      </c>
      <c r="AO14509" s="55">
        <v>27</v>
      </c>
      <c r="AP14509" s="55">
        <v>11</v>
      </c>
      <c r="AQ14509" s="55">
        <v>4833</v>
      </c>
      <c r="AR14509" s="55">
        <v>28500</v>
      </c>
      <c r="AS14509" s="78">
        <f t="shared" si="230"/>
        <v>0.16957894736842105</v>
      </c>
    </row>
    <row r="14510" spans="39:45">
      <c r="AM14510" s="54">
        <v>2020</v>
      </c>
      <c r="AN14510" s="54" t="s">
        <v>189</v>
      </c>
      <c r="AO14510" s="54">
        <v>27</v>
      </c>
      <c r="AP14510" s="54">
        <v>12</v>
      </c>
      <c r="AQ14510" s="54">
        <v>4604</v>
      </c>
      <c r="AR14510" s="55">
        <v>28500</v>
      </c>
      <c r="AS14510" s="78">
        <f t="shared" si="230"/>
        <v>0.1615438596491228</v>
      </c>
    </row>
    <row r="14511" spans="39:45">
      <c r="AM14511" s="55">
        <v>2020</v>
      </c>
      <c r="AN14511" s="55" t="s">
        <v>189</v>
      </c>
      <c r="AO14511" s="55">
        <v>27</v>
      </c>
      <c r="AP14511" s="55">
        <v>13</v>
      </c>
      <c r="AQ14511" s="55">
        <v>3297.5</v>
      </c>
      <c r="AR14511" s="55">
        <v>28500</v>
      </c>
      <c r="AS14511" s="78">
        <f t="shared" si="230"/>
        <v>0.11570175438596492</v>
      </c>
    </row>
    <row r="14512" spans="39:45">
      <c r="AM14512" s="54">
        <v>2020</v>
      </c>
      <c r="AN14512" s="54" t="s">
        <v>189</v>
      </c>
      <c r="AO14512" s="54">
        <v>27</v>
      </c>
      <c r="AP14512" s="54">
        <v>14</v>
      </c>
      <c r="AQ14512" s="54">
        <v>8333.5</v>
      </c>
      <c r="AR14512" s="55">
        <v>28500</v>
      </c>
      <c r="AS14512" s="78">
        <f t="shared" si="230"/>
        <v>0.29240350877192983</v>
      </c>
    </row>
    <row r="14513" spans="39:45">
      <c r="AM14513" s="55">
        <v>2020</v>
      </c>
      <c r="AN14513" s="55" t="s">
        <v>189</v>
      </c>
      <c r="AO14513" s="55">
        <v>27</v>
      </c>
      <c r="AP14513" s="55">
        <v>15</v>
      </c>
      <c r="AQ14513" s="55">
        <v>1173</v>
      </c>
      <c r="AR14513" s="55">
        <v>28500</v>
      </c>
      <c r="AS14513" s="78">
        <f t="shared" si="230"/>
        <v>4.1157894736842109E-2</v>
      </c>
    </row>
    <row r="14514" spans="39:45">
      <c r="AM14514" s="54">
        <v>2020</v>
      </c>
      <c r="AN14514" s="54" t="s">
        <v>189</v>
      </c>
      <c r="AO14514" s="54">
        <v>27</v>
      </c>
      <c r="AP14514" s="54">
        <v>16</v>
      </c>
      <c r="AQ14514" s="54">
        <v>5922.5</v>
      </c>
      <c r="AR14514" s="55">
        <v>28500</v>
      </c>
      <c r="AS14514" s="78">
        <f t="shared" si="230"/>
        <v>0.20780701754385966</v>
      </c>
    </row>
    <row r="14515" spans="39:45">
      <c r="AM14515" s="55">
        <v>2020</v>
      </c>
      <c r="AN14515" s="55" t="s">
        <v>189</v>
      </c>
      <c r="AO14515" s="55">
        <v>27</v>
      </c>
      <c r="AP14515" s="55">
        <v>17</v>
      </c>
      <c r="AQ14515" s="55">
        <v>5318.5</v>
      </c>
      <c r="AR14515" s="55">
        <v>28500</v>
      </c>
      <c r="AS14515" s="78">
        <f t="shared" si="230"/>
        <v>0.18661403508771929</v>
      </c>
    </row>
    <row r="14516" spans="39:45">
      <c r="AM14516" s="54">
        <v>2020</v>
      </c>
      <c r="AN14516" s="54" t="s">
        <v>189</v>
      </c>
      <c r="AO14516" s="54">
        <v>27</v>
      </c>
      <c r="AP14516" s="54">
        <v>18</v>
      </c>
      <c r="AQ14516" s="54">
        <v>3</v>
      </c>
      <c r="AR14516" s="55">
        <v>28500</v>
      </c>
      <c r="AS14516" s="78">
        <f t="shared" si="230"/>
        <v>1.0526315789473685E-4</v>
      </c>
    </row>
    <row r="14517" spans="39:45">
      <c r="AM14517" s="55">
        <v>2020</v>
      </c>
      <c r="AN14517" s="55" t="s">
        <v>189</v>
      </c>
      <c r="AO14517" s="55">
        <v>27</v>
      </c>
      <c r="AP14517" s="55">
        <v>19</v>
      </c>
      <c r="AQ14517" s="55">
        <v>0</v>
      </c>
      <c r="AR14517" s="55">
        <v>28500</v>
      </c>
      <c r="AS14517" s="78">
        <f t="shared" si="230"/>
        <v>0</v>
      </c>
    </row>
    <row r="14518" spans="39:45">
      <c r="AM14518" s="54">
        <v>2020</v>
      </c>
      <c r="AN14518" s="54" t="s">
        <v>189</v>
      </c>
      <c r="AO14518" s="54">
        <v>27</v>
      </c>
      <c r="AP14518" s="54">
        <v>20</v>
      </c>
      <c r="AQ14518" s="54">
        <v>0</v>
      </c>
      <c r="AR14518" s="55">
        <v>28500</v>
      </c>
      <c r="AS14518" s="78">
        <f t="shared" si="230"/>
        <v>0</v>
      </c>
    </row>
    <row r="14519" spans="39:45">
      <c r="AM14519" s="55">
        <v>2020</v>
      </c>
      <c r="AN14519" s="55" t="s">
        <v>189</v>
      </c>
      <c r="AO14519" s="55">
        <v>27</v>
      </c>
      <c r="AP14519" s="55">
        <v>21</v>
      </c>
      <c r="AQ14519" s="55">
        <v>0</v>
      </c>
      <c r="AR14519" s="55">
        <v>28500</v>
      </c>
      <c r="AS14519" s="78">
        <f t="shared" si="230"/>
        <v>0</v>
      </c>
    </row>
    <row r="14520" spans="39:45">
      <c r="AM14520" s="54">
        <v>2020</v>
      </c>
      <c r="AN14520" s="54" t="s">
        <v>189</v>
      </c>
      <c r="AO14520" s="54">
        <v>27</v>
      </c>
      <c r="AP14520" s="54">
        <v>22</v>
      </c>
      <c r="AQ14520" s="54">
        <v>0</v>
      </c>
      <c r="AR14520" s="55">
        <v>28500</v>
      </c>
      <c r="AS14520" s="78">
        <f t="shared" si="230"/>
        <v>0</v>
      </c>
    </row>
    <row r="14521" spans="39:45">
      <c r="AM14521" s="55">
        <v>2020</v>
      </c>
      <c r="AN14521" s="55" t="s">
        <v>189</v>
      </c>
      <c r="AO14521" s="55">
        <v>27</v>
      </c>
      <c r="AP14521" s="55">
        <v>23</v>
      </c>
      <c r="AQ14521" s="55">
        <v>0</v>
      </c>
      <c r="AR14521" s="55">
        <v>28500</v>
      </c>
      <c r="AS14521" s="78">
        <f t="shared" si="230"/>
        <v>0</v>
      </c>
    </row>
    <row r="14522" spans="39:45">
      <c r="AM14522" s="54">
        <v>2020</v>
      </c>
      <c r="AN14522" s="54" t="s">
        <v>189</v>
      </c>
      <c r="AO14522" s="54">
        <v>28</v>
      </c>
      <c r="AP14522" s="54">
        <v>24</v>
      </c>
      <c r="AQ14522" s="54">
        <v>0</v>
      </c>
      <c r="AR14522" s="55">
        <v>28500</v>
      </c>
      <c r="AS14522" s="78">
        <f t="shared" si="230"/>
        <v>0</v>
      </c>
    </row>
    <row r="14523" spans="39:45">
      <c r="AM14523" s="55">
        <v>2020</v>
      </c>
      <c r="AN14523" s="55" t="s">
        <v>189</v>
      </c>
      <c r="AO14523" s="55">
        <v>28</v>
      </c>
      <c r="AP14523" s="55">
        <v>1</v>
      </c>
      <c r="AQ14523" s="55">
        <v>0</v>
      </c>
      <c r="AR14523" s="55">
        <v>28500</v>
      </c>
      <c r="AS14523" s="78">
        <f t="shared" si="230"/>
        <v>0</v>
      </c>
    </row>
    <row r="14524" spans="39:45">
      <c r="AM14524" s="54">
        <v>2020</v>
      </c>
      <c r="AN14524" s="54" t="s">
        <v>189</v>
      </c>
      <c r="AO14524" s="54">
        <v>28</v>
      </c>
      <c r="AP14524" s="54">
        <v>2</v>
      </c>
      <c r="AQ14524" s="54">
        <v>0</v>
      </c>
      <c r="AR14524" s="55">
        <v>28500</v>
      </c>
      <c r="AS14524" s="78">
        <f t="shared" si="230"/>
        <v>0</v>
      </c>
    </row>
    <row r="14525" spans="39:45">
      <c r="AM14525" s="55">
        <v>2020</v>
      </c>
      <c r="AN14525" s="55" t="s">
        <v>189</v>
      </c>
      <c r="AO14525" s="55">
        <v>28</v>
      </c>
      <c r="AP14525" s="55">
        <v>3</v>
      </c>
      <c r="AQ14525" s="55">
        <v>0</v>
      </c>
      <c r="AR14525" s="55">
        <v>28500</v>
      </c>
      <c r="AS14525" s="78">
        <f t="shared" si="230"/>
        <v>0</v>
      </c>
    </row>
    <row r="14526" spans="39:45">
      <c r="AM14526" s="54">
        <v>2020</v>
      </c>
      <c r="AN14526" s="54" t="s">
        <v>189</v>
      </c>
      <c r="AO14526" s="54">
        <v>28</v>
      </c>
      <c r="AP14526" s="54">
        <v>4</v>
      </c>
      <c r="AQ14526" s="54">
        <v>0</v>
      </c>
      <c r="AR14526" s="55">
        <v>28500</v>
      </c>
      <c r="AS14526" s="78">
        <f t="shared" si="230"/>
        <v>0</v>
      </c>
    </row>
    <row r="14527" spans="39:45">
      <c r="AM14527" s="55">
        <v>2020</v>
      </c>
      <c r="AN14527" s="55" t="s">
        <v>189</v>
      </c>
      <c r="AO14527" s="55">
        <v>28</v>
      </c>
      <c r="AP14527" s="55">
        <v>5</v>
      </c>
      <c r="AQ14527" s="55">
        <v>0</v>
      </c>
      <c r="AR14527" s="55">
        <v>28500</v>
      </c>
      <c r="AS14527" s="78">
        <f t="shared" si="230"/>
        <v>0</v>
      </c>
    </row>
    <row r="14528" spans="39:45">
      <c r="AM14528" s="54">
        <v>2020</v>
      </c>
      <c r="AN14528" s="54" t="s">
        <v>189</v>
      </c>
      <c r="AO14528" s="54">
        <v>28</v>
      </c>
      <c r="AP14528" s="54">
        <v>6</v>
      </c>
      <c r="AQ14528" s="54">
        <v>1767</v>
      </c>
      <c r="AR14528" s="55">
        <v>28500</v>
      </c>
      <c r="AS14528" s="78">
        <f t="shared" si="230"/>
        <v>6.2E-2</v>
      </c>
    </row>
    <row r="14529" spans="39:45">
      <c r="AM14529" s="55">
        <v>2020</v>
      </c>
      <c r="AN14529" s="55" t="s">
        <v>189</v>
      </c>
      <c r="AO14529" s="55">
        <v>28</v>
      </c>
      <c r="AP14529" s="55">
        <v>7</v>
      </c>
      <c r="AQ14529" s="55">
        <v>7136.5</v>
      </c>
      <c r="AR14529" s="55">
        <v>28500</v>
      </c>
      <c r="AS14529" s="78">
        <f t="shared" si="230"/>
        <v>0.25040350877192985</v>
      </c>
    </row>
    <row r="14530" spans="39:45">
      <c r="AM14530" s="54">
        <v>2020</v>
      </c>
      <c r="AN14530" s="54" t="s">
        <v>189</v>
      </c>
      <c r="AO14530" s="54">
        <v>28</v>
      </c>
      <c r="AP14530" s="54">
        <v>8</v>
      </c>
      <c r="AQ14530" s="54">
        <v>7710</v>
      </c>
      <c r="AR14530" s="55">
        <v>28500</v>
      </c>
      <c r="AS14530" s="78">
        <f t="shared" ref="AS14530:AS14593" si="231">AQ14530/AR14530</f>
        <v>0.27052631578947367</v>
      </c>
    </row>
    <row r="14531" spans="39:45">
      <c r="AM14531" s="55">
        <v>2020</v>
      </c>
      <c r="AN14531" s="55" t="s">
        <v>189</v>
      </c>
      <c r="AO14531" s="55">
        <v>28</v>
      </c>
      <c r="AP14531" s="55">
        <v>9</v>
      </c>
      <c r="AQ14531" s="55">
        <v>6396</v>
      </c>
      <c r="AR14531" s="55">
        <v>28500</v>
      </c>
      <c r="AS14531" s="78">
        <f t="shared" si="231"/>
        <v>0.22442105263157894</v>
      </c>
    </row>
    <row r="14532" spans="39:45">
      <c r="AM14532" s="54">
        <v>2020</v>
      </c>
      <c r="AN14532" s="54" t="s">
        <v>189</v>
      </c>
      <c r="AO14532" s="54">
        <v>28</v>
      </c>
      <c r="AP14532" s="54">
        <v>10</v>
      </c>
      <c r="AQ14532" s="54">
        <v>26851.5</v>
      </c>
      <c r="AR14532" s="55">
        <v>28500</v>
      </c>
      <c r="AS14532" s="78">
        <f t="shared" si="231"/>
        <v>0.94215789473684208</v>
      </c>
    </row>
    <row r="14533" spans="39:45">
      <c r="AM14533" s="55">
        <v>2020</v>
      </c>
      <c r="AN14533" s="55" t="s">
        <v>189</v>
      </c>
      <c r="AO14533" s="55">
        <v>28</v>
      </c>
      <c r="AP14533" s="55">
        <v>11</v>
      </c>
      <c r="AQ14533" s="55">
        <v>27369.5</v>
      </c>
      <c r="AR14533" s="55">
        <v>28500</v>
      </c>
      <c r="AS14533" s="78">
        <f t="shared" si="231"/>
        <v>0.96033333333333337</v>
      </c>
    </row>
    <row r="14534" spans="39:45">
      <c r="AM14534" s="54">
        <v>2020</v>
      </c>
      <c r="AN14534" s="54" t="s">
        <v>189</v>
      </c>
      <c r="AO14534" s="54">
        <v>28</v>
      </c>
      <c r="AP14534" s="54">
        <v>12</v>
      </c>
      <c r="AQ14534" s="54">
        <v>10223.5</v>
      </c>
      <c r="AR14534" s="55">
        <v>28500</v>
      </c>
      <c r="AS14534" s="78">
        <f t="shared" si="231"/>
        <v>0.35871929824561405</v>
      </c>
    </row>
    <row r="14535" spans="39:45">
      <c r="AM14535" s="55">
        <v>2020</v>
      </c>
      <c r="AN14535" s="55" t="s">
        <v>189</v>
      </c>
      <c r="AO14535" s="55">
        <v>28</v>
      </c>
      <c r="AP14535" s="55">
        <v>13</v>
      </c>
      <c r="AQ14535" s="55">
        <v>13101</v>
      </c>
      <c r="AR14535" s="55">
        <v>28500</v>
      </c>
      <c r="AS14535" s="78">
        <f t="shared" si="231"/>
        <v>0.45968421052631581</v>
      </c>
    </row>
    <row r="14536" spans="39:45">
      <c r="AM14536" s="54">
        <v>2020</v>
      </c>
      <c r="AN14536" s="54" t="s">
        <v>189</v>
      </c>
      <c r="AO14536" s="54">
        <v>28</v>
      </c>
      <c r="AP14536" s="54">
        <v>14</v>
      </c>
      <c r="AQ14536" s="54">
        <v>4235.5</v>
      </c>
      <c r="AR14536" s="55">
        <v>28500</v>
      </c>
      <c r="AS14536" s="78">
        <f t="shared" si="231"/>
        <v>0.14861403508771931</v>
      </c>
    </row>
    <row r="14537" spans="39:45">
      <c r="AM14537" s="55">
        <v>2020</v>
      </c>
      <c r="AN14537" s="55" t="s">
        <v>189</v>
      </c>
      <c r="AO14537" s="55">
        <v>28</v>
      </c>
      <c r="AP14537" s="55">
        <v>15</v>
      </c>
      <c r="AQ14537" s="55">
        <v>8004.5</v>
      </c>
      <c r="AR14537" s="55">
        <v>28500</v>
      </c>
      <c r="AS14537" s="78">
        <f t="shared" si="231"/>
        <v>0.28085964912280703</v>
      </c>
    </row>
    <row r="14538" spans="39:45">
      <c r="AM14538" s="54">
        <v>2020</v>
      </c>
      <c r="AN14538" s="54" t="s">
        <v>189</v>
      </c>
      <c r="AO14538" s="54">
        <v>28</v>
      </c>
      <c r="AP14538" s="54">
        <v>16</v>
      </c>
      <c r="AQ14538" s="54">
        <v>3994.5</v>
      </c>
      <c r="AR14538" s="55">
        <v>28500</v>
      </c>
      <c r="AS14538" s="78">
        <f t="shared" si="231"/>
        <v>0.14015789473684209</v>
      </c>
    </row>
    <row r="14539" spans="39:45">
      <c r="AM14539" s="55">
        <v>2020</v>
      </c>
      <c r="AN14539" s="55" t="s">
        <v>189</v>
      </c>
      <c r="AO14539" s="55">
        <v>28</v>
      </c>
      <c r="AP14539" s="55">
        <v>17</v>
      </c>
      <c r="AQ14539" s="55">
        <v>3655</v>
      </c>
      <c r="AR14539" s="55">
        <v>28500</v>
      </c>
      <c r="AS14539" s="78">
        <f t="shared" si="231"/>
        <v>0.12824561403508772</v>
      </c>
    </row>
    <row r="14540" spans="39:45">
      <c r="AM14540" s="54">
        <v>2020</v>
      </c>
      <c r="AN14540" s="54" t="s">
        <v>189</v>
      </c>
      <c r="AO14540" s="54">
        <v>28</v>
      </c>
      <c r="AP14540" s="54">
        <v>18</v>
      </c>
      <c r="AQ14540" s="54">
        <v>116.5</v>
      </c>
      <c r="AR14540" s="55">
        <v>28500</v>
      </c>
      <c r="AS14540" s="78">
        <f t="shared" si="231"/>
        <v>4.087719298245614E-3</v>
      </c>
    </row>
    <row r="14541" spans="39:45">
      <c r="AM14541" s="55">
        <v>2020</v>
      </c>
      <c r="AN14541" s="55" t="s">
        <v>189</v>
      </c>
      <c r="AO14541" s="55">
        <v>28</v>
      </c>
      <c r="AP14541" s="55">
        <v>19</v>
      </c>
      <c r="AQ14541" s="55">
        <v>0</v>
      </c>
      <c r="AR14541" s="55">
        <v>28500</v>
      </c>
      <c r="AS14541" s="78">
        <f t="shared" si="231"/>
        <v>0</v>
      </c>
    </row>
    <row r="14542" spans="39:45">
      <c r="AM14542" s="54">
        <v>2020</v>
      </c>
      <c r="AN14542" s="54" t="s">
        <v>189</v>
      </c>
      <c r="AO14542" s="54">
        <v>28</v>
      </c>
      <c r="AP14542" s="54">
        <v>20</v>
      </c>
      <c r="AQ14542" s="54">
        <v>0</v>
      </c>
      <c r="AR14542" s="55">
        <v>28500</v>
      </c>
      <c r="AS14542" s="78">
        <f t="shared" si="231"/>
        <v>0</v>
      </c>
    </row>
    <row r="14543" spans="39:45">
      <c r="AM14543" s="55">
        <v>2020</v>
      </c>
      <c r="AN14543" s="55" t="s">
        <v>189</v>
      </c>
      <c r="AO14543" s="55">
        <v>28</v>
      </c>
      <c r="AP14543" s="55">
        <v>21</v>
      </c>
      <c r="AQ14543" s="55">
        <v>0</v>
      </c>
      <c r="AR14543" s="55">
        <v>28500</v>
      </c>
      <c r="AS14543" s="78">
        <f t="shared" si="231"/>
        <v>0</v>
      </c>
    </row>
    <row r="14544" spans="39:45">
      <c r="AM14544" s="54">
        <v>2020</v>
      </c>
      <c r="AN14544" s="54" t="s">
        <v>189</v>
      </c>
      <c r="AO14544" s="54">
        <v>28</v>
      </c>
      <c r="AP14544" s="54">
        <v>22</v>
      </c>
      <c r="AQ14544" s="54">
        <v>0</v>
      </c>
      <c r="AR14544" s="55">
        <v>28500</v>
      </c>
      <c r="AS14544" s="78">
        <f t="shared" si="231"/>
        <v>0</v>
      </c>
    </row>
    <row r="14545" spans="39:45">
      <c r="AM14545" s="55">
        <v>2020</v>
      </c>
      <c r="AN14545" s="55" t="s">
        <v>189</v>
      </c>
      <c r="AO14545" s="55">
        <v>28</v>
      </c>
      <c r="AP14545" s="55">
        <v>23</v>
      </c>
      <c r="AQ14545" s="55">
        <v>0</v>
      </c>
      <c r="AR14545" s="55">
        <v>28500</v>
      </c>
      <c r="AS14545" s="78">
        <f t="shared" si="231"/>
        <v>0</v>
      </c>
    </row>
    <row r="14546" spans="39:45">
      <c r="AM14546" s="54">
        <v>2020</v>
      </c>
      <c r="AN14546" s="54" t="s">
        <v>189</v>
      </c>
      <c r="AO14546" s="54">
        <v>29</v>
      </c>
      <c r="AP14546" s="54">
        <v>24</v>
      </c>
      <c r="AQ14546" s="54">
        <v>0</v>
      </c>
      <c r="AR14546" s="55">
        <v>28500</v>
      </c>
      <c r="AS14546" s="78">
        <f t="shared" si="231"/>
        <v>0</v>
      </c>
    </row>
    <row r="14547" spans="39:45">
      <c r="AM14547" s="55">
        <v>2020</v>
      </c>
      <c r="AN14547" s="55" t="s">
        <v>189</v>
      </c>
      <c r="AO14547" s="55">
        <v>29</v>
      </c>
      <c r="AP14547" s="55">
        <v>1</v>
      </c>
      <c r="AQ14547" s="55">
        <v>0</v>
      </c>
      <c r="AR14547" s="55">
        <v>28500</v>
      </c>
      <c r="AS14547" s="78">
        <f t="shared" si="231"/>
        <v>0</v>
      </c>
    </row>
    <row r="14548" spans="39:45">
      <c r="AM14548" s="54">
        <v>2020</v>
      </c>
      <c r="AN14548" s="54" t="s">
        <v>189</v>
      </c>
      <c r="AO14548" s="54">
        <v>29</v>
      </c>
      <c r="AP14548" s="54">
        <v>2</v>
      </c>
      <c r="AQ14548" s="54">
        <v>0</v>
      </c>
      <c r="AR14548" s="55">
        <v>28500</v>
      </c>
      <c r="AS14548" s="78">
        <f t="shared" si="231"/>
        <v>0</v>
      </c>
    </row>
    <row r="14549" spans="39:45">
      <c r="AM14549" s="55">
        <v>2020</v>
      </c>
      <c r="AN14549" s="55" t="s">
        <v>189</v>
      </c>
      <c r="AO14549" s="55">
        <v>29</v>
      </c>
      <c r="AP14549" s="55">
        <v>3</v>
      </c>
      <c r="AQ14549" s="55">
        <v>0</v>
      </c>
      <c r="AR14549" s="55">
        <v>28500</v>
      </c>
      <c r="AS14549" s="78">
        <f t="shared" si="231"/>
        <v>0</v>
      </c>
    </row>
    <row r="14550" spans="39:45">
      <c r="AM14550" s="54">
        <v>2020</v>
      </c>
      <c r="AN14550" s="54" t="s">
        <v>189</v>
      </c>
      <c r="AO14550" s="54">
        <v>29</v>
      </c>
      <c r="AP14550" s="54">
        <v>4</v>
      </c>
      <c r="AQ14550" s="54">
        <v>0</v>
      </c>
      <c r="AR14550" s="55">
        <v>28500</v>
      </c>
      <c r="AS14550" s="78">
        <f t="shared" si="231"/>
        <v>0</v>
      </c>
    </row>
    <row r="14551" spans="39:45">
      <c r="AM14551" s="55">
        <v>2020</v>
      </c>
      <c r="AN14551" s="55" t="s">
        <v>189</v>
      </c>
      <c r="AO14551" s="55">
        <v>29</v>
      </c>
      <c r="AP14551" s="55">
        <v>5</v>
      </c>
      <c r="AQ14551" s="55">
        <v>0</v>
      </c>
      <c r="AR14551" s="55">
        <v>28500</v>
      </c>
      <c r="AS14551" s="78">
        <f t="shared" si="231"/>
        <v>0</v>
      </c>
    </row>
    <row r="14552" spans="39:45">
      <c r="AM14552" s="54">
        <v>2020</v>
      </c>
      <c r="AN14552" s="54" t="s">
        <v>189</v>
      </c>
      <c r="AO14552" s="54">
        <v>29</v>
      </c>
      <c r="AP14552" s="54">
        <v>6</v>
      </c>
      <c r="AQ14552" s="54">
        <v>50.5</v>
      </c>
      <c r="AR14552" s="55">
        <v>28500</v>
      </c>
      <c r="AS14552" s="78">
        <f t="shared" si="231"/>
        <v>1.7719298245614035E-3</v>
      </c>
    </row>
    <row r="14553" spans="39:45">
      <c r="AM14553" s="55">
        <v>2020</v>
      </c>
      <c r="AN14553" s="55" t="s">
        <v>189</v>
      </c>
      <c r="AO14553" s="55">
        <v>29</v>
      </c>
      <c r="AP14553" s="55">
        <v>7</v>
      </c>
      <c r="AQ14553" s="55">
        <v>3008.5</v>
      </c>
      <c r="AR14553" s="55">
        <v>28500</v>
      </c>
      <c r="AS14553" s="78">
        <f t="shared" si="231"/>
        <v>0.10556140350877193</v>
      </c>
    </row>
    <row r="14554" spans="39:45">
      <c r="AM14554" s="54">
        <v>2020</v>
      </c>
      <c r="AN14554" s="54" t="s">
        <v>189</v>
      </c>
      <c r="AO14554" s="54">
        <v>29</v>
      </c>
      <c r="AP14554" s="54">
        <v>8</v>
      </c>
      <c r="AQ14554" s="54">
        <v>2543.5</v>
      </c>
      <c r="AR14554" s="55">
        <v>28500</v>
      </c>
      <c r="AS14554" s="78">
        <f t="shared" si="231"/>
        <v>8.9245614035087725E-2</v>
      </c>
    </row>
    <row r="14555" spans="39:45">
      <c r="AM14555" s="55">
        <v>2020</v>
      </c>
      <c r="AN14555" s="55" t="s">
        <v>189</v>
      </c>
      <c r="AO14555" s="55">
        <v>29</v>
      </c>
      <c r="AP14555" s="55">
        <v>9</v>
      </c>
      <c r="AQ14555" s="55">
        <v>1795.5</v>
      </c>
      <c r="AR14555" s="55">
        <v>28500</v>
      </c>
      <c r="AS14555" s="78">
        <f t="shared" si="231"/>
        <v>6.3E-2</v>
      </c>
    </row>
    <row r="14556" spans="39:45">
      <c r="AM14556" s="54">
        <v>2020</v>
      </c>
      <c r="AN14556" s="54" t="s">
        <v>189</v>
      </c>
      <c r="AO14556" s="54">
        <v>29</v>
      </c>
      <c r="AP14556" s="54">
        <v>10</v>
      </c>
      <c r="AQ14556" s="54">
        <v>7054</v>
      </c>
      <c r="AR14556" s="55">
        <v>28500</v>
      </c>
      <c r="AS14556" s="78">
        <f t="shared" si="231"/>
        <v>0.24750877192982457</v>
      </c>
    </row>
    <row r="14557" spans="39:45">
      <c r="AM14557" s="55">
        <v>2020</v>
      </c>
      <c r="AN14557" s="55" t="s">
        <v>189</v>
      </c>
      <c r="AO14557" s="55">
        <v>29</v>
      </c>
      <c r="AP14557" s="55">
        <v>11</v>
      </c>
      <c r="AQ14557" s="55">
        <v>9091.5</v>
      </c>
      <c r="AR14557" s="55">
        <v>28500</v>
      </c>
      <c r="AS14557" s="78">
        <f t="shared" si="231"/>
        <v>0.31900000000000001</v>
      </c>
    </row>
    <row r="14558" spans="39:45">
      <c r="AM14558" s="54">
        <v>2020</v>
      </c>
      <c r="AN14558" s="54" t="s">
        <v>189</v>
      </c>
      <c r="AO14558" s="54">
        <v>29</v>
      </c>
      <c r="AP14558" s="54">
        <v>12</v>
      </c>
      <c r="AQ14558" s="54">
        <v>8271.5</v>
      </c>
      <c r="AR14558" s="55">
        <v>28500</v>
      </c>
      <c r="AS14558" s="78">
        <f t="shared" si="231"/>
        <v>0.29022807017543861</v>
      </c>
    </row>
    <row r="14559" spans="39:45">
      <c r="AM14559" s="55">
        <v>2020</v>
      </c>
      <c r="AN14559" s="55" t="s">
        <v>189</v>
      </c>
      <c r="AO14559" s="55">
        <v>29</v>
      </c>
      <c r="AP14559" s="55">
        <v>13</v>
      </c>
      <c r="AQ14559" s="55">
        <v>3832.5</v>
      </c>
      <c r="AR14559" s="55">
        <v>28500</v>
      </c>
      <c r="AS14559" s="78">
        <f t="shared" si="231"/>
        <v>0.13447368421052633</v>
      </c>
    </row>
    <row r="14560" spans="39:45">
      <c r="AM14560" s="54">
        <v>2020</v>
      </c>
      <c r="AN14560" s="54" t="s">
        <v>189</v>
      </c>
      <c r="AO14560" s="54">
        <v>29</v>
      </c>
      <c r="AP14560" s="54">
        <v>14</v>
      </c>
      <c r="AQ14560" s="54">
        <v>3677.5</v>
      </c>
      <c r="AR14560" s="55">
        <v>28500</v>
      </c>
      <c r="AS14560" s="78">
        <f t="shared" si="231"/>
        <v>0.12903508771929825</v>
      </c>
    </row>
    <row r="14561" spans="39:45">
      <c r="AM14561" s="55">
        <v>2020</v>
      </c>
      <c r="AN14561" s="55" t="s">
        <v>189</v>
      </c>
      <c r="AO14561" s="55">
        <v>29</v>
      </c>
      <c r="AP14561" s="55">
        <v>15</v>
      </c>
      <c r="AQ14561" s="55">
        <v>5458.5</v>
      </c>
      <c r="AR14561" s="55">
        <v>28500</v>
      </c>
      <c r="AS14561" s="78">
        <f t="shared" si="231"/>
        <v>0.19152631578947368</v>
      </c>
    </row>
    <row r="14562" spans="39:45">
      <c r="AM14562" s="54">
        <v>2020</v>
      </c>
      <c r="AN14562" s="54" t="s">
        <v>189</v>
      </c>
      <c r="AO14562" s="54">
        <v>29</v>
      </c>
      <c r="AP14562" s="54">
        <v>16</v>
      </c>
      <c r="AQ14562" s="54">
        <v>6351</v>
      </c>
      <c r="AR14562" s="55">
        <v>28500</v>
      </c>
      <c r="AS14562" s="78">
        <f t="shared" si="231"/>
        <v>0.2228421052631579</v>
      </c>
    </row>
    <row r="14563" spans="39:45">
      <c r="AM14563" s="55">
        <v>2020</v>
      </c>
      <c r="AN14563" s="55" t="s">
        <v>189</v>
      </c>
      <c r="AO14563" s="55">
        <v>29</v>
      </c>
      <c r="AP14563" s="55">
        <v>17</v>
      </c>
      <c r="AQ14563" s="55">
        <v>3372.5</v>
      </c>
      <c r="AR14563" s="55">
        <v>28500</v>
      </c>
      <c r="AS14563" s="78">
        <f t="shared" si="231"/>
        <v>0.11833333333333333</v>
      </c>
    </row>
    <row r="14564" spans="39:45">
      <c r="AM14564" s="54">
        <v>2020</v>
      </c>
      <c r="AN14564" s="54" t="s">
        <v>189</v>
      </c>
      <c r="AO14564" s="54">
        <v>29</v>
      </c>
      <c r="AP14564" s="54">
        <v>18</v>
      </c>
      <c r="AQ14564" s="54">
        <v>645.5</v>
      </c>
      <c r="AR14564" s="55">
        <v>28500</v>
      </c>
      <c r="AS14564" s="78">
        <f t="shared" si="231"/>
        <v>2.2649122807017544E-2</v>
      </c>
    </row>
    <row r="14565" spans="39:45">
      <c r="AM14565" s="55">
        <v>2020</v>
      </c>
      <c r="AN14565" s="55" t="s">
        <v>189</v>
      </c>
      <c r="AO14565" s="55">
        <v>29</v>
      </c>
      <c r="AP14565" s="55">
        <v>19</v>
      </c>
      <c r="AQ14565" s="55">
        <v>0</v>
      </c>
      <c r="AR14565" s="55">
        <v>28500</v>
      </c>
      <c r="AS14565" s="78">
        <f t="shared" si="231"/>
        <v>0</v>
      </c>
    </row>
    <row r="14566" spans="39:45">
      <c r="AM14566" s="54">
        <v>2020</v>
      </c>
      <c r="AN14566" s="54" t="s">
        <v>189</v>
      </c>
      <c r="AO14566" s="54">
        <v>29</v>
      </c>
      <c r="AP14566" s="54">
        <v>20</v>
      </c>
      <c r="AQ14566" s="54">
        <v>0</v>
      </c>
      <c r="AR14566" s="55">
        <v>28500</v>
      </c>
      <c r="AS14566" s="78">
        <f t="shared" si="231"/>
        <v>0</v>
      </c>
    </row>
    <row r="14567" spans="39:45">
      <c r="AM14567" s="55">
        <v>2020</v>
      </c>
      <c r="AN14567" s="55" t="s">
        <v>189</v>
      </c>
      <c r="AO14567" s="55">
        <v>29</v>
      </c>
      <c r="AP14567" s="55">
        <v>21</v>
      </c>
      <c r="AQ14567" s="55">
        <v>0</v>
      </c>
      <c r="AR14567" s="55">
        <v>28500</v>
      </c>
      <c r="AS14567" s="78">
        <f t="shared" si="231"/>
        <v>0</v>
      </c>
    </row>
    <row r="14568" spans="39:45">
      <c r="AM14568" s="54">
        <v>2020</v>
      </c>
      <c r="AN14568" s="54" t="s">
        <v>189</v>
      </c>
      <c r="AO14568" s="54">
        <v>29</v>
      </c>
      <c r="AP14568" s="54">
        <v>22</v>
      </c>
      <c r="AQ14568" s="54">
        <v>0</v>
      </c>
      <c r="AR14568" s="55">
        <v>28500</v>
      </c>
      <c r="AS14568" s="78">
        <f t="shared" si="231"/>
        <v>0</v>
      </c>
    </row>
    <row r="14569" spans="39:45">
      <c r="AM14569" s="55">
        <v>2020</v>
      </c>
      <c r="AN14569" s="55" t="s">
        <v>189</v>
      </c>
      <c r="AO14569" s="55">
        <v>29</v>
      </c>
      <c r="AP14569" s="55">
        <v>23</v>
      </c>
      <c r="AQ14569" s="55">
        <v>0</v>
      </c>
      <c r="AR14569" s="55">
        <v>28500</v>
      </c>
      <c r="AS14569" s="78">
        <f t="shared" si="231"/>
        <v>0</v>
      </c>
    </row>
    <row r="14570" spans="39:45">
      <c r="AM14570" s="54">
        <v>2020</v>
      </c>
      <c r="AN14570" s="54" t="s">
        <v>189</v>
      </c>
      <c r="AO14570" s="54">
        <v>30</v>
      </c>
      <c r="AP14570" s="54">
        <v>24</v>
      </c>
      <c r="AQ14570" s="54">
        <v>0</v>
      </c>
      <c r="AR14570" s="55">
        <v>28500</v>
      </c>
      <c r="AS14570" s="78">
        <f t="shared" si="231"/>
        <v>0</v>
      </c>
    </row>
    <row r="14571" spans="39:45">
      <c r="AM14571" s="55">
        <v>2020</v>
      </c>
      <c r="AN14571" s="55" t="s">
        <v>189</v>
      </c>
      <c r="AO14571" s="55">
        <v>30</v>
      </c>
      <c r="AP14571" s="55">
        <v>1</v>
      </c>
      <c r="AQ14571" s="55">
        <v>0</v>
      </c>
      <c r="AR14571" s="55">
        <v>28500</v>
      </c>
      <c r="AS14571" s="78">
        <f t="shared" si="231"/>
        <v>0</v>
      </c>
    </row>
    <row r="14572" spans="39:45">
      <c r="AM14572" s="54">
        <v>2020</v>
      </c>
      <c r="AN14572" s="54" t="s">
        <v>189</v>
      </c>
      <c r="AO14572" s="54">
        <v>30</v>
      </c>
      <c r="AP14572" s="54">
        <v>2</v>
      </c>
      <c r="AQ14572" s="54">
        <v>0</v>
      </c>
      <c r="AR14572" s="55">
        <v>28500</v>
      </c>
      <c r="AS14572" s="78">
        <f t="shared" si="231"/>
        <v>0</v>
      </c>
    </row>
    <row r="14573" spans="39:45">
      <c r="AM14573" s="55">
        <v>2020</v>
      </c>
      <c r="AN14573" s="55" t="s">
        <v>189</v>
      </c>
      <c r="AO14573" s="55">
        <v>30</v>
      </c>
      <c r="AP14573" s="55">
        <v>3</v>
      </c>
      <c r="AQ14573" s="55">
        <v>0</v>
      </c>
      <c r="AR14573" s="55">
        <v>28500</v>
      </c>
      <c r="AS14573" s="78">
        <f t="shared" si="231"/>
        <v>0</v>
      </c>
    </row>
    <row r="14574" spans="39:45">
      <c r="AM14574" s="54">
        <v>2020</v>
      </c>
      <c r="AN14574" s="54" t="s">
        <v>189</v>
      </c>
      <c r="AO14574" s="54">
        <v>30</v>
      </c>
      <c r="AP14574" s="54">
        <v>4</v>
      </c>
      <c r="AQ14574" s="54">
        <v>0</v>
      </c>
      <c r="AR14574" s="55">
        <v>28500</v>
      </c>
      <c r="AS14574" s="78">
        <f t="shared" si="231"/>
        <v>0</v>
      </c>
    </row>
    <row r="14575" spans="39:45">
      <c r="AM14575" s="55">
        <v>2020</v>
      </c>
      <c r="AN14575" s="55" t="s">
        <v>189</v>
      </c>
      <c r="AO14575" s="55">
        <v>30</v>
      </c>
      <c r="AP14575" s="55">
        <v>5</v>
      </c>
      <c r="AQ14575" s="55">
        <v>0</v>
      </c>
      <c r="AR14575" s="55">
        <v>28500</v>
      </c>
      <c r="AS14575" s="78">
        <f t="shared" si="231"/>
        <v>0</v>
      </c>
    </row>
    <row r="14576" spans="39:45">
      <c r="AM14576" s="54">
        <v>2020</v>
      </c>
      <c r="AN14576" s="54" t="s">
        <v>189</v>
      </c>
      <c r="AO14576" s="54">
        <v>30</v>
      </c>
      <c r="AP14576" s="54">
        <v>6</v>
      </c>
      <c r="AQ14576" s="54">
        <v>725</v>
      </c>
      <c r="AR14576" s="55">
        <v>28500</v>
      </c>
      <c r="AS14576" s="78">
        <f t="shared" si="231"/>
        <v>2.5438596491228069E-2</v>
      </c>
    </row>
    <row r="14577" spans="39:45">
      <c r="AM14577" s="55">
        <v>2020</v>
      </c>
      <c r="AN14577" s="55" t="s">
        <v>189</v>
      </c>
      <c r="AO14577" s="55">
        <v>30</v>
      </c>
      <c r="AP14577" s="55">
        <v>7</v>
      </c>
      <c r="AQ14577" s="55">
        <v>3931.5</v>
      </c>
      <c r="AR14577" s="55">
        <v>28500</v>
      </c>
      <c r="AS14577" s="78">
        <f t="shared" si="231"/>
        <v>0.13794736842105262</v>
      </c>
    </row>
    <row r="14578" spans="39:45">
      <c r="AM14578" s="54">
        <v>2020</v>
      </c>
      <c r="AN14578" s="54" t="s">
        <v>189</v>
      </c>
      <c r="AO14578" s="54">
        <v>30</v>
      </c>
      <c r="AP14578" s="54">
        <v>8</v>
      </c>
      <c r="AQ14578" s="54">
        <v>8954.5</v>
      </c>
      <c r="AR14578" s="55">
        <v>28500</v>
      </c>
      <c r="AS14578" s="78">
        <f t="shared" si="231"/>
        <v>0.31419298245614036</v>
      </c>
    </row>
    <row r="14579" spans="39:45">
      <c r="AM14579" s="55">
        <v>2020</v>
      </c>
      <c r="AN14579" s="55" t="s">
        <v>189</v>
      </c>
      <c r="AO14579" s="55">
        <v>30</v>
      </c>
      <c r="AP14579" s="55">
        <v>9</v>
      </c>
      <c r="AQ14579" s="55">
        <v>22397.5</v>
      </c>
      <c r="AR14579" s="55">
        <v>28500</v>
      </c>
      <c r="AS14579" s="78">
        <f t="shared" si="231"/>
        <v>0.78587719298245617</v>
      </c>
    </row>
    <row r="14580" spans="39:45">
      <c r="AM14580" s="54">
        <v>2020</v>
      </c>
      <c r="AN14580" s="54" t="s">
        <v>189</v>
      </c>
      <c r="AO14580" s="54">
        <v>30</v>
      </c>
      <c r="AP14580" s="54">
        <v>10</v>
      </c>
      <c r="AQ14580" s="54">
        <v>15025</v>
      </c>
      <c r="AR14580" s="55">
        <v>28500</v>
      </c>
      <c r="AS14580" s="78">
        <f t="shared" si="231"/>
        <v>0.52719298245614032</v>
      </c>
    </row>
    <row r="14581" spans="39:45">
      <c r="AM14581" s="55">
        <v>2020</v>
      </c>
      <c r="AN14581" s="55" t="s">
        <v>189</v>
      </c>
      <c r="AO14581" s="55">
        <v>30</v>
      </c>
      <c r="AP14581" s="55">
        <v>11</v>
      </c>
      <c r="AQ14581" s="55">
        <v>6026</v>
      </c>
      <c r="AR14581" s="55">
        <v>28500</v>
      </c>
      <c r="AS14581" s="78">
        <f t="shared" si="231"/>
        <v>0.21143859649122806</v>
      </c>
    </row>
    <row r="14582" spans="39:45">
      <c r="AM14582" s="54">
        <v>2020</v>
      </c>
      <c r="AN14582" s="54" t="s">
        <v>189</v>
      </c>
      <c r="AO14582" s="54">
        <v>30</v>
      </c>
      <c r="AP14582" s="54">
        <v>12</v>
      </c>
      <c r="AQ14582" s="54">
        <v>4512.5</v>
      </c>
      <c r="AR14582" s="55">
        <v>28500</v>
      </c>
      <c r="AS14582" s="78">
        <f t="shared" si="231"/>
        <v>0.15833333333333333</v>
      </c>
    </row>
    <row r="14583" spans="39:45">
      <c r="AM14583" s="55">
        <v>2020</v>
      </c>
      <c r="AN14583" s="55" t="s">
        <v>189</v>
      </c>
      <c r="AO14583" s="55">
        <v>30</v>
      </c>
      <c r="AP14583" s="55">
        <v>13</v>
      </c>
      <c r="AQ14583" s="55">
        <v>5857.5</v>
      </c>
      <c r="AR14583" s="55">
        <v>28500</v>
      </c>
      <c r="AS14583" s="78">
        <f t="shared" si="231"/>
        <v>0.2055263157894737</v>
      </c>
    </row>
    <row r="14584" spans="39:45">
      <c r="AM14584" s="54">
        <v>2020</v>
      </c>
      <c r="AN14584" s="54" t="s">
        <v>189</v>
      </c>
      <c r="AO14584" s="54">
        <v>30</v>
      </c>
      <c r="AP14584" s="54">
        <v>14</v>
      </c>
      <c r="AQ14584" s="54">
        <v>14427</v>
      </c>
      <c r="AR14584" s="55">
        <v>28500</v>
      </c>
      <c r="AS14584" s="78">
        <f t="shared" si="231"/>
        <v>0.50621052631578944</v>
      </c>
    </row>
    <row r="14585" spans="39:45">
      <c r="AM14585" s="55">
        <v>2020</v>
      </c>
      <c r="AN14585" s="55" t="s">
        <v>189</v>
      </c>
      <c r="AO14585" s="55">
        <v>30</v>
      </c>
      <c r="AP14585" s="55">
        <v>15</v>
      </c>
      <c r="AQ14585" s="55">
        <v>9810</v>
      </c>
      <c r="AR14585" s="55">
        <v>28500</v>
      </c>
      <c r="AS14585" s="78">
        <f t="shared" si="231"/>
        <v>0.34421052631578947</v>
      </c>
    </row>
    <row r="14586" spans="39:45">
      <c r="AM14586" s="54">
        <v>2020</v>
      </c>
      <c r="AN14586" s="54" t="s">
        <v>189</v>
      </c>
      <c r="AO14586" s="54">
        <v>30</v>
      </c>
      <c r="AP14586" s="54">
        <v>16</v>
      </c>
      <c r="AQ14586" s="54">
        <v>9017</v>
      </c>
      <c r="AR14586" s="55">
        <v>28500</v>
      </c>
      <c r="AS14586" s="78">
        <f t="shared" si="231"/>
        <v>0.31638596491228071</v>
      </c>
    </row>
    <row r="14587" spans="39:45">
      <c r="AM14587" s="55">
        <v>2020</v>
      </c>
      <c r="AN14587" s="55" t="s">
        <v>189</v>
      </c>
      <c r="AO14587" s="55">
        <v>30</v>
      </c>
      <c r="AP14587" s="55">
        <v>17</v>
      </c>
      <c r="AQ14587" s="55">
        <v>3526</v>
      </c>
      <c r="AR14587" s="55">
        <v>28500</v>
      </c>
      <c r="AS14587" s="78">
        <f t="shared" si="231"/>
        <v>0.12371929824561403</v>
      </c>
    </row>
    <row r="14588" spans="39:45">
      <c r="AM14588" s="54">
        <v>2020</v>
      </c>
      <c r="AN14588" s="54" t="s">
        <v>189</v>
      </c>
      <c r="AO14588" s="54">
        <v>30</v>
      </c>
      <c r="AP14588" s="54">
        <v>18</v>
      </c>
      <c r="AQ14588" s="54">
        <v>609.5</v>
      </c>
      <c r="AR14588" s="55">
        <v>28500</v>
      </c>
      <c r="AS14588" s="78">
        <f t="shared" si="231"/>
        <v>2.1385964912280703E-2</v>
      </c>
    </row>
    <row r="14589" spans="39:45">
      <c r="AM14589" s="55">
        <v>2020</v>
      </c>
      <c r="AN14589" s="55" t="s">
        <v>189</v>
      </c>
      <c r="AO14589" s="55">
        <v>30</v>
      </c>
      <c r="AP14589" s="55">
        <v>19</v>
      </c>
      <c r="AQ14589" s="55">
        <v>0</v>
      </c>
      <c r="AR14589" s="55">
        <v>28500</v>
      </c>
      <c r="AS14589" s="78">
        <f t="shared" si="231"/>
        <v>0</v>
      </c>
    </row>
    <row r="14590" spans="39:45">
      <c r="AM14590" s="54">
        <v>2020</v>
      </c>
      <c r="AN14590" s="54" t="s">
        <v>189</v>
      </c>
      <c r="AO14590" s="54">
        <v>30</v>
      </c>
      <c r="AP14590" s="54">
        <v>20</v>
      </c>
      <c r="AQ14590" s="54">
        <v>0</v>
      </c>
      <c r="AR14590" s="55">
        <v>28500</v>
      </c>
      <c r="AS14590" s="78">
        <f t="shared" si="231"/>
        <v>0</v>
      </c>
    </row>
    <row r="14591" spans="39:45">
      <c r="AM14591" s="55">
        <v>2020</v>
      </c>
      <c r="AN14591" s="55" t="s">
        <v>189</v>
      </c>
      <c r="AO14591" s="55">
        <v>30</v>
      </c>
      <c r="AP14591" s="55">
        <v>21</v>
      </c>
      <c r="AQ14591" s="55">
        <v>0</v>
      </c>
      <c r="AR14591" s="55">
        <v>28500</v>
      </c>
      <c r="AS14591" s="78">
        <f t="shared" si="231"/>
        <v>0</v>
      </c>
    </row>
    <row r="14592" spans="39:45">
      <c r="AM14592" s="54">
        <v>2020</v>
      </c>
      <c r="AN14592" s="54" t="s">
        <v>189</v>
      </c>
      <c r="AO14592" s="54">
        <v>30</v>
      </c>
      <c r="AP14592" s="54">
        <v>22</v>
      </c>
      <c r="AQ14592" s="54">
        <v>0</v>
      </c>
      <c r="AR14592" s="55">
        <v>28500</v>
      </c>
      <c r="AS14592" s="78">
        <f t="shared" si="231"/>
        <v>0</v>
      </c>
    </row>
    <row r="14593" spans="39:45">
      <c r="AM14593" s="55">
        <v>2020</v>
      </c>
      <c r="AN14593" s="55" t="s">
        <v>189</v>
      </c>
      <c r="AO14593" s="55">
        <v>30</v>
      </c>
      <c r="AP14593" s="55">
        <v>23</v>
      </c>
      <c r="AQ14593" s="55">
        <v>0</v>
      </c>
      <c r="AR14593" s="55">
        <v>28500</v>
      </c>
      <c r="AS14593" s="78">
        <f t="shared" si="231"/>
        <v>0</v>
      </c>
    </row>
    <row r="14594" spans="39:45">
      <c r="AM14594" s="54">
        <v>2020</v>
      </c>
      <c r="AN14594" s="54" t="s">
        <v>189</v>
      </c>
      <c r="AO14594" s="54">
        <v>31</v>
      </c>
      <c r="AP14594" s="54">
        <v>24</v>
      </c>
      <c r="AQ14594" s="54">
        <v>0</v>
      </c>
      <c r="AR14594" s="55">
        <v>28500</v>
      </c>
      <c r="AS14594" s="78">
        <f t="shared" ref="AS14594:AS14657" si="232">AQ14594/AR14594</f>
        <v>0</v>
      </c>
    </row>
    <row r="14595" spans="39:45">
      <c r="AM14595" s="55">
        <v>2020</v>
      </c>
      <c r="AN14595" s="55" t="s">
        <v>189</v>
      </c>
      <c r="AO14595" s="55">
        <v>31</v>
      </c>
      <c r="AP14595" s="55">
        <v>1</v>
      </c>
      <c r="AQ14595" s="55">
        <v>0</v>
      </c>
      <c r="AR14595" s="55">
        <v>28500</v>
      </c>
      <c r="AS14595" s="78">
        <f t="shared" si="232"/>
        <v>0</v>
      </c>
    </row>
    <row r="14596" spans="39:45">
      <c r="AM14596" s="54">
        <v>2020</v>
      </c>
      <c r="AN14596" s="54" t="s">
        <v>189</v>
      </c>
      <c r="AO14596" s="54">
        <v>31</v>
      </c>
      <c r="AP14596" s="54">
        <v>2</v>
      </c>
      <c r="AQ14596" s="54">
        <v>0</v>
      </c>
      <c r="AR14596" s="55">
        <v>28500</v>
      </c>
      <c r="AS14596" s="78">
        <f t="shared" si="232"/>
        <v>0</v>
      </c>
    </row>
    <row r="14597" spans="39:45">
      <c r="AM14597" s="55">
        <v>2020</v>
      </c>
      <c r="AN14597" s="55" t="s">
        <v>189</v>
      </c>
      <c r="AO14597" s="55">
        <v>31</v>
      </c>
      <c r="AP14597" s="55">
        <v>3</v>
      </c>
      <c r="AQ14597" s="55">
        <v>0</v>
      </c>
      <c r="AR14597" s="55">
        <v>28500</v>
      </c>
      <c r="AS14597" s="78">
        <f t="shared" si="232"/>
        <v>0</v>
      </c>
    </row>
    <row r="14598" spans="39:45">
      <c r="AM14598" s="54">
        <v>2020</v>
      </c>
      <c r="AN14598" s="54" t="s">
        <v>189</v>
      </c>
      <c r="AO14598" s="54">
        <v>31</v>
      </c>
      <c r="AP14598" s="54">
        <v>4</v>
      </c>
      <c r="AQ14598" s="54">
        <v>0</v>
      </c>
      <c r="AR14598" s="55">
        <v>28500</v>
      </c>
      <c r="AS14598" s="78">
        <f t="shared" si="232"/>
        <v>0</v>
      </c>
    </row>
    <row r="14599" spans="39:45">
      <c r="AM14599" s="55">
        <v>2020</v>
      </c>
      <c r="AN14599" s="55" t="s">
        <v>189</v>
      </c>
      <c r="AO14599" s="55">
        <v>31</v>
      </c>
      <c r="AP14599" s="55">
        <v>5</v>
      </c>
      <c r="AQ14599" s="55">
        <v>0</v>
      </c>
      <c r="AR14599" s="55">
        <v>28500</v>
      </c>
      <c r="AS14599" s="78">
        <f t="shared" si="232"/>
        <v>0</v>
      </c>
    </row>
    <row r="14600" spans="39:45">
      <c r="AM14600" s="54">
        <v>2020</v>
      </c>
      <c r="AN14600" s="54" t="s">
        <v>189</v>
      </c>
      <c r="AO14600" s="54">
        <v>31</v>
      </c>
      <c r="AP14600" s="54">
        <v>6</v>
      </c>
      <c r="AQ14600" s="54">
        <v>1608</v>
      </c>
      <c r="AR14600" s="55">
        <v>28500</v>
      </c>
      <c r="AS14600" s="78">
        <f t="shared" si="232"/>
        <v>5.6421052631578948E-2</v>
      </c>
    </row>
    <row r="14601" spans="39:45">
      <c r="AM14601" s="55">
        <v>2020</v>
      </c>
      <c r="AN14601" s="55" t="s">
        <v>189</v>
      </c>
      <c r="AO14601" s="55">
        <v>31</v>
      </c>
      <c r="AP14601" s="55">
        <v>7</v>
      </c>
      <c r="AQ14601" s="55">
        <v>8992</v>
      </c>
      <c r="AR14601" s="55">
        <v>28500</v>
      </c>
      <c r="AS14601" s="78">
        <f t="shared" si="232"/>
        <v>0.31550877192982457</v>
      </c>
    </row>
    <row r="14602" spans="39:45">
      <c r="AM14602" s="54">
        <v>2020</v>
      </c>
      <c r="AN14602" s="54" t="s">
        <v>189</v>
      </c>
      <c r="AO14602" s="54">
        <v>31</v>
      </c>
      <c r="AP14602" s="54">
        <v>8</v>
      </c>
      <c r="AQ14602" s="54">
        <v>16629.5</v>
      </c>
      <c r="AR14602" s="55">
        <v>28500</v>
      </c>
      <c r="AS14602" s="78">
        <f t="shared" si="232"/>
        <v>0.58349122807017539</v>
      </c>
    </row>
    <row r="14603" spans="39:45">
      <c r="AM14603" s="55">
        <v>2020</v>
      </c>
      <c r="AN14603" s="55" t="s">
        <v>189</v>
      </c>
      <c r="AO14603" s="55">
        <v>31</v>
      </c>
      <c r="AP14603" s="55">
        <v>9</v>
      </c>
      <c r="AQ14603" s="55">
        <v>27343</v>
      </c>
      <c r="AR14603" s="55">
        <v>28500</v>
      </c>
      <c r="AS14603" s="78">
        <f t="shared" si="232"/>
        <v>0.95940350877192981</v>
      </c>
    </row>
    <row r="14604" spans="39:45">
      <c r="AM14604" s="54">
        <v>2020</v>
      </c>
      <c r="AN14604" s="54" t="s">
        <v>189</v>
      </c>
      <c r="AO14604" s="54">
        <v>31</v>
      </c>
      <c r="AP14604" s="54">
        <v>10</v>
      </c>
      <c r="AQ14604" s="54">
        <v>13303</v>
      </c>
      <c r="AR14604" s="55">
        <v>28500</v>
      </c>
      <c r="AS14604" s="78">
        <f t="shared" si="232"/>
        <v>0.46677192982456139</v>
      </c>
    </row>
    <row r="14605" spans="39:45">
      <c r="AM14605" s="55">
        <v>2020</v>
      </c>
      <c r="AN14605" s="55" t="s">
        <v>189</v>
      </c>
      <c r="AO14605" s="55">
        <v>31</v>
      </c>
      <c r="AP14605" s="55">
        <v>11</v>
      </c>
      <c r="AQ14605" s="55">
        <v>15625</v>
      </c>
      <c r="AR14605" s="55">
        <v>28500</v>
      </c>
      <c r="AS14605" s="78">
        <f t="shared" si="232"/>
        <v>0.54824561403508776</v>
      </c>
    </row>
    <row r="14606" spans="39:45">
      <c r="AM14606" s="54">
        <v>2020</v>
      </c>
      <c r="AN14606" s="54" t="s">
        <v>189</v>
      </c>
      <c r="AO14606" s="54">
        <v>31</v>
      </c>
      <c r="AP14606" s="54">
        <v>12</v>
      </c>
      <c r="AQ14606" s="54">
        <v>24370.5</v>
      </c>
      <c r="AR14606" s="55">
        <v>28500</v>
      </c>
      <c r="AS14606" s="78">
        <f t="shared" si="232"/>
        <v>0.8551052631578947</v>
      </c>
    </row>
    <row r="14607" spans="39:45">
      <c r="AM14607" s="55">
        <v>2020</v>
      </c>
      <c r="AN14607" s="55" t="s">
        <v>189</v>
      </c>
      <c r="AO14607" s="55">
        <v>31</v>
      </c>
      <c r="AP14607" s="55">
        <v>13</v>
      </c>
      <c r="AQ14607" s="55">
        <v>22541.5</v>
      </c>
      <c r="AR14607" s="55">
        <v>28500</v>
      </c>
      <c r="AS14607" s="78">
        <f t="shared" si="232"/>
        <v>0.79092982456140348</v>
      </c>
    </row>
    <row r="14608" spans="39:45">
      <c r="AM14608" s="54">
        <v>2020</v>
      </c>
      <c r="AN14608" s="54" t="s">
        <v>189</v>
      </c>
      <c r="AO14608" s="54">
        <v>31</v>
      </c>
      <c r="AP14608" s="54">
        <v>14</v>
      </c>
      <c r="AQ14608" s="54">
        <v>5195.5</v>
      </c>
      <c r="AR14608" s="55">
        <v>28500</v>
      </c>
      <c r="AS14608" s="78">
        <f t="shared" si="232"/>
        <v>0.1822982456140351</v>
      </c>
    </row>
    <row r="14609" spans="39:45">
      <c r="AM14609" s="55">
        <v>2020</v>
      </c>
      <c r="AN14609" s="55" t="s">
        <v>189</v>
      </c>
      <c r="AO14609" s="55">
        <v>31</v>
      </c>
      <c r="AP14609" s="55">
        <v>15</v>
      </c>
      <c r="AQ14609" s="55">
        <v>18781.5</v>
      </c>
      <c r="AR14609" s="55">
        <v>28500</v>
      </c>
      <c r="AS14609" s="78">
        <f t="shared" si="232"/>
        <v>0.65900000000000003</v>
      </c>
    </row>
    <row r="14610" spans="39:45">
      <c r="AM14610" s="54">
        <v>2020</v>
      </c>
      <c r="AN14610" s="54" t="s">
        <v>189</v>
      </c>
      <c r="AO14610" s="54">
        <v>31</v>
      </c>
      <c r="AP14610" s="54">
        <v>16</v>
      </c>
      <c r="AQ14610" s="54">
        <v>7815.5</v>
      </c>
      <c r="AR14610" s="55">
        <v>28500</v>
      </c>
      <c r="AS14610" s="78">
        <f t="shared" si="232"/>
        <v>0.2742280701754386</v>
      </c>
    </row>
    <row r="14611" spans="39:45">
      <c r="AM14611" s="55">
        <v>2020</v>
      </c>
      <c r="AN14611" s="55" t="s">
        <v>189</v>
      </c>
      <c r="AO14611" s="55">
        <v>31</v>
      </c>
      <c r="AP14611" s="55">
        <v>17</v>
      </c>
      <c r="AQ14611" s="55">
        <v>4587.5</v>
      </c>
      <c r="AR14611" s="55">
        <v>28500</v>
      </c>
      <c r="AS14611" s="78">
        <f t="shared" si="232"/>
        <v>0.16096491228070176</v>
      </c>
    </row>
    <row r="14612" spans="39:45">
      <c r="AM14612" s="54">
        <v>2020</v>
      </c>
      <c r="AN14612" s="54" t="s">
        <v>189</v>
      </c>
      <c r="AO14612" s="54">
        <v>31</v>
      </c>
      <c r="AP14612" s="54">
        <v>18</v>
      </c>
      <c r="AQ14612" s="54">
        <v>551.5</v>
      </c>
      <c r="AR14612" s="55">
        <v>28500</v>
      </c>
      <c r="AS14612" s="78">
        <f t="shared" si="232"/>
        <v>1.9350877192982455E-2</v>
      </c>
    </row>
    <row r="14613" spans="39:45">
      <c r="AM14613" s="55">
        <v>2020</v>
      </c>
      <c r="AN14613" s="55" t="s">
        <v>189</v>
      </c>
      <c r="AO14613" s="55">
        <v>31</v>
      </c>
      <c r="AP14613" s="55">
        <v>19</v>
      </c>
      <c r="AQ14613" s="55">
        <v>0</v>
      </c>
      <c r="AR14613" s="55">
        <v>28500</v>
      </c>
      <c r="AS14613" s="78">
        <f t="shared" si="232"/>
        <v>0</v>
      </c>
    </row>
    <row r="14614" spans="39:45">
      <c r="AM14614" s="54">
        <v>2020</v>
      </c>
      <c r="AN14614" s="54" t="s">
        <v>189</v>
      </c>
      <c r="AO14614" s="54">
        <v>31</v>
      </c>
      <c r="AP14614" s="54">
        <v>20</v>
      </c>
      <c r="AQ14614" s="54">
        <v>0</v>
      </c>
      <c r="AR14614" s="55">
        <v>28500</v>
      </c>
      <c r="AS14614" s="78">
        <f t="shared" si="232"/>
        <v>0</v>
      </c>
    </row>
    <row r="14615" spans="39:45">
      <c r="AM14615" s="55">
        <v>2020</v>
      </c>
      <c r="AN14615" s="55" t="s">
        <v>189</v>
      </c>
      <c r="AO14615" s="55">
        <v>31</v>
      </c>
      <c r="AP14615" s="55">
        <v>21</v>
      </c>
      <c r="AQ14615" s="55">
        <v>0</v>
      </c>
      <c r="AR14615" s="55">
        <v>28500</v>
      </c>
      <c r="AS14615" s="78">
        <f t="shared" si="232"/>
        <v>0</v>
      </c>
    </row>
    <row r="14616" spans="39:45">
      <c r="AM14616" s="54">
        <v>2020</v>
      </c>
      <c r="AN14616" s="54" t="s">
        <v>189</v>
      </c>
      <c r="AO14616" s="54">
        <v>31</v>
      </c>
      <c r="AP14616" s="54">
        <v>22</v>
      </c>
      <c r="AQ14616" s="54">
        <v>0</v>
      </c>
      <c r="AR14616" s="55">
        <v>28500</v>
      </c>
      <c r="AS14616" s="78">
        <f t="shared" si="232"/>
        <v>0</v>
      </c>
    </row>
    <row r="14617" spans="39:45">
      <c r="AM14617" s="55">
        <v>2020</v>
      </c>
      <c r="AN14617" s="55" t="s">
        <v>189</v>
      </c>
      <c r="AO14617" s="55">
        <v>31</v>
      </c>
      <c r="AP14617" s="55">
        <v>23</v>
      </c>
      <c r="AQ14617" s="55">
        <v>0</v>
      </c>
      <c r="AR14617" s="55">
        <v>28500</v>
      </c>
      <c r="AS14617" s="78">
        <f t="shared" si="232"/>
        <v>0</v>
      </c>
    </row>
    <row r="14618" spans="39:45">
      <c r="AM14618" s="54">
        <v>2020</v>
      </c>
      <c r="AN14618" s="54" t="s">
        <v>190</v>
      </c>
      <c r="AO14618" s="54">
        <v>1</v>
      </c>
      <c r="AP14618" s="54">
        <v>24</v>
      </c>
      <c r="AQ14618" s="54">
        <v>0</v>
      </c>
      <c r="AR14618" s="55">
        <v>28500</v>
      </c>
      <c r="AS14618" s="78">
        <f t="shared" si="232"/>
        <v>0</v>
      </c>
    </row>
    <row r="14619" spans="39:45">
      <c r="AM14619" s="55">
        <v>2020</v>
      </c>
      <c r="AN14619" s="55" t="s">
        <v>190</v>
      </c>
      <c r="AO14619" s="55">
        <v>1</v>
      </c>
      <c r="AP14619" s="55">
        <v>1</v>
      </c>
      <c r="AQ14619" s="55">
        <v>0</v>
      </c>
      <c r="AR14619" s="55">
        <v>28500</v>
      </c>
      <c r="AS14619" s="78">
        <f t="shared" si="232"/>
        <v>0</v>
      </c>
    </row>
    <row r="14620" spans="39:45">
      <c r="AM14620" s="54">
        <v>2020</v>
      </c>
      <c r="AN14620" s="54" t="s">
        <v>190</v>
      </c>
      <c r="AO14620" s="54">
        <v>1</v>
      </c>
      <c r="AP14620" s="54">
        <v>2</v>
      </c>
      <c r="AQ14620" s="54">
        <v>0</v>
      </c>
      <c r="AR14620" s="55">
        <v>28500</v>
      </c>
      <c r="AS14620" s="78">
        <f t="shared" si="232"/>
        <v>0</v>
      </c>
    </row>
    <row r="14621" spans="39:45">
      <c r="AM14621" s="55">
        <v>2020</v>
      </c>
      <c r="AN14621" s="55" t="s">
        <v>190</v>
      </c>
      <c r="AO14621" s="55">
        <v>1</v>
      </c>
      <c r="AP14621" s="55">
        <v>3</v>
      </c>
      <c r="AQ14621" s="55">
        <v>0</v>
      </c>
      <c r="AR14621" s="55">
        <v>28500</v>
      </c>
      <c r="AS14621" s="78">
        <f t="shared" si="232"/>
        <v>0</v>
      </c>
    </row>
    <row r="14622" spans="39:45">
      <c r="AM14622" s="54">
        <v>2020</v>
      </c>
      <c r="AN14622" s="54" t="s">
        <v>190</v>
      </c>
      <c r="AO14622" s="54">
        <v>1</v>
      </c>
      <c r="AP14622" s="54">
        <v>4</v>
      </c>
      <c r="AQ14622" s="54">
        <v>0</v>
      </c>
      <c r="AR14622" s="55">
        <v>28500</v>
      </c>
      <c r="AS14622" s="78">
        <f t="shared" si="232"/>
        <v>0</v>
      </c>
    </row>
    <row r="14623" spans="39:45">
      <c r="AM14623" s="55">
        <v>2020</v>
      </c>
      <c r="AN14623" s="55" t="s">
        <v>190</v>
      </c>
      <c r="AO14623" s="55">
        <v>1</v>
      </c>
      <c r="AP14623" s="55">
        <v>5</v>
      </c>
      <c r="AQ14623" s="55">
        <v>0</v>
      </c>
      <c r="AR14623" s="55">
        <v>28500</v>
      </c>
      <c r="AS14623" s="78">
        <f t="shared" si="232"/>
        <v>0</v>
      </c>
    </row>
    <row r="14624" spans="39:45">
      <c r="AM14624" s="54">
        <v>2020</v>
      </c>
      <c r="AN14624" s="54" t="s">
        <v>190</v>
      </c>
      <c r="AO14624" s="54">
        <v>1</v>
      </c>
      <c r="AP14624" s="54">
        <v>6</v>
      </c>
      <c r="AQ14624" s="54">
        <v>1574.5</v>
      </c>
      <c r="AR14624" s="55">
        <v>28500</v>
      </c>
      <c r="AS14624" s="78">
        <f t="shared" si="232"/>
        <v>5.5245614035087716E-2</v>
      </c>
    </row>
    <row r="14625" spans="39:45">
      <c r="AM14625" s="55">
        <v>2020</v>
      </c>
      <c r="AN14625" s="55" t="s">
        <v>190</v>
      </c>
      <c r="AO14625" s="55">
        <v>1</v>
      </c>
      <c r="AP14625" s="55">
        <v>7</v>
      </c>
      <c r="AQ14625" s="55">
        <v>10385</v>
      </c>
      <c r="AR14625" s="55">
        <v>28500</v>
      </c>
      <c r="AS14625" s="78">
        <f t="shared" si="232"/>
        <v>0.3643859649122807</v>
      </c>
    </row>
    <row r="14626" spans="39:45">
      <c r="AM14626" s="54">
        <v>2020</v>
      </c>
      <c r="AN14626" s="54" t="s">
        <v>190</v>
      </c>
      <c r="AO14626" s="54">
        <v>1</v>
      </c>
      <c r="AP14626" s="54">
        <v>8</v>
      </c>
      <c r="AQ14626" s="54">
        <v>20934.5</v>
      </c>
      <c r="AR14626" s="55">
        <v>28500</v>
      </c>
      <c r="AS14626" s="78">
        <f t="shared" si="232"/>
        <v>0.73454385964912283</v>
      </c>
    </row>
    <row r="14627" spans="39:45">
      <c r="AM14627" s="55">
        <v>2020</v>
      </c>
      <c r="AN14627" s="55" t="s">
        <v>190</v>
      </c>
      <c r="AO14627" s="55">
        <v>1</v>
      </c>
      <c r="AP14627" s="55">
        <v>9</v>
      </c>
      <c r="AQ14627" s="55">
        <v>29575.5</v>
      </c>
      <c r="AR14627" s="55">
        <v>28500</v>
      </c>
      <c r="AS14627" s="78">
        <f t="shared" si="232"/>
        <v>1.0377368421052631</v>
      </c>
    </row>
    <row r="14628" spans="39:45">
      <c r="AM14628" s="54">
        <v>2020</v>
      </c>
      <c r="AN14628" s="54" t="s">
        <v>190</v>
      </c>
      <c r="AO14628" s="54">
        <v>1</v>
      </c>
      <c r="AP14628" s="54">
        <v>10</v>
      </c>
      <c r="AQ14628" s="54">
        <v>31462</v>
      </c>
      <c r="AR14628" s="55">
        <v>28500</v>
      </c>
      <c r="AS14628" s="78">
        <f t="shared" si="232"/>
        <v>1.1039298245614035</v>
      </c>
    </row>
    <row r="14629" spans="39:45">
      <c r="AM14629" s="55">
        <v>2020</v>
      </c>
      <c r="AN14629" s="55" t="s">
        <v>190</v>
      </c>
      <c r="AO14629" s="55">
        <v>1</v>
      </c>
      <c r="AP14629" s="55">
        <v>11</v>
      </c>
      <c r="AQ14629" s="55">
        <v>30051</v>
      </c>
      <c r="AR14629" s="55">
        <v>28500</v>
      </c>
      <c r="AS14629" s="78">
        <f t="shared" si="232"/>
        <v>1.0544210526315789</v>
      </c>
    </row>
    <row r="14630" spans="39:45">
      <c r="AM14630" s="54">
        <v>2020</v>
      </c>
      <c r="AN14630" s="54" t="s">
        <v>190</v>
      </c>
      <c r="AO14630" s="54">
        <v>1</v>
      </c>
      <c r="AP14630" s="54">
        <v>12</v>
      </c>
      <c r="AQ14630" s="54">
        <v>28467.5</v>
      </c>
      <c r="AR14630" s="55">
        <v>28500</v>
      </c>
      <c r="AS14630" s="78">
        <f t="shared" si="232"/>
        <v>0.998859649122807</v>
      </c>
    </row>
    <row r="14631" spans="39:45">
      <c r="AM14631" s="55">
        <v>2020</v>
      </c>
      <c r="AN14631" s="55" t="s">
        <v>190</v>
      </c>
      <c r="AO14631" s="55">
        <v>1</v>
      </c>
      <c r="AP14631" s="55">
        <v>13</v>
      </c>
      <c r="AQ14631" s="55">
        <v>20566</v>
      </c>
      <c r="AR14631" s="55">
        <v>28500</v>
      </c>
      <c r="AS14631" s="78">
        <f t="shared" si="232"/>
        <v>0.72161403508771926</v>
      </c>
    </row>
    <row r="14632" spans="39:45">
      <c r="AM14632" s="54">
        <v>2020</v>
      </c>
      <c r="AN14632" s="54" t="s">
        <v>190</v>
      </c>
      <c r="AO14632" s="54">
        <v>1</v>
      </c>
      <c r="AP14632" s="54">
        <v>14</v>
      </c>
      <c r="AQ14632" s="54">
        <v>10526</v>
      </c>
      <c r="AR14632" s="55">
        <v>28500</v>
      </c>
      <c r="AS14632" s="78">
        <f t="shared" si="232"/>
        <v>0.36933333333333335</v>
      </c>
    </row>
    <row r="14633" spans="39:45">
      <c r="AM14633" s="55">
        <v>2020</v>
      </c>
      <c r="AN14633" s="55" t="s">
        <v>190</v>
      </c>
      <c r="AO14633" s="55">
        <v>1</v>
      </c>
      <c r="AP14633" s="55">
        <v>15</v>
      </c>
      <c r="AQ14633" s="55">
        <v>15368.5</v>
      </c>
      <c r="AR14633" s="55">
        <v>28500</v>
      </c>
      <c r="AS14633" s="78">
        <f t="shared" si="232"/>
        <v>0.53924561403508775</v>
      </c>
    </row>
    <row r="14634" spans="39:45">
      <c r="AM14634" s="54">
        <v>2020</v>
      </c>
      <c r="AN14634" s="54" t="s">
        <v>190</v>
      </c>
      <c r="AO14634" s="54">
        <v>1</v>
      </c>
      <c r="AP14634" s="54">
        <v>16</v>
      </c>
      <c r="AQ14634" s="54">
        <v>8482.5</v>
      </c>
      <c r="AR14634" s="55">
        <v>28500</v>
      </c>
      <c r="AS14634" s="78">
        <f t="shared" si="232"/>
        <v>0.29763157894736841</v>
      </c>
    </row>
    <row r="14635" spans="39:45">
      <c r="AM14635" s="55">
        <v>2020</v>
      </c>
      <c r="AN14635" s="55" t="s">
        <v>190</v>
      </c>
      <c r="AO14635" s="55">
        <v>1</v>
      </c>
      <c r="AP14635" s="55">
        <v>17</v>
      </c>
      <c r="AQ14635" s="55">
        <v>3697</v>
      </c>
      <c r="AR14635" s="55">
        <v>28500</v>
      </c>
      <c r="AS14635" s="78">
        <f t="shared" si="232"/>
        <v>0.12971929824561404</v>
      </c>
    </row>
    <row r="14636" spans="39:45">
      <c r="AM14636" s="54">
        <v>2020</v>
      </c>
      <c r="AN14636" s="54" t="s">
        <v>190</v>
      </c>
      <c r="AO14636" s="54">
        <v>1</v>
      </c>
      <c r="AP14636" s="54">
        <v>18</v>
      </c>
      <c r="AQ14636" s="54">
        <v>279.5</v>
      </c>
      <c r="AR14636" s="55">
        <v>28500</v>
      </c>
      <c r="AS14636" s="78">
        <f t="shared" si="232"/>
        <v>9.8070175438596495E-3</v>
      </c>
    </row>
    <row r="14637" spans="39:45">
      <c r="AM14637" s="55">
        <v>2020</v>
      </c>
      <c r="AN14637" s="55" t="s">
        <v>190</v>
      </c>
      <c r="AO14637" s="55">
        <v>1</v>
      </c>
      <c r="AP14637" s="55">
        <v>19</v>
      </c>
      <c r="AQ14637" s="55">
        <v>0</v>
      </c>
      <c r="AR14637" s="55">
        <v>28500</v>
      </c>
      <c r="AS14637" s="78">
        <f t="shared" si="232"/>
        <v>0</v>
      </c>
    </row>
    <row r="14638" spans="39:45">
      <c r="AM14638" s="54">
        <v>2020</v>
      </c>
      <c r="AN14638" s="54" t="s">
        <v>190</v>
      </c>
      <c r="AO14638" s="54">
        <v>1</v>
      </c>
      <c r="AP14638" s="54">
        <v>20</v>
      </c>
      <c r="AQ14638" s="54">
        <v>0</v>
      </c>
      <c r="AR14638" s="55">
        <v>28500</v>
      </c>
      <c r="AS14638" s="78">
        <f t="shared" si="232"/>
        <v>0</v>
      </c>
    </row>
    <row r="14639" spans="39:45">
      <c r="AM14639" s="55">
        <v>2020</v>
      </c>
      <c r="AN14639" s="55" t="s">
        <v>190</v>
      </c>
      <c r="AO14639" s="55">
        <v>1</v>
      </c>
      <c r="AP14639" s="55">
        <v>21</v>
      </c>
      <c r="AQ14639" s="55">
        <v>0</v>
      </c>
      <c r="AR14639" s="55">
        <v>28500</v>
      </c>
      <c r="AS14639" s="78">
        <f t="shared" si="232"/>
        <v>0</v>
      </c>
    </row>
    <row r="14640" spans="39:45">
      <c r="AM14640" s="54">
        <v>2020</v>
      </c>
      <c r="AN14640" s="54" t="s">
        <v>190</v>
      </c>
      <c r="AO14640" s="54">
        <v>1</v>
      </c>
      <c r="AP14640" s="54">
        <v>22</v>
      </c>
      <c r="AQ14640" s="54">
        <v>0</v>
      </c>
      <c r="AR14640" s="55">
        <v>28500</v>
      </c>
      <c r="AS14640" s="78">
        <f t="shared" si="232"/>
        <v>0</v>
      </c>
    </row>
    <row r="14641" spans="39:45">
      <c r="AM14641" s="55">
        <v>2020</v>
      </c>
      <c r="AN14641" s="55" t="s">
        <v>190</v>
      </c>
      <c r="AO14641" s="55">
        <v>1</v>
      </c>
      <c r="AP14641" s="55">
        <v>23</v>
      </c>
      <c r="AQ14641" s="55">
        <v>0</v>
      </c>
      <c r="AR14641" s="55">
        <v>28500</v>
      </c>
      <c r="AS14641" s="78">
        <f t="shared" si="232"/>
        <v>0</v>
      </c>
    </row>
    <row r="14642" spans="39:45">
      <c r="AM14642" s="54">
        <v>2020</v>
      </c>
      <c r="AN14642" s="54" t="s">
        <v>190</v>
      </c>
      <c r="AO14642" s="54">
        <v>2</v>
      </c>
      <c r="AP14642" s="54">
        <v>24</v>
      </c>
      <c r="AQ14642" s="54">
        <v>0</v>
      </c>
      <c r="AR14642" s="55">
        <v>28500</v>
      </c>
      <c r="AS14642" s="78">
        <f t="shared" si="232"/>
        <v>0</v>
      </c>
    </row>
    <row r="14643" spans="39:45">
      <c r="AM14643" s="55">
        <v>2020</v>
      </c>
      <c r="AN14643" s="55" t="s">
        <v>190</v>
      </c>
      <c r="AO14643" s="55">
        <v>2</v>
      </c>
      <c r="AP14643" s="55">
        <v>1</v>
      </c>
      <c r="AQ14643" s="55">
        <v>0</v>
      </c>
      <c r="AR14643" s="55">
        <v>28500</v>
      </c>
      <c r="AS14643" s="78">
        <f t="shared" si="232"/>
        <v>0</v>
      </c>
    </row>
    <row r="14644" spans="39:45">
      <c r="AM14644" s="54">
        <v>2020</v>
      </c>
      <c r="AN14644" s="54" t="s">
        <v>190</v>
      </c>
      <c r="AO14644" s="54">
        <v>2</v>
      </c>
      <c r="AP14644" s="54">
        <v>2</v>
      </c>
      <c r="AQ14644" s="54">
        <v>0</v>
      </c>
      <c r="AR14644" s="55">
        <v>28500</v>
      </c>
      <c r="AS14644" s="78">
        <f t="shared" si="232"/>
        <v>0</v>
      </c>
    </row>
    <row r="14645" spans="39:45">
      <c r="AM14645" s="55">
        <v>2020</v>
      </c>
      <c r="AN14645" s="55" t="s">
        <v>190</v>
      </c>
      <c r="AO14645" s="55">
        <v>2</v>
      </c>
      <c r="AP14645" s="55">
        <v>3</v>
      </c>
      <c r="AQ14645" s="55">
        <v>0</v>
      </c>
      <c r="AR14645" s="55">
        <v>28500</v>
      </c>
      <c r="AS14645" s="78">
        <f t="shared" si="232"/>
        <v>0</v>
      </c>
    </row>
    <row r="14646" spans="39:45">
      <c r="AM14646" s="54">
        <v>2020</v>
      </c>
      <c r="AN14646" s="54" t="s">
        <v>190</v>
      </c>
      <c r="AO14646" s="54">
        <v>2</v>
      </c>
      <c r="AP14646" s="54">
        <v>4</v>
      </c>
      <c r="AQ14646" s="54">
        <v>0</v>
      </c>
      <c r="AR14646" s="55">
        <v>28500</v>
      </c>
      <c r="AS14646" s="78">
        <f t="shared" si="232"/>
        <v>0</v>
      </c>
    </row>
    <row r="14647" spans="39:45">
      <c r="AM14647" s="55">
        <v>2020</v>
      </c>
      <c r="AN14647" s="55" t="s">
        <v>190</v>
      </c>
      <c r="AO14647" s="55">
        <v>2</v>
      </c>
      <c r="AP14647" s="55">
        <v>5</v>
      </c>
      <c r="AQ14647" s="55">
        <v>0</v>
      </c>
      <c r="AR14647" s="55">
        <v>28500</v>
      </c>
      <c r="AS14647" s="78">
        <f t="shared" si="232"/>
        <v>0</v>
      </c>
    </row>
    <row r="14648" spans="39:45">
      <c r="AM14648" s="54">
        <v>2020</v>
      </c>
      <c r="AN14648" s="54" t="s">
        <v>190</v>
      </c>
      <c r="AO14648" s="54">
        <v>2</v>
      </c>
      <c r="AP14648" s="54">
        <v>6</v>
      </c>
      <c r="AQ14648" s="54">
        <v>1568</v>
      </c>
      <c r="AR14648" s="55">
        <v>28500</v>
      </c>
      <c r="AS14648" s="78">
        <f t="shared" si="232"/>
        <v>5.5017543859649125E-2</v>
      </c>
    </row>
    <row r="14649" spans="39:45">
      <c r="AM14649" s="55">
        <v>2020</v>
      </c>
      <c r="AN14649" s="55" t="s">
        <v>190</v>
      </c>
      <c r="AO14649" s="55">
        <v>2</v>
      </c>
      <c r="AP14649" s="55">
        <v>7</v>
      </c>
      <c r="AQ14649" s="55">
        <v>9991</v>
      </c>
      <c r="AR14649" s="55">
        <v>28500</v>
      </c>
      <c r="AS14649" s="78">
        <f t="shared" si="232"/>
        <v>0.35056140350877191</v>
      </c>
    </row>
    <row r="14650" spans="39:45">
      <c r="AM14650" s="54">
        <v>2020</v>
      </c>
      <c r="AN14650" s="54" t="s">
        <v>190</v>
      </c>
      <c r="AO14650" s="54">
        <v>2</v>
      </c>
      <c r="AP14650" s="54">
        <v>8</v>
      </c>
      <c r="AQ14650" s="54">
        <v>20099</v>
      </c>
      <c r="AR14650" s="55">
        <v>28500</v>
      </c>
      <c r="AS14650" s="78">
        <f t="shared" si="232"/>
        <v>0.70522807017543865</v>
      </c>
    </row>
    <row r="14651" spans="39:45">
      <c r="AM14651" s="55">
        <v>2020</v>
      </c>
      <c r="AN14651" s="55" t="s">
        <v>190</v>
      </c>
      <c r="AO14651" s="55">
        <v>2</v>
      </c>
      <c r="AP14651" s="55">
        <v>9</v>
      </c>
      <c r="AQ14651" s="55">
        <v>27885.5</v>
      </c>
      <c r="AR14651" s="55">
        <v>28500</v>
      </c>
      <c r="AS14651" s="78">
        <f t="shared" si="232"/>
        <v>0.97843859649122811</v>
      </c>
    </row>
    <row r="14652" spans="39:45">
      <c r="AM14652" s="54">
        <v>2020</v>
      </c>
      <c r="AN14652" s="54" t="s">
        <v>190</v>
      </c>
      <c r="AO14652" s="54">
        <v>2</v>
      </c>
      <c r="AP14652" s="54">
        <v>10</v>
      </c>
      <c r="AQ14652" s="54">
        <v>32381</v>
      </c>
      <c r="AR14652" s="55">
        <v>28500</v>
      </c>
      <c r="AS14652" s="78">
        <f t="shared" si="232"/>
        <v>1.1361754385964913</v>
      </c>
    </row>
    <row r="14653" spans="39:45">
      <c r="AM14653" s="55">
        <v>2020</v>
      </c>
      <c r="AN14653" s="55" t="s">
        <v>190</v>
      </c>
      <c r="AO14653" s="55">
        <v>2</v>
      </c>
      <c r="AP14653" s="55">
        <v>11</v>
      </c>
      <c r="AQ14653" s="55">
        <v>21778</v>
      </c>
      <c r="AR14653" s="55">
        <v>28500</v>
      </c>
      <c r="AS14653" s="78">
        <f t="shared" si="232"/>
        <v>0.76414035087719301</v>
      </c>
    </row>
    <row r="14654" spans="39:45">
      <c r="AM14654" s="54">
        <v>2020</v>
      </c>
      <c r="AN14654" s="54" t="s">
        <v>190</v>
      </c>
      <c r="AO14654" s="54">
        <v>2</v>
      </c>
      <c r="AP14654" s="54">
        <v>12</v>
      </c>
      <c r="AQ14654" s="54">
        <v>13872</v>
      </c>
      <c r="AR14654" s="55">
        <v>28500</v>
      </c>
      <c r="AS14654" s="78">
        <f t="shared" si="232"/>
        <v>0.48673684210526313</v>
      </c>
    </row>
    <row r="14655" spans="39:45">
      <c r="AM14655" s="55">
        <v>2020</v>
      </c>
      <c r="AN14655" s="55" t="s">
        <v>190</v>
      </c>
      <c r="AO14655" s="55">
        <v>2</v>
      </c>
      <c r="AP14655" s="55">
        <v>13</v>
      </c>
      <c r="AQ14655" s="55">
        <v>16879.5</v>
      </c>
      <c r="AR14655" s="55">
        <v>28500</v>
      </c>
      <c r="AS14655" s="78">
        <f t="shared" si="232"/>
        <v>0.59226315789473682</v>
      </c>
    </row>
    <row r="14656" spans="39:45">
      <c r="AM14656" s="54">
        <v>2020</v>
      </c>
      <c r="AN14656" s="54" t="s">
        <v>190</v>
      </c>
      <c r="AO14656" s="54">
        <v>2</v>
      </c>
      <c r="AP14656" s="54">
        <v>14</v>
      </c>
      <c r="AQ14656" s="54">
        <v>10108</v>
      </c>
      <c r="AR14656" s="55">
        <v>28500</v>
      </c>
      <c r="AS14656" s="78">
        <f t="shared" si="232"/>
        <v>0.35466666666666669</v>
      </c>
    </row>
    <row r="14657" spans="39:45">
      <c r="AM14657" s="55">
        <v>2020</v>
      </c>
      <c r="AN14657" s="55" t="s">
        <v>190</v>
      </c>
      <c r="AO14657" s="55">
        <v>2</v>
      </c>
      <c r="AP14657" s="55">
        <v>15</v>
      </c>
      <c r="AQ14657" s="55">
        <v>3661</v>
      </c>
      <c r="AR14657" s="55">
        <v>28500</v>
      </c>
      <c r="AS14657" s="78">
        <f t="shared" si="232"/>
        <v>0.12845614035087718</v>
      </c>
    </row>
    <row r="14658" spans="39:45">
      <c r="AM14658" s="54">
        <v>2020</v>
      </c>
      <c r="AN14658" s="54" t="s">
        <v>190</v>
      </c>
      <c r="AO14658" s="54">
        <v>2</v>
      </c>
      <c r="AP14658" s="54">
        <v>16</v>
      </c>
      <c r="AQ14658" s="54">
        <v>3215.5</v>
      </c>
      <c r="AR14658" s="55">
        <v>28500</v>
      </c>
      <c r="AS14658" s="78">
        <f t="shared" ref="AS14658:AS14721" si="233">AQ14658/AR14658</f>
        <v>0.11282456140350877</v>
      </c>
    </row>
    <row r="14659" spans="39:45">
      <c r="AM14659" s="55">
        <v>2020</v>
      </c>
      <c r="AN14659" s="55" t="s">
        <v>190</v>
      </c>
      <c r="AO14659" s="55">
        <v>2</v>
      </c>
      <c r="AP14659" s="55">
        <v>17</v>
      </c>
      <c r="AQ14659" s="55">
        <v>1235.5</v>
      </c>
      <c r="AR14659" s="55">
        <v>28500</v>
      </c>
      <c r="AS14659" s="78">
        <f t="shared" si="233"/>
        <v>4.3350877192982459E-2</v>
      </c>
    </row>
    <row r="14660" spans="39:45">
      <c r="AM14660" s="54">
        <v>2020</v>
      </c>
      <c r="AN14660" s="54" t="s">
        <v>190</v>
      </c>
      <c r="AO14660" s="54">
        <v>2</v>
      </c>
      <c r="AP14660" s="54">
        <v>18</v>
      </c>
      <c r="AQ14660" s="54">
        <v>230.5</v>
      </c>
      <c r="AR14660" s="55">
        <v>28500</v>
      </c>
      <c r="AS14660" s="78">
        <f t="shared" si="233"/>
        <v>8.0877192982456141E-3</v>
      </c>
    </row>
    <row r="14661" spans="39:45">
      <c r="AM14661" s="55">
        <v>2020</v>
      </c>
      <c r="AN14661" s="55" t="s">
        <v>190</v>
      </c>
      <c r="AO14661" s="55">
        <v>2</v>
      </c>
      <c r="AP14661" s="55">
        <v>19</v>
      </c>
      <c r="AQ14661" s="55">
        <v>0</v>
      </c>
      <c r="AR14661" s="55">
        <v>28500</v>
      </c>
      <c r="AS14661" s="78">
        <f t="shared" si="233"/>
        <v>0</v>
      </c>
    </row>
    <row r="14662" spans="39:45">
      <c r="AM14662" s="54">
        <v>2020</v>
      </c>
      <c r="AN14662" s="54" t="s">
        <v>190</v>
      </c>
      <c r="AO14662" s="54">
        <v>2</v>
      </c>
      <c r="AP14662" s="54">
        <v>20</v>
      </c>
      <c r="AQ14662" s="54">
        <v>0</v>
      </c>
      <c r="AR14662" s="55">
        <v>28500</v>
      </c>
      <c r="AS14662" s="78">
        <f t="shared" si="233"/>
        <v>0</v>
      </c>
    </row>
    <row r="14663" spans="39:45">
      <c r="AM14663" s="55">
        <v>2020</v>
      </c>
      <c r="AN14663" s="55" t="s">
        <v>190</v>
      </c>
      <c r="AO14663" s="55">
        <v>2</v>
      </c>
      <c r="AP14663" s="55">
        <v>21</v>
      </c>
      <c r="AQ14663" s="55">
        <v>0</v>
      </c>
      <c r="AR14663" s="55">
        <v>28500</v>
      </c>
      <c r="AS14663" s="78">
        <f t="shared" si="233"/>
        <v>0</v>
      </c>
    </row>
    <row r="14664" spans="39:45">
      <c r="AM14664" s="54">
        <v>2020</v>
      </c>
      <c r="AN14664" s="54" t="s">
        <v>190</v>
      </c>
      <c r="AO14664" s="54">
        <v>2</v>
      </c>
      <c r="AP14664" s="54">
        <v>22</v>
      </c>
      <c r="AQ14664" s="54">
        <v>0</v>
      </c>
      <c r="AR14664" s="55">
        <v>28500</v>
      </c>
      <c r="AS14664" s="78">
        <f t="shared" si="233"/>
        <v>0</v>
      </c>
    </row>
    <row r="14665" spans="39:45">
      <c r="AM14665" s="55">
        <v>2020</v>
      </c>
      <c r="AN14665" s="55" t="s">
        <v>190</v>
      </c>
      <c r="AO14665" s="55">
        <v>2</v>
      </c>
      <c r="AP14665" s="55">
        <v>23</v>
      </c>
      <c r="AQ14665" s="55">
        <v>0</v>
      </c>
      <c r="AR14665" s="55">
        <v>28500</v>
      </c>
      <c r="AS14665" s="78">
        <f t="shared" si="233"/>
        <v>0</v>
      </c>
    </row>
    <row r="14666" spans="39:45">
      <c r="AM14666" s="54">
        <v>2020</v>
      </c>
      <c r="AN14666" s="54" t="s">
        <v>190</v>
      </c>
      <c r="AO14666" s="54">
        <v>3</v>
      </c>
      <c r="AP14666" s="54">
        <v>24</v>
      </c>
      <c r="AQ14666" s="54">
        <v>0</v>
      </c>
      <c r="AR14666" s="55">
        <v>28500</v>
      </c>
      <c r="AS14666" s="78">
        <f t="shared" si="233"/>
        <v>0</v>
      </c>
    </row>
    <row r="14667" spans="39:45">
      <c r="AM14667" s="55">
        <v>2020</v>
      </c>
      <c r="AN14667" s="55" t="s">
        <v>190</v>
      </c>
      <c r="AO14667" s="55">
        <v>3</v>
      </c>
      <c r="AP14667" s="55">
        <v>1</v>
      </c>
      <c r="AQ14667" s="55">
        <v>0</v>
      </c>
      <c r="AR14667" s="55">
        <v>28500</v>
      </c>
      <c r="AS14667" s="78">
        <f t="shared" si="233"/>
        <v>0</v>
      </c>
    </row>
    <row r="14668" spans="39:45">
      <c r="AM14668" s="54">
        <v>2020</v>
      </c>
      <c r="AN14668" s="54" t="s">
        <v>190</v>
      </c>
      <c r="AO14668" s="54">
        <v>3</v>
      </c>
      <c r="AP14668" s="54">
        <v>2</v>
      </c>
      <c r="AQ14668" s="54">
        <v>0</v>
      </c>
      <c r="AR14668" s="55">
        <v>28500</v>
      </c>
      <c r="AS14668" s="78">
        <f t="shared" si="233"/>
        <v>0</v>
      </c>
    </row>
    <row r="14669" spans="39:45">
      <c r="AM14669" s="55">
        <v>2020</v>
      </c>
      <c r="AN14669" s="55" t="s">
        <v>190</v>
      </c>
      <c r="AO14669" s="55">
        <v>3</v>
      </c>
      <c r="AP14669" s="55">
        <v>3</v>
      </c>
      <c r="AQ14669" s="55">
        <v>0</v>
      </c>
      <c r="AR14669" s="55">
        <v>28500</v>
      </c>
      <c r="AS14669" s="78">
        <f t="shared" si="233"/>
        <v>0</v>
      </c>
    </row>
    <row r="14670" spans="39:45">
      <c r="AM14670" s="54">
        <v>2020</v>
      </c>
      <c r="AN14670" s="54" t="s">
        <v>190</v>
      </c>
      <c r="AO14670" s="54">
        <v>3</v>
      </c>
      <c r="AP14670" s="54">
        <v>4</v>
      </c>
      <c r="AQ14670" s="54">
        <v>0</v>
      </c>
      <c r="AR14670" s="55">
        <v>28500</v>
      </c>
      <c r="AS14670" s="78">
        <f t="shared" si="233"/>
        <v>0</v>
      </c>
    </row>
    <row r="14671" spans="39:45">
      <c r="AM14671" s="55">
        <v>2020</v>
      </c>
      <c r="AN14671" s="55" t="s">
        <v>190</v>
      </c>
      <c r="AO14671" s="55">
        <v>3</v>
      </c>
      <c r="AP14671" s="55">
        <v>5</v>
      </c>
      <c r="AQ14671" s="55">
        <v>0</v>
      </c>
      <c r="AR14671" s="55">
        <v>28500</v>
      </c>
      <c r="AS14671" s="78">
        <f t="shared" si="233"/>
        <v>0</v>
      </c>
    </row>
    <row r="14672" spans="39:45">
      <c r="AM14672" s="54">
        <v>2020</v>
      </c>
      <c r="AN14672" s="54" t="s">
        <v>190</v>
      </c>
      <c r="AO14672" s="54">
        <v>3</v>
      </c>
      <c r="AP14672" s="54">
        <v>6</v>
      </c>
      <c r="AQ14672" s="54">
        <v>1399</v>
      </c>
      <c r="AR14672" s="55">
        <v>28500</v>
      </c>
      <c r="AS14672" s="78">
        <f t="shared" si="233"/>
        <v>4.9087719298245611E-2</v>
      </c>
    </row>
    <row r="14673" spans="39:45">
      <c r="AM14673" s="55">
        <v>2020</v>
      </c>
      <c r="AN14673" s="55" t="s">
        <v>190</v>
      </c>
      <c r="AO14673" s="55">
        <v>3</v>
      </c>
      <c r="AP14673" s="55">
        <v>7</v>
      </c>
      <c r="AQ14673" s="55">
        <v>866.5</v>
      </c>
      <c r="AR14673" s="55">
        <v>28500</v>
      </c>
      <c r="AS14673" s="78">
        <f t="shared" si="233"/>
        <v>3.0403508771929825E-2</v>
      </c>
    </row>
    <row r="14674" spans="39:45">
      <c r="AM14674" s="54">
        <v>2020</v>
      </c>
      <c r="AN14674" s="54" t="s">
        <v>190</v>
      </c>
      <c r="AO14674" s="54">
        <v>3</v>
      </c>
      <c r="AP14674" s="54">
        <v>8</v>
      </c>
      <c r="AQ14674" s="54">
        <v>1895.5</v>
      </c>
      <c r="AR14674" s="55">
        <v>28500</v>
      </c>
      <c r="AS14674" s="78">
        <f t="shared" si="233"/>
        <v>6.6508771929824559E-2</v>
      </c>
    </row>
    <row r="14675" spans="39:45">
      <c r="AM14675" s="55">
        <v>2020</v>
      </c>
      <c r="AN14675" s="55" t="s">
        <v>190</v>
      </c>
      <c r="AO14675" s="55">
        <v>3</v>
      </c>
      <c r="AP14675" s="55">
        <v>9</v>
      </c>
      <c r="AQ14675" s="55">
        <v>11009</v>
      </c>
      <c r="AR14675" s="55">
        <v>28500</v>
      </c>
      <c r="AS14675" s="78">
        <f t="shared" si="233"/>
        <v>0.38628070175438595</v>
      </c>
    </row>
    <row r="14676" spans="39:45">
      <c r="AM14676" s="54">
        <v>2020</v>
      </c>
      <c r="AN14676" s="54" t="s">
        <v>190</v>
      </c>
      <c r="AO14676" s="54">
        <v>3</v>
      </c>
      <c r="AP14676" s="54">
        <v>10</v>
      </c>
      <c r="AQ14676" s="54">
        <v>11695.5</v>
      </c>
      <c r="AR14676" s="55">
        <v>28500</v>
      </c>
      <c r="AS14676" s="78">
        <f t="shared" si="233"/>
        <v>0.4103684210526316</v>
      </c>
    </row>
    <row r="14677" spans="39:45">
      <c r="AM14677" s="55">
        <v>2020</v>
      </c>
      <c r="AN14677" s="55" t="s">
        <v>190</v>
      </c>
      <c r="AO14677" s="55">
        <v>3</v>
      </c>
      <c r="AP14677" s="55">
        <v>11</v>
      </c>
      <c r="AQ14677" s="55">
        <v>7430.5</v>
      </c>
      <c r="AR14677" s="55">
        <v>28500</v>
      </c>
      <c r="AS14677" s="78">
        <f t="shared" si="233"/>
        <v>0.26071929824561402</v>
      </c>
    </row>
    <row r="14678" spans="39:45">
      <c r="AM14678" s="54">
        <v>2020</v>
      </c>
      <c r="AN14678" s="54" t="s">
        <v>190</v>
      </c>
      <c r="AO14678" s="54">
        <v>3</v>
      </c>
      <c r="AP14678" s="54">
        <v>12</v>
      </c>
      <c r="AQ14678" s="54">
        <v>6272</v>
      </c>
      <c r="AR14678" s="55">
        <v>28500</v>
      </c>
      <c r="AS14678" s="78">
        <f t="shared" si="233"/>
        <v>0.2200701754385965</v>
      </c>
    </row>
    <row r="14679" spans="39:45">
      <c r="AM14679" s="55">
        <v>2020</v>
      </c>
      <c r="AN14679" s="55" t="s">
        <v>190</v>
      </c>
      <c r="AO14679" s="55">
        <v>3</v>
      </c>
      <c r="AP14679" s="55">
        <v>13</v>
      </c>
      <c r="AQ14679" s="55">
        <v>12539.5</v>
      </c>
      <c r="AR14679" s="55">
        <v>28500</v>
      </c>
      <c r="AS14679" s="78">
        <f t="shared" si="233"/>
        <v>0.43998245614035086</v>
      </c>
    </row>
    <row r="14680" spans="39:45">
      <c r="AM14680" s="54">
        <v>2020</v>
      </c>
      <c r="AN14680" s="54" t="s">
        <v>190</v>
      </c>
      <c r="AO14680" s="54">
        <v>3</v>
      </c>
      <c r="AP14680" s="54">
        <v>14</v>
      </c>
      <c r="AQ14680" s="54">
        <v>12924.5</v>
      </c>
      <c r="AR14680" s="55">
        <v>28500</v>
      </c>
      <c r="AS14680" s="78">
        <f t="shared" si="233"/>
        <v>0.45349122807017545</v>
      </c>
    </row>
    <row r="14681" spans="39:45">
      <c r="AM14681" s="55">
        <v>2020</v>
      </c>
      <c r="AN14681" s="55" t="s">
        <v>190</v>
      </c>
      <c r="AO14681" s="55">
        <v>3</v>
      </c>
      <c r="AP14681" s="55">
        <v>15</v>
      </c>
      <c r="AQ14681" s="55">
        <v>11330</v>
      </c>
      <c r="AR14681" s="55">
        <v>28500</v>
      </c>
      <c r="AS14681" s="78">
        <f t="shared" si="233"/>
        <v>0.39754385964912281</v>
      </c>
    </row>
    <row r="14682" spans="39:45">
      <c r="AM14682" s="54">
        <v>2020</v>
      </c>
      <c r="AN14682" s="54" t="s">
        <v>190</v>
      </c>
      <c r="AO14682" s="54">
        <v>3</v>
      </c>
      <c r="AP14682" s="54">
        <v>16</v>
      </c>
      <c r="AQ14682" s="54">
        <v>3127</v>
      </c>
      <c r="AR14682" s="55">
        <v>28500</v>
      </c>
      <c r="AS14682" s="78">
        <f t="shared" si="233"/>
        <v>0.10971929824561404</v>
      </c>
    </row>
    <row r="14683" spans="39:45">
      <c r="AM14683" s="55">
        <v>2020</v>
      </c>
      <c r="AN14683" s="55" t="s">
        <v>190</v>
      </c>
      <c r="AO14683" s="55">
        <v>3</v>
      </c>
      <c r="AP14683" s="55">
        <v>17</v>
      </c>
      <c r="AQ14683" s="55">
        <v>3198</v>
      </c>
      <c r="AR14683" s="55">
        <v>28500</v>
      </c>
      <c r="AS14683" s="78">
        <f t="shared" si="233"/>
        <v>0.11221052631578947</v>
      </c>
    </row>
    <row r="14684" spans="39:45">
      <c r="AM14684" s="54">
        <v>2020</v>
      </c>
      <c r="AN14684" s="54" t="s">
        <v>190</v>
      </c>
      <c r="AO14684" s="54">
        <v>3</v>
      </c>
      <c r="AP14684" s="54">
        <v>18</v>
      </c>
      <c r="AQ14684" s="54">
        <v>0</v>
      </c>
      <c r="AR14684" s="55">
        <v>28500</v>
      </c>
      <c r="AS14684" s="78">
        <f t="shared" si="233"/>
        <v>0</v>
      </c>
    </row>
    <row r="14685" spans="39:45">
      <c r="AM14685" s="55">
        <v>2020</v>
      </c>
      <c r="AN14685" s="55" t="s">
        <v>190</v>
      </c>
      <c r="AO14685" s="55">
        <v>3</v>
      </c>
      <c r="AP14685" s="55">
        <v>19</v>
      </c>
      <c r="AQ14685" s="55">
        <v>0</v>
      </c>
      <c r="AR14685" s="55">
        <v>28500</v>
      </c>
      <c r="AS14685" s="78">
        <f t="shared" si="233"/>
        <v>0</v>
      </c>
    </row>
    <row r="14686" spans="39:45">
      <c r="AM14686" s="54">
        <v>2020</v>
      </c>
      <c r="AN14686" s="54" t="s">
        <v>190</v>
      </c>
      <c r="AO14686" s="54">
        <v>3</v>
      </c>
      <c r="AP14686" s="54">
        <v>20</v>
      </c>
      <c r="AQ14686" s="54">
        <v>0</v>
      </c>
      <c r="AR14686" s="55">
        <v>28500</v>
      </c>
      <c r="AS14686" s="78">
        <f t="shared" si="233"/>
        <v>0</v>
      </c>
    </row>
    <row r="14687" spans="39:45">
      <c r="AM14687" s="55">
        <v>2020</v>
      </c>
      <c r="AN14687" s="55" t="s">
        <v>190</v>
      </c>
      <c r="AO14687" s="55">
        <v>3</v>
      </c>
      <c r="AP14687" s="55">
        <v>21</v>
      </c>
      <c r="AQ14687" s="55">
        <v>0</v>
      </c>
      <c r="AR14687" s="55">
        <v>28500</v>
      </c>
      <c r="AS14687" s="78">
        <f t="shared" si="233"/>
        <v>0</v>
      </c>
    </row>
    <row r="14688" spans="39:45">
      <c r="AM14688" s="54">
        <v>2020</v>
      </c>
      <c r="AN14688" s="54" t="s">
        <v>190</v>
      </c>
      <c r="AO14688" s="54">
        <v>3</v>
      </c>
      <c r="AP14688" s="54">
        <v>22</v>
      </c>
      <c r="AQ14688" s="54">
        <v>0</v>
      </c>
      <c r="AR14688" s="55">
        <v>28500</v>
      </c>
      <c r="AS14688" s="78">
        <f t="shared" si="233"/>
        <v>0</v>
      </c>
    </row>
    <row r="14689" spans="39:45">
      <c r="AM14689" s="55">
        <v>2020</v>
      </c>
      <c r="AN14689" s="55" t="s">
        <v>190</v>
      </c>
      <c r="AO14689" s="55">
        <v>3</v>
      </c>
      <c r="AP14689" s="55">
        <v>23</v>
      </c>
      <c r="AQ14689" s="55">
        <v>0</v>
      </c>
      <c r="AR14689" s="55">
        <v>28500</v>
      </c>
      <c r="AS14689" s="78">
        <f t="shared" si="233"/>
        <v>0</v>
      </c>
    </row>
    <row r="14690" spans="39:45">
      <c r="AM14690" s="54">
        <v>2020</v>
      </c>
      <c r="AN14690" s="54" t="s">
        <v>190</v>
      </c>
      <c r="AO14690" s="54">
        <v>4</v>
      </c>
      <c r="AP14690" s="54">
        <v>24</v>
      </c>
      <c r="AQ14690" s="54">
        <v>0</v>
      </c>
      <c r="AR14690" s="55">
        <v>28500</v>
      </c>
      <c r="AS14690" s="78">
        <f t="shared" si="233"/>
        <v>0</v>
      </c>
    </row>
    <row r="14691" spans="39:45">
      <c r="AM14691" s="55">
        <v>2020</v>
      </c>
      <c r="AN14691" s="55" t="s">
        <v>190</v>
      </c>
      <c r="AO14691" s="55">
        <v>4</v>
      </c>
      <c r="AP14691" s="55">
        <v>1</v>
      </c>
      <c r="AQ14691" s="55">
        <v>0</v>
      </c>
      <c r="AR14691" s="55">
        <v>28500</v>
      </c>
      <c r="AS14691" s="78">
        <f t="shared" si="233"/>
        <v>0</v>
      </c>
    </row>
    <row r="14692" spans="39:45">
      <c r="AM14692" s="54">
        <v>2020</v>
      </c>
      <c r="AN14692" s="54" t="s">
        <v>190</v>
      </c>
      <c r="AO14692" s="54">
        <v>4</v>
      </c>
      <c r="AP14692" s="54">
        <v>2</v>
      </c>
      <c r="AQ14692" s="54">
        <v>0</v>
      </c>
      <c r="AR14692" s="55">
        <v>28500</v>
      </c>
      <c r="AS14692" s="78">
        <f t="shared" si="233"/>
        <v>0</v>
      </c>
    </row>
    <row r="14693" spans="39:45">
      <c r="AM14693" s="55">
        <v>2020</v>
      </c>
      <c r="AN14693" s="55" t="s">
        <v>190</v>
      </c>
      <c r="AO14693" s="55">
        <v>4</v>
      </c>
      <c r="AP14693" s="55">
        <v>3</v>
      </c>
      <c r="AQ14693" s="55">
        <v>0</v>
      </c>
      <c r="AR14693" s="55">
        <v>28500</v>
      </c>
      <c r="AS14693" s="78">
        <f t="shared" si="233"/>
        <v>0</v>
      </c>
    </row>
    <row r="14694" spans="39:45">
      <c r="AM14694" s="54">
        <v>2020</v>
      </c>
      <c r="AN14694" s="54" t="s">
        <v>190</v>
      </c>
      <c r="AO14694" s="54">
        <v>4</v>
      </c>
      <c r="AP14694" s="54">
        <v>4</v>
      </c>
      <c r="AQ14694" s="54">
        <v>0</v>
      </c>
      <c r="AR14694" s="55">
        <v>28500</v>
      </c>
      <c r="AS14694" s="78">
        <f t="shared" si="233"/>
        <v>0</v>
      </c>
    </row>
    <row r="14695" spans="39:45">
      <c r="AM14695" s="55">
        <v>2020</v>
      </c>
      <c r="AN14695" s="55" t="s">
        <v>190</v>
      </c>
      <c r="AO14695" s="55">
        <v>4</v>
      </c>
      <c r="AP14695" s="55">
        <v>5</v>
      </c>
      <c r="AQ14695" s="55">
        <v>0</v>
      </c>
      <c r="AR14695" s="55">
        <v>28500</v>
      </c>
      <c r="AS14695" s="78">
        <f t="shared" si="233"/>
        <v>0</v>
      </c>
    </row>
    <row r="14696" spans="39:45">
      <c r="AM14696" s="54">
        <v>2020</v>
      </c>
      <c r="AN14696" s="54" t="s">
        <v>190</v>
      </c>
      <c r="AO14696" s="54">
        <v>4</v>
      </c>
      <c r="AP14696" s="54">
        <v>6</v>
      </c>
      <c r="AQ14696" s="54">
        <v>1405.5</v>
      </c>
      <c r="AR14696" s="55">
        <v>28500</v>
      </c>
      <c r="AS14696" s="78">
        <f t="shared" si="233"/>
        <v>4.9315789473684209E-2</v>
      </c>
    </row>
    <row r="14697" spans="39:45">
      <c r="AM14697" s="55">
        <v>2020</v>
      </c>
      <c r="AN14697" s="55" t="s">
        <v>190</v>
      </c>
      <c r="AO14697" s="55">
        <v>4</v>
      </c>
      <c r="AP14697" s="55">
        <v>7</v>
      </c>
      <c r="AQ14697" s="55">
        <v>7260.5</v>
      </c>
      <c r="AR14697" s="55">
        <v>28500</v>
      </c>
      <c r="AS14697" s="78">
        <f t="shared" si="233"/>
        <v>0.25475438596491229</v>
      </c>
    </row>
    <row r="14698" spans="39:45">
      <c r="AM14698" s="54">
        <v>2020</v>
      </c>
      <c r="AN14698" s="54" t="s">
        <v>190</v>
      </c>
      <c r="AO14698" s="54">
        <v>4</v>
      </c>
      <c r="AP14698" s="54">
        <v>8</v>
      </c>
      <c r="AQ14698" s="54">
        <v>15775</v>
      </c>
      <c r="AR14698" s="55">
        <v>28500</v>
      </c>
      <c r="AS14698" s="78">
        <f t="shared" si="233"/>
        <v>0.55350877192982462</v>
      </c>
    </row>
    <row r="14699" spans="39:45">
      <c r="AM14699" s="55">
        <v>2020</v>
      </c>
      <c r="AN14699" s="55" t="s">
        <v>190</v>
      </c>
      <c r="AO14699" s="55">
        <v>4</v>
      </c>
      <c r="AP14699" s="55">
        <v>9</v>
      </c>
      <c r="AQ14699" s="55">
        <v>9224.5</v>
      </c>
      <c r="AR14699" s="55">
        <v>28500</v>
      </c>
      <c r="AS14699" s="78">
        <f t="shared" si="233"/>
        <v>0.32366666666666666</v>
      </c>
    </row>
    <row r="14700" spans="39:45">
      <c r="AM14700" s="54">
        <v>2020</v>
      </c>
      <c r="AN14700" s="54" t="s">
        <v>190</v>
      </c>
      <c r="AO14700" s="54">
        <v>4</v>
      </c>
      <c r="AP14700" s="54">
        <v>10</v>
      </c>
      <c r="AQ14700" s="54">
        <v>19419.5</v>
      </c>
      <c r="AR14700" s="55">
        <v>28500</v>
      </c>
      <c r="AS14700" s="78">
        <f t="shared" si="233"/>
        <v>0.68138596491228065</v>
      </c>
    </row>
    <row r="14701" spans="39:45">
      <c r="AM14701" s="55">
        <v>2020</v>
      </c>
      <c r="AN14701" s="55" t="s">
        <v>190</v>
      </c>
      <c r="AO14701" s="55">
        <v>4</v>
      </c>
      <c r="AP14701" s="55">
        <v>11</v>
      </c>
      <c r="AQ14701" s="55">
        <v>19452.5</v>
      </c>
      <c r="AR14701" s="55">
        <v>28500</v>
      </c>
      <c r="AS14701" s="78">
        <f t="shared" si="233"/>
        <v>0.68254385964912279</v>
      </c>
    </row>
    <row r="14702" spans="39:45">
      <c r="AM14702" s="54">
        <v>2020</v>
      </c>
      <c r="AN14702" s="54" t="s">
        <v>190</v>
      </c>
      <c r="AO14702" s="54">
        <v>4</v>
      </c>
      <c r="AP14702" s="54">
        <v>12</v>
      </c>
      <c r="AQ14702" s="54">
        <v>13217</v>
      </c>
      <c r="AR14702" s="55">
        <v>28500</v>
      </c>
      <c r="AS14702" s="78">
        <f t="shared" si="233"/>
        <v>0.46375438596491231</v>
      </c>
    </row>
    <row r="14703" spans="39:45">
      <c r="AM14703" s="55">
        <v>2020</v>
      </c>
      <c r="AN14703" s="55" t="s">
        <v>190</v>
      </c>
      <c r="AO14703" s="55">
        <v>4</v>
      </c>
      <c r="AP14703" s="55">
        <v>13</v>
      </c>
      <c r="AQ14703" s="55">
        <v>18547.5</v>
      </c>
      <c r="AR14703" s="55">
        <v>28500</v>
      </c>
      <c r="AS14703" s="78">
        <f t="shared" si="233"/>
        <v>0.65078947368421047</v>
      </c>
    </row>
    <row r="14704" spans="39:45">
      <c r="AM14704" s="54">
        <v>2020</v>
      </c>
      <c r="AN14704" s="54" t="s">
        <v>190</v>
      </c>
      <c r="AO14704" s="54">
        <v>4</v>
      </c>
      <c r="AP14704" s="54">
        <v>14</v>
      </c>
      <c r="AQ14704" s="54">
        <v>5663.5</v>
      </c>
      <c r="AR14704" s="55">
        <v>28500</v>
      </c>
      <c r="AS14704" s="78">
        <f t="shared" si="233"/>
        <v>0.19871929824561405</v>
      </c>
    </row>
    <row r="14705" spans="39:45">
      <c r="AM14705" s="55">
        <v>2020</v>
      </c>
      <c r="AN14705" s="55" t="s">
        <v>190</v>
      </c>
      <c r="AO14705" s="55">
        <v>4</v>
      </c>
      <c r="AP14705" s="55">
        <v>15</v>
      </c>
      <c r="AQ14705" s="55">
        <v>8935.5</v>
      </c>
      <c r="AR14705" s="55">
        <v>28500</v>
      </c>
      <c r="AS14705" s="78">
        <f t="shared" si="233"/>
        <v>0.31352631578947371</v>
      </c>
    </row>
    <row r="14706" spans="39:45">
      <c r="AM14706" s="54">
        <v>2020</v>
      </c>
      <c r="AN14706" s="54" t="s">
        <v>190</v>
      </c>
      <c r="AO14706" s="54">
        <v>4</v>
      </c>
      <c r="AP14706" s="54">
        <v>16</v>
      </c>
      <c r="AQ14706" s="54">
        <v>4526.5</v>
      </c>
      <c r="AR14706" s="55">
        <v>28500</v>
      </c>
      <c r="AS14706" s="78">
        <f t="shared" si="233"/>
        <v>0.15882456140350878</v>
      </c>
    </row>
    <row r="14707" spans="39:45">
      <c r="AM14707" s="55">
        <v>2020</v>
      </c>
      <c r="AN14707" s="55" t="s">
        <v>190</v>
      </c>
      <c r="AO14707" s="55">
        <v>4</v>
      </c>
      <c r="AP14707" s="55">
        <v>17</v>
      </c>
      <c r="AQ14707" s="55">
        <v>2071.5</v>
      </c>
      <c r="AR14707" s="55">
        <v>28500</v>
      </c>
      <c r="AS14707" s="78">
        <f t="shared" si="233"/>
        <v>7.2684210526315796E-2</v>
      </c>
    </row>
    <row r="14708" spans="39:45">
      <c r="AM14708" s="54">
        <v>2020</v>
      </c>
      <c r="AN14708" s="54" t="s">
        <v>190</v>
      </c>
      <c r="AO14708" s="54">
        <v>4</v>
      </c>
      <c r="AP14708" s="54">
        <v>18</v>
      </c>
      <c r="AQ14708" s="54">
        <v>135.5</v>
      </c>
      <c r="AR14708" s="55">
        <v>28500</v>
      </c>
      <c r="AS14708" s="78">
        <f t="shared" si="233"/>
        <v>4.754385964912281E-3</v>
      </c>
    </row>
    <row r="14709" spans="39:45">
      <c r="AM14709" s="55">
        <v>2020</v>
      </c>
      <c r="AN14709" s="55" t="s">
        <v>190</v>
      </c>
      <c r="AO14709" s="55">
        <v>4</v>
      </c>
      <c r="AP14709" s="55">
        <v>19</v>
      </c>
      <c r="AQ14709" s="55">
        <v>0</v>
      </c>
      <c r="AR14709" s="55">
        <v>28500</v>
      </c>
      <c r="AS14709" s="78">
        <f t="shared" si="233"/>
        <v>0</v>
      </c>
    </row>
    <row r="14710" spans="39:45">
      <c r="AM14710" s="54">
        <v>2020</v>
      </c>
      <c r="AN14710" s="54" t="s">
        <v>190</v>
      </c>
      <c r="AO14710" s="54">
        <v>4</v>
      </c>
      <c r="AP14710" s="54">
        <v>20</v>
      </c>
      <c r="AQ14710" s="54">
        <v>0</v>
      </c>
      <c r="AR14710" s="55">
        <v>28500</v>
      </c>
      <c r="AS14710" s="78">
        <f t="shared" si="233"/>
        <v>0</v>
      </c>
    </row>
    <row r="14711" spans="39:45">
      <c r="AM14711" s="55">
        <v>2020</v>
      </c>
      <c r="AN14711" s="55" t="s">
        <v>190</v>
      </c>
      <c r="AO14711" s="55">
        <v>4</v>
      </c>
      <c r="AP14711" s="55">
        <v>21</v>
      </c>
      <c r="AQ14711" s="55">
        <v>0</v>
      </c>
      <c r="AR14711" s="55">
        <v>28500</v>
      </c>
      <c r="AS14711" s="78">
        <f t="shared" si="233"/>
        <v>0</v>
      </c>
    </row>
    <row r="14712" spans="39:45">
      <c r="AM14712" s="54">
        <v>2020</v>
      </c>
      <c r="AN14712" s="54" t="s">
        <v>190</v>
      </c>
      <c r="AO14712" s="54">
        <v>4</v>
      </c>
      <c r="AP14712" s="54">
        <v>22</v>
      </c>
      <c r="AQ14712" s="54">
        <v>0</v>
      </c>
      <c r="AR14712" s="55">
        <v>28500</v>
      </c>
      <c r="AS14712" s="78">
        <f t="shared" si="233"/>
        <v>0</v>
      </c>
    </row>
    <row r="14713" spans="39:45">
      <c r="AM14713" s="55">
        <v>2020</v>
      </c>
      <c r="AN14713" s="55" t="s">
        <v>190</v>
      </c>
      <c r="AO14713" s="55">
        <v>4</v>
      </c>
      <c r="AP14713" s="55">
        <v>23</v>
      </c>
      <c r="AQ14713" s="55">
        <v>0</v>
      </c>
      <c r="AR14713" s="55">
        <v>28500</v>
      </c>
      <c r="AS14713" s="78">
        <f t="shared" si="233"/>
        <v>0</v>
      </c>
    </row>
    <row r="14714" spans="39:45">
      <c r="AM14714" s="54">
        <v>2020</v>
      </c>
      <c r="AN14714" s="54" t="s">
        <v>190</v>
      </c>
      <c r="AO14714" s="54">
        <v>5</v>
      </c>
      <c r="AP14714" s="54">
        <v>24</v>
      </c>
      <c r="AQ14714" s="54">
        <v>0</v>
      </c>
      <c r="AR14714" s="55">
        <v>28500</v>
      </c>
      <c r="AS14714" s="78">
        <f t="shared" si="233"/>
        <v>0</v>
      </c>
    </row>
    <row r="14715" spans="39:45">
      <c r="AM14715" s="55">
        <v>2020</v>
      </c>
      <c r="AN14715" s="55" t="s">
        <v>190</v>
      </c>
      <c r="AO14715" s="55">
        <v>5</v>
      </c>
      <c r="AP14715" s="55">
        <v>1</v>
      </c>
      <c r="AQ14715" s="55">
        <v>0</v>
      </c>
      <c r="AR14715" s="55">
        <v>28500</v>
      </c>
      <c r="AS14715" s="78">
        <f t="shared" si="233"/>
        <v>0</v>
      </c>
    </row>
    <row r="14716" spans="39:45">
      <c r="AM14716" s="54">
        <v>2020</v>
      </c>
      <c r="AN14716" s="54" t="s">
        <v>190</v>
      </c>
      <c r="AO14716" s="54">
        <v>5</v>
      </c>
      <c r="AP14716" s="54">
        <v>2</v>
      </c>
      <c r="AQ14716" s="54">
        <v>0</v>
      </c>
      <c r="AR14716" s="55">
        <v>28500</v>
      </c>
      <c r="AS14716" s="78">
        <f t="shared" si="233"/>
        <v>0</v>
      </c>
    </row>
    <row r="14717" spans="39:45">
      <c r="AM14717" s="55">
        <v>2020</v>
      </c>
      <c r="AN14717" s="55" t="s">
        <v>190</v>
      </c>
      <c r="AO14717" s="55">
        <v>5</v>
      </c>
      <c r="AP14717" s="55">
        <v>3</v>
      </c>
      <c r="AQ14717" s="55">
        <v>0</v>
      </c>
      <c r="AR14717" s="55">
        <v>28500</v>
      </c>
      <c r="AS14717" s="78">
        <f t="shared" si="233"/>
        <v>0</v>
      </c>
    </row>
    <row r="14718" spans="39:45">
      <c r="AM14718" s="54">
        <v>2020</v>
      </c>
      <c r="AN14718" s="54" t="s">
        <v>190</v>
      </c>
      <c r="AO14718" s="54">
        <v>5</v>
      </c>
      <c r="AP14718" s="54">
        <v>4</v>
      </c>
      <c r="AQ14718" s="54">
        <v>0</v>
      </c>
      <c r="AR14718" s="55">
        <v>28500</v>
      </c>
      <c r="AS14718" s="78">
        <f t="shared" si="233"/>
        <v>0</v>
      </c>
    </row>
    <row r="14719" spans="39:45">
      <c r="AM14719" s="55">
        <v>2020</v>
      </c>
      <c r="AN14719" s="55" t="s">
        <v>190</v>
      </c>
      <c r="AO14719" s="55">
        <v>5</v>
      </c>
      <c r="AP14719" s="55">
        <v>5</v>
      </c>
      <c r="AQ14719" s="55">
        <v>0</v>
      </c>
      <c r="AR14719" s="55">
        <v>28500</v>
      </c>
      <c r="AS14719" s="78">
        <f t="shared" si="233"/>
        <v>0</v>
      </c>
    </row>
    <row r="14720" spans="39:45">
      <c r="AM14720" s="54">
        <v>2020</v>
      </c>
      <c r="AN14720" s="54" t="s">
        <v>190</v>
      </c>
      <c r="AO14720" s="54">
        <v>5</v>
      </c>
      <c r="AP14720" s="54">
        <v>6</v>
      </c>
      <c r="AQ14720" s="54">
        <v>1442.5</v>
      </c>
      <c r="AR14720" s="55">
        <v>28500</v>
      </c>
      <c r="AS14720" s="78">
        <f t="shared" si="233"/>
        <v>5.0614035087719299E-2</v>
      </c>
    </row>
    <row r="14721" spans="39:45">
      <c r="AM14721" s="55">
        <v>2020</v>
      </c>
      <c r="AN14721" s="55" t="s">
        <v>190</v>
      </c>
      <c r="AO14721" s="55">
        <v>5</v>
      </c>
      <c r="AP14721" s="55">
        <v>7</v>
      </c>
      <c r="AQ14721" s="55">
        <v>10413.5</v>
      </c>
      <c r="AR14721" s="55">
        <v>28500</v>
      </c>
      <c r="AS14721" s="78">
        <f t="shared" si="233"/>
        <v>0.3653859649122807</v>
      </c>
    </row>
    <row r="14722" spans="39:45">
      <c r="AM14722" s="54">
        <v>2020</v>
      </c>
      <c r="AN14722" s="54" t="s">
        <v>190</v>
      </c>
      <c r="AO14722" s="54">
        <v>5</v>
      </c>
      <c r="AP14722" s="54">
        <v>8</v>
      </c>
      <c r="AQ14722" s="54">
        <v>20897.5</v>
      </c>
      <c r="AR14722" s="55">
        <v>28500</v>
      </c>
      <c r="AS14722" s="78">
        <f t="shared" ref="AS14722:AS14785" si="234">AQ14722/AR14722</f>
        <v>0.7332456140350877</v>
      </c>
    </row>
    <row r="14723" spans="39:45">
      <c r="AM14723" s="55">
        <v>2020</v>
      </c>
      <c r="AN14723" s="55" t="s">
        <v>190</v>
      </c>
      <c r="AO14723" s="55">
        <v>5</v>
      </c>
      <c r="AP14723" s="55">
        <v>9</v>
      </c>
      <c r="AQ14723" s="55">
        <v>22232.5</v>
      </c>
      <c r="AR14723" s="55">
        <v>28500</v>
      </c>
      <c r="AS14723" s="78">
        <f t="shared" si="234"/>
        <v>0.78008771929824561</v>
      </c>
    </row>
    <row r="14724" spans="39:45">
      <c r="AM14724" s="54">
        <v>2020</v>
      </c>
      <c r="AN14724" s="54" t="s">
        <v>190</v>
      </c>
      <c r="AO14724" s="54">
        <v>5</v>
      </c>
      <c r="AP14724" s="54">
        <v>10</v>
      </c>
      <c r="AQ14724" s="54">
        <v>32647</v>
      </c>
      <c r="AR14724" s="55">
        <v>28500</v>
      </c>
      <c r="AS14724" s="78">
        <f t="shared" si="234"/>
        <v>1.1455087719298245</v>
      </c>
    </row>
    <row r="14725" spans="39:45">
      <c r="AM14725" s="55">
        <v>2020</v>
      </c>
      <c r="AN14725" s="55" t="s">
        <v>190</v>
      </c>
      <c r="AO14725" s="55">
        <v>5</v>
      </c>
      <c r="AP14725" s="55">
        <v>11</v>
      </c>
      <c r="AQ14725" s="55">
        <v>19384</v>
      </c>
      <c r="AR14725" s="55">
        <v>28500</v>
      </c>
      <c r="AS14725" s="78">
        <f t="shared" si="234"/>
        <v>0.68014035087719293</v>
      </c>
    </row>
    <row r="14726" spans="39:45">
      <c r="AM14726" s="54">
        <v>2020</v>
      </c>
      <c r="AN14726" s="54" t="s">
        <v>190</v>
      </c>
      <c r="AO14726" s="54">
        <v>5</v>
      </c>
      <c r="AP14726" s="54">
        <v>12</v>
      </c>
      <c r="AQ14726" s="54">
        <v>17129.5</v>
      </c>
      <c r="AR14726" s="55">
        <v>28500</v>
      </c>
      <c r="AS14726" s="78">
        <f t="shared" si="234"/>
        <v>0.60103508771929826</v>
      </c>
    </row>
    <row r="14727" spans="39:45">
      <c r="AM14727" s="55">
        <v>2020</v>
      </c>
      <c r="AN14727" s="55" t="s">
        <v>190</v>
      </c>
      <c r="AO14727" s="55">
        <v>5</v>
      </c>
      <c r="AP14727" s="55">
        <v>13</v>
      </c>
      <c r="AQ14727" s="55">
        <v>26562.5</v>
      </c>
      <c r="AR14727" s="55">
        <v>28500</v>
      </c>
      <c r="AS14727" s="78">
        <f t="shared" si="234"/>
        <v>0.93201754385964908</v>
      </c>
    </row>
    <row r="14728" spans="39:45">
      <c r="AM14728" s="54">
        <v>2020</v>
      </c>
      <c r="AN14728" s="54" t="s">
        <v>190</v>
      </c>
      <c r="AO14728" s="54">
        <v>5</v>
      </c>
      <c r="AP14728" s="54">
        <v>14</v>
      </c>
      <c r="AQ14728" s="54">
        <v>32740.5</v>
      </c>
      <c r="AR14728" s="55">
        <v>28500</v>
      </c>
      <c r="AS14728" s="78">
        <f t="shared" si="234"/>
        <v>1.1487894736842106</v>
      </c>
    </row>
    <row r="14729" spans="39:45">
      <c r="AM14729" s="55">
        <v>2020</v>
      </c>
      <c r="AN14729" s="55" t="s">
        <v>190</v>
      </c>
      <c r="AO14729" s="55">
        <v>5</v>
      </c>
      <c r="AP14729" s="55">
        <v>15</v>
      </c>
      <c r="AQ14729" s="55">
        <v>7738</v>
      </c>
      <c r="AR14729" s="55">
        <v>28500</v>
      </c>
      <c r="AS14729" s="78">
        <f t="shared" si="234"/>
        <v>0.27150877192982459</v>
      </c>
    </row>
    <row r="14730" spans="39:45">
      <c r="AM14730" s="54">
        <v>2020</v>
      </c>
      <c r="AN14730" s="54" t="s">
        <v>190</v>
      </c>
      <c r="AO14730" s="54">
        <v>5</v>
      </c>
      <c r="AP14730" s="54">
        <v>16</v>
      </c>
      <c r="AQ14730" s="54">
        <v>10578</v>
      </c>
      <c r="AR14730" s="55">
        <v>28500</v>
      </c>
      <c r="AS14730" s="78">
        <f t="shared" si="234"/>
        <v>0.37115789473684213</v>
      </c>
    </row>
    <row r="14731" spans="39:45">
      <c r="AM14731" s="55">
        <v>2020</v>
      </c>
      <c r="AN14731" s="55" t="s">
        <v>190</v>
      </c>
      <c r="AO14731" s="55">
        <v>5</v>
      </c>
      <c r="AP14731" s="55">
        <v>17</v>
      </c>
      <c r="AQ14731" s="55">
        <v>5104.5</v>
      </c>
      <c r="AR14731" s="55">
        <v>28500</v>
      </c>
      <c r="AS14731" s="78">
        <f t="shared" si="234"/>
        <v>0.17910526315789474</v>
      </c>
    </row>
    <row r="14732" spans="39:45">
      <c r="AM14732" s="54">
        <v>2020</v>
      </c>
      <c r="AN14732" s="54" t="s">
        <v>190</v>
      </c>
      <c r="AO14732" s="54">
        <v>5</v>
      </c>
      <c r="AP14732" s="54">
        <v>18</v>
      </c>
      <c r="AQ14732" s="54">
        <v>137</v>
      </c>
      <c r="AR14732" s="55">
        <v>28500</v>
      </c>
      <c r="AS14732" s="78">
        <f t="shared" si="234"/>
        <v>4.8070175438596494E-3</v>
      </c>
    </row>
    <row r="14733" spans="39:45">
      <c r="AM14733" s="55">
        <v>2020</v>
      </c>
      <c r="AN14733" s="55" t="s">
        <v>190</v>
      </c>
      <c r="AO14733" s="55">
        <v>5</v>
      </c>
      <c r="AP14733" s="55">
        <v>19</v>
      </c>
      <c r="AQ14733" s="55">
        <v>0</v>
      </c>
      <c r="AR14733" s="55">
        <v>28500</v>
      </c>
      <c r="AS14733" s="78">
        <f t="shared" si="234"/>
        <v>0</v>
      </c>
    </row>
    <row r="14734" spans="39:45">
      <c r="AM14734" s="54">
        <v>2020</v>
      </c>
      <c r="AN14734" s="54" t="s">
        <v>190</v>
      </c>
      <c r="AO14734" s="54">
        <v>5</v>
      </c>
      <c r="AP14734" s="54">
        <v>20</v>
      </c>
      <c r="AQ14734" s="54">
        <v>0</v>
      </c>
      <c r="AR14734" s="55">
        <v>28500</v>
      </c>
      <c r="AS14734" s="78">
        <f t="shared" si="234"/>
        <v>0</v>
      </c>
    </row>
    <row r="14735" spans="39:45">
      <c r="AM14735" s="55">
        <v>2020</v>
      </c>
      <c r="AN14735" s="55" t="s">
        <v>190</v>
      </c>
      <c r="AO14735" s="55">
        <v>5</v>
      </c>
      <c r="AP14735" s="55">
        <v>21</v>
      </c>
      <c r="AQ14735" s="55">
        <v>0</v>
      </c>
      <c r="AR14735" s="55">
        <v>28500</v>
      </c>
      <c r="AS14735" s="78">
        <f t="shared" si="234"/>
        <v>0</v>
      </c>
    </row>
    <row r="14736" spans="39:45">
      <c r="AM14736" s="54">
        <v>2020</v>
      </c>
      <c r="AN14736" s="54" t="s">
        <v>190</v>
      </c>
      <c r="AO14736" s="54">
        <v>5</v>
      </c>
      <c r="AP14736" s="54">
        <v>22</v>
      </c>
      <c r="AQ14736" s="54">
        <v>0</v>
      </c>
      <c r="AR14736" s="55">
        <v>28500</v>
      </c>
      <c r="AS14736" s="78">
        <f t="shared" si="234"/>
        <v>0</v>
      </c>
    </row>
    <row r="14737" spans="39:45">
      <c r="AM14737" s="55">
        <v>2020</v>
      </c>
      <c r="AN14737" s="55" t="s">
        <v>190</v>
      </c>
      <c r="AO14737" s="55">
        <v>5</v>
      </c>
      <c r="AP14737" s="55">
        <v>23</v>
      </c>
      <c r="AQ14737" s="55">
        <v>0</v>
      </c>
      <c r="AR14737" s="55">
        <v>28500</v>
      </c>
      <c r="AS14737" s="78">
        <f t="shared" si="234"/>
        <v>0</v>
      </c>
    </row>
    <row r="14738" spans="39:45">
      <c r="AM14738" s="54">
        <v>2020</v>
      </c>
      <c r="AN14738" s="54" t="s">
        <v>190</v>
      </c>
      <c r="AO14738" s="54">
        <v>6</v>
      </c>
      <c r="AP14738" s="54">
        <v>24</v>
      </c>
      <c r="AQ14738" s="54">
        <v>0</v>
      </c>
      <c r="AR14738" s="55">
        <v>28500</v>
      </c>
      <c r="AS14738" s="78">
        <f t="shared" si="234"/>
        <v>0</v>
      </c>
    </row>
    <row r="14739" spans="39:45">
      <c r="AM14739" s="55">
        <v>2020</v>
      </c>
      <c r="AN14739" s="55" t="s">
        <v>190</v>
      </c>
      <c r="AO14739" s="55">
        <v>6</v>
      </c>
      <c r="AP14739" s="55">
        <v>1</v>
      </c>
      <c r="AQ14739" s="55">
        <v>0</v>
      </c>
      <c r="AR14739" s="55">
        <v>28500</v>
      </c>
      <c r="AS14739" s="78">
        <f t="shared" si="234"/>
        <v>0</v>
      </c>
    </row>
    <row r="14740" spans="39:45">
      <c r="AM14740" s="54">
        <v>2020</v>
      </c>
      <c r="AN14740" s="54" t="s">
        <v>190</v>
      </c>
      <c r="AO14740" s="54">
        <v>6</v>
      </c>
      <c r="AP14740" s="54">
        <v>2</v>
      </c>
      <c r="AQ14740" s="54">
        <v>0</v>
      </c>
      <c r="AR14740" s="55">
        <v>28500</v>
      </c>
      <c r="AS14740" s="78">
        <f t="shared" si="234"/>
        <v>0</v>
      </c>
    </row>
    <row r="14741" spans="39:45">
      <c r="AM14741" s="55">
        <v>2020</v>
      </c>
      <c r="AN14741" s="55" t="s">
        <v>190</v>
      </c>
      <c r="AO14741" s="55">
        <v>6</v>
      </c>
      <c r="AP14741" s="55">
        <v>3</v>
      </c>
      <c r="AQ14741" s="55">
        <v>0</v>
      </c>
      <c r="AR14741" s="55">
        <v>28500</v>
      </c>
      <c r="AS14741" s="78">
        <f t="shared" si="234"/>
        <v>0</v>
      </c>
    </row>
    <row r="14742" spans="39:45">
      <c r="AM14742" s="54">
        <v>2020</v>
      </c>
      <c r="AN14742" s="54" t="s">
        <v>190</v>
      </c>
      <c r="AO14742" s="54">
        <v>6</v>
      </c>
      <c r="AP14742" s="54">
        <v>4</v>
      </c>
      <c r="AQ14742" s="54">
        <v>0</v>
      </c>
      <c r="AR14742" s="55">
        <v>28500</v>
      </c>
      <c r="AS14742" s="78">
        <f t="shared" si="234"/>
        <v>0</v>
      </c>
    </row>
    <row r="14743" spans="39:45">
      <c r="AM14743" s="55">
        <v>2020</v>
      </c>
      <c r="AN14743" s="55" t="s">
        <v>190</v>
      </c>
      <c r="AO14743" s="55">
        <v>6</v>
      </c>
      <c r="AP14743" s="55">
        <v>5</v>
      </c>
      <c r="AQ14743" s="55">
        <v>0</v>
      </c>
      <c r="AR14743" s="55">
        <v>28500</v>
      </c>
      <c r="AS14743" s="78">
        <f t="shared" si="234"/>
        <v>0</v>
      </c>
    </row>
    <row r="14744" spans="39:45">
      <c r="AM14744" s="54">
        <v>2020</v>
      </c>
      <c r="AN14744" s="54" t="s">
        <v>190</v>
      </c>
      <c r="AO14744" s="54">
        <v>6</v>
      </c>
      <c r="AP14744" s="54">
        <v>6</v>
      </c>
      <c r="AQ14744" s="54">
        <v>1357.5</v>
      </c>
      <c r="AR14744" s="55">
        <v>28500</v>
      </c>
      <c r="AS14744" s="78">
        <f t="shared" si="234"/>
        <v>4.7631578947368421E-2</v>
      </c>
    </row>
    <row r="14745" spans="39:45">
      <c r="AM14745" s="55">
        <v>2020</v>
      </c>
      <c r="AN14745" s="55" t="s">
        <v>190</v>
      </c>
      <c r="AO14745" s="55">
        <v>6</v>
      </c>
      <c r="AP14745" s="55">
        <v>7</v>
      </c>
      <c r="AQ14745" s="55">
        <v>4496</v>
      </c>
      <c r="AR14745" s="55">
        <v>28500</v>
      </c>
      <c r="AS14745" s="78">
        <f t="shared" si="234"/>
        <v>0.15775438596491229</v>
      </c>
    </row>
    <row r="14746" spans="39:45">
      <c r="AM14746" s="54">
        <v>2020</v>
      </c>
      <c r="AN14746" s="54" t="s">
        <v>190</v>
      </c>
      <c r="AO14746" s="54">
        <v>6</v>
      </c>
      <c r="AP14746" s="54">
        <v>8</v>
      </c>
      <c r="AQ14746" s="54">
        <v>18731.5</v>
      </c>
      <c r="AR14746" s="55">
        <v>28500</v>
      </c>
      <c r="AS14746" s="78">
        <f t="shared" si="234"/>
        <v>0.65724561403508774</v>
      </c>
    </row>
    <row r="14747" spans="39:45">
      <c r="AM14747" s="55">
        <v>2020</v>
      </c>
      <c r="AN14747" s="55" t="s">
        <v>190</v>
      </c>
      <c r="AO14747" s="55">
        <v>6</v>
      </c>
      <c r="AP14747" s="55">
        <v>9</v>
      </c>
      <c r="AQ14747" s="55">
        <v>29105.5</v>
      </c>
      <c r="AR14747" s="55">
        <v>28500</v>
      </c>
      <c r="AS14747" s="78">
        <f t="shared" si="234"/>
        <v>1.0212456140350876</v>
      </c>
    </row>
    <row r="14748" spans="39:45">
      <c r="AM14748" s="54">
        <v>2020</v>
      </c>
      <c r="AN14748" s="54" t="s">
        <v>190</v>
      </c>
      <c r="AO14748" s="54">
        <v>6</v>
      </c>
      <c r="AP14748" s="54">
        <v>10</v>
      </c>
      <c r="AQ14748" s="54">
        <v>34568</v>
      </c>
      <c r="AR14748" s="55">
        <v>28500</v>
      </c>
      <c r="AS14748" s="78">
        <f t="shared" si="234"/>
        <v>1.2129122807017543</v>
      </c>
    </row>
    <row r="14749" spans="39:45">
      <c r="AM14749" s="55">
        <v>2020</v>
      </c>
      <c r="AN14749" s="55" t="s">
        <v>190</v>
      </c>
      <c r="AO14749" s="55">
        <v>6</v>
      </c>
      <c r="AP14749" s="55">
        <v>11</v>
      </c>
      <c r="AQ14749" s="55">
        <v>33212</v>
      </c>
      <c r="AR14749" s="55">
        <v>28500</v>
      </c>
      <c r="AS14749" s="78">
        <f t="shared" si="234"/>
        <v>1.1653333333333333</v>
      </c>
    </row>
    <row r="14750" spans="39:45">
      <c r="AM14750" s="54">
        <v>2020</v>
      </c>
      <c r="AN14750" s="54" t="s">
        <v>190</v>
      </c>
      <c r="AO14750" s="54">
        <v>6</v>
      </c>
      <c r="AP14750" s="54">
        <v>12</v>
      </c>
      <c r="AQ14750" s="54">
        <v>11774</v>
      </c>
      <c r="AR14750" s="55">
        <v>28500</v>
      </c>
      <c r="AS14750" s="78">
        <f t="shared" si="234"/>
        <v>0.41312280701754384</v>
      </c>
    </row>
    <row r="14751" spans="39:45">
      <c r="AM14751" s="55">
        <v>2020</v>
      </c>
      <c r="AN14751" s="55" t="s">
        <v>190</v>
      </c>
      <c r="AO14751" s="55">
        <v>6</v>
      </c>
      <c r="AP14751" s="55">
        <v>13</v>
      </c>
      <c r="AQ14751" s="55">
        <v>17434.5</v>
      </c>
      <c r="AR14751" s="55">
        <v>28500</v>
      </c>
      <c r="AS14751" s="78">
        <f t="shared" si="234"/>
        <v>0.61173684210526313</v>
      </c>
    </row>
    <row r="14752" spans="39:45">
      <c r="AM14752" s="54">
        <v>2020</v>
      </c>
      <c r="AN14752" s="54" t="s">
        <v>190</v>
      </c>
      <c r="AO14752" s="54">
        <v>6</v>
      </c>
      <c r="AP14752" s="54">
        <v>14</v>
      </c>
      <c r="AQ14752" s="54">
        <v>6655.5</v>
      </c>
      <c r="AR14752" s="55">
        <v>28500</v>
      </c>
      <c r="AS14752" s="78">
        <f t="shared" si="234"/>
        <v>0.23352631578947369</v>
      </c>
    </row>
    <row r="14753" spans="39:45">
      <c r="AM14753" s="55">
        <v>2020</v>
      </c>
      <c r="AN14753" s="55" t="s">
        <v>190</v>
      </c>
      <c r="AO14753" s="55">
        <v>6</v>
      </c>
      <c r="AP14753" s="55">
        <v>15</v>
      </c>
      <c r="AQ14753" s="55">
        <v>14007</v>
      </c>
      <c r="AR14753" s="55">
        <v>28500</v>
      </c>
      <c r="AS14753" s="78">
        <f t="shared" si="234"/>
        <v>0.49147368421052634</v>
      </c>
    </row>
    <row r="14754" spans="39:45">
      <c r="AM14754" s="54">
        <v>2020</v>
      </c>
      <c r="AN14754" s="54" t="s">
        <v>190</v>
      </c>
      <c r="AO14754" s="54">
        <v>6</v>
      </c>
      <c r="AP14754" s="54">
        <v>16</v>
      </c>
      <c r="AQ14754" s="54">
        <v>15794</v>
      </c>
      <c r="AR14754" s="55">
        <v>28500</v>
      </c>
      <c r="AS14754" s="78">
        <f t="shared" si="234"/>
        <v>0.55417543859649121</v>
      </c>
    </row>
    <row r="14755" spans="39:45">
      <c r="AM14755" s="55">
        <v>2020</v>
      </c>
      <c r="AN14755" s="55" t="s">
        <v>190</v>
      </c>
      <c r="AO14755" s="55">
        <v>6</v>
      </c>
      <c r="AP14755" s="55">
        <v>17</v>
      </c>
      <c r="AQ14755" s="55">
        <v>5331</v>
      </c>
      <c r="AR14755" s="55">
        <v>28500</v>
      </c>
      <c r="AS14755" s="78">
        <f t="shared" si="234"/>
        <v>0.18705263157894736</v>
      </c>
    </row>
    <row r="14756" spans="39:45">
      <c r="AM14756" s="54">
        <v>2020</v>
      </c>
      <c r="AN14756" s="54" t="s">
        <v>190</v>
      </c>
      <c r="AO14756" s="54">
        <v>6</v>
      </c>
      <c r="AP14756" s="54">
        <v>18</v>
      </c>
      <c r="AQ14756" s="54">
        <v>136</v>
      </c>
      <c r="AR14756" s="55">
        <v>28500</v>
      </c>
      <c r="AS14756" s="78">
        <f t="shared" si="234"/>
        <v>4.7719298245614038E-3</v>
      </c>
    </row>
    <row r="14757" spans="39:45">
      <c r="AM14757" s="55">
        <v>2020</v>
      </c>
      <c r="AN14757" s="55" t="s">
        <v>190</v>
      </c>
      <c r="AO14757" s="55">
        <v>6</v>
      </c>
      <c r="AP14757" s="55">
        <v>19</v>
      </c>
      <c r="AQ14757" s="55">
        <v>0</v>
      </c>
      <c r="AR14757" s="55">
        <v>28500</v>
      </c>
      <c r="AS14757" s="78">
        <f t="shared" si="234"/>
        <v>0</v>
      </c>
    </row>
    <row r="14758" spans="39:45">
      <c r="AM14758" s="54">
        <v>2020</v>
      </c>
      <c r="AN14758" s="54" t="s">
        <v>190</v>
      </c>
      <c r="AO14758" s="54">
        <v>6</v>
      </c>
      <c r="AP14758" s="54">
        <v>20</v>
      </c>
      <c r="AQ14758" s="54">
        <v>0</v>
      </c>
      <c r="AR14758" s="55">
        <v>28500</v>
      </c>
      <c r="AS14758" s="78">
        <f t="shared" si="234"/>
        <v>0</v>
      </c>
    </row>
    <row r="14759" spans="39:45">
      <c r="AM14759" s="55">
        <v>2020</v>
      </c>
      <c r="AN14759" s="55" t="s">
        <v>190</v>
      </c>
      <c r="AO14759" s="55">
        <v>6</v>
      </c>
      <c r="AP14759" s="55">
        <v>21</v>
      </c>
      <c r="AQ14759" s="55">
        <v>0</v>
      </c>
      <c r="AR14759" s="55">
        <v>28500</v>
      </c>
      <c r="AS14759" s="78">
        <f t="shared" si="234"/>
        <v>0</v>
      </c>
    </row>
    <row r="14760" spans="39:45">
      <c r="AM14760" s="54">
        <v>2020</v>
      </c>
      <c r="AN14760" s="54" t="s">
        <v>190</v>
      </c>
      <c r="AO14760" s="54">
        <v>6</v>
      </c>
      <c r="AP14760" s="54">
        <v>22</v>
      </c>
      <c r="AQ14760" s="54">
        <v>0</v>
      </c>
      <c r="AR14760" s="55">
        <v>28500</v>
      </c>
      <c r="AS14760" s="78">
        <f t="shared" si="234"/>
        <v>0</v>
      </c>
    </row>
    <row r="14761" spans="39:45">
      <c r="AM14761" s="55">
        <v>2020</v>
      </c>
      <c r="AN14761" s="55" t="s">
        <v>190</v>
      </c>
      <c r="AO14761" s="55">
        <v>6</v>
      </c>
      <c r="AP14761" s="55">
        <v>23</v>
      </c>
      <c r="AQ14761" s="55">
        <v>0</v>
      </c>
      <c r="AR14761" s="55">
        <v>28500</v>
      </c>
      <c r="AS14761" s="78">
        <f t="shared" si="234"/>
        <v>0</v>
      </c>
    </row>
    <row r="14762" spans="39:45">
      <c r="AM14762" s="54">
        <v>2020</v>
      </c>
      <c r="AN14762" s="54" t="s">
        <v>190</v>
      </c>
      <c r="AO14762" s="54">
        <v>7</v>
      </c>
      <c r="AP14762" s="54">
        <v>24</v>
      </c>
      <c r="AQ14762" s="54">
        <v>0</v>
      </c>
      <c r="AR14762" s="55">
        <v>28500</v>
      </c>
      <c r="AS14762" s="78">
        <f t="shared" si="234"/>
        <v>0</v>
      </c>
    </row>
    <row r="14763" spans="39:45">
      <c r="AM14763" s="55">
        <v>2020</v>
      </c>
      <c r="AN14763" s="55" t="s">
        <v>190</v>
      </c>
      <c r="AO14763" s="55">
        <v>7</v>
      </c>
      <c r="AP14763" s="55">
        <v>1</v>
      </c>
      <c r="AQ14763" s="55">
        <v>0</v>
      </c>
      <c r="AR14763" s="55">
        <v>28500</v>
      </c>
      <c r="AS14763" s="78">
        <f t="shared" si="234"/>
        <v>0</v>
      </c>
    </row>
    <row r="14764" spans="39:45">
      <c r="AM14764" s="54">
        <v>2020</v>
      </c>
      <c r="AN14764" s="54" t="s">
        <v>190</v>
      </c>
      <c r="AO14764" s="54">
        <v>7</v>
      </c>
      <c r="AP14764" s="54">
        <v>2</v>
      </c>
      <c r="AQ14764" s="54">
        <v>0</v>
      </c>
      <c r="AR14764" s="55">
        <v>28500</v>
      </c>
      <c r="AS14764" s="78">
        <f t="shared" si="234"/>
        <v>0</v>
      </c>
    </row>
    <row r="14765" spans="39:45">
      <c r="AM14765" s="55">
        <v>2020</v>
      </c>
      <c r="AN14765" s="55" t="s">
        <v>190</v>
      </c>
      <c r="AO14765" s="55">
        <v>7</v>
      </c>
      <c r="AP14765" s="55">
        <v>3</v>
      </c>
      <c r="AQ14765" s="55">
        <v>0</v>
      </c>
      <c r="AR14765" s="55">
        <v>28500</v>
      </c>
      <c r="AS14765" s="78">
        <f t="shared" si="234"/>
        <v>0</v>
      </c>
    </row>
    <row r="14766" spans="39:45">
      <c r="AM14766" s="54">
        <v>2020</v>
      </c>
      <c r="AN14766" s="54" t="s">
        <v>190</v>
      </c>
      <c r="AO14766" s="54">
        <v>7</v>
      </c>
      <c r="AP14766" s="54">
        <v>4</v>
      </c>
      <c r="AQ14766" s="54">
        <v>0</v>
      </c>
      <c r="AR14766" s="55">
        <v>28500</v>
      </c>
      <c r="AS14766" s="78">
        <f t="shared" si="234"/>
        <v>0</v>
      </c>
    </row>
    <row r="14767" spans="39:45">
      <c r="AM14767" s="55">
        <v>2020</v>
      </c>
      <c r="AN14767" s="55" t="s">
        <v>190</v>
      </c>
      <c r="AO14767" s="55">
        <v>7</v>
      </c>
      <c r="AP14767" s="55">
        <v>5</v>
      </c>
      <c r="AQ14767" s="55">
        <v>0</v>
      </c>
      <c r="AR14767" s="55">
        <v>28500</v>
      </c>
      <c r="AS14767" s="78">
        <f t="shared" si="234"/>
        <v>0</v>
      </c>
    </row>
    <row r="14768" spans="39:45">
      <c r="AM14768" s="54">
        <v>2020</v>
      </c>
      <c r="AN14768" s="54" t="s">
        <v>190</v>
      </c>
      <c r="AO14768" s="54">
        <v>7</v>
      </c>
      <c r="AP14768" s="54">
        <v>6</v>
      </c>
      <c r="AQ14768" s="54">
        <v>1298</v>
      </c>
      <c r="AR14768" s="55">
        <v>28500</v>
      </c>
      <c r="AS14768" s="78">
        <f t="shared" si="234"/>
        <v>4.554385964912281E-2</v>
      </c>
    </row>
    <row r="14769" spans="39:45">
      <c r="AM14769" s="55">
        <v>2020</v>
      </c>
      <c r="AN14769" s="55" t="s">
        <v>190</v>
      </c>
      <c r="AO14769" s="55">
        <v>7</v>
      </c>
      <c r="AP14769" s="55">
        <v>7</v>
      </c>
      <c r="AQ14769" s="55">
        <v>3249</v>
      </c>
      <c r="AR14769" s="55">
        <v>28500</v>
      </c>
      <c r="AS14769" s="78">
        <f t="shared" si="234"/>
        <v>0.114</v>
      </c>
    </row>
    <row r="14770" spans="39:45">
      <c r="AM14770" s="54">
        <v>2020</v>
      </c>
      <c r="AN14770" s="54" t="s">
        <v>190</v>
      </c>
      <c r="AO14770" s="54">
        <v>7</v>
      </c>
      <c r="AP14770" s="54">
        <v>8</v>
      </c>
      <c r="AQ14770" s="54">
        <v>3879</v>
      </c>
      <c r="AR14770" s="55">
        <v>28500</v>
      </c>
      <c r="AS14770" s="78">
        <f t="shared" si="234"/>
        <v>0.13610526315789473</v>
      </c>
    </row>
    <row r="14771" spans="39:45">
      <c r="AM14771" s="55">
        <v>2020</v>
      </c>
      <c r="AN14771" s="55" t="s">
        <v>190</v>
      </c>
      <c r="AO14771" s="55">
        <v>7</v>
      </c>
      <c r="AP14771" s="55">
        <v>9</v>
      </c>
      <c r="AQ14771" s="55">
        <v>5377</v>
      </c>
      <c r="AR14771" s="55">
        <v>28500</v>
      </c>
      <c r="AS14771" s="78">
        <f t="shared" si="234"/>
        <v>0.18866666666666668</v>
      </c>
    </row>
    <row r="14772" spans="39:45">
      <c r="AM14772" s="54">
        <v>2020</v>
      </c>
      <c r="AN14772" s="54" t="s">
        <v>190</v>
      </c>
      <c r="AO14772" s="54">
        <v>7</v>
      </c>
      <c r="AP14772" s="54">
        <v>10</v>
      </c>
      <c r="AQ14772" s="54">
        <v>25749.5</v>
      </c>
      <c r="AR14772" s="55">
        <v>28500</v>
      </c>
      <c r="AS14772" s="78">
        <f t="shared" si="234"/>
        <v>0.90349122807017546</v>
      </c>
    </row>
    <row r="14773" spans="39:45">
      <c r="AM14773" s="55">
        <v>2020</v>
      </c>
      <c r="AN14773" s="55" t="s">
        <v>190</v>
      </c>
      <c r="AO14773" s="55">
        <v>7</v>
      </c>
      <c r="AP14773" s="55">
        <v>11</v>
      </c>
      <c r="AQ14773" s="55">
        <v>16778.5</v>
      </c>
      <c r="AR14773" s="55">
        <v>28500</v>
      </c>
      <c r="AS14773" s="78">
        <f t="shared" si="234"/>
        <v>0.58871929824561409</v>
      </c>
    </row>
    <row r="14774" spans="39:45">
      <c r="AM14774" s="54">
        <v>2020</v>
      </c>
      <c r="AN14774" s="54" t="s">
        <v>190</v>
      </c>
      <c r="AO14774" s="54">
        <v>7</v>
      </c>
      <c r="AP14774" s="54">
        <v>12</v>
      </c>
      <c r="AQ14774" s="54">
        <v>11146.5</v>
      </c>
      <c r="AR14774" s="55">
        <v>28500</v>
      </c>
      <c r="AS14774" s="78">
        <f t="shared" si="234"/>
        <v>0.39110526315789473</v>
      </c>
    </row>
    <row r="14775" spans="39:45">
      <c r="AM14775" s="55">
        <v>2020</v>
      </c>
      <c r="AN14775" s="55" t="s">
        <v>190</v>
      </c>
      <c r="AO14775" s="55">
        <v>7</v>
      </c>
      <c r="AP14775" s="55">
        <v>13</v>
      </c>
      <c r="AQ14775" s="55">
        <v>8102</v>
      </c>
      <c r="AR14775" s="55">
        <v>28500</v>
      </c>
      <c r="AS14775" s="78">
        <f t="shared" si="234"/>
        <v>0.28428070175438597</v>
      </c>
    </row>
    <row r="14776" spans="39:45">
      <c r="AM14776" s="54">
        <v>2020</v>
      </c>
      <c r="AN14776" s="54" t="s">
        <v>190</v>
      </c>
      <c r="AO14776" s="54">
        <v>7</v>
      </c>
      <c r="AP14776" s="54">
        <v>14</v>
      </c>
      <c r="AQ14776" s="54">
        <v>11753.5</v>
      </c>
      <c r="AR14776" s="55">
        <v>28500</v>
      </c>
      <c r="AS14776" s="78">
        <f t="shared" si="234"/>
        <v>0.41240350877192983</v>
      </c>
    </row>
    <row r="14777" spans="39:45">
      <c r="AM14777" s="55">
        <v>2020</v>
      </c>
      <c r="AN14777" s="55" t="s">
        <v>190</v>
      </c>
      <c r="AO14777" s="55">
        <v>7</v>
      </c>
      <c r="AP14777" s="55">
        <v>15</v>
      </c>
      <c r="AQ14777" s="55">
        <v>14644</v>
      </c>
      <c r="AR14777" s="55">
        <v>28500</v>
      </c>
      <c r="AS14777" s="78">
        <f t="shared" si="234"/>
        <v>0.51382456140350874</v>
      </c>
    </row>
    <row r="14778" spans="39:45">
      <c r="AM14778" s="54">
        <v>2020</v>
      </c>
      <c r="AN14778" s="54" t="s">
        <v>190</v>
      </c>
      <c r="AO14778" s="54">
        <v>7</v>
      </c>
      <c r="AP14778" s="54">
        <v>16</v>
      </c>
      <c r="AQ14778" s="54">
        <v>6575.5</v>
      </c>
      <c r="AR14778" s="55">
        <v>28500</v>
      </c>
      <c r="AS14778" s="78">
        <f t="shared" si="234"/>
        <v>0.23071929824561405</v>
      </c>
    </row>
    <row r="14779" spans="39:45">
      <c r="AM14779" s="55">
        <v>2020</v>
      </c>
      <c r="AN14779" s="55" t="s">
        <v>190</v>
      </c>
      <c r="AO14779" s="55">
        <v>7</v>
      </c>
      <c r="AP14779" s="55">
        <v>17</v>
      </c>
      <c r="AQ14779" s="55">
        <v>4442.5</v>
      </c>
      <c r="AR14779" s="55">
        <v>28500</v>
      </c>
      <c r="AS14779" s="78">
        <f t="shared" si="234"/>
        <v>0.15587719298245614</v>
      </c>
    </row>
    <row r="14780" spans="39:45">
      <c r="AM14780" s="54">
        <v>2020</v>
      </c>
      <c r="AN14780" s="54" t="s">
        <v>190</v>
      </c>
      <c r="AO14780" s="54">
        <v>7</v>
      </c>
      <c r="AP14780" s="54">
        <v>18</v>
      </c>
      <c r="AQ14780" s="54">
        <v>0</v>
      </c>
      <c r="AR14780" s="55">
        <v>28500</v>
      </c>
      <c r="AS14780" s="78">
        <f t="shared" si="234"/>
        <v>0</v>
      </c>
    </row>
    <row r="14781" spans="39:45">
      <c r="AM14781" s="55">
        <v>2020</v>
      </c>
      <c r="AN14781" s="55" t="s">
        <v>190</v>
      </c>
      <c r="AO14781" s="55">
        <v>7</v>
      </c>
      <c r="AP14781" s="55">
        <v>19</v>
      </c>
      <c r="AQ14781" s="55">
        <v>0</v>
      </c>
      <c r="AR14781" s="55">
        <v>28500</v>
      </c>
      <c r="AS14781" s="78">
        <f t="shared" si="234"/>
        <v>0</v>
      </c>
    </row>
    <row r="14782" spans="39:45">
      <c r="AM14782" s="54">
        <v>2020</v>
      </c>
      <c r="AN14782" s="54" t="s">
        <v>190</v>
      </c>
      <c r="AO14782" s="54">
        <v>7</v>
      </c>
      <c r="AP14782" s="54">
        <v>20</v>
      </c>
      <c r="AQ14782" s="54">
        <v>0</v>
      </c>
      <c r="AR14782" s="55">
        <v>28500</v>
      </c>
      <c r="AS14782" s="78">
        <f t="shared" si="234"/>
        <v>0</v>
      </c>
    </row>
    <row r="14783" spans="39:45">
      <c r="AM14783" s="55">
        <v>2020</v>
      </c>
      <c r="AN14783" s="55" t="s">
        <v>190</v>
      </c>
      <c r="AO14783" s="55">
        <v>7</v>
      </c>
      <c r="AP14783" s="55">
        <v>21</v>
      </c>
      <c r="AQ14783" s="55">
        <v>0</v>
      </c>
      <c r="AR14783" s="55">
        <v>28500</v>
      </c>
      <c r="AS14783" s="78">
        <f t="shared" si="234"/>
        <v>0</v>
      </c>
    </row>
    <row r="14784" spans="39:45">
      <c r="AM14784" s="54">
        <v>2020</v>
      </c>
      <c r="AN14784" s="54" t="s">
        <v>190</v>
      </c>
      <c r="AO14784" s="54">
        <v>7</v>
      </c>
      <c r="AP14784" s="54">
        <v>22</v>
      </c>
      <c r="AQ14784" s="54">
        <v>0</v>
      </c>
      <c r="AR14784" s="55">
        <v>28500</v>
      </c>
      <c r="AS14784" s="78">
        <f t="shared" si="234"/>
        <v>0</v>
      </c>
    </row>
    <row r="14785" spans="39:45">
      <c r="AM14785" s="55">
        <v>2020</v>
      </c>
      <c r="AN14785" s="55" t="s">
        <v>190</v>
      </c>
      <c r="AO14785" s="55">
        <v>7</v>
      </c>
      <c r="AP14785" s="55">
        <v>23</v>
      </c>
      <c r="AQ14785" s="55">
        <v>0</v>
      </c>
      <c r="AR14785" s="55">
        <v>28500</v>
      </c>
      <c r="AS14785" s="78">
        <f t="shared" si="234"/>
        <v>0</v>
      </c>
    </row>
    <row r="14786" spans="39:45">
      <c r="AM14786" s="54">
        <v>2020</v>
      </c>
      <c r="AN14786" s="54" t="s">
        <v>190</v>
      </c>
      <c r="AO14786" s="54">
        <v>8</v>
      </c>
      <c r="AP14786" s="54">
        <v>24</v>
      </c>
      <c r="AQ14786" s="54">
        <v>0</v>
      </c>
      <c r="AR14786" s="55">
        <v>28500</v>
      </c>
      <c r="AS14786" s="78">
        <f t="shared" ref="AS14786:AS14849" si="235">AQ14786/AR14786</f>
        <v>0</v>
      </c>
    </row>
    <row r="14787" spans="39:45">
      <c r="AM14787" s="55">
        <v>2020</v>
      </c>
      <c r="AN14787" s="55" t="s">
        <v>190</v>
      </c>
      <c r="AO14787" s="55">
        <v>8</v>
      </c>
      <c r="AP14787" s="55">
        <v>1</v>
      </c>
      <c r="AQ14787" s="55">
        <v>0</v>
      </c>
      <c r="AR14787" s="55">
        <v>28500</v>
      </c>
      <c r="AS14787" s="78">
        <f t="shared" si="235"/>
        <v>0</v>
      </c>
    </row>
    <row r="14788" spans="39:45">
      <c r="AM14788" s="54">
        <v>2020</v>
      </c>
      <c r="AN14788" s="54" t="s">
        <v>190</v>
      </c>
      <c r="AO14788" s="54">
        <v>8</v>
      </c>
      <c r="AP14788" s="54">
        <v>2</v>
      </c>
      <c r="AQ14788" s="54">
        <v>0</v>
      </c>
      <c r="AR14788" s="55">
        <v>28500</v>
      </c>
      <c r="AS14788" s="78">
        <f t="shared" si="235"/>
        <v>0</v>
      </c>
    </row>
    <row r="14789" spans="39:45">
      <c r="AM14789" s="55">
        <v>2020</v>
      </c>
      <c r="AN14789" s="55" t="s">
        <v>190</v>
      </c>
      <c r="AO14789" s="55">
        <v>8</v>
      </c>
      <c r="AP14789" s="55">
        <v>3</v>
      </c>
      <c r="AQ14789" s="55">
        <v>0</v>
      </c>
      <c r="AR14789" s="55">
        <v>28500</v>
      </c>
      <c r="AS14789" s="78">
        <f t="shared" si="235"/>
        <v>0</v>
      </c>
    </row>
    <row r="14790" spans="39:45">
      <c r="AM14790" s="54">
        <v>2020</v>
      </c>
      <c r="AN14790" s="54" t="s">
        <v>190</v>
      </c>
      <c r="AO14790" s="54">
        <v>8</v>
      </c>
      <c r="AP14790" s="54">
        <v>4</v>
      </c>
      <c r="AQ14790" s="54">
        <v>0</v>
      </c>
      <c r="AR14790" s="55">
        <v>28500</v>
      </c>
      <c r="AS14790" s="78">
        <f t="shared" si="235"/>
        <v>0</v>
      </c>
    </row>
    <row r="14791" spans="39:45">
      <c r="AM14791" s="55">
        <v>2020</v>
      </c>
      <c r="AN14791" s="55" t="s">
        <v>190</v>
      </c>
      <c r="AO14791" s="55">
        <v>8</v>
      </c>
      <c r="AP14791" s="55">
        <v>5</v>
      </c>
      <c r="AQ14791" s="55">
        <v>0</v>
      </c>
      <c r="AR14791" s="55">
        <v>28500</v>
      </c>
      <c r="AS14791" s="78">
        <f t="shared" si="235"/>
        <v>0</v>
      </c>
    </row>
    <row r="14792" spans="39:45">
      <c r="AM14792" s="54">
        <v>2020</v>
      </c>
      <c r="AN14792" s="54" t="s">
        <v>190</v>
      </c>
      <c r="AO14792" s="54">
        <v>8</v>
      </c>
      <c r="AP14792" s="54">
        <v>6</v>
      </c>
      <c r="AQ14792" s="54">
        <v>852.5</v>
      </c>
      <c r="AR14792" s="55">
        <v>28500</v>
      </c>
      <c r="AS14792" s="78">
        <f t="shared" si="235"/>
        <v>2.9912280701754387E-2</v>
      </c>
    </row>
    <row r="14793" spans="39:45">
      <c r="AM14793" s="55">
        <v>2020</v>
      </c>
      <c r="AN14793" s="55" t="s">
        <v>190</v>
      </c>
      <c r="AO14793" s="55">
        <v>8</v>
      </c>
      <c r="AP14793" s="55">
        <v>7</v>
      </c>
      <c r="AQ14793" s="55">
        <v>2709.5</v>
      </c>
      <c r="AR14793" s="55">
        <v>28500</v>
      </c>
      <c r="AS14793" s="78">
        <f t="shared" si="235"/>
        <v>9.5070175438596485E-2</v>
      </c>
    </row>
    <row r="14794" spans="39:45">
      <c r="AM14794" s="54">
        <v>2020</v>
      </c>
      <c r="AN14794" s="54" t="s">
        <v>190</v>
      </c>
      <c r="AO14794" s="54">
        <v>8</v>
      </c>
      <c r="AP14794" s="54">
        <v>8</v>
      </c>
      <c r="AQ14794" s="54">
        <v>7957</v>
      </c>
      <c r="AR14794" s="55">
        <v>28500</v>
      </c>
      <c r="AS14794" s="78">
        <f t="shared" si="235"/>
        <v>0.27919298245614033</v>
      </c>
    </row>
    <row r="14795" spans="39:45">
      <c r="AM14795" s="55">
        <v>2020</v>
      </c>
      <c r="AN14795" s="55" t="s">
        <v>190</v>
      </c>
      <c r="AO14795" s="55">
        <v>8</v>
      </c>
      <c r="AP14795" s="55">
        <v>9</v>
      </c>
      <c r="AQ14795" s="55">
        <v>9871.5</v>
      </c>
      <c r="AR14795" s="55">
        <v>28500</v>
      </c>
      <c r="AS14795" s="78">
        <f t="shared" si="235"/>
        <v>0.3463684210526316</v>
      </c>
    </row>
    <row r="14796" spans="39:45">
      <c r="AM14796" s="54">
        <v>2020</v>
      </c>
      <c r="AN14796" s="54" t="s">
        <v>190</v>
      </c>
      <c r="AO14796" s="54">
        <v>8</v>
      </c>
      <c r="AP14796" s="54">
        <v>10</v>
      </c>
      <c r="AQ14796" s="54">
        <v>11387</v>
      </c>
      <c r="AR14796" s="55">
        <v>28500</v>
      </c>
      <c r="AS14796" s="78">
        <f t="shared" si="235"/>
        <v>0.39954385964912281</v>
      </c>
    </row>
    <row r="14797" spans="39:45">
      <c r="AM14797" s="55">
        <v>2020</v>
      </c>
      <c r="AN14797" s="55" t="s">
        <v>190</v>
      </c>
      <c r="AO14797" s="55">
        <v>8</v>
      </c>
      <c r="AP14797" s="55">
        <v>11</v>
      </c>
      <c r="AQ14797" s="55">
        <v>23565.5</v>
      </c>
      <c r="AR14797" s="55">
        <v>28500</v>
      </c>
      <c r="AS14797" s="78">
        <f t="shared" si="235"/>
        <v>0.82685964912280707</v>
      </c>
    </row>
    <row r="14798" spans="39:45">
      <c r="AM14798" s="54">
        <v>2020</v>
      </c>
      <c r="AN14798" s="54" t="s">
        <v>190</v>
      </c>
      <c r="AO14798" s="54">
        <v>8</v>
      </c>
      <c r="AP14798" s="54">
        <v>12</v>
      </c>
      <c r="AQ14798" s="54">
        <v>21045</v>
      </c>
      <c r="AR14798" s="55">
        <v>28500</v>
      </c>
      <c r="AS14798" s="78">
        <f t="shared" si="235"/>
        <v>0.73842105263157898</v>
      </c>
    </row>
    <row r="14799" spans="39:45">
      <c r="AM14799" s="55">
        <v>2020</v>
      </c>
      <c r="AN14799" s="55" t="s">
        <v>190</v>
      </c>
      <c r="AO14799" s="55">
        <v>8</v>
      </c>
      <c r="AP14799" s="55">
        <v>13</v>
      </c>
      <c r="AQ14799" s="55">
        <v>23651</v>
      </c>
      <c r="AR14799" s="55">
        <v>28500</v>
      </c>
      <c r="AS14799" s="78">
        <f t="shared" si="235"/>
        <v>0.82985964912280696</v>
      </c>
    </row>
    <row r="14800" spans="39:45">
      <c r="AM14800" s="54">
        <v>2020</v>
      </c>
      <c r="AN14800" s="54" t="s">
        <v>190</v>
      </c>
      <c r="AO14800" s="54">
        <v>8</v>
      </c>
      <c r="AP14800" s="54">
        <v>14</v>
      </c>
      <c r="AQ14800" s="54">
        <v>12289.5</v>
      </c>
      <c r="AR14800" s="55">
        <v>28500</v>
      </c>
      <c r="AS14800" s="78">
        <f t="shared" si="235"/>
        <v>0.43121052631578949</v>
      </c>
    </row>
    <row r="14801" spans="39:45">
      <c r="AM14801" s="55">
        <v>2020</v>
      </c>
      <c r="AN14801" s="55" t="s">
        <v>190</v>
      </c>
      <c r="AO14801" s="55">
        <v>8</v>
      </c>
      <c r="AP14801" s="55">
        <v>15</v>
      </c>
      <c r="AQ14801" s="55">
        <v>13496</v>
      </c>
      <c r="AR14801" s="55">
        <v>28500</v>
      </c>
      <c r="AS14801" s="78">
        <f t="shared" si="235"/>
        <v>0.47354385964912282</v>
      </c>
    </row>
    <row r="14802" spans="39:45">
      <c r="AM14802" s="54">
        <v>2020</v>
      </c>
      <c r="AN14802" s="54" t="s">
        <v>190</v>
      </c>
      <c r="AO14802" s="54">
        <v>8</v>
      </c>
      <c r="AP14802" s="54">
        <v>16</v>
      </c>
      <c r="AQ14802" s="54">
        <v>7234.5</v>
      </c>
      <c r="AR14802" s="55">
        <v>28500</v>
      </c>
      <c r="AS14802" s="78">
        <f t="shared" si="235"/>
        <v>0.25384210526315787</v>
      </c>
    </row>
    <row r="14803" spans="39:45">
      <c r="AM14803" s="55">
        <v>2020</v>
      </c>
      <c r="AN14803" s="55" t="s">
        <v>190</v>
      </c>
      <c r="AO14803" s="55">
        <v>8</v>
      </c>
      <c r="AP14803" s="55">
        <v>17</v>
      </c>
      <c r="AQ14803" s="55">
        <v>2111</v>
      </c>
      <c r="AR14803" s="55">
        <v>28500</v>
      </c>
      <c r="AS14803" s="78">
        <f t="shared" si="235"/>
        <v>7.4070175438596494E-2</v>
      </c>
    </row>
    <row r="14804" spans="39:45">
      <c r="AM14804" s="54">
        <v>2020</v>
      </c>
      <c r="AN14804" s="54" t="s">
        <v>190</v>
      </c>
      <c r="AO14804" s="54">
        <v>8</v>
      </c>
      <c r="AP14804" s="54">
        <v>18</v>
      </c>
      <c r="AQ14804" s="54">
        <v>0</v>
      </c>
      <c r="AR14804" s="55">
        <v>28500</v>
      </c>
      <c r="AS14804" s="78">
        <f t="shared" si="235"/>
        <v>0</v>
      </c>
    </row>
    <row r="14805" spans="39:45">
      <c r="AM14805" s="55">
        <v>2020</v>
      </c>
      <c r="AN14805" s="55" t="s">
        <v>190</v>
      </c>
      <c r="AO14805" s="55">
        <v>8</v>
      </c>
      <c r="AP14805" s="55">
        <v>19</v>
      </c>
      <c r="AQ14805" s="55">
        <v>0</v>
      </c>
      <c r="AR14805" s="55">
        <v>28500</v>
      </c>
      <c r="AS14805" s="78">
        <f t="shared" si="235"/>
        <v>0</v>
      </c>
    </row>
    <row r="14806" spans="39:45">
      <c r="AM14806" s="54">
        <v>2020</v>
      </c>
      <c r="AN14806" s="54" t="s">
        <v>190</v>
      </c>
      <c r="AO14806" s="54">
        <v>8</v>
      </c>
      <c r="AP14806" s="54">
        <v>20</v>
      </c>
      <c r="AQ14806" s="54">
        <v>0</v>
      </c>
      <c r="AR14806" s="55">
        <v>28500</v>
      </c>
      <c r="AS14806" s="78">
        <f t="shared" si="235"/>
        <v>0</v>
      </c>
    </row>
    <row r="14807" spans="39:45">
      <c r="AM14807" s="55">
        <v>2020</v>
      </c>
      <c r="AN14807" s="55" t="s">
        <v>190</v>
      </c>
      <c r="AO14807" s="55">
        <v>8</v>
      </c>
      <c r="AP14807" s="55">
        <v>21</v>
      </c>
      <c r="AQ14807" s="55">
        <v>0</v>
      </c>
      <c r="AR14807" s="55">
        <v>28500</v>
      </c>
      <c r="AS14807" s="78">
        <f t="shared" si="235"/>
        <v>0</v>
      </c>
    </row>
    <row r="14808" spans="39:45">
      <c r="AM14808" s="54">
        <v>2020</v>
      </c>
      <c r="AN14808" s="54" t="s">
        <v>190</v>
      </c>
      <c r="AO14808" s="54">
        <v>8</v>
      </c>
      <c r="AP14808" s="54">
        <v>22</v>
      </c>
      <c r="AQ14808" s="54">
        <v>0</v>
      </c>
      <c r="AR14808" s="55">
        <v>28500</v>
      </c>
      <c r="AS14808" s="78">
        <f t="shared" si="235"/>
        <v>0</v>
      </c>
    </row>
    <row r="14809" spans="39:45">
      <c r="AM14809" s="55">
        <v>2020</v>
      </c>
      <c r="AN14809" s="55" t="s">
        <v>190</v>
      </c>
      <c r="AO14809" s="55">
        <v>8</v>
      </c>
      <c r="AP14809" s="55">
        <v>23</v>
      </c>
      <c r="AQ14809" s="55">
        <v>0</v>
      </c>
      <c r="AR14809" s="55">
        <v>28500</v>
      </c>
      <c r="AS14809" s="78">
        <f t="shared" si="235"/>
        <v>0</v>
      </c>
    </row>
    <row r="14810" spans="39:45">
      <c r="AM14810" s="54">
        <v>2020</v>
      </c>
      <c r="AN14810" s="54" t="s">
        <v>190</v>
      </c>
      <c r="AO14810" s="54">
        <v>9</v>
      </c>
      <c r="AP14810" s="54">
        <v>24</v>
      </c>
      <c r="AQ14810" s="54">
        <v>0</v>
      </c>
      <c r="AR14810" s="55">
        <v>28500</v>
      </c>
      <c r="AS14810" s="78">
        <f t="shared" si="235"/>
        <v>0</v>
      </c>
    </row>
    <row r="14811" spans="39:45">
      <c r="AM14811" s="55">
        <v>2020</v>
      </c>
      <c r="AN14811" s="55" t="s">
        <v>190</v>
      </c>
      <c r="AO14811" s="55">
        <v>9</v>
      </c>
      <c r="AP14811" s="55">
        <v>1</v>
      </c>
      <c r="AQ14811" s="55">
        <v>0</v>
      </c>
      <c r="AR14811" s="55">
        <v>28500</v>
      </c>
      <c r="AS14811" s="78">
        <f t="shared" si="235"/>
        <v>0</v>
      </c>
    </row>
    <row r="14812" spans="39:45">
      <c r="AM14812" s="54">
        <v>2020</v>
      </c>
      <c r="AN14812" s="54" t="s">
        <v>190</v>
      </c>
      <c r="AO14812" s="54">
        <v>9</v>
      </c>
      <c r="AP14812" s="54">
        <v>2</v>
      </c>
      <c r="AQ14812" s="54">
        <v>0</v>
      </c>
      <c r="AR14812" s="55">
        <v>28500</v>
      </c>
      <c r="AS14812" s="78">
        <f t="shared" si="235"/>
        <v>0</v>
      </c>
    </row>
    <row r="14813" spans="39:45">
      <c r="AM14813" s="55">
        <v>2020</v>
      </c>
      <c r="AN14813" s="55" t="s">
        <v>190</v>
      </c>
      <c r="AO14813" s="55">
        <v>9</v>
      </c>
      <c r="AP14813" s="55">
        <v>3</v>
      </c>
      <c r="AQ14813" s="55">
        <v>0</v>
      </c>
      <c r="AR14813" s="55">
        <v>28500</v>
      </c>
      <c r="AS14813" s="78">
        <f t="shared" si="235"/>
        <v>0</v>
      </c>
    </row>
    <row r="14814" spans="39:45">
      <c r="AM14814" s="54">
        <v>2020</v>
      </c>
      <c r="AN14814" s="54" t="s">
        <v>190</v>
      </c>
      <c r="AO14814" s="54">
        <v>9</v>
      </c>
      <c r="AP14814" s="54">
        <v>4</v>
      </c>
      <c r="AQ14814" s="54">
        <v>0</v>
      </c>
      <c r="AR14814" s="55">
        <v>28500</v>
      </c>
      <c r="AS14814" s="78">
        <f t="shared" si="235"/>
        <v>0</v>
      </c>
    </row>
    <row r="14815" spans="39:45">
      <c r="AM14815" s="55">
        <v>2020</v>
      </c>
      <c r="AN14815" s="55" t="s">
        <v>190</v>
      </c>
      <c r="AO14815" s="55">
        <v>9</v>
      </c>
      <c r="AP14815" s="55">
        <v>5</v>
      </c>
      <c r="AQ14815" s="55">
        <v>0</v>
      </c>
      <c r="AR14815" s="55">
        <v>28500</v>
      </c>
      <c r="AS14815" s="78">
        <f t="shared" si="235"/>
        <v>0</v>
      </c>
    </row>
    <row r="14816" spans="39:45">
      <c r="AM14816" s="54">
        <v>2020</v>
      </c>
      <c r="AN14816" s="54" t="s">
        <v>190</v>
      </c>
      <c r="AO14816" s="54">
        <v>9</v>
      </c>
      <c r="AP14816" s="54">
        <v>6</v>
      </c>
      <c r="AQ14816" s="54">
        <v>1151.5</v>
      </c>
      <c r="AR14816" s="55">
        <v>28500</v>
      </c>
      <c r="AS14816" s="78">
        <f t="shared" si="235"/>
        <v>4.0403508771929823E-2</v>
      </c>
    </row>
    <row r="14817" spans="39:45">
      <c r="AM14817" s="55">
        <v>2020</v>
      </c>
      <c r="AN14817" s="55" t="s">
        <v>190</v>
      </c>
      <c r="AO14817" s="55">
        <v>9</v>
      </c>
      <c r="AP14817" s="55">
        <v>7</v>
      </c>
      <c r="AQ14817" s="55">
        <v>8193.5</v>
      </c>
      <c r="AR14817" s="55">
        <v>28500</v>
      </c>
      <c r="AS14817" s="78">
        <f t="shared" si="235"/>
        <v>0.28749122807017546</v>
      </c>
    </row>
    <row r="14818" spans="39:45">
      <c r="AM14818" s="54">
        <v>2020</v>
      </c>
      <c r="AN14818" s="54" t="s">
        <v>190</v>
      </c>
      <c r="AO14818" s="54">
        <v>9</v>
      </c>
      <c r="AP14818" s="54">
        <v>8</v>
      </c>
      <c r="AQ14818" s="54">
        <v>16655</v>
      </c>
      <c r="AR14818" s="55">
        <v>28500</v>
      </c>
      <c r="AS14818" s="78">
        <f t="shared" si="235"/>
        <v>0.58438596491228068</v>
      </c>
    </row>
    <row r="14819" spans="39:45">
      <c r="AM14819" s="55">
        <v>2020</v>
      </c>
      <c r="AN14819" s="55" t="s">
        <v>190</v>
      </c>
      <c r="AO14819" s="55">
        <v>9</v>
      </c>
      <c r="AP14819" s="55">
        <v>9</v>
      </c>
      <c r="AQ14819" s="55">
        <v>15217</v>
      </c>
      <c r="AR14819" s="55">
        <v>28500</v>
      </c>
      <c r="AS14819" s="78">
        <f t="shared" si="235"/>
        <v>0.53392982456140348</v>
      </c>
    </row>
    <row r="14820" spans="39:45">
      <c r="AM14820" s="54">
        <v>2020</v>
      </c>
      <c r="AN14820" s="54" t="s">
        <v>190</v>
      </c>
      <c r="AO14820" s="54">
        <v>9</v>
      </c>
      <c r="AP14820" s="54">
        <v>10</v>
      </c>
      <c r="AQ14820" s="54">
        <v>23231.5</v>
      </c>
      <c r="AR14820" s="55">
        <v>28500</v>
      </c>
      <c r="AS14820" s="78">
        <f t="shared" si="235"/>
        <v>0.81514035087719294</v>
      </c>
    </row>
    <row r="14821" spans="39:45">
      <c r="AM14821" s="55">
        <v>2020</v>
      </c>
      <c r="AN14821" s="55" t="s">
        <v>190</v>
      </c>
      <c r="AO14821" s="55">
        <v>9</v>
      </c>
      <c r="AP14821" s="55">
        <v>11</v>
      </c>
      <c r="AQ14821" s="55">
        <v>17086</v>
      </c>
      <c r="AR14821" s="55">
        <v>28500</v>
      </c>
      <c r="AS14821" s="78">
        <f t="shared" si="235"/>
        <v>0.59950877192982455</v>
      </c>
    </row>
    <row r="14822" spans="39:45">
      <c r="AM14822" s="54">
        <v>2020</v>
      </c>
      <c r="AN14822" s="54" t="s">
        <v>190</v>
      </c>
      <c r="AO14822" s="54">
        <v>9</v>
      </c>
      <c r="AP14822" s="54">
        <v>12</v>
      </c>
      <c r="AQ14822" s="54">
        <v>6136.5</v>
      </c>
      <c r="AR14822" s="55">
        <v>28500</v>
      </c>
      <c r="AS14822" s="78">
        <f t="shared" si="235"/>
        <v>0.21531578947368421</v>
      </c>
    </row>
    <row r="14823" spans="39:45">
      <c r="AM14823" s="55">
        <v>2020</v>
      </c>
      <c r="AN14823" s="55" t="s">
        <v>190</v>
      </c>
      <c r="AO14823" s="55">
        <v>9</v>
      </c>
      <c r="AP14823" s="55">
        <v>13</v>
      </c>
      <c r="AQ14823" s="55">
        <v>11298.5</v>
      </c>
      <c r="AR14823" s="55">
        <v>28500</v>
      </c>
      <c r="AS14823" s="78">
        <f t="shared" si="235"/>
        <v>0.39643859649122809</v>
      </c>
    </row>
    <row r="14824" spans="39:45">
      <c r="AM14824" s="54">
        <v>2020</v>
      </c>
      <c r="AN14824" s="54" t="s">
        <v>190</v>
      </c>
      <c r="AO14824" s="54">
        <v>9</v>
      </c>
      <c r="AP14824" s="54">
        <v>14</v>
      </c>
      <c r="AQ14824" s="54">
        <v>17140</v>
      </c>
      <c r="AR14824" s="55">
        <v>28500</v>
      </c>
      <c r="AS14824" s="78">
        <f t="shared" si="235"/>
        <v>0.60140350877192983</v>
      </c>
    </row>
    <row r="14825" spans="39:45">
      <c r="AM14825" s="55">
        <v>2020</v>
      </c>
      <c r="AN14825" s="55" t="s">
        <v>190</v>
      </c>
      <c r="AO14825" s="55">
        <v>9</v>
      </c>
      <c r="AP14825" s="55">
        <v>15</v>
      </c>
      <c r="AQ14825" s="55">
        <v>7498.5</v>
      </c>
      <c r="AR14825" s="55">
        <v>28500</v>
      </c>
      <c r="AS14825" s="78">
        <f t="shared" si="235"/>
        <v>0.26310526315789473</v>
      </c>
    </row>
    <row r="14826" spans="39:45">
      <c r="AM14826" s="54">
        <v>2020</v>
      </c>
      <c r="AN14826" s="54" t="s">
        <v>190</v>
      </c>
      <c r="AO14826" s="54">
        <v>9</v>
      </c>
      <c r="AP14826" s="54">
        <v>16</v>
      </c>
      <c r="AQ14826" s="54">
        <v>4138.5</v>
      </c>
      <c r="AR14826" s="55">
        <v>28500</v>
      </c>
      <c r="AS14826" s="78">
        <f t="shared" si="235"/>
        <v>0.14521052631578948</v>
      </c>
    </row>
    <row r="14827" spans="39:45">
      <c r="AM14827" s="55">
        <v>2020</v>
      </c>
      <c r="AN14827" s="55" t="s">
        <v>190</v>
      </c>
      <c r="AO14827" s="55">
        <v>9</v>
      </c>
      <c r="AP14827" s="55">
        <v>17</v>
      </c>
      <c r="AQ14827" s="55">
        <v>1640</v>
      </c>
      <c r="AR14827" s="55">
        <v>28500</v>
      </c>
      <c r="AS14827" s="78">
        <f t="shared" si="235"/>
        <v>5.7543859649122807E-2</v>
      </c>
    </row>
    <row r="14828" spans="39:45">
      <c r="AM14828" s="54">
        <v>2020</v>
      </c>
      <c r="AN14828" s="54" t="s">
        <v>190</v>
      </c>
      <c r="AO14828" s="54">
        <v>9</v>
      </c>
      <c r="AP14828" s="54">
        <v>18</v>
      </c>
      <c r="AQ14828" s="54">
        <v>0</v>
      </c>
      <c r="AR14828" s="55">
        <v>28500</v>
      </c>
      <c r="AS14828" s="78">
        <f t="shared" si="235"/>
        <v>0</v>
      </c>
    </row>
    <row r="14829" spans="39:45">
      <c r="AM14829" s="55">
        <v>2020</v>
      </c>
      <c r="AN14829" s="55" t="s">
        <v>190</v>
      </c>
      <c r="AO14829" s="55">
        <v>9</v>
      </c>
      <c r="AP14829" s="55">
        <v>19</v>
      </c>
      <c r="AQ14829" s="55">
        <v>0</v>
      </c>
      <c r="AR14829" s="55">
        <v>28500</v>
      </c>
      <c r="AS14829" s="78">
        <f t="shared" si="235"/>
        <v>0</v>
      </c>
    </row>
    <row r="14830" spans="39:45">
      <c r="AM14830" s="54">
        <v>2020</v>
      </c>
      <c r="AN14830" s="54" t="s">
        <v>190</v>
      </c>
      <c r="AO14830" s="54">
        <v>9</v>
      </c>
      <c r="AP14830" s="54">
        <v>20</v>
      </c>
      <c r="AQ14830" s="54">
        <v>0</v>
      </c>
      <c r="AR14830" s="55">
        <v>28500</v>
      </c>
      <c r="AS14830" s="78">
        <f t="shared" si="235"/>
        <v>0</v>
      </c>
    </row>
    <row r="14831" spans="39:45">
      <c r="AM14831" s="55">
        <v>2020</v>
      </c>
      <c r="AN14831" s="55" t="s">
        <v>190</v>
      </c>
      <c r="AO14831" s="55">
        <v>9</v>
      </c>
      <c r="AP14831" s="55">
        <v>21</v>
      </c>
      <c r="AQ14831" s="55">
        <v>0</v>
      </c>
      <c r="AR14831" s="55">
        <v>28500</v>
      </c>
      <c r="AS14831" s="78">
        <f t="shared" si="235"/>
        <v>0</v>
      </c>
    </row>
    <row r="14832" spans="39:45">
      <c r="AM14832" s="54">
        <v>2020</v>
      </c>
      <c r="AN14832" s="54" t="s">
        <v>190</v>
      </c>
      <c r="AO14832" s="54">
        <v>9</v>
      </c>
      <c r="AP14832" s="54">
        <v>22</v>
      </c>
      <c r="AQ14832" s="54">
        <v>0</v>
      </c>
      <c r="AR14832" s="55">
        <v>28500</v>
      </c>
      <c r="AS14832" s="78">
        <f t="shared" si="235"/>
        <v>0</v>
      </c>
    </row>
    <row r="14833" spans="39:45">
      <c r="AM14833" s="55">
        <v>2020</v>
      </c>
      <c r="AN14833" s="55" t="s">
        <v>190</v>
      </c>
      <c r="AO14833" s="55">
        <v>9</v>
      </c>
      <c r="AP14833" s="55">
        <v>23</v>
      </c>
      <c r="AQ14833" s="55">
        <v>0</v>
      </c>
      <c r="AR14833" s="55">
        <v>28500</v>
      </c>
      <c r="AS14833" s="78">
        <f t="shared" si="235"/>
        <v>0</v>
      </c>
    </row>
    <row r="14834" spans="39:45">
      <c r="AM14834" s="54">
        <v>2020</v>
      </c>
      <c r="AN14834" s="54" t="s">
        <v>190</v>
      </c>
      <c r="AO14834" s="54">
        <v>10</v>
      </c>
      <c r="AP14834" s="54">
        <v>24</v>
      </c>
      <c r="AQ14834" s="54">
        <v>0</v>
      </c>
      <c r="AR14834" s="55">
        <v>28500</v>
      </c>
      <c r="AS14834" s="78">
        <f t="shared" si="235"/>
        <v>0</v>
      </c>
    </row>
    <row r="14835" spans="39:45">
      <c r="AM14835" s="55">
        <v>2020</v>
      </c>
      <c r="AN14835" s="55" t="s">
        <v>190</v>
      </c>
      <c r="AO14835" s="55">
        <v>10</v>
      </c>
      <c r="AP14835" s="55">
        <v>1</v>
      </c>
      <c r="AQ14835" s="55">
        <v>0</v>
      </c>
      <c r="AR14835" s="55">
        <v>28500</v>
      </c>
      <c r="AS14835" s="78">
        <f t="shared" si="235"/>
        <v>0</v>
      </c>
    </row>
    <row r="14836" spans="39:45">
      <c r="AM14836" s="54">
        <v>2020</v>
      </c>
      <c r="AN14836" s="54" t="s">
        <v>190</v>
      </c>
      <c r="AO14836" s="54">
        <v>10</v>
      </c>
      <c r="AP14836" s="54">
        <v>2</v>
      </c>
      <c r="AQ14836" s="54">
        <v>0</v>
      </c>
      <c r="AR14836" s="55">
        <v>28500</v>
      </c>
      <c r="AS14836" s="78">
        <f t="shared" si="235"/>
        <v>0</v>
      </c>
    </row>
    <row r="14837" spans="39:45">
      <c r="AM14837" s="55">
        <v>2020</v>
      </c>
      <c r="AN14837" s="55" t="s">
        <v>190</v>
      </c>
      <c r="AO14837" s="55">
        <v>10</v>
      </c>
      <c r="AP14837" s="55">
        <v>3</v>
      </c>
      <c r="AQ14837" s="55">
        <v>0</v>
      </c>
      <c r="AR14837" s="55">
        <v>28500</v>
      </c>
      <c r="AS14837" s="78">
        <f t="shared" si="235"/>
        <v>0</v>
      </c>
    </row>
    <row r="14838" spans="39:45">
      <c r="AM14838" s="54">
        <v>2020</v>
      </c>
      <c r="AN14838" s="54" t="s">
        <v>190</v>
      </c>
      <c r="AO14838" s="54">
        <v>10</v>
      </c>
      <c r="AP14838" s="54">
        <v>4</v>
      </c>
      <c r="AQ14838" s="54">
        <v>0</v>
      </c>
      <c r="AR14838" s="55">
        <v>28500</v>
      </c>
      <c r="AS14838" s="78">
        <f t="shared" si="235"/>
        <v>0</v>
      </c>
    </row>
    <row r="14839" spans="39:45">
      <c r="AM14839" s="55">
        <v>2020</v>
      </c>
      <c r="AN14839" s="55" t="s">
        <v>190</v>
      </c>
      <c r="AO14839" s="55">
        <v>10</v>
      </c>
      <c r="AP14839" s="55">
        <v>5</v>
      </c>
      <c r="AQ14839" s="55">
        <v>0</v>
      </c>
      <c r="AR14839" s="55">
        <v>28500</v>
      </c>
      <c r="AS14839" s="78">
        <f t="shared" si="235"/>
        <v>0</v>
      </c>
    </row>
    <row r="14840" spans="39:45">
      <c r="AM14840" s="54">
        <v>2020</v>
      </c>
      <c r="AN14840" s="54" t="s">
        <v>190</v>
      </c>
      <c r="AO14840" s="54">
        <v>10</v>
      </c>
      <c r="AP14840" s="54">
        <v>6</v>
      </c>
      <c r="AQ14840" s="54">
        <v>1173.5</v>
      </c>
      <c r="AR14840" s="55">
        <v>28500</v>
      </c>
      <c r="AS14840" s="78">
        <f t="shared" si="235"/>
        <v>4.1175438596491226E-2</v>
      </c>
    </row>
    <row r="14841" spans="39:45">
      <c r="AM14841" s="55">
        <v>2020</v>
      </c>
      <c r="AN14841" s="55" t="s">
        <v>190</v>
      </c>
      <c r="AO14841" s="55">
        <v>10</v>
      </c>
      <c r="AP14841" s="55">
        <v>7</v>
      </c>
      <c r="AQ14841" s="55">
        <v>10008</v>
      </c>
      <c r="AR14841" s="55">
        <v>28500</v>
      </c>
      <c r="AS14841" s="78">
        <f t="shared" si="235"/>
        <v>0.35115789473684211</v>
      </c>
    </row>
    <row r="14842" spans="39:45">
      <c r="AM14842" s="54">
        <v>2020</v>
      </c>
      <c r="AN14842" s="54" t="s">
        <v>190</v>
      </c>
      <c r="AO14842" s="54">
        <v>10</v>
      </c>
      <c r="AP14842" s="54">
        <v>8</v>
      </c>
      <c r="AQ14842" s="54">
        <v>20225</v>
      </c>
      <c r="AR14842" s="55">
        <v>28500</v>
      </c>
      <c r="AS14842" s="78">
        <f t="shared" si="235"/>
        <v>0.70964912280701753</v>
      </c>
    </row>
    <row r="14843" spans="39:45">
      <c r="AM14843" s="55">
        <v>2020</v>
      </c>
      <c r="AN14843" s="55" t="s">
        <v>190</v>
      </c>
      <c r="AO14843" s="55">
        <v>10</v>
      </c>
      <c r="AP14843" s="55">
        <v>9</v>
      </c>
      <c r="AQ14843" s="55">
        <v>28327.5</v>
      </c>
      <c r="AR14843" s="55">
        <v>28500</v>
      </c>
      <c r="AS14843" s="78">
        <f t="shared" si="235"/>
        <v>0.99394736842105258</v>
      </c>
    </row>
    <row r="14844" spans="39:45">
      <c r="AM14844" s="54">
        <v>2020</v>
      </c>
      <c r="AN14844" s="54" t="s">
        <v>190</v>
      </c>
      <c r="AO14844" s="54">
        <v>10</v>
      </c>
      <c r="AP14844" s="54">
        <v>10</v>
      </c>
      <c r="AQ14844" s="54">
        <v>23813.5</v>
      </c>
      <c r="AR14844" s="55">
        <v>28500</v>
      </c>
      <c r="AS14844" s="78">
        <f t="shared" si="235"/>
        <v>0.83556140350877195</v>
      </c>
    </row>
    <row r="14845" spans="39:45">
      <c r="AM14845" s="55">
        <v>2020</v>
      </c>
      <c r="AN14845" s="55" t="s">
        <v>190</v>
      </c>
      <c r="AO14845" s="55">
        <v>10</v>
      </c>
      <c r="AP14845" s="55">
        <v>11</v>
      </c>
      <c r="AQ14845" s="55">
        <v>27205</v>
      </c>
      <c r="AR14845" s="55">
        <v>28500</v>
      </c>
      <c r="AS14845" s="78">
        <f t="shared" si="235"/>
        <v>0.95456140350877194</v>
      </c>
    </row>
    <row r="14846" spans="39:45">
      <c r="AM14846" s="54">
        <v>2020</v>
      </c>
      <c r="AN14846" s="54" t="s">
        <v>190</v>
      </c>
      <c r="AO14846" s="54">
        <v>10</v>
      </c>
      <c r="AP14846" s="54">
        <v>12</v>
      </c>
      <c r="AQ14846" s="54">
        <v>34420.5</v>
      </c>
      <c r="AR14846" s="55">
        <v>28500</v>
      </c>
      <c r="AS14846" s="78">
        <f t="shared" si="235"/>
        <v>1.2077368421052632</v>
      </c>
    </row>
    <row r="14847" spans="39:45">
      <c r="AM14847" s="55">
        <v>2020</v>
      </c>
      <c r="AN14847" s="55" t="s">
        <v>190</v>
      </c>
      <c r="AO14847" s="55">
        <v>10</v>
      </c>
      <c r="AP14847" s="55">
        <v>13</v>
      </c>
      <c r="AQ14847" s="55">
        <v>25310</v>
      </c>
      <c r="AR14847" s="55">
        <v>28500</v>
      </c>
      <c r="AS14847" s="78">
        <f t="shared" si="235"/>
        <v>0.88807017543859645</v>
      </c>
    </row>
    <row r="14848" spans="39:45">
      <c r="AM14848" s="54">
        <v>2020</v>
      </c>
      <c r="AN14848" s="54" t="s">
        <v>190</v>
      </c>
      <c r="AO14848" s="54">
        <v>10</v>
      </c>
      <c r="AP14848" s="54">
        <v>14</v>
      </c>
      <c r="AQ14848" s="54">
        <v>18643.5</v>
      </c>
      <c r="AR14848" s="55">
        <v>28500</v>
      </c>
      <c r="AS14848" s="78">
        <f t="shared" si="235"/>
        <v>0.65415789473684216</v>
      </c>
    </row>
    <row r="14849" spans="39:45">
      <c r="AM14849" s="55">
        <v>2020</v>
      </c>
      <c r="AN14849" s="55" t="s">
        <v>190</v>
      </c>
      <c r="AO14849" s="55">
        <v>10</v>
      </c>
      <c r="AP14849" s="55">
        <v>15</v>
      </c>
      <c r="AQ14849" s="55">
        <v>19070.5</v>
      </c>
      <c r="AR14849" s="55">
        <v>28500</v>
      </c>
      <c r="AS14849" s="78">
        <f t="shared" si="235"/>
        <v>0.66914035087719304</v>
      </c>
    </row>
    <row r="14850" spans="39:45">
      <c r="AM14850" s="54">
        <v>2020</v>
      </c>
      <c r="AN14850" s="54" t="s">
        <v>190</v>
      </c>
      <c r="AO14850" s="54">
        <v>10</v>
      </c>
      <c r="AP14850" s="54">
        <v>16</v>
      </c>
      <c r="AQ14850" s="54">
        <v>9966.5</v>
      </c>
      <c r="AR14850" s="55">
        <v>28500</v>
      </c>
      <c r="AS14850" s="78">
        <f t="shared" ref="AS14850:AS14913" si="236">AQ14850/AR14850</f>
        <v>0.3497017543859649</v>
      </c>
    </row>
    <row r="14851" spans="39:45">
      <c r="AM14851" s="55">
        <v>2020</v>
      </c>
      <c r="AN14851" s="55" t="s">
        <v>190</v>
      </c>
      <c r="AO14851" s="55">
        <v>10</v>
      </c>
      <c r="AP14851" s="55">
        <v>17</v>
      </c>
      <c r="AQ14851" s="55">
        <v>3637.5</v>
      </c>
      <c r="AR14851" s="55">
        <v>28500</v>
      </c>
      <c r="AS14851" s="78">
        <f t="shared" si="236"/>
        <v>0.12763157894736843</v>
      </c>
    </row>
    <row r="14852" spans="39:45">
      <c r="AM14852" s="54">
        <v>2020</v>
      </c>
      <c r="AN14852" s="54" t="s">
        <v>190</v>
      </c>
      <c r="AO14852" s="54">
        <v>10</v>
      </c>
      <c r="AP14852" s="54">
        <v>18</v>
      </c>
      <c r="AQ14852" s="54">
        <v>0</v>
      </c>
      <c r="AR14852" s="55">
        <v>28500</v>
      </c>
      <c r="AS14852" s="78">
        <f t="shared" si="236"/>
        <v>0</v>
      </c>
    </row>
    <row r="14853" spans="39:45">
      <c r="AM14853" s="55">
        <v>2020</v>
      </c>
      <c r="AN14853" s="55" t="s">
        <v>190</v>
      </c>
      <c r="AO14853" s="55">
        <v>10</v>
      </c>
      <c r="AP14853" s="55">
        <v>19</v>
      </c>
      <c r="AQ14853" s="55">
        <v>0</v>
      </c>
      <c r="AR14853" s="55">
        <v>28500</v>
      </c>
      <c r="AS14853" s="78">
        <f t="shared" si="236"/>
        <v>0</v>
      </c>
    </row>
    <row r="14854" spans="39:45">
      <c r="AM14854" s="54">
        <v>2020</v>
      </c>
      <c r="AN14854" s="54" t="s">
        <v>190</v>
      </c>
      <c r="AO14854" s="54">
        <v>10</v>
      </c>
      <c r="AP14854" s="54">
        <v>20</v>
      </c>
      <c r="AQ14854" s="54">
        <v>0</v>
      </c>
      <c r="AR14854" s="55">
        <v>28500</v>
      </c>
      <c r="AS14854" s="78">
        <f t="shared" si="236"/>
        <v>0</v>
      </c>
    </row>
    <row r="14855" spans="39:45">
      <c r="AM14855" s="55">
        <v>2020</v>
      </c>
      <c r="AN14855" s="55" t="s">
        <v>190</v>
      </c>
      <c r="AO14855" s="55">
        <v>10</v>
      </c>
      <c r="AP14855" s="55">
        <v>21</v>
      </c>
      <c r="AQ14855" s="55">
        <v>0</v>
      </c>
      <c r="AR14855" s="55">
        <v>28500</v>
      </c>
      <c r="AS14855" s="78">
        <f t="shared" si="236"/>
        <v>0</v>
      </c>
    </row>
    <row r="14856" spans="39:45">
      <c r="AM14856" s="54">
        <v>2020</v>
      </c>
      <c r="AN14856" s="54" t="s">
        <v>190</v>
      </c>
      <c r="AO14856" s="54">
        <v>10</v>
      </c>
      <c r="AP14856" s="54">
        <v>22</v>
      </c>
      <c r="AQ14856" s="54">
        <v>0</v>
      </c>
      <c r="AR14856" s="55">
        <v>28500</v>
      </c>
      <c r="AS14856" s="78">
        <f t="shared" si="236"/>
        <v>0</v>
      </c>
    </row>
    <row r="14857" spans="39:45">
      <c r="AM14857" s="55">
        <v>2020</v>
      </c>
      <c r="AN14857" s="55" t="s">
        <v>190</v>
      </c>
      <c r="AO14857" s="55">
        <v>10</v>
      </c>
      <c r="AP14857" s="55">
        <v>23</v>
      </c>
      <c r="AQ14857" s="55">
        <v>0</v>
      </c>
      <c r="AR14857" s="55">
        <v>28500</v>
      </c>
      <c r="AS14857" s="78">
        <f t="shared" si="236"/>
        <v>0</v>
      </c>
    </row>
    <row r="14858" spans="39:45">
      <c r="AM14858" s="54">
        <v>2020</v>
      </c>
      <c r="AN14858" s="54" t="s">
        <v>190</v>
      </c>
      <c r="AO14858" s="54">
        <v>11</v>
      </c>
      <c r="AP14858" s="54">
        <v>24</v>
      </c>
      <c r="AQ14858" s="54">
        <v>0</v>
      </c>
      <c r="AR14858" s="55">
        <v>28500</v>
      </c>
      <c r="AS14858" s="78">
        <f t="shared" si="236"/>
        <v>0</v>
      </c>
    </row>
    <row r="14859" spans="39:45">
      <c r="AM14859" s="55">
        <v>2020</v>
      </c>
      <c r="AN14859" s="55" t="s">
        <v>190</v>
      </c>
      <c r="AO14859" s="55">
        <v>11</v>
      </c>
      <c r="AP14859" s="55">
        <v>1</v>
      </c>
      <c r="AQ14859" s="55">
        <v>0</v>
      </c>
      <c r="AR14859" s="55">
        <v>28500</v>
      </c>
      <c r="AS14859" s="78">
        <f t="shared" si="236"/>
        <v>0</v>
      </c>
    </row>
    <row r="14860" spans="39:45">
      <c r="AM14860" s="54">
        <v>2020</v>
      </c>
      <c r="AN14860" s="54" t="s">
        <v>190</v>
      </c>
      <c r="AO14860" s="54">
        <v>11</v>
      </c>
      <c r="AP14860" s="54">
        <v>2</v>
      </c>
      <c r="AQ14860" s="54">
        <v>0</v>
      </c>
      <c r="AR14860" s="55">
        <v>28500</v>
      </c>
      <c r="AS14860" s="78">
        <f t="shared" si="236"/>
        <v>0</v>
      </c>
    </row>
    <row r="14861" spans="39:45">
      <c r="AM14861" s="55">
        <v>2020</v>
      </c>
      <c r="AN14861" s="55" t="s">
        <v>190</v>
      </c>
      <c r="AO14861" s="55">
        <v>11</v>
      </c>
      <c r="AP14861" s="55">
        <v>3</v>
      </c>
      <c r="AQ14861" s="55">
        <v>0</v>
      </c>
      <c r="AR14861" s="55">
        <v>28500</v>
      </c>
      <c r="AS14861" s="78">
        <f t="shared" si="236"/>
        <v>0</v>
      </c>
    </row>
    <row r="14862" spans="39:45">
      <c r="AM14862" s="54">
        <v>2020</v>
      </c>
      <c r="AN14862" s="54" t="s">
        <v>190</v>
      </c>
      <c r="AO14862" s="54">
        <v>11</v>
      </c>
      <c r="AP14862" s="54">
        <v>4</v>
      </c>
      <c r="AQ14862" s="54">
        <v>0</v>
      </c>
      <c r="AR14862" s="55">
        <v>28500</v>
      </c>
      <c r="AS14862" s="78">
        <f t="shared" si="236"/>
        <v>0</v>
      </c>
    </row>
    <row r="14863" spans="39:45">
      <c r="AM14863" s="55">
        <v>2020</v>
      </c>
      <c r="AN14863" s="55" t="s">
        <v>190</v>
      </c>
      <c r="AO14863" s="55">
        <v>11</v>
      </c>
      <c r="AP14863" s="55">
        <v>5</v>
      </c>
      <c r="AQ14863" s="55">
        <v>0</v>
      </c>
      <c r="AR14863" s="55">
        <v>28500</v>
      </c>
      <c r="AS14863" s="78">
        <f t="shared" si="236"/>
        <v>0</v>
      </c>
    </row>
    <row r="14864" spans="39:45">
      <c r="AM14864" s="54">
        <v>2020</v>
      </c>
      <c r="AN14864" s="54" t="s">
        <v>190</v>
      </c>
      <c r="AO14864" s="54">
        <v>11</v>
      </c>
      <c r="AP14864" s="54">
        <v>6</v>
      </c>
      <c r="AQ14864" s="54">
        <v>841.5</v>
      </c>
      <c r="AR14864" s="55">
        <v>28500</v>
      </c>
      <c r="AS14864" s="78">
        <f t="shared" si="236"/>
        <v>2.9526315789473685E-2</v>
      </c>
    </row>
    <row r="14865" spans="39:45">
      <c r="AM14865" s="55">
        <v>2020</v>
      </c>
      <c r="AN14865" s="55" t="s">
        <v>190</v>
      </c>
      <c r="AO14865" s="55">
        <v>11</v>
      </c>
      <c r="AP14865" s="55">
        <v>7</v>
      </c>
      <c r="AQ14865" s="55">
        <v>5350</v>
      </c>
      <c r="AR14865" s="55">
        <v>28500</v>
      </c>
      <c r="AS14865" s="78">
        <f t="shared" si="236"/>
        <v>0.18771929824561404</v>
      </c>
    </row>
    <row r="14866" spans="39:45">
      <c r="AM14866" s="54">
        <v>2020</v>
      </c>
      <c r="AN14866" s="54" t="s">
        <v>190</v>
      </c>
      <c r="AO14866" s="54">
        <v>11</v>
      </c>
      <c r="AP14866" s="54">
        <v>8</v>
      </c>
      <c r="AQ14866" s="54">
        <v>11042.5</v>
      </c>
      <c r="AR14866" s="55">
        <v>28500</v>
      </c>
      <c r="AS14866" s="78">
        <f t="shared" si="236"/>
        <v>0.38745614035087722</v>
      </c>
    </row>
    <row r="14867" spans="39:45">
      <c r="AM14867" s="55">
        <v>2020</v>
      </c>
      <c r="AN14867" s="55" t="s">
        <v>190</v>
      </c>
      <c r="AO14867" s="55">
        <v>11</v>
      </c>
      <c r="AP14867" s="55">
        <v>9</v>
      </c>
      <c r="AQ14867" s="55">
        <v>14109.5</v>
      </c>
      <c r="AR14867" s="55">
        <v>28500</v>
      </c>
      <c r="AS14867" s="78">
        <f t="shared" si="236"/>
        <v>0.49507017543859649</v>
      </c>
    </row>
    <row r="14868" spans="39:45">
      <c r="AM14868" s="54">
        <v>2020</v>
      </c>
      <c r="AN14868" s="54" t="s">
        <v>190</v>
      </c>
      <c r="AO14868" s="54">
        <v>11</v>
      </c>
      <c r="AP14868" s="54">
        <v>10</v>
      </c>
      <c r="AQ14868" s="54">
        <v>18761</v>
      </c>
      <c r="AR14868" s="55">
        <v>28500</v>
      </c>
      <c r="AS14868" s="78">
        <f t="shared" si="236"/>
        <v>0.65828070175438591</v>
      </c>
    </row>
    <row r="14869" spans="39:45">
      <c r="AM14869" s="55">
        <v>2020</v>
      </c>
      <c r="AN14869" s="55" t="s">
        <v>190</v>
      </c>
      <c r="AO14869" s="55">
        <v>11</v>
      </c>
      <c r="AP14869" s="55">
        <v>11</v>
      </c>
      <c r="AQ14869" s="55">
        <v>30972</v>
      </c>
      <c r="AR14869" s="55">
        <v>28500</v>
      </c>
      <c r="AS14869" s="78">
        <f t="shared" si="236"/>
        <v>1.0867368421052632</v>
      </c>
    </row>
    <row r="14870" spans="39:45">
      <c r="AM14870" s="54">
        <v>2020</v>
      </c>
      <c r="AN14870" s="54" t="s">
        <v>190</v>
      </c>
      <c r="AO14870" s="54">
        <v>11</v>
      </c>
      <c r="AP14870" s="54">
        <v>12</v>
      </c>
      <c r="AQ14870" s="54">
        <v>38272</v>
      </c>
      <c r="AR14870" s="55">
        <v>28500</v>
      </c>
      <c r="AS14870" s="78">
        <f t="shared" si="236"/>
        <v>1.3428771929824561</v>
      </c>
    </row>
    <row r="14871" spans="39:45">
      <c r="AM14871" s="55">
        <v>2020</v>
      </c>
      <c r="AN14871" s="55" t="s">
        <v>190</v>
      </c>
      <c r="AO14871" s="55">
        <v>11</v>
      </c>
      <c r="AP14871" s="55">
        <v>13</v>
      </c>
      <c r="AQ14871" s="55">
        <v>32317.5</v>
      </c>
      <c r="AR14871" s="55">
        <v>28500</v>
      </c>
      <c r="AS14871" s="78">
        <f t="shared" si="236"/>
        <v>1.1339473684210526</v>
      </c>
    </row>
    <row r="14872" spans="39:45">
      <c r="AM14872" s="54">
        <v>2020</v>
      </c>
      <c r="AN14872" s="54" t="s">
        <v>190</v>
      </c>
      <c r="AO14872" s="54">
        <v>11</v>
      </c>
      <c r="AP14872" s="54">
        <v>14</v>
      </c>
      <c r="AQ14872" s="54">
        <v>30663.5</v>
      </c>
      <c r="AR14872" s="55">
        <v>28500</v>
      </c>
      <c r="AS14872" s="78">
        <f t="shared" si="236"/>
        <v>1.0759122807017545</v>
      </c>
    </row>
    <row r="14873" spans="39:45">
      <c r="AM14873" s="55">
        <v>2020</v>
      </c>
      <c r="AN14873" s="55" t="s">
        <v>190</v>
      </c>
      <c r="AO14873" s="55">
        <v>11</v>
      </c>
      <c r="AP14873" s="55">
        <v>15</v>
      </c>
      <c r="AQ14873" s="55">
        <v>22041</v>
      </c>
      <c r="AR14873" s="55">
        <v>28500</v>
      </c>
      <c r="AS14873" s="78">
        <f t="shared" si="236"/>
        <v>0.77336842105263159</v>
      </c>
    </row>
    <row r="14874" spans="39:45">
      <c r="AM14874" s="54">
        <v>2020</v>
      </c>
      <c r="AN14874" s="54" t="s">
        <v>190</v>
      </c>
      <c r="AO14874" s="54">
        <v>11</v>
      </c>
      <c r="AP14874" s="54">
        <v>16</v>
      </c>
      <c r="AQ14874" s="54">
        <v>13593</v>
      </c>
      <c r="AR14874" s="55">
        <v>28500</v>
      </c>
      <c r="AS14874" s="78">
        <f t="shared" si="236"/>
        <v>0.47694736842105262</v>
      </c>
    </row>
    <row r="14875" spans="39:45">
      <c r="AM14875" s="55">
        <v>2020</v>
      </c>
      <c r="AN14875" s="55" t="s">
        <v>190</v>
      </c>
      <c r="AO14875" s="55">
        <v>11</v>
      </c>
      <c r="AP14875" s="55">
        <v>17</v>
      </c>
      <c r="AQ14875" s="55">
        <v>4014.5</v>
      </c>
      <c r="AR14875" s="55">
        <v>28500</v>
      </c>
      <c r="AS14875" s="78">
        <f t="shared" si="236"/>
        <v>0.14085964912280702</v>
      </c>
    </row>
    <row r="14876" spans="39:45">
      <c r="AM14876" s="54">
        <v>2020</v>
      </c>
      <c r="AN14876" s="54" t="s">
        <v>190</v>
      </c>
      <c r="AO14876" s="54">
        <v>11</v>
      </c>
      <c r="AP14876" s="54">
        <v>18</v>
      </c>
      <c r="AQ14876" s="54">
        <v>0</v>
      </c>
      <c r="AR14876" s="55">
        <v>28500</v>
      </c>
      <c r="AS14876" s="78">
        <f t="shared" si="236"/>
        <v>0</v>
      </c>
    </row>
    <row r="14877" spans="39:45">
      <c r="AM14877" s="55">
        <v>2020</v>
      </c>
      <c r="AN14877" s="55" t="s">
        <v>190</v>
      </c>
      <c r="AO14877" s="55">
        <v>11</v>
      </c>
      <c r="AP14877" s="55">
        <v>19</v>
      </c>
      <c r="AQ14877" s="55">
        <v>0</v>
      </c>
      <c r="AR14877" s="55">
        <v>28500</v>
      </c>
      <c r="AS14877" s="78">
        <f t="shared" si="236"/>
        <v>0</v>
      </c>
    </row>
    <row r="14878" spans="39:45">
      <c r="AM14878" s="54">
        <v>2020</v>
      </c>
      <c r="AN14878" s="54" t="s">
        <v>190</v>
      </c>
      <c r="AO14878" s="54">
        <v>11</v>
      </c>
      <c r="AP14878" s="54">
        <v>20</v>
      </c>
      <c r="AQ14878" s="54">
        <v>0</v>
      </c>
      <c r="AR14878" s="55">
        <v>28500</v>
      </c>
      <c r="AS14878" s="78">
        <f t="shared" si="236"/>
        <v>0</v>
      </c>
    </row>
    <row r="14879" spans="39:45">
      <c r="AM14879" s="55">
        <v>2020</v>
      </c>
      <c r="AN14879" s="55" t="s">
        <v>190</v>
      </c>
      <c r="AO14879" s="55">
        <v>11</v>
      </c>
      <c r="AP14879" s="55">
        <v>21</v>
      </c>
      <c r="AQ14879" s="55">
        <v>0</v>
      </c>
      <c r="AR14879" s="55">
        <v>28500</v>
      </c>
      <c r="AS14879" s="78">
        <f t="shared" si="236"/>
        <v>0</v>
      </c>
    </row>
    <row r="14880" spans="39:45">
      <c r="AM14880" s="54">
        <v>2020</v>
      </c>
      <c r="AN14880" s="54" t="s">
        <v>190</v>
      </c>
      <c r="AO14880" s="54">
        <v>11</v>
      </c>
      <c r="AP14880" s="54">
        <v>22</v>
      </c>
      <c r="AQ14880" s="54">
        <v>0</v>
      </c>
      <c r="AR14880" s="55">
        <v>28500</v>
      </c>
      <c r="AS14880" s="78">
        <f t="shared" si="236"/>
        <v>0</v>
      </c>
    </row>
    <row r="14881" spans="39:45">
      <c r="AM14881" s="55">
        <v>2020</v>
      </c>
      <c r="AN14881" s="55" t="s">
        <v>190</v>
      </c>
      <c r="AO14881" s="55">
        <v>11</v>
      </c>
      <c r="AP14881" s="55">
        <v>23</v>
      </c>
      <c r="AQ14881" s="55">
        <v>0</v>
      </c>
      <c r="AR14881" s="55">
        <v>28500</v>
      </c>
      <c r="AS14881" s="78">
        <f t="shared" si="236"/>
        <v>0</v>
      </c>
    </row>
    <row r="14882" spans="39:45">
      <c r="AM14882" s="54">
        <v>2020</v>
      </c>
      <c r="AN14882" s="54" t="s">
        <v>190</v>
      </c>
      <c r="AO14882" s="54">
        <v>12</v>
      </c>
      <c r="AP14882" s="54">
        <v>24</v>
      </c>
      <c r="AQ14882" s="54">
        <v>0</v>
      </c>
      <c r="AR14882" s="55">
        <v>28500</v>
      </c>
      <c r="AS14882" s="78">
        <f t="shared" si="236"/>
        <v>0</v>
      </c>
    </row>
    <row r="14883" spans="39:45">
      <c r="AM14883" s="55">
        <v>2020</v>
      </c>
      <c r="AN14883" s="55" t="s">
        <v>190</v>
      </c>
      <c r="AO14883" s="55">
        <v>12</v>
      </c>
      <c r="AP14883" s="55">
        <v>1</v>
      </c>
      <c r="AQ14883" s="55">
        <v>0</v>
      </c>
      <c r="AR14883" s="55">
        <v>28500</v>
      </c>
      <c r="AS14883" s="78">
        <f t="shared" si="236"/>
        <v>0</v>
      </c>
    </row>
    <row r="14884" spans="39:45">
      <c r="AM14884" s="54">
        <v>2020</v>
      </c>
      <c r="AN14884" s="54" t="s">
        <v>190</v>
      </c>
      <c r="AO14884" s="54">
        <v>12</v>
      </c>
      <c r="AP14884" s="54">
        <v>2</v>
      </c>
      <c r="AQ14884" s="54">
        <v>0</v>
      </c>
      <c r="AR14884" s="55">
        <v>28500</v>
      </c>
      <c r="AS14884" s="78">
        <f t="shared" si="236"/>
        <v>0</v>
      </c>
    </row>
    <row r="14885" spans="39:45">
      <c r="AM14885" s="55">
        <v>2020</v>
      </c>
      <c r="AN14885" s="55" t="s">
        <v>190</v>
      </c>
      <c r="AO14885" s="55">
        <v>12</v>
      </c>
      <c r="AP14885" s="55">
        <v>3</v>
      </c>
      <c r="AQ14885" s="55">
        <v>0</v>
      </c>
      <c r="AR14885" s="55">
        <v>28500</v>
      </c>
      <c r="AS14885" s="78">
        <f t="shared" si="236"/>
        <v>0</v>
      </c>
    </row>
    <row r="14886" spans="39:45">
      <c r="AM14886" s="54">
        <v>2020</v>
      </c>
      <c r="AN14886" s="54" t="s">
        <v>190</v>
      </c>
      <c r="AO14886" s="54">
        <v>12</v>
      </c>
      <c r="AP14886" s="54">
        <v>4</v>
      </c>
      <c r="AQ14886" s="54">
        <v>0</v>
      </c>
      <c r="AR14886" s="55">
        <v>28500</v>
      </c>
      <c r="AS14886" s="78">
        <f t="shared" si="236"/>
        <v>0</v>
      </c>
    </row>
    <row r="14887" spans="39:45">
      <c r="AM14887" s="55">
        <v>2020</v>
      </c>
      <c r="AN14887" s="55" t="s">
        <v>190</v>
      </c>
      <c r="AO14887" s="55">
        <v>12</v>
      </c>
      <c r="AP14887" s="55">
        <v>5</v>
      </c>
      <c r="AQ14887" s="55">
        <v>0</v>
      </c>
      <c r="AR14887" s="55">
        <v>28500</v>
      </c>
      <c r="AS14887" s="78">
        <f t="shared" si="236"/>
        <v>0</v>
      </c>
    </row>
    <row r="14888" spans="39:45">
      <c r="AM14888" s="54">
        <v>2020</v>
      </c>
      <c r="AN14888" s="54" t="s">
        <v>190</v>
      </c>
      <c r="AO14888" s="54">
        <v>12</v>
      </c>
      <c r="AP14888" s="54">
        <v>6</v>
      </c>
      <c r="AQ14888" s="54">
        <v>937</v>
      </c>
      <c r="AR14888" s="55">
        <v>28500</v>
      </c>
      <c r="AS14888" s="78">
        <f t="shared" si="236"/>
        <v>3.2877192982456144E-2</v>
      </c>
    </row>
    <row r="14889" spans="39:45">
      <c r="AM14889" s="55">
        <v>2020</v>
      </c>
      <c r="AN14889" s="55" t="s">
        <v>190</v>
      </c>
      <c r="AO14889" s="55">
        <v>12</v>
      </c>
      <c r="AP14889" s="55">
        <v>7</v>
      </c>
      <c r="AQ14889" s="55">
        <v>8743</v>
      </c>
      <c r="AR14889" s="55">
        <v>28500</v>
      </c>
      <c r="AS14889" s="78">
        <f t="shared" si="236"/>
        <v>0.30677192982456142</v>
      </c>
    </row>
    <row r="14890" spans="39:45">
      <c r="AM14890" s="54">
        <v>2020</v>
      </c>
      <c r="AN14890" s="54" t="s">
        <v>190</v>
      </c>
      <c r="AO14890" s="54">
        <v>12</v>
      </c>
      <c r="AP14890" s="54">
        <v>8</v>
      </c>
      <c r="AQ14890" s="54">
        <v>19590</v>
      </c>
      <c r="AR14890" s="55">
        <v>28500</v>
      </c>
      <c r="AS14890" s="78">
        <f t="shared" si="236"/>
        <v>0.68736842105263163</v>
      </c>
    </row>
    <row r="14891" spans="39:45">
      <c r="AM14891" s="55">
        <v>2020</v>
      </c>
      <c r="AN14891" s="55" t="s">
        <v>190</v>
      </c>
      <c r="AO14891" s="55">
        <v>12</v>
      </c>
      <c r="AP14891" s="55">
        <v>9</v>
      </c>
      <c r="AQ14891" s="55">
        <v>10411.5</v>
      </c>
      <c r="AR14891" s="55">
        <v>28500</v>
      </c>
      <c r="AS14891" s="78">
        <f t="shared" si="236"/>
        <v>0.3653157894736842</v>
      </c>
    </row>
    <row r="14892" spans="39:45">
      <c r="AM14892" s="54">
        <v>2020</v>
      </c>
      <c r="AN14892" s="54" t="s">
        <v>190</v>
      </c>
      <c r="AO14892" s="54">
        <v>12</v>
      </c>
      <c r="AP14892" s="54">
        <v>10</v>
      </c>
      <c r="AQ14892" s="54">
        <v>15585</v>
      </c>
      <c r="AR14892" s="55">
        <v>28500</v>
      </c>
      <c r="AS14892" s="78">
        <f t="shared" si="236"/>
        <v>0.54684210526315791</v>
      </c>
    </row>
    <row r="14893" spans="39:45">
      <c r="AM14893" s="55">
        <v>2020</v>
      </c>
      <c r="AN14893" s="55" t="s">
        <v>190</v>
      </c>
      <c r="AO14893" s="55">
        <v>12</v>
      </c>
      <c r="AP14893" s="55">
        <v>11</v>
      </c>
      <c r="AQ14893" s="55">
        <v>21313</v>
      </c>
      <c r="AR14893" s="55">
        <v>28500</v>
      </c>
      <c r="AS14893" s="78">
        <f t="shared" si="236"/>
        <v>0.74782456140350873</v>
      </c>
    </row>
    <row r="14894" spans="39:45">
      <c r="AM14894" s="54">
        <v>2020</v>
      </c>
      <c r="AN14894" s="54" t="s">
        <v>190</v>
      </c>
      <c r="AO14894" s="54">
        <v>12</v>
      </c>
      <c r="AP14894" s="54">
        <v>12</v>
      </c>
      <c r="AQ14894" s="54">
        <v>28253.5</v>
      </c>
      <c r="AR14894" s="55">
        <v>28500</v>
      </c>
      <c r="AS14894" s="78">
        <f t="shared" si="236"/>
        <v>0.99135087719298243</v>
      </c>
    </row>
    <row r="14895" spans="39:45">
      <c r="AM14895" s="55">
        <v>2020</v>
      </c>
      <c r="AN14895" s="55" t="s">
        <v>190</v>
      </c>
      <c r="AO14895" s="55">
        <v>12</v>
      </c>
      <c r="AP14895" s="55">
        <v>13</v>
      </c>
      <c r="AQ14895" s="55">
        <v>22700</v>
      </c>
      <c r="AR14895" s="55">
        <v>28500</v>
      </c>
      <c r="AS14895" s="78">
        <f t="shared" si="236"/>
        <v>0.79649122807017547</v>
      </c>
    </row>
    <row r="14896" spans="39:45">
      <c r="AM14896" s="54">
        <v>2020</v>
      </c>
      <c r="AN14896" s="54" t="s">
        <v>190</v>
      </c>
      <c r="AO14896" s="54">
        <v>12</v>
      </c>
      <c r="AP14896" s="54">
        <v>14</v>
      </c>
      <c r="AQ14896" s="54">
        <v>25833.5</v>
      </c>
      <c r="AR14896" s="55">
        <v>28500</v>
      </c>
      <c r="AS14896" s="78">
        <f t="shared" si="236"/>
        <v>0.90643859649122804</v>
      </c>
    </row>
    <row r="14897" spans="39:45">
      <c r="AM14897" s="55">
        <v>2020</v>
      </c>
      <c r="AN14897" s="55" t="s">
        <v>190</v>
      </c>
      <c r="AO14897" s="55">
        <v>12</v>
      </c>
      <c r="AP14897" s="55">
        <v>15</v>
      </c>
      <c r="AQ14897" s="55">
        <v>23390.5</v>
      </c>
      <c r="AR14897" s="55">
        <v>28500</v>
      </c>
      <c r="AS14897" s="78">
        <f t="shared" si="236"/>
        <v>0.82071929824561407</v>
      </c>
    </row>
    <row r="14898" spans="39:45">
      <c r="AM14898" s="54">
        <v>2020</v>
      </c>
      <c r="AN14898" s="54" t="s">
        <v>190</v>
      </c>
      <c r="AO14898" s="54">
        <v>12</v>
      </c>
      <c r="AP14898" s="54">
        <v>16</v>
      </c>
      <c r="AQ14898" s="54">
        <v>12856.5</v>
      </c>
      <c r="AR14898" s="55">
        <v>28500</v>
      </c>
      <c r="AS14898" s="78">
        <f t="shared" si="236"/>
        <v>0.45110526315789473</v>
      </c>
    </row>
    <row r="14899" spans="39:45">
      <c r="AM14899" s="55">
        <v>2020</v>
      </c>
      <c r="AN14899" s="55" t="s">
        <v>190</v>
      </c>
      <c r="AO14899" s="55">
        <v>12</v>
      </c>
      <c r="AP14899" s="55">
        <v>17</v>
      </c>
      <c r="AQ14899" s="55">
        <v>3528</v>
      </c>
      <c r="AR14899" s="55">
        <v>28500</v>
      </c>
      <c r="AS14899" s="78">
        <f t="shared" si="236"/>
        <v>0.12378947368421053</v>
      </c>
    </row>
    <row r="14900" spans="39:45">
      <c r="AM14900" s="54">
        <v>2020</v>
      </c>
      <c r="AN14900" s="54" t="s">
        <v>190</v>
      </c>
      <c r="AO14900" s="54">
        <v>12</v>
      </c>
      <c r="AP14900" s="54">
        <v>18</v>
      </c>
      <c r="AQ14900" s="54">
        <v>0</v>
      </c>
      <c r="AR14900" s="55">
        <v>28500</v>
      </c>
      <c r="AS14900" s="78">
        <f t="shared" si="236"/>
        <v>0</v>
      </c>
    </row>
    <row r="14901" spans="39:45">
      <c r="AM14901" s="55">
        <v>2020</v>
      </c>
      <c r="AN14901" s="55" t="s">
        <v>190</v>
      </c>
      <c r="AO14901" s="55">
        <v>12</v>
      </c>
      <c r="AP14901" s="55">
        <v>19</v>
      </c>
      <c r="AQ14901" s="55">
        <v>0</v>
      </c>
      <c r="AR14901" s="55">
        <v>28500</v>
      </c>
      <c r="AS14901" s="78">
        <f t="shared" si="236"/>
        <v>0</v>
      </c>
    </row>
    <row r="14902" spans="39:45">
      <c r="AM14902" s="54">
        <v>2020</v>
      </c>
      <c r="AN14902" s="54" t="s">
        <v>190</v>
      </c>
      <c r="AO14902" s="54">
        <v>12</v>
      </c>
      <c r="AP14902" s="54">
        <v>20</v>
      </c>
      <c r="AQ14902" s="54">
        <v>0</v>
      </c>
      <c r="AR14902" s="55">
        <v>28500</v>
      </c>
      <c r="AS14902" s="78">
        <f t="shared" si="236"/>
        <v>0</v>
      </c>
    </row>
    <row r="14903" spans="39:45">
      <c r="AM14903" s="55">
        <v>2020</v>
      </c>
      <c r="AN14903" s="55" t="s">
        <v>190</v>
      </c>
      <c r="AO14903" s="55">
        <v>12</v>
      </c>
      <c r="AP14903" s="55">
        <v>21</v>
      </c>
      <c r="AQ14903" s="55">
        <v>0</v>
      </c>
      <c r="AR14903" s="55">
        <v>28500</v>
      </c>
      <c r="AS14903" s="78">
        <f t="shared" si="236"/>
        <v>0</v>
      </c>
    </row>
    <row r="14904" spans="39:45">
      <c r="AM14904" s="54">
        <v>2020</v>
      </c>
      <c r="AN14904" s="54" t="s">
        <v>190</v>
      </c>
      <c r="AO14904" s="54">
        <v>12</v>
      </c>
      <c r="AP14904" s="54">
        <v>22</v>
      </c>
      <c r="AQ14904" s="54">
        <v>0</v>
      </c>
      <c r="AR14904" s="55">
        <v>28500</v>
      </c>
      <c r="AS14904" s="78">
        <f t="shared" si="236"/>
        <v>0</v>
      </c>
    </row>
    <row r="14905" spans="39:45">
      <c r="AM14905" s="55">
        <v>2020</v>
      </c>
      <c r="AN14905" s="55" t="s">
        <v>190</v>
      </c>
      <c r="AO14905" s="55">
        <v>12</v>
      </c>
      <c r="AP14905" s="55">
        <v>23</v>
      </c>
      <c r="AQ14905" s="55">
        <v>0</v>
      </c>
      <c r="AR14905" s="55">
        <v>28500</v>
      </c>
      <c r="AS14905" s="78">
        <f t="shared" si="236"/>
        <v>0</v>
      </c>
    </row>
    <row r="14906" spans="39:45">
      <c r="AM14906" s="54">
        <v>2020</v>
      </c>
      <c r="AN14906" s="54" t="s">
        <v>190</v>
      </c>
      <c r="AO14906" s="54">
        <v>13</v>
      </c>
      <c r="AP14906" s="54">
        <v>24</v>
      </c>
      <c r="AQ14906" s="54">
        <v>0</v>
      </c>
      <c r="AR14906" s="55">
        <v>28500</v>
      </c>
      <c r="AS14906" s="78">
        <f t="shared" si="236"/>
        <v>0</v>
      </c>
    </row>
    <row r="14907" spans="39:45">
      <c r="AM14907" s="55">
        <v>2020</v>
      </c>
      <c r="AN14907" s="55" t="s">
        <v>190</v>
      </c>
      <c r="AO14907" s="55">
        <v>13</v>
      </c>
      <c r="AP14907" s="55">
        <v>1</v>
      </c>
      <c r="AQ14907" s="55">
        <v>0</v>
      </c>
      <c r="AR14907" s="55">
        <v>28500</v>
      </c>
      <c r="AS14907" s="78">
        <f t="shared" si="236"/>
        <v>0</v>
      </c>
    </row>
    <row r="14908" spans="39:45">
      <c r="AM14908" s="54">
        <v>2020</v>
      </c>
      <c r="AN14908" s="54" t="s">
        <v>190</v>
      </c>
      <c r="AO14908" s="54">
        <v>13</v>
      </c>
      <c r="AP14908" s="54">
        <v>2</v>
      </c>
      <c r="AQ14908" s="54">
        <v>0</v>
      </c>
      <c r="AR14908" s="55">
        <v>28500</v>
      </c>
      <c r="AS14908" s="78">
        <f t="shared" si="236"/>
        <v>0</v>
      </c>
    </row>
    <row r="14909" spans="39:45">
      <c r="AM14909" s="55">
        <v>2020</v>
      </c>
      <c r="AN14909" s="55" t="s">
        <v>190</v>
      </c>
      <c r="AO14909" s="55">
        <v>13</v>
      </c>
      <c r="AP14909" s="55">
        <v>3</v>
      </c>
      <c r="AQ14909" s="55">
        <v>0</v>
      </c>
      <c r="AR14909" s="55">
        <v>28500</v>
      </c>
      <c r="AS14909" s="78">
        <f t="shared" si="236"/>
        <v>0</v>
      </c>
    </row>
    <row r="14910" spans="39:45">
      <c r="AM14910" s="54">
        <v>2020</v>
      </c>
      <c r="AN14910" s="54" t="s">
        <v>190</v>
      </c>
      <c r="AO14910" s="54">
        <v>13</v>
      </c>
      <c r="AP14910" s="54">
        <v>4</v>
      </c>
      <c r="AQ14910" s="54">
        <v>0</v>
      </c>
      <c r="AR14910" s="55">
        <v>28500</v>
      </c>
      <c r="AS14910" s="78">
        <f t="shared" si="236"/>
        <v>0</v>
      </c>
    </row>
    <row r="14911" spans="39:45">
      <c r="AM14911" s="55">
        <v>2020</v>
      </c>
      <c r="AN14911" s="55" t="s">
        <v>190</v>
      </c>
      <c r="AO14911" s="55">
        <v>13</v>
      </c>
      <c r="AP14911" s="55">
        <v>5</v>
      </c>
      <c r="AQ14911" s="55">
        <v>0</v>
      </c>
      <c r="AR14911" s="55">
        <v>28500</v>
      </c>
      <c r="AS14911" s="78">
        <f t="shared" si="236"/>
        <v>0</v>
      </c>
    </row>
    <row r="14912" spans="39:45">
      <c r="AM14912" s="54">
        <v>2020</v>
      </c>
      <c r="AN14912" s="54" t="s">
        <v>190</v>
      </c>
      <c r="AO14912" s="54">
        <v>13</v>
      </c>
      <c r="AP14912" s="54">
        <v>6</v>
      </c>
      <c r="AQ14912" s="54">
        <v>800</v>
      </c>
      <c r="AR14912" s="55">
        <v>28500</v>
      </c>
      <c r="AS14912" s="78">
        <f t="shared" si="236"/>
        <v>2.8070175438596492E-2</v>
      </c>
    </row>
    <row r="14913" spans="39:45">
      <c r="AM14913" s="55">
        <v>2020</v>
      </c>
      <c r="AN14913" s="55" t="s">
        <v>190</v>
      </c>
      <c r="AO14913" s="55">
        <v>13</v>
      </c>
      <c r="AP14913" s="55">
        <v>7</v>
      </c>
      <c r="AQ14913" s="55">
        <v>8765</v>
      </c>
      <c r="AR14913" s="55">
        <v>28500</v>
      </c>
      <c r="AS14913" s="78">
        <f t="shared" si="236"/>
        <v>0.30754385964912279</v>
      </c>
    </row>
    <row r="14914" spans="39:45">
      <c r="AM14914" s="54">
        <v>2020</v>
      </c>
      <c r="AN14914" s="54" t="s">
        <v>190</v>
      </c>
      <c r="AO14914" s="54">
        <v>13</v>
      </c>
      <c r="AP14914" s="54">
        <v>8</v>
      </c>
      <c r="AQ14914" s="54">
        <v>19465.5</v>
      </c>
      <c r="AR14914" s="55">
        <v>28500</v>
      </c>
      <c r="AS14914" s="78">
        <f t="shared" ref="AS14914:AS14977" si="237">AQ14914/AR14914</f>
        <v>0.68300000000000005</v>
      </c>
    </row>
    <row r="14915" spans="39:45">
      <c r="AM14915" s="55">
        <v>2020</v>
      </c>
      <c r="AN14915" s="55" t="s">
        <v>190</v>
      </c>
      <c r="AO14915" s="55">
        <v>13</v>
      </c>
      <c r="AP14915" s="55">
        <v>9</v>
      </c>
      <c r="AQ14915" s="55">
        <v>28145</v>
      </c>
      <c r="AR14915" s="55">
        <v>28500</v>
      </c>
      <c r="AS14915" s="78">
        <f t="shared" si="237"/>
        <v>0.98754385964912283</v>
      </c>
    </row>
    <row r="14916" spans="39:45">
      <c r="AM14916" s="54">
        <v>2020</v>
      </c>
      <c r="AN14916" s="54" t="s">
        <v>190</v>
      </c>
      <c r="AO14916" s="54">
        <v>13</v>
      </c>
      <c r="AP14916" s="54">
        <v>10</v>
      </c>
      <c r="AQ14916" s="54">
        <v>35985.5</v>
      </c>
      <c r="AR14916" s="55">
        <v>28500</v>
      </c>
      <c r="AS14916" s="78">
        <f t="shared" si="237"/>
        <v>1.2626491228070176</v>
      </c>
    </row>
    <row r="14917" spans="39:45">
      <c r="AM14917" s="55">
        <v>2020</v>
      </c>
      <c r="AN14917" s="55" t="s">
        <v>190</v>
      </c>
      <c r="AO14917" s="55">
        <v>13</v>
      </c>
      <c r="AP14917" s="55">
        <v>11</v>
      </c>
      <c r="AQ14917" s="55">
        <v>38325</v>
      </c>
      <c r="AR14917" s="55">
        <v>28500</v>
      </c>
      <c r="AS14917" s="78">
        <f t="shared" si="237"/>
        <v>1.3447368421052632</v>
      </c>
    </row>
    <row r="14918" spans="39:45">
      <c r="AM14918" s="54">
        <v>2020</v>
      </c>
      <c r="AN14918" s="54" t="s">
        <v>190</v>
      </c>
      <c r="AO14918" s="54">
        <v>13</v>
      </c>
      <c r="AP14918" s="54">
        <v>12</v>
      </c>
      <c r="AQ14918" s="54">
        <v>40474.5</v>
      </c>
      <c r="AR14918" s="55">
        <v>28500</v>
      </c>
      <c r="AS14918" s="78">
        <f t="shared" si="237"/>
        <v>1.4201578947368421</v>
      </c>
    </row>
    <row r="14919" spans="39:45">
      <c r="AM14919" s="55">
        <v>2020</v>
      </c>
      <c r="AN14919" s="55" t="s">
        <v>190</v>
      </c>
      <c r="AO14919" s="55">
        <v>13</v>
      </c>
      <c r="AP14919" s="55">
        <v>13</v>
      </c>
      <c r="AQ14919" s="55">
        <v>35254.5</v>
      </c>
      <c r="AR14919" s="55">
        <v>28500</v>
      </c>
      <c r="AS14919" s="78">
        <f t="shared" si="237"/>
        <v>1.2370000000000001</v>
      </c>
    </row>
    <row r="14920" spans="39:45">
      <c r="AM14920" s="54">
        <v>2020</v>
      </c>
      <c r="AN14920" s="54" t="s">
        <v>190</v>
      </c>
      <c r="AO14920" s="54">
        <v>13</v>
      </c>
      <c r="AP14920" s="54">
        <v>14</v>
      </c>
      <c r="AQ14920" s="54">
        <v>31140.5</v>
      </c>
      <c r="AR14920" s="55">
        <v>28500</v>
      </c>
      <c r="AS14920" s="78">
        <f t="shared" si="237"/>
        <v>1.0926491228070176</v>
      </c>
    </row>
    <row r="14921" spans="39:45">
      <c r="AM14921" s="55">
        <v>2020</v>
      </c>
      <c r="AN14921" s="55" t="s">
        <v>190</v>
      </c>
      <c r="AO14921" s="55">
        <v>13</v>
      </c>
      <c r="AP14921" s="55">
        <v>15</v>
      </c>
      <c r="AQ14921" s="55">
        <v>25028</v>
      </c>
      <c r="AR14921" s="55">
        <v>28500</v>
      </c>
      <c r="AS14921" s="78">
        <f t="shared" si="237"/>
        <v>0.87817543859649128</v>
      </c>
    </row>
    <row r="14922" spans="39:45">
      <c r="AM14922" s="54">
        <v>2020</v>
      </c>
      <c r="AN14922" s="54" t="s">
        <v>190</v>
      </c>
      <c r="AO14922" s="54">
        <v>13</v>
      </c>
      <c r="AP14922" s="54">
        <v>16</v>
      </c>
      <c r="AQ14922" s="54">
        <v>14463.5</v>
      </c>
      <c r="AR14922" s="55">
        <v>28500</v>
      </c>
      <c r="AS14922" s="78">
        <f t="shared" si="237"/>
        <v>0.50749122807017544</v>
      </c>
    </row>
    <row r="14923" spans="39:45">
      <c r="AM14923" s="55">
        <v>2020</v>
      </c>
      <c r="AN14923" s="55" t="s">
        <v>190</v>
      </c>
      <c r="AO14923" s="55">
        <v>13</v>
      </c>
      <c r="AP14923" s="55">
        <v>17</v>
      </c>
      <c r="AQ14923" s="55">
        <v>3721</v>
      </c>
      <c r="AR14923" s="55">
        <v>28500</v>
      </c>
      <c r="AS14923" s="78">
        <f t="shared" si="237"/>
        <v>0.13056140350877193</v>
      </c>
    </row>
    <row r="14924" spans="39:45">
      <c r="AM14924" s="54">
        <v>2020</v>
      </c>
      <c r="AN14924" s="54" t="s">
        <v>190</v>
      </c>
      <c r="AO14924" s="54">
        <v>13</v>
      </c>
      <c r="AP14924" s="54">
        <v>18</v>
      </c>
      <c r="AQ14924" s="54">
        <v>0</v>
      </c>
      <c r="AR14924" s="55">
        <v>28500</v>
      </c>
      <c r="AS14924" s="78">
        <f t="shared" si="237"/>
        <v>0</v>
      </c>
    </row>
    <row r="14925" spans="39:45">
      <c r="AM14925" s="55">
        <v>2020</v>
      </c>
      <c r="AN14925" s="55" t="s">
        <v>190</v>
      </c>
      <c r="AO14925" s="55">
        <v>13</v>
      </c>
      <c r="AP14925" s="55">
        <v>19</v>
      </c>
      <c r="AQ14925" s="55">
        <v>0</v>
      </c>
      <c r="AR14925" s="55">
        <v>28500</v>
      </c>
      <c r="AS14925" s="78">
        <f t="shared" si="237"/>
        <v>0</v>
      </c>
    </row>
    <row r="14926" spans="39:45">
      <c r="AM14926" s="54">
        <v>2020</v>
      </c>
      <c r="AN14926" s="54" t="s">
        <v>190</v>
      </c>
      <c r="AO14926" s="54">
        <v>13</v>
      </c>
      <c r="AP14926" s="54">
        <v>20</v>
      </c>
      <c r="AQ14926" s="54">
        <v>0</v>
      </c>
      <c r="AR14926" s="55">
        <v>28500</v>
      </c>
      <c r="AS14926" s="78">
        <f t="shared" si="237"/>
        <v>0</v>
      </c>
    </row>
    <row r="14927" spans="39:45">
      <c r="AM14927" s="55">
        <v>2020</v>
      </c>
      <c r="AN14927" s="55" t="s">
        <v>190</v>
      </c>
      <c r="AO14927" s="55">
        <v>13</v>
      </c>
      <c r="AP14927" s="55">
        <v>21</v>
      </c>
      <c r="AQ14927" s="55">
        <v>0</v>
      </c>
      <c r="AR14927" s="55">
        <v>28500</v>
      </c>
      <c r="AS14927" s="78">
        <f t="shared" si="237"/>
        <v>0</v>
      </c>
    </row>
    <row r="14928" spans="39:45">
      <c r="AM14928" s="54">
        <v>2020</v>
      </c>
      <c r="AN14928" s="54" t="s">
        <v>190</v>
      </c>
      <c r="AO14928" s="54">
        <v>13</v>
      </c>
      <c r="AP14928" s="54">
        <v>22</v>
      </c>
      <c r="AQ14928" s="54">
        <v>0</v>
      </c>
      <c r="AR14928" s="55">
        <v>28500</v>
      </c>
      <c r="AS14928" s="78">
        <f t="shared" si="237"/>
        <v>0</v>
      </c>
    </row>
    <row r="14929" spans="39:45">
      <c r="AM14929" s="55">
        <v>2020</v>
      </c>
      <c r="AN14929" s="55" t="s">
        <v>190</v>
      </c>
      <c r="AO14929" s="55">
        <v>13</v>
      </c>
      <c r="AP14929" s="55">
        <v>23</v>
      </c>
      <c r="AQ14929" s="55">
        <v>0</v>
      </c>
      <c r="AR14929" s="55">
        <v>28500</v>
      </c>
      <c r="AS14929" s="78">
        <f t="shared" si="237"/>
        <v>0</v>
      </c>
    </row>
    <row r="14930" spans="39:45">
      <c r="AM14930" s="54">
        <v>2020</v>
      </c>
      <c r="AN14930" s="54" t="s">
        <v>190</v>
      </c>
      <c r="AO14930" s="54">
        <v>14</v>
      </c>
      <c r="AP14930" s="54">
        <v>24</v>
      </c>
      <c r="AQ14930" s="54">
        <v>0</v>
      </c>
      <c r="AR14930" s="55">
        <v>28500</v>
      </c>
      <c r="AS14930" s="78">
        <f t="shared" si="237"/>
        <v>0</v>
      </c>
    </row>
    <row r="14931" spans="39:45">
      <c r="AM14931" s="55">
        <v>2020</v>
      </c>
      <c r="AN14931" s="55" t="s">
        <v>190</v>
      </c>
      <c r="AO14931" s="55">
        <v>14</v>
      </c>
      <c r="AP14931" s="55">
        <v>1</v>
      </c>
      <c r="AQ14931" s="55">
        <v>0</v>
      </c>
      <c r="AR14931" s="55">
        <v>28500</v>
      </c>
      <c r="AS14931" s="78">
        <f t="shared" si="237"/>
        <v>0</v>
      </c>
    </row>
    <row r="14932" spans="39:45">
      <c r="AM14932" s="54">
        <v>2020</v>
      </c>
      <c r="AN14932" s="54" t="s">
        <v>190</v>
      </c>
      <c r="AO14932" s="54">
        <v>14</v>
      </c>
      <c r="AP14932" s="54">
        <v>2</v>
      </c>
      <c r="AQ14932" s="54">
        <v>0</v>
      </c>
      <c r="AR14932" s="55">
        <v>28500</v>
      </c>
      <c r="AS14932" s="78">
        <f t="shared" si="237"/>
        <v>0</v>
      </c>
    </row>
    <row r="14933" spans="39:45">
      <c r="AM14933" s="55">
        <v>2020</v>
      </c>
      <c r="AN14933" s="55" t="s">
        <v>190</v>
      </c>
      <c r="AO14933" s="55">
        <v>14</v>
      </c>
      <c r="AP14933" s="55">
        <v>3</v>
      </c>
      <c r="AQ14933" s="55">
        <v>0</v>
      </c>
      <c r="AR14933" s="55">
        <v>28500</v>
      </c>
      <c r="AS14933" s="78">
        <f t="shared" si="237"/>
        <v>0</v>
      </c>
    </row>
    <row r="14934" spans="39:45">
      <c r="AM14934" s="54">
        <v>2020</v>
      </c>
      <c r="AN14934" s="54" t="s">
        <v>190</v>
      </c>
      <c r="AO14934" s="54">
        <v>14</v>
      </c>
      <c r="AP14934" s="54">
        <v>4</v>
      </c>
      <c r="AQ14934" s="54">
        <v>0</v>
      </c>
      <c r="AR14934" s="55">
        <v>28500</v>
      </c>
      <c r="AS14934" s="78">
        <f t="shared" si="237"/>
        <v>0</v>
      </c>
    </row>
    <row r="14935" spans="39:45">
      <c r="AM14935" s="55">
        <v>2020</v>
      </c>
      <c r="AN14935" s="55" t="s">
        <v>190</v>
      </c>
      <c r="AO14935" s="55">
        <v>14</v>
      </c>
      <c r="AP14935" s="55">
        <v>5</v>
      </c>
      <c r="AQ14935" s="55">
        <v>0</v>
      </c>
      <c r="AR14935" s="55">
        <v>28500</v>
      </c>
      <c r="AS14935" s="78">
        <f t="shared" si="237"/>
        <v>0</v>
      </c>
    </row>
    <row r="14936" spans="39:45">
      <c r="AM14936" s="54">
        <v>2020</v>
      </c>
      <c r="AN14936" s="54" t="s">
        <v>190</v>
      </c>
      <c r="AO14936" s="54">
        <v>14</v>
      </c>
      <c r="AP14936" s="54">
        <v>6</v>
      </c>
      <c r="AQ14936" s="54">
        <v>687.5</v>
      </c>
      <c r="AR14936" s="55">
        <v>28500</v>
      </c>
      <c r="AS14936" s="78">
        <f t="shared" si="237"/>
        <v>2.4122807017543858E-2</v>
      </c>
    </row>
    <row r="14937" spans="39:45">
      <c r="AM14937" s="55">
        <v>2020</v>
      </c>
      <c r="AN14937" s="55" t="s">
        <v>190</v>
      </c>
      <c r="AO14937" s="55">
        <v>14</v>
      </c>
      <c r="AP14937" s="55">
        <v>7</v>
      </c>
      <c r="AQ14937" s="55">
        <v>8530.5</v>
      </c>
      <c r="AR14937" s="55">
        <v>28500</v>
      </c>
      <c r="AS14937" s="78">
        <f t="shared" si="237"/>
        <v>0.2993157894736842</v>
      </c>
    </row>
    <row r="14938" spans="39:45">
      <c r="AM14938" s="54">
        <v>2020</v>
      </c>
      <c r="AN14938" s="54" t="s">
        <v>190</v>
      </c>
      <c r="AO14938" s="54">
        <v>14</v>
      </c>
      <c r="AP14938" s="54">
        <v>8</v>
      </c>
      <c r="AQ14938" s="54">
        <v>19156.5</v>
      </c>
      <c r="AR14938" s="55">
        <v>28500</v>
      </c>
      <c r="AS14938" s="78">
        <f t="shared" si="237"/>
        <v>0.67215789473684207</v>
      </c>
    </row>
    <row r="14939" spans="39:45">
      <c r="AM14939" s="55">
        <v>2020</v>
      </c>
      <c r="AN14939" s="55" t="s">
        <v>190</v>
      </c>
      <c r="AO14939" s="55">
        <v>14</v>
      </c>
      <c r="AP14939" s="55">
        <v>9</v>
      </c>
      <c r="AQ14939" s="55">
        <v>27621</v>
      </c>
      <c r="AR14939" s="55">
        <v>28500</v>
      </c>
      <c r="AS14939" s="78">
        <f t="shared" si="237"/>
        <v>0.96915789473684211</v>
      </c>
    </row>
    <row r="14940" spans="39:45">
      <c r="AM14940" s="54">
        <v>2020</v>
      </c>
      <c r="AN14940" s="54" t="s">
        <v>190</v>
      </c>
      <c r="AO14940" s="54">
        <v>14</v>
      </c>
      <c r="AP14940" s="54">
        <v>10</v>
      </c>
      <c r="AQ14940" s="54">
        <v>34793</v>
      </c>
      <c r="AR14940" s="55">
        <v>28500</v>
      </c>
      <c r="AS14940" s="78">
        <f t="shared" si="237"/>
        <v>1.2208070175438597</v>
      </c>
    </row>
    <row r="14941" spans="39:45">
      <c r="AM14941" s="55">
        <v>2020</v>
      </c>
      <c r="AN14941" s="55" t="s">
        <v>190</v>
      </c>
      <c r="AO14941" s="55">
        <v>14</v>
      </c>
      <c r="AP14941" s="55">
        <v>11</v>
      </c>
      <c r="AQ14941" s="55">
        <v>36963.5</v>
      </c>
      <c r="AR14941" s="55">
        <v>28500</v>
      </c>
      <c r="AS14941" s="78">
        <f t="shared" si="237"/>
        <v>1.2969649122807017</v>
      </c>
    </row>
    <row r="14942" spans="39:45">
      <c r="AM14942" s="54">
        <v>2020</v>
      </c>
      <c r="AN14942" s="54" t="s">
        <v>190</v>
      </c>
      <c r="AO14942" s="54">
        <v>14</v>
      </c>
      <c r="AP14942" s="54">
        <v>12</v>
      </c>
      <c r="AQ14942" s="54">
        <v>38237</v>
      </c>
      <c r="AR14942" s="55">
        <v>28500</v>
      </c>
      <c r="AS14942" s="78">
        <f t="shared" si="237"/>
        <v>1.3416491228070175</v>
      </c>
    </row>
    <row r="14943" spans="39:45">
      <c r="AM14943" s="55">
        <v>2020</v>
      </c>
      <c r="AN14943" s="55" t="s">
        <v>190</v>
      </c>
      <c r="AO14943" s="55">
        <v>14</v>
      </c>
      <c r="AP14943" s="55">
        <v>13</v>
      </c>
      <c r="AQ14943" s="55">
        <v>34607.5</v>
      </c>
      <c r="AR14943" s="55">
        <v>28500</v>
      </c>
      <c r="AS14943" s="78">
        <f t="shared" si="237"/>
        <v>1.214298245614035</v>
      </c>
    </row>
    <row r="14944" spans="39:45">
      <c r="AM14944" s="54">
        <v>2020</v>
      </c>
      <c r="AN14944" s="54" t="s">
        <v>190</v>
      </c>
      <c r="AO14944" s="54">
        <v>14</v>
      </c>
      <c r="AP14944" s="54">
        <v>14</v>
      </c>
      <c r="AQ14944" s="54">
        <v>30404.5</v>
      </c>
      <c r="AR14944" s="55">
        <v>28500</v>
      </c>
      <c r="AS14944" s="78">
        <f t="shared" si="237"/>
        <v>1.0668245614035088</v>
      </c>
    </row>
    <row r="14945" spans="39:45">
      <c r="AM14945" s="55">
        <v>2020</v>
      </c>
      <c r="AN14945" s="55" t="s">
        <v>190</v>
      </c>
      <c r="AO14945" s="55">
        <v>14</v>
      </c>
      <c r="AP14945" s="55">
        <v>15</v>
      </c>
      <c r="AQ14945" s="55">
        <v>23755</v>
      </c>
      <c r="AR14945" s="55">
        <v>28500</v>
      </c>
      <c r="AS14945" s="78">
        <f t="shared" si="237"/>
        <v>0.83350877192982453</v>
      </c>
    </row>
    <row r="14946" spans="39:45">
      <c r="AM14946" s="54">
        <v>2020</v>
      </c>
      <c r="AN14946" s="54" t="s">
        <v>190</v>
      </c>
      <c r="AO14946" s="54">
        <v>14</v>
      </c>
      <c r="AP14946" s="54">
        <v>16</v>
      </c>
      <c r="AQ14946" s="54">
        <v>14212.5</v>
      </c>
      <c r="AR14946" s="55">
        <v>28500</v>
      </c>
      <c r="AS14946" s="78">
        <f t="shared" si="237"/>
        <v>0.49868421052631579</v>
      </c>
    </row>
    <row r="14947" spans="39:45">
      <c r="AM14947" s="55">
        <v>2020</v>
      </c>
      <c r="AN14947" s="55" t="s">
        <v>190</v>
      </c>
      <c r="AO14947" s="55">
        <v>14</v>
      </c>
      <c r="AP14947" s="55">
        <v>17</v>
      </c>
      <c r="AQ14947" s="55">
        <v>3793.5</v>
      </c>
      <c r="AR14947" s="55">
        <v>28500</v>
      </c>
      <c r="AS14947" s="78">
        <f t="shared" si="237"/>
        <v>0.13310526315789473</v>
      </c>
    </row>
    <row r="14948" spans="39:45">
      <c r="AM14948" s="54">
        <v>2020</v>
      </c>
      <c r="AN14948" s="54" t="s">
        <v>190</v>
      </c>
      <c r="AO14948" s="54">
        <v>14</v>
      </c>
      <c r="AP14948" s="54">
        <v>18</v>
      </c>
      <c r="AQ14948" s="54">
        <v>0</v>
      </c>
      <c r="AR14948" s="55">
        <v>28500</v>
      </c>
      <c r="AS14948" s="78">
        <f t="shared" si="237"/>
        <v>0</v>
      </c>
    </row>
    <row r="14949" spans="39:45">
      <c r="AM14949" s="55">
        <v>2020</v>
      </c>
      <c r="AN14949" s="55" t="s">
        <v>190</v>
      </c>
      <c r="AO14949" s="55">
        <v>14</v>
      </c>
      <c r="AP14949" s="55">
        <v>19</v>
      </c>
      <c r="AQ14949" s="55">
        <v>0</v>
      </c>
      <c r="AR14949" s="55">
        <v>28500</v>
      </c>
      <c r="AS14949" s="78">
        <f t="shared" si="237"/>
        <v>0</v>
      </c>
    </row>
    <row r="14950" spans="39:45">
      <c r="AM14950" s="54">
        <v>2020</v>
      </c>
      <c r="AN14950" s="54" t="s">
        <v>190</v>
      </c>
      <c r="AO14950" s="54">
        <v>14</v>
      </c>
      <c r="AP14950" s="54">
        <v>20</v>
      </c>
      <c r="AQ14950" s="54">
        <v>0</v>
      </c>
      <c r="AR14950" s="55">
        <v>28500</v>
      </c>
      <c r="AS14950" s="78">
        <f t="shared" si="237"/>
        <v>0</v>
      </c>
    </row>
    <row r="14951" spans="39:45">
      <c r="AM14951" s="55">
        <v>2020</v>
      </c>
      <c r="AN14951" s="55" t="s">
        <v>190</v>
      </c>
      <c r="AO14951" s="55">
        <v>14</v>
      </c>
      <c r="AP14951" s="55">
        <v>21</v>
      </c>
      <c r="AQ14951" s="55">
        <v>0</v>
      </c>
      <c r="AR14951" s="55">
        <v>28500</v>
      </c>
      <c r="AS14951" s="78">
        <f t="shared" si="237"/>
        <v>0</v>
      </c>
    </row>
    <row r="14952" spans="39:45">
      <c r="AM14952" s="54">
        <v>2020</v>
      </c>
      <c r="AN14952" s="54" t="s">
        <v>190</v>
      </c>
      <c r="AO14952" s="54">
        <v>14</v>
      </c>
      <c r="AP14952" s="54">
        <v>22</v>
      </c>
      <c r="AQ14952" s="54">
        <v>0</v>
      </c>
      <c r="AR14952" s="55">
        <v>28500</v>
      </c>
      <c r="AS14952" s="78">
        <f t="shared" si="237"/>
        <v>0</v>
      </c>
    </row>
    <row r="14953" spans="39:45">
      <c r="AM14953" s="55">
        <v>2020</v>
      </c>
      <c r="AN14953" s="55" t="s">
        <v>190</v>
      </c>
      <c r="AO14953" s="55">
        <v>14</v>
      </c>
      <c r="AP14953" s="55">
        <v>23</v>
      </c>
      <c r="AQ14953" s="55">
        <v>0</v>
      </c>
      <c r="AR14953" s="55">
        <v>28500</v>
      </c>
      <c r="AS14953" s="78">
        <f t="shared" si="237"/>
        <v>0</v>
      </c>
    </row>
    <row r="14954" spans="39:45">
      <c r="AM14954" s="54">
        <v>2020</v>
      </c>
      <c r="AN14954" s="54" t="s">
        <v>190</v>
      </c>
      <c r="AO14954" s="54">
        <v>15</v>
      </c>
      <c r="AP14954" s="54">
        <v>24</v>
      </c>
      <c r="AQ14954" s="54">
        <v>0</v>
      </c>
      <c r="AR14954" s="55">
        <v>28500</v>
      </c>
      <c r="AS14954" s="78">
        <f t="shared" si="237"/>
        <v>0</v>
      </c>
    </row>
    <row r="14955" spans="39:45">
      <c r="AM14955" s="55">
        <v>2020</v>
      </c>
      <c r="AN14955" s="55" t="s">
        <v>190</v>
      </c>
      <c r="AO14955" s="55">
        <v>15</v>
      </c>
      <c r="AP14955" s="55">
        <v>1</v>
      </c>
      <c r="AQ14955" s="55">
        <v>0</v>
      </c>
      <c r="AR14955" s="55">
        <v>28500</v>
      </c>
      <c r="AS14955" s="78">
        <f t="shared" si="237"/>
        <v>0</v>
      </c>
    </row>
    <row r="14956" spans="39:45">
      <c r="AM14956" s="54">
        <v>2020</v>
      </c>
      <c r="AN14956" s="54" t="s">
        <v>190</v>
      </c>
      <c r="AO14956" s="54">
        <v>15</v>
      </c>
      <c r="AP14956" s="54">
        <v>2</v>
      </c>
      <c r="AQ14956" s="54">
        <v>0</v>
      </c>
      <c r="AR14956" s="55">
        <v>28500</v>
      </c>
      <c r="AS14956" s="78">
        <f t="shared" si="237"/>
        <v>0</v>
      </c>
    </row>
    <row r="14957" spans="39:45">
      <c r="AM14957" s="55">
        <v>2020</v>
      </c>
      <c r="AN14957" s="55" t="s">
        <v>190</v>
      </c>
      <c r="AO14957" s="55">
        <v>15</v>
      </c>
      <c r="AP14957" s="55">
        <v>3</v>
      </c>
      <c r="AQ14957" s="55">
        <v>0</v>
      </c>
      <c r="AR14957" s="55">
        <v>28500</v>
      </c>
      <c r="AS14957" s="78">
        <f t="shared" si="237"/>
        <v>0</v>
      </c>
    </row>
    <row r="14958" spans="39:45">
      <c r="AM14958" s="54">
        <v>2020</v>
      </c>
      <c r="AN14958" s="54" t="s">
        <v>190</v>
      </c>
      <c r="AO14958" s="54">
        <v>15</v>
      </c>
      <c r="AP14958" s="54">
        <v>4</v>
      </c>
      <c r="AQ14958" s="54">
        <v>0</v>
      </c>
      <c r="AR14958" s="55">
        <v>28500</v>
      </c>
      <c r="AS14958" s="78">
        <f t="shared" si="237"/>
        <v>0</v>
      </c>
    </row>
    <row r="14959" spans="39:45">
      <c r="AM14959" s="55">
        <v>2020</v>
      </c>
      <c r="AN14959" s="55" t="s">
        <v>190</v>
      </c>
      <c r="AO14959" s="55">
        <v>15</v>
      </c>
      <c r="AP14959" s="55">
        <v>5</v>
      </c>
      <c r="AQ14959" s="55">
        <v>0</v>
      </c>
      <c r="AR14959" s="55">
        <v>28500</v>
      </c>
      <c r="AS14959" s="78">
        <f t="shared" si="237"/>
        <v>0</v>
      </c>
    </row>
    <row r="14960" spans="39:45">
      <c r="AM14960" s="54">
        <v>2020</v>
      </c>
      <c r="AN14960" s="54" t="s">
        <v>190</v>
      </c>
      <c r="AO14960" s="54">
        <v>15</v>
      </c>
      <c r="AP14960" s="54">
        <v>6</v>
      </c>
      <c r="AQ14960" s="54">
        <v>532</v>
      </c>
      <c r="AR14960" s="55">
        <v>28500</v>
      </c>
      <c r="AS14960" s="78">
        <f t="shared" si="237"/>
        <v>1.8666666666666668E-2</v>
      </c>
    </row>
    <row r="14961" spans="39:45">
      <c r="AM14961" s="55">
        <v>2020</v>
      </c>
      <c r="AN14961" s="55" t="s">
        <v>190</v>
      </c>
      <c r="AO14961" s="55">
        <v>15</v>
      </c>
      <c r="AP14961" s="55">
        <v>7</v>
      </c>
      <c r="AQ14961" s="55">
        <v>6541</v>
      </c>
      <c r="AR14961" s="55">
        <v>28500</v>
      </c>
      <c r="AS14961" s="78">
        <f t="shared" si="237"/>
        <v>0.22950877192982455</v>
      </c>
    </row>
    <row r="14962" spans="39:45">
      <c r="AM14962" s="54">
        <v>2020</v>
      </c>
      <c r="AN14962" s="54" t="s">
        <v>190</v>
      </c>
      <c r="AO14962" s="54">
        <v>15</v>
      </c>
      <c r="AP14962" s="54">
        <v>8</v>
      </c>
      <c r="AQ14962" s="54">
        <v>14965.5</v>
      </c>
      <c r="AR14962" s="55">
        <v>28500</v>
      </c>
      <c r="AS14962" s="78">
        <f t="shared" si="237"/>
        <v>0.52510526315789474</v>
      </c>
    </row>
    <row r="14963" spans="39:45">
      <c r="AM14963" s="55">
        <v>2020</v>
      </c>
      <c r="AN14963" s="55" t="s">
        <v>190</v>
      </c>
      <c r="AO14963" s="55">
        <v>15</v>
      </c>
      <c r="AP14963" s="55">
        <v>9</v>
      </c>
      <c r="AQ14963" s="55">
        <v>26178</v>
      </c>
      <c r="AR14963" s="55">
        <v>28500</v>
      </c>
      <c r="AS14963" s="78">
        <f t="shared" si="237"/>
        <v>0.91852631578947364</v>
      </c>
    </row>
    <row r="14964" spans="39:45">
      <c r="AM14964" s="54">
        <v>2020</v>
      </c>
      <c r="AN14964" s="54" t="s">
        <v>190</v>
      </c>
      <c r="AO14964" s="54">
        <v>15</v>
      </c>
      <c r="AP14964" s="54">
        <v>10</v>
      </c>
      <c r="AQ14964" s="54">
        <v>32205.5</v>
      </c>
      <c r="AR14964" s="55">
        <v>28500</v>
      </c>
      <c r="AS14964" s="78">
        <f t="shared" si="237"/>
        <v>1.1300175438596491</v>
      </c>
    </row>
    <row r="14965" spans="39:45">
      <c r="AM14965" s="55">
        <v>2020</v>
      </c>
      <c r="AN14965" s="55" t="s">
        <v>190</v>
      </c>
      <c r="AO14965" s="55">
        <v>15</v>
      </c>
      <c r="AP14965" s="55">
        <v>11</v>
      </c>
      <c r="AQ14965" s="55">
        <v>34769</v>
      </c>
      <c r="AR14965" s="55">
        <v>28500</v>
      </c>
      <c r="AS14965" s="78">
        <f t="shared" si="237"/>
        <v>1.2199649122807017</v>
      </c>
    </row>
    <row r="14966" spans="39:45">
      <c r="AM14966" s="54">
        <v>2020</v>
      </c>
      <c r="AN14966" s="54" t="s">
        <v>190</v>
      </c>
      <c r="AO14966" s="54">
        <v>15</v>
      </c>
      <c r="AP14966" s="54">
        <v>12</v>
      </c>
      <c r="AQ14966" s="54">
        <v>22114</v>
      </c>
      <c r="AR14966" s="55">
        <v>28500</v>
      </c>
      <c r="AS14966" s="78">
        <f t="shared" si="237"/>
        <v>0.77592982456140347</v>
      </c>
    </row>
    <row r="14967" spans="39:45">
      <c r="AM14967" s="55">
        <v>2020</v>
      </c>
      <c r="AN14967" s="55" t="s">
        <v>190</v>
      </c>
      <c r="AO14967" s="55">
        <v>15</v>
      </c>
      <c r="AP14967" s="55">
        <v>13</v>
      </c>
      <c r="AQ14967" s="55">
        <v>31858</v>
      </c>
      <c r="AR14967" s="55">
        <v>28500</v>
      </c>
      <c r="AS14967" s="78">
        <f t="shared" si="237"/>
        <v>1.1178245614035087</v>
      </c>
    </row>
    <row r="14968" spans="39:45">
      <c r="AM14968" s="54">
        <v>2020</v>
      </c>
      <c r="AN14968" s="54" t="s">
        <v>190</v>
      </c>
      <c r="AO14968" s="54">
        <v>15</v>
      </c>
      <c r="AP14968" s="54">
        <v>14</v>
      </c>
      <c r="AQ14968" s="54">
        <v>26608</v>
      </c>
      <c r="AR14968" s="55">
        <v>28500</v>
      </c>
      <c r="AS14968" s="78">
        <f t="shared" si="237"/>
        <v>0.93361403508771934</v>
      </c>
    </row>
    <row r="14969" spans="39:45">
      <c r="AM14969" s="55">
        <v>2020</v>
      </c>
      <c r="AN14969" s="55" t="s">
        <v>190</v>
      </c>
      <c r="AO14969" s="55">
        <v>15</v>
      </c>
      <c r="AP14969" s="55">
        <v>15</v>
      </c>
      <c r="AQ14969" s="55">
        <v>14773.5</v>
      </c>
      <c r="AR14969" s="55">
        <v>28500</v>
      </c>
      <c r="AS14969" s="78">
        <f t="shared" si="237"/>
        <v>0.51836842105263159</v>
      </c>
    </row>
    <row r="14970" spans="39:45">
      <c r="AM14970" s="54">
        <v>2020</v>
      </c>
      <c r="AN14970" s="54" t="s">
        <v>190</v>
      </c>
      <c r="AO14970" s="54">
        <v>15</v>
      </c>
      <c r="AP14970" s="54">
        <v>16</v>
      </c>
      <c r="AQ14970" s="54">
        <v>13597.5</v>
      </c>
      <c r="AR14970" s="55">
        <v>28500</v>
      </c>
      <c r="AS14970" s="78">
        <f t="shared" si="237"/>
        <v>0.47710526315789475</v>
      </c>
    </row>
    <row r="14971" spans="39:45">
      <c r="AM14971" s="55">
        <v>2020</v>
      </c>
      <c r="AN14971" s="55" t="s">
        <v>190</v>
      </c>
      <c r="AO14971" s="55">
        <v>15</v>
      </c>
      <c r="AP14971" s="55">
        <v>17</v>
      </c>
      <c r="AQ14971" s="55">
        <v>3083.5</v>
      </c>
      <c r="AR14971" s="55">
        <v>28500</v>
      </c>
      <c r="AS14971" s="78">
        <f t="shared" si="237"/>
        <v>0.10819298245614035</v>
      </c>
    </row>
    <row r="14972" spans="39:45">
      <c r="AM14972" s="54">
        <v>2020</v>
      </c>
      <c r="AN14972" s="54" t="s">
        <v>190</v>
      </c>
      <c r="AO14972" s="54">
        <v>15</v>
      </c>
      <c r="AP14972" s="54">
        <v>18</v>
      </c>
      <c r="AQ14972" s="54">
        <v>0</v>
      </c>
      <c r="AR14972" s="55">
        <v>28500</v>
      </c>
      <c r="AS14972" s="78">
        <f t="shared" si="237"/>
        <v>0</v>
      </c>
    </row>
    <row r="14973" spans="39:45">
      <c r="AM14973" s="55">
        <v>2020</v>
      </c>
      <c r="AN14973" s="55" t="s">
        <v>190</v>
      </c>
      <c r="AO14973" s="55">
        <v>15</v>
      </c>
      <c r="AP14973" s="55">
        <v>19</v>
      </c>
      <c r="AQ14973" s="55">
        <v>0</v>
      </c>
      <c r="AR14973" s="55">
        <v>28500</v>
      </c>
      <c r="AS14973" s="78">
        <f t="shared" si="237"/>
        <v>0</v>
      </c>
    </row>
    <row r="14974" spans="39:45">
      <c r="AM14974" s="54">
        <v>2020</v>
      </c>
      <c r="AN14974" s="54" t="s">
        <v>190</v>
      </c>
      <c r="AO14974" s="54">
        <v>15</v>
      </c>
      <c r="AP14974" s="54">
        <v>20</v>
      </c>
      <c r="AQ14974" s="54">
        <v>0</v>
      </c>
      <c r="AR14974" s="55">
        <v>28500</v>
      </c>
      <c r="AS14974" s="78">
        <f t="shared" si="237"/>
        <v>0</v>
      </c>
    </row>
    <row r="14975" spans="39:45">
      <c r="AM14975" s="55">
        <v>2020</v>
      </c>
      <c r="AN14975" s="55" t="s">
        <v>190</v>
      </c>
      <c r="AO14975" s="55">
        <v>15</v>
      </c>
      <c r="AP14975" s="55">
        <v>21</v>
      </c>
      <c r="AQ14975" s="55">
        <v>0</v>
      </c>
      <c r="AR14975" s="55">
        <v>28500</v>
      </c>
      <c r="AS14975" s="78">
        <f t="shared" si="237"/>
        <v>0</v>
      </c>
    </row>
    <row r="14976" spans="39:45">
      <c r="AM14976" s="54">
        <v>2020</v>
      </c>
      <c r="AN14976" s="54" t="s">
        <v>190</v>
      </c>
      <c r="AO14976" s="54">
        <v>15</v>
      </c>
      <c r="AP14976" s="54">
        <v>22</v>
      </c>
      <c r="AQ14976" s="54">
        <v>0</v>
      </c>
      <c r="AR14976" s="55">
        <v>28500</v>
      </c>
      <c r="AS14976" s="78">
        <f t="shared" si="237"/>
        <v>0</v>
      </c>
    </row>
    <row r="14977" spans="39:45">
      <c r="AM14977" s="55">
        <v>2020</v>
      </c>
      <c r="AN14977" s="55" t="s">
        <v>190</v>
      </c>
      <c r="AO14977" s="55">
        <v>15</v>
      </c>
      <c r="AP14977" s="55">
        <v>23</v>
      </c>
      <c r="AQ14977" s="55">
        <v>0</v>
      </c>
      <c r="AR14977" s="55">
        <v>28500</v>
      </c>
      <c r="AS14977" s="78">
        <f t="shared" si="237"/>
        <v>0</v>
      </c>
    </row>
    <row r="14978" spans="39:45">
      <c r="AM14978" s="54">
        <v>2020</v>
      </c>
      <c r="AN14978" s="54" t="s">
        <v>190</v>
      </c>
      <c r="AO14978" s="54">
        <v>16</v>
      </c>
      <c r="AP14978" s="54">
        <v>24</v>
      </c>
      <c r="AQ14978" s="54">
        <v>0</v>
      </c>
      <c r="AR14978" s="55">
        <v>28500</v>
      </c>
      <c r="AS14978" s="78">
        <f t="shared" ref="AS14978:AS15041" si="238">AQ14978/AR14978</f>
        <v>0</v>
      </c>
    </row>
    <row r="14979" spans="39:45">
      <c r="AM14979" s="55">
        <v>2020</v>
      </c>
      <c r="AN14979" s="55" t="s">
        <v>190</v>
      </c>
      <c r="AO14979" s="55">
        <v>16</v>
      </c>
      <c r="AP14979" s="55">
        <v>1</v>
      </c>
      <c r="AQ14979" s="55">
        <v>0</v>
      </c>
      <c r="AR14979" s="55">
        <v>28500</v>
      </c>
      <c r="AS14979" s="78">
        <f t="shared" si="238"/>
        <v>0</v>
      </c>
    </row>
    <row r="14980" spans="39:45">
      <c r="AM14980" s="54">
        <v>2020</v>
      </c>
      <c r="AN14980" s="54" t="s">
        <v>190</v>
      </c>
      <c r="AO14980" s="54">
        <v>16</v>
      </c>
      <c r="AP14980" s="54">
        <v>2</v>
      </c>
      <c r="AQ14980" s="54">
        <v>0</v>
      </c>
      <c r="AR14980" s="55">
        <v>28500</v>
      </c>
      <c r="AS14980" s="78">
        <f t="shared" si="238"/>
        <v>0</v>
      </c>
    </row>
    <row r="14981" spans="39:45">
      <c r="AM14981" s="55">
        <v>2020</v>
      </c>
      <c r="AN14981" s="55" t="s">
        <v>190</v>
      </c>
      <c r="AO14981" s="55">
        <v>16</v>
      </c>
      <c r="AP14981" s="55">
        <v>3</v>
      </c>
      <c r="AQ14981" s="55">
        <v>0</v>
      </c>
      <c r="AR14981" s="55">
        <v>28500</v>
      </c>
      <c r="AS14981" s="78">
        <f t="shared" si="238"/>
        <v>0</v>
      </c>
    </row>
    <row r="14982" spans="39:45">
      <c r="AM14982" s="54">
        <v>2020</v>
      </c>
      <c r="AN14982" s="54" t="s">
        <v>190</v>
      </c>
      <c r="AO14982" s="54">
        <v>16</v>
      </c>
      <c r="AP14982" s="54">
        <v>4</v>
      </c>
      <c r="AQ14982" s="54">
        <v>0</v>
      </c>
      <c r="AR14982" s="55">
        <v>28500</v>
      </c>
      <c r="AS14982" s="78">
        <f t="shared" si="238"/>
        <v>0</v>
      </c>
    </row>
    <row r="14983" spans="39:45">
      <c r="AM14983" s="55">
        <v>2020</v>
      </c>
      <c r="AN14983" s="55" t="s">
        <v>190</v>
      </c>
      <c r="AO14983" s="55">
        <v>16</v>
      </c>
      <c r="AP14983" s="55">
        <v>5</v>
      </c>
      <c r="AQ14983" s="55">
        <v>0</v>
      </c>
      <c r="AR14983" s="55">
        <v>28500</v>
      </c>
      <c r="AS14983" s="78">
        <f t="shared" si="238"/>
        <v>0</v>
      </c>
    </row>
    <row r="14984" spans="39:45">
      <c r="AM14984" s="54">
        <v>2020</v>
      </c>
      <c r="AN14984" s="54" t="s">
        <v>190</v>
      </c>
      <c r="AO14984" s="54">
        <v>16</v>
      </c>
      <c r="AP14984" s="54">
        <v>6</v>
      </c>
      <c r="AQ14984" s="54">
        <v>426</v>
      </c>
      <c r="AR14984" s="55">
        <v>28500</v>
      </c>
      <c r="AS14984" s="78">
        <f t="shared" si="238"/>
        <v>1.4947368421052631E-2</v>
      </c>
    </row>
    <row r="14985" spans="39:45">
      <c r="AM14985" s="55">
        <v>2020</v>
      </c>
      <c r="AN14985" s="55" t="s">
        <v>190</v>
      </c>
      <c r="AO14985" s="55">
        <v>16</v>
      </c>
      <c r="AP14985" s="55">
        <v>7</v>
      </c>
      <c r="AQ14985" s="55">
        <v>2780.5</v>
      </c>
      <c r="AR14985" s="55">
        <v>28500</v>
      </c>
      <c r="AS14985" s="78">
        <f t="shared" si="238"/>
        <v>9.7561403508771932E-2</v>
      </c>
    </row>
    <row r="14986" spans="39:45">
      <c r="AM14986" s="54">
        <v>2020</v>
      </c>
      <c r="AN14986" s="54" t="s">
        <v>190</v>
      </c>
      <c r="AO14986" s="54">
        <v>16</v>
      </c>
      <c r="AP14986" s="54">
        <v>8</v>
      </c>
      <c r="AQ14986" s="54">
        <v>6326</v>
      </c>
      <c r="AR14986" s="55">
        <v>28500</v>
      </c>
      <c r="AS14986" s="78">
        <f t="shared" si="238"/>
        <v>0.22196491228070175</v>
      </c>
    </row>
    <row r="14987" spans="39:45">
      <c r="AM14987" s="55">
        <v>2020</v>
      </c>
      <c r="AN14987" s="55" t="s">
        <v>190</v>
      </c>
      <c r="AO14987" s="55">
        <v>16</v>
      </c>
      <c r="AP14987" s="55">
        <v>9</v>
      </c>
      <c r="AQ14987" s="55">
        <v>7042.5</v>
      </c>
      <c r="AR14987" s="55">
        <v>28500</v>
      </c>
      <c r="AS14987" s="78">
        <f t="shared" si="238"/>
        <v>0.24710526315789474</v>
      </c>
    </row>
    <row r="14988" spans="39:45">
      <c r="AM14988" s="54">
        <v>2020</v>
      </c>
      <c r="AN14988" s="54" t="s">
        <v>190</v>
      </c>
      <c r="AO14988" s="54">
        <v>16</v>
      </c>
      <c r="AP14988" s="54">
        <v>10</v>
      </c>
      <c r="AQ14988" s="54">
        <v>9693.5</v>
      </c>
      <c r="AR14988" s="55">
        <v>28500</v>
      </c>
      <c r="AS14988" s="78">
        <f t="shared" si="238"/>
        <v>0.34012280701754388</v>
      </c>
    </row>
    <row r="14989" spans="39:45">
      <c r="AM14989" s="55">
        <v>2020</v>
      </c>
      <c r="AN14989" s="55" t="s">
        <v>190</v>
      </c>
      <c r="AO14989" s="55">
        <v>16</v>
      </c>
      <c r="AP14989" s="55">
        <v>11</v>
      </c>
      <c r="AQ14989" s="55">
        <v>6839</v>
      </c>
      <c r="AR14989" s="55">
        <v>28500</v>
      </c>
      <c r="AS14989" s="78">
        <f t="shared" si="238"/>
        <v>0.23996491228070174</v>
      </c>
    </row>
    <row r="14990" spans="39:45">
      <c r="AM14990" s="54">
        <v>2020</v>
      </c>
      <c r="AN14990" s="54" t="s">
        <v>190</v>
      </c>
      <c r="AO14990" s="54">
        <v>16</v>
      </c>
      <c r="AP14990" s="54">
        <v>12</v>
      </c>
      <c r="AQ14990" s="54">
        <v>9986</v>
      </c>
      <c r="AR14990" s="55">
        <v>28500</v>
      </c>
      <c r="AS14990" s="78">
        <f t="shared" si="238"/>
        <v>0.35038596491228069</v>
      </c>
    </row>
    <row r="14991" spans="39:45">
      <c r="AM14991" s="55">
        <v>2020</v>
      </c>
      <c r="AN14991" s="55" t="s">
        <v>190</v>
      </c>
      <c r="AO14991" s="55">
        <v>16</v>
      </c>
      <c r="AP14991" s="55">
        <v>13</v>
      </c>
      <c r="AQ14991" s="55">
        <v>28744.5</v>
      </c>
      <c r="AR14991" s="55">
        <v>28500</v>
      </c>
      <c r="AS14991" s="78">
        <f t="shared" si="238"/>
        <v>1.008578947368421</v>
      </c>
    </row>
    <row r="14992" spans="39:45">
      <c r="AM14992" s="54">
        <v>2020</v>
      </c>
      <c r="AN14992" s="54" t="s">
        <v>190</v>
      </c>
      <c r="AO14992" s="54">
        <v>16</v>
      </c>
      <c r="AP14992" s="54">
        <v>14</v>
      </c>
      <c r="AQ14992" s="54">
        <v>15705</v>
      </c>
      <c r="AR14992" s="55">
        <v>28500</v>
      </c>
      <c r="AS14992" s="78">
        <f t="shared" si="238"/>
        <v>0.55105263157894735</v>
      </c>
    </row>
    <row r="14993" spans="39:45">
      <c r="AM14993" s="55">
        <v>2020</v>
      </c>
      <c r="AN14993" s="55" t="s">
        <v>190</v>
      </c>
      <c r="AO14993" s="55">
        <v>16</v>
      </c>
      <c r="AP14993" s="55">
        <v>15</v>
      </c>
      <c r="AQ14993" s="55">
        <v>17841</v>
      </c>
      <c r="AR14993" s="55">
        <v>28500</v>
      </c>
      <c r="AS14993" s="78">
        <f t="shared" si="238"/>
        <v>0.626</v>
      </c>
    </row>
    <row r="14994" spans="39:45">
      <c r="AM14994" s="54">
        <v>2020</v>
      </c>
      <c r="AN14994" s="54" t="s">
        <v>190</v>
      </c>
      <c r="AO14994" s="54">
        <v>16</v>
      </c>
      <c r="AP14994" s="54">
        <v>16</v>
      </c>
      <c r="AQ14994" s="54">
        <v>12712.5</v>
      </c>
      <c r="AR14994" s="55">
        <v>28500</v>
      </c>
      <c r="AS14994" s="78">
        <f t="shared" si="238"/>
        <v>0.44605263157894737</v>
      </c>
    </row>
    <row r="14995" spans="39:45">
      <c r="AM14995" s="55">
        <v>2020</v>
      </c>
      <c r="AN14995" s="55" t="s">
        <v>190</v>
      </c>
      <c r="AO14995" s="55">
        <v>16</v>
      </c>
      <c r="AP14995" s="55">
        <v>17</v>
      </c>
      <c r="AQ14995" s="55">
        <v>3053.5</v>
      </c>
      <c r="AR14995" s="55">
        <v>28500</v>
      </c>
      <c r="AS14995" s="78">
        <f t="shared" si="238"/>
        <v>0.10714035087719298</v>
      </c>
    </row>
    <row r="14996" spans="39:45">
      <c r="AM14996" s="54">
        <v>2020</v>
      </c>
      <c r="AN14996" s="54" t="s">
        <v>190</v>
      </c>
      <c r="AO14996" s="54">
        <v>16</v>
      </c>
      <c r="AP14996" s="54">
        <v>18</v>
      </c>
      <c r="AQ14996" s="54">
        <v>0</v>
      </c>
      <c r="AR14996" s="55">
        <v>28500</v>
      </c>
      <c r="AS14996" s="78">
        <f t="shared" si="238"/>
        <v>0</v>
      </c>
    </row>
    <row r="14997" spans="39:45">
      <c r="AM14997" s="55">
        <v>2020</v>
      </c>
      <c r="AN14997" s="55" t="s">
        <v>190</v>
      </c>
      <c r="AO14997" s="55">
        <v>16</v>
      </c>
      <c r="AP14997" s="55">
        <v>19</v>
      </c>
      <c r="AQ14997" s="55">
        <v>0</v>
      </c>
      <c r="AR14997" s="55">
        <v>28500</v>
      </c>
      <c r="AS14997" s="78">
        <f t="shared" si="238"/>
        <v>0</v>
      </c>
    </row>
    <row r="14998" spans="39:45">
      <c r="AM14998" s="54">
        <v>2020</v>
      </c>
      <c r="AN14998" s="54" t="s">
        <v>190</v>
      </c>
      <c r="AO14998" s="54">
        <v>16</v>
      </c>
      <c r="AP14998" s="54">
        <v>20</v>
      </c>
      <c r="AQ14998" s="54">
        <v>0</v>
      </c>
      <c r="AR14998" s="55">
        <v>28500</v>
      </c>
      <c r="AS14998" s="78">
        <f t="shared" si="238"/>
        <v>0</v>
      </c>
    </row>
    <row r="14999" spans="39:45">
      <c r="AM14999" s="55">
        <v>2020</v>
      </c>
      <c r="AN14999" s="55" t="s">
        <v>190</v>
      </c>
      <c r="AO14999" s="55">
        <v>16</v>
      </c>
      <c r="AP14999" s="55">
        <v>21</v>
      </c>
      <c r="AQ14999" s="55">
        <v>0</v>
      </c>
      <c r="AR14999" s="55">
        <v>28500</v>
      </c>
      <c r="AS14999" s="78">
        <f t="shared" si="238"/>
        <v>0</v>
      </c>
    </row>
    <row r="15000" spans="39:45">
      <c r="AM15000" s="54">
        <v>2020</v>
      </c>
      <c r="AN15000" s="54" t="s">
        <v>190</v>
      </c>
      <c r="AO15000" s="54">
        <v>16</v>
      </c>
      <c r="AP15000" s="54">
        <v>22</v>
      </c>
      <c r="AQ15000" s="54">
        <v>0</v>
      </c>
      <c r="AR15000" s="55">
        <v>28500</v>
      </c>
      <c r="AS15000" s="78">
        <f t="shared" si="238"/>
        <v>0</v>
      </c>
    </row>
    <row r="15001" spans="39:45">
      <c r="AM15001" s="55">
        <v>2020</v>
      </c>
      <c r="AN15001" s="55" t="s">
        <v>190</v>
      </c>
      <c r="AO15001" s="55">
        <v>16</v>
      </c>
      <c r="AP15001" s="55">
        <v>23</v>
      </c>
      <c r="AQ15001" s="55">
        <v>0</v>
      </c>
      <c r="AR15001" s="55">
        <v>28500</v>
      </c>
      <c r="AS15001" s="78">
        <f t="shared" si="238"/>
        <v>0</v>
      </c>
    </row>
    <row r="15002" spans="39:45">
      <c r="AM15002" s="54">
        <v>2020</v>
      </c>
      <c r="AN15002" s="54" t="s">
        <v>190</v>
      </c>
      <c r="AO15002" s="54">
        <v>17</v>
      </c>
      <c r="AP15002" s="54">
        <v>24</v>
      </c>
      <c r="AQ15002" s="54">
        <v>0</v>
      </c>
      <c r="AR15002" s="55">
        <v>28500</v>
      </c>
      <c r="AS15002" s="78">
        <f t="shared" si="238"/>
        <v>0</v>
      </c>
    </row>
    <row r="15003" spans="39:45">
      <c r="AM15003" s="55">
        <v>2020</v>
      </c>
      <c r="AN15003" s="55" t="s">
        <v>190</v>
      </c>
      <c r="AO15003" s="55">
        <v>17</v>
      </c>
      <c r="AP15003" s="55">
        <v>1</v>
      </c>
      <c r="AQ15003" s="55">
        <v>0</v>
      </c>
      <c r="AR15003" s="55">
        <v>28500</v>
      </c>
      <c r="AS15003" s="78">
        <f t="shared" si="238"/>
        <v>0</v>
      </c>
    </row>
    <row r="15004" spans="39:45">
      <c r="AM15004" s="54">
        <v>2020</v>
      </c>
      <c r="AN15004" s="54" t="s">
        <v>190</v>
      </c>
      <c r="AO15004" s="54">
        <v>17</v>
      </c>
      <c r="AP15004" s="54">
        <v>2</v>
      </c>
      <c r="AQ15004" s="54">
        <v>0</v>
      </c>
      <c r="AR15004" s="55">
        <v>28500</v>
      </c>
      <c r="AS15004" s="78">
        <f t="shared" si="238"/>
        <v>0</v>
      </c>
    </row>
    <row r="15005" spans="39:45">
      <c r="AM15005" s="55">
        <v>2020</v>
      </c>
      <c r="AN15005" s="55" t="s">
        <v>190</v>
      </c>
      <c r="AO15005" s="55">
        <v>17</v>
      </c>
      <c r="AP15005" s="55">
        <v>3</v>
      </c>
      <c r="AQ15005" s="55">
        <v>0</v>
      </c>
      <c r="AR15005" s="55">
        <v>28500</v>
      </c>
      <c r="AS15005" s="78">
        <f t="shared" si="238"/>
        <v>0</v>
      </c>
    </row>
    <row r="15006" spans="39:45">
      <c r="AM15006" s="54">
        <v>2020</v>
      </c>
      <c r="AN15006" s="54" t="s">
        <v>190</v>
      </c>
      <c r="AO15006" s="54">
        <v>17</v>
      </c>
      <c r="AP15006" s="54">
        <v>4</v>
      </c>
      <c r="AQ15006" s="54">
        <v>0</v>
      </c>
      <c r="AR15006" s="55">
        <v>28500</v>
      </c>
      <c r="AS15006" s="78">
        <f t="shared" si="238"/>
        <v>0</v>
      </c>
    </row>
    <row r="15007" spans="39:45">
      <c r="AM15007" s="55">
        <v>2020</v>
      </c>
      <c r="AN15007" s="55" t="s">
        <v>190</v>
      </c>
      <c r="AO15007" s="55">
        <v>17</v>
      </c>
      <c r="AP15007" s="55">
        <v>5</v>
      </c>
      <c r="AQ15007" s="55">
        <v>0</v>
      </c>
      <c r="AR15007" s="55">
        <v>28500</v>
      </c>
      <c r="AS15007" s="78">
        <f t="shared" si="238"/>
        <v>0</v>
      </c>
    </row>
    <row r="15008" spans="39:45">
      <c r="AM15008" s="54">
        <v>2020</v>
      </c>
      <c r="AN15008" s="54" t="s">
        <v>190</v>
      </c>
      <c r="AO15008" s="54">
        <v>17</v>
      </c>
      <c r="AP15008" s="54">
        <v>6</v>
      </c>
      <c r="AQ15008" s="54">
        <v>446.5</v>
      </c>
      <c r="AR15008" s="55">
        <v>28500</v>
      </c>
      <c r="AS15008" s="78">
        <f t="shared" si="238"/>
        <v>1.5666666666666666E-2</v>
      </c>
    </row>
    <row r="15009" spans="39:45">
      <c r="AM15009" s="55">
        <v>2020</v>
      </c>
      <c r="AN15009" s="55" t="s">
        <v>190</v>
      </c>
      <c r="AO15009" s="55">
        <v>17</v>
      </c>
      <c r="AP15009" s="55">
        <v>7</v>
      </c>
      <c r="AQ15009" s="55">
        <v>7305</v>
      </c>
      <c r="AR15009" s="55">
        <v>28500</v>
      </c>
      <c r="AS15009" s="78">
        <f t="shared" si="238"/>
        <v>0.25631578947368422</v>
      </c>
    </row>
    <row r="15010" spans="39:45">
      <c r="AM15010" s="54">
        <v>2020</v>
      </c>
      <c r="AN15010" s="54" t="s">
        <v>190</v>
      </c>
      <c r="AO15010" s="54">
        <v>17</v>
      </c>
      <c r="AP15010" s="54">
        <v>8</v>
      </c>
      <c r="AQ15010" s="54">
        <v>15760</v>
      </c>
      <c r="AR15010" s="55">
        <v>28500</v>
      </c>
      <c r="AS15010" s="78">
        <f t="shared" si="238"/>
        <v>0.55298245614035091</v>
      </c>
    </row>
    <row r="15011" spans="39:45">
      <c r="AM15011" s="55">
        <v>2020</v>
      </c>
      <c r="AN15011" s="55" t="s">
        <v>190</v>
      </c>
      <c r="AO15011" s="55">
        <v>17</v>
      </c>
      <c r="AP15011" s="55">
        <v>9</v>
      </c>
      <c r="AQ15011" s="55">
        <v>26247.5</v>
      </c>
      <c r="AR15011" s="55">
        <v>28500</v>
      </c>
      <c r="AS15011" s="78">
        <f t="shared" si="238"/>
        <v>0.92096491228070176</v>
      </c>
    </row>
    <row r="15012" spans="39:45">
      <c r="AM15012" s="54">
        <v>2020</v>
      </c>
      <c r="AN15012" s="54" t="s">
        <v>190</v>
      </c>
      <c r="AO15012" s="54">
        <v>17</v>
      </c>
      <c r="AP15012" s="54">
        <v>10</v>
      </c>
      <c r="AQ15012" s="54">
        <v>32326.5</v>
      </c>
      <c r="AR15012" s="55">
        <v>28500</v>
      </c>
      <c r="AS15012" s="78">
        <f t="shared" si="238"/>
        <v>1.1342631578947369</v>
      </c>
    </row>
    <row r="15013" spans="39:45">
      <c r="AM15013" s="55">
        <v>2020</v>
      </c>
      <c r="AN15013" s="55" t="s">
        <v>190</v>
      </c>
      <c r="AO15013" s="55">
        <v>17</v>
      </c>
      <c r="AP15013" s="55">
        <v>11</v>
      </c>
      <c r="AQ15013" s="55">
        <v>36986</v>
      </c>
      <c r="AR15013" s="55">
        <v>28500</v>
      </c>
      <c r="AS15013" s="78">
        <f t="shared" si="238"/>
        <v>1.2977543859649123</v>
      </c>
    </row>
    <row r="15014" spans="39:45">
      <c r="AM15014" s="54">
        <v>2020</v>
      </c>
      <c r="AN15014" s="54" t="s">
        <v>190</v>
      </c>
      <c r="AO15014" s="54">
        <v>17</v>
      </c>
      <c r="AP15014" s="54">
        <v>12</v>
      </c>
      <c r="AQ15014" s="54">
        <v>38094.5</v>
      </c>
      <c r="AR15014" s="55">
        <v>28500</v>
      </c>
      <c r="AS15014" s="78">
        <f t="shared" si="238"/>
        <v>1.3366491228070176</v>
      </c>
    </row>
    <row r="15015" spans="39:45">
      <c r="AM15015" s="55">
        <v>2020</v>
      </c>
      <c r="AN15015" s="55" t="s">
        <v>190</v>
      </c>
      <c r="AO15015" s="55">
        <v>17</v>
      </c>
      <c r="AP15015" s="55">
        <v>13</v>
      </c>
      <c r="AQ15015" s="55">
        <v>35737</v>
      </c>
      <c r="AR15015" s="55">
        <v>28500</v>
      </c>
      <c r="AS15015" s="78">
        <f t="shared" si="238"/>
        <v>1.2539298245614034</v>
      </c>
    </row>
    <row r="15016" spans="39:45">
      <c r="AM15016" s="54">
        <v>2020</v>
      </c>
      <c r="AN15016" s="54" t="s">
        <v>190</v>
      </c>
      <c r="AO15016" s="54">
        <v>17</v>
      </c>
      <c r="AP15016" s="54">
        <v>14</v>
      </c>
      <c r="AQ15016" s="54">
        <v>31970.5</v>
      </c>
      <c r="AR15016" s="55">
        <v>28500</v>
      </c>
      <c r="AS15016" s="78">
        <f t="shared" si="238"/>
        <v>1.1217719298245614</v>
      </c>
    </row>
    <row r="15017" spans="39:45">
      <c r="AM15017" s="55">
        <v>2020</v>
      </c>
      <c r="AN15017" s="55" t="s">
        <v>190</v>
      </c>
      <c r="AO15017" s="55">
        <v>17</v>
      </c>
      <c r="AP15017" s="55">
        <v>15</v>
      </c>
      <c r="AQ15017" s="55">
        <v>23687.5</v>
      </c>
      <c r="AR15017" s="55">
        <v>28500</v>
      </c>
      <c r="AS15017" s="78">
        <f t="shared" si="238"/>
        <v>0.83114035087719296</v>
      </c>
    </row>
    <row r="15018" spans="39:45">
      <c r="AM15018" s="54">
        <v>2020</v>
      </c>
      <c r="AN15018" s="54" t="s">
        <v>190</v>
      </c>
      <c r="AO15018" s="54">
        <v>17</v>
      </c>
      <c r="AP15018" s="54">
        <v>16</v>
      </c>
      <c r="AQ15018" s="54">
        <v>13310</v>
      </c>
      <c r="AR15018" s="55">
        <v>28500</v>
      </c>
      <c r="AS15018" s="78">
        <f t="shared" si="238"/>
        <v>0.46701754385964911</v>
      </c>
    </row>
    <row r="15019" spans="39:45">
      <c r="AM15019" s="55">
        <v>2020</v>
      </c>
      <c r="AN15019" s="55" t="s">
        <v>190</v>
      </c>
      <c r="AO15019" s="55">
        <v>17</v>
      </c>
      <c r="AP15019" s="55">
        <v>17</v>
      </c>
      <c r="AQ15019" s="55">
        <v>3279.5</v>
      </c>
      <c r="AR15019" s="55">
        <v>28500</v>
      </c>
      <c r="AS15019" s="78">
        <f t="shared" si="238"/>
        <v>0.11507017543859649</v>
      </c>
    </row>
    <row r="15020" spans="39:45">
      <c r="AM15020" s="54">
        <v>2020</v>
      </c>
      <c r="AN15020" s="54" t="s">
        <v>190</v>
      </c>
      <c r="AO15020" s="54">
        <v>17</v>
      </c>
      <c r="AP15020" s="54">
        <v>18</v>
      </c>
      <c r="AQ15020" s="54">
        <v>0</v>
      </c>
      <c r="AR15020" s="55">
        <v>28500</v>
      </c>
      <c r="AS15020" s="78">
        <f t="shared" si="238"/>
        <v>0</v>
      </c>
    </row>
    <row r="15021" spans="39:45">
      <c r="AM15021" s="55">
        <v>2020</v>
      </c>
      <c r="AN15021" s="55" t="s">
        <v>190</v>
      </c>
      <c r="AO15021" s="55">
        <v>17</v>
      </c>
      <c r="AP15021" s="55">
        <v>19</v>
      </c>
      <c r="AQ15021" s="55">
        <v>0</v>
      </c>
      <c r="AR15021" s="55">
        <v>28500</v>
      </c>
      <c r="AS15021" s="78">
        <f t="shared" si="238"/>
        <v>0</v>
      </c>
    </row>
    <row r="15022" spans="39:45">
      <c r="AM15022" s="54">
        <v>2020</v>
      </c>
      <c r="AN15022" s="54" t="s">
        <v>190</v>
      </c>
      <c r="AO15022" s="54">
        <v>17</v>
      </c>
      <c r="AP15022" s="54">
        <v>20</v>
      </c>
      <c r="AQ15022" s="54">
        <v>0</v>
      </c>
      <c r="AR15022" s="55">
        <v>28500</v>
      </c>
      <c r="AS15022" s="78">
        <f t="shared" si="238"/>
        <v>0</v>
      </c>
    </row>
    <row r="15023" spans="39:45">
      <c r="AM15023" s="55">
        <v>2020</v>
      </c>
      <c r="AN15023" s="55" t="s">
        <v>190</v>
      </c>
      <c r="AO15023" s="55">
        <v>17</v>
      </c>
      <c r="AP15023" s="55">
        <v>21</v>
      </c>
      <c r="AQ15023" s="55">
        <v>0</v>
      </c>
      <c r="AR15023" s="55">
        <v>28500</v>
      </c>
      <c r="AS15023" s="78">
        <f t="shared" si="238"/>
        <v>0</v>
      </c>
    </row>
    <row r="15024" spans="39:45">
      <c r="AM15024" s="54">
        <v>2020</v>
      </c>
      <c r="AN15024" s="54" t="s">
        <v>190</v>
      </c>
      <c r="AO15024" s="54">
        <v>17</v>
      </c>
      <c r="AP15024" s="54">
        <v>22</v>
      </c>
      <c r="AQ15024" s="54">
        <v>0</v>
      </c>
      <c r="AR15024" s="55">
        <v>28500</v>
      </c>
      <c r="AS15024" s="78">
        <f t="shared" si="238"/>
        <v>0</v>
      </c>
    </row>
    <row r="15025" spans="39:45">
      <c r="AM15025" s="55">
        <v>2020</v>
      </c>
      <c r="AN15025" s="55" t="s">
        <v>190</v>
      </c>
      <c r="AO15025" s="55">
        <v>17</v>
      </c>
      <c r="AP15025" s="55">
        <v>23</v>
      </c>
      <c r="AQ15025" s="55">
        <v>0</v>
      </c>
      <c r="AR15025" s="55">
        <v>28500</v>
      </c>
      <c r="AS15025" s="78">
        <f t="shared" si="238"/>
        <v>0</v>
      </c>
    </row>
    <row r="15026" spans="39:45">
      <c r="AM15026" s="54">
        <v>2020</v>
      </c>
      <c r="AN15026" s="54" t="s">
        <v>190</v>
      </c>
      <c r="AO15026" s="54">
        <v>18</v>
      </c>
      <c r="AP15026" s="54">
        <v>24</v>
      </c>
      <c r="AQ15026" s="54">
        <v>0</v>
      </c>
      <c r="AR15026" s="55">
        <v>28500</v>
      </c>
      <c r="AS15026" s="78">
        <f t="shared" si="238"/>
        <v>0</v>
      </c>
    </row>
    <row r="15027" spans="39:45">
      <c r="AM15027" s="55">
        <v>2020</v>
      </c>
      <c r="AN15027" s="55" t="s">
        <v>190</v>
      </c>
      <c r="AO15027" s="55">
        <v>18</v>
      </c>
      <c r="AP15027" s="55">
        <v>1</v>
      </c>
      <c r="AQ15027" s="55">
        <v>0</v>
      </c>
      <c r="AR15027" s="55">
        <v>28500</v>
      </c>
      <c r="AS15027" s="78">
        <f t="shared" si="238"/>
        <v>0</v>
      </c>
    </row>
    <row r="15028" spans="39:45">
      <c r="AM15028" s="54">
        <v>2020</v>
      </c>
      <c r="AN15028" s="54" t="s">
        <v>190</v>
      </c>
      <c r="AO15028" s="54">
        <v>18</v>
      </c>
      <c r="AP15028" s="54">
        <v>2</v>
      </c>
      <c r="AQ15028" s="54">
        <v>0</v>
      </c>
      <c r="AR15028" s="55">
        <v>28500</v>
      </c>
      <c r="AS15028" s="78">
        <f t="shared" si="238"/>
        <v>0</v>
      </c>
    </row>
    <row r="15029" spans="39:45">
      <c r="AM15029" s="55">
        <v>2020</v>
      </c>
      <c r="AN15029" s="55" t="s">
        <v>190</v>
      </c>
      <c r="AO15029" s="55">
        <v>18</v>
      </c>
      <c r="AP15029" s="55">
        <v>3</v>
      </c>
      <c r="AQ15029" s="55">
        <v>0</v>
      </c>
      <c r="AR15029" s="55">
        <v>28500</v>
      </c>
      <c r="AS15029" s="78">
        <f t="shared" si="238"/>
        <v>0</v>
      </c>
    </row>
    <row r="15030" spans="39:45">
      <c r="AM15030" s="54">
        <v>2020</v>
      </c>
      <c r="AN15030" s="54" t="s">
        <v>190</v>
      </c>
      <c r="AO15030" s="54">
        <v>18</v>
      </c>
      <c r="AP15030" s="54">
        <v>4</v>
      </c>
      <c r="AQ15030" s="54">
        <v>0</v>
      </c>
      <c r="AR15030" s="55">
        <v>28500</v>
      </c>
      <c r="AS15030" s="78">
        <f t="shared" si="238"/>
        <v>0</v>
      </c>
    </row>
    <row r="15031" spans="39:45">
      <c r="AM15031" s="55">
        <v>2020</v>
      </c>
      <c r="AN15031" s="55" t="s">
        <v>190</v>
      </c>
      <c r="AO15031" s="55">
        <v>18</v>
      </c>
      <c r="AP15031" s="55">
        <v>5</v>
      </c>
      <c r="AQ15031" s="55">
        <v>0</v>
      </c>
      <c r="AR15031" s="55">
        <v>28500</v>
      </c>
      <c r="AS15031" s="78">
        <f t="shared" si="238"/>
        <v>0</v>
      </c>
    </row>
    <row r="15032" spans="39:45">
      <c r="AM15032" s="54">
        <v>2020</v>
      </c>
      <c r="AN15032" s="54" t="s">
        <v>190</v>
      </c>
      <c r="AO15032" s="54">
        <v>18</v>
      </c>
      <c r="AP15032" s="54">
        <v>6</v>
      </c>
      <c r="AQ15032" s="54">
        <v>521</v>
      </c>
      <c r="AR15032" s="55">
        <v>28500</v>
      </c>
      <c r="AS15032" s="78">
        <f t="shared" si="238"/>
        <v>1.8280701754385963E-2</v>
      </c>
    </row>
    <row r="15033" spans="39:45">
      <c r="AM15033" s="55">
        <v>2020</v>
      </c>
      <c r="AN15033" s="55" t="s">
        <v>190</v>
      </c>
      <c r="AO15033" s="55">
        <v>18</v>
      </c>
      <c r="AP15033" s="55">
        <v>7</v>
      </c>
      <c r="AQ15033" s="55">
        <v>8626.5</v>
      </c>
      <c r="AR15033" s="55">
        <v>28500</v>
      </c>
      <c r="AS15033" s="78">
        <f t="shared" si="238"/>
        <v>0.30268421052631578</v>
      </c>
    </row>
    <row r="15034" spans="39:45">
      <c r="AM15034" s="54">
        <v>2020</v>
      </c>
      <c r="AN15034" s="54" t="s">
        <v>190</v>
      </c>
      <c r="AO15034" s="54">
        <v>18</v>
      </c>
      <c r="AP15034" s="54">
        <v>8</v>
      </c>
      <c r="AQ15034" s="54">
        <v>20008</v>
      </c>
      <c r="AR15034" s="55">
        <v>28500</v>
      </c>
      <c r="AS15034" s="78">
        <f t="shared" si="238"/>
        <v>0.70203508771929823</v>
      </c>
    </row>
    <row r="15035" spans="39:45">
      <c r="AM15035" s="55">
        <v>2020</v>
      </c>
      <c r="AN15035" s="55" t="s">
        <v>190</v>
      </c>
      <c r="AO15035" s="55">
        <v>18</v>
      </c>
      <c r="AP15035" s="55">
        <v>9</v>
      </c>
      <c r="AQ15035" s="55">
        <v>28413.5</v>
      </c>
      <c r="AR15035" s="55">
        <v>28500</v>
      </c>
      <c r="AS15035" s="78">
        <f t="shared" si="238"/>
        <v>0.99696491228070172</v>
      </c>
    </row>
    <row r="15036" spans="39:45">
      <c r="AM15036" s="54">
        <v>2020</v>
      </c>
      <c r="AN15036" s="54" t="s">
        <v>190</v>
      </c>
      <c r="AO15036" s="54">
        <v>18</v>
      </c>
      <c r="AP15036" s="54">
        <v>10</v>
      </c>
      <c r="AQ15036" s="54">
        <v>36256.5</v>
      </c>
      <c r="AR15036" s="55">
        <v>28500</v>
      </c>
      <c r="AS15036" s="78">
        <f t="shared" si="238"/>
        <v>1.2721578947368422</v>
      </c>
    </row>
    <row r="15037" spans="39:45">
      <c r="AM15037" s="55">
        <v>2020</v>
      </c>
      <c r="AN15037" s="55" t="s">
        <v>190</v>
      </c>
      <c r="AO15037" s="55">
        <v>18</v>
      </c>
      <c r="AP15037" s="55">
        <v>11</v>
      </c>
      <c r="AQ15037" s="55">
        <v>39441.5</v>
      </c>
      <c r="AR15037" s="55">
        <v>28500</v>
      </c>
      <c r="AS15037" s="78">
        <f t="shared" si="238"/>
        <v>1.3839122807017543</v>
      </c>
    </row>
    <row r="15038" spans="39:45">
      <c r="AM15038" s="54">
        <v>2020</v>
      </c>
      <c r="AN15038" s="54" t="s">
        <v>190</v>
      </c>
      <c r="AO15038" s="54">
        <v>18</v>
      </c>
      <c r="AP15038" s="54">
        <v>12</v>
      </c>
      <c r="AQ15038" s="54">
        <v>41077</v>
      </c>
      <c r="AR15038" s="55">
        <v>28500</v>
      </c>
      <c r="AS15038" s="78">
        <f t="shared" si="238"/>
        <v>1.4412982456140351</v>
      </c>
    </row>
    <row r="15039" spans="39:45">
      <c r="AM15039" s="55">
        <v>2020</v>
      </c>
      <c r="AN15039" s="55" t="s">
        <v>190</v>
      </c>
      <c r="AO15039" s="55">
        <v>18</v>
      </c>
      <c r="AP15039" s="55">
        <v>13</v>
      </c>
      <c r="AQ15039" s="55">
        <v>37255</v>
      </c>
      <c r="AR15039" s="55">
        <v>28500</v>
      </c>
      <c r="AS15039" s="78">
        <f t="shared" si="238"/>
        <v>1.3071929824561404</v>
      </c>
    </row>
    <row r="15040" spans="39:45">
      <c r="AM15040" s="54">
        <v>2020</v>
      </c>
      <c r="AN15040" s="54" t="s">
        <v>190</v>
      </c>
      <c r="AO15040" s="54">
        <v>18</v>
      </c>
      <c r="AP15040" s="54">
        <v>14</v>
      </c>
      <c r="AQ15040" s="54">
        <v>32074</v>
      </c>
      <c r="AR15040" s="55">
        <v>28500</v>
      </c>
      <c r="AS15040" s="78">
        <f t="shared" si="238"/>
        <v>1.1254035087719299</v>
      </c>
    </row>
    <row r="15041" spans="39:45">
      <c r="AM15041" s="55">
        <v>2020</v>
      </c>
      <c r="AN15041" s="55" t="s">
        <v>190</v>
      </c>
      <c r="AO15041" s="55">
        <v>18</v>
      </c>
      <c r="AP15041" s="55">
        <v>15</v>
      </c>
      <c r="AQ15041" s="55">
        <v>24604</v>
      </c>
      <c r="AR15041" s="55">
        <v>28500</v>
      </c>
      <c r="AS15041" s="78">
        <f t="shared" si="238"/>
        <v>0.86329824561403512</v>
      </c>
    </row>
    <row r="15042" spans="39:45">
      <c r="AM15042" s="54">
        <v>2020</v>
      </c>
      <c r="AN15042" s="54" t="s">
        <v>190</v>
      </c>
      <c r="AO15042" s="54">
        <v>18</v>
      </c>
      <c r="AP15042" s="54">
        <v>16</v>
      </c>
      <c r="AQ15042" s="54">
        <v>7620</v>
      </c>
      <c r="AR15042" s="55">
        <v>28500</v>
      </c>
      <c r="AS15042" s="78">
        <f t="shared" ref="AS15042:AS15105" si="239">AQ15042/AR15042</f>
        <v>0.26736842105263159</v>
      </c>
    </row>
    <row r="15043" spans="39:45">
      <c r="AM15043" s="55">
        <v>2020</v>
      </c>
      <c r="AN15043" s="55" t="s">
        <v>190</v>
      </c>
      <c r="AO15043" s="55">
        <v>18</v>
      </c>
      <c r="AP15043" s="55">
        <v>17</v>
      </c>
      <c r="AQ15043" s="55">
        <v>3542.5</v>
      </c>
      <c r="AR15043" s="55">
        <v>28500</v>
      </c>
      <c r="AS15043" s="78">
        <f t="shared" si="239"/>
        <v>0.12429824561403509</v>
      </c>
    </row>
    <row r="15044" spans="39:45">
      <c r="AM15044" s="54">
        <v>2020</v>
      </c>
      <c r="AN15044" s="54" t="s">
        <v>190</v>
      </c>
      <c r="AO15044" s="54">
        <v>18</v>
      </c>
      <c r="AP15044" s="54">
        <v>18</v>
      </c>
      <c r="AQ15044" s="54">
        <v>0</v>
      </c>
      <c r="AR15044" s="55">
        <v>28500</v>
      </c>
      <c r="AS15044" s="78">
        <f t="shared" si="239"/>
        <v>0</v>
      </c>
    </row>
    <row r="15045" spans="39:45">
      <c r="AM15045" s="55">
        <v>2020</v>
      </c>
      <c r="AN15045" s="55" t="s">
        <v>190</v>
      </c>
      <c r="AO15045" s="55">
        <v>18</v>
      </c>
      <c r="AP15045" s="55">
        <v>19</v>
      </c>
      <c r="AQ15045" s="55">
        <v>0</v>
      </c>
      <c r="AR15045" s="55">
        <v>28500</v>
      </c>
      <c r="AS15045" s="78">
        <f t="shared" si="239"/>
        <v>0</v>
      </c>
    </row>
    <row r="15046" spans="39:45">
      <c r="AM15046" s="54">
        <v>2020</v>
      </c>
      <c r="AN15046" s="54" t="s">
        <v>190</v>
      </c>
      <c r="AO15046" s="54">
        <v>18</v>
      </c>
      <c r="AP15046" s="54">
        <v>20</v>
      </c>
      <c r="AQ15046" s="54">
        <v>0</v>
      </c>
      <c r="AR15046" s="55">
        <v>28500</v>
      </c>
      <c r="AS15046" s="78">
        <f t="shared" si="239"/>
        <v>0</v>
      </c>
    </row>
    <row r="15047" spans="39:45">
      <c r="AM15047" s="55">
        <v>2020</v>
      </c>
      <c r="AN15047" s="55" t="s">
        <v>190</v>
      </c>
      <c r="AO15047" s="55">
        <v>18</v>
      </c>
      <c r="AP15047" s="55">
        <v>21</v>
      </c>
      <c r="AQ15047" s="55">
        <v>0</v>
      </c>
      <c r="AR15047" s="55">
        <v>28500</v>
      </c>
      <c r="AS15047" s="78">
        <f t="shared" si="239"/>
        <v>0</v>
      </c>
    </row>
    <row r="15048" spans="39:45">
      <c r="AM15048" s="54">
        <v>2020</v>
      </c>
      <c r="AN15048" s="54" t="s">
        <v>190</v>
      </c>
      <c r="AO15048" s="54">
        <v>18</v>
      </c>
      <c r="AP15048" s="54">
        <v>22</v>
      </c>
      <c r="AQ15048" s="54">
        <v>0</v>
      </c>
      <c r="AR15048" s="55">
        <v>28500</v>
      </c>
      <c r="AS15048" s="78">
        <f t="shared" si="239"/>
        <v>0</v>
      </c>
    </row>
    <row r="15049" spans="39:45">
      <c r="AM15049" s="55">
        <v>2020</v>
      </c>
      <c r="AN15049" s="55" t="s">
        <v>190</v>
      </c>
      <c r="AO15049" s="55">
        <v>18</v>
      </c>
      <c r="AP15049" s="55">
        <v>23</v>
      </c>
      <c r="AQ15049" s="55">
        <v>0</v>
      </c>
      <c r="AR15049" s="55">
        <v>28500</v>
      </c>
      <c r="AS15049" s="78">
        <f t="shared" si="239"/>
        <v>0</v>
      </c>
    </row>
    <row r="15050" spans="39:45">
      <c r="AM15050" s="54">
        <v>2020</v>
      </c>
      <c r="AN15050" s="54" t="s">
        <v>190</v>
      </c>
      <c r="AO15050" s="54">
        <v>19</v>
      </c>
      <c r="AP15050" s="54">
        <v>24</v>
      </c>
      <c r="AQ15050" s="54">
        <v>0</v>
      </c>
      <c r="AR15050" s="55">
        <v>28500</v>
      </c>
      <c r="AS15050" s="78">
        <f t="shared" si="239"/>
        <v>0</v>
      </c>
    </row>
    <row r="15051" spans="39:45">
      <c r="AM15051" s="55">
        <v>2020</v>
      </c>
      <c r="AN15051" s="55" t="s">
        <v>190</v>
      </c>
      <c r="AO15051" s="55">
        <v>19</v>
      </c>
      <c r="AP15051" s="55">
        <v>1</v>
      </c>
      <c r="AQ15051" s="55">
        <v>0</v>
      </c>
      <c r="AR15051" s="55">
        <v>28500</v>
      </c>
      <c r="AS15051" s="78">
        <f t="shared" si="239"/>
        <v>0</v>
      </c>
    </row>
    <row r="15052" spans="39:45">
      <c r="AM15052" s="54">
        <v>2020</v>
      </c>
      <c r="AN15052" s="54" t="s">
        <v>190</v>
      </c>
      <c r="AO15052" s="54">
        <v>19</v>
      </c>
      <c r="AP15052" s="54">
        <v>2</v>
      </c>
      <c r="AQ15052" s="54">
        <v>0</v>
      </c>
      <c r="AR15052" s="55">
        <v>28500</v>
      </c>
      <c r="AS15052" s="78">
        <f t="shared" si="239"/>
        <v>0</v>
      </c>
    </row>
    <row r="15053" spans="39:45">
      <c r="AM15053" s="55">
        <v>2020</v>
      </c>
      <c r="AN15053" s="55" t="s">
        <v>190</v>
      </c>
      <c r="AO15053" s="55">
        <v>19</v>
      </c>
      <c r="AP15053" s="55">
        <v>3</v>
      </c>
      <c r="AQ15053" s="55">
        <v>0</v>
      </c>
      <c r="AR15053" s="55">
        <v>28500</v>
      </c>
      <c r="AS15053" s="78">
        <f t="shared" si="239"/>
        <v>0</v>
      </c>
    </row>
    <row r="15054" spans="39:45">
      <c r="AM15054" s="54">
        <v>2020</v>
      </c>
      <c r="AN15054" s="54" t="s">
        <v>190</v>
      </c>
      <c r="AO15054" s="54">
        <v>19</v>
      </c>
      <c r="AP15054" s="54">
        <v>4</v>
      </c>
      <c r="AQ15054" s="54">
        <v>0</v>
      </c>
      <c r="AR15054" s="55">
        <v>28500</v>
      </c>
      <c r="AS15054" s="78">
        <f t="shared" si="239"/>
        <v>0</v>
      </c>
    </row>
    <row r="15055" spans="39:45">
      <c r="AM15055" s="55">
        <v>2020</v>
      </c>
      <c r="AN15055" s="55" t="s">
        <v>190</v>
      </c>
      <c r="AO15055" s="55">
        <v>19</v>
      </c>
      <c r="AP15055" s="55">
        <v>5</v>
      </c>
      <c r="AQ15055" s="55">
        <v>0</v>
      </c>
      <c r="AR15055" s="55">
        <v>28500</v>
      </c>
      <c r="AS15055" s="78">
        <f t="shared" si="239"/>
        <v>0</v>
      </c>
    </row>
    <row r="15056" spans="39:45">
      <c r="AM15056" s="54">
        <v>2020</v>
      </c>
      <c r="AN15056" s="54" t="s">
        <v>190</v>
      </c>
      <c r="AO15056" s="54">
        <v>19</v>
      </c>
      <c r="AP15056" s="54">
        <v>6</v>
      </c>
      <c r="AQ15056" s="54">
        <v>226.5</v>
      </c>
      <c r="AR15056" s="55">
        <v>28500</v>
      </c>
      <c r="AS15056" s="78">
        <f t="shared" si="239"/>
        <v>7.9473684210526318E-3</v>
      </c>
    </row>
    <row r="15057" spans="39:45">
      <c r="AM15057" s="55">
        <v>2020</v>
      </c>
      <c r="AN15057" s="55" t="s">
        <v>190</v>
      </c>
      <c r="AO15057" s="55">
        <v>19</v>
      </c>
      <c r="AP15057" s="55">
        <v>7</v>
      </c>
      <c r="AQ15057" s="55">
        <v>6032.5</v>
      </c>
      <c r="AR15057" s="55">
        <v>28500</v>
      </c>
      <c r="AS15057" s="78">
        <f t="shared" si="239"/>
        <v>0.21166666666666667</v>
      </c>
    </row>
    <row r="15058" spans="39:45">
      <c r="AM15058" s="54">
        <v>2020</v>
      </c>
      <c r="AN15058" s="54" t="s">
        <v>190</v>
      </c>
      <c r="AO15058" s="54">
        <v>19</v>
      </c>
      <c r="AP15058" s="54">
        <v>8</v>
      </c>
      <c r="AQ15058" s="54">
        <v>16673.5</v>
      </c>
      <c r="AR15058" s="55">
        <v>28500</v>
      </c>
      <c r="AS15058" s="78">
        <f t="shared" si="239"/>
        <v>0.58503508771929824</v>
      </c>
    </row>
    <row r="15059" spans="39:45">
      <c r="AM15059" s="55">
        <v>2020</v>
      </c>
      <c r="AN15059" s="55" t="s">
        <v>190</v>
      </c>
      <c r="AO15059" s="55">
        <v>19</v>
      </c>
      <c r="AP15059" s="55">
        <v>9</v>
      </c>
      <c r="AQ15059" s="55">
        <v>26638</v>
      </c>
      <c r="AR15059" s="55">
        <v>28500</v>
      </c>
      <c r="AS15059" s="78">
        <f t="shared" si="239"/>
        <v>0.93466666666666665</v>
      </c>
    </row>
    <row r="15060" spans="39:45">
      <c r="AM15060" s="54">
        <v>2020</v>
      </c>
      <c r="AN15060" s="54" t="s">
        <v>190</v>
      </c>
      <c r="AO15060" s="54">
        <v>19</v>
      </c>
      <c r="AP15060" s="54">
        <v>10</v>
      </c>
      <c r="AQ15060" s="54">
        <v>33671.5</v>
      </c>
      <c r="AR15060" s="55">
        <v>28500</v>
      </c>
      <c r="AS15060" s="78">
        <f t="shared" si="239"/>
        <v>1.1814561403508772</v>
      </c>
    </row>
    <row r="15061" spans="39:45">
      <c r="AM15061" s="55">
        <v>2020</v>
      </c>
      <c r="AN15061" s="55" t="s">
        <v>190</v>
      </c>
      <c r="AO15061" s="55">
        <v>19</v>
      </c>
      <c r="AP15061" s="55">
        <v>11</v>
      </c>
      <c r="AQ15061" s="55">
        <v>35561</v>
      </c>
      <c r="AR15061" s="55">
        <v>28500</v>
      </c>
      <c r="AS15061" s="78">
        <f t="shared" si="239"/>
        <v>1.2477543859649123</v>
      </c>
    </row>
    <row r="15062" spans="39:45">
      <c r="AM15062" s="54">
        <v>2020</v>
      </c>
      <c r="AN15062" s="54" t="s">
        <v>190</v>
      </c>
      <c r="AO15062" s="54">
        <v>19</v>
      </c>
      <c r="AP15062" s="54">
        <v>12</v>
      </c>
      <c r="AQ15062" s="54">
        <v>25392.5</v>
      </c>
      <c r="AR15062" s="55">
        <v>28500</v>
      </c>
      <c r="AS15062" s="78">
        <f t="shared" si="239"/>
        <v>0.89096491228070174</v>
      </c>
    </row>
    <row r="15063" spans="39:45">
      <c r="AM15063" s="55">
        <v>2020</v>
      </c>
      <c r="AN15063" s="55" t="s">
        <v>190</v>
      </c>
      <c r="AO15063" s="55">
        <v>19</v>
      </c>
      <c r="AP15063" s="55">
        <v>13</v>
      </c>
      <c r="AQ15063" s="55">
        <v>26537</v>
      </c>
      <c r="AR15063" s="55">
        <v>28500</v>
      </c>
      <c r="AS15063" s="78">
        <f t="shared" si="239"/>
        <v>0.93112280701754391</v>
      </c>
    </row>
    <row r="15064" spans="39:45">
      <c r="AM15064" s="54">
        <v>2020</v>
      </c>
      <c r="AN15064" s="54" t="s">
        <v>190</v>
      </c>
      <c r="AO15064" s="54">
        <v>19</v>
      </c>
      <c r="AP15064" s="54">
        <v>14</v>
      </c>
      <c r="AQ15064" s="54">
        <v>26179.5</v>
      </c>
      <c r="AR15064" s="55">
        <v>28500</v>
      </c>
      <c r="AS15064" s="78">
        <f t="shared" si="239"/>
        <v>0.91857894736842105</v>
      </c>
    </row>
    <row r="15065" spans="39:45">
      <c r="AM15065" s="55">
        <v>2020</v>
      </c>
      <c r="AN15065" s="55" t="s">
        <v>190</v>
      </c>
      <c r="AO15065" s="55">
        <v>19</v>
      </c>
      <c r="AP15065" s="55">
        <v>15</v>
      </c>
      <c r="AQ15065" s="55">
        <v>19006.5</v>
      </c>
      <c r="AR15065" s="55">
        <v>28500</v>
      </c>
      <c r="AS15065" s="78">
        <f t="shared" si="239"/>
        <v>0.66689473684210532</v>
      </c>
    </row>
    <row r="15066" spans="39:45">
      <c r="AM15066" s="54">
        <v>2020</v>
      </c>
      <c r="AN15066" s="54" t="s">
        <v>190</v>
      </c>
      <c r="AO15066" s="54">
        <v>19</v>
      </c>
      <c r="AP15066" s="54">
        <v>16</v>
      </c>
      <c r="AQ15066" s="54">
        <v>7820</v>
      </c>
      <c r="AR15066" s="55">
        <v>28500</v>
      </c>
      <c r="AS15066" s="78">
        <f t="shared" si="239"/>
        <v>0.27438596491228068</v>
      </c>
    </row>
    <row r="15067" spans="39:45">
      <c r="AM15067" s="55">
        <v>2020</v>
      </c>
      <c r="AN15067" s="55" t="s">
        <v>190</v>
      </c>
      <c r="AO15067" s="55">
        <v>19</v>
      </c>
      <c r="AP15067" s="55">
        <v>17</v>
      </c>
      <c r="AQ15067" s="55">
        <v>2833.5</v>
      </c>
      <c r="AR15067" s="55">
        <v>28500</v>
      </c>
      <c r="AS15067" s="78">
        <f t="shared" si="239"/>
        <v>9.9421052631578952E-2</v>
      </c>
    </row>
    <row r="15068" spans="39:45">
      <c r="AM15068" s="54">
        <v>2020</v>
      </c>
      <c r="AN15068" s="54" t="s">
        <v>190</v>
      </c>
      <c r="AO15068" s="54">
        <v>19</v>
      </c>
      <c r="AP15068" s="54">
        <v>18</v>
      </c>
      <c r="AQ15068" s="54">
        <v>0</v>
      </c>
      <c r="AR15068" s="55">
        <v>28500</v>
      </c>
      <c r="AS15068" s="78">
        <f t="shared" si="239"/>
        <v>0</v>
      </c>
    </row>
    <row r="15069" spans="39:45">
      <c r="AM15069" s="55">
        <v>2020</v>
      </c>
      <c r="AN15069" s="55" t="s">
        <v>190</v>
      </c>
      <c r="AO15069" s="55">
        <v>19</v>
      </c>
      <c r="AP15069" s="55">
        <v>19</v>
      </c>
      <c r="AQ15069" s="55">
        <v>0</v>
      </c>
      <c r="AR15069" s="55">
        <v>28500</v>
      </c>
      <c r="AS15069" s="78">
        <f t="shared" si="239"/>
        <v>0</v>
      </c>
    </row>
    <row r="15070" spans="39:45">
      <c r="AM15070" s="54">
        <v>2020</v>
      </c>
      <c r="AN15070" s="54" t="s">
        <v>190</v>
      </c>
      <c r="AO15070" s="54">
        <v>19</v>
      </c>
      <c r="AP15070" s="54">
        <v>20</v>
      </c>
      <c r="AQ15070" s="54">
        <v>0</v>
      </c>
      <c r="AR15070" s="55">
        <v>28500</v>
      </c>
      <c r="AS15070" s="78">
        <f t="shared" si="239"/>
        <v>0</v>
      </c>
    </row>
    <row r="15071" spans="39:45">
      <c r="AM15071" s="55">
        <v>2020</v>
      </c>
      <c r="AN15071" s="55" t="s">
        <v>190</v>
      </c>
      <c r="AO15071" s="55">
        <v>19</v>
      </c>
      <c r="AP15071" s="55">
        <v>21</v>
      </c>
      <c r="AQ15071" s="55">
        <v>0</v>
      </c>
      <c r="AR15071" s="55">
        <v>28500</v>
      </c>
      <c r="AS15071" s="78">
        <f t="shared" si="239"/>
        <v>0</v>
      </c>
    </row>
    <row r="15072" spans="39:45">
      <c r="AM15072" s="54">
        <v>2020</v>
      </c>
      <c r="AN15072" s="54" t="s">
        <v>190</v>
      </c>
      <c r="AO15072" s="54">
        <v>19</v>
      </c>
      <c r="AP15072" s="54">
        <v>22</v>
      </c>
      <c r="AQ15072" s="54">
        <v>0</v>
      </c>
      <c r="AR15072" s="55">
        <v>28500</v>
      </c>
      <c r="AS15072" s="78">
        <f t="shared" si="239"/>
        <v>0</v>
      </c>
    </row>
    <row r="15073" spans="39:45">
      <c r="AM15073" s="55">
        <v>2020</v>
      </c>
      <c r="AN15073" s="55" t="s">
        <v>190</v>
      </c>
      <c r="AO15073" s="55">
        <v>19</v>
      </c>
      <c r="AP15073" s="55">
        <v>23</v>
      </c>
      <c r="AQ15073" s="55">
        <v>0</v>
      </c>
      <c r="AR15073" s="55">
        <v>28500</v>
      </c>
      <c r="AS15073" s="78">
        <f t="shared" si="239"/>
        <v>0</v>
      </c>
    </row>
    <row r="15074" spans="39:45">
      <c r="AM15074" s="54">
        <v>2020</v>
      </c>
      <c r="AN15074" s="54" t="s">
        <v>190</v>
      </c>
      <c r="AO15074" s="54">
        <v>20</v>
      </c>
      <c r="AP15074" s="54">
        <v>24</v>
      </c>
      <c r="AQ15074" s="54">
        <v>0</v>
      </c>
      <c r="AR15074" s="55">
        <v>28500</v>
      </c>
      <c r="AS15074" s="78">
        <f t="shared" si="239"/>
        <v>0</v>
      </c>
    </row>
    <row r="15075" spans="39:45">
      <c r="AM15075" s="55">
        <v>2020</v>
      </c>
      <c r="AN15075" s="55" t="s">
        <v>190</v>
      </c>
      <c r="AO15075" s="55">
        <v>20</v>
      </c>
      <c r="AP15075" s="55">
        <v>1</v>
      </c>
      <c r="AQ15075" s="55">
        <v>0</v>
      </c>
      <c r="AR15075" s="55">
        <v>28500</v>
      </c>
      <c r="AS15075" s="78">
        <f t="shared" si="239"/>
        <v>0</v>
      </c>
    </row>
    <row r="15076" spans="39:45">
      <c r="AM15076" s="54">
        <v>2020</v>
      </c>
      <c r="AN15076" s="54" t="s">
        <v>190</v>
      </c>
      <c r="AO15076" s="54">
        <v>20</v>
      </c>
      <c r="AP15076" s="54">
        <v>2</v>
      </c>
      <c r="AQ15076" s="54">
        <v>0</v>
      </c>
      <c r="AR15076" s="55">
        <v>28500</v>
      </c>
      <c r="AS15076" s="78">
        <f t="shared" si="239"/>
        <v>0</v>
      </c>
    </row>
    <row r="15077" spans="39:45">
      <c r="AM15077" s="55">
        <v>2020</v>
      </c>
      <c r="AN15077" s="55" t="s">
        <v>190</v>
      </c>
      <c r="AO15077" s="55">
        <v>20</v>
      </c>
      <c r="AP15077" s="55">
        <v>3</v>
      </c>
      <c r="AQ15077" s="55">
        <v>0</v>
      </c>
      <c r="AR15077" s="55">
        <v>28500</v>
      </c>
      <c r="AS15077" s="78">
        <f t="shared" si="239"/>
        <v>0</v>
      </c>
    </row>
    <row r="15078" spans="39:45">
      <c r="AM15078" s="54">
        <v>2020</v>
      </c>
      <c r="AN15078" s="54" t="s">
        <v>190</v>
      </c>
      <c r="AO15078" s="54">
        <v>20</v>
      </c>
      <c r="AP15078" s="54">
        <v>4</v>
      </c>
      <c r="AQ15078" s="54">
        <v>0</v>
      </c>
      <c r="AR15078" s="55">
        <v>28500</v>
      </c>
      <c r="AS15078" s="78">
        <f t="shared" si="239"/>
        <v>0</v>
      </c>
    </row>
    <row r="15079" spans="39:45">
      <c r="AM15079" s="55">
        <v>2020</v>
      </c>
      <c r="AN15079" s="55" t="s">
        <v>190</v>
      </c>
      <c r="AO15079" s="55">
        <v>20</v>
      </c>
      <c r="AP15079" s="55">
        <v>5</v>
      </c>
      <c r="AQ15079" s="55">
        <v>0</v>
      </c>
      <c r="AR15079" s="55">
        <v>28500</v>
      </c>
      <c r="AS15079" s="78">
        <f t="shared" si="239"/>
        <v>0</v>
      </c>
    </row>
    <row r="15080" spans="39:45">
      <c r="AM15080" s="54">
        <v>2020</v>
      </c>
      <c r="AN15080" s="54" t="s">
        <v>190</v>
      </c>
      <c r="AO15080" s="54">
        <v>20</v>
      </c>
      <c r="AP15080" s="54">
        <v>6</v>
      </c>
      <c r="AQ15080" s="54">
        <v>339.5</v>
      </c>
      <c r="AR15080" s="55">
        <v>28500</v>
      </c>
      <c r="AS15080" s="78">
        <f t="shared" si="239"/>
        <v>1.1912280701754386E-2</v>
      </c>
    </row>
    <row r="15081" spans="39:45">
      <c r="AM15081" s="55">
        <v>2020</v>
      </c>
      <c r="AN15081" s="55" t="s">
        <v>190</v>
      </c>
      <c r="AO15081" s="55">
        <v>20</v>
      </c>
      <c r="AP15081" s="55">
        <v>7</v>
      </c>
      <c r="AQ15081" s="55">
        <v>5856.5</v>
      </c>
      <c r="AR15081" s="55">
        <v>28500</v>
      </c>
      <c r="AS15081" s="78">
        <f t="shared" si="239"/>
        <v>0.20549122807017545</v>
      </c>
    </row>
    <row r="15082" spans="39:45">
      <c r="AM15082" s="54">
        <v>2020</v>
      </c>
      <c r="AN15082" s="54" t="s">
        <v>190</v>
      </c>
      <c r="AO15082" s="54">
        <v>20</v>
      </c>
      <c r="AP15082" s="54">
        <v>8</v>
      </c>
      <c r="AQ15082" s="54">
        <v>18137</v>
      </c>
      <c r="AR15082" s="55">
        <v>28500</v>
      </c>
      <c r="AS15082" s="78">
        <f t="shared" si="239"/>
        <v>0.63638596491228072</v>
      </c>
    </row>
    <row r="15083" spans="39:45">
      <c r="AM15083" s="55">
        <v>2020</v>
      </c>
      <c r="AN15083" s="55" t="s">
        <v>190</v>
      </c>
      <c r="AO15083" s="55">
        <v>20</v>
      </c>
      <c r="AP15083" s="55">
        <v>9</v>
      </c>
      <c r="AQ15083" s="55">
        <v>27162.5</v>
      </c>
      <c r="AR15083" s="55">
        <v>28500</v>
      </c>
      <c r="AS15083" s="78">
        <f t="shared" si="239"/>
        <v>0.95307017543859651</v>
      </c>
    </row>
    <row r="15084" spans="39:45">
      <c r="AM15084" s="54">
        <v>2020</v>
      </c>
      <c r="AN15084" s="54" t="s">
        <v>190</v>
      </c>
      <c r="AO15084" s="54">
        <v>20</v>
      </c>
      <c r="AP15084" s="54">
        <v>10</v>
      </c>
      <c r="AQ15084" s="54">
        <v>33592</v>
      </c>
      <c r="AR15084" s="55">
        <v>28500</v>
      </c>
      <c r="AS15084" s="78">
        <f t="shared" si="239"/>
        <v>1.1786666666666668</v>
      </c>
    </row>
    <row r="15085" spans="39:45">
      <c r="AM15085" s="55">
        <v>2020</v>
      </c>
      <c r="AN15085" s="55" t="s">
        <v>190</v>
      </c>
      <c r="AO15085" s="55">
        <v>20</v>
      </c>
      <c r="AP15085" s="55">
        <v>11</v>
      </c>
      <c r="AQ15085" s="55">
        <v>36790.5</v>
      </c>
      <c r="AR15085" s="55">
        <v>28500</v>
      </c>
      <c r="AS15085" s="78">
        <f t="shared" si="239"/>
        <v>1.2908947368421053</v>
      </c>
    </row>
    <row r="15086" spans="39:45">
      <c r="AM15086" s="54">
        <v>2020</v>
      </c>
      <c r="AN15086" s="54" t="s">
        <v>190</v>
      </c>
      <c r="AO15086" s="54">
        <v>20</v>
      </c>
      <c r="AP15086" s="54">
        <v>12</v>
      </c>
      <c r="AQ15086" s="54">
        <v>36848.5</v>
      </c>
      <c r="AR15086" s="55">
        <v>28500</v>
      </c>
      <c r="AS15086" s="78">
        <f t="shared" si="239"/>
        <v>1.2929298245614036</v>
      </c>
    </row>
    <row r="15087" spans="39:45">
      <c r="AM15087" s="55">
        <v>2020</v>
      </c>
      <c r="AN15087" s="55" t="s">
        <v>190</v>
      </c>
      <c r="AO15087" s="55">
        <v>20</v>
      </c>
      <c r="AP15087" s="55">
        <v>13</v>
      </c>
      <c r="AQ15087" s="55">
        <v>33725.5</v>
      </c>
      <c r="AR15087" s="55">
        <v>28500</v>
      </c>
      <c r="AS15087" s="78">
        <f t="shared" si="239"/>
        <v>1.1833508771929824</v>
      </c>
    </row>
    <row r="15088" spans="39:45">
      <c r="AM15088" s="54">
        <v>2020</v>
      </c>
      <c r="AN15088" s="54" t="s">
        <v>190</v>
      </c>
      <c r="AO15088" s="54">
        <v>20</v>
      </c>
      <c r="AP15088" s="54">
        <v>14</v>
      </c>
      <c r="AQ15088" s="54">
        <v>15337</v>
      </c>
      <c r="AR15088" s="55">
        <v>28500</v>
      </c>
      <c r="AS15088" s="78">
        <f t="shared" si="239"/>
        <v>0.53814035087719303</v>
      </c>
    </row>
    <row r="15089" spans="39:45">
      <c r="AM15089" s="55">
        <v>2020</v>
      </c>
      <c r="AN15089" s="55" t="s">
        <v>190</v>
      </c>
      <c r="AO15089" s="55">
        <v>20</v>
      </c>
      <c r="AP15089" s="55">
        <v>15</v>
      </c>
      <c r="AQ15089" s="55">
        <v>21587.5</v>
      </c>
      <c r="AR15089" s="55">
        <v>28500</v>
      </c>
      <c r="AS15089" s="78">
        <f t="shared" si="239"/>
        <v>0.75745614035087716</v>
      </c>
    </row>
    <row r="15090" spans="39:45">
      <c r="AM15090" s="54">
        <v>2020</v>
      </c>
      <c r="AN15090" s="54" t="s">
        <v>190</v>
      </c>
      <c r="AO15090" s="54">
        <v>20</v>
      </c>
      <c r="AP15090" s="54">
        <v>16</v>
      </c>
      <c r="AQ15090" s="54">
        <v>12035.5</v>
      </c>
      <c r="AR15090" s="55">
        <v>28500</v>
      </c>
      <c r="AS15090" s="78">
        <f t="shared" si="239"/>
        <v>0.42229824561403506</v>
      </c>
    </row>
    <row r="15091" spans="39:45">
      <c r="AM15091" s="55">
        <v>2020</v>
      </c>
      <c r="AN15091" s="55" t="s">
        <v>190</v>
      </c>
      <c r="AO15091" s="55">
        <v>20</v>
      </c>
      <c r="AP15091" s="55">
        <v>17</v>
      </c>
      <c r="AQ15091" s="55">
        <v>2536.5</v>
      </c>
      <c r="AR15091" s="55">
        <v>28500</v>
      </c>
      <c r="AS15091" s="78">
        <f t="shared" si="239"/>
        <v>8.8999999999999996E-2</v>
      </c>
    </row>
    <row r="15092" spans="39:45">
      <c r="AM15092" s="54">
        <v>2020</v>
      </c>
      <c r="AN15092" s="54" t="s">
        <v>190</v>
      </c>
      <c r="AO15092" s="54">
        <v>20</v>
      </c>
      <c r="AP15092" s="54">
        <v>18</v>
      </c>
      <c r="AQ15092" s="54">
        <v>0</v>
      </c>
      <c r="AR15092" s="55">
        <v>28500</v>
      </c>
      <c r="AS15092" s="78">
        <f t="shared" si="239"/>
        <v>0</v>
      </c>
    </row>
    <row r="15093" spans="39:45">
      <c r="AM15093" s="55">
        <v>2020</v>
      </c>
      <c r="AN15093" s="55" t="s">
        <v>190</v>
      </c>
      <c r="AO15093" s="55">
        <v>20</v>
      </c>
      <c r="AP15093" s="55">
        <v>19</v>
      </c>
      <c r="AQ15093" s="55">
        <v>0</v>
      </c>
      <c r="AR15093" s="55">
        <v>28500</v>
      </c>
      <c r="AS15093" s="78">
        <f t="shared" si="239"/>
        <v>0</v>
      </c>
    </row>
    <row r="15094" spans="39:45">
      <c r="AM15094" s="54">
        <v>2020</v>
      </c>
      <c r="AN15094" s="54" t="s">
        <v>190</v>
      </c>
      <c r="AO15094" s="54">
        <v>20</v>
      </c>
      <c r="AP15094" s="54">
        <v>20</v>
      </c>
      <c r="AQ15094" s="54">
        <v>0</v>
      </c>
      <c r="AR15094" s="55">
        <v>28500</v>
      </c>
      <c r="AS15094" s="78">
        <f t="shared" si="239"/>
        <v>0</v>
      </c>
    </row>
    <row r="15095" spans="39:45">
      <c r="AM15095" s="55">
        <v>2020</v>
      </c>
      <c r="AN15095" s="55" t="s">
        <v>190</v>
      </c>
      <c r="AO15095" s="55">
        <v>20</v>
      </c>
      <c r="AP15095" s="55">
        <v>21</v>
      </c>
      <c r="AQ15095" s="55">
        <v>0</v>
      </c>
      <c r="AR15095" s="55">
        <v>28500</v>
      </c>
      <c r="AS15095" s="78">
        <f t="shared" si="239"/>
        <v>0</v>
      </c>
    </row>
    <row r="15096" spans="39:45">
      <c r="AM15096" s="54">
        <v>2020</v>
      </c>
      <c r="AN15096" s="54" t="s">
        <v>190</v>
      </c>
      <c r="AO15096" s="54">
        <v>20</v>
      </c>
      <c r="AP15096" s="54">
        <v>22</v>
      </c>
      <c r="AQ15096" s="54">
        <v>0</v>
      </c>
      <c r="AR15096" s="55">
        <v>28500</v>
      </c>
      <c r="AS15096" s="78">
        <f t="shared" si="239"/>
        <v>0</v>
      </c>
    </row>
    <row r="15097" spans="39:45">
      <c r="AM15097" s="55">
        <v>2020</v>
      </c>
      <c r="AN15097" s="55" t="s">
        <v>190</v>
      </c>
      <c r="AO15097" s="55">
        <v>20</v>
      </c>
      <c r="AP15097" s="55">
        <v>23</v>
      </c>
      <c r="AQ15097" s="55">
        <v>0</v>
      </c>
      <c r="AR15097" s="55">
        <v>28500</v>
      </c>
      <c r="AS15097" s="78">
        <f t="shared" si="239"/>
        <v>0</v>
      </c>
    </row>
    <row r="15098" spans="39:45">
      <c r="AM15098" s="54">
        <v>2020</v>
      </c>
      <c r="AN15098" s="54" t="s">
        <v>190</v>
      </c>
      <c r="AO15098" s="54">
        <v>21</v>
      </c>
      <c r="AP15098" s="54">
        <v>24</v>
      </c>
      <c r="AQ15098" s="54">
        <v>0</v>
      </c>
      <c r="AR15098" s="55">
        <v>28500</v>
      </c>
      <c r="AS15098" s="78">
        <f t="shared" si="239"/>
        <v>0</v>
      </c>
    </row>
    <row r="15099" spans="39:45">
      <c r="AM15099" s="55">
        <v>2020</v>
      </c>
      <c r="AN15099" s="55" t="s">
        <v>190</v>
      </c>
      <c r="AO15099" s="55">
        <v>21</v>
      </c>
      <c r="AP15099" s="55">
        <v>1</v>
      </c>
      <c r="AQ15099" s="55">
        <v>0</v>
      </c>
      <c r="AR15099" s="55">
        <v>28500</v>
      </c>
      <c r="AS15099" s="78">
        <f t="shared" si="239"/>
        <v>0</v>
      </c>
    </row>
    <row r="15100" spans="39:45">
      <c r="AM15100" s="54">
        <v>2020</v>
      </c>
      <c r="AN15100" s="54" t="s">
        <v>190</v>
      </c>
      <c r="AO15100" s="54">
        <v>21</v>
      </c>
      <c r="AP15100" s="54">
        <v>2</v>
      </c>
      <c r="AQ15100" s="54">
        <v>0</v>
      </c>
      <c r="AR15100" s="55">
        <v>28500</v>
      </c>
      <c r="AS15100" s="78">
        <f t="shared" si="239"/>
        <v>0</v>
      </c>
    </row>
    <row r="15101" spans="39:45">
      <c r="AM15101" s="55">
        <v>2020</v>
      </c>
      <c r="AN15101" s="55" t="s">
        <v>190</v>
      </c>
      <c r="AO15101" s="55">
        <v>21</v>
      </c>
      <c r="AP15101" s="55">
        <v>3</v>
      </c>
      <c r="AQ15101" s="55">
        <v>0</v>
      </c>
      <c r="AR15101" s="55">
        <v>28500</v>
      </c>
      <c r="AS15101" s="78">
        <f t="shared" si="239"/>
        <v>0</v>
      </c>
    </row>
    <row r="15102" spans="39:45">
      <c r="AM15102" s="54">
        <v>2020</v>
      </c>
      <c r="AN15102" s="54" t="s">
        <v>190</v>
      </c>
      <c r="AO15102" s="54">
        <v>21</v>
      </c>
      <c r="AP15102" s="54">
        <v>4</v>
      </c>
      <c r="AQ15102" s="54">
        <v>0</v>
      </c>
      <c r="AR15102" s="55">
        <v>28500</v>
      </c>
      <c r="AS15102" s="78">
        <f t="shared" si="239"/>
        <v>0</v>
      </c>
    </row>
    <row r="15103" spans="39:45">
      <c r="AM15103" s="55">
        <v>2020</v>
      </c>
      <c r="AN15103" s="55" t="s">
        <v>190</v>
      </c>
      <c r="AO15103" s="55">
        <v>21</v>
      </c>
      <c r="AP15103" s="55">
        <v>5</v>
      </c>
      <c r="AQ15103" s="55">
        <v>0</v>
      </c>
      <c r="AR15103" s="55">
        <v>28500</v>
      </c>
      <c r="AS15103" s="78">
        <f t="shared" si="239"/>
        <v>0</v>
      </c>
    </row>
    <row r="15104" spans="39:45">
      <c r="AM15104" s="54">
        <v>2020</v>
      </c>
      <c r="AN15104" s="54" t="s">
        <v>190</v>
      </c>
      <c r="AO15104" s="54">
        <v>21</v>
      </c>
      <c r="AP15104" s="54">
        <v>6</v>
      </c>
      <c r="AQ15104" s="54">
        <v>50.5</v>
      </c>
      <c r="AR15104" s="55">
        <v>28500</v>
      </c>
      <c r="AS15104" s="78">
        <f t="shared" si="239"/>
        <v>1.7719298245614035E-3</v>
      </c>
    </row>
    <row r="15105" spans="39:45">
      <c r="AM15105" s="55">
        <v>2020</v>
      </c>
      <c r="AN15105" s="55" t="s">
        <v>190</v>
      </c>
      <c r="AO15105" s="55">
        <v>21</v>
      </c>
      <c r="AP15105" s="55">
        <v>7</v>
      </c>
      <c r="AQ15105" s="55">
        <v>2564.5</v>
      </c>
      <c r="AR15105" s="55">
        <v>28500</v>
      </c>
      <c r="AS15105" s="78">
        <f t="shared" si="239"/>
        <v>8.9982456140350872E-2</v>
      </c>
    </row>
    <row r="15106" spans="39:45">
      <c r="AM15106" s="54">
        <v>2020</v>
      </c>
      <c r="AN15106" s="54" t="s">
        <v>190</v>
      </c>
      <c r="AO15106" s="54">
        <v>21</v>
      </c>
      <c r="AP15106" s="54">
        <v>8</v>
      </c>
      <c r="AQ15106" s="54">
        <v>4648.5</v>
      </c>
      <c r="AR15106" s="55">
        <v>28500</v>
      </c>
      <c r="AS15106" s="78">
        <f t="shared" ref="AS15106:AS15169" si="240">AQ15106/AR15106</f>
        <v>0.16310526315789473</v>
      </c>
    </row>
    <row r="15107" spans="39:45">
      <c r="AM15107" s="55">
        <v>2020</v>
      </c>
      <c r="AN15107" s="55" t="s">
        <v>190</v>
      </c>
      <c r="AO15107" s="55">
        <v>21</v>
      </c>
      <c r="AP15107" s="55">
        <v>9</v>
      </c>
      <c r="AQ15107" s="55">
        <v>4512</v>
      </c>
      <c r="AR15107" s="55">
        <v>28500</v>
      </c>
      <c r="AS15107" s="78">
        <f t="shared" si="240"/>
        <v>0.15831578947368422</v>
      </c>
    </row>
    <row r="15108" spans="39:45">
      <c r="AM15108" s="54">
        <v>2020</v>
      </c>
      <c r="AN15108" s="54" t="s">
        <v>190</v>
      </c>
      <c r="AO15108" s="54">
        <v>21</v>
      </c>
      <c r="AP15108" s="54">
        <v>10</v>
      </c>
      <c r="AQ15108" s="54">
        <v>9471</v>
      </c>
      <c r="AR15108" s="55">
        <v>28500</v>
      </c>
      <c r="AS15108" s="78">
        <f t="shared" si="240"/>
        <v>0.33231578947368423</v>
      </c>
    </row>
    <row r="15109" spans="39:45">
      <c r="AM15109" s="55">
        <v>2020</v>
      </c>
      <c r="AN15109" s="55" t="s">
        <v>190</v>
      </c>
      <c r="AO15109" s="55">
        <v>21</v>
      </c>
      <c r="AP15109" s="55">
        <v>11</v>
      </c>
      <c r="AQ15109" s="55">
        <v>32854.5</v>
      </c>
      <c r="AR15109" s="55">
        <v>28500</v>
      </c>
      <c r="AS15109" s="78">
        <f t="shared" si="240"/>
        <v>1.1527894736842106</v>
      </c>
    </row>
    <row r="15110" spans="39:45">
      <c r="AM15110" s="54">
        <v>2020</v>
      </c>
      <c r="AN15110" s="54" t="s">
        <v>190</v>
      </c>
      <c r="AO15110" s="54">
        <v>21</v>
      </c>
      <c r="AP15110" s="54">
        <v>12</v>
      </c>
      <c r="AQ15110" s="54">
        <v>36037.5</v>
      </c>
      <c r="AR15110" s="55">
        <v>28500</v>
      </c>
      <c r="AS15110" s="78">
        <f t="shared" si="240"/>
        <v>1.2644736842105264</v>
      </c>
    </row>
    <row r="15111" spans="39:45">
      <c r="AM15111" s="55">
        <v>2020</v>
      </c>
      <c r="AN15111" s="55" t="s">
        <v>190</v>
      </c>
      <c r="AO15111" s="55">
        <v>21</v>
      </c>
      <c r="AP15111" s="55">
        <v>13</v>
      </c>
      <c r="AQ15111" s="55">
        <v>33787.5</v>
      </c>
      <c r="AR15111" s="55">
        <v>28500</v>
      </c>
      <c r="AS15111" s="78">
        <f t="shared" si="240"/>
        <v>1.1855263157894738</v>
      </c>
    </row>
    <row r="15112" spans="39:45">
      <c r="AM15112" s="54">
        <v>2020</v>
      </c>
      <c r="AN15112" s="54" t="s">
        <v>190</v>
      </c>
      <c r="AO15112" s="54">
        <v>21</v>
      </c>
      <c r="AP15112" s="54">
        <v>14</v>
      </c>
      <c r="AQ15112" s="54">
        <v>29291.5</v>
      </c>
      <c r="AR15112" s="55">
        <v>28500</v>
      </c>
      <c r="AS15112" s="78">
        <f t="shared" si="240"/>
        <v>1.0277719298245613</v>
      </c>
    </row>
    <row r="15113" spans="39:45">
      <c r="AM15113" s="55">
        <v>2020</v>
      </c>
      <c r="AN15113" s="55" t="s">
        <v>190</v>
      </c>
      <c r="AO15113" s="55">
        <v>21</v>
      </c>
      <c r="AP15113" s="55">
        <v>15</v>
      </c>
      <c r="AQ15113" s="55">
        <v>21456</v>
      </c>
      <c r="AR15113" s="55">
        <v>28500</v>
      </c>
      <c r="AS15113" s="78">
        <f t="shared" si="240"/>
        <v>0.75284210526315787</v>
      </c>
    </row>
    <row r="15114" spans="39:45">
      <c r="AM15114" s="54">
        <v>2020</v>
      </c>
      <c r="AN15114" s="54" t="s">
        <v>190</v>
      </c>
      <c r="AO15114" s="54">
        <v>21</v>
      </c>
      <c r="AP15114" s="54">
        <v>16</v>
      </c>
      <c r="AQ15114" s="54">
        <v>12060.5</v>
      </c>
      <c r="AR15114" s="55">
        <v>28500</v>
      </c>
      <c r="AS15114" s="78">
        <f t="shared" si="240"/>
        <v>0.4231754385964912</v>
      </c>
    </row>
    <row r="15115" spans="39:45">
      <c r="AM15115" s="55">
        <v>2020</v>
      </c>
      <c r="AN15115" s="55" t="s">
        <v>190</v>
      </c>
      <c r="AO15115" s="55">
        <v>21</v>
      </c>
      <c r="AP15115" s="55">
        <v>17</v>
      </c>
      <c r="AQ15115" s="55">
        <v>2552.5</v>
      </c>
      <c r="AR15115" s="55">
        <v>28500</v>
      </c>
      <c r="AS15115" s="78">
        <f t="shared" si="240"/>
        <v>8.9561403508771925E-2</v>
      </c>
    </row>
    <row r="15116" spans="39:45">
      <c r="AM15116" s="54">
        <v>2020</v>
      </c>
      <c r="AN15116" s="54" t="s">
        <v>190</v>
      </c>
      <c r="AO15116" s="54">
        <v>21</v>
      </c>
      <c r="AP15116" s="54">
        <v>18</v>
      </c>
      <c r="AQ15116" s="54">
        <v>0</v>
      </c>
      <c r="AR15116" s="55">
        <v>28500</v>
      </c>
      <c r="AS15116" s="78">
        <f t="shared" si="240"/>
        <v>0</v>
      </c>
    </row>
    <row r="15117" spans="39:45">
      <c r="AM15117" s="55">
        <v>2020</v>
      </c>
      <c r="AN15117" s="55" t="s">
        <v>190</v>
      </c>
      <c r="AO15117" s="55">
        <v>21</v>
      </c>
      <c r="AP15117" s="55">
        <v>19</v>
      </c>
      <c r="AQ15117" s="55">
        <v>0</v>
      </c>
      <c r="AR15117" s="55">
        <v>28500</v>
      </c>
      <c r="AS15117" s="78">
        <f t="shared" si="240"/>
        <v>0</v>
      </c>
    </row>
    <row r="15118" spans="39:45">
      <c r="AM15118" s="54">
        <v>2020</v>
      </c>
      <c r="AN15118" s="54" t="s">
        <v>190</v>
      </c>
      <c r="AO15118" s="54">
        <v>21</v>
      </c>
      <c r="AP15118" s="54">
        <v>20</v>
      </c>
      <c r="AQ15118" s="54">
        <v>0</v>
      </c>
      <c r="AR15118" s="55">
        <v>28500</v>
      </c>
      <c r="AS15118" s="78">
        <f t="shared" si="240"/>
        <v>0</v>
      </c>
    </row>
    <row r="15119" spans="39:45">
      <c r="AM15119" s="55">
        <v>2020</v>
      </c>
      <c r="AN15119" s="55" t="s">
        <v>190</v>
      </c>
      <c r="AO15119" s="55">
        <v>21</v>
      </c>
      <c r="AP15119" s="55">
        <v>21</v>
      </c>
      <c r="AQ15119" s="55">
        <v>0</v>
      </c>
      <c r="AR15119" s="55">
        <v>28500</v>
      </c>
      <c r="AS15119" s="78">
        <f t="shared" si="240"/>
        <v>0</v>
      </c>
    </row>
    <row r="15120" spans="39:45">
      <c r="AM15120" s="54">
        <v>2020</v>
      </c>
      <c r="AN15120" s="54" t="s">
        <v>190</v>
      </c>
      <c r="AO15120" s="54">
        <v>21</v>
      </c>
      <c r="AP15120" s="54">
        <v>22</v>
      </c>
      <c r="AQ15120" s="54">
        <v>0</v>
      </c>
      <c r="AR15120" s="55">
        <v>28500</v>
      </c>
      <c r="AS15120" s="78">
        <f t="shared" si="240"/>
        <v>0</v>
      </c>
    </row>
    <row r="15121" spans="39:45">
      <c r="AM15121" s="55">
        <v>2020</v>
      </c>
      <c r="AN15121" s="55" t="s">
        <v>190</v>
      </c>
      <c r="AO15121" s="55">
        <v>21</v>
      </c>
      <c r="AP15121" s="55">
        <v>23</v>
      </c>
      <c r="AQ15121" s="55">
        <v>0</v>
      </c>
      <c r="AR15121" s="55">
        <v>28500</v>
      </c>
      <c r="AS15121" s="78">
        <f t="shared" si="240"/>
        <v>0</v>
      </c>
    </row>
    <row r="15122" spans="39:45">
      <c r="AM15122" s="54">
        <v>2020</v>
      </c>
      <c r="AN15122" s="54" t="s">
        <v>190</v>
      </c>
      <c r="AO15122" s="54">
        <v>22</v>
      </c>
      <c r="AP15122" s="54">
        <v>24</v>
      </c>
      <c r="AQ15122" s="54">
        <v>0</v>
      </c>
      <c r="AR15122" s="55">
        <v>28500</v>
      </c>
      <c r="AS15122" s="78">
        <f t="shared" si="240"/>
        <v>0</v>
      </c>
    </row>
    <row r="15123" spans="39:45">
      <c r="AM15123" s="55">
        <v>2020</v>
      </c>
      <c r="AN15123" s="55" t="s">
        <v>190</v>
      </c>
      <c r="AO15123" s="55">
        <v>22</v>
      </c>
      <c r="AP15123" s="55">
        <v>1</v>
      </c>
      <c r="AQ15123" s="55">
        <v>0</v>
      </c>
      <c r="AR15123" s="55">
        <v>28500</v>
      </c>
      <c r="AS15123" s="78">
        <f t="shared" si="240"/>
        <v>0</v>
      </c>
    </row>
    <row r="15124" spans="39:45">
      <c r="AM15124" s="54">
        <v>2020</v>
      </c>
      <c r="AN15124" s="54" t="s">
        <v>190</v>
      </c>
      <c r="AO15124" s="54">
        <v>22</v>
      </c>
      <c r="AP15124" s="54">
        <v>2</v>
      </c>
      <c r="AQ15124" s="54">
        <v>0</v>
      </c>
      <c r="AR15124" s="55">
        <v>28500</v>
      </c>
      <c r="AS15124" s="78">
        <f t="shared" si="240"/>
        <v>0</v>
      </c>
    </row>
    <row r="15125" spans="39:45">
      <c r="AM15125" s="55">
        <v>2020</v>
      </c>
      <c r="AN15125" s="55" t="s">
        <v>190</v>
      </c>
      <c r="AO15125" s="55">
        <v>22</v>
      </c>
      <c r="AP15125" s="55">
        <v>3</v>
      </c>
      <c r="AQ15125" s="55">
        <v>0</v>
      </c>
      <c r="AR15125" s="55">
        <v>28500</v>
      </c>
      <c r="AS15125" s="78">
        <f t="shared" si="240"/>
        <v>0</v>
      </c>
    </row>
    <row r="15126" spans="39:45">
      <c r="AM15126" s="54">
        <v>2020</v>
      </c>
      <c r="AN15126" s="54" t="s">
        <v>190</v>
      </c>
      <c r="AO15126" s="54">
        <v>22</v>
      </c>
      <c r="AP15126" s="54">
        <v>4</v>
      </c>
      <c r="AQ15126" s="54">
        <v>0</v>
      </c>
      <c r="AR15126" s="55">
        <v>28500</v>
      </c>
      <c r="AS15126" s="78">
        <f t="shared" si="240"/>
        <v>0</v>
      </c>
    </row>
    <row r="15127" spans="39:45">
      <c r="AM15127" s="55">
        <v>2020</v>
      </c>
      <c r="AN15127" s="55" t="s">
        <v>190</v>
      </c>
      <c r="AO15127" s="55">
        <v>22</v>
      </c>
      <c r="AP15127" s="55">
        <v>5</v>
      </c>
      <c r="AQ15127" s="55">
        <v>0</v>
      </c>
      <c r="AR15127" s="55">
        <v>28500</v>
      </c>
      <c r="AS15127" s="78">
        <f t="shared" si="240"/>
        <v>0</v>
      </c>
    </row>
    <row r="15128" spans="39:45">
      <c r="AM15128" s="54">
        <v>2020</v>
      </c>
      <c r="AN15128" s="54" t="s">
        <v>190</v>
      </c>
      <c r="AO15128" s="54">
        <v>22</v>
      </c>
      <c r="AP15128" s="54">
        <v>6</v>
      </c>
      <c r="AQ15128" s="54">
        <v>251.5</v>
      </c>
      <c r="AR15128" s="55">
        <v>28500</v>
      </c>
      <c r="AS15128" s="78">
        <f t="shared" si="240"/>
        <v>8.8245614035087714E-3</v>
      </c>
    </row>
    <row r="15129" spans="39:45">
      <c r="AM15129" s="55">
        <v>2020</v>
      </c>
      <c r="AN15129" s="55" t="s">
        <v>190</v>
      </c>
      <c r="AO15129" s="55">
        <v>22</v>
      </c>
      <c r="AP15129" s="55">
        <v>7</v>
      </c>
      <c r="AQ15129" s="55">
        <v>6338.5</v>
      </c>
      <c r="AR15129" s="55">
        <v>28500</v>
      </c>
      <c r="AS15129" s="78">
        <f t="shared" si="240"/>
        <v>0.22240350877192983</v>
      </c>
    </row>
    <row r="15130" spans="39:45">
      <c r="AM15130" s="54">
        <v>2020</v>
      </c>
      <c r="AN15130" s="54" t="s">
        <v>190</v>
      </c>
      <c r="AO15130" s="54">
        <v>22</v>
      </c>
      <c r="AP15130" s="54">
        <v>8</v>
      </c>
      <c r="AQ15130" s="54">
        <v>17925.5</v>
      </c>
      <c r="AR15130" s="55">
        <v>28500</v>
      </c>
      <c r="AS15130" s="78">
        <f t="shared" si="240"/>
        <v>0.62896491228070173</v>
      </c>
    </row>
    <row r="15131" spans="39:45">
      <c r="AM15131" s="55">
        <v>2020</v>
      </c>
      <c r="AN15131" s="55" t="s">
        <v>190</v>
      </c>
      <c r="AO15131" s="55">
        <v>22</v>
      </c>
      <c r="AP15131" s="55">
        <v>9</v>
      </c>
      <c r="AQ15131" s="55">
        <v>26583.5</v>
      </c>
      <c r="AR15131" s="55">
        <v>28500</v>
      </c>
      <c r="AS15131" s="78">
        <f t="shared" si="240"/>
        <v>0.93275438596491234</v>
      </c>
    </row>
    <row r="15132" spans="39:45">
      <c r="AM15132" s="54">
        <v>2020</v>
      </c>
      <c r="AN15132" s="54" t="s">
        <v>190</v>
      </c>
      <c r="AO15132" s="54">
        <v>22</v>
      </c>
      <c r="AP15132" s="54">
        <v>10</v>
      </c>
      <c r="AQ15132" s="54">
        <v>31157.5</v>
      </c>
      <c r="AR15132" s="55">
        <v>28500</v>
      </c>
      <c r="AS15132" s="78">
        <f t="shared" si="240"/>
        <v>1.0932456140350877</v>
      </c>
    </row>
    <row r="15133" spans="39:45">
      <c r="AM15133" s="55">
        <v>2020</v>
      </c>
      <c r="AN15133" s="55" t="s">
        <v>190</v>
      </c>
      <c r="AO15133" s="55">
        <v>22</v>
      </c>
      <c r="AP15133" s="55">
        <v>11</v>
      </c>
      <c r="AQ15133" s="55">
        <v>34879.5</v>
      </c>
      <c r="AR15133" s="55">
        <v>28500</v>
      </c>
      <c r="AS15133" s="78">
        <f t="shared" si="240"/>
        <v>1.2238421052631578</v>
      </c>
    </row>
    <row r="15134" spans="39:45">
      <c r="AM15134" s="54">
        <v>2020</v>
      </c>
      <c r="AN15134" s="54" t="s">
        <v>190</v>
      </c>
      <c r="AO15134" s="54">
        <v>22</v>
      </c>
      <c r="AP15134" s="54">
        <v>12</v>
      </c>
      <c r="AQ15134" s="54">
        <v>31528</v>
      </c>
      <c r="AR15134" s="55">
        <v>28500</v>
      </c>
      <c r="AS15134" s="78">
        <f t="shared" si="240"/>
        <v>1.1062456140350878</v>
      </c>
    </row>
    <row r="15135" spans="39:45">
      <c r="AM15135" s="55">
        <v>2020</v>
      </c>
      <c r="AN15135" s="55" t="s">
        <v>190</v>
      </c>
      <c r="AO15135" s="55">
        <v>22</v>
      </c>
      <c r="AP15135" s="55">
        <v>13</v>
      </c>
      <c r="AQ15135" s="55">
        <v>34307.5</v>
      </c>
      <c r="AR15135" s="55">
        <v>28500</v>
      </c>
      <c r="AS15135" s="78">
        <f t="shared" si="240"/>
        <v>1.2037719298245615</v>
      </c>
    </row>
    <row r="15136" spans="39:45">
      <c r="AM15136" s="54">
        <v>2020</v>
      </c>
      <c r="AN15136" s="54" t="s">
        <v>190</v>
      </c>
      <c r="AO15136" s="54">
        <v>22</v>
      </c>
      <c r="AP15136" s="54">
        <v>14</v>
      </c>
      <c r="AQ15136" s="54">
        <v>29627</v>
      </c>
      <c r="AR15136" s="55">
        <v>28500</v>
      </c>
      <c r="AS15136" s="78">
        <f t="shared" si="240"/>
        <v>1.0395438596491229</v>
      </c>
    </row>
    <row r="15137" spans="39:45">
      <c r="AM15137" s="55">
        <v>2020</v>
      </c>
      <c r="AN15137" s="55" t="s">
        <v>190</v>
      </c>
      <c r="AO15137" s="55">
        <v>22</v>
      </c>
      <c r="AP15137" s="55">
        <v>15</v>
      </c>
      <c r="AQ15137" s="55">
        <v>20906.5</v>
      </c>
      <c r="AR15137" s="55">
        <v>28500</v>
      </c>
      <c r="AS15137" s="78">
        <f t="shared" si="240"/>
        <v>0.73356140350877197</v>
      </c>
    </row>
    <row r="15138" spans="39:45">
      <c r="AM15138" s="54">
        <v>2020</v>
      </c>
      <c r="AN15138" s="54" t="s">
        <v>190</v>
      </c>
      <c r="AO15138" s="54">
        <v>22</v>
      </c>
      <c r="AP15138" s="54">
        <v>16</v>
      </c>
      <c r="AQ15138" s="54">
        <v>9752</v>
      </c>
      <c r="AR15138" s="55">
        <v>28500</v>
      </c>
      <c r="AS15138" s="78">
        <f t="shared" si="240"/>
        <v>0.34217543859649124</v>
      </c>
    </row>
    <row r="15139" spans="39:45">
      <c r="AM15139" s="55">
        <v>2020</v>
      </c>
      <c r="AN15139" s="55" t="s">
        <v>190</v>
      </c>
      <c r="AO15139" s="55">
        <v>22</v>
      </c>
      <c r="AP15139" s="55">
        <v>17</v>
      </c>
      <c r="AQ15139" s="55">
        <v>1611</v>
      </c>
      <c r="AR15139" s="55">
        <v>28500</v>
      </c>
      <c r="AS15139" s="78">
        <f t="shared" si="240"/>
        <v>5.6526315789473681E-2</v>
      </c>
    </row>
    <row r="15140" spans="39:45">
      <c r="AM15140" s="54">
        <v>2020</v>
      </c>
      <c r="AN15140" s="54" t="s">
        <v>190</v>
      </c>
      <c r="AO15140" s="54">
        <v>22</v>
      </c>
      <c r="AP15140" s="54">
        <v>18</v>
      </c>
      <c r="AQ15140" s="54">
        <v>0</v>
      </c>
      <c r="AR15140" s="55">
        <v>28500</v>
      </c>
      <c r="AS15140" s="78">
        <f t="shared" si="240"/>
        <v>0</v>
      </c>
    </row>
    <row r="15141" spans="39:45">
      <c r="AM15141" s="55">
        <v>2020</v>
      </c>
      <c r="AN15141" s="55" t="s">
        <v>190</v>
      </c>
      <c r="AO15141" s="55">
        <v>22</v>
      </c>
      <c r="AP15141" s="55">
        <v>19</v>
      </c>
      <c r="AQ15141" s="55">
        <v>0</v>
      </c>
      <c r="AR15141" s="55">
        <v>28500</v>
      </c>
      <c r="AS15141" s="78">
        <f t="shared" si="240"/>
        <v>0</v>
      </c>
    </row>
    <row r="15142" spans="39:45">
      <c r="AM15142" s="54">
        <v>2020</v>
      </c>
      <c r="AN15142" s="54" t="s">
        <v>190</v>
      </c>
      <c r="AO15142" s="54">
        <v>22</v>
      </c>
      <c r="AP15142" s="54">
        <v>20</v>
      </c>
      <c r="AQ15142" s="54">
        <v>0</v>
      </c>
      <c r="AR15142" s="55">
        <v>28500</v>
      </c>
      <c r="AS15142" s="78">
        <f t="shared" si="240"/>
        <v>0</v>
      </c>
    </row>
    <row r="15143" spans="39:45">
      <c r="AM15143" s="55">
        <v>2020</v>
      </c>
      <c r="AN15143" s="55" t="s">
        <v>190</v>
      </c>
      <c r="AO15143" s="55">
        <v>22</v>
      </c>
      <c r="AP15143" s="55">
        <v>21</v>
      </c>
      <c r="AQ15143" s="55">
        <v>0</v>
      </c>
      <c r="AR15143" s="55">
        <v>28500</v>
      </c>
      <c r="AS15143" s="78">
        <f t="shared" si="240"/>
        <v>0</v>
      </c>
    </row>
    <row r="15144" spans="39:45">
      <c r="AM15144" s="54">
        <v>2020</v>
      </c>
      <c r="AN15144" s="54" t="s">
        <v>190</v>
      </c>
      <c r="AO15144" s="54">
        <v>22</v>
      </c>
      <c r="AP15144" s="54">
        <v>22</v>
      </c>
      <c r="AQ15144" s="54">
        <v>0</v>
      </c>
      <c r="AR15144" s="55">
        <v>28500</v>
      </c>
      <c r="AS15144" s="78">
        <f t="shared" si="240"/>
        <v>0</v>
      </c>
    </row>
    <row r="15145" spans="39:45">
      <c r="AM15145" s="55">
        <v>2020</v>
      </c>
      <c r="AN15145" s="55" t="s">
        <v>190</v>
      </c>
      <c r="AO15145" s="55">
        <v>22</v>
      </c>
      <c r="AP15145" s="55">
        <v>23</v>
      </c>
      <c r="AQ15145" s="55">
        <v>0</v>
      </c>
      <c r="AR15145" s="55">
        <v>28500</v>
      </c>
      <c r="AS15145" s="78">
        <f t="shared" si="240"/>
        <v>0</v>
      </c>
    </row>
    <row r="15146" spans="39:45">
      <c r="AM15146" s="54">
        <v>2020</v>
      </c>
      <c r="AN15146" s="54" t="s">
        <v>190</v>
      </c>
      <c r="AO15146" s="54">
        <v>23</v>
      </c>
      <c r="AP15146" s="54">
        <v>24</v>
      </c>
      <c r="AQ15146" s="54">
        <v>0</v>
      </c>
      <c r="AR15146" s="55">
        <v>28500</v>
      </c>
      <c r="AS15146" s="78">
        <f t="shared" si="240"/>
        <v>0</v>
      </c>
    </row>
    <row r="15147" spans="39:45">
      <c r="AM15147" s="55">
        <v>2020</v>
      </c>
      <c r="AN15147" s="55" t="s">
        <v>190</v>
      </c>
      <c r="AO15147" s="55">
        <v>23</v>
      </c>
      <c r="AP15147" s="55">
        <v>1</v>
      </c>
      <c r="AQ15147" s="55">
        <v>0</v>
      </c>
      <c r="AR15147" s="55">
        <v>28500</v>
      </c>
      <c r="AS15147" s="78">
        <f t="shared" si="240"/>
        <v>0</v>
      </c>
    </row>
    <row r="15148" spans="39:45">
      <c r="AM15148" s="54">
        <v>2020</v>
      </c>
      <c r="AN15148" s="54" t="s">
        <v>190</v>
      </c>
      <c r="AO15148" s="54">
        <v>23</v>
      </c>
      <c r="AP15148" s="54">
        <v>2</v>
      </c>
      <c r="AQ15148" s="54">
        <v>0</v>
      </c>
      <c r="AR15148" s="55">
        <v>28500</v>
      </c>
      <c r="AS15148" s="78">
        <f t="shared" si="240"/>
        <v>0</v>
      </c>
    </row>
    <row r="15149" spans="39:45">
      <c r="AM15149" s="55">
        <v>2020</v>
      </c>
      <c r="AN15149" s="55" t="s">
        <v>190</v>
      </c>
      <c r="AO15149" s="55">
        <v>23</v>
      </c>
      <c r="AP15149" s="55">
        <v>3</v>
      </c>
      <c r="AQ15149" s="55">
        <v>0</v>
      </c>
      <c r="AR15149" s="55">
        <v>28500</v>
      </c>
      <c r="AS15149" s="78">
        <f t="shared" si="240"/>
        <v>0</v>
      </c>
    </row>
    <row r="15150" spans="39:45">
      <c r="AM15150" s="54">
        <v>2020</v>
      </c>
      <c r="AN15150" s="54" t="s">
        <v>190</v>
      </c>
      <c r="AO15150" s="54">
        <v>23</v>
      </c>
      <c r="AP15150" s="54">
        <v>4</v>
      </c>
      <c r="AQ15150" s="54">
        <v>0</v>
      </c>
      <c r="AR15150" s="55">
        <v>28500</v>
      </c>
      <c r="AS15150" s="78">
        <f t="shared" si="240"/>
        <v>0</v>
      </c>
    </row>
    <row r="15151" spans="39:45">
      <c r="AM15151" s="55">
        <v>2020</v>
      </c>
      <c r="AN15151" s="55" t="s">
        <v>190</v>
      </c>
      <c r="AO15151" s="55">
        <v>23</v>
      </c>
      <c r="AP15151" s="55">
        <v>5</v>
      </c>
      <c r="AQ15151" s="55">
        <v>0</v>
      </c>
      <c r="AR15151" s="55">
        <v>28500</v>
      </c>
      <c r="AS15151" s="78">
        <f t="shared" si="240"/>
        <v>0</v>
      </c>
    </row>
    <row r="15152" spans="39:45">
      <c r="AM15152" s="54">
        <v>2020</v>
      </c>
      <c r="AN15152" s="54" t="s">
        <v>190</v>
      </c>
      <c r="AO15152" s="54">
        <v>23</v>
      </c>
      <c r="AP15152" s="54">
        <v>6</v>
      </c>
      <c r="AQ15152" s="54">
        <v>0</v>
      </c>
      <c r="AR15152" s="55">
        <v>28500</v>
      </c>
      <c r="AS15152" s="78">
        <f t="shared" si="240"/>
        <v>0</v>
      </c>
    </row>
    <row r="15153" spans="39:45">
      <c r="AM15153" s="55">
        <v>2020</v>
      </c>
      <c r="AN15153" s="55" t="s">
        <v>190</v>
      </c>
      <c r="AO15153" s="55">
        <v>23</v>
      </c>
      <c r="AP15153" s="55">
        <v>7</v>
      </c>
      <c r="AQ15153" s="55">
        <v>1075</v>
      </c>
      <c r="AR15153" s="55">
        <v>28500</v>
      </c>
      <c r="AS15153" s="78">
        <f t="shared" si="240"/>
        <v>3.7719298245614034E-2</v>
      </c>
    </row>
    <row r="15154" spans="39:45">
      <c r="AM15154" s="54">
        <v>2020</v>
      </c>
      <c r="AN15154" s="54" t="s">
        <v>190</v>
      </c>
      <c r="AO15154" s="54">
        <v>23</v>
      </c>
      <c r="AP15154" s="54">
        <v>8</v>
      </c>
      <c r="AQ15154" s="54">
        <v>5766.5</v>
      </c>
      <c r="AR15154" s="55">
        <v>28500</v>
      </c>
      <c r="AS15154" s="78">
        <f t="shared" si="240"/>
        <v>0.20233333333333334</v>
      </c>
    </row>
    <row r="15155" spans="39:45">
      <c r="AM15155" s="55">
        <v>2020</v>
      </c>
      <c r="AN15155" s="55" t="s">
        <v>190</v>
      </c>
      <c r="AO15155" s="55">
        <v>23</v>
      </c>
      <c r="AP15155" s="55">
        <v>9</v>
      </c>
      <c r="AQ15155" s="55">
        <v>17547.5</v>
      </c>
      <c r="AR15155" s="55">
        <v>28500</v>
      </c>
      <c r="AS15155" s="78">
        <f t="shared" si="240"/>
        <v>0.61570175438596486</v>
      </c>
    </row>
    <row r="15156" spans="39:45">
      <c r="AM15156" s="54">
        <v>2020</v>
      </c>
      <c r="AN15156" s="54" t="s">
        <v>190</v>
      </c>
      <c r="AO15156" s="54">
        <v>23</v>
      </c>
      <c r="AP15156" s="54">
        <v>10</v>
      </c>
      <c r="AQ15156" s="54">
        <v>9543.5</v>
      </c>
      <c r="AR15156" s="55">
        <v>28500</v>
      </c>
      <c r="AS15156" s="78">
        <f t="shared" si="240"/>
        <v>0.33485964912280702</v>
      </c>
    </row>
    <row r="15157" spans="39:45">
      <c r="AM15157" s="55">
        <v>2020</v>
      </c>
      <c r="AN15157" s="55" t="s">
        <v>190</v>
      </c>
      <c r="AO15157" s="55">
        <v>23</v>
      </c>
      <c r="AP15157" s="55">
        <v>11</v>
      </c>
      <c r="AQ15157" s="55">
        <v>5779.5</v>
      </c>
      <c r="AR15157" s="55">
        <v>28500</v>
      </c>
      <c r="AS15157" s="78">
        <f t="shared" si="240"/>
        <v>0.20278947368421052</v>
      </c>
    </row>
    <row r="15158" spans="39:45">
      <c r="AM15158" s="54">
        <v>2020</v>
      </c>
      <c r="AN15158" s="54" t="s">
        <v>190</v>
      </c>
      <c r="AO15158" s="54">
        <v>23</v>
      </c>
      <c r="AP15158" s="54">
        <v>12</v>
      </c>
      <c r="AQ15158" s="54">
        <v>12233</v>
      </c>
      <c r="AR15158" s="55">
        <v>28500</v>
      </c>
      <c r="AS15158" s="78">
        <f t="shared" si="240"/>
        <v>0.42922807017543857</v>
      </c>
    </row>
    <row r="15159" spans="39:45">
      <c r="AM15159" s="55">
        <v>2020</v>
      </c>
      <c r="AN15159" s="55" t="s">
        <v>190</v>
      </c>
      <c r="AO15159" s="55">
        <v>23</v>
      </c>
      <c r="AP15159" s="55">
        <v>13</v>
      </c>
      <c r="AQ15159" s="55">
        <v>12458.5</v>
      </c>
      <c r="AR15159" s="55">
        <v>28500</v>
      </c>
      <c r="AS15159" s="78">
        <f t="shared" si="240"/>
        <v>0.437140350877193</v>
      </c>
    </row>
    <row r="15160" spans="39:45">
      <c r="AM15160" s="54">
        <v>2020</v>
      </c>
      <c r="AN15160" s="54" t="s">
        <v>190</v>
      </c>
      <c r="AO15160" s="54">
        <v>23</v>
      </c>
      <c r="AP15160" s="54">
        <v>14</v>
      </c>
      <c r="AQ15160" s="54">
        <v>7048.5</v>
      </c>
      <c r="AR15160" s="55">
        <v>28500</v>
      </c>
      <c r="AS15160" s="78">
        <f t="shared" si="240"/>
        <v>0.24731578947368421</v>
      </c>
    </row>
    <row r="15161" spans="39:45">
      <c r="AM15161" s="55">
        <v>2020</v>
      </c>
      <c r="AN15161" s="55" t="s">
        <v>190</v>
      </c>
      <c r="AO15161" s="55">
        <v>23</v>
      </c>
      <c r="AP15161" s="55">
        <v>15</v>
      </c>
      <c r="AQ15161" s="55">
        <v>2037.5</v>
      </c>
      <c r="AR15161" s="55">
        <v>28500</v>
      </c>
      <c r="AS15161" s="78">
        <f t="shared" si="240"/>
        <v>7.1491228070175439E-2</v>
      </c>
    </row>
    <row r="15162" spans="39:45">
      <c r="AM15162" s="54">
        <v>2020</v>
      </c>
      <c r="AN15162" s="54" t="s">
        <v>190</v>
      </c>
      <c r="AO15162" s="54">
        <v>23</v>
      </c>
      <c r="AP15162" s="54">
        <v>16</v>
      </c>
      <c r="AQ15162" s="54">
        <v>6969</v>
      </c>
      <c r="AR15162" s="55">
        <v>28500</v>
      </c>
      <c r="AS15162" s="78">
        <f t="shared" si="240"/>
        <v>0.24452631578947367</v>
      </c>
    </row>
    <row r="15163" spans="39:45">
      <c r="AM15163" s="55">
        <v>2020</v>
      </c>
      <c r="AN15163" s="55" t="s">
        <v>190</v>
      </c>
      <c r="AO15163" s="55">
        <v>23</v>
      </c>
      <c r="AP15163" s="55">
        <v>17</v>
      </c>
      <c r="AQ15163" s="55">
        <v>1359.5</v>
      </c>
      <c r="AR15163" s="55">
        <v>28500</v>
      </c>
      <c r="AS15163" s="78">
        <f t="shared" si="240"/>
        <v>4.7701754385964912E-2</v>
      </c>
    </row>
    <row r="15164" spans="39:45">
      <c r="AM15164" s="54">
        <v>2020</v>
      </c>
      <c r="AN15164" s="54" t="s">
        <v>190</v>
      </c>
      <c r="AO15164" s="54">
        <v>23</v>
      </c>
      <c r="AP15164" s="54">
        <v>18</v>
      </c>
      <c r="AQ15164" s="54">
        <v>0</v>
      </c>
      <c r="AR15164" s="55">
        <v>28500</v>
      </c>
      <c r="AS15164" s="78">
        <f t="shared" si="240"/>
        <v>0</v>
      </c>
    </row>
    <row r="15165" spans="39:45">
      <c r="AM15165" s="55">
        <v>2020</v>
      </c>
      <c r="AN15165" s="55" t="s">
        <v>190</v>
      </c>
      <c r="AO15165" s="55">
        <v>23</v>
      </c>
      <c r="AP15165" s="55">
        <v>19</v>
      </c>
      <c r="AQ15165" s="55">
        <v>0</v>
      </c>
      <c r="AR15165" s="55">
        <v>28500</v>
      </c>
      <c r="AS15165" s="78">
        <f t="shared" si="240"/>
        <v>0</v>
      </c>
    </row>
    <row r="15166" spans="39:45">
      <c r="AM15166" s="54">
        <v>2020</v>
      </c>
      <c r="AN15166" s="54" t="s">
        <v>190</v>
      </c>
      <c r="AO15166" s="54">
        <v>23</v>
      </c>
      <c r="AP15166" s="54">
        <v>20</v>
      </c>
      <c r="AQ15166" s="54">
        <v>0</v>
      </c>
      <c r="AR15166" s="55">
        <v>28500</v>
      </c>
      <c r="AS15166" s="78">
        <f t="shared" si="240"/>
        <v>0</v>
      </c>
    </row>
    <row r="15167" spans="39:45">
      <c r="AM15167" s="55">
        <v>2020</v>
      </c>
      <c r="AN15167" s="55" t="s">
        <v>190</v>
      </c>
      <c r="AO15167" s="55">
        <v>23</v>
      </c>
      <c r="AP15167" s="55">
        <v>21</v>
      </c>
      <c r="AQ15167" s="55">
        <v>0</v>
      </c>
      <c r="AR15167" s="55">
        <v>28500</v>
      </c>
      <c r="AS15167" s="78">
        <f t="shared" si="240"/>
        <v>0</v>
      </c>
    </row>
    <row r="15168" spans="39:45">
      <c r="AM15168" s="54">
        <v>2020</v>
      </c>
      <c r="AN15168" s="54" t="s">
        <v>190</v>
      </c>
      <c r="AO15168" s="54">
        <v>23</v>
      </c>
      <c r="AP15168" s="54">
        <v>22</v>
      </c>
      <c r="AQ15168" s="54">
        <v>0</v>
      </c>
      <c r="AR15168" s="55">
        <v>28500</v>
      </c>
      <c r="AS15168" s="78">
        <f t="shared" si="240"/>
        <v>0</v>
      </c>
    </row>
    <row r="15169" spans="39:45">
      <c r="AM15169" s="55">
        <v>2020</v>
      </c>
      <c r="AN15169" s="55" t="s">
        <v>190</v>
      </c>
      <c r="AO15169" s="55">
        <v>23</v>
      </c>
      <c r="AP15169" s="55">
        <v>23</v>
      </c>
      <c r="AQ15169" s="55">
        <v>0</v>
      </c>
      <c r="AR15169" s="55">
        <v>28500</v>
      </c>
      <c r="AS15169" s="78">
        <f t="shared" si="240"/>
        <v>0</v>
      </c>
    </row>
    <row r="15170" spans="39:45">
      <c r="AM15170" s="54">
        <v>2020</v>
      </c>
      <c r="AN15170" s="54" t="s">
        <v>190</v>
      </c>
      <c r="AO15170" s="54">
        <v>24</v>
      </c>
      <c r="AP15170" s="54">
        <v>24</v>
      </c>
      <c r="AQ15170" s="54">
        <v>0</v>
      </c>
      <c r="AR15170" s="55">
        <v>28500</v>
      </c>
      <c r="AS15170" s="78">
        <f t="shared" ref="AS15170:AS15233" si="241">AQ15170/AR15170</f>
        <v>0</v>
      </c>
    </row>
    <row r="15171" spans="39:45">
      <c r="AM15171" s="55">
        <v>2020</v>
      </c>
      <c r="AN15171" s="55" t="s">
        <v>190</v>
      </c>
      <c r="AO15171" s="55">
        <v>24</v>
      </c>
      <c r="AP15171" s="55">
        <v>1</v>
      </c>
      <c r="AQ15171" s="55">
        <v>0</v>
      </c>
      <c r="AR15171" s="55">
        <v>28500</v>
      </c>
      <c r="AS15171" s="78">
        <f t="shared" si="241"/>
        <v>0</v>
      </c>
    </row>
    <row r="15172" spans="39:45">
      <c r="AM15172" s="54">
        <v>2020</v>
      </c>
      <c r="AN15172" s="54" t="s">
        <v>190</v>
      </c>
      <c r="AO15172" s="54">
        <v>24</v>
      </c>
      <c r="AP15172" s="54">
        <v>2</v>
      </c>
      <c r="AQ15172" s="54">
        <v>0</v>
      </c>
      <c r="AR15172" s="55">
        <v>28500</v>
      </c>
      <c r="AS15172" s="78">
        <f t="shared" si="241"/>
        <v>0</v>
      </c>
    </row>
    <row r="15173" spans="39:45">
      <c r="AM15173" s="55">
        <v>2020</v>
      </c>
      <c r="AN15173" s="55" t="s">
        <v>190</v>
      </c>
      <c r="AO15173" s="55">
        <v>24</v>
      </c>
      <c r="AP15173" s="55">
        <v>3</v>
      </c>
      <c r="AQ15173" s="55">
        <v>0</v>
      </c>
      <c r="AR15173" s="55">
        <v>28500</v>
      </c>
      <c r="AS15173" s="78">
        <f t="shared" si="241"/>
        <v>0</v>
      </c>
    </row>
    <row r="15174" spans="39:45">
      <c r="AM15174" s="54">
        <v>2020</v>
      </c>
      <c r="AN15174" s="54" t="s">
        <v>190</v>
      </c>
      <c r="AO15174" s="54">
        <v>24</v>
      </c>
      <c r="AP15174" s="54">
        <v>4</v>
      </c>
      <c r="AQ15174" s="54">
        <v>0</v>
      </c>
      <c r="AR15174" s="55">
        <v>28500</v>
      </c>
      <c r="AS15174" s="78">
        <f t="shared" si="241"/>
        <v>0</v>
      </c>
    </row>
    <row r="15175" spans="39:45">
      <c r="AM15175" s="55">
        <v>2020</v>
      </c>
      <c r="AN15175" s="55" t="s">
        <v>190</v>
      </c>
      <c r="AO15175" s="55">
        <v>24</v>
      </c>
      <c r="AP15175" s="55">
        <v>5</v>
      </c>
      <c r="AQ15175" s="55">
        <v>0</v>
      </c>
      <c r="AR15175" s="55">
        <v>28500</v>
      </c>
      <c r="AS15175" s="78">
        <f t="shared" si="241"/>
        <v>0</v>
      </c>
    </row>
    <row r="15176" spans="39:45">
      <c r="AM15176" s="54">
        <v>2020</v>
      </c>
      <c r="AN15176" s="54" t="s">
        <v>190</v>
      </c>
      <c r="AO15176" s="54">
        <v>24</v>
      </c>
      <c r="AP15176" s="54">
        <v>6</v>
      </c>
      <c r="AQ15176" s="54">
        <v>157</v>
      </c>
      <c r="AR15176" s="55">
        <v>28500</v>
      </c>
      <c r="AS15176" s="78">
        <f t="shared" si="241"/>
        <v>5.5087719298245611E-3</v>
      </c>
    </row>
    <row r="15177" spans="39:45">
      <c r="AM15177" s="55">
        <v>2020</v>
      </c>
      <c r="AN15177" s="55" t="s">
        <v>190</v>
      </c>
      <c r="AO15177" s="55">
        <v>24</v>
      </c>
      <c r="AP15177" s="55">
        <v>7</v>
      </c>
      <c r="AQ15177" s="55">
        <v>7463.5</v>
      </c>
      <c r="AR15177" s="55">
        <v>28500</v>
      </c>
      <c r="AS15177" s="78">
        <f t="shared" si="241"/>
        <v>0.26187719298245615</v>
      </c>
    </row>
    <row r="15178" spans="39:45">
      <c r="AM15178" s="54">
        <v>2020</v>
      </c>
      <c r="AN15178" s="54" t="s">
        <v>190</v>
      </c>
      <c r="AO15178" s="54">
        <v>24</v>
      </c>
      <c r="AP15178" s="54">
        <v>8</v>
      </c>
      <c r="AQ15178" s="54">
        <v>19745</v>
      </c>
      <c r="AR15178" s="55">
        <v>28500</v>
      </c>
      <c r="AS15178" s="78">
        <f t="shared" si="241"/>
        <v>0.69280701754385965</v>
      </c>
    </row>
    <row r="15179" spans="39:45">
      <c r="AM15179" s="55">
        <v>2020</v>
      </c>
      <c r="AN15179" s="55" t="s">
        <v>190</v>
      </c>
      <c r="AO15179" s="55">
        <v>24</v>
      </c>
      <c r="AP15179" s="55">
        <v>9</v>
      </c>
      <c r="AQ15179" s="55">
        <v>27236</v>
      </c>
      <c r="AR15179" s="55">
        <v>28500</v>
      </c>
      <c r="AS15179" s="78">
        <f t="shared" si="241"/>
        <v>0.95564912280701753</v>
      </c>
    </row>
    <row r="15180" spans="39:45">
      <c r="AM15180" s="54">
        <v>2020</v>
      </c>
      <c r="AN15180" s="54" t="s">
        <v>190</v>
      </c>
      <c r="AO15180" s="54">
        <v>24</v>
      </c>
      <c r="AP15180" s="54">
        <v>10</v>
      </c>
      <c r="AQ15180" s="54">
        <v>35546</v>
      </c>
      <c r="AR15180" s="55">
        <v>28500</v>
      </c>
      <c r="AS15180" s="78">
        <f t="shared" si="241"/>
        <v>1.2472280701754386</v>
      </c>
    </row>
    <row r="15181" spans="39:45">
      <c r="AM15181" s="55">
        <v>2020</v>
      </c>
      <c r="AN15181" s="55" t="s">
        <v>190</v>
      </c>
      <c r="AO15181" s="55">
        <v>24</v>
      </c>
      <c r="AP15181" s="55">
        <v>11</v>
      </c>
      <c r="AQ15181" s="55">
        <v>27006.5</v>
      </c>
      <c r="AR15181" s="55">
        <v>28500</v>
      </c>
      <c r="AS15181" s="78">
        <f t="shared" si="241"/>
        <v>0.94759649122807021</v>
      </c>
    </row>
    <row r="15182" spans="39:45">
      <c r="AM15182" s="54">
        <v>2020</v>
      </c>
      <c r="AN15182" s="54" t="s">
        <v>190</v>
      </c>
      <c r="AO15182" s="54">
        <v>24</v>
      </c>
      <c r="AP15182" s="54">
        <v>12</v>
      </c>
      <c r="AQ15182" s="54">
        <v>35138</v>
      </c>
      <c r="AR15182" s="55">
        <v>28500</v>
      </c>
      <c r="AS15182" s="78">
        <f t="shared" si="241"/>
        <v>1.2329122807017543</v>
      </c>
    </row>
    <row r="15183" spans="39:45">
      <c r="AM15183" s="55">
        <v>2020</v>
      </c>
      <c r="AN15183" s="55" t="s">
        <v>190</v>
      </c>
      <c r="AO15183" s="55">
        <v>24</v>
      </c>
      <c r="AP15183" s="55">
        <v>13</v>
      </c>
      <c r="AQ15183" s="55">
        <v>20332.5</v>
      </c>
      <c r="AR15183" s="55">
        <v>28500</v>
      </c>
      <c r="AS15183" s="78">
        <f t="shared" si="241"/>
        <v>0.71342105263157896</v>
      </c>
    </row>
    <row r="15184" spans="39:45">
      <c r="AM15184" s="54">
        <v>2020</v>
      </c>
      <c r="AN15184" s="54" t="s">
        <v>190</v>
      </c>
      <c r="AO15184" s="54">
        <v>24</v>
      </c>
      <c r="AP15184" s="54">
        <v>14</v>
      </c>
      <c r="AQ15184" s="54">
        <v>4734.5</v>
      </c>
      <c r="AR15184" s="55">
        <v>28500</v>
      </c>
      <c r="AS15184" s="78">
        <f t="shared" si="241"/>
        <v>0.16612280701754387</v>
      </c>
    </row>
    <row r="15185" spans="39:45">
      <c r="AM15185" s="55">
        <v>2020</v>
      </c>
      <c r="AN15185" s="55" t="s">
        <v>190</v>
      </c>
      <c r="AO15185" s="55">
        <v>24</v>
      </c>
      <c r="AP15185" s="55">
        <v>15</v>
      </c>
      <c r="AQ15185" s="55">
        <v>2458.5</v>
      </c>
      <c r="AR15185" s="55">
        <v>28500</v>
      </c>
      <c r="AS15185" s="78">
        <f t="shared" si="241"/>
        <v>8.6263157894736847E-2</v>
      </c>
    </row>
    <row r="15186" spans="39:45">
      <c r="AM15186" s="54">
        <v>2020</v>
      </c>
      <c r="AN15186" s="54" t="s">
        <v>190</v>
      </c>
      <c r="AO15186" s="54">
        <v>24</v>
      </c>
      <c r="AP15186" s="54">
        <v>16</v>
      </c>
      <c r="AQ15186" s="54">
        <v>791.5</v>
      </c>
      <c r="AR15186" s="55">
        <v>28500</v>
      </c>
      <c r="AS15186" s="78">
        <f t="shared" si="241"/>
        <v>2.7771929824561403E-2</v>
      </c>
    </row>
    <row r="15187" spans="39:45">
      <c r="AM15187" s="55">
        <v>2020</v>
      </c>
      <c r="AN15187" s="55" t="s">
        <v>190</v>
      </c>
      <c r="AO15187" s="55">
        <v>24</v>
      </c>
      <c r="AP15187" s="55">
        <v>17</v>
      </c>
      <c r="AQ15187" s="55">
        <v>0</v>
      </c>
      <c r="AR15187" s="55">
        <v>28500</v>
      </c>
      <c r="AS15187" s="78">
        <f t="shared" si="241"/>
        <v>0</v>
      </c>
    </row>
    <row r="15188" spans="39:45">
      <c r="AM15188" s="54">
        <v>2020</v>
      </c>
      <c r="AN15188" s="54" t="s">
        <v>190</v>
      </c>
      <c r="AO15188" s="54">
        <v>24</v>
      </c>
      <c r="AP15188" s="54">
        <v>18</v>
      </c>
      <c r="AQ15188" s="54">
        <v>0</v>
      </c>
      <c r="AR15188" s="55">
        <v>28500</v>
      </c>
      <c r="AS15188" s="78">
        <f t="shared" si="241"/>
        <v>0</v>
      </c>
    </row>
    <row r="15189" spans="39:45">
      <c r="AM15189" s="55">
        <v>2020</v>
      </c>
      <c r="AN15189" s="55" t="s">
        <v>190</v>
      </c>
      <c r="AO15189" s="55">
        <v>24</v>
      </c>
      <c r="AP15189" s="55">
        <v>19</v>
      </c>
      <c r="AQ15189" s="55">
        <v>0</v>
      </c>
      <c r="AR15189" s="55">
        <v>28500</v>
      </c>
      <c r="AS15189" s="78">
        <f t="shared" si="241"/>
        <v>0</v>
      </c>
    </row>
    <row r="15190" spans="39:45">
      <c r="AM15190" s="54">
        <v>2020</v>
      </c>
      <c r="AN15190" s="54" t="s">
        <v>190</v>
      </c>
      <c r="AO15190" s="54">
        <v>24</v>
      </c>
      <c r="AP15190" s="54">
        <v>20</v>
      </c>
      <c r="AQ15190" s="54">
        <v>0</v>
      </c>
      <c r="AR15190" s="55">
        <v>28500</v>
      </c>
      <c r="AS15190" s="78">
        <f t="shared" si="241"/>
        <v>0</v>
      </c>
    </row>
    <row r="15191" spans="39:45">
      <c r="AM15191" s="55">
        <v>2020</v>
      </c>
      <c r="AN15191" s="55" t="s">
        <v>190</v>
      </c>
      <c r="AO15191" s="55">
        <v>24</v>
      </c>
      <c r="AP15191" s="55">
        <v>21</v>
      </c>
      <c r="AQ15191" s="55">
        <v>0</v>
      </c>
      <c r="AR15191" s="55">
        <v>28500</v>
      </c>
      <c r="AS15191" s="78">
        <f t="shared" si="241"/>
        <v>0</v>
      </c>
    </row>
    <row r="15192" spans="39:45">
      <c r="AM15192" s="54">
        <v>2020</v>
      </c>
      <c r="AN15192" s="54" t="s">
        <v>190</v>
      </c>
      <c r="AO15192" s="54">
        <v>24</v>
      </c>
      <c r="AP15192" s="54">
        <v>22</v>
      </c>
      <c r="AQ15192" s="54">
        <v>0</v>
      </c>
      <c r="AR15192" s="55">
        <v>28500</v>
      </c>
      <c r="AS15192" s="78">
        <f t="shared" si="241"/>
        <v>0</v>
      </c>
    </row>
    <row r="15193" spans="39:45">
      <c r="AM15193" s="55">
        <v>2020</v>
      </c>
      <c r="AN15193" s="55" t="s">
        <v>190</v>
      </c>
      <c r="AO15193" s="55">
        <v>24</v>
      </c>
      <c r="AP15193" s="55">
        <v>23</v>
      </c>
      <c r="AQ15193" s="55">
        <v>0</v>
      </c>
      <c r="AR15193" s="55">
        <v>28500</v>
      </c>
      <c r="AS15193" s="78">
        <f t="shared" si="241"/>
        <v>0</v>
      </c>
    </row>
    <row r="15194" spans="39:45">
      <c r="AM15194" s="54">
        <v>2020</v>
      </c>
      <c r="AN15194" s="54" t="s">
        <v>190</v>
      </c>
      <c r="AO15194" s="54">
        <v>25</v>
      </c>
      <c r="AP15194" s="54">
        <v>24</v>
      </c>
      <c r="AQ15194" s="54">
        <v>0</v>
      </c>
      <c r="AR15194" s="55">
        <v>28500</v>
      </c>
      <c r="AS15194" s="78">
        <f t="shared" si="241"/>
        <v>0</v>
      </c>
    </row>
    <row r="15195" spans="39:45">
      <c r="AM15195" s="55">
        <v>2020</v>
      </c>
      <c r="AN15195" s="55" t="s">
        <v>190</v>
      </c>
      <c r="AO15195" s="55">
        <v>25</v>
      </c>
      <c r="AP15195" s="55">
        <v>1</v>
      </c>
      <c r="AQ15195" s="55">
        <v>0</v>
      </c>
      <c r="AR15195" s="55">
        <v>28500</v>
      </c>
      <c r="AS15195" s="78">
        <f t="shared" si="241"/>
        <v>0</v>
      </c>
    </row>
    <row r="15196" spans="39:45">
      <c r="AM15196" s="54">
        <v>2020</v>
      </c>
      <c r="AN15196" s="54" t="s">
        <v>190</v>
      </c>
      <c r="AO15196" s="54">
        <v>25</v>
      </c>
      <c r="AP15196" s="54">
        <v>2</v>
      </c>
      <c r="AQ15196" s="54">
        <v>0</v>
      </c>
      <c r="AR15196" s="55">
        <v>28500</v>
      </c>
      <c r="AS15196" s="78">
        <f t="shared" si="241"/>
        <v>0</v>
      </c>
    </row>
    <row r="15197" spans="39:45">
      <c r="AM15197" s="55">
        <v>2020</v>
      </c>
      <c r="AN15197" s="55" t="s">
        <v>190</v>
      </c>
      <c r="AO15197" s="55">
        <v>25</v>
      </c>
      <c r="AP15197" s="55">
        <v>3</v>
      </c>
      <c r="AQ15197" s="55">
        <v>0</v>
      </c>
      <c r="AR15197" s="55">
        <v>28500</v>
      </c>
      <c r="AS15197" s="78">
        <f t="shared" si="241"/>
        <v>0</v>
      </c>
    </row>
    <row r="15198" spans="39:45">
      <c r="AM15198" s="54">
        <v>2020</v>
      </c>
      <c r="AN15198" s="54" t="s">
        <v>190</v>
      </c>
      <c r="AO15198" s="54">
        <v>25</v>
      </c>
      <c r="AP15198" s="54">
        <v>4</v>
      </c>
      <c r="AQ15198" s="54">
        <v>0</v>
      </c>
      <c r="AR15198" s="55">
        <v>28500</v>
      </c>
      <c r="AS15198" s="78">
        <f t="shared" si="241"/>
        <v>0</v>
      </c>
    </row>
    <row r="15199" spans="39:45">
      <c r="AM15199" s="55">
        <v>2020</v>
      </c>
      <c r="AN15199" s="55" t="s">
        <v>190</v>
      </c>
      <c r="AO15199" s="55">
        <v>25</v>
      </c>
      <c r="AP15199" s="55">
        <v>5</v>
      </c>
      <c r="AQ15199" s="55">
        <v>0</v>
      </c>
      <c r="AR15199" s="55">
        <v>28500</v>
      </c>
      <c r="AS15199" s="78">
        <f t="shared" si="241"/>
        <v>0</v>
      </c>
    </row>
    <row r="15200" spans="39:45">
      <c r="AM15200" s="54">
        <v>2020</v>
      </c>
      <c r="AN15200" s="54" t="s">
        <v>190</v>
      </c>
      <c r="AO15200" s="54">
        <v>25</v>
      </c>
      <c r="AP15200" s="54">
        <v>6</v>
      </c>
      <c r="AQ15200" s="54">
        <v>0</v>
      </c>
      <c r="AR15200" s="55">
        <v>28500</v>
      </c>
      <c r="AS15200" s="78">
        <f t="shared" si="241"/>
        <v>0</v>
      </c>
    </row>
    <row r="15201" spans="39:45">
      <c r="AM15201" s="55">
        <v>2020</v>
      </c>
      <c r="AN15201" s="55" t="s">
        <v>190</v>
      </c>
      <c r="AO15201" s="55">
        <v>25</v>
      </c>
      <c r="AP15201" s="55">
        <v>7</v>
      </c>
      <c r="AQ15201" s="55">
        <v>170</v>
      </c>
      <c r="AR15201" s="55">
        <v>28500</v>
      </c>
      <c r="AS15201" s="78">
        <f t="shared" si="241"/>
        <v>5.9649122807017545E-3</v>
      </c>
    </row>
    <row r="15202" spans="39:45">
      <c r="AM15202" s="54">
        <v>2020</v>
      </c>
      <c r="AN15202" s="54" t="s">
        <v>190</v>
      </c>
      <c r="AO15202" s="54">
        <v>25</v>
      </c>
      <c r="AP15202" s="54">
        <v>8</v>
      </c>
      <c r="AQ15202" s="54">
        <v>3691.5</v>
      </c>
      <c r="AR15202" s="55">
        <v>28500</v>
      </c>
      <c r="AS15202" s="78">
        <f t="shared" si="241"/>
        <v>0.12952631578947368</v>
      </c>
    </row>
    <row r="15203" spans="39:45">
      <c r="AM15203" s="55">
        <v>2020</v>
      </c>
      <c r="AN15203" s="55" t="s">
        <v>190</v>
      </c>
      <c r="AO15203" s="55">
        <v>25</v>
      </c>
      <c r="AP15203" s="55">
        <v>9</v>
      </c>
      <c r="AQ15203" s="55">
        <v>9900.5</v>
      </c>
      <c r="AR15203" s="55">
        <v>28500</v>
      </c>
      <c r="AS15203" s="78">
        <f t="shared" si="241"/>
        <v>0.34738596491228069</v>
      </c>
    </row>
    <row r="15204" spans="39:45">
      <c r="AM15204" s="54">
        <v>2020</v>
      </c>
      <c r="AN15204" s="54" t="s">
        <v>190</v>
      </c>
      <c r="AO15204" s="54">
        <v>25</v>
      </c>
      <c r="AP15204" s="54">
        <v>10</v>
      </c>
      <c r="AQ15204" s="54">
        <v>13420</v>
      </c>
      <c r="AR15204" s="55">
        <v>28500</v>
      </c>
      <c r="AS15204" s="78">
        <f t="shared" si="241"/>
        <v>0.47087719298245612</v>
      </c>
    </row>
    <row r="15205" spans="39:45">
      <c r="AM15205" s="55">
        <v>2020</v>
      </c>
      <c r="AN15205" s="55" t="s">
        <v>190</v>
      </c>
      <c r="AO15205" s="55">
        <v>25</v>
      </c>
      <c r="AP15205" s="55">
        <v>11</v>
      </c>
      <c r="AQ15205" s="55">
        <v>8255.5</v>
      </c>
      <c r="AR15205" s="55">
        <v>28500</v>
      </c>
      <c r="AS15205" s="78">
        <f t="shared" si="241"/>
        <v>0.28966666666666668</v>
      </c>
    </row>
    <row r="15206" spans="39:45">
      <c r="AM15206" s="54">
        <v>2020</v>
      </c>
      <c r="AN15206" s="54" t="s">
        <v>190</v>
      </c>
      <c r="AO15206" s="54">
        <v>25</v>
      </c>
      <c r="AP15206" s="54">
        <v>12</v>
      </c>
      <c r="AQ15206" s="54">
        <v>4382.5</v>
      </c>
      <c r="AR15206" s="55">
        <v>28500</v>
      </c>
      <c r="AS15206" s="78">
        <f t="shared" si="241"/>
        <v>0.15377192982456139</v>
      </c>
    </row>
    <row r="15207" spans="39:45">
      <c r="AM15207" s="55">
        <v>2020</v>
      </c>
      <c r="AN15207" s="55" t="s">
        <v>190</v>
      </c>
      <c r="AO15207" s="55">
        <v>25</v>
      </c>
      <c r="AP15207" s="55">
        <v>13</v>
      </c>
      <c r="AQ15207" s="55">
        <v>3478</v>
      </c>
      <c r="AR15207" s="55">
        <v>28500</v>
      </c>
      <c r="AS15207" s="78">
        <f t="shared" si="241"/>
        <v>0.12203508771929825</v>
      </c>
    </row>
    <row r="15208" spans="39:45">
      <c r="AM15208" s="54">
        <v>2020</v>
      </c>
      <c r="AN15208" s="54" t="s">
        <v>190</v>
      </c>
      <c r="AO15208" s="54">
        <v>25</v>
      </c>
      <c r="AP15208" s="54">
        <v>14</v>
      </c>
      <c r="AQ15208" s="54">
        <v>5789.5</v>
      </c>
      <c r="AR15208" s="55">
        <v>28500</v>
      </c>
      <c r="AS15208" s="78">
        <f t="shared" si="241"/>
        <v>0.20314035087719298</v>
      </c>
    </row>
    <row r="15209" spans="39:45">
      <c r="AM15209" s="55">
        <v>2020</v>
      </c>
      <c r="AN15209" s="55" t="s">
        <v>190</v>
      </c>
      <c r="AO15209" s="55">
        <v>25</v>
      </c>
      <c r="AP15209" s="55">
        <v>15</v>
      </c>
      <c r="AQ15209" s="55">
        <v>20865</v>
      </c>
      <c r="AR15209" s="55">
        <v>28500</v>
      </c>
      <c r="AS15209" s="78">
        <f t="shared" si="241"/>
        <v>0.7321052631578947</v>
      </c>
    </row>
    <row r="15210" spans="39:45">
      <c r="AM15210" s="54">
        <v>2020</v>
      </c>
      <c r="AN15210" s="54" t="s">
        <v>190</v>
      </c>
      <c r="AO15210" s="54">
        <v>25</v>
      </c>
      <c r="AP15210" s="54">
        <v>16</v>
      </c>
      <c r="AQ15210" s="54">
        <v>10936</v>
      </c>
      <c r="AR15210" s="55">
        <v>28500</v>
      </c>
      <c r="AS15210" s="78">
        <f t="shared" si="241"/>
        <v>0.38371929824561402</v>
      </c>
    </row>
    <row r="15211" spans="39:45">
      <c r="AM15211" s="55">
        <v>2020</v>
      </c>
      <c r="AN15211" s="55" t="s">
        <v>190</v>
      </c>
      <c r="AO15211" s="55">
        <v>25</v>
      </c>
      <c r="AP15211" s="55">
        <v>17</v>
      </c>
      <c r="AQ15211" s="55">
        <v>1724</v>
      </c>
      <c r="AR15211" s="55">
        <v>28500</v>
      </c>
      <c r="AS15211" s="78">
        <f t="shared" si="241"/>
        <v>6.0491228070175436E-2</v>
      </c>
    </row>
    <row r="15212" spans="39:45">
      <c r="AM15212" s="54">
        <v>2020</v>
      </c>
      <c r="AN15212" s="54" t="s">
        <v>190</v>
      </c>
      <c r="AO15212" s="54">
        <v>25</v>
      </c>
      <c r="AP15212" s="54">
        <v>18</v>
      </c>
      <c r="AQ15212" s="54">
        <v>0</v>
      </c>
      <c r="AR15212" s="55">
        <v>28500</v>
      </c>
      <c r="AS15212" s="78">
        <f t="shared" si="241"/>
        <v>0</v>
      </c>
    </row>
    <row r="15213" spans="39:45">
      <c r="AM15213" s="55">
        <v>2020</v>
      </c>
      <c r="AN15213" s="55" t="s">
        <v>190</v>
      </c>
      <c r="AO15213" s="55">
        <v>25</v>
      </c>
      <c r="AP15213" s="55">
        <v>19</v>
      </c>
      <c r="AQ15213" s="55">
        <v>0</v>
      </c>
      <c r="AR15213" s="55">
        <v>28500</v>
      </c>
      <c r="AS15213" s="78">
        <f t="shared" si="241"/>
        <v>0</v>
      </c>
    </row>
    <row r="15214" spans="39:45">
      <c r="AM15214" s="54">
        <v>2020</v>
      </c>
      <c r="AN15214" s="54" t="s">
        <v>190</v>
      </c>
      <c r="AO15214" s="54">
        <v>25</v>
      </c>
      <c r="AP15214" s="54">
        <v>20</v>
      </c>
      <c r="AQ15214" s="54">
        <v>0</v>
      </c>
      <c r="AR15214" s="55">
        <v>28500</v>
      </c>
      <c r="AS15214" s="78">
        <f t="shared" si="241"/>
        <v>0</v>
      </c>
    </row>
    <row r="15215" spans="39:45">
      <c r="AM15215" s="55">
        <v>2020</v>
      </c>
      <c r="AN15215" s="55" t="s">
        <v>190</v>
      </c>
      <c r="AO15215" s="55">
        <v>25</v>
      </c>
      <c r="AP15215" s="55">
        <v>21</v>
      </c>
      <c r="AQ15215" s="55">
        <v>0</v>
      </c>
      <c r="AR15215" s="55">
        <v>28500</v>
      </c>
      <c r="AS15215" s="78">
        <f t="shared" si="241"/>
        <v>0</v>
      </c>
    </row>
    <row r="15216" spans="39:45">
      <c r="AM15216" s="54">
        <v>2020</v>
      </c>
      <c r="AN15216" s="54" t="s">
        <v>190</v>
      </c>
      <c r="AO15216" s="54">
        <v>25</v>
      </c>
      <c r="AP15216" s="54">
        <v>22</v>
      </c>
      <c r="AQ15216" s="54">
        <v>0</v>
      </c>
      <c r="AR15216" s="55">
        <v>28500</v>
      </c>
      <c r="AS15216" s="78">
        <f t="shared" si="241"/>
        <v>0</v>
      </c>
    </row>
    <row r="15217" spans="39:45">
      <c r="AM15217" s="55">
        <v>2020</v>
      </c>
      <c r="AN15217" s="55" t="s">
        <v>190</v>
      </c>
      <c r="AO15217" s="55">
        <v>25</v>
      </c>
      <c r="AP15217" s="55">
        <v>23</v>
      </c>
      <c r="AQ15217" s="55">
        <v>0</v>
      </c>
      <c r="AR15217" s="55">
        <v>28500</v>
      </c>
      <c r="AS15217" s="78">
        <f t="shared" si="241"/>
        <v>0</v>
      </c>
    </row>
    <row r="15218" spans="39:45">
      <c r="AM15218" s="54">
        <v>2020</v>
      </c>
      <c r="AN15218" s="54" t="s">
        <v>190</v>
      </c>
      <c r="AO15218" s="54">
        <v>26</v>
      </c>
      <c r="AP15218" s="54">
        <v>24</v>
      </c>
      <c r="AQ15218" s="54">
        <v>0</v>
      </c>
      <c r="AR15218" s="55">
        <v>28500</v>
      </c>
      <c r="AS15218" s="78">
        <f t="shared" si="241"/>
        <v>0</v>
      </c>
    </row>
    <row r="15219" spans="39:45">
      <c r="AM15219" s="55">
        <v>2020</v>
      </c>
      <c r="AN15219" s="55" t="s">
        <v>190</v>
      </c>
      <c r="AO15219" s="55">
        <v>26</v>
      </c>
      <c r="AP15219" s="55">
        <v>1</v>
      </c>
      <c r="AQ15219" s="55">
        <v>0</v>
      </c>
      <c r="AR15219" s="55">
        <v>28500</v>
      </c>
      <c r="AS15219" s="78">
        <f t="shared" si="241"/>
        <v>0</v>
      </c>
    </row>
    <row r="15220" spans="39:45">
      <c r="AM15220" s="54">
        <v>2020</v>
      </c>
      <c r="AN15220" s="54" t="s">
        <v>190</v>
      </c>
      <c r="AO15220" s="54">
        <v>26</v>
      </c>
      <c r="AP15220" s="54">
        <v>2</v>
      </c>
      <c r="AQ15220" s="54">
        <v>0</v>
      </c>
      <c r="AR15220" s="55">
        <v>28500</v>
      </c>
      <c r="AS15220" s="78">
        <f t="shared" si="241"/>
        <v>0</v>
      </c>
    </row>
    <row r="15221" spans="39:45">
      <c r="AM15221" s="55">
        <v>2020</v>
      </c>
      <c r="AN15221" s="55" t="s">
        <v>190</v>
      </c>
      <c r="AO15221" s="55">
        <v>26</v>
      </c>
      <c r="AP15221" s="55">
        <v>3</v>
      </c>
      <c r="AQ15221" s="55">
        <v>0</v>
      </c>
      <c r="AR15221" s="55">
        <v>28500</v>
      </c>
      <c r="AS15221" s="78">
        <f t="shared" si="241"/>
        <v>0</v>
      </c>
    </row>
    <row r="15222" spans="39:45">
      <c r="AM15222" s="54">
        <v>2020</v>
      </c>
      <c r="AN15222" s="54" t="s">
        <v>190</v>
      </c>
      <c r="AO15222" s="54">
        <v>26</v>
      </c>
      <c r="AP15222" s="54">
        <v>4</v>
      </c>
      <c r="AQ15222" s="54">
        <v>0</v>
      </c>
      <c r="AR15222" s="55">
        <v>28500</v>
      </c>
      <c r="AS15222" s="78">
        <f t="shared" si="241"/>
        <v>0</v>
      </c>
    </row>
    <row r="15223" spans="39:45">
      <c r="AM15223" s="55">
        <v>2020</v>
      </c>
      <c r="AN15223" s="55" t="s">
        <v>190</v>
      </c>
      <c r="AO15223" s="55">
        <v>26</v>
      </c>
      <c r="AP15223" s="55">
        <v>5</v>
      </c>
      <c r="AQ15223" s="55">
        <v>0</v>
      </c>
      <c r="AR15223" s="55">
        <v>28500</v>
      </c>
      <c r="AS15223" s="78">
        <f t="shared" si="241"/>
        <v>0</v>
      </c>
    </row>
    <row r="15224" spans="39:45">
      <c r="AM15224" s="54">
        <v>2020</v>
      </c>
      <c r="AN15224" s="54" t="s">
        <v>190</v>
      </c>
      <c r="AO15224" s="54">
        <v>26</v>
      </c>
      <c r="AP15224" s="54">
        <v>6</v>
      </c>
      <c r="AQ15224" s="54">
        <v>0</v>
      </c>
      <c r="AR15224" s="55">
        <v>28500</v>
      </c>
      <c r="AS15224" s="78">
        <f t="shared" si="241"/>
        <v>0</v>
      </c>
    </row>
    <row r="15225" spans="39:45">
      <c r="AM15225" s="55">
        <v>2020</v>
      </c>
      <c r="AN15225" s="55" t="s">
        <v>190</v>
      </c>
      <c r="AO15225" s="55">
        <v>26</v>
      </c>
      <c r="AP15225" s="55">
        <v>7</v>
      </c>
      <c r="AQ15225" s="55">
        <v>8372.5</v>
      </c>
      <c r="AR15225" s="55">
        <v>28500</v>
      </c>
      <c r="AS15225" s="78">
        <f t="shared" si="241"/>
        <v>0.29377192982456141</v>
      </c>
    </row>
    <row r="15226" spans="39:45">
      <c r="AM15226" s="54">
        <v>2020</v>
      </c>
      <c r="AN15226" s="54" t="s">
        <v>190</v>
      </c>
      <c r="AO15226" s="54">
        <v>26</v>
      </c>
      <c r="AP15226" s="54">
        <v>8</v>
      </c>
      <c r="AQ15226" s="54">
        <v>20359</v>
      </c>
      <c r="AR15226" s="55">
        <v>28500</v>
      </c>
      <c r="AS15226" s="78">
        <f t="shared" si="241"/>
        <v>0.7143508771929824</v>
      </c>
    </row>
    <row r="15227" spans="39:45">
      <c r="AM15227" s="55">
        <v>2020</v>
      </c>
      <c r="AN15227" s="55" t="s">
        <v>190</v>
      </c>
      <c r="AO15227" s="55">
        <v>26</v>
      </c>
      <c r="AP15227" s="55">
        <v>9</v>
      </c>
      <c r="AQ15227" s="55">
        <v>29044</v>
      </c>
      <c r="AR15227" s="55">
        <v>28500</v>
      </c>
      <c r="AS15227" s="78">
        <f t="shared" si="241"/>
        <v>1.0190877192982457</v>
      </c>
    </row>
    <row r="15228" spans="39:45">
      <c r="AM15228" s="54">
        <v>2020</v>
      </c>
      <c r="AN15228" s="54" t="s">
        <v>190</v>
      </c>
      <c r="AO15228" s="54">
        <v>26</v>
      </c>
      <c r="AP15228" s="54">
        <v>10</v>
      </c>
      <c r="AQ15228" s="54">
        <v>28671.5</v>
      </c>
      <c r="AR15228" s="55">
        <v>28500</v>
      </c>
      <c r="AS15228" s="78">
        <f t="shared" si="241"/>
        <v>1.006017543859649</v>
      </c>
    </row>
    <row r="15229" spans="39:45">
      <c r="AM15229" s="55">
        <v>2020</v>
      </c>
      <c r="AN15229" s="55" t="s">
        <v>190</v>
      </c>
      <c r="AO15229" s="55">
        <v>26</v>
      </c>
      <c r="AP15229" s="55">
        <v>11</v>
      </c>
      <c r="AQ15229" s="55">
        <v>7012.5</v>
      </c>
      <c r="AR15229" s="55">
        <v>28500</v>
      </c>
      <c r="AS15229" s="78">
        <f t="shared" si="241"/>
        <v>0.24605263157894736</v>
      </c>
    </row>
    <row r="15230" spans="39:45">
      <c r="AM15230" s="54">
        <v>2020</v>
      </c>
      <c r="AN15230" s="54" t="s">
        <v>190</v>
      </c>
      <c r="AO15230" s="54">
        <v>26</v>
      </c>
      <c r="AP15230" s="54">
        <v>12</v>
      </c>
      <c r="AQ15230" s="54">
        <v>4595.5</v>
      </c>
      <c r="AR15230" s="55">
        <v>28500</v>
      </c>
      <c r="AS15230" s="78">
        <f t="shared" si="241"/>
        <v>0.16124561403508772</v>
      </c>
    </row>
    <row r="15231" spans="39:45">
      <c r="AM15231" s="55">
        <v>2020</v>
      </c>
      <c r="AN15231" s="55" t="s">
        <v>190</v>
      </c>
      <c r="AO15231" s="55">
        <v>26</v>
      </c>
      <c r="AP15231" s="55">
        <v>13</v>
      </c>
      <c r="AQ15231" s="55">
        <v>3741.5</v>
      </c>
      <c r="AR15231" s="55">
        <v>28500</v>
      </c>
      <c r="AS15231" s="78">
        <f t="shared" si="241"/>
        <v>0.13128070175438597</v>
      </c>
    </row>
    <row r="15232" spans="39:45">
      <c r="AM15232" s="54">
        <v>2020</v>
      </c>
      <c r="AN15232" s="54" t="s">
        <v>190</v>
      </c>
      <c r="AO15232" s="54">
        <v>26</v>
      </c>
      <c r="AP15232" s="54">
        <v>14</v>
      </c>
      <c r="AQ15232" s="54">
        <v>10404</v>
      </c>
      <c r="AR15232" s="55">
        <v>28500</v>
      </c>
      <c r="AS15232" s="78">
        <f t="shared" si="241"/>
        <v>0.36505263157894735</v>
      </c>
    </row>
    <row r="15233" spans="39:45">
      <c r="AM15233" s="55">
        <v>2020</v>
      </c>
      <c r="AN15233" s="55" t="s">
        <v>190</v>
      </c>
      <c r="AO15233" s="55">
        <v>26</v>
      </c>
      <c r="AP15233" s="55">
        <v>15</v>
      </c>
      <c r="AQ15233" s="55">
        <v>3019</v>
      </c>
      <c r="AR15233" s="55">
        <v>28500</v>
      </c>
      <c r="AS15233" s="78">
        <f t="shared" si="241"/>
        <v>0.10592982456140351</v>
      </c>
    </row>
    <row r="15234" spans="39:45">
      <c r="AM15234" s="54">
        <v>2020</v>
      </c>
      <c r="AN15234" s="54" t="s">
        <v>190</v>
      </c>
      <c r="AO15234" s="54">
        <v>26</v>
      </c>
      <c r="AP15234" s="54">
        <v>16</v>
      </c>
      <c r="AQ15234" s="54">
        <v>2188.5</v>
      </c>
      <c r="AR15234" s="55">
        <v>28500</v>
      </c>
      <c r="AS15234" s="78">
        <f t="shared" ref="AS15234:AS15297" si="242">AQ15234/AR15234</f>
        <v>7.6789473684210532E-2</v>
      </c>
    </row>
    <row r="15235" spans="39:45">
      <c r="AM15235" s="55">
        <v>2020</v>
      </c>
      <c r="AN15235" s="55" t="s">
        <v>190</v>
      </c>
      <c r="AO15235" s="55">
        <v>26</v>
      </c>
      <c r="AP15235" s="55">
        <v>17</v>
      </c>
      <c r="AQ15235" s="55">
        <v>31.5</v>
      </c>
      <c r="AR15235" s="55">
        <v>28500</v>
      </c>
      <c r="AS15235" s="78">
        <f t="shared" si="242"/>
        <v>1.1052631578947368E-3</v>
      </c>
    </row>
    <row r="15236" spans="39:45">
      <c r="AM15236" s="54">
        <v>2020</v>
      </c>
      <c r="AN15236" s="54" t="s">
        <v>190</v>
      </c>
      <c r="AO15236" s="54">
        <v>26</v>
      </c>
      <c r="AP15236" s="54">
        <v>18</v>
      </c>
      <c r="AQ15236" s="54">
        <v>0</v>
      </c>
      <c r="AR15236" s="55">
        <v>28500</v>
      </c>
      <c r="AS15236" s="78">
        <f t="shared" si="242"/>
        <v>0</v>
      </c>
    </row>
    <row r="15237" spans="39:45">
      <c r="AM15237" s="55">
        <v>2020</v>
      </c>
      <c r="AN15237" s="55" t="s">
        <v>190</v>
      </c>
      <c r="AO15237" s="55">
        <v>26</v>
      </c>
      <c r="AP15237" s="55">
        <v>19</v>
      </c>
      <c r="AQ15237" s="55">
        <v>0</v>
      </c>
      <c r="AR15237" s="55">
        <v>28500</v>
      </c>
      <c r="AS15237" s="78">
        <f t="shared" si="242"/>
        <v>0</v>
      </c>
    </row>
    <row r="15238" spans="39:45">
      <c r="AM15238" s="54">
        <v>2020</v>
      </c>
      <c r="AN15238" s="54" t="s">
        <v>190</v>
      </c>
      <c r="AO15238" s="54">
        <v>26</v>
      </c>
      <c r="AP15238" s="54">
        <v>20</v>
      </c>
      <c r="AQ15238" s="54">
        <v>0</v>
      </c>
      <c r="AR15238" s="55">
        <v>28500</v>
      </c>
      <c r="AS15238" s="78">
        <f t="shared" si="242"/>
        <v>0</v>
      </c>
    </row>
    <row r="15239" spans="39:45">
      <c r="AM15239" s="55">
        <v>2020</v>
      </c>
      <c r="AN15239" s="55" t="s">
        <v>190</v>
      </c>
      <c r="AO15239" s="55">
        <v>26</v>
      </c>
      <c r="AP15239" s="55">
        <v>21</v>
      </c>
      <c r="AQ15239" s="55">
        <v>0</v>
      </c>
      <c r="AR15239" s="55">
        <v>28500</v>
      </c>
      <c r="AS15239" s="78">
        <f t="shared" si="242"/>
        <v>0</v>
      </c>
    </row>
    <row r="15240" spans="39:45">
      <c r="AM15240" s="54">
        <v>2020</v>
      </c>
      <c r="AN15240" s="54" t="s">
        <v>190</v>
      </c>
      <c r="AO15240" s="54">
        <v>26</v>
      </c>
      <c r="AP15240" s="54">
        <v>22</v>
      </c>
      <c r="AQ15240" s="54">
        <v>0</v>
      </c>
      <c r="AR15240" s="55">
        <v>28500</v>
      </c>
      <c r="AS15240" s="78">
        <f t="shared" si="242"/>
        <v>0</v>
      </c>
    </row>
    <row r="15241" spans="39:45">
      <c r="AM15241" s="55">
        <v>2020</v>
      </c>
      <c r="AN15241" s="55" t="s">
        <v>190</v>
      </c>
      <c r="AO15241" s="55">
        <v>26</v>
      </c>
      <c r="AP15241" s="55">
        <v>23</v>
      </c>
      <c r="AQ15241" s="55">
        <v>0</v>
      </c>
      <c r="AR15241" s="55">
        <v>28500</v>
      </c>
      <c r="AS15241" s="78">
        <f t="shared" si="242"/>
        <v>0</v>
      </c>
    </row>
    <row r="15242" spans="39:45">
      <c r="AM15242" s="54">
        <v>2020</v>
      </c>
      <c r="AN15242" s="54" t="s">
        <v>190</v>
      </c>
      <c r="AO15242" s="54">
        <v>27</v>
      </c>
      <c r="AP15242" s="54">
        <v>24</v>
      </c>
      <c r="AQ15242" s="54">
        <v>0</v>
      </c>
      <c r="AR15242" s="55">
        <v>28500</v>
      </c>
      <c r="AS15242" s="78">
        <f t="shared" si="242"/>
        <v>0</v>
      </c>
    </row>
    <row r="15243" spans="39:45">
      <c r="AM15243" s="55">
        <v>2020</v>
      </c>
      <c r="AN15243" s="55" t="s">
        <v>190</v>
      </c>
      <c r="AO15243" s="55">
        <v>27</v>
      </c>
      <c r="AP15243" s="55">
        <v>1</v>
      </c>
      <c r="AQ15243" s="55">
        <v>0</v>
      </c>
      <c r="AR15243" s="55">
        <v>28500</v>
      </c>
      <c r="AS15243" s="78">
        <f t="shared" si="242"/>
        <v>0</v>
      </c>
    </row>
    <row r="15244" spans="39:45">
      <c r="AM15244" s="54">
        <v>2020</v>
      </c>
      <c r="AN15244" s="54" t="s">
        <v>190</v>
      </c>
      <c r="AO15244" s="54">
        <v>27</v>
      </c>
      <c r="AP15244" s="54">
        <v>2</v>
      </c>
      <c r="AQ15244" s="54">
        <v>0</v>
      </c>
      <c r="AR15244" s="55">
        <v>28500</v>
      </c>
      <c r="AS15244" s="78">
        <f t="shared" si="242"/>
        <v>0</v>
      </c>
    </row>
    <row r="15245" spans="39:45">
      <c r="AM15245" s="55">
        <v>2020</v>
      </c>
      <c r="AN15245" s="55" t="s">
        <v>190</v>
      </c>
      <c r="AO15245" s="55">
        <v>27</v>
      </c>
      <c r="AP15245" s="55">
        <v>3</v>
      </c>
      <c r="AQ15245" s="55">
        <v>0</v>
      </c>
      <c r="AR15245" s="55">
        <v>28500</v>
      </c>
      <c r="AS15245" s="78">
        <f t="shared" si="242"/>
        <v>0</v>
      </c>
    </row>
    <row r="15246" spans="39:45">
      <c r="AM15246" s="54">
        <v>2020</v>
      </c>
      <c r="AN15246" s="54" t="s">
        <v>190</v>
      </c>
      <c r="AO15246" s="54">
        <v>27</v>
      </c>
      <c r="AP15246" s="54">
        <v>4</v>
      </c>
      <c r="AQ15246" s="54">
        <v>0</v>
      </c>
      <c r="AR15246" s="55">
        <v>28500</v>
      </c>
      <c r="AS15246" s="78">
        <f t="shared" si="242"/>
        <v>0</v>
      </c>
    </row>
    <row r="15247" spans="39:45">
      <c r="AM15247" s="55">
        <v>2020</v>
      </c>
      <c r="AN15247" s="55" t="s">
        <v>190</v>
      </c>
      <c r="AO15247" s="55">
        <v>27</v>
      </c>
      <c r="AP15247" s="55">
        <v>5</v>
      </c>
      <c r="AQ15247" s="55">
        <v>0</v>
      </c>
      <c r="AR15247" s="55">
        <v>28500</v>
      </c>
      <c r="AS15247" s="78">
        <f t="shared" si="242"/>
        <v>0</v>
      </c>
    </row>
    <row r="15248" spans="39:45">
      <c r="AM15248" s="54">
        <v>2020</v>
      </c>
      <c r="AN15248" s="54" t="s">
        <v>190</v>
      </c>
      <c r="AO15248" s="54">
        <v>27</v>
      </c>
      <c r="AP15248" s="54">
        <v>6</v>
      </c>
      <c r="AQ15248" s="54">
        <v>0</v>
      </c>
      <c r="AR15248" s="55">
        <v>28500</v>
      </c>
      <c r="AS15248" s="78">
        <f t="shared" si="242"/>
        <v>0</v>
      </c>
    </row>
    <row r="15249" spans="39:45">
      <c r="AM15249" s="55">
        <v>2020</v>
      </c>
      <c r="AN15249" s="55" t="s">
        <v>190</v>
      </c>
      <c r="AO15249" s="55">
        <v>27</v>
      </c>
      <c r="AP15249" s="55">
        <v>7</v>
      </c>
      <c r="AQ15249" s="55">
        <v>1716.5</v>
      </c>
      <c r="AR15249" s="55">
        <v>28500</v>
      </c>
      <c r="AS15249" s="78">
        <f t="shared" si="242"/>
        <v>6.0228070175438596E-2</v>
      </c>
    </row>
    <row r="15250" spans="39:45">
      <c r="AM15250" s="54">
        <v>2020</v>
      </c>
      <c r="AN15250" s="54" t="s">
        <v>190</v>
      </c>
      <c r="AO15250" s="54">
        <v>27</v>
      </c>
      <c r="AP15250" s="54">
        <v>8</v>
      </c>
      <c r="AQ15250" s="54">
        <v>2422.5</v>
      </c>
      <c r="AR15250" s="55">
        <v>28500</v>
      </c>
      <c r="AS15250" s="78">
        <f t="shared" si="242"/>
        <v>8.5000000000000006E-2</v>
      </c>
    </row>
    <row r="15251" spans="39:45">
      <c r="AM15251" s="55">
        <v>2020</v>
      </c>
      <c r="AN15251" s="55" t="s">
        <v>190</v>
      </c>
      <c r="AO15251" s="55">
        <v>27</v>
      </c>
      <c r="AP15251" s="55">
        <v>9</v>
      </c>
      <c r="AQ15251" s="55">
        <v>2907</v>
      </c>
      <c r="AR15251" s="55">
        <v>28500</v>
      </c>
      <c r="AS15251" s="78">
        <f t="shared" si="242"/>
        <v>0.10199999999999999</v>
      </c>
    </row>
    <row r="15252" spans="39:45">
      <c r="AM15252" s="54">
        <v>2020</v>
      </c>
      <c r="AN15252" s="54" t="s">
        <v>190</v>
      </c>
      <c r="AO15252" s="54">
        <v>27</v>
      </c>
      <c r="AP15252" s="54">
        <v>10</v>
      </c>
      <c r="AQ15252" s="54">
        <v>2100</v>
      </c>
      <c r="AR15252" s="55">
        <v>28500</v>
      </c>
      <c r="AS15252" s="78">
        <f t="shared" si="242"/>
        <v>7.3684210526315783E-2</v>
      </c>
    </row>
    <row r="15253" spans="39:45">
      <c r="AM15253" s="55">
        <v>2020</v>
      </c>
      <c r="AN15253" s="55" t="s">
        <v>190</v>
      </c>
      <c r="AO15253" s="55">
        <v>27</v>
      </c>
      <c r="AP15253" s="55">
        <v>11</v>
      </c>
      <c r="AQ15253" s="55">
        <v>2571.5</v>
      </c>
      <c r="AR15253" s="55">
        <v>28500</v>
      </c>
      <c r="AS15253" s="78">
        <f t="shared" si="242"/>
        <v>9.0228070175438602E-2</v>
      </c>
    </row>
    <row r="15254" spans="39:45">
      <c r="AM15254" s="54">
        <v>2020</v>
      </c>
      <c r="AN15254" s="54" t="s">
        <v>190</v>
      </c>
      <c r="AO15254" s="54">
        <v>27</v>
      </c>
      <c r="AP15254" s="54">
        <v>12</v>
      </c>
      <c r="AQ15254" s="54">
        <v>1357.5</v>
      </c>
      <c r="AR15254" s="55">
        <v>28500</v>
      </c>
      <c r="AS15254" s="78">
        <f t="shared" si="242"/>
        <v>4.7631578947368421E-2</v>
      </c>
    </row>
    <row r="15255" spans="39:45">
      <c r="AM15255" s="55">
        <v>2020</v>
      </c>
      <c r="AN15255" s="55" t="s">
        <v>190</v>
      </c>
      <c r="AO15255" s="55">
        <v>27</v>
      </c>
      <c r="AP15255" s="55">
        <v>13</v>
      </c>
      <c r="AQ15255" s="55">
        <v>1253.5</v>
      </c>
      <c r="AR15255" s="55">
        <v>28500</v>
      </c>
      <c r="AS15255" s="78">
        <f t="shared" si="242"/>
        <v>4.398245614035088E-2</v>
      </c>
    </row>
    <row r="15256" spans="39:45">
      <c r="AM15256" s="54">
        <v>2020</v>
      </c>
      <c r="AN15256" s="54" t="s">
        <v>190</v>
      </c>
      <c r="AO15256" s="54">
        <v>27</v>
      </c>
      <c r="AP15256" s="54">
        <v>14</v>
      </c>
      <c r="AQ15256" s="54">
        <v>1713</v>
      </c>
      <c r="AR15256" s="55">
        <v>28500</v>
      </c>
      <c r="AS15256" s="78">
        <f t="shared" si="242"/>
        <v>6.0105263157894738E-2</v>
      </c>
    </row>
    <row r="15257" spans="39:45">
      <c r="AM15257" s="55">
        <v>2020</v>
      </c>
      <c r="AN15257" s="55" t="s">
        <v>190</v>
      </c>
      <c r="AO15257" s="55">
        <v>27</v>
      </c>
      <c r="AP15257" s="55">
        <v>15</v>
      </c>
      <c r="AQ15257" s="55">
        <v>1894.5</v>
      </c>
      <c r="AR15257" s="55">
        <v>28500</v>
      </c>
      <c r="AS15257" s="78">
        <f t="shared" si="242"/>
        <v>6.647368421052631E-2</v>
      </c>
    </row>
    <row r="15258" spans="39:45">
      <c r="AM15258" s="54">
        <v>2020</v>
      </c>
      <c r="AN15258" s="54" t="s">
        <v>190</v>
      </c>
      <c r="AO15258" s="54">
        <v>27</v>
      </c>
      <c r="AP15258" s="54">
        <v>16</v>
      </c>
      <c r="AQ15258" s="54">
        <v>782.5</v>
      </c>
      <c r="AR15258" s="55">
        <v>28500</v>
      </c>
      <c r="AS15258" s="78">
        <f t="shared" si="242"/>
        <v>2.7456140350877192E-2</v>
      </c>
    </row>
    <row r="15259" spans="39:45">
      <c r="AM15259" s="55">
        <v>2020</v>
      </c>
      <c r="AN15259" s="55" t="s">
        <v>190</v>
      </c>
      <c r="AO15259" s="55">
        <v>27</v>
      </c>
      <c r="AP15259" s="55">
        <v>17</v>
      </c>
      <c r="AQ15259" s="55">
        <v>395</v>
      </c>
      <c r="AR15259" s="55">
        <v>28500</v>
      </c>
      <c r="AS15259" s="78">
        <f t="shared" si="242"/>
        <v>1.3859649122807018E-2</v>
      </c>
    </row>
    <row r="15260" spans="39:45">
      <c r="AM15260" s="54">
        <v>2020</v>
      </c>
      <c r="AN15260" s="54" t="s">
        <v>190</v>
      </c>
      <c r="AO15260" s="54">
        <v>27</v>
      </c>
      <c r="AP15260" s="54">
        <v>18</v>
      </c>
      <c r="AQ15260" s="54">
        <v>0</v>
      </c>
      <c r="AR15260" s="55">
        <v>28500</v>
      </c>
      <c r="AS15260" s="78">
        <f t="shared" si="242"/>
        <v>0</v>
      </c>
    </row>
    <row r="15261" spans="39:45">
      <c r="AM15261" s="55">
        <v>2020</v>
      </c>
      <c r="AN15261" s="55" t="s">
        <v>190</v>
      </c>
      <c r="AO15261" s="55">
        <v>27</v>
      </c>
      <c r="AP15261" s="55">
        <v>19</v>
      </c>
      <c r="AQ15261" s="55">
        <v>0</v>
      </c>
      <c r="AR15261" s="55">
        <v>28500</v>
      </c>
      <c r="AS15261" s="78">
        <f t="shared" si="242"/>
        <v>0</v>
      </c>
    </row>
    <row r="15262" spans="39:45">
      <c r="AM15262" s="54">
        <v>2020</v>
      </c>
      <c r="AN15262" s="54" t="s">
        <v>190</v>
      </c>
      <c r="AO15262" s="54">
        <v>27</v>
      </c>
      <c r="AP15262" s="54">
        <v>20</v>
      </c>
      <c r="AQ15262" s="54">
        <v>0</v>
      </c>
      <c r="AR15262" s="55">
        <v>28500</v>
      </c>
      <c r="AS15262" s="78">
        <f t="shared" si="242"/>
        <v>0</v>
      </c>
    </row>
    <row r="15263" spans="39:45">
      <c r="AM15263" s="55">
        <v>2020</v>
      </c>
      <c r="AN15263" s="55" t="s">
        <v>190</v>
      </c>
      <c r="AO15263" s="55">
        <v>27</v>
      </c>
      <c r="AP15263" s="55">
        <v>21</v>
      </c>
      <c r="AQ15263" s="55">
        <v>0</v>
      </c>
      <c r="AR15263" s="55">
        <v>28500</v>
      </c>
      <c r="AS15263" s="78">
        <f t="shared" si="242"/>
        <v>0</v>
      </c>
    </row>
    <row r="15264" spans="39:45">
      <c r="AM15264" s="54">
        <v>2020</v>
      </c>
      <c r="AN15264" s="54" t="s">
        <v>190</v>
      </c>
      <c r="AO15264" s="54">
        <v>27</v>
      </c>
      <c r="AP15264" s="54">
        <v>22</v>
      </c>
      <c r="AQ15264" s="54">
        <v>0</v>
      </c>
      <c r="AR15264" s="55">
        <v>28500</v>
      </c>
      <c r="AS15264" s="78">
        <f t="shared" si="242"/>
        <v>0</v>
      </c>
    </row>
    <row r="15265" spans="39:45">
      <c r="AM15265" s="55">
        <v>2020</v>
      </c>
      <c r="AN15265" s="55" t="s">
        <v>190</v>
      </c>
      <c r="AO15265" s="55">
        <v>27</v>
      </c>
      <c r="AP15265" s="55">
        <v>23</v>
      </c>
      <c r="AQ15265" s="55">
        <v>0</v>
      </c>
      <c r="AR15265" s="55">
        <v>28500</v>
      </c>
      <c r="AS15265" s="78">
        <f t="shared" si="242"/>
        <v>0</v>
      </c>
    </row>
    <row r="15266" spans="39:45">
      <c r="AM15266" s="54">
        <v>2020</v>
      </c>
      <c r="AN15266" s="54" t="s">
        <v>190</v>
      </c>
      <c r="AO15266" s="54">
        <v>28</v>
      </c>
      <c r="AP15266" s="54">
        <v>24</v>
      </c>
      <c r="AQ15266" s="54">
        <v>0</v>
      </c>
      <c r="AR15266" s="55">
        <v>28500</v>
      </c>
      <c r="AS15266" s="78">
        <f t="shared" si="242"/>
        <v>0</v>
      </c>
    </row>
    <row r="15267" spans="39:45">
      <c r="AM15267" s="55">
        <v>2020</v>
      </c>
      <c r="AN15267" s="55" t="s">
        <v>190</v>
      </c>
      <c r="AO15267" s="55">
        <v>28</v>
      </c>
      <c r="AP15267" s="55">
        <v>1</v>
      </c>
      <c r="AQ15267" s="55">
        <v>0</v>
      </c>
      <c r="AR15267" s="55">
        <v>28500</v>
      </c>
      <c r="AS15267" s="78">
        <f t="shared" si="242"/>
        <v>0</v>
      </c>
    </row>
    <row r="15268" spans="39:45">
      <c r="AM15268" s="54">
        <v>2020</v>
      </c>
      <c r="AN15268" s="54" t="s">
        <v>190</v>
      </c>
      <c r="AO15268" s="54">
        <v>28</v>
      </c>
      <c r="AP15268" s="54">
        <v>2</v>
      </c>
      <c r="AQ15268" s="54">
        <v>0</v>
      </c>
      <c r="AR15268" s="55">
        <v>28500</v>
      </c>
      <c r="AS15268" s="78">
        <f t="shared" si="242"/>
        <v>0</v>
      </c>
    </row>
    <row r="15269" spans="39:45">
      <c r="AM15269" s="55">
        <v>2020</v>
      </c>
      <c r="AN15269" s="55" t="s">
        <v>190</v>
      </c>
      <c r="AO15269" s="55">
        <v>28</v>
      </c>
      <c r="AP15269" s="55">
        <v>3</v>
      </c>
      <c r="AQ15269" s="55">
        <v>0</v>
      </c>
      <c r="AR15269" s="55">
        <v>28500</v>
      </c>
      <c r="AS15269" s="78">
        <f t="shared" si="242"/>
        <v>0</v>
      </c>
    </row>
    <row r="15270" spans="39:45">
      <c r="AM15270" s="54">
        <v>2020</v>
      </c>
      <c r="AN15270" s="54" t="s">
        <v>190</v>
      </c>
      <c r="AO15270" s="54">
        <v>28</v>
      </c>
      <c r="AP15270" s="54">
        <v>4</v>
      </c>
      <c r="AQ15270" s="54">
        <v>0</v>
      </c>
      <c r="AR15270" s="55">
        <v>28500</v>
      </c>
      <c r="AS15270" s="78">
        <f t="shared" si="242"/>
        <v>0</v>
      </c>
    </row>
    <row r="15271" spans="39:45">
      <c r="AM15271" s="55">
        <v>2020</v>
      </c>
      <c r="AN15271" s="55" t="s">
        <v>190</v>
      </c>
      <c r="AO15271" s="55">
        <v>28</v>
      </c>
      <c r="AP15271" s="55">
        <v>5</v>
      </c>
      <c r="AQ15271" s="55">
        <v>0</v>
      </c>
      <c r="AR15271" s="55">
        <v>28500</v>
      </c>
      <c r="AS15271" s="78">
        <f t="shared" si="242"/>
        <v>0</v>
      </c>
    </row>
    <row r="15272" spans="39:45">
      <c r="AM15272" s="54">
        <v>2020</v>
      </c>
      <c r="AN15272" s="54" t="s">
        <v>190</v>
      </c>
      <c r="AO15272" s="54">
        <v>28</v>
      </c>
      <c r="AP15272" s="54">
        <v>6</v>
      </c>
      <c r="AQ15272" s="54">
        <v>0</v>
      </c>
      <c r="AR15272" s="55">
        <v>28500</v>
      </c>
      <c r="AS15272" s="78">
        <f t="shared" si="242"/>
        <v>0</v>
      </c>
    </row>
    <row r="15273" spans="39:45">
      <c r="AM15273" s="55">
        <v>2020</v>
      </c>
      <c r="AN15273" s="55" t="s">
        <v>190</v>
      </c>
      <c r="AO15273" s="55">
        <v>28</v>
      </c>
      <c r="AP15273" s="55">
        <v>7</v>
      </c>
      <c r="AQ15273" s="55">
        <v>5158</v>
      </c>
      <c r="AR15273" s="55">
        <v>28500</v>
      </c>
      <c r="AS15273" s="78">
        <f t="shared" si="242"/>
        <v>0.18098245614035088</v>
      </c>
    </row>
    <row r="15274" spans="39:45">
      <c r="AM15274" s="54">
        <v>2020</v>
      </c>
      <c r="AN15274" s="54" t="s">
        <v>190</v>
      </c>
      <c r="AO15274" s="54">
        <v>28</v>
      </c>
      <c r="AP15274" s="54">
        <v>8</v>
      </c>
      <c r="AQ15274" s="54">
        <v>10716</v>
      </c>
      <c r="AR15274" s="55">
        <v>28500</v>
      </c>
      <c r="AS15274" s="78">
        <f t="shared" si="242"/>
        <v>0.376</v>
      </c>
    </row>
    <row r="15275" spans="39:45">
      <c r="AM15275" s="55">
        <v>2020</v>
      </c>
      <c r="AN15275" s="55" t="s">
        <v>190</v>
      </c>
      <c r="AO15275" s="55">
        <v>28</v>
      </c>
      <c r="AP15275" s="55">
        <v>9</v>
      </c>
      <c r="AQ15275" s="55">
        <v>19491</v>
      </c>
      <c r="AR15275" s="55">
        <v>28500</v>
      </c>
      <c r="AS15275" s="78">
        <f t="shared" si="242"/>
        <v>0.68389473684210522</v>
      </c>
    </row>
    <row r="15276" spans="39:45">
      <c r="AM15276" s="54">
        <v>2020</v>
      </c>
      <c r="AN15276" s="54" t="s">
        <v>190</v>
      </c>
      <c r="AO15276" s="54">
        <v>28</v>
      </c>
      <c r="AP15276" s="54">
        <v>10</v>
      </c>
      <c r="AQ15276" s="54">
        <v>30077</v>
      </c>
      <c r="AR15276" s="55">
        <v>28500</v>
      </c>
      <c r="AS15276" s="78">
        <f t="shared" si="242"/>
        <v>1.0553333333333332</v>
      </c>
    </row>
    <row r="15277" spans="39:45">
      <c r="AM15277" s="55">
        <v>2020</v>
      </c>
      <c r="AN15277" s="55" t="s">
        <v>190</v>
      </c>
      <c r="AO15277" s="55">
        <v>28</v>
      </c>
      <c r="AP15277" s="55">
        <v>11</v>
      </c>
      <c r="AQ15277" s="55">
        <v>34501.5</v>
      </c>
      <c r="AR15277" s="55">
        <v>28500</v>
      </c>
      <c r="AS15277" s="78">
        <f t="shared" si="242"/>
        <v>1.210578947368421</v>
      </c>
    </row>
    <row r="15278" spans="39:45">
      <c r="AM15278" s="54">
        <v>2020</v>
      </c>
      <c r="AN15278" s="54" t="s">
        <v>190</v>
      </c>
      <c r="AO15278" s="54">
        <v>28</v>
      </c>
      <c r="AP15278" s="54">
        <v>12</v>
      </c>
      <c r="AQ15278" s="54">
        <v>36713</v>
      </c>
      <c r="AR15278" s="55">
        <v>28500</v>
      </c>
      <c r="AS15278" s="78">
        <f t="shared" si="242"/>
        <v>1.2881754385964912</v>
      </c>
    </row>
    <row r="15279" spans="39:45">
      <c r="AM15279" s="55">
        <v>2020</v>
      </c>
      <c r="AN15279" s="55" t="s">
        <v>190</v>
      </c>
      <c r="AO15279" s="55">
        <v>28</v>
      </c>
      <c r="AP15279" s="55">
        <v>13</v>
      </c>
      <c r="AQ15279" s="55">
        <v>34160</v>
      </c>
      <c r="AR15279" s="55">
        <v>28500</v>
      </c>
      <c r="AS15279" s="78">
        <f t="shared" si="242"/>
        <v>1.1985964912280702</v>
      </c>
    </row>
    <row r="15280" spans="39:45">
      <c r="AM15280" s="54">
        <v>2020</v>
      </c>
      <c r="AN15280" s="54" t="s">
        <v>190</v>
      </c>
      <c r="AO15280" s="54">
        <v>28</v>
      </c>
      <c r="AP15280" s="54">
        <v>14</v>
      </c>
      <c r="AQ15280" s="54">
        <v>29397</v>
      </c>
      <c r="AR15280" s="55">
        <v>28500</v>
      </c>
      <c r="AS15280" s="78">
        <f t="shared" si="242"/>
        <v>1.0314736842105263</v>
      </c>
    </row>
    <row r="15281" spans="39:45">
      <c r="AM15281" s="55">
        <v>2020</v>
      </c>
      <c r="AN15281" s="55" t="s">
        <v>190</v>
      </c>
      <c r="AO15281" s="55">
        <v>28</v>
      </c>
      <c r="AP15281" s="55">
        <v>15</v>
      </c>
      <c r="AQ15281" s="55">
        <v>20578.5</v>
      </c>
      <c r="AR15281" s="55">
        <v>28500</v>
      </c>
      <c r="AS15281" s="78">
        <f t="shared" si="242"/>
        <v>0.72205263157894739</v>
      </c>
    </row>
    <row r="15282" spans="39:45">
      <c r="AM15282" s="54">
        <v>2020</v>
      </c>
      <c r="AN15282" s="54" t="s">
        <v>190</v>
      </c>
      <c r="AO15282" s="54">
        <v>28</v>
      </c>
      <c r="AP15282" s="54">
        <v>16</v>
      </c>
      <c r="AQ15282" s="54">
        <v>6449</v>
      </c>
      <c r="AR15282" s="55">
        <v>28500</v>
      </c>
      <c r="AS15282" s="78">
        <f t="shared" si="242"/>
        <v>0.22628070175438597</v>
      </c>
    </row>
    <row r="15283" spans="39:45">
      <c r="AM15283" s="55">
        <v>2020</v>
      </c>
      <c r="AN15283" s="55" t="s">
        <v>190</v>
      </c>
      <c r="AO15283" s="55">
        <v>28</v>
      </c>
      <c r="AP15283" s="55">
        <v>17</v>
      </c>
      <c r="AQ15283" s="55">
        <v>755.5</v>
      </c>
      <c r="AR15283" s="55">
        <v>28500</v>
      </c>
      <c r="AS15283" s="78">
        <f t="shared" si="242"/>
        <v>2.6508771929824562E-2</v>
      </c>
    </row>
    <row r="15284" spans="39:45">
      <c r="AM15284" s="54">
        <v>2020</v>
      </c>
      <c r="AN15284" s="54" t="s">
        <v>190</v>
      </c>
      <c r="AO15284" s="54">
        <v>28</v>
      </c>
      <c r="AP15284" s="54">
        <v>18</v>
      </c>
      <c r="AQ15284" s="54">
        <v>0</v>
      </c>
      <c r="AR15284" s="55">
        <v>28500</v>
      </c>
      <c r="AS15284" s="78">
        <f t="shared" si="242"/>
        <v>0</v>
      </c>
    </row>
    <row r="15285" spans="39:45">
      <c r="AM15285" s="55">
        <v>2020</v>
      </c>
      <c r="AN15285" s="55" t="s">
        <v>190</v>
      </c>
      <c r="AO15285" s="55">
        <v>28</v>
      </c>
      <c r="AP15285" s="55">
        <v>19</v>
      </c>
      <c r="AQ15285" s="55">
        <v>0</v>
      </c>
      <c r="AR15285" s="55">
        <v>28500</v>
      </c>
      <c r="AS15285" s="78">
        <f t="shared" si="242"/>
        <v>0</v>
      </c>
    </row>
    <row r="15286" spans="39:45">
      <c r="AM15286" s="54">
        <v>2020</v>
      </c>
      <c r="AN15286" s="54" t="s">
        <v>190</v>
      </c>
      <c r="AO15286" s="54">
        <v>28</v>
      </c>
      <c r="AP15286" s="54">
        <v>20</v>
      </c>
      <c r="AQ15286" s="54">
        <v>0</v>
      </c>
      <c r="AR15286" s="55">
        <v>28500</v>
      </c>
      <c r="AS15286" s="78">
        <f t="shared" si="242"/>
        <v>0</v>
      </c>
    </row>
    <row r="15287" spans="39:45">
      <c r="AM15287" s="55">
        <v>2020</v>
      </c>
      <c r="AN15287" s="55" t="s">
        <v>190</v>
      </c>
      <c r="AO15287" s="55">
        <v>28</v>
      </c>
      <c r="AP15287" s="55">
        <v>21</v>
      </c>
      <c r="AQ15287" s="55">
        <v>0</v>
      </c>
      <c r="AR15287" s="55">
        <v>28500</v>
      </c>
      <c r="AS15287" s="78">
        <f t="shared" si="242"/>
        <v>0</v>
      </c>
    </row>
    <row r="15288" spans="39:45">
      <c r="AM15288" s="54">
        <v>2020</v>
      </c>
      <c r="AN15288" s="54" t="s">
        <v>190</v>
      </c>
      <c r="AO15288" s="54">
        <v>28</v>
      </c>
      <c r="AP15288" s="54">
        <v>22</v>
      </c>
      <c r="AQ15288" s="54">
        <v>0</v>
      </c>
      <c r="AR15288" s="55">
        <v>28500</v>
      </c>
      <c r="AS15288" s="78">
        <f t="shared" si="242"/>
        <v>0</v>
      </c>
    </row>
    <row r="15289" spans="39:45">
      <c r="AM15289" s="55">
        <v>2020</v>
      </c>
      <c r="AN15289" s="55" t="s">
        <v>190</v>
      </c>
      <c r="AO15289" s="55">
        <v>28</v>
      </c>
      <c r="AP15289" s="55">
        <v>23</v>
      </c>
      <c r="AQ15289" s="55">
        <v>0</v>
      </c>
      <c r="AR15289" s="55">
        <v>28500</v>
      </c>
      <c r="AS15289" s="78">
        <f t="shared" si="242"/>
        <v>0</v>
      </c>
    </row>
    <row r="15290" spans="39:45">
      <c r="AM15290" s="54">
        <v>2020</v>
      </c>
      <c r="AN15290" s="54" t="s">
        <v>190</v>
      </c>
      <c r="AO15290" s="54">
        <v>29</v>
      </c>
      <c r="AP15290" s="54">
        <v>24</v>
      </c>
      <c r="AQ15290" s="54">
        <v>0</v>
      </c>
      <c r="AR15290" s="55">
        <v>28500</v>
      </c>
      <c r="AS15290" s="78">
        <f t="shared" si="242"/>
        <v>0</v>
      </c>
    </row>
    <row r="15291" spans="39:45">
      <c r="AM15291" s="55">
        <v>2020</v>
      </c>
      <c r="AN15291" s="55" t="s">
        <v>190</v>
      </c>
      <c r="AO15291" s="55">
        <v>29</v>
      </c>
      <c r="AP15291" s="55">
        <v>1</v>
      </c>
      <c r="AQ15291" s="55">
        <v>0</v>
      </c>
      <c r="AR15291" s="55">
        <v>28500</v>
      </c>
      <c r="AS15291" s="78">
        <f t="shared" si="242"/>
        <v>0</v>
      </c>
    </row>
    <row r="15292" spans="39:45">
      <c r="AM15292" s="54">
        <v>2020</v>
      </c>
      <c r="AN15292" s="54" t="s">
        <v>190</v>
      </c>
      <c r="AO15292" s="54">
        <v>29</v>
      </c>
      <c r="AP15292" s="54">
        <v>2</v>
      </c>
      <c r="AQ15292" s="54">
        <v>0</v>
      </c>
      <c r="AR15292" s="55">
        <v>28500</v>
      </c>
      <c r="AS15292" s="78">
        <f t="shared" si="242"/>
        <v>0</v>
      </c>
    </row>
    <row r="15293" spans="39:45">
      <c r="AM15293" s="55">
        <v>2020</v>
      </c>
      <c r="AN15293" s="55" t="s">
        <v>190</v>
      </c>
      <c r="AO15293" s="55">
        <v>29</v>
      </c>
      <c r="AP15293" s="55">
        <v>3</v>
      </c>
      <c r="AQ15293" s="55">
        <v>0</v>
      </c>
      <c r="AR15293" s="55">
        <v>28500</v>
      </c>
      <c r="AS15293" s="78">
        <f t="shared" si="242"/>
        <v>0</v>
      </c>
    </row>
    <row r="15294" spans="39:45">
      <c r="AM15294" s="54">
        <v>2020</v>
      </c>
      <c r="AN15294" s="54" t="s">
        <v>190</v>
      </c>
      <c r="AO15294" s="54">
        <v>29</v>
      </c>
      <c r="AP15294" s="54">
        <v>4</v>
      </c>
      <c r="AQ15294" s="54">
        <v>0</v>
      </c>
      <c r="AR15294" s="55">
        <v>28500</v>
      </c>
      <c r="AS15294" s="78">
        <f t="shared" si="242"/>
        <v>0</v>
      </c>
    </row>
    <row r="15295" spans="39:45">
      <c r="AM15295" s="55">
        <v>2020</v>
      </c>
      <c r="AN15295" s="55" t="s">
        <v>190</v>
      </c>
      <c r="AO15295" s="55">
        <v>29</v>
      </c>
      <c r="AP15295" s="55">
        <v>5</v>
      </c>
      <c r="AQ15295" s="55">
        <v>0</v>
      </c>
      <c r="AR15295" s="55">
        <v>28500</v>
      </c>
      <c r="AS15295" s="78">
        <f t="shared" si="242"/>
        <v>0</v>
      </c>
    </row>
    <row r="15296" spans="39:45">
      <c r="AM15296" s="54">
        <v>2020</v>
      </c>
      <c r="AN15296" s="54" t="s">
        <v>190</v>
      </c>
      <c r="AO15296" s="54">
        <v>29</v>
      </c>
      <c r="AP15296" s="54">
        <v>6</v>
      </c>
      <c r="AQ15296" s="54">
        <v>0</v>
      </c>
      <c r="AR15296" s="55">
        <v>28500</v>
      </c>
      <c r="AS15296" s="78">
        <f t="shared" si="242"/>
        <v>0</v>
      </c>
    </row>
    <row r="15297" spans="39:45">
      <c r="AM15297" s="55">
        <v>2020</v>
      </c>
      <c r="AN15297" s="55" t="s">
        <v>190</v>
      </c>
      <c r="AO15297" s="55">
        <v>29</v>
      </c>
      <c r="AP15297" s="55">
        <v>7</v>
      </c>
      <c r="AQ15297" s="55">
        <v>2882.5</v>
      </c>
      <c r="AR15297" s="55">
        <v>28500</v>
      </c>
      <c r="AS15297" s="78">
        <f t="shared" si="242"/>
        <v>0.10114035087719299</v>
      </c>
    </row>
    <row r="15298" spans="39:45">
      <c r="AM15298" s="54">
        <v>2020</v>
      </c>
      <c r="AN15298" s="54" t="s">
        <v>190</v>
      </c>
      <c r="AO15298" s="54">
        <v>29</v>
      </c>
      <c r="AP15298" s="54">
        <v>8</v>
      </c>
      <c r="AQ15298" s="54">
        <v>1849</v>
      </c>
      <c r="AR15298" s="55">
        <v>28500</v>
      </c>
      <c r="AS15298" s="78">
        <f t="shared" ref="AS15298:AS15361" si="243">AQ15298/AR15298</f>
        <v>6.4877192982456144E-2</v>
      </c>
    </row>
    <row r="15299" spans="39:45">
      <c r="AM15299" s="55">
        <v>2020</v>
      </c>
      <c r="AN15299" s="55" t="s">
        <v>190</v>
      </c>
      <c r="AO15299" s="55">
        <v>29</v>
      </c>
      <c r="AP15299" s="55">
        <v>9</v>
      </c>
      <c r="AQ15299" s="55">
        <v>2725.5</v>
      </c>
      <c r="AR15299" s="55">
        <v>28500</v>
      </c>
      <c r="AS15299" s="78">
        <f t="shared" si="243"/>
        <v>9.5631578947368415E-2</v>
      </c>
    </row>
    <row r="15300" spans="39:45">
      <c r="AM15300" s="54">
        <v>2020</v>
      </c>
      <c r="AN15300" s="54" t="s">
        <v>190</v>
      </c>
      <c r="AO15300" s="54">
        <v>29</v>
      </c>
      <c r="AP15300" s="54">
        <v>10</v>
      </c>
      <c r="AQ15300" s="54">
        <v>9853.5</v>
      </c>
      <c r="AR15300" s="55">
        <v>28500</v>
      </c>
      <c r="AS15300" s="78">
        <f t="shared" si="243"/>
        <v>0.34573684210526318</v>
      </c>
    </row>
    <row r="15301" spans="39:45">
      <c r="AM15301" s="55">
        <v>2020</v>
      </c>
      <c r="AN15301" s="55" t="s">
        <v>190</v>
      </c>
      <c r="AO15301" s="55">
        <v>29</v>
      </c>
      <c r="AP15301" s="55">
        <v>11</v>
      </c>
      <c r="AQ15301" s="55">
        <v>3785.5</v>
      </c>
      <c r="AR15301" s="55">
        <v>28500</v>
      </c>
      <c r="AS15301" s="78">
        <f t="shared" si="243"/>
        <v>0.13282456140350876</v>
      </c>
    </row>
    <row r="15302" spans="39:45">
      <c r="AM15302" s="54">
        <v>2020</v>
      </c>
      <c r="AN15302" s="54" t="s">
        <v>190</v>
      </c>
      <c r="AO15302" s="54">
        <v>29</v>
      </c>
      <c r="AP15302" s="54">
        <v>12</v>
      </c>
      <c r="AQ15302" s="54">
        <v>3940.5</v>
      </c>
      <c r="AR15302" s="55">
        <v>28500</v>
      </c>
      <c r="AS15302" s="78">
        <f t="shared" si="243"/>
        <v>0.13826315789473684</v>
      </c>
    </row>
    <row r="15303" spans="39:45">
      <c r="AM15303" s="55">
        <v>2020</v>
      </c>
      <c r="AN15303" s="55" t="s">
        <v>190</v>
      </c>
      <c r="AO15303" s="55">
        <v>29</v>
      </c>
      <c r="AP15303" s="55">
        <v>13</v>
      </c>
      <c r="AQ15303" s="55">
        <v>15236.5</v>
      </c>
      <c r="AR15303" s="55">
        <v>28500</v>
      </c>
      <c r="AS15303" s="78">
        <f t="shared" si="243"/>
        <v>0.53461403508771932</v>
      </c>
    </row>
    <row r="15304" spans="39:45">
      <c r="AM15304" s="54">
        <v>2020</v>
      </c>
      <c r="AN15304" s="54" t="s">
        <v>190</v>
      </c>
      <c r="AO15304" s="54">
        <v>29</v>
      </c>
      <c r="AP15304" s="54">
        <v>14</v>
      </c>
      <c r="AQ15304" s="54">
        <v>13589</v>
      </c>
      <c r="AR15304" s="55">
        <v>28500</v>
      </c>
      <c r="AS15304" s="78">
        <f t="shared" si="243"/>
        <v>0.47680701754385962</v>
      </c>
    </row>
    <row r="15305" spans="39:45">
      <c r="AM15305" s="55">
        <v>2020</v>
      </c>
      <c r="AN15305" s="55" t="s">
        <v>190</v>
      </c>
      <c r="AO15305" s="55">
        <v>29</v>
      </c>
      <c r="AP15305" s="55">
        <v>15</v>
      </c>
      <c r="AQ15305" s="55">
        <v>11497</v>
      </c>
      <c r="AR15305" s="55">
        <v>28500</v>
      </c>
      <c r="AS15305" s="78">
        <f t="shared" si="243"/>
        <v>0.40340350877192982</v>
      </c>
    </row>
    <row r="15306" spans="39:45">
      <c r="AM15306" s="54">
        <v>2020</v>
      </c>
      <c r="AN15306" s="54" t="s">
        <v>190</v>
      </c>
      <c r="AO15306" s="54">
        <v>29</v>
      </c>
      <c r="AP15306" s="54">
        <v>16</v>
      </c>
      <c r="AQ15306" s="54">
        <v>9869</v>
      </c>
      <c r="AR15306" s="55">
        <v>28500</v>
      </c>
      <c r="AS15306" s="78">
        <f t="shared" si="243"/>
        <v>0.34628070175438597</v>
      </c>
    </row>
    <row r="15307" spans="39:45">
      <c r="AM15307" s="55">
        <v>2020</v>
      </c>
      <c r="AN15307" s="55" t="s">
        <v>190</v>
      </c>
      <c r="AO15307" s="55">
        <v>29</v>
      </c>
      <c r="AP15307" s="55">
        <v>17</v>
      </c>
      <c r="AQ15307" s="55">
        <v>1044</v>
      </c>
      <c r="AR15307" s="55">
        <v>28500</v>
      </c>
      <c r="AS15307" s="78">
        <f t="shared" si="243"/>
        <v>3.6631578947368418E-2</v>
      </c>
    </row>
    <row r="15308" spans="39:45">
      <c r="AM15308" s="54">
        <v>2020</v>
      </c>
      <c r="AN15308" s="54" t="s">
        <v>190</v>
      </c>
      <c r="AO15308" s="54">
        <v>29</v>
      </c>
      <c r="AP15308" s="54">
        <v>18</v>
      </c>
      <c r="AQ15308" s="54">
        <v>0</v>
      </c>
      <c r="AR15308" s="55">
        <v>28500</v>
      </c>
      <c r="AS15308" s="78">
        <f t="shared" si="243"/>
        <v>0</v>
      </c>
    </row>
    <row r="15309" spans="39:45">
      <c r="AM15309" s="55">
        <v>2020</v>
      </c>
      <c r="AN15309" s="55" t="s">
        <v>190</v>
      </c>
      <c r="AO15309" s="55">
        <v>29</v>
      </c>
      <c r="AP15309" s="55">
        <v>19</v>
      </c>
      <c r="AQ15309" s="55">
        <v>0</v>
      </c>
      <c r="AR15309" s="55">
        <v>28500</v>
      </c>
      <c r="AS15309" s="78">
        <f t="shared" si="243"/>
        <v>0</v>
      </c>
    </row>
    <row r="15310" spans="39:45">
      <c r="AM15310" s="54">
        <v>2020</v>
      </c>
      <c r="AN15310" s="54" t="s">
        <v>190</v>
      </c>
      <c r="AO15310" s="54">
        <v>29</v>
      </c>
      <c r="AP15310" s="54">
        <v>20</v>
      </c>
      <c r="AQ15310" s="54">
        <v>0</v>
      </c>
      <c r="AR15310" s="55">
        <v>28500</v>
      </c>
      <c r="AS15310" s="78">
        <f t="shared" si="243"/>
        <v>0</v>
      </c>
    </row>
    <row r="15311" spans="39:45">
      <c r="AM15311" s="55">
        <v>2020</v>
      </c>
      <c r="AN15311" s="55" t="s">
        <v>190</v>
      </c>
      <c r="AO15311" s="55">
        <v>29</v>
      </c>
      <c r="AP15311" s="55">
        <v>21</v>
      </c>
      <c r="AQ15311" s="55">
        <v>0</v>
      </c>
      <c r="AR15311" s="55">
        <v>28500</v>
      </c>
      <c r="AS15311" s="78">
        <f t="shared" si="243"/>
        <v>0</v>
      </c>
    </row>
    <row r="15312" spans="39:45">
      <c r="AM15312" s="54">
        <v>2020</v>
      </c>
      <c r="AN15312" s="54" t="s">
        <v>190</v>
      </c>
      <c r="AO15312" s="54">
        <v>29</v>
      </c>
      <c r="AP15312" s="54">
        <v>22</v>
      </c>
      <c r="AQ15312" s="54">
        <v>0</v>
      </c>
      <c r="AR15312" s="55">
        <v>28500</v>
      </c>
      <c r="AS15312" s="78">
        <f t="shared" si="243"/>
        <v>0</v>
      </c>
    </row>
    <row r="15313" spans="39:45">
      <c r="AM15313" s="55">
        <v>2020</v>
      </c>
      <c r="AN15313" s="55" t="s">
        <v>190</v>
      </c>
      <c r="AO15313" s="55">
        <v>29</v>
      </c>
      <c r="AP15313" s="55">
        <v>23</v>
      </c>
      <c r="AQ15313" s="55">
        <v>0</v>
      </c>
      <c r="AR15313" s="55">
        <v>28500</v>
      </c>
      <c r="AS15313" s="78">
        <f t="shared" si="243"/>
        <v>0</v>
      </c>
    </row>
    <row r="15314" spans="39:45">
      <c r="AM15314" s="54">
        <v>2020</v>
      </c>
      <c r="AN15314" s="54" t="s">
        <v>190</v>
      </c>
      <c r="AO15314" s="54">
        <v>30</v>
      </c>
      <c r="AP15314" s="54">
        <v>24</v>
      </c>
      <c r="AQ15314" s="54">
        <v>0</v>
      </c>
      <c r="AR15314" s="55">
        <v>28500</v>
      </c>
      <c r="AS15314" s="78">
        <f t="shared" si="243"/>
        <v>0</v>
      </c>
    </row>
    <row r="15315" spans="39:45">
      <c r="AM15315" s="55">
        <v>2020</v>
      </c>
      <c r="AN15315" s="55" t="s">
        <v>190</v>
      </c>
      <c r="AO15315" s="55">
        <v>30</v>
      </c>
      <c r="AP15315" s="55">
        <v>1</v>
      </c>
      <c r="AQ15315" s="55">
        <v>0</v>
      </c>
      <c r="AR15315" s="55">
        <v>28500</v>
      </c>
      <c r="AS15315" s="78">
        <f t="shared" si="243"/>
        <v>0</v>
      </c>
    </row>
    <row r="15316" spans="39:45">
      <c r="AM15316" s="54">
        <v>2020</v>
      </c>
      <c r="AN15316" s="54" t="s">
        <v>190</v>
      </c>
      <c r="AO15316" s="54">
        <v>30</v>
      </c>
      <c r="AP15316" s="54">
        <v>2</v>
      </c>
      <c r="AQ15316" s="54">
        <v>0</v>
      </c>
      <c r="AR15316" s="55">
        <v>28500</v>
      </c>
      <c r="AS15316" s="78">
        <f t="shared" si="243"/>
        <v>0</v>
      </c>
    </row>
    <row r="15317" spans="39:45">
      <c r="AM15317" s="55">
        <v>2020</v>
      </c>
      <c r="AN15317" s="55" t="s">
        <v>190</v>
      </c>
      <c r="AO15317" s="55">
        <v>30</v>
      </c>
      <c r="AP15317" s="55">
        <v>3</v>
      </c>
      <c r="AQ15317" s="55">
        <v>0</v>
      </c>
      <c r="AR15317" s="55">
        <v>28500</v>
      </c>
      <c r="AS15317" s="78">
        <f t="shared" si="243"/>
        <v>0</v>
      </c>
    </row>
    <row r="15318" spans="39:45">
      <c r="AM15318" s="54">
        <v>2020</v>
      </c>
      <c r="AN15318" s="54" t="s">
        <v>190</v>
      </c>
      <c r="AO15318" s="54">
        <v>30</v>
      </c>
      <c r="AP15318" s="54">
        <v>4</v>
      </c>
      <c r="AQ15318" s="54">
        <v>0</v>
      </c>
      <c r="AR15318" s="55">
        <v>28500</v>
      </c>
      <c r="AS15318" s="78">
        <f t="shared" si="243"/>
        <v>0</v>
      </c>
    </row>
    <row r="15319" spans="39:45">
      <c r="AM15319" s="55">
        <v>2020</v>
      </c>
      <c r="AN15319" s="55" t="s">
        <v>190</v>
      </c>
      <c r="AO15319" s="55">
        <v>30</v>
      </c>
      <c r="AP15319" s="55">
        <v>5</v>
      </c>
      <c r="AQ15319" s="55">
        <v>0</v>
      </c>
      <c r="AR15319" s="55">
        <v>28500</v>
      </c>
      <c r="AS15319" s="78">
        <f t="shared" si="243"/>
        <v>0</v>
      </c>
    </row>
    <row r="15320" spans="39:45">
      <c r="AM15320" s="54">
        <v>2020</v>
      </c>
      <c r="AN15320" s="54" t="s">
        <v>190</v>
      </c>
      <c r="AO15320" s="54">
        <v>30</v>
      </c>
      <c r="AP15320" s="54">
        <v>6</v>
      </c>
      <c r="AQ15320" s="54">
        <v>0</v>
      </c>
      <c r="AR15320" s="55">
        <v>28500</v>
      </c>
      <c r="AS15320" s="78">
        <f t="shared" si="243"/>
        <v>0</v>
      </c>
    </row>
    <row r="15321" spans="39:45">
      <c r="AM15321" s="55">
        <v>2020</v>
      </c>
      <c r="AN15321" s="55" t="s">
        <v>190</v>
      </c>
      <c r="AO15321" s="55">
        <v>30</v>
      </c>
      <c r="AP15321" s="55">
        <v>7</v>
      </c>
      <c r="AQ15321" s="55">
        <v>6188.5</v>
      </c>
      <c r="AR15321" s="55">
        <v>28500</v>
      </c>
      <c r="AS15321" s="78">
        <f t="shared" si="243"/>
        <v>0.21714035087719299</v>
      </c>
    </row>
    <row r="15322" spans="39:45">
      <c r="AM15322" s="54">
        <v>2020</v>
      </c>
      <c r="AN15322" s="54" t="s">
        <v>190</v>
      </c>
      <c r="AO15322" s="54">
        <v>30</v>
      </c>
      <c r="AP15322" s="54">
        <v>8</v>
      </c>
      <c r="AQ15322" s="54">
        <v>7599.5</v>
      </c>
      <c r="AR15322" s="55">
        <v>28500</v>
      </c>
      <c r="AS15322" s="78">
        <f t="shared" si="243"/>
        <v>0.26664912280701752</v>
      </c>
    </row>
    <row r="15323" spans="39:45">
      <c r="AM15323" s="55">
        <v>2020</v>
      </c>
      <c r="AN15323" s="55" t="s">
        <v>190</v>
      </c>
      <c r="AO15323" s="55">
        <v>30</v>
      </c>
      <c r="AP15323" s="55">
        <v>9</v>
      </c>
      <c r="AQ15323" s="55">
        <v>4300.5</v>
      </c>
      <c r="AR15323" s="55">
        <v>28500</v>
      </c>
      <c r="AS15323" s="78">
        <f t="shared" si="243"/>
        <v>0.15089473684210528</v>
      </c>
    </row>
    <row r="15324" spans="39:45">
      <c r="AM15324" s="54">
        <v>2020</v>
      </c>
      <c r="AN15324" s="54" t="s">
        <v>190</v>
      </c>
      <c r="AO15324" s="54">
        <v>30</v>
      </c>
      <c r="AP15324" s="54">
        <v>10</v>
      </c>
      <c r="AQ15324" s="54">
        <v>9042.5</v>
      </c>
      <c r="AR15324" s="55">
        <v>28500</v>
      </c>
      <c r="AS15324" s="78">
        <f t="shared" si="243"/>
        <v>0.31728070175438594</v>
      </c>
    </row>
    <row r="15325" spans="39:45">
      <c r="AM15325" s="55">
        <v>2020</v>
      </c>
      <c r="AN15325" s="55" t="s">
        <v>190</v>
      </c>
      <c r="AO15325" s="55">
        <v>30</v>
      </c>
      <c r="AP15325" s="55">
        <v>11</v>
      </c>
      <c r="AQ15325" s="55">
        <v>13922</v>
      </c>
      <c r="AR15325" s="55">
        <v>28500</v>
      </c>
      <c r="AS15325" s="78">
        <f t="shared" si="243"/>
        <v>0.48849122807017542</v>
      </c>
    </row>
    <row r="15326" spans="39:45">
      <c r="AM15326" s="54">
        <v>2020</v>
      </c>
      <c r="AN15326" s="54" t="s">
        <v>190</v>
      </c>
      <c r="AO15326" s="54">
        <v>30</v>
      </c>
      <c r="AP15326" s="54">
        <v>12</v>
      </c>
      <c r="AQ15326" s="54">
        <v>2338</v>
      </c>
      <c r="AR15326" s="55">
        <v>28500</v>
      </c>
      <c r="AS15326" s="78">
        <f t="shared" si="243"/>
        <v>8.2035087719298252E-2</v>
      </c>
    </row>
    <row r="15327" spans="39:45">
      <c r="AM15327" s="55">
        <v>2020</v>
      </c>
      <c r="AN15327" s="55" t="s">
        <v>190</v>
      </c>
      <c r="AO15327" s="55">
        <v>30</v>
      </c>
      <c r="AP15327" s="55">
        <v>13</v>
      </c>
      <c r="AQ15327" s="55">
        <v>5877</v>
      </c>
      <c r="AR15327" s="55">
        <v>28500</v>
      </c>
      <c r="AS15327" s="78">
        <f t="shared" si="243"/>
        <v>0.20621052631578948</v>
      </c>
    </row>
    <row r="15328" spans="39:45">
      <c r="AM15328" s="54">
        <v>2020</v>
      </c>
      <c r="AN15328" s="54" t="s">
        <v>190</v>
      </c>
      <c r="AO15328" s="54">
        <v>30</v>
      </c>
      <c r="AP15328" s="54">
        <v>14</v>
      </c>
      <c r="AQ15328" s="54">
        <v>2201.5</v>
      </c>
      <c r="AR15328" s="55">
        <v>28500</v>
      </c>
      <c r="AS15328" s="78">
        <f t="shared" si="243"/>
        <v>7.7245614035087715E-2</v>
      </c>
    </row>
    <row r="15329" spans="39:45">
      <c r="AM15329" s="55">
        <v>2020</v>
      </c>
      <c r="AN15329" s="55" t="s">
        <v>190</v>
      </c>
      <c r="AO15329" s="55">
        <v>30</v>
      </c>
      <c r="AP15329" s="55">
        <v>15</v>
      </c>
      <c r="AQ15329" s="55">
        <v>2841.5</v>
      </c>
      <c r="AR15329" s="55">
        <v>28500</v>
      </c>
      <c r="AS15329" s="78">
        <f t="shared" si="243"/>
        <v>9.9701754385964916E-2</v>
      </c>
    </row>
    <row r="15330" spans="39:45">
      <c r="AM15330" s="54">
        <v>2020</v>
      </c>
      <c r="AN15330" s="54" t="s">
        <v>190</v>
      </c>
      <c r="AO15330" s="54">
        <v>30</v>
      </c>
      <c r="AP15330" s="54">
        <v>16</v>
      </c>
      <c r="AQ15330" s="54">
        <v>5459.5</v>
      </c>
      <c r="AR15330" s="55">
        <v>28500</v>
      </c>
      <c r="AS15330" s="78">
        <f t="shared" si="243"/>
        <v>0.19156140350877193</v>
      </c>
    </row>
    <row r="15331" spans="39:45">
      <c r="AM15331" s="55">
        <v>2020</v>
      </c>
      <c r="AN15331" s="55" t="s">
        <v>190</v>
      </c>
      <c r="AO15331" s="55">
        <v>30</v>
      </c>
      <c r="AP15331" s="55">
        <v>17</v>
      </c>
      <c r="AQ15331" s="55">
        <v>365</v>
      </c>
      <c r="AR15331" s="55">
        <v>28500</v>
      </c>
      <c r="AS15331" s="78">
        <f t="shared" si="243"/>
        <v>1.2807017543859649E-2</v>
      </c>
    </row>
    <row r="15332" spans="39:45">
      <c r="AM15332" s="54">
        <v>2020</v>
      </c>
      <c r="AN15332" s="54" t="s">
        <v>190</v>
      </c>
      <c r="AO15332" s="54">
        <v>30</v>
      </c>
      <c r="AP15332" s="54">
        <v>18</v>
      </c>
      <c r="AQ15332" s="54">
        <v>0</v>
      </c>
      <c r="AR15332" s="55">
        <v>28500</v>
      </c>
      <c r="AS15332" s="78">
        <f t="shared" si="243"/>
        <v>0</v>
      </c>
    </row>
    <row r="15333" spans="39:45">
      <c r="AM15333" s="55">
        <v>2020</v>
      </c>
      <c r="AN15333" s="55" t="s">
        <v>190</v>
      </c>
      <c r="AO15333" s="55">
        <v>30</v>
      </c>
      <c r="AP15333" s="55">
        <v>19</v>
      </c>
      <c r="AQ15333" s="55">
        <v>0</v>
      </c>
      <c r="AR15333" s="55">
        <v>28500</v>
      </c>
      <c r="AS15333" s="78">
        <f t="shared" si="243"/>
        <v>0</v>
      </c>
    </row>
    <row r="15334" spans="39:45">
      <c r="AM15334" s="54">
        <v>2020</v>
      </c>
      <c r="AN15334" s="54" t="s">
        <v>190</v>
      </c>
      <c r="AO15334" s="54">
        <v>30</v>
      </c>
      <c r="AP15334" s="54">
        <v>20</v>
      </c>
      <c r="AQ15334" s="54">
        <v>0</v>
      </c>
      <c r="AR15334" s="55">
        <v>28500</v>
      </c>
      <c r="AS15334" s="78">
        <f t="shared" si="243"/>
        <v>0</v>
      </c>
    </row>
    <row r="15335" spans="39:45">
      <c r="AM15335" s="55">
        <v>2020</v>
      </c>
      <c r="AN15335" s="55" t="s">
        <v>190</v>
      </c>
      <c r="AO15335" s="55">
        <v>30</v>
      </c>
      <c r="AP15335" s="55">
        <v>21</v>
      </c>
      <c r="AQ15335" s="55">
        <v>0</v>
      </c>
      <c r="AR15335" s="55">
        <v>28500</v>
      </c>
      <c r="AS15335" s="78">
        <f t="shared" si="243"/>
        <v>0</v>
      </c>
    </row>
    <row r="15336" spans="39:45">
      <c r="AM15336" s="54">
        <v>2020</v>
      </c>
      <c r="AN15336" s="54" t="s">
        <v>190</v>
      </c>
      <c r="AO15336" s="54">
        <v>30</v>
      </c>
      <c r="AP15336" s="54">
        <v>22</v>
      </c>
      <c r="AQ15336" s="54">
        <v>0</v>
      </c>
      <c r="AR15336" s="55">
        <v>28500</v>
      </c>
      <c r="AS15336" s="78">
        <f t="shared" si="243"/>
        <v>0</v>
      </c>
    </row>
    <row r="15337" spans="39:45">
      <c r="AM15337" s="55">
        <v>2020</v>
      </c>
      <c r="AN15337" s="55" t="s">
        <v>190</v>
      </c>
      <c r="AO15337" s="55">
        <v>30</v>
      </c>
      <c r="AP15337" s="55">
        <v>23</v>
      </c>
      <c r="AQ15337" s="55">
        <v>0</v>
      </c>
      <c r="AR15337" s="55">
        <v>28500</v>
      </c>
      <c r="AS15337" s="78">
        <f t="shared" si="243"/>
        <v>0</v>
      </c>
    </row>
    <row r="15338" spans="39:45">
      <c r="AM15338" s="54">
        <v>2020</v>
      </c>
      <c r="AN15338" s="54" t="s">
        <v>191</v>
      </c>
      <c r="AO15338" s="54">
        <v>1</v>
      </c>
      <c r="AP15338" s="54">
        <v>24</v>
      </c>
      <c r="AQ15338" s="54">
        <v>0</v>
      </c>
      <c r="AR15338" s="55">
        <v>28500</v>
      </c>
      <c r="AS15338" s="78">
        <f t="shared" si="243"/>
        <v>0</v>
      </c>
    </row>
    <row r="15339" spans="39:45">
      <c r="AM15339" s="55">
        <v>2020</v>
      </c>
      <c r="AN15339" s="55" t="s">
        <v>191</v>
      </c>
      <c r="AO15339" s="55">
        <v>1</v>
      </c>
      <c r="AP15339" s="55">
        <v>1</v>
      </c>
      <c r="AQ15339" s="55">
        <v>0</v>
      </c>
      <c r="AR15339" s="55">
        <v>28500</v>
      </c>
      <c r="AS15339" s="78">
        <f t="shared" si="243"/>
        <v>0</v>
      </c>
    </row>
    <row r="15340" spans="39:45">
      <c r="AM15340" s="54">
        <v>2020</v>
      </c>
      <c r="AN15340" s="54" t="s">
        <v>191</v>
      </c>
      <c r="AO15340" s="54">
        <v>1</v>
      </c>
      <c r="AP15340" s="54">
        <v>2</v>
      </c>
      <c r="AQ15340" s="54">
        <v>0</v>
      </c>
      <c r="AR15340" s="55">
        <v>28500</v>
      </c>
      <c r="AS15340" s="78">
        <f t="shared" si="243"/>
        <v>0</v>
      </c>
    </row>
    <row r="15341" spans="39:45">
      <c r="AM15341" s="55">
        <v>2020</v>
      </c>
      <c r="AN15341" s="55" t="s">
        <v>191</v>
      </c>
      <c r="AO15341" s="55">
        <v>1</v>
      </c>
      <c r="AP15341" s="55">
        <v>3</v>
      </c>
      <c r="AQ15341" s="55">
        <v>0</v>
      </c>
      <c r="AR15341" s="55">
        <v>28500</v>
      </c>
      <c r="AS15341" s="78">
        <f t="shared" si="243"/>
        <v>0</v>
      </c>
    </row>
    <row r="15342" spans="39:45">
      <c r="AM15342" s="54">
        <v>2020</v>
      </c>
      <c r="AN15342" s="54" t="s">
        <v>191</v>
      </c>
      <c r="AO15342" s="54">
        <v>1</v>
      </c>
      <c r="AP15342" s="54">
        <v>4</v>
      </c>
      <c r="AQ15342" s="54">
        <v>0</v>
      </c>
      <c r="AR15342" s="55">
        <v>28500</v>
      </c>
      <c r="AS15342" s="78">
        <f t="shared" si="243"/>
        <v>0</v>
      </c>
    </row>
    <row r="15343" spans="39:45">
      <c r="AM15343" s="55">
        <v>2020</v>
      </c>
      <c r="AN15343" s="55" t="s">
        <v>191</v>
      </c>
      <c r="AO15343" s="55">
        <v>1</v>
      </c>
      <c r="AP15343" s="55">
        <v>5</v>
      </c>
      <c r="AQ15343" s="55">
        <v>0</v>
      </c>
      <c r="AR15343" s="55">
        <v>28500</v>
      </c>
      <c r="AS15343" s="78">
        <f t="shared" si="243"/>
        <v>0</v>
      </c>
    </row>
    <row r="15344" spans="39:45">
      <c r="AM15344" s="54">
        <v>2020</v>
      </c>
      <c r="AN15344" s="54" t="s">
        <v>191</v>
      </c>
      <c r="AO15344" s="54">
        <v>1</v>
      </c>
      <c r="AP15344" s="54">
        <v>6</v>
      </c>
      <c r="AQ15344" s="54">
        <v>0</v>
      </c>
      <c r="AR15344" s="55">
        <v>28500</v>
      </c>
      <c r="AS15344" s="78">
        <f t="shared" si="243"/>
        <v>0</v>
      </c>
    </row>
    <row r="15345" spans="39:45">
      <c r="AM15345" s="55">
        <v>2020</v>
      </c>
      <c r="AN15345" s="55" t="s">
        <v>191</v>
      </c>
      <c r="AO15345" s="55">
        <v>1</v>
      </c>
      <c r="AP15345" s="55">
        <v>7</v>
      </c>
      <c r="AQ15345" s="55">
        <v>539</v>
      </c>
      <c r="AR15345" s="55">
        <v>28500</v>
      </c>
      <c r="AS15345" s="78">
        <f t="shared" si="243"/>
        <v>1.8912280701754387E-2</v>
      </c>
    </row>
    <row r="15346" spans="39:45">
      <c r="AM15346" s="54">
        <v>2020</v>
      </c>
      <c r="AN15346" s="54" t="s">
        <v>191</v>
      </c>
      <c r="AO15346" s="54">
        <v>1</v>
      </c>
      <c r="AP15346" s="54">
        <v>8</v>
      </c>
      <c r="AQ15346" s="54">
        <v>17948</v>
      </c>
      <c r="AR15346" s="55">
        <v>28500</v>
      </c>
      <c r="AS15346" s="78">
        <f t="shared" si="243"/>
        <v>0.62975438596491229</v>
      </c>
    </row>
    <row r="15347" spans="39:45">
      <c r="AM15347" s="55">
        <v>2020</v>
      </c>
      <c r="AN15347" s="55" t="s">
        <v>191</v>
      </c>
      <c r="AO15347" s="55">
        <v>1</v>
      </c>
      <c r="AP15347" s="55">
        <v>9</v>
      </c>
      <c r="AQ15347" s="55">
        <v>4449.5</v>
      </c>
      <c r="AR15347" s="55">
        <v>28500</v>
      </c>
      <c r="AS15347" s="78">
        <f t="shared" si="243"/>
        <v>0.15612280701754386</v>
      </c>
    </row>
    <row r="15348" spans="39:45">
      <c r="AM15348" s="54">
        <v>2020</v>
      </c>
      <c r="AN15348" s="54" t="s">
        <v>191</v>
      </c>
      <c r="AO15348" s="54">
        <v>1</v>
      </c>
      <c r="AP15348" s="54">
        <v>10</v>
      </c>
      <c r="AQ15348" s="54">
        <v>5179</v>
      </c>
      <c r="AR15348" s="55">
        <v>28500</v>
      </c>
      <c r="AS15348" s="78">
        <f t="shared" si="243"/>
        <v>0.18171929824561403</v>
      </c>
    </row>
    <row r="15349" spans="39:45">
      <c r="AM15349" s="55">
        <v>2020</v>
      </c>
      <c r="AN15349" s="55" t="s">
        <v>191</v>
      </c>
      <c r="AO15349" s="55">
        <v>1</v>
      </c>
      <c r="AP15349" s="55">
        <v>11</v>
      </c>
      <c r="AQ15349" s="55">
        <v>8719.5</v>
      </c>
      <c r="AR15349" s="55">
        <v>28500</v>
      </c>
      <c r="AS15349" s="78">
        <f t="shared" si="243"/>
        <v>0.30594736842105263</v>
      </c>
    </row>
    <row r="15350" spans="39:45">
      <c r="AM15350" s="54">
        <v>2020</v>
      </c>
      <c r="AN15350" s="54" t="s">
        <v>191</v>
      </c>
      <c r="AO15350" s="54">
        <v>1</v>
      </c>
      <c r="AP15350" s="54">
        <v>12</v>
      </c>
      <c r="AQ15350" s="54">
        <v>16796.5</v>
      </c>
      <c r="AR15350" s="55">
        <v>28500</v>
      </c>
      <c r="AS15350" s="78">
        <f t="shared" si="243"/>
        <v>0.5893508771929824</v>
      </c>
    </row>
    <row r="15351" spans="39:45">
      <c r="AM15351" s="55">
        <v>2020</v>
      </c>
      <c r="AN15351" s="55" t="s">
        <v>191</v>
      </c>
      <c r="AO15351" s="55">
        <v>1</v>
      </c>
      <c r="AP15351" s="55">
        <v>13</v>
      </c>
      <c r="AQ15351" s="55">
        <v>13688</v>
      </c>
      <c r="AR15351" s="55">
        <v>28500</v>
      </c>
      <c r="AS15351" s="78">
        <f t="shared" si="243"/>
        <v>0.48028070175438597</v>
      </c>
    </row>
    <row r="15352" spans="39:45">
      <c r="AM15352" s="54">
        <v>2020</v>
      </c>
      <c r="AN15352" s="54" t="s">
        <v>191</v>
      </c>
      <c r="AO15352" s="54">
        <v>1</v>
      </c>
      <c r="AP15352" s="54">
        <v>14</v>
      </c>
      <c r="AQ15352" s="54">
        <v>13268.5</v>
      </c>
      <c r="AR15352" s="55">
        <v>28500</v>
      </c>
      <c r="AS15352" s="78">
        <f t="shared" si="243"/>
        <v>0.46556140350877195</v>
      </c>
    </row>
    <row r="15353" spans="39:45">
      <c r="AM15353" s="55">
        <v>2020</v>
      </c>
      <c r="AN15353" s="55" t="s">
        <v>191</v>
      </c>
      <c r="AO15353" s="55">
        <v>1</v>
      </c>
      <c r="AP15353" s="55">
        <v>15</v>
      </c>
      <c r="AQ15353" s="55">
        <v>17755.5</v>
      </c>
      <c r="AR15353" s="55">
        <v>28500</v>
      </c>
      <c r="AS15353" s="78">
        <f t="shared" si="243"/>
        <v>0.623</v>
      </c>
    </row>
    <row r="15354" spans="39:45">
      <c r="AM15354" s="54">
        <v>2020</v>
      </c>
      <c r="AN15354" s="54" t="s">
        <v>191</v>
      </c>
      <c r="AO15354" s="54">
        <v>1</v>
      </c>
      <c r="AP15354" s="54">
        <v>16</v>
      </c>
      <c r="AQ15354" s="54">
        <v>8713</v>
      </c>
      <c r="AR15354" s="55">
        <v>28500</v>
      </c>
      <c r="AS15354" s="78">
        <f t="shared" si="243"/>
        <v>0.30571929824561406</v>
      </c>
    </row>
    <row r="15355" spans="39:45">
      <c r="AM15355" s="55">
        <v>2020</v>
      </c>
      <c r="AN15355" s="55" t="s">
        <v>191</v>
      </c>
      <c r="AO15355" s="55">
        <v>1</v>
      </c>
      <c r="AP15355" s="55">
        <v>17</v>
      </c>
      <c r="AQ15355" s="55">
        <v>318.5</v>
      </c>
      <c r="AR15355" s="55">
        <v>28500</v>
      </c>
      <c r="AS15355" s="78">
        <f t="shared" si="243"/>
        <v>1.1175438596491227E-2</v>
      </c>
    </row>
    <row r="15356" spans="39:45">
      <c r="AM15356" s="54">
        <v>2020</v>
      </c>
      <c r="AN15356" s="54" t="s">
        <v>191</v>
      </c>
      <c r="AO15356" s="54">
        <v>1</v>
      </c>
      <c r="AP15356" s="54">
        <v>18</v>
      </c>
      <c r="AQ15356" s="54">
        <v>0</v>
      </c>
      <c r="AR15356" s="55">
        <v>28500</v>
      </c>
      <c r="AS15356" s="78">
        <f t="shared" si="243"/>
        <v>0</v>
      </c>
    </row>
    <row r="15357" spans="39:45">
      <c r="AM15357" s="55">
        <v>2020</v>
      </c>
      <c r="AN15357" s="55" t="s">
        <v>191</v>
      </c>
      <c r="AO15357" s="55">
        <v>1</v>
      </c>
      <c r="AP15357" s="55">
        <v>19</v>
      </c>
      <c r="AQ15357" s="55">
        <v>0</v>
      </c>
      <c r="AR15357" s="55">
        <v>28500</v>
      </c>
      <c r="AS15357" s="78">
        <f t="shared" si="243"/>
        <v>0</v>
      </c>
    </row>
    <row r="15358" spans="39:45">
      <c r="AM15358" s="54">
        <v>2020</v>
      </c>
      <c r="AN15358" s="54" t="s">
        <v>191</v>
      </c>
      <c r="AO15358" s="54">
        <v>1</v>
      </c>
      <c r="AP15358" s="54">
        <v>20</v>
      </c>
      <c r="AQ15358" s="54">
        <v>0</v>
      </c>
      <c r="AR15358" s="55">
        <v>28500</v>
      </c>
      <c r="AS15358" s="78">
        <f t="shared" si="243"/>
        <v>0</v>
      </c>
    </row>
    <row r="15359" spans="39:45">
      <c r="AM15359" s="55">
        <v>2020</v>
      </c>
      <c r="AN15359" s="55" t="s">
        <v>191</v>
      </c>
      <c r="AO15359" s="55">
        <v>1</v>
      </c>
      <c r="AP15359" s="55">
        <v>21</v>
      </c>
      <c r="AQ15359" s="55">
        <v>0</v>
      </c>
      <c r="AR15359" s="55">
        <v>28500</v>
      </c>
      <c r="AS15359" s="78">
        <f t="shared" si="243"/>
        <v>0</v>
      </c>
    </row>
    <row r="15360" spans="39:45">
      <c r="AM15360" s="54">
        <v>2020</v>
      </c>
      <c r="AN15360" s="54" t="s">
        <v>191</v>
      </c>
      <c r="AO15360" s="54">
        <v>1</v>
      </c>
      <c r="AP15360" s="54">
        <v>22</v>
      </c>
      <c r="AQ15360" s="54">
        <v>0</v>
      </c>
      <c r="AR15360" s="55">
        <v>28500</v>
      </c>
      <c r="AS15360" s="78">
        <f t="shared" si="243"/>
        <v>0</v>
      </c>
    </row>
    <row r="15361" spans="39:45">
      <c r="AM15361" s="55">
        <v>2020</v>
      </c>
      <c r="AN15361" s="55" t="s">
        <v>191</v>
      </c>
      <c r="AO15361" s="55">
        <v>1</v>
      </c>
      <c r="AP15361" s="55">
        <v>23</v>
      </c>
      <c r="AQ15361" s="55">
        <v>0</v>
      </c>
      <c r="AR15361" s="55">
        <v>28500</v>
      </c>
      <c r="AS15361" s="78">
        <f t="shared" si="243"/>
        <v>0</v>
      </c>
    </row>
    <row r="15362" spans="39:45">
      <c r="AM15362" s="54">
        <v>2020</v>
      </c>
      <c r="AN15362" s="54" t="s">
        <v>191</v>
      </c>
      <c r="AO15362" s="54">
        <v>2</v>
      </c>
      <c r="AP15362" s="54">
        <v>24</v>
      </c>
      <c r="AQ15362" s="54">
        <v>0</v>
      </c>
      <c r="AR15362" s="55">
        <v>28500</v>
      </c>
      <c r="AS15362" s="78">
        <f t="shared" ref="AS15362:AS15425" si="244">AQ15362/AR15362</f>
        <v>0</v>
      </c>
    </row>
    <row r="15363" spans="39:45">
      <c r="AM15363" s="55">
        <v>2020</v>
      </c>
      <c r="AN15363" s="55" t="s">
        <v>191</v>
      </c>
      <c r="AO15363" s="55">
        <v>2</v>
      </c>
      <c r="AP15363" s="55">
        <v>1</v>
      </c>
      <c r="AQ15363" s="55">
        <v>0</v>
      </c>
      <c r="AR15363" s="55">
        <v>28500</v>
      </c>
      <c r="AS15363" s="78">
        <f t="shared" si="244"/>
        <v>0</v>
      </c>
    </row>
    <row r="15364" spans="39:45">
      <c r="AM15364" s="54">
        <v>2020</v>
      </c>
      <c r="AN15364" s="54" t="s">
        <v>191</v>
      </c>
      <c r="AO15364" s="54">
        <v>2</v>
      </c>
      <c r="AP15364" s="54">
        <v>2</v>
      </c>
      <c r="AQ15364" s="54">
        <v>0</v>
      </c>
      <c r="AR15364" s="55">
        <v>28500</v>
      </c>
      <c r="AS15364" s="78">
        <f t="shared" si="244"/>
        <v>0</v>
      </c>
    </row>
    <row r="15365" spans="39:45">
      <c r="AM15365" s="55">
        <v>2020</v>
      </c>
      <c r="AN15365" s="55" t="s">
        <v>191</v>
      </c>
      <c r="AO15365" s="55">
        <v>2</v>
      </c>
      <c r="AP15365" s="55">
        <v>3</v>
      </c>
      <c r="AQ15365" s="55">
        <v>0</v>
      </c>
      <c r="AR15365" s="55">
        <v>28500</v>
      </c>
      <c r="AS15365" s="78">
        <f t="shared" si="244"/>
        <v>0</v>
      </c>
    </row>
    <row r="15366" spans="39:45">
      <c r="AM15366" s="54">
        <v>2020</v>
      </c>
      <c r="AN15366" s="54" t="s">
        <v>191</v>
      </c>
      <c r="AO15366" s="54">
        <v>2</v>
      </c>
      <c r="AP15366" s="54">
        <v>4</v>
      </c>
      <c r="AQ15366" s="54">
        <v>0</v>
      </c>
      <c r="AR15366" s="55">
        <v>28500</v>
      </c>
      <c r="AS15366" s="78">
        <f t="shared" si="244"/>
        <v>0</v>
      </c>
    </row>
    <row r="15367" spans="39:45">
      <c r="AM15367" s="55">
        <v>2020</v>
      </c>
      <c r="AN15367" s="55" t="s">
        <v>191</v>
      </c>
      <c r="AO15367" s="55">
        <v>2</v>
      </c>
      <c r="AP15367" s="55">
        <v>5</v>
      </c>
      <c r="AQ15367" s="55">
        <v>0</v>
      </c>
      <c r="AR15367" s="55">
        <v>28500</v>
      </c>
      <c r="AS15367" s="78">
        <f t="shared" si="244"/>
        <v>0</v>
      </c>
    </row>
    <row r="15368" spans="39:45">
      <c r="AM15368" s="54">
        <v>2020</v>
      </c>
      <c r="AN15368" s="54" t="s">
        <v>191</v>
      </c>
      <c r="AO15368" s="54">
        <v>2</v>
      </c>
      <c r="AP15368" s="54">
        <v>6</v>
      </c>
      <c r="AQ15368" s="54">
        <v>0</v>
      </c>
      <c r="AR15368" s="55">
        <v>28500</v>
      </c>
      <c r="AS15368" s="78">
        <f t="shared" si="244"/>
        <v>0</v>
      </c>
    </row>
    <row r="15369" spans="39:45">
      <c r="AM15369" s="55">
        <v>2020</v>
      </c>
      <c r="AN15369" s="55" t="s">
        <v>191</v>
      </c>
      <c r="AO15369" s="55">
        <v>2</v>
      </c>
      <c r="AP15369" s="55">
        <v>7</v>
      </c>
      <c r="AQ15369" s="55">
        <v>244.5</v>
      </c>
      <c r="AR15369" s="55">
        <v>28500</v>
      </c>
      <c r="AS15369" s="78">
        <f t="shared" si="244"/>
        <v>8.5789473684210523E-3</v>
      </c>
    </row>
    <row r="15370" spans="39:45">
      <c r="AM15370" s="54">
        <v>2020</v>
      </c>
      <c r="AN15370" s="54" t="s">
        <v>191</v>
      </c>
      <c r="AO15370" s="54">
        <v>2</v>
      </c>
      <c r="AP15370" s="54">
        <v>8</v>
      </c>
      <c r="AQ15370" s="54">
        <v>1485.5</v>
      </c>
      <c r="AR15370" s="55">
        <v>28500</v>
      </c>
      <c r="AS15370" s="78">
        <f t="shared" si="244"/>
        <v>5.2122807017543862E-2</v>
      </c>
    </row>
    <row r="15371" spans="39:45">
      <c r="AM15371" s="55">
        <v>2020</v>
      </c>
      <c r="AN15371" s="55" t="s">
        <v>191</v>
      </c>
      <c r="AO15371" s="55">
        <v>2</v>
      </c>
      <c r="AP15371" s="55">
        <v>9</v>
      </c>
      <c r="AQ15371" s="55">
        <v>2033</v>
      </c>
      <c r="AR15371" s="55">
        <v>28500</v>
      </c>
      <c r="AS15371" s="78">
        <f t="shared" si="244"/>
        <v>7.1333333333333332E-2</v>
      </c>
    </row>
    <row r="15372" spans="39:45">
      <c r="AM15372" s="54">
        <v>2020</v>
      </c>
      <c r="AN15372" s="54" t="s">
        <v>191</v>
      </c>
      <c r="AO15372" s="54">
        <v>2</v>
      </c>
      <c r="AP15372" s="54">
        <v>10</v>
      </c>
      <c r="AQ15372" s="54">
        <v>2970</v>
      </c>
      <c r="AR15372" s="55">
        <v>28500</v>
      </c>
      <c r="AS15372" s="78">
        <f t="shared" si="244"/>
        <v>0.10421052631578948</v>
      </c>
    </row>
    <row r="15373" spans="39:45">
      <c r="AM15373" s="55">
        <v>2020</v>
      </c>
      <c r="AN15373" s="55" t="s">
        <v>191</v>
      </c>
      <c r="AO15373" s="55">
        <v>2</v>
      </c>
      <c r="AP15373" s="55">
        <v>11</v>
      </c>
      <c r="AQ15373" s="55">
        <v>3233.5</v>
      </c>
      <c r="AR15373" s="55">
        <v>28500</v>
      </c>
      <c r="AS15373" s="78">
        <f t="shared" si="244"/>
        <v>0.1134561403508772</v>
      </c>
    </row>
    <row r="15374" spans="39:45">
      <c r="AM15374" s="54">
        <v>2020</v>
      </c>
      <c r="AN15374" s="54" t="s">
        <v>191</v>
      </c>
      <c r="AO15374" s="54">
        <v>2</v>
      </c>
      <c r="AP15374" s="54">
        <v>12</v>
      </c>
      <c r="AQ15374" s="54">
        <v>2581.5</v>
      </c>
      <c r="AR15374" s="55">
        <v>28500</v>
      </c>
      <c r="AS15374" s="78">
        <f t="shared" si="244"/>
        <v>9.0578947368421051E-2</v>
      </c>
    </row>
    <row r="15375" spans="39:45">
      <c r="AM15375" s="55">
        <v>2020</v>
      </c>
      <c r="AN15375" s="55" t="s">
        <v>191</v>
      </c>
      <c r="AO15375" s="55">
        <v>2</v>
      </c>
      <c r="AP15375" s="55">
        <v>13</v>
      </c>
      <c r="AQ15375" s="55">
        <v>1874.5</v>
      </c>
      <c r="AR15375" s="55">
        <v>28500</v>
      </c>
      <c r="AS15375" s="78">
        <f t="shared" si="244"/>
        <v>6.5771929824561398E-2</v>
      </c>
    </row>
    <row r="15376" spans="39:45">
      <c r="AM15376" s="54">
        <v>2020</v>
      </c>
      <c r="AN15376" s="54" t="s">
        <v>191</v>
      </c>
      <c r="AO15376" s="54">
        <v>2</v>
      </c>
      <c r="AP15376" s="54">
        <v>14</v>
      </c>
      <c r="AQ15376" s="54">
        <v>1691</v>
      </c>
      <c r="AR15376" s="55">
        <v>28500</v>
      </c>
      <c r="AS15376" s="78">
        <f t="shared" si="244"/>
        <v>5.9333333333333335E-2</v>
      </c>
    </row>
    <row r="15377" spans="39:45">
      <c r="AM15377" s="55">
        <v>2020</v>
      </c>
      <c r="AN15377" s="55" t="s">
        <v>191</v>
      </c>
      <c r="AO15377" s="55">
        <v>2</v>
      </c>
      <c r="AP15377" s="55">
        <v>15</v>
      </c>
      <c r="AQ15377" s="55">
        <v>1654.5</v>
      </c>
      <c r="AR15377" s="55">
        <v>28500</v>
      </c>
      <c r="AS15377" s="78">
        <f t="shared" si="244"/>
        <v>5.805263157894737E-2</v>
      </c>
    </row>
    <row r="15378" spans="39:45">
      <c r="AM15378" s="54">
        <v>2020</v>
      </c>
      <c r="AN15378" s="54" t="s">
        <v>191</v>
      </c>
      <c r="AO15378" s="54">
        <v>2</v>
      </c>
      <c r="AP15378" s="54">
        <v>16</v>
      </c>
      <c r="AQ15378" s="54">
        <v>755.5</v>
      </c>
      <c r="AR15378" s="55">
        <v>28500</v>
      </c>
      <c r="AS15378" s="78">
        <f t="shared" si="244"/>
        <v>2.6508771929824562E-2</v>
      </c>
    </row>
    <row r="15379" spans="39:45">
      <c r="AM15379" s="55">
        <v>2020</v>
      </c>
      <c r="AN15379" s="55" t="s">
        <v>191</v>
      </c>
      <c r="AO15379" s="55">
        <v>2</v>
      </c>
      <c r="AP15379" s="55">
        <v>17</v>
      </c>
      <c r="AQ15379" s="55">
        <v>0</v>
      </c>
      <c r="AR15379" s="55">
        <v>28500</v>
      </c>
      <c r="AS15379" s="78">
        <f t="shared" si="244"/>
        <v>0</v>
      </c>
    </row>
    <row r="15380" spans="39:45">
      <c r="AM15380" s="54">
        <v>2020</v>
      </c>
      <c r="AN15380" s="54" t="s">
        <v>191</v>
      </c>
      <c r="AO15380" s="54">
        <v>2</v>
      </c>
      <c r="AP15380" s="54">
        <v>18</v>
      </c>
      <c r="AQ15380" s="54">
        <v>0</v>
      </c>
      <c r="AR15380" s="55">
        <v>28500</v>
      </c>
      <c r="AS15380" s="78">
        <f t="shared" si="244"/>
        <v>0</v>
      </c>
    </row>
    <row r="15381" spans="39:45">
      <c r="AM15381" s="55">
        <v>2020</v>
      </c>
      <c r="AN15381" s="55" t="s">
        <v>191</v>
      </c>
      <c r="AO15381" s="55">
        <v>2</v>
      </c>
      <c r="AP15381" s="55">
        <v>19</v>
      </c>
      <c r="AQ15381" s="55">
        <v>0</v>
      </c>
      <c r="AR15381" s="55">
        <v>28500</v>
      </c>
      <c r="AS15381" s="78">
        <f t="shared" si="244"/>
        <v>0</v>
      </c>
    </row>
    <row r="15382" spans="39:45">
      <c r="AM15382" s="54">
        <v>2020</v>
      </c>
      <c r="AN15382" s="54" t="s">
        <v>191</v>
      </c>
      <c r="AO15382" s="54">
        <v>2</v>
      </c>
      <c r="AP15382" s="54">
        <v>20</v>
      </c>
      <c r="AQ15382" s="54">
        <v>0</v>
      </c>
      <c r="AR15382" s="55">
        <v>28500</v>
      </c>
      <c r="AS15382" s="78">
        <f t="shared" si="244"/>
        <v>0</v>
      </c>
    </row>
    <row r="15383" spans="39:45">
      <c r="AM15383" s="55">
        <v>2020</v>
      </c>
      <c r="AN15383" s="55" t="s">
        <v>191</v>
      </c>
      <c r="AO15383" s="55">
        <v>2</v>
      </c>
      <c r="AP15383" s="55">
        <v>21</v>
      </c>
      <c r="AQ15383" s="55">
        <v>0</v>
      </c>
      <c r="AR15383" s="55">
        <v>28500</v>
      </c>
      <c r="AS15383" s="78">
        <f t="shared" si="244"/>
        <v>0</v>
      </c>
    </row>
    <row r="15384" spans="39:45">
      <c r="AM15384" s="54">
        <v>2020</v>
      </c>
      <c r="AN15384" s="54" t="s">
        <v>191</v>
      </c>
      <c r="AO15384" s="54">
        <v>2</v>
      </c>
      <c r="AP15384" s="54">
        <v>22</v>
      </c>
      <c r="AQ15384" s="54">
        <v>0</v>
      </c>
      <c r="AR15384" s="55">
        <v>28500</v>
      </c>
      <c r="AS15384" s="78">
        <f t="shared" si="244"/>
        <v>0</v>
      </c>
    </row>
    <row r="15385" spans="39:45">
      <c r="AM15385" s="55">
        <v>2020</v>
      </c>
      <c r="AN15385" s="55" t="s">
        <v>191</v>
      </c>
      <c r="AO15385" s="55">
        <v>2</v>
      </c>
      <c r="AP15385" s="55">
        <v>23</v>
      </c>
      <c r="AQ15385" s="55">
        <v>0</v>
      </c>
      <c r="AR15385" s="55">
        <v>28500</v>
      </c>
      <c r="AS15385" s="78">
        <f t="shared" si="244"/>
        <v>0</v>
      </c>
    </row>
    <row r="15386" spans="39:45">
      <c r="AM15386" s="54">
        <v>2020</v>
      </c>
      <c r="AN15386" s="54" t="s">
        <v>191</v>
      </c>
      <c r="AO15386" s="54">
        <v>3</v>
      </c>
      <c r="AP15386" s="54">
        <v>24</v>
      </c>
      <c r="AQ15386" s="54">
        <v>0</v>
      </c>
      <c r="AR15386" s="55">
        <v>28500</v>
      </c>
      <c r="AS15386" s="78">
        <f t="shared" si="244"/>
        <v>0</v>
      </c>
    </row>
    <row r="15387" spans="39:45">
      <c r="AM15387" s="55">
        <v>2020</v>
      </c>
      <c r="AN15387" s="55" t="s">
        <v>191</v>
      </c>
      <c r="AO15387" s="55">
        <v>3</v>
      </c>
      <c r="AP15387" s="55">
        <v>1</v>
      </c>
      <c r="AQ15387" s="55">
        <v>0</v>
      </c>
      <c r="AR15387" s="55">
        <v>28500</v>
      </c>
      <c r="AS15387" s="78">
        <f t="shared" si="244"/>
        <v>0</v>
      </c>
    </row>
    <row r="15388" spans="39:45">
      <c r="AM15388" s="54">
        <v>2020</v>
      </c>
      <c r="AN15388" s="54" t="s">
        <v>191</v>
      </c>
      <c r="AO15388" s="54">
        <v>3</v>
      </c>
      <c r="AP15388" s="54">
        <v>2</v>
      </c>
      <c r="AQ15388" s="54">
        <v>0</v>
      </c>
      <c r="AR15388" s="55">
        <v>28500</v>
      </c>
      <c r="AS15388" s="78">
        <f t="shared" si="244"/>
        <v>0</v>
      </c>
    </row>
    <row r="15389" spans="39:45">
      <c r="AM15389" s="55">
        <v>2020</v>
      </c>
      <c r="AN15389" s="55" t="s">
        <v>191</v>
      </c>
      <c r="AO15389" s="55">
        <v>3</v>
      </c>
      <c r="AP15389" s="55">
        <v>3</v>
      </c>
      <c r="AQ15389" s="55">
        <v>0</v>
      </c>
      <c r="AR15389" s="55">
        <v>28500</v>
      </c>
      <c r="AS15389" s="78">
        <f t="shared" si="244"/>
        <v>0</v>
      </c>
    </row>
    <row r="15390" spans="39:45">
      <c r="AM15390" s="54">
        <v>2020</v>
      </c>
      <c r="AN15390" s="54" t="s">
        <v>191</v>
      </c>
      <c r="AO15390" s="54">
        <v>3</v>
      </c>
      <c r="AP15390" s="54">
        <v>4</v>
      </c>
      <c r="AQ15390" s="54">
        <v>0</v>
      </c>
      <c r="AR15390" s="55">
        <v>28500</v>
      </c>
      <c r="AS15390" s="78">
        <f t="shared" si="244"/>
        <v>0</v>
      </c>
    </row>
    <row r="15391" spans="39:45">
      <c r="AM15391" s="55">
        <v>2020</v>
      </c>
      <c r="AN15391" s="55" t="s">
        <v>191</v>
      </c>
      <c r="AO15391" s="55">
        <v>3</v>
      </c>
      <c r="AP15391" s="55">
        <v>5</v>
      </c>
      <c r="AQ15391" s="55">
        <v>0</v>
      </c>
      <c r="AR15391" s="55">
        <v>28500</v>
      </c>
      <c r="AS15391" s="78">
        <f t="shared" si="244"/>
        <v>0</v>
      </c>
    </row>
    <row r="15392" spans="39:45">
      <c r="AM15392" s="54">
        <v>2020</v>
      </c>
      <c r="AN15392" s="54" t="s">
        <v>191</v>
      </c>
      <c r="AO15392" s="54">
        <v>3</v>
      </c>
      <c r="AP15392" s="54">
        <v>6</v>
      </c>
      <c r="AQ15392" s="54">
        <v>0</v>
      </c>
      <c r="AR15392" s="55">
        <v>28500</v>
      </c>
      <c r="AS15392" s="78">
        <f t="shared" si="244"/>
        <v>0</v>
      </c>
    </row>
    <row r="15393" spans="39:45">
      <c r="AM15393" s="55">
        <v>2020</v>
      </c>
      <c r="AN15393" s="55" t="s">
        <v>191</v>
      </c>
      <c r="AO15393" s="55">
        <v>3</v>
      </c>
      <c r="AP15393" s="55">
        <v>7</v>
      </c>
      <c r="AQ15393" s="55">
        <v>242</v>
      </c>
      <c r="AR15393" s="55">
        <v>28500</v>
      </c>
      <c r="AS15393" s="78">
        <f t="shared" si="244"/>
        <v>8.4912280701754383E-3</v>
      </c>
    </row>
    <row r="15394" spans="39:45">
      <c r="AM15394" s="54">
        <v>2020</v>
      </c>
      <c r="AN15394" s="54" t="s">
        <v>191</v>
      </c>
      <c r="AO15394" s="54">
        <v>3</v>
      </c>
      <c r="AP15394" s="54">
        <v>8</v>
      </c>
      <c r="AQ15394" s="54">
        <v>1122</v>
      </c>
      <c r="AR15394" s="55">
        <v>28500</v>
      </c>
      <c r="AS15394" s="78">
        <f t="shared" si="244"/>
        <v>3.936842105263158E-2</v>
      </c>
    </row>
    <row r="15395" spans="39:45">
      <c r="AM15395" s="55">
        <v>2020</v>
      </c>
      <c r="AN15395" s="55" t="s">
        <v>191</v>
      </c>
      <c r="AO15395" s="55">
        <v>3</v>
      </c>
      <c r="AP15395" s="55">
        <v>9</v>
      </c>
      <c r="AQ15395" s="55">
        <v>1435</v>
      </c>
      <c r="AR15395" s="55">
        <v>28500</v>
      </c>
      <c r="AS15395" s="78">
        <f t="shared" si="244"/>
        <v>5.0350877192982459E-2</v>
      </c>
    </row>
    <row r="15396" spans="39:45">
      <c r="AM15396" s="54">
        <v>2020</v>
      </c>
      <c r="AN15396" s="54" t="s">
        <v>191</v>
      </c>
      <c r="AO15396" s="54">
        <v>3</v>
      </c>
      <c r="AP15396" s="54">
        <v>10</v>
      </c>
      <c r="AQ15396" s="54">
        <v>10527</v>
      </c>
      <c r="AR15396" s="55">
        <v>28500</v>
      </c>
      <c r="AS15396" s="78">
        <f t="shared" si="244"/>
        <v>0.36936842105263157</v>
      </c>
    </row>
    <row r="15397" spans="39:45">
      <c r="AM15397" s="55">
        <v>2020</v>
      </c>
      <c r="AN15397" s="55" t="s">
        <v>191</v>
      </c>
      <c r="AO15397" s="55">
        <v>3</v>
      </c>
      <c r="AP15397" s="55">
        <v>11</v>
      </c>
      <c r="AQ15397" s="55">
        <v>5033.5</v>
      </c>
      <c r="AR15397" s="55">
        <v>28500</v>
      </c>
      <c r="AS15397" s="78">
        <f t="shared" si="244"/>
        <v>0.17661403508771931</v>
      </c>
    </row>
    <row r="15398" spans="39:45">
      <c r="AM15398" s="54">
        <v>2020</v>
      </c>
      <c r="AN15398" s="54" t="s">
        <v>191</v>
      </c>
      <c r="AO15398" s="54">
        <v>3</v>
      </c>
      <c r="AP15398" s="54">
        <v>12</v>
      </c>
      <c r="AQ15398" s="54">
        <v>9884.5</v>
      </c>
      <c r="AR15398" s="55">
        <v>28500</v>
      </c>
      <c r="AS15398" s="78">
        <f t="shared" si="244"/>
        <v>0.34682456140350876</v>
      </c>
    </row>
    <row r="15399" spans="39:45">
      <c r="AM15399" s="55">
        <v>2020</v>
      </c>
      <c r="AN15399" s="55" t="s">
        <v>191</v>
      </c>
      <c r="AO15399" s="55">
        <v>3</v>
      </c>
      <c r="AP15399" s="55">
        <v>13</v>
      </c>
      <c r="AQ15399" s="55">
        <v>10127</v>
      </c>
      <c r="AR15399" s="55">
        <v>28500</v>
      </c>
      <c r="AS15399" s="78">
        <f t="shared" si="244"/>
        <v>0.35533333333333333</v>
      </c>
    </row>
    <row r="15400" spans="39:45">
      <c r="AM15400" s="54">
        <v>2020</v>
      </c>
      <c r="AN15400" s="54" t="s">
        <v>191</v>
      </c>
      <c r="AO15400" s="54">
        <v>3</v>
      </c>
      <c r="AP15400" s="54">
        <v>14</v>
      </c>
      <c r="AQ15400" s="54">
        <v>5394</v>
      </c>
      <c r="AR15400" s="55">
        <v>28500</v>
      </c>
      <c r="AS15400" s="78">
        <f t="shared" si="244"/>
        <v>0.18926315789473686</v>
      </c>
    </row>
    <row r="15401" spans="39:45">
      <c r="AM15401" s="55">
        <v>2020</v>
      </c>
      <c r="AN15401" s="55" t="s">
        <v>191</v>
      </c>
      <c r="AO15401" s="55">
        <v>3</v>
      </c>
      <c r="AP15401" s="55">
        <v>15</v>
      </c>
      <c r="AQ15401" s="55">
        <v>8759</v>
      </c>
      <c r="AR15401" s="55">
        <v>28500</v>
      </c>
      <c r="AS15401" s="78">
        <f t="shared" si="244"/>
        <v>0.30733333333333335</v>
      </c>
    </row>
    <row r="15402" spans="39:45">
      <c r="AM15402" s="54">
        <v>2020</v>
      </c>
      <c r="AN15402" s="54" t="s">
        <v>191</v>
      </c>
      <c r="AO15402" s="54">
        <v>3</v>
      </c>
      <c r="AP15402" s="54">
        <v>16</v>
      </c>
      <c r="AQ15402" s="54">
        <v>850</v>
      </c>
      <c r="AR15402" s="55">
        <v>28500</v>
      </c>
      <c r="AS15402" s="78">
        <f t="shared" si="244"/>
        <v>2.9824561403508771E-2</v>
      </c>
    </row>
    <row r="15403" spans="39:45">
      <c r="AM15403" s="55">
        <v>2020</v>
      </c>
      <c r="AN15403" s="55" t="s">
        <v>191</v>
      </c>
      <c r="AO15403" s="55">
        <v>3</v>
      </c>
      <c r="AP15403" s="55">
        <v>17</v>
      </c>
      <c r="AQ15403" s="55">
        <v>50</v>
      </c>
      <c r="AR15403" s="55">
        <v>28500</v>
      </c>
      <c r="AS15403" s="78">
        <f t="shared" si="244"/>
        <v>1.7543859649122807E-3</v>
      </c>
    </row>
    <row r="15404" spans="39:45">
      <c r="AM15404" s="54">
        <v>2020</v>
      </c>
      <c r="AN15404" s="54" t="s">
        <v>191</v>
      </c>
      <c r="AO15404" s="54">
        <v>3</v>
      </c>
      <c r="AP15404" s="54">
        <v>18</v>
      </c>
      <c r="AQ15404" s="54">
        <v>0</v>
      </c>
      <c r="AR15404" s="55">
        <v>28500</v>
      </c>
      <c r="AS15404" s="78">
        <f t="shared" si="244"/>
        <v>0</v>
      </c>
    </row>
    <row r="15405" spans="39:45">
      <c r="AM15405" s="55">
        <v>2020</v>
      </c>
      <c r="AN15405" s="55" t="s">
        <v>191</v>
      </c>
      <c r="AO15405" s="55">
        <v>3</v>
      </c>
      <c r="AP15405" s="55">
        <v>19</v>
      </c>
      <c r="AQ15405" s="55">
        <v>0</v>
      </c>
      <c r="AR15405" s="55">
        <v>28500</v>
      </c>
      <c r="AS15405" s="78">
        <f t="shared" si="244"/>
        <v>0</v>
      </c>
    </row>
    <row r="15406" spans="39:45">
      <c r="AM15406" s="54">
        <v>2020</v>
      </c>
      <c r="AN15406" s="54" t="s">
        <v>191</v>
      </c>
      <c r="AO15406" s="54">
        <v>3</v>
      </c>
      <c r="AP15406" s="54">
        <v>20</v>
      </c>
      <c r="AQ15406" s="54">
        <v>0</v>
      </c>
      <c r="AR15406" s="55">
        <v>28500</v>
      </c>
      <c r="AS15406" s="78">
        <f t="shared" si="244"/>
        <v>0</v>
      </c>
    </row>
    <row r="15407" spans="39:45">
      <c r="AM15407" s="55">
        <v>2020</v>
      </c>
      <c r="AN15407" s="55" t="s">
        <v>191</v>
      </c>
      <c r="AO15407" s="55">
        <v>3</v>
      </c>
      <c r="AP15407" s="55">
        <v>21</v>
      </c>
      <c r="AQ15407" s="55">
        <v>0</v>
      </c>
      <c r="AR15407" s="55">
        <v>28500</v>
      </c>
      <c r="AS15407" s="78">
        <f t="shared" si="244"/>
        <v>0</v>
      </c>
    </row>
    <row r="15408" spans="39:45">
      <c r="AM15408" s="54">
        <v>2020</v>
      </c>
      <c r="AN15408" s="54" t="s">
        <v>191</v>
      </c>
      <c r="AO15408" s="54">
        <v>3</v>
      </c>
      <c r="AP15408" s="54">
        <v>22</v>
      </c>
      <c r="AQ15408" s="54">
        <v>0</v>
      </c>
      <c r="AR15408" s="55">
        <v>28500</v>
      </c>
      <c r="AS15408" s="78">
        <f t="shared" si="244"/>
        <v>0</v>
      </c>
    </row>
    <row r="15409" spans="39:45">
      <c r="AM15409" s="55">
        <v>2020</v>
      </c>
      <c r="AN15409" s="55" t="s">
        <v>191</v>
      </c>
      <c r="AO15409" s="55">
        <v>3</v>
      </c>
      <c r="AP15409" s="55">
        <v>23</v>
      </c>
      <c r="AQ15409" s="55">
        <v>0</v>
      </c>
      <c r="AR15409" s="55">
        <v>28500</v>
      </c>
      <c r="AS15409" s="78">
        <f t="shared" si="244"/>
        <v>0</v>
      </c>
    </row>
    <row r="15410" spans="39:45">
      <c r="AM15410" s="54">
        <v>2020</v>
      </c>
      <c r="AN15410" s="54" t="s">
        <v>191</v>
      </c>
      <c r="AO15410" s="54">
        <v>4</v>
      </c>
      <c r="AP15410" s="54">
        <v>24</v>
      </c>
      <c r="AQ15410" s="54">
        <v>0</v>
      </c>
      <c r="AR15410" s="55">
        <v>28500</v>
      </c>
      <c r="AS15410" s="78">
        <f t="shared" si="244"/>
        <v>0</v>
      </c>
    </row>
    <row r="15411" spans="39:45">
      <c r="AM15411" s="55">
        <v>2020</v>
      </c>
      <c r="AN15411" s="55" t="s">
        <v>191</v>
      </c>
      <c r="AO15411" s="55">
        <v>4</v>
      </c>
      <c r="AP15411" s="55">
        <v>1</v>
      </c>
      <c r="AQ15411" s="55">
        <v>0</v>
      </c>
      <c r="AR15411" s="55">
        <v>28500</v>
      </c>
      <c r="AS15411" s="78">
        <f t="shared" si="244"/>
        <v>0</v>
      </c>
    </row>
    <row r="15412" spans="39:45">
      <c r="AM15412" s="54">
        <v>2020</v>
      </c>
      <c r="AN15412" s="54" t="s">
        <v>191</v>
      </c>
      <c r="AO15412" s="54">
        <v>4</v>
      </c>
      <c r="AP15412" s="54">
        <v>2</v>
      </c>
      <c r="AQ15412" s="54">
        <v>0</v>
      </c>
      <c r="AR15412" s="55">
        <v>28500</v>
      </c>
      <c r="AS15412" s="78">
        <f t="shared" si="244"/>
        <v>0</v>
      </c>
    </row>
    <row r="15413" spans="39:45">
      <c r="AM15413" s="55">
        <v>2020</v>
      </c>
      <c r="AN15413" s="55" t="s">
        <v>191</v>
      </c>
      <c r="AO15413" s="55">
        <v>4</v>
      </c>
      <c r="AP15413" s="55">
        <v>3</v>
      </c>
      <c r="AQ15413" s="55">
        <v>0</v>
      </c>
      <c r="AR15413" s="55">
        <v>28500</v>
      </c>
      <c r="AS15413" s="78">
        <f t="shared" si="244"/>
        <v>0</v>
      </c>
    </row>
    <row r="15414" spans="39:45">
      <c r="AM15414" s="54">
        <v>2020</v>
      </c>
      <c r="AN15414" s="54" t="s">
        <v>191</v>
      </c>
      <c r="AO15414" s="54">
        <v>4</v>
      </c>
      <c r="AP15414" s="54">
        <v>4</v>
      </c>
      <c r="AQ15414" s="54">
        <v>0</v>
      </c>
      <c r="AR15414" s="55">
        <v>28500</v>
      </c>
      <c r="AS15414" s="78">
        <f t="shared" si="244"/>
        <v>0</v>
      </c>
    </row>
    <row r="15415" spans="39:45">
      <c r="AM15415" s="55">
        <v>2020</v>
      </c>
      <c r="AN15415" s="55" t="s">
        <v>191</v>
      </c>
      <c r="AO15415" s="55">
        <v>4</v>
      </c>
      <c r="AP15415" s="55">
        <v>5</v>
      </c>
      <c r="AQ15415" s="55">
        <v>0</v>
      </c>
      <c r="AR15415" s="55">
        <v>28500</v>
      </c>
      <c r="AS15415" s="78">
        <f t="shared" si="244"/>
        <v>0</v>
      </c>
    </row>
    <row r="15416" spans="39:45">
      <c r="AM15416" s="54">
        <v>2020</v>
      </c>
      <c r="AN15416" s="54" t="s">
        <v>191</v>
      </c>
      <c r="AO15416" s="54">
        <v>4</v>
      </c>
      <c r="AP15416" s="54">
        <v>6</v>
      </c>
      <c r="AQ15416" s="54">
        <v>0</v>
      </c>
      <c r="AR15416" s="55">
        <v>28500</v>
      </c>
      <c r="AS15416" s="78">
        <f t="shared" si="244"/>
        <v>0</v>
      </c>
    </row>
    <row r="15417" spans="39:45">
      <c r="AM15417" s="55">
        <v>2020</v>
      </c>
      <c r="AN15417" s="55" t="s">
        <v>191</v>
      </c>
      <c r="AO15417" s="55">
        <v>4</v>
      </c>
      <c r="AP15417" s="55">
        <v>7</v>
      </c>
      <c r="AQ15417" s="55">
        <v>333</v>
      </c>
      <c r="AR15417" s="55">
        <v>28500</v>
      </c>
      <c r="AS15417" s="78">
        <f t="shared" si="244"/>
        <v>1.168421052631579E-2</v>
      </c>
    </row>
    <row r="15418" spans="39:45">
      <c r="AM15418" s="54">
        <v>2020</v>
      </c>
      <c r="AN15418" s="54" t="s">
        <v>191</v>
      </c>
      <c r="AO15418" s="54">
        <v>4</v>
      </c>
      <c r="AP15418" s="54">
        <v>8</v>
      </c>
      <c r="AQ15418" s="54">
        <v>1397</v>
      </c>
      <c r="AR15418" s="55">
        <v>28500</v>
      </c>
      <c r="AS15418" s="78">
        <f t="shared" si="244"/>
        <v>4.9017543859649119E-2</v>
      </c>
    </row>
    <row r="15419" spans="39:45">
      <c r="AM15419" s="55">
        <v>2020</v>
      </c>
      <c r="AN15419" s="55" t="s">
        <v>191</v>
      </c>
      <c r="AO15419" s="55">
        <v>4</v>
      </c>
      <c r="AP15419" s="55">
        <v>9</v>
      </c>
      <c r="AQ15419" s="55">
        <v>4755</v>
      </c>
      <c r="AR15419" s="55">
        <v>28500</v>
      </c>
      <c r="AS15419" s="78">
        <f t="shared" si="244"/>
        <v>0.1668421052631579</v>
      </c>
    </row>
    <row r="15420" spans="39:45">
      <c r="AM15420" s="54">
        <v>2020</v>
      </c>
      <c r="AN15420" s="54" t="s">
        <v>191</v>
      </c>
      <c r="AO15420" s="54">
        <v>4</v>
      </c>
      <c r="AP15420" s="54">
        <v>10</v>
      </c>
      <c r="AQ15420" s="54">
        <v>4340</v>
      </c>
      <c r="AR15420" s="55">
        <v>28500</v>
      </c>
      <c r="AS15420" s="78">
        <f t="shared" si="244"/>
        <v>0.15228070175438596</v>
      </c>
    </row>
    <row r="15421" spans="39:45">
      <c r="AM15421" s="55">
        <v>2020</v>
      </c>
      <c r="AN15421" s="55" t="s">
        <v>191</v>
      </c>
      <c r="AO15421" s="55">
        <v>4</v>
      </c>
      <c r="AP15421" s="55">
        <v>11</v>
      </c>
      <c r="AQ15421" s="55">
        <v>4691</v>
      </c>
      <c r="AR15421" s="55">
        <v>28500</v>
      </c>
      <c r="AS15421" s="78">
        <f t="shared" si="244"/>
        <v>0.16459649122807019</v>
      </c>
    </row>
    <row r="15422" spans="39:45">
      <c r="AM15422" s="54">
        <v>2020</v>
      </c>
      <c r="AN15422" s="54" t="s">
        <v>191</v>
      </c>
      <c r="AO15422" s="54">
        <v>4</v>
      </c>
      <c r="AP15422" s="54">
        <v>12</v>
      </c>
      <c r="AQ15422" s="54">
        <v>3543</v>
      </c>
      <c r="AR15422" s="55">
        <v>28500</v>
      </c>
      <c r="AS15422" s="78">
        <f t="shared" si="244"/>
        <v>0.12431578947368421</v>
      </c>
    </row>
    <row r="15423" spans="39:45">
      <c r="AM15423" s="55">
        <v>2020</v>
      </c>
      <c r="AN15423" s="55" t="s">
        <v>191</v>
      </c>
      <c r="AO15423" s="55">
        <v>4</v>
      </c>
      <c r="AP15423" s="55">
        <v>13</v>
      </c>
      <c r="AQ15423" s="55">
        <v>5594.5</v>
      </c>
      <c r="AR15423" s="55">
        <v>28500</v>
      </c>
      <c r="AS15423" s="78">
        <f t="shared" si="244"/>
        <v>0.19629824561403508</v>
      </c>
    </row>
    <row r="15424" spans="39:45">
      <c r="AM15424" s="54">
        <v>2020</v>
      </c>
      <c r="AN15424" s="54" t="s">
        <v>191</v>
      </c>
      <c r="AO15424" s="54">
        <v>4</v>
      </c>
      <c r="AP15424" s="54">
        <v>14</v>
      </c>
      <c r="AQ15424" s="54">
        <v>2536</v>
      </c>
      <c r="AR15424" s="55">
        <v>28500</v>
      </c>
      <c r="AS15424" s="78">
        <f t="shared" si="244"/>
        <v>8.8982456140350871E-2</v>
      </c>
    </row>
    <row r="15425" spans="39:45">
      <c r="AM15425" s="55">
        <v>2020</v>
      </c>
      <c r="AN15425" s="55" t="s">
        <v>191</v>
      </c>
      <c r="AO15425" s="55">
        <v>4</v>
      </c>
      <c r="AP15425" s="55">
        <v>15</v>
      </c>
      <c r="AQ15425" s="55">
        <v>2652.5</v>
      </c>
      <c r="AR15425" s="55">
        <v>28500</v>
      </c>
      <c r="AS15425" s="78">
        <f t="shared" si="244"/>
        <v>9.3070175438596497E-2</v>
      </c>
    </row>
    <row r="15426" spans="39:45">
      <c r="AM15426" s="54">
        <v>2020</v>
      </c>
      <c r="AN15426" s="54" t="s">
        <v>191</v>
      </c>
      <c r="AO15426" s="54">
        <v>4</v>
      </c>
      <c r="AP15426" s="54">
        <v>16</v>
      </c>
      <c r="AQ15426" s="54">
        <v>193.5</v>
      </c>
      <c r="AR15426" s="55">
        <v>28500</v>
      </c>
      <c r="AS15426" s="78">
        <f t="shared" ref="AS15426:AS15489" si="245">AQ15426/AR15426</f>
        <v>6.7894736842105266E-3</v>
      </c>
    </row>
    <row r="15427" spans="39:45">
      <c r="AM15427" s="55">
        <v>2020</v>
      </c>
      <c r="AN15427" s="55" t="s">
        <v>191</v>
      </c>
      <c r="AO15427" s="55">
        <v>4</v>
      </c>
      <c r="AP15427" s="55">
        <v>17</v>
      </c>
      <c r="AQ15427" s="55">
        <v>0</v>
      </c>
      <c r="AR15427" s="55">
        <v>28500</v>
      </c>
      <c r="AS15427" s="78">
        <f t="shared" si="245"/>
        <v>0</v>
      </c>
    </row>
    <row r="15428" spans="39:45">
      <c r="AM15428" s="54">
        <v>2020</v>
      </c>
      <c r="AN15428" s="54" t="s">
        <v>191</v>
      </c>
      <c r="AO15428" s="54">
        <v>4</v>
      </c>
      <c r="AP15428" s="54">
        <v>18</v>
      </c>
      <c r="AQ15428" s="54">
        <v>0</v>
      </c>
      <c r="AR15428" s="55">
        <v>28500</v>
      </c>
      <c r="AS15428" s="78">
        <f t="shared" si="245"/>
        <v>0</v>
      </c>
    </row>
    <row r="15429" spans="39:45">
      <c r="AM15429" s="55">
        <v>2020</v>
      </c>
      <c r="AN15429" s="55" t="s">
        <v>191</v>
      </c>
      <c r="AO15429" s="55">
        <v>4</v>
      </c>
      <c r="AP15429" s="55">
        <v>19</v>
      </c>
      <c r="AQ15429" s="55">
        <v>0</v>
      </c>
      <c r="AR15429" s="55">
        <v>28500</v>
      </c>
      <c r="AS15429" s="78">
        <f t="shared" si="245"/>
        <v>0</v>
      </c>
    </row>
    <row r="15430" spans="39:45">
      <c r="AM15430" s="54">
        <v>2020</v>
      </c>
      <c r="AN15430" s="54" t="s">
        <v>191</v>
      </c>
      <c r="AO15430" s="54">
        <v>4</v>
      </c>
      <c r="AP15430" s="54">
        <v>20</v>
      </c>
      <c r="AQ15430" s="54">
        <v>0</v>
      </c>
      <c r="AR15430" s="55">
        <v>28500</v>
      </c>
      <c r="AS15430" s="78">
        <f t="shared" si="245"/>
        <v>0</v>
      </c>
    </row>
    <row r="15431" spans="39:45">
      <c r="AM15431" s="55">
        <v>2020</v>
      </c>
      <c r="AN15431" s="55" t="s">
        <v>191</v>
      </c>
      <c r="AO15431" s="55">
        <v>4</v>
      </c>
      <c r="AP15431" s="55">
        <v>21</v>
      </c>
      <c r="AQ15431" s="55">
        <v>0</v>
      </c>
      <c r="AR15431" s="55">
        <v>28500</v>
      </c>
      <c r="AS15431" s="78">
        <f t="shared" si="245"/>
        <v>0</v>
      </c>
    </row>
    <row r="15432" spans="39:45">
      <c r="AM15432" s="54">
        <v>2020</v>
      </c>
      <c r="AN15432" s="54" t="s">
        <v>191</v>
      </c>
      <c r="AO15432" s="54">
        <v>4</v>
      </c>
      <c r="AP15432" s="54">
        <v>22</v>
      </c>
      <c r="AQ15432" s="54">
        <v>0</v>
      </c>
      <c r="AR15432" s="55">
        <v>28500</v>
      </c>
      <c r="AS15432" s="78">
        <f t="shared" si="245"/>
        <v>0</v>
      </c>
    </row>
    <row r="15433" spans="39:45">
      <c r="AM15433" s="55">
        <v>2020</v>
      </c>
      <c r="AN15433" s="55" t="s">
        <v>191</v>
      </c>
      <c r="AO15433" s="55">
        <v>4</v>
      </c>
      <c r="AP15433" s="55">
        <v>23</v>
      </c>
      <c r="AQ15433" s="55">
        <v>0</v>
      </c>
      <c r="AR15433" s="55">
        <v>28500</v>
      </c>
      <c r="AS15433" s="78">
        <f t="shared" si="245"/>
        <v>0</v>
      </c>
    </row>
    <row r="15434" spans="39:45">
      <c r="AM15434" s="54">
        <v>2020</v>
      </c>
      <c r="AN15434" s="54" t="s">
        <v>191</v>
      </c>
      <c r="AO15434" s="54">
        <v>5</v>
      </c>
      <c r="AP15434" s="54">
        <v>24</v>
      </c>
      <c r="AQ15434" s="54">
        <v>0</v>
      </c>
      <c r="AR15434" s="55">
        <v>28500</v>
      </c>
      <c r="AS15434" s="78">
        <f t="shared" si="245"/>
        <v>0</v>
      </c>
    </row>
    <row r="15435" spans="39:45">
      <c r="AM15435" s="55">
        <v>2020</v>
      </c>
      <c r="AN15435" s="55" t="s">
        <v>191</v>
      </c>
      <c r="AO15435" s="55">
        <v>5</v>
      </c>
      <c r="AP15435" s="55">
        <v>1</v>
      </c>
      <c r="AQ15435" s="55">
        <v>0</v>
      </c>
      <c r="AR15435" s="55">
        <v>28500</v>
      </c>
      <c r="AS15435" s="78">
        <f t="shared" si="245"/>
        <v>0</v>
      </c>
    </row>
    <row r="15436" spans="39:45">
      <c r="AM15436" s="54">
        <v>2020</v>
      </c>
      <c r="AN15436" s="54" t="s">
        <v>191</v>
      </c>
      <c r="AO15436" s="54">
        <v>5</v>
      </c>
      <c r="AP15436" s="54">
        <v>2</v>
      </c>
      <c r="AQ15436" s="54">
        <v>0</v>
      </c>
      <c r="AR15436" s="55">
        <v>28500</v>
      </c>
      <c r="AS15436" s="78">
        <f t="shared" si="245"/>
        <v>0</v>
      </c>
    </row>
    <row r="15437" spans="39:45">
      <c r="AM15437" s="55">
        <v>2020</v>
      </c>
      <c r="AN15437" s="55" t="s">
        <v>191</v>
      </c>
      <c r="AO15437" s="55">
        <v>5</v>
      </c>
      <c r="AP15437" s="55">
        <v>3</v>
      </c>
      <c r="AQ15437" s="55">
        <v>0</v>
      </c>
      <c r="AR15437" s="55">
        <v>28500</v>
      </c>
      <c r="AS15437" s="78">
        <f t="shared" si="245"/>
        <v>0</v>
      </c>
    </row>
    <row r="15438" spans="39:45">
      <c r="AM15438" s="54">
        <v>2020</v>
      </c>
      <c r="AN15438" s="54" t="s">
        <v>191</v>
      </c>
      <c r="AO15438" s="54">
        <v>5</v>
      </c>
      <c r="AP15438" s="54">
        <v>4</v>
      </c>
      <c r="AQ15438" s="54">
        <v>0</v>
      </c>
      <c r="AR15438" s="55">
        <v>28500</v>
      </c>
      <c r="AS15438" s="78">
        <f t="shared" si="245"/>
        <v>0</v>
      </c>
    </row>
    <row r="15439" spans="39:45">
      <c r="AM15439" s="55">
        <v>2020</v>
      </c>
      <c r="AN15439" s="55" t="s">
        <v>191</v>
      </c>
      <c r="AO15439" s="55">
        <v>5</v>
      </c>
      <c r="AP15439" s="55">
        <v>5</v>
      </c>
      <c r="AQ15439" s="55">
        <v>0</v>
      </c>
      <c r="AR15439" s="55">
        <v>28500</v>
      </c>
      <c r="AS15439" s="78">
        <f t="shared" si="245"/>
        <v>0</v>
      </c>
    </row>
    <row r="15440" spans="39:45">
      <c r="AM15440" s="54">
        <v>2020</v>
      </c>
      <c r="AN15440" s="54" t="s">
        <v>191</v>
      </c>
      <c r="AO15440" s="54">
        <v>5</v>
      </c>
      <c r="AP15440" s="54">
        <v>6</v>
      </c>
      <c r="AQ15440" s="54">
        <v>0</v>
      </c>
      <c r="AR15440" s="55">
        <v>28500</v>
      </c>
      <c r="AS15440" s="78">
        <f t="shared" si="245"/>
        <v>0</v>
      </c>
    </row>
    <row r="15441" spans="39:45">
      <c r="AM15441" s="55">
        <v>2020</v>
      </c>
      <c r="AN15441" s="55" t="s">
        <v>191</v>
      </c>
      <c r="AO15441" s="55">
        <v>5</v>
      </c>
      <c r="AP15441" s="55">
        <v>7</v>
      </c>
      <c r="AQ15441" s="55">
        <v>705.5</v>
      </c>
      <c r="AR15441" s="55">
        <v>28500</v>
      </c>
      <c r="AS15441" s="78">
        <f t="shared" si="245"/>
        <v>2.4754385964912282E-2</v>
      </c>
    </row>
    <row r="15442" spans="39:45">
      <c r="AM15442" s="54">
        <v>2020</v>
      </c>
      <c r="AN15442" s="54" t="s">
        <v>191</v>
      </c>
      <c r="AO15442" s="54">
        <v>5</v>
      </c>
      <c r="AP15442" s="54">
        <v>8</v>
      </c>
      <c r="AQ15442" s="54">
        <v>8834</v>
      </c>
      <c r="AR15442" s="55">
        <v>28500</v>
      </c>
      <c r="AS15442" s="78">
        <f t="shared" si="245"/>
        <v>0.30996491228070178</v>
      </c>
    </row>
    <row r="15443" spans="39:45">
      <c r="AM15443" s="55">
        <v>2020</v>
      </c>
      <c r="AN15443" s="55" t="s">
        <v>191</v>
      </c>
      <c r="AO15443" s="55">
        <v>5</v>
      </c>
      <c r="AP15443" s="55">
        <v>9</v>
      </c>
      <c r="AQ15443" s="55">
        <v>7597.5</v>
      </c>
      <c r="AR15443" s="55">
        <v>28500</v>
      </c>
      <c r="AS15443" s="78">
        <f t="shared" si="245"/>
        <v>0.26657894736842103</v>
      </c>
    </row>
    <row r="15444" spans="39:45">
      <c r="AM15444" s="54">
        <v>2020</v>
      </c>
      <c r="AN15444" s="54" t="s">
        <v>191</v>
      </c>
      <c r="AO15444" s="54">
        <v>5</v>
      </c>
      <c r="AP15444" s="54">
        <v>10</v>
      </c>
      <c r="AQ15444" s="54">
        <v>32516</v>
      </c>
      <c r="AR15444" s="55">
        <v>28500</v>
      </c>
      <c r="AS15444" s="78">
        <f t="shared" si="245"/>
        <v>1.1409122807017544</v>
      </c>
    </row>
    <row r="15445" spans="39:45">
      <c r="AM15445" s="55">
        <v>2020</v>
      </c>
      <c r="AN15445" s="55" t="s">
        <v>191</v>
      </c>
      <c r="AO15445" s="55">
        <v>5</v>
      </c>
      <c r="AP15445" s="55">
        <v>11</v>
      </c>
      <c r="AQ15445" s="55">
        <v>34589.5</v>
      </c>
      <c r="AR15445" s="55">
        <v>28500</v>
      </c>
      <c r="AS15445" s="78">
        <f t="shared" si="245"/>
        <v>1.2136666666666667</v>
      </c>
    </row>
    <row r="15446" spans="39:45">
      <c r="AM15446" s="54">
        <v>2020</v>
      </c>
      <c r="AN15446" s="54" t="s">
        <v>191</v>
      </c>
      <c r="AO15446" s="54">
        <v>5</v>
      </c>
      <c r="AP15446" s="54">
        <v>12</v>
      </c>
      <c r="AQ15446" s="54">
        <v>25856</v>
      </c>
      <c r="AR15446" s="55">
        <v>28500</v>
      </c>
      <c r="AS15446" s="78">
        <f t="shared" si="245"/>
        <v>0.90722807017543861</v>
      </c>
    </row>
    <row r="15447" spans="39:45">
      <c r="AM15447" s="55">
        <v>2020</v>
      </c>
      <c r="AN15447" s="55" t="s">
        <v>191</v>
      </c>
      <c r="AO15447" s="55">
        <v>5</v>
      </c>
      <c r="AP15447" s="55">
        <v>13</v>
      </c>
      <c r="AQ15447" s="55">
        <v>16238</v>
      </c>
      <c r="AR15447" s="55">
        <v>28500</v>
      </c>
      <c r="AS15447" s="78">
        <f t="shared" si="245"/>
        <v>0.56975438596491224</v>
      </c>
    </row>
    <row r="15448" spans="39:45">
      <c r="AM15448" s="54">
        <v>2020</v>
      </c>
      <c r="AN15448" s="54" t="s">
        <v>191</v>
      </c>
      <c r="AO15448" s="54">
        <v>5</v>
      </c>
      <c r="AP15448" s="54">
        <v>14</v>
      </c>
      <c r="AQ15448" s="54">
        <v>8123</v>
      </c>
      <c r="AR15448" s="55">
        <v>28500</v>
      </c>
      <c r="AS15448" s="78">
        <f t="shared" si="245"/>
        <v>0.28501754385964911</v>
      </c>
    </row>
    <row r="15449" spans="39:45">
      <c r="AM15449" s="55">
        <v>2020</v>
      </c>
      <c r="AN15449" s="55" t="s">
        <v>191</v>
      </c>
      <c r="AO15449" s="55">
        <v>5</v>
      </c>
      <c r="AP15449" s="55">
        <v>15</v>
      </c>
      <c r="AQ15449" s="55">
        <v>3322</v>
      </c>
      <c r="AR15449" s="55">
        <v>28500</v>
      </c>
      <c r="AS15449" s="78">
        <f t="shared" si="245"/>
        <v>0.11656140350877194</v>
      </c>
    </row>
    <row r="15450" spans="39:45">
      <c r="AM15450" s="54">
        <v>2020</v>
      </c>
      <c r="AN15450" s="54" t="s">
        <v>191</v>
      </c>
      <c r="AO15450" s="54">
        <v>5</v>
      </c>
      <c r="AP15450" s="54">
        <v>16</v>
      </c>
      <c r="AQ15450" s="54">
        <v>2191</v>
      </c>
      <c r="AR15450" s="55">
        <v>28500</v>
      </c>
      <c r="AS15450" s="78">
        <f t="shared" si="245"/>
        <v>7.6877192982456141E-2</v>
      </c>
    </row>
    <row r="15451" spans="39:45">
      <c r="AM15451" s="55">
        <v>2020</v>
      </c>
      <c r="AN15451" s="55" t="s">
        <v>191</v>
      </c>
      <c r="AO15451" s="55">
        <v>5</v>
      </c>
      <c r="AP15451" s="55">
        <v>17</v>
      </c>
      <c r="AQ15451" s="55">
        <v>0</v>
      </c>
      <c r="AR15451" s="55">
        <v>28500</v>
      </c>
      <c r="AS15451" s="78">
        <f t="shared" si="245"/>
        <v>0</v>
      </c>
    </row>
    <row r="15452" spans="39:45">
      <c r="AM15452" s="54">
        <v>2020</v>
      </c>
      <c r="AN15452" s="54" t="s">
        <v>191</v>
      </c>
      <c r="AO15452" s="54">
        <v>5</v>
      </c>
      <c r="AP15452" s="54">
        <v>18</v>
      </c>
      <c r="AQ15452" s="54">
        <v>0</v>
      </c>
      <c r="AR15452" s="55">
        <v>28500</v>
      </c>
      <c r="AS15452" s="78">
        <f t="shared" si="245"/>
        <v>0</v>
      </c>
    </row>
    <row r="15453" spans="39:45">
      <c r="AM15453" s="55">
        <v>2020</v>
      </c>
      <c r="AN15453" s="55" t="s">
        <v>191</v>
      </c>
      <c r="AO15453" s="55">
        <v>5</v>
      </c>
      <c r="AP15453" s="55">
        <v>19</v>
      </c>
      <c r="AQ15453" s="55">
        <v>0</v>
      </c>
      <c r="AR15453" s="55">
        <v>28500</v>
      </c>
      <c r="AS15453" s="78">
        <f t="shared" si="245"/>
        <v>0</v>
      </c>
    </row>
    <row r="15454" spans="39:45">
      <c r="AM15454" s="54">
        <v>2020</v>
      </c>
      <c r="AN15454" s="54" t="s">
        <v>191</v>
      </c>
      <c r="AO15454" s="54">
        <v>5</v>
      </c>
      <c r="AP15454" s="54">
        <v>20</v>
      </c>
      <c r="AQ15454" s="54">
        <v>0</v>
      </c>
      <c r="AR15454" s="55">
        <v>28500</v>
      </c>
      <c r="AS15454" s="78">
        <f t="shared" si="245"/>
        <v>0</v>
      </c>
    </row>
    <row r="15455" spans="39:45">
      <c r="AM15455" s="55">
        <v>2020</v>
      </c>
      <c r="AN15455" s="55" t="s">
        <v>191</v>
      </c>
      <c r="AO15455" s="55">
        <v>5</v>
      </c>
      <c r="AP15455" s="55">
        <v>21</v>
      </c>
      <c r="AQ15455" s="55">
        <v>0</v>
      </c>
      <c r="AR15455" s="55">
        <v>28500</v>
      </c>
      <c r="AS15455" s="78">
        <f t="shared" si="245"/>
        <v>0</v>
      </c>
    </row>
    <row r="15456" spans="39:45">
      <c r="AM15456" s="54">
        <v>2020</v>
      </c>
      <c r="AN15456" s="54" t="s">
        <v>191</v>
      </c>
      <c r="AO15456" s="54">
        <v>5</v>
      </c>
      <c r="AP15456" s="54">
        <v>22</v>
      </c>
      <c r="AQ15456" s="54">
        <v>0</v>
      </c>
      <c r="AR15456" s="55">
        <v>28500</v>
      </c>
      <c r="AS15456" s="78">
        <f t="shared" si="245"/>
        <v>0</v>
      </c>
    </row>
    <row r="15457" spans="39:45">
      <c r="AM15457" s="55">
        <v>2020</v>
      </c>
      <c r="AN15457" s="55" t="s">
        <v>191</v>
      </c>
      <c r="AO15457" s="55">
        <v>5</v>
      </c>
      <c r="AP15457" s="55">
        <v>23</v>
      </c>
      <c r="AQ15457" s="55">
        <v>0</v>
      </c>
      <c r="AR15457" s="55">
        <v>28500</v>
      </c>
      <c r="AS15457" s="78">
        <f t="shared" si="245"/>
        <v>0</v>
      </c>
    </row>
    <row r="15458" spans="39:45">
      <c r="AM15458" s="54">
        <v>2020</v>
      </c>
      <c r="AN15458" s="54" t="s">
        <v>191</v>
      </c>
      <c r="AO15458" s="54">
        <v>6</v>
      </c>
      <c r="AP15458" s="54">
        <v>24</v>
      </c>
      <c r="AQ15458" s="54">
        <v>0</v>
      </c>
      <c r="AR15458" s="55">
        <v>28500</v>
      </c>
      <c r="AS15458" s="78">
        <f t="shared" si="245"/>
        <v>0</v>
      </c>
    </row>
    <row r="15459" spans="39:45">
      <c r="AM15459" s="55">
        <v>2020</v>
      </c>
      <c r="AN15459" s="55" t="s">
        <v>191</v>
      </c>
      <c r="AO15459" s="55">
        <v>6</v>
      </c>
      <c r="AP15459" s="55">
        <v>1</v>
      </c>
      <c r="AQ15459" s="55">
        <v>0</v>
      </c>
      <c r="AR15459" s="55">
        <v>28500</v>
      </c>
      <c r="AS15459" s="78">
        <f t="shared" si="245"/>
        <v>0</v>
      </c>
    </row>
    <row r="15460" spans="39:45">
      <c r="AM15460" s="54">
        <v>2020</v>
      </c>
      <c r="AN15460" s="54" t="s">
        <v>191</v>
      </c>
      <c r="AO15460" s="54">
        <v>6</v>
      </c>
      <c r="AP15460" s="54">
        <v>2</v>
      </c>
      <c r="AQ15460" s="54">
        <v>0</v>
      </c>
      <c r="AR15460" s="55">
        <v>28500</v>
      </c>
      <c r="AS15460" s="78">
        <f t="shared" si="245"/>
        <v>0</v>
      </c>
    </row>
    <row r="15461" spans="39:45">
      <c r="AM15461" s="55">
        <v>2020</v>
      </c>
      <c r="AN15461" s="55" t="s">
        <v>191</v>
      </c>
      <c r="AO15461" s="55">
        <v>6</v>
      </c>
      <c r="AP15461" s="55">
        <v>3</v>
      </c>
      <c r="AQ15461" s="55">
        <v>0</v>
      </c>
      <c r="AR15461" s="55">
        <v>28500</v>
      </c>
      <c r="AS15461" s="78">
        <f t="shared" si="245"/>
        <v>0</v>
      </c>
    </row>
    <row r="15462" spans="39:45">
      <c r="AM15462" s="54">
        <v>2020</v>
      </c>
      <c r="AN15462" s="54" t="s">
        <v>191</v>
      </c>
      <c r="AO15462" s="54">
        <v>6</v>
      </c>
      <c r="AP15462" s="54">
        <v>4</v>
      </c>
      <c r="AQ15462" s="54">
        <v>0</v>
      </c>
      <c r="AR15462" s="55">
        <v>28500</v>
      </c>
      <c r="AS15462" s="78">
        <f t="shared" si="245"/>
        <v>0</v>
      </c>
    </row>
    <row r="15463" spans="39:45">
      <c r="AM15463" s="55">
        <v>2020</v>
      </c>
      <c r="AN15463" s="55" t="s">
        <v>191</v>
      </c>
      <c r="AO15463" s="55">
        <v>6</v>
      </c>
      <c r="AP15463" s="55">
        <v>5</v>
      </c>
      <c r="AQ15463" s="55">
        <v>0</v>
      </c>
      <c r="AR15463" s="55">
        <v>28500</v>
      </c>
      <c r="AS15463" s="78">
        <f t="shared" si="245"/>
        <v>0</v>
      </c>
    </row>
    <row r="15464" spans="39:45">
      <c r="AM15464" s="54">
        <v>2020</v>
      </c>
      <c r="AN15464" s="54" t="s">
        <v>191</v>
      </c>
      <c r="AO15464" s="54">
        <v>6</v>
      </c>
      <c r="AP15464" s="54">
        <v>6</v>
      </c>
      <c r="AQ15464" s="54">
        <v>0</v>
      </c>
      <c r="AR15464" s="55">
        <v>28500</v>
      </c>
      <c r="AS15464" s="78">
        <f t="shared" si="245"/>
        <v>0</v>
      </c>
    </row>
    <row r="15465" spans="39:45">
      <c r="AM15465" s="55">
        <v>2020</v>
      </c>
      <c r="AN15465" s="55" t="s">
        <v>191</v>
      </c>
      <c r="AO15465" s="55">
        <v>6</v>
      </c>
      <c r="AP15465" s="55">
        <v>7</v>
      </c>
      <c r="AQ15465" s="55">
        <v>6635.5</v>
      </c>
      <c r="AR15465" s="55">
        <v>28500</v>
      </c>
      <c r="AS15465" s="78">
        <f t="shared" si="245"/>
        <v>0.23282456140350877</v>
      </c>
    </row>
    <row r="15466" spans="39:45">
      <c r="AM15466" s="54">
        <v>2020</v>
      </c>
      <c r="AN15466" s="54" t="s">
        <v>191</v>
      </c>
      <c r="AO15466" s="54">
        <v>6</v>
      </c>
      <c r="AP15466" s="54">
        <v>8</v>
      </c>
      <c r="AQ15466" s="54">
        <v>13809</v>
      </c>
      <c r="AR15466" s="55">
        <v>28500</v>
      </c>
      <c r="AS15466" s="78">
        <f t="shared" si="245"/>
        <v>0.48452631578947369</v>
      </c>
    </row>
    <row r="15467" spans="39:45">
      <c r="AM15467" s="55">
        <v>2020</v>
      </c>
      <c r="AN15467" s="55" t="s">
        <v>191</v>
      </c>
      <c r="AO15467" s="55">
        <v>6</v>
      </c>
      <c r="AP15467" s="55">
        <v>9</v>
      </c>
      <c r="AQ15467" s="55">
        <v>24438</v>
      </c>
      <c r="AR15467" s="55">
        <v>28500</v>
      </c>
      <c r="AS15467" s="78">
        <f t="shared" si="245"/>
        <v>0.85747368421052628</v>
      </c>
    </row>
    <row r="15468" spans="39:45">
      <c r="AM15468" s="54">
        <v>2020</v>
      </c>
      <c r="AN15468" s="54" t="s">
        <v>191</v>
      </c>
      <c r="AO15468" s="54">
        <v>6</v>
      </c>
      <c r="AP15468" s="54">
        <v>10</v>
      </c>
      <c r="AQ15468" s="54">
        <v>7931.5</v>
      </c>
      <c r="AR15468" s="55">
        <v>28500</v>
      </c>
      <c r="AS15468" s="78">
        <f t="shared" si="245"/>
        <v>0.2782982456140351</v>
      </c>
    </row>
    <row r="15469" spans="39:45">
      <c r="AM15469" s="55">
        <v>2020</v>
      </c>
      <c r="AN15469" s="55" t="s">
        <v>191</v>
      </c>
      <c r="AO15469" s="55">
        <v>6</v>
      </c>
      <c r="AP15469" s="55">
        <v>11</v>
      </c>
      <c r="AQ15469" s="55">
        <v>8352.5</v>
      </c>
      <c r="AR15469" s="55">
        <v>28500</v>
      </c>
      <c r="AS15469" s="78">
        <f t="shared" si="245"/>
        <v>0.29307017543859648</v>
      </c>
    </row>
    <row r="15470" spans="39:45">
      <c r="AM15470" s="54">
        <v>2020</v>
      </c>
      <c r="AN15470" s="54" t="s">
        <v>191</v>
      </c>
      <c r="AO15470" s="54">
        <v>6</v>
      </c>
      <c r="AP15470" s="54">
        <v>12</v>
      </c>
      <c r="AQ15470" s="54">
        <v>8517.5</v>
      </c>
      <c r="AR15470" s="55">
        <v>28500</v>
      </c>
      <c r="AS15470" s="78">
        <f t="shared" si="245"/>
        <v>0.29885964912280699</v>
      </c>
    </row>
    <row r="15471" spans="39:45">
      <c r="AM15471" s="55">
        <v>2020</v>
      </c>
      <c r="AN15471" s="55" t="s">
        <v>191</v>
      </c>
      <c r="AO15471" s="55">
        <v>6</v>
      </c>
      <c r="AP15471" s="55">
        <v>13</v>
      </c>
      <c r="AQ15471" s="55">
        <v>15094.5</v>
      </c>
      <c r="AR15471" s="55">
        <v>28500</v>
      </c>
      <c r="AS15471" s="78">
        <f t="shared" si="245"/>
        <v>0.52963157894736845</v>
      </c>
    </row>
    <row r="15472" spans="39:45">
      <c r="AM15472" s="54">
        <v>2020</v>
      </c>
      <c r="AN15472" s="54" t="s">
        <v>191</v>
      </c>
      <c r="AO15472" s="54">
        <v>6</v>
      </c>
      <c r="AP15472" s="54">
        <v>14</v>
      </c>
      <c r="AQ15472" s="54">
        <v>25773.5</v>
      </c>
      <c r="AR15472" s="55">
        <v>28500</v>
      </c>
      <c r="AS15472" s="78">
        <f t="shared" si="245"/>
        <v>0.90433333333333332</v>
      </c>
    </row>
    <row r="15473" spans="39:45">
      <c r="AM15473" s="55">
        <v>2020</v>
      </c>
      <c r="AN15473" s="55" t="s">
        <v>191</v>
      </c>
      <c r="AO15473" s="55">
        <v>6</v>
      </c>
      <c r="AP15473" s="55">
        <v>15</v>
      </c>
      <c r="AQ15473" s="55">
        <v>8108.5</v>
      </c>
      <c r="AR15473" s="55">
        <v>28500</v>
      </c>
      <c r="AS15473" s="78">
        <f t="shared" si="245"/>
        <v>0.28450877192982454</v>
      </c>
    </row>
    <row r="15474" spans="39:45">
      <c r="AM15474" s="54">
        <v>2020</v>
      </c>
      <c r="AN15474" s="54" t="s">
        <v>191</v>
      </c>
      <c r="AO15474" s="54">
        <v>6</v>
      </c>
      <c r="AP15474" s="54">
        <v>16</v>
      </c>
      <c r="AQ15474" s="54">
        <v>3659.5</v>
      </c>
      <c r="AR15474" s="55">
        <v>28500</v>
      </c>
      <c r="AS15474" s="78">
        <f t="shared" si="245"/>
        <v>0.12840350877192983</v>
      </c>
    </row>
    <row r="15475" spans="39:45">
      <c r="AM15475" s="55">
        <v>2020</v>
      </c>
      <c r="AN15475" s="55" t="s">
        <v>191</v>
      </c>
      <c r="AO15475" s="55">
        <v>6</v>
      </c>
      <c r="AP15475" s="55">
        <v>17</v>
      </c>
      <c r="AQ15475" s="55">
        <v>0</v>
      </c>
      <c r="AR15475" s="55">
        <v>28500</v>
      </c>
      <c r="AS15475" s="78">
        <f t="shared" si="245"/>
        <v>0</v>
      </c>
    </row>
    <row r="15476" spans="39:45">
      <c r="AM15476" s="54">
        <v>2020</v>
      </c>
      <c r="AN15476" s="54" t="s">
        <v>191</v>
      </c>
      <c r="AO15476" s="54">
        <v>6</v>
      </c>
      <c r="AP15476" s="54">
        <v>18</v>
      </c>
      <c r="AQ15476" s="54">
        <v>0</v>
      </c>
      <c r="AR15476" s="55">
        <v>28500</v>
      </c>
      <c r="AS15476" s="78">
        <f t="shared" si="245"/>
        <v>0</v>
      </c>
    </row>
    <row r="15477" spans="39:45">
      <c r="AM15477" s="55">
        <v>2020</v>
      </c>
      <c r="AN15477" s="55" t="s">
        <v>191</v>
      </c>
      <c r="AO15477" s="55">
        <v>6</v>
      </c>
      <c r="AP15477" s="55">
        <v>19</v>
      </c>
      <c r="AQ15477" s="55">
        <v>0</v>
      </c>
      <c r="AR15477" s="55">
        <v>28500</v>
      </c>
      <c r="AS15477" s="78">
        <f t="shared" si="245"/>
        <v>0</v>
      </c>
    </row>
    <row r="15478" spans="39:45">
      <c r="AM15478" s="54">
        <v>2020</v>
      </c>
      <c r="AN15478" s="54" t="s">
        <v>191</v>
      </c>
      <c r="AO15478" s="54">
        <v>6</v>
      </c>
      <c r="AP15478" s="54">
        <v>20</v>
      </c>
      <c r="AQ15478" s="54">
        <v>0</v>
      </c>
      <c r="AR15478" s="55">
        <v>28500</v>
      </c>
      <c r="AS15478" s="78">
        <f t="shared" si="245"/>
        <v>0</v>
      </c>
    </row>
    <row r="15479" spans="39:45">
      <c r="AM15479" s="55">
        <v>2020</v>
      </c>
      <c r="AN15479" s="55" t="s">
        <v>191</v>
      </c>
      <c r="AO15479" s="55">
        <v>6</v>
      </c>
      <c r="AP15479" s="55">
        <v>21</v>
      </c>
      <c r="AQ15479" s="55">
        <v>0</v>
      </c>
      <c r="AR15479" s="55">
        <v>28500</v>
      </c>
      <c r="AS15479" s="78">
        <f t="shared" si="245"/>
        <v>0</v>
      </c>
    </row>
    <row r="15480" spans="39:45">
      <c r="AM15480" s="54">
        <v>2020</v>
      </c>
      <c r="AN15480" s="54" t="s">
        <v>191</v>
      </c>
      <c r="AO15480" s="54">
        <v>6</v>
      </c>
      <c r="AP15480" s="54">
        <v>22</v>
      </c>
      <c r="AQ15480" s="54">
        <v>0</v>
      </c>
      <c r="AR15480" s="55">
        <v>28500</v>
      </c>
      <c r="AS15480" s="78">
        <f t="shared" si="245"/>
        <v>0</v>
      </c>
    </row>
    <row r="15481" spans="39:45">
      <c r="AM15481" s="55">
        <v>2020</v>
      </c>
      <c r="AN15481" s="55" t="s">
        <v>191</v>
      </c>
      <c r="AO15481" s="55">
        <v>6</v>
      </c>
      <c r="AP15481" s="55">
        <v>23</v>
      </c>
      <c r="AQ15481" s="55">
        <v>0</v>
      </c>
      <c r="AR15481" s="55">
        <v>28500</v>
      </c>
      <c r="AS15481" s="78">
        <f t="shared" si="245"/>
        <v>0</v>
      </c>
    </row>
    <row r="15482" spans="39:45">
      <c r="AM15482" s="54">
        <v>2020</v>
      </c>
      <c r="AN15482" s="54" t="s">
        <v>191</v>
      </c>
      <c r="AO15482" s="54">
        <v>7</v>
      </c>
      <c r="AP15482" s="54">
        <v>24</v>
      </c>
      <c r="AQ15482" s="54">
        <v>0</v>
      </c>
      <c r="AR15482" s="55">
        <v>28500</v>
      </c>
      <c r="AS15482" s="78">
        <f t="shared" si="245"/>
        <v>0</v>
      </c>
    </row>
    <row r="15483" spans="39:45">
      <c r="AM15483" s="55">
        <v>2020</v>
      </c>
      <c r="AN15483" s="55" t="s">
        <v>191</v>
      </c>
      <c r="AO15483" s="55">
        <v>7</v>
      </c>
      <c r="AP15483" s="55">
        <v>1</v>
      </c>
      <c r="AQ15483" s="55">
        <v>0</v>
      </c>
      <c r="AR15483" s="55">
        <v>28500</v>
      </c>
      <c r="AS15483" s="78">
        <f t="shared" si="245"/>
        <v>0</v>
      </c>
    </row>
    <row r="15484" spans="39:45">
      <c r="AM15484" s="54">
        <v>2020</v>
      </c>
      <c r="AN15484" s="54" t="s">
        <v>191</v>
      </c>
      <c r="AO15484" s="54">
        <v>7</v>
      </c>
      <c r="AP15484" s="54">
        <v>2</v>
      </c>
      <c r="AQ15484" s="54">
        <v>0</v>
      </c>
      <c r="AR15484" s="55">
        <v>28500</v>
      </c>
      <c r="AS15484" s="78">
        <f t="shared" si="245"/>
        <v>0</v>
      </c>
    </row>
    <row r="15485" spans="39:45">
      <c r="AM15485" s="55">
        <v>2020</v>
      </c>
      <c r="AN15485" s="55" t="s">
        <v>191</v>
      </c>
      <c r="AO15485" s="55">
        <v>7</v>
      </c>
      <c r="AP15485" s="55">
        <v>3</v>
      </c>
      <c r="AQ15485" s="55">
        <v>0</v>
      </c>
      <c r="AR15485" s="55">
        <v>28500</v>
      </c>
      <c r="AS15485" s="78">
        <f t="shared" si="245"/>
        <v>0</v>
      </c>
    </row>
    <row r="15486" spans="39:45">
      <c r="AM15486" s="54">
        <v>2020</v>
      </c>
      <c r="AN15486" s="54" t="s">
        <v>191</v>
      </c>
      <c r="AO15486" s="54">
        <v>7</v>
      </c>
      <c r="AP15486" s="54">
        <v>4</v>
      </c>
      <c r="AQ15486" s="54">
        <v>0</v>
      </c>
      <c r="AR15486" s="55">
        <v>28500</v>
      </c>
      <c r="AS15486" s="78">
        <f t="shared" si="245"/>
        <v>0</v>
      </c>
    </row>
    <row r="15487" spans="39:45">
      <c r="AM15487" s="55">
        <v>2020</v>
      </c>
      <c r="AN15487" s="55" t="s">
        <v>191</v>
      </c>
      <c r="AO15487" s="55">
        <v>7</v>
      </c>
      <c r="AP15487" s="55">
        <v>5</v>
      </c>
      <c r="AQ15487" s="55">
        <v>0</v>
      </c>
      <c r="AR15487" s="55">
        <v>28500</v>
      </c>
      <c r="AS15487" s="78">
        <f t="shared" si="245"/>
        <v>0</v>
      </c>
    </row>
    <row r="15488" spans="39:45">
      <c r="AM15488" s="54">
        <v>2020</v>
      </c>
      <c r="AN15488" s="54" t="s">
        <v>191</v>
      </c>
      <c r="AO15488" s="54">
        <v>7</v>
      </c>
      <c r="AP15488" s="54">
        <v>6</v>
      </c>
      <c r="AQ15488" s="54">
        <v>0</v>
      </c>
      <c r="AR15488" s="55">
        <v>28500</v>
      </c>
      <c r="AS15488" s="78">
        <f t="shared" si="245"/>
        <v>0</v>
      </c>
    </row>
    <row r="15489" spans="39:45">
      <c r="AM15489" s="55">
        <v>2020</v>
      </c>
      <c r="AN15489" s="55" t="s">
        <v>191</v>
      </c>
      <c r="AO15489" s="55">
        <v>7</v>
      </c>
      <c r="AP15489" s="55">
        <v>7</v>
      </c>
      <c r="AQ15489" s="55">
        <v>1750.5</v>
      </c>
      <c r="AR15489" s="55">
        <v>28500</v>
      </c>
      <c r="AS15489" s="78">
        <f t="shared" si="245"/>
        <v>6.1421052631578946E-2</v>
      </c>
    </row>
    <row r="15490" spans="39:45">
      <c r="AM15490" s="54">
        <v>2020</v>
      </c>
      <c r="AN15490" s="54" t="s">
        <v>191</v>
      </c>
      <c r="AO15490" s="54">
        <v>7</v>
      </c>
      <c r="AP15490" s="54">
        <v>8</v>
      </c>
      <c r="AQ15490" s="54">
        <v>7397.5</v>
      </c>
      <c r="AR15490" s="55">
        <v>28500</v>
      </c>
      <c r="AS15490" s="78">
        <f t="shared" ref="AS15490:AS15553" si="246">AQ15490/AR15490</f>
        <v>0.25956140350877194</v>
      </c>
    </row>
    <row r="15491" spans="39:45">
      <c r="AM15491" s="55">
        <v>2020</v>
      </c>
      <c r="AN15491" s="55" t="s">
        <v>191</v>
      </c>
      <c r="AO15491" s="55">
        <v>7</v>
      </c>
      <c r="AP15491" s="55">
        <v>9</v>
      </c>
      <c r="AQ15491" s="55">
        <v>11538.5</v>
      </c>
      <c r="AR15491" s="55">
        <v>28500</v>
      </c>
      <c r="AS15491" s="78">
        <f t="shared" si="246"/>
        <v>0.40485964912280703</v>
      </c>
    </row>
    <row r="15492" spans="39:45">
      <c r="AM15492" s="54">
        <v>2020</v>
      </c>
      <c r="AN15492" s="54" t="s">
        <v>191</v>
      </c>
      <c r="AO15492" s="54">
        <v>7</v>
      </c>
      <c r="AP15492" s="54">
        <v>10</v>
      </c>
      <c r="AQ15492" s="54">
        <v>30231</v>
      </c>
      <c r="AR15492" s="55">
        <v>28500</v>
      </c>
      <c r="AS15492" s="78">
        <f t="shared" si="246"/>
        <v>1.0607368421052632</v>
      </c>
    </row>
    <row r="15493" spans="39:45">
      <c r="AM15493" s="55">
        <v>2020</v>
      </c>
      <c r="AN15493" s="55" t="s">
        <v>191</v>
      </c>
      <c r="AO15493" s="55">
        <v>7</v>
      </c>
      <c r="AP15493" s="55">
        <v>11</v>
      </c>
      <c r="AQ15493" s="55">
        <v>26515.5</v>
      </c>
      <c r="AR15493" s="55">
        <v>28500</v>
      </c>
      <c r="AS15493" s="78">
        <f t="shared" si="246"/>
        <v>0.93036842105263162</v>
      </c>
    </row>
    <row r="15494" spans="39:45">
      <c r="AM15494" s="54">
        <v>2020</v>
      </c>
      <c r="AN15494" s="54" t="s">
        <v>191</v>
      </c>
      <c r="AO15494" s="54">
        <v>7</v>
      </c>
      <c r="AP15494" s="54">
        <v>12</v>
      </c>
      <c r="AQ15494" s="54">
        <v>23834.5</v>
      </c>
      <c r="AR15494" s="55">
        <v>28500</v>
      </c>
      <c r="AS15494" s="78">
        <f t="shared" si="246"/>
        <v>0.8362982456140351</v>
      </c>
    </row>
    <row r="15495" spans="39:45">
      <c r="AM15495" s="55">
        <v>2020</v>
      </c>
      <c r="AN15495" s="55" t="s">
        <v>191</v>
      </c>
      <c r="AO15495" s="55">
        <v>7</v>
      </c>
      <c r="AP15495" s="55">
        <v>13</v>
      </c>
      <c r="AQ15495" s="55">
        <v>28991.5</v>
      </c>
      <c r="AR15495" s="55">
        <v>28500</v>
      </c>
      <c r="AS15495" s="78">
        <f t="shared" si="246"/>
        <v>1.0172456140350876</v>
      </c>
    </row>
    <row r="15496" spans="39:45">
      <c r="AM15496" s="54">
        <v>2020</v>
      </c>
      <c r="AN15496" s="54" t="s">
        <v>191</v>
      </c>
      <c r="AO15496" s="54">
        <v>7</v>
      </c>
      <c r="AP15496" s="54">
        <v>14</v>
      </c>
      <c r="AQ15496" s="54">
        <v>20982</v>
      </c>
      <c r="AR15496" s="55">
        <v>28500</v>
      </c>
      <c r="AS15496" s="78">
        <f t="shared" si="246"/>
        <v>0.73621052631578943</v>
      </c>
    </row>
    <row r="15497" spans="39:45">
      <c r="AM15497" s="55">
        <v>2020</v>
      </c>
      <c r="AN15497" s="55" t="s">
        <v>191</v>
      </c>
      <c r="AO15497" s="55">
        <v>7</v>
      </c>
      <c r="AP15497" s="55">
        <v>15</v>
      </c>
      <c r="AQ15497" s="55">
        <v>13736</v>
      </c>
      <c r="AR15497" s="55">
        <v>28500</v>
      </c>
      <c r="AS15497" s="78">
        <f t="shared" si="246"/>
        <v>0.48196491228070176</v>
      </c>
    </row>
    <row r="15498" spans="39:45">
      <c r="AM15498" s="54">
        <v>2020</v>
      </c>
      <c r="AN15498" s="54" t="s">
        <v>191</v>
      </c>
      <c r="AO15498" s="54">
        <v>7</v>
      </c>
      <c r="AP15498" s="54">
        <v>16</v>
      </c>
      <c r="AQ15498" s="54">
        <v>4793</v>
      </c>
      <c r="AR15498" s="55">
        <v>28500</v>
      </c>
      <c r="AS15498" s="78">
        <f t="shared" si="246"/>
        <v>0.16817543859649123</v>
      </c>
    </row>
    <row r="15499" spans="39:45">
      <c r="AM15499" s="55">
        <v>2020</v>
      </c>
      <c r="AN15499" s="55" t="s">
        <v>191</v>
      </c>
      <c r="AO15499" s="55">
        <v>7</v>
      </c>
      <c r="AP15499" s="55">
        <v>17</v>
      </c>
      <c r="AQ15499" s="55">
        <v>0</v>
      </c>
      <c r="AR15499" s="55">
        <v>28500</v>
      </c>
      <c r="AS15499" s="78">
        <f t="shared" si="246"/>
        <v>0</v>
      </c>
    </row>
    <row r="15500" spans="39:45">
      <c r="AM15500" s="54">
        <v>2020</v>
      </c>
      <c r="AN15500" s="54" t="s">
        <v>191</v>
      </c>
      <c r="AO15500" s="54">
        <v>7</v>
      </c>
      <c r="AP15500" s="54">
        <v>18</v>
      </c>
      <c r="AQ15500" s="54">
        <v>0</v>
      </c>
      <c r="AR15500" s="55">
        <v>28500</v>
      </c>
      <c r="AS15500" s="78">
        <f t="shared" si="246"/>
        <v>0</v>
      </c>
    </row>
    <row r="15501" spans="39:45">
      <c r="AM15501" s="55">
        <v>2020</v>
      </c>
      <c r="AN15501" s="55" t="s">
        <v>191</v>
      </c>
      <c r="AO15501" s="55">
        <v>7</v>
      </c>
      <c r="AP15501" s="55">
        <v>19</v>
      </c>
      <c r="AQ15501" s="55">
        <v>0</v>
      </c>
      <c r="AR15501" s="55">
        <v>28500</v>
      </c>
      <c r="AS15501" s="78">
        <f t="shared" si="246"/>
        <v>0</v>
      </c>
    </row>
    <row r="15502" spans="39:45">
      <c r="AM15502" s="54">
        <v>2020</v>
      </c>
      <c r="AN15502" s="54" t="s">
        <v>191</v>
      </c>
      <c r="AO15502" s="54">
        <v>7</v>
      </c>
      <c r="AP15502" s="54">
        <v>20</v>
      </c>
      <c r="AQ15502" s="54">
        <v>0</v>
      </c>
      <c r="AR15502" s="55">
        <v>28500</v>
      </c>
      <c r="AS15502" s="78">
        <f t="shared" si="246"/>
        <v>0</v>
      </c>
    </row>
    <row r="15503" spans="39:45">
      <c r="AM15503" s="55">
        <v>2020</v>
      </c>
      <c r="AN15503" s="55" t="s">
        <v>191</v>
      </c>
      <c r="AO15503" s="55">
        <v>7</v>
      </c>
      <c r="AP15503" s="55">
        <v>21</v>
      </c>
      <c r="AQ15503" s="55">
        <v>0</v>
      </c>
      <c r="AR15503" s="55">
        <v>28500</v>
      </c>
      <c r="AS15503" s="78">
        <f t="shared" si="246"/>
        <v>0</v>
      </c>
    </row>
    <row r="15504" spans="39:45">
      <c r="AM15504" s="54">
        <v>2020</v>
      </c>
      <c r="AN15504" s="54" t="s">
        <v>191</v>
      </c>
      <c r="AO15504" s="54">
        <v>7</v>
      </c>
      <c r="AP15504" s="54">
        <v>22</v>
      </c>
      <c r="AQ15504" s="54">
        <v>0</v>
      </c>
      <c r="AR15504" s="55">
        <v>28500</v>
      </c>
      <c r="AS15504" s="78">
        <f t="shared" si="246"/>
        <v>0</v>
      </c>
    </row>
    <row r="15505" spans="39:45">
      <c r="AM15505" s="55">
        <v>2020</v>
      </c>
      <c r="AN15505" s="55" t="s">
        <v>191</v>
      </c>
      <c r="AO15505" s="55">
        <v>7</v>
      </c>
      <c r="AP15505" s="55">
        <v>23</v>
      </c>
      <c r="AQ15505" s="55">
        <v>0</v>
      </c>
      <c r="AR15505" s="55">
        <v>28500</v>
      </c>
      <c r="AS15505" s="78">
        <f t="shared" si="246"/>
        <v>0</v>
      </c>
    </row>
    <row r="15506" spans="39:45">
      <c r="AM15506" s="54">
        <v>2020</v>
      </c>
      <c r="AN15506" s="54" t="s">
        <v>191</v>
      </c>
      <c r="AO15506" s="54">
        <v>8</v>
      </c>
      <c r="AP15506" s="54">
        <v>24</v>
      </c>
      <c r="AQ15506" s="54">
        <v>0</v>
      </c>
      <c r="AR15506" s="55">
        <v>28500</v>
      </c>
      <c r="AS15506" s="78">
        <f t="shared" si="246"/>
        <v>0</v>
      </c>
    </row>
    <row r="15507" spans="39:45">
      <c r="AM15507" s="55">
        <v>2020</v>
      </c>
      <c r="AN15507" s="55" t="s">
        <v>191</v>
      </c>
      <c r="AO15507" s="55">
        <v>8</v>
      </c>
      <c r="AP15507" s="55">
        <v>1</v>
      </c>
      <c r="AQ15507" s="55">
        <v>0</v>
      </c>
      <c r="AR15507" s="55">
        <v>28500</v>
      </c>
      <c r="AS15507" s="78">
        <f t="shared" si="246"/>
        <v>0</v>
      </c>
    </row>
    <row r="15508" spans="39:45">
      <c r="AM15508" s="54">
        <v>2020</v>
      </c>
      <c r="AN15508" s="54" t="s">
        <v>191</v>
      </c>
      <c r="AO15508" s="54">
        <v>8</v>
      </c>
      <c r="AP15508" s="54">
        <v>2</v>
      </c>
      <c r="AQ15508" s="54">
        <v>0</v>
      </c>
      <c r="AR15508" s="55">
        <v>28500</v>
      </c>
      <c r="AS15508" s="78">
        <f t="shared" si="246"/>
        <v>0</v>
      </c>
    </row>
    <row r="15509" spans="39:45">
      <c r="AM15509" s="55">
        <v>2020</v>
      </c>
      <c r="AN15509" s="55" t="s">
        <v>191</v>
      </c>
      <c r="AO15509" s="55">
        <v>8</v>
      </c>
      <c r="AP15509" s="55">
        <v>3</v>
      </c>
      <c r="AQ15509" s="55">
        <v>0</v>
      </c>
      <c r="AR15509" s="55">
        <v>28500</v>
      </c>
      <c r="AS15509" s="78">
        <f t="shared" si="246"/>
        <v>0</v>
      </c>
    </row>
    <row r="15510" spans="39:45">
      <c r="AM15510" s="54">
        <v>2020</v>
      </c>
      <c r="AN15510" s="54" t="s">
        <v>191</v>
      </c>
      <c r="AO15510" s="54">
        <v>8</v>
      </c>
      <c r="AP15510" s="54">
        <v>4</v>
      </c>
      <c r="AQ15510" s="54">
        <v>0</v>
      </c>
      <c r="AR15510" s="55">
        <v>28500</v>
      </c>
      <c r="AS15510" s="78">
        <f t="shared" si="246"/>
        <v>0</v>
      </c>
    </row>
    <row r="15511" spans="39:45">
      <c r="AM15511" s="55">
        <v>2020</v>
      </c>
      <c r="AN15511" s="55" t="s">
        <v>191</v>
      </c>
      <c r="AO15511" s="55">
        <v>8</v>
      </c>
      <c r="AP15511" s="55">
        <v>5</v>
      </c>
      <c r="AQ15511" s="55">
        <v>0</v>
      </c>
      <c r="AR15511" s="55">
        <v>28500</v>
      </c>
      <c r="AS15511" s="78">
        <f t="shared" si="246"/>
        <v>0</v>
      </c>
    </row>
    <row r="15512" spans="39:45">
      <c r="AM15512" s="54">
        <v>2020</v>
      </c>
      <c r="AN15512" s="54" t="s">
        <v>191</v>
      </c>
      <c r="AO15512" s="54">
        <v>8</v>
      </c>
      <c r="AP15512" s="54">
        <v>6</v>
      </c>
      <c r="AQ15512" s="54">
        <v>0</v>
      </c>
      <c r="AR15512" s="55">
        <v>28500</v>
      </c>
      <c r="AS15512" s="78">
        <f t="shared" si="246"/>
        <v>0</v>
      </c>
    </row>
    <row r="15513" spans="39:45">
      <c r="AM15513" s="55">
        <v>2020</v>
      </c>
      <c r="AN15513" s="55" t="s">
        <v>191</v>
      </c>
      <c r="AO15513" s="55">
        <v>8</v>
      </c>
      <c r="AP15513" s="55">
        <v>7</v>
      </c>
      <c r="AQ15513" s="55">
        <v>1196.5</v>
      </c>
      <c r="AR15513" s="55">
        <v>28500</v>
      </c>
      <c r="AS15513" s="78">
        <f t="shared" si="246"/>
        <v>4.1982456140350878E-2</v>
      </c>
    </row>
    <row r="15514" spans="39:45">
      <c r="AM15514" s="54">
        <v>2020</v>
      </c>
      <c r="AN15514" s="54" t="s">
        <v>191</v>
      </c>
      <c r="AO15514" s="54">
        <v>8</v>
      </c>
      <c r="AP15514" s="54">
        <v>8</v>
      </c>
      <c r="AQ15514" s="54">
        <v>5116</v>
      </c>
      <c r="AR15514" s="55">
        <v>28500</v>
      </c>
      <c r="AS15514" s="78">
        <f t="shared" si="246"/>
        <v>0.17950877192982456</v>
      </c>
    </row>
    <row r="15515" spans="39:45">
      <c r="AM15515" s="55">
        <v>2020</v>
      </c>
      <c r="AN15515" s="55" t="s">
        <v>191</v>
      </c>
      <c r="AO15515" s="55">
        <v>8</v>
      </c>
      <c r="AP15515" s="55">
        <v>9</v>
      </c>
      <c r="AQ15515" s="55">
        <v>4027.5</v>
      </c>
      <c r="AR15515" s="55">
        <v>28500</v>
      </c>
      <c r="AS15515" s="78">
        <f t="shared" si="246"/>
        <v>0.1413157894736842</v>
      </c>
    </row>
    <row r="15516" spans="39:45">
      <c r="AM15516" s="54">
        <v>2020</v>
      </c>
      <c r="AN15516" s="54" t="s">
        <v>191</v>
      </c>
      <c r="AO15516" s="54">
        <v>8</v>
      </c>
      <c r="AP15516" s="54">
        <v>10</v>
      </c>
      <c r="AQ15516" s="54">
        <v>7847.5</v>
      </c>
      <c r="AR15516" s="55">
        <v>28500</v>
      </c>
      <c r="AS15516" s="78">
        <f t="shared" si="246"/>
        <v>0.27535087719298246</v>
      </c>
    </row>
    <row r="15517" spans="39:45">
      <c r="AM15517" s="55">
        <v>2020</v>
      </c>
      <c r="AN15517" s="55" t="s">
        <v>191</v>
      </c>
      <c r="AO15517" s="55">
        <v>8</v>
      </c>
      <c r="AP15517" s="55">
        <v>11</v>
      </c>
      <c r="AQ15517" s="55">
        <v>2987</v>
      </c>
      <c r="AR15517" s="55">
        <v>28500</v>
      </c>
      <c r="AS15517" s="78">
        <f t="shared" si="246"/>
        <v>0.10480701754385965</v>
      </c>
    </row>
    <row r="15518" spans="39:45">
      <c r="AM15518" s="54">
        <v>2020</v>
      </c>
      <c r="AN15518" s="54" t="s">
        <v>191</v>
      </c>
      <c r="AO15518" s="54">
        <v>8</v>
      </c>
      <c r="AP15518" s="54">
        <v>12</v>
      </c>
      <c r="AQ15518" s="54">
        <v>2573</v>
      </c>
      <c r="AR15518" s="55">
        <v>28500</v>
      </c>
      <c r="AS15518" s="78">
        <f t="shared" si="246"/>
        <v>9.0280701754385961E-2</v>
      </c>
    </row>
    <row r="15519" spans="39:45">
      <c r="AM15519" s="55">
        <v>2020</v>
      </c>
      <c r="AN15519" s="55" t="s">
        <v>191</v>
      </c>
      <c r="AO15519" s="55">
        <v>8</v>
      </c>
      <c r="AP15519" s="55">
        <v>13</v>
      </c>
      <c r="AQ15519" s="55">
        <v>7112.5</v>
      </c>
      <c r="AR15519" s="55">
        <v>28500</v>
      </c>
      <c r="AS15519" s="78">
        <f t="shared" si="246"/>
        <v>0.24956140350877193</v>
      </c>
    </row>
    <row r="15520" spans="39:45">
      <c r="AM15520" s="54">
        <v>2020</v>
      </c>
      <c r="AN15520" s="54" t="s">
        <v>191</v>
      </c>
      <c r="AO15520" s="54">
        <v>8</v>
      </c>
      <c r="AP15520" s="54">
        <v>14</v>
      </c>
      <c r="AQ15520" s="54">
        <v>9856</v>
      </c>
      <c r="AR15520" s="55">
        <v>28500</v>
      </c>
      <c r="AS15520" s="78">
        <f t="shared" si="246"/>
        <v>0.34582456140350876</v>
      </c>
    </row>
    <row r="15521" spans="39:45">
      <c r="AM15521" s="55">
        <v>2020</v>
      </c>
      <c r="AN15521" s="55" t="s">
        <v>191</v>
      </c>
      <c r="AO15521" s="55">
        <v>8</v>
      </c>
      <c r="AP15521" s="55">
        <v>15</v>
      </c>
      <c r="AQ15521" s="55">
        <v>14274.5</v>
      </c>
      <c r="AR15521" s="55">
        <v>28500</v>
      </c>
      <c r="AS15521" s="78">
        <f t="shared" si="246"/>
        <v>0.500859649122807</v>
      </c>
    </row>
    <row r="15522" spans="39:45">
      <c r="AM15522" s="54">
        <v>2020</v>
      </c>
      <c r="AN15522" s="54" t="s">
        <v>191</v>
      </c>
      <c r="AO15522" s="54">
        <v>8</v>
      </c>
      <c r="AP15522" s="54">
        <v>16</v>
      </c>
      <c r="AQ15522" s="54">
        <v>1787</v>
      </c>
      <c r="AR15522" s="55">
        <v>28500</v>
      </c>
      <c r="AS15522" s="78">
        <f t="shared" si="246"/>
        <v>6.2701754385964911E-2</v>
      </c>
    </row>
    <row r="15523" spans="39:45">
      <c r="AM15523" s="55">
        <v>2020</v>
      </c>
      <c r="AN15523" s="55" t="s">
        <v>191</v>
      </c>
      <c r="AO15523" s="55">
        <v>8</v>
      </c>
      <c r="AP15523" s="55">
        <v>17</v>
      </c>
      <c r="AQ15523" s="55">
        <v>0</v>
      </c>
      <c r="AR15523" s="55">
        <v>28500</v>
      </c>
      <c r="AS15523" s="78">
        <f t="shared" si="246"/>
        <v>0</v>
      </c>
    </row>
    <row r="15524" spans="39:45">
      <c r="AM15524" s="54">
        <v>2020</v>
      </c>
      <c r="AN15524" s="54" t="s">
        <v>191</v>
      </c>
      <c r="AO15524" s="54">
        <v>8</v>
      </c>
      <c r="AP15524" s="54">
        <v>18</v>
      </c>
      <c r="AQ15524" s="54">
        <v>0</v>
      </c>
      <c r="AR15524" s="55">
        <v>28500</v>
      </c>
      <c r="AS15524" s="78">
        <f t="shared" si="246"/>
        <v>0</v>
      </c>
    </row>
    <row r="15525" spans="39:45">
      <c r="AM15525" s="55">
        <v>2020</v>
      </c>
      <c r="AN15525" s="55" t="s">
        <v>191</v>
      </c>
      <c r="AO15525" s="55">
        <v>8</v>
      </c>
      <c r="AP15525" s="55">
        <v>19</v>
      </c>
      <c r="AQ15525" s="55">
        <v>0</v>
      </c>
      <c r="AR15525" s="55">
        <v>28500</v>
      </c>
      <c r="AS15525" s="78">
        <f t="shared" si="246"/>
        <v>0</v>
      </c>
    </row>
    <row r="15526" spans="39:45">
      <c r="AM15526" s="54">
        <v>2020</v>
      </c>
      <c r="AN15526" s="54" t="s">
        <v>191</v>
      </c>
      <c r="AO15526" s="54">
        <v>8</v>
      </c>
      <c r="AP15526" s="54">
        <v>20</v>
      </c>
      <c r="AQ15526" s="54">
        <v>0</v>
      </c>
      <c r="AR15526" s="55">
        <v>28500</v>
      </c>
      <c r="AS15526" s="78">
        <f t="shared" si="246"/>
        <v>0</v>
      </c>
    </row>
    <row r="15527" spans="39:45">
      <c r="AM15527" s="55">
        <v>2020</v>
      </c>
      <c r="AN15527" s="55" t="s">
        <v>191</v>
      </c>
      <c r="AO15527" s="55">
        <v>8</v>
      </c>
      <c r="AP15527" s="55">
        <v>21</v>
      </c>
      <c r="AQ15527" s="55">
        <v>0</v>
      </c>
      <c r="AR15527" s="55">
        <v>28500</v>
      </c>
      <c r="AS15527" s="78">
        <f t="shared" si="246"/>
        <v>0</v>
      </c>
    </row>
    <row r="15528" spans="39:45">
      <c r="AM15528" s="54">
        <v>2020</v>
      </c>
      <c r="AN15528" s="54" t="s">
        <v>191</v>
      </c>
      <c r="AO15528" s="54">
        <v>8</v>
      </c>
      <c r="AP15528" s="54">
        <v>22</v>
      </c>
      <c r="AQ15528" s="54">
        <v>0</v>
      </c>
      <c r="AR15528" s="55">
        <v>28500</v>
      </c>
      <c r="AS15528" s="78">
        <f t="shared" si="246"/>
        <v>0</v>
      </c>
    </row>
    <row r="15529" spans="39:45">
      <c r="AM15529" s="55">
        <v>2020</v>
      </c>
      <c r="AN15529" s="55" t="s">
        <v>191</v>
      </c>
      <c r="AO15529" s="55">
        <v>8</v>
      </c>
      <c r="AP15529" s="55">
        <v>23</v>
      </c>
      <c r="AQ15529" s="55">
        <v>0</v>
      </c>
      <c r="AR15529" s="55">
        <v>28500</v>
      </c>
      <c r="AS15529" s="78">
        <f t="shared" si="246"/>
        <v>0</v>
      </c>
    </row>
    <row r="15530" spans="39:45">
      <c r="AM15530" s="54">
        <v>2020</v>
      </c>
      <c r="AN15530" s="54" t="s">
        <v>191</v>
      </c>
      <c r="AO15530" s="54">
        <v>9</v>
      </c>
      <c r="AP15530" s="54">
        <v>24</v>
      </c>
      <c r="AQ15530" s="54">
        <v>0</v>
      </c>
      <c r="AR15530" s="55">
        <v>28500</v>
      </c>
      <c r="AS15530" s="78">
        <f t="shared" si="246"/>
        <v>0</v>
      </c>
    </row>
    <row r="15531" spans="39:45">
      <c r="AM15531" s="55">
        <v>2020</v>
      </c>
      <c r="AN15531" s="55" t="s">
        <v>191</v>
      </c>
      <c r="AO15531" s="55">
        <v>9</v>
      </c>
      <c r="AP15531" s="55">
        <v>1</v>
      </c>
      <c r="AQ15531" s="55">
        <v>0</v>
      </c>
      <c r="AR15531" s="55">
        <v>28500</v>
      </c>
      <c r="AS15531" s="78">
        <f t="shared" si="246"/>
        <v>0</v>
      </c>
    </row>
    <row r="15532" spans="39:45">
      <c r="AM15532" s="54">
        <v>2020</v>
      </c>
      <c r="AN15532" s="54" t="s">
        <v>191</v>
      </c>
      <c r="AO15532" s="54">
        <v>9</v>
      </c>
      <c r="AP15532" s="54">
        <v>2</v>
      </c>
      <c r="AQ15532" s="54">
        <v>0</v>
      </c>
      <c r="AR15532" s="55">
        <v>28500</v>
      </c>
      <c r="AS15532" s="78">
        <f t="shared" si="246"/>
        <v>0</v>
      </c>
    </row>
    <row r="15533" spans="39:45">
      <c r="AM15533" s="55">
        <v>2020</v>
      </c>
      <c r="AN15533" s="55" t="s">
        <v>191</v>
      </c>
      <c r="AO15533" s="55">
        <v>9</v>
      </c>
      <c r="AP15533" s="55">
        <v>3</v>
      </c>
      <c r="AQ15533" s="55">
        <v>0</v>
      </c>
      <c r="AR15533" s="55">
        <v>28500</v>
      </c>
      <c r="AS15533" s="78">
        <f t="shared" si="246"/>
        <v>0</v>
      </c>
    </row>
    <row r="15534" spans="39:45">
      <c r="AM15534" s="54">
        <v>2020</v>
      </c>
      <c r="AN15534" s="54" t="s">
        <v>191</v>
      </c>
      <c r="AO15534" s="54">
        <v>9</v>
      </c>
      <c r="AP15534" s="54">
        <v>4</v>
      </c>
      <c r="AQ15534" s="54">
        <v>0</v>
      </c>
      <c r="AR15534" s="55">
        <v>28500</v>
      </c>
      <c r="AS15534" s="78">
        <f t="shared" si="246"/>
        <v>0</v>
      </c>
    </row>
    <row r="15535" spans="39:45">
      <c r="AM15535" s="55">
        <v>2020</v>
      </c>
      <c r="AN15535" s="55" t="s">
        <v>191</v>
      </c>
      <c r="AO15535" s="55">
        <v>9</v>
      </c>
      <c r="AP15535" s="55">
        <v>5</v>
      </c>
      <c r="AQ15535" s="55">
        <v>0</v>
      </c>
      <c r="AR15535" s="55">
        <v>28500</v>
      </c>
      <c r="AS15535" s="78">
        <f t="shared" si="246"/>
        <v>0</v>
      </c>
    </row>
    <row r="15536" spans="39:45">
      <c r="AM15536" s="54">
        <v>2020</v>
      </c>
      <c r="AN15536" s="54" t="s">
        <v>191</v>
      </c>
      <c r="AO15536" s="54">
        <v>9</v>
      </c>
      <c r="AP15536" s="54">
        <v>6</v>
      </c>
      <c r="AQ15536" s="54">
        <v>0</v>
      </c>
      <c r="AR15536" s="55">
        <v>28500</v>
      </c>
      <c r="AS15536" s="78">
        <f t="shared" si="246"/>
        <v>0</v>
      </c>
    </row>
    <row r="15537" spans="39:45">
      <c r="AM15537" s="55">
        <v>2020</v>
      </c>
      <c r="AN15537" s="55" t="s">
        <v>191</v>
      </c>
      <c r="AO15537" s="55">
        <v>9</v>
      </c>
      <c r="AP15537" s="55">
        <v>7</v>
      </c>
      <c r="AQ15537" s="55">
        <v>5222</v>
      </c>
      <c r="AR15537" s="55">
        <v>28500</v>
      </c>
      <c r="AS15537" s="78">
        <f t="shared" si="246"/>
        <v>0.1832280701754386</v>
      </c>
    </row>
    <row r="15538" spans="39:45">
      <c r="AM15538" s="54">
        <v>2020</v>
      </c>
      <c r="AN15538" s="54" t="s">
        <v>191</v>
      </c>
      <c r="AO15538" s="54">
        <v>9</v>
      </c>
      <c r="AP15538" s="54">
        <v>8</v>
      </c>
      <c r="AQ15538" s="54">
        <v>16048.5</v>
      </c>
      <c r="AR15538" s="55">
        <v>28500</v>
      </c>
      <c r="AS15538" s="78">
        <f t="shared" si="246"/>
        <v>0.56310526315789478</v>
      </c>
    </row>
    <row r="15539" spans="39:45">
      <c r="AM15539" s="55">
        <v>2020</v>
      </c>
      <c r="AN15539" s="55" t="s">
        <v>191</v>
      </c>
      <c r="AO15539" s="55">
        <v>9</v>
      </c>
      <c r="AP15539" s="55">
        <v>9</v>
      </c>
      <c r="AQ15539" s="55">
        <v>26414.5</v>
      </c>
      <c r="AR15539" s="55">
        <v>28500</v>
      </c>
      <c r="AS15539" s="78">
        <f t="shared" si="246"/>
        <v>0.92682456140350877</v>
      </c>
    </row>
    <row r="15540" spans="39:45">
      <c r="AM15540" s="54">
        <v>2020</v>
      </c>
      <c r="AN15540" s="54" t="s">
        <v>191</v>
      </c>
      <c r="AO15540" s="54">
        <v>9</v>
      </c>
      <c r="AP15540" s="54">
        <v>10</v>
      </c>
      <c r="AQ15540" s="54">
        <v>32152.5</v>
      </c>
      <c r="AR15540" s="55">
        <v>28500</v>
      </c>
      <c r="AS15540" s="78">
        <f t="shared" si="246"/>
        <v>1.128157894736842</v>
      </c>
    </row>
    <row r="15541" spans="39:45">
      <c r="AM15541" s="55">
        <v>2020</v>
      </c>
      <c r="AN15541" s="55" t="s">
        <v>191</v>
      </c>
      <c r="AO15541" s="55">
        <v>9</v>
      </c>
      <c r="AP15541" s="55">
        <v>11</v>
      </c>
      <c r="AQ15541" s="55">
        <v>34318</v>
      </c>
      <c r="AR15541" s="55">
        <v>28500</v>
      </c>
      <c r="AS15541" s="78">
        <f t="shared" si="246"/>
        <v>1.2041403508771931</v>
      </c>
    </row>
    <row r="15542" spans="39:45">
      <c r="AM15542" s="54">
        <v>2020</v>
      </c>
      <c r="AN15542" s="54" t="s">
        <v>191</v>
      </c>
      <c r="AO15542" s="54">
        <v>9</v>
      </c>
      <c r="AP15542" s="54">
        <v>12</v>
      </c>
      <c r="AQ15542" s="54">
        <v>12394.5</v>
      </c>
      <c r="AR15542" s="55">
        <v>28500</v>
      </c>
      <c r="AS15542" s="78">
        <f t="shared" si="246"/>
        <v>0.43489473684210528</v>
      </c>
    </row>
    <row r="15543" spans="39:45">
      <c r="AM15543" s="55">
        <v>2020</v>
      </c>
      <c r="AN15543" s="55" t="s">
        <v>191</v>
      </c>
      <c r="AO15543" s="55">
        <v>9</v>
      </c>
      <c r="AP15543" s="55">
        <v>13</v>
      </c>
      <c r="AQ15543" s="55">
        <v>7775</v>
      </c>
      <c r="AR15543" s="55">
        <v>28500</v>
      </c>
      <c r="AS15543" s="78">
        <f t="shared" si="246"/>
        <v>0.27280701754385966</v>
      </c>
    </row>
    <row r="15544" spans="39:45">
      <c r="AM15544" s="54">
        <v>2020</v>
      </c>
      <c r="AN15544" s="54" t="s">
        <v>191</v>
      </c>
      <c r="AO15544" s="54">
        <v>9</v>
      </c>
      <c r="AP15544" s="54">
        <v>14</v>
      </c>
      <c r="AQ15544" s="54">
        <v>6457</v>
      </c>
      <c r="AR15544" s="55">
        <v>28500</v>
      </c>
      <c r="AS15544" s="78">
        <f t="shared" si="246"/>
        <v>0.22656140350877194</v>
      </c>
    </row>
    <row r="15545" spans="39:45">
      <c r="AM15545" s="55">
        <v>2020</v>
      </c>
      <c r="AN15545" s="55" t="s">
        <v>191</v>
      </c>
      <c r="AO15545" s="55">
        <v>9</v>
      </c>
      <c r="AP15545" s="55">
        <v>15</v>
      </c>
      <c r="AQ15545" s="55">
        <v>4744</v>
      </c>
      <c r="AR15545" s="55">
        <v>28500</v>
      </c>
      <c r="AS15545" s="78">
        <f t="shared" si="246"/>
        <v>0.16645614035087719</v>
      </c>
    </row>
    <row r="15546" spans="39:45">
      <c r="AM15546" s="54">
        <v>2020</v>
      </c>
      <c r="AN15546" s="54" t="s">
        <v>191</v>
      </c>
      <c r="AO15546" s="54">
        <v>9</v>
      </c>
      <c r="AP15546" s="54">
        <v>16</v>
      </c>
      <c r="AQ15546" s="54">
        <v>2437.5</v>
      </c>
      <c r="AR15546" s="55">
        <v>28500</v>
      </c>
      <c r="AS15546" s="78">
        <f t="shared" si="246"/>
        <v>8.5526315789473686E-2</v>
      </c>
    </row>
    <row r="15547" spans="39:45">
      <c r="AM15547" s="55">
        <v>2020</v>
      </c>
      <c r="AN15547" s="55" t="s">
        <v>191</v>
      </c>
      <c r="AO15547" s="55">
        <v>9</v>
      </c>
      <c r="AP15547" s="55">
        <v>17</v>
      </c>
      <c r="AQ15547" s="55">
        <v>0</v>
      </c>
      <c r="AR15547" s="55">
        <v>28500</v>
      </c>
      <c r="AS15547" s="78">
        <f t="shared" si="246"/>
        <v>0</v>
      </c>
    </row>
    <row r="15548" spans="39:45">
      <c r="AM15548" s="54">
        <v>2020</v>
      </c>
      <c r="AN15548" s="54" t="s">
        <v>191</v>
      </c>
      <c r="AO15548" s="54">
        <v>9</v>
      </c>
      <c r="AP15548" s="54">
        <v>18</v>
      </c>
      <c r="AQ15548" s="54">
        <v>0</v>
      </c>
      <c r="AR15548" s="55">
        <v>28500</v>
      </c>
      <c r="AS15548" s="78">
        <f t="shared" si="246"/>
        <v>0</v>
      </c>
    </row>
    <row r="15549" spans="39:45">
      <c r="AM15549" s="55">
        <v>2020</v>
      </c>
      <c r="AN15549" s="55" t="s">
        <v>191</v>
      </c>
      <c r="AO15549" s="55">
        <v>9</v>
      </c>
      <c r="AP15549" s="55">
        <v>19</v>
      </c>
      <c r="AQ15549" s="55">
        <v>0</v>
      </c>
      <c r="AR15549" s="55">
        <v>28500</v>
      </c>
      <c r="AS15549" s="78">
        <f t="shared" si="246"/>
        <v>0</v>
      </c>
    </row>
    <row r="15550" spans="39:45">
      <c r="AM15550" s="54">
        <v>2020</v>
      </c>
      <c r="AN15550" s="54" t="s">
        <v>191</v>
      </c>
      <c r="AO15550" s="54">
        <v>9</v>
      </c>
      <c r="AP15550" s="54">
        <v>20</v>
      </c>
      <c r="AQ15550" s="54">
        <v>0</v>
      </c>
      <c r="AR15550" s="55">
        <v>28500</v>
      </c>
      <c r="AS15550" s="78">
        <f t="shared" si="246"/>
        <v>0</v>
      </c>
    </row>
    <row r="15551" spans="39:45">
      <c r="AM15551" s="55">
        <v>2020</v>
      </c>
      <c r="AN15551" s="55" t="s">
        <v>191</v>
      </c>
      <c r="AO15551" s="55">
        <v>9</v>
      </c>
      <c r="AP15551" s="55">
        <v>21</v>
      </c>
      <c r="AQ15551" s="55">
        <v>0</v>
      </c>
      <c r="AR15551" s="55">
        <v>28500</v>
      </c>
      <c r="AS15551" s="78">
        <f t="shared" si="246"/>
        <v>0</v>
      </c>
    </row>
    <row r="15552" spans="39:45">
      <c r="AM15552" s="54">
        <v>2020</v>
      </c>
      <c r="AN15552" s="54" t="s">
        <v>191</v>
      </c>
      <c r="AO15552" s="54">
        <v>9</v>
      </c>
      <c r="AP15552" s="54">
        <v>22</v>
      </c>
      <c r="AQ15552" s="54">
        <v>0</v>
      </c>
      <c r="AR15552" s="55">
        <v>28500</v>
      </c>
      <c r="AS15552" s="78">
        <f t="shared" si="246"/>
        <v>0</v>
      </c>
    </row>
    <row r="15553" spans="39:45">
      <c r="AM15553" s="55">
        <v>2020</v>
      </c>
      <c r="AN15553" s="55" t="s">
        <v>191</v>
      </c>
      <c r="AO15553" s="55">
        <v>9</v>
      </c>
      <c r="AP15553" s="55">
        <v>23</v>
      </c>
      <c r="AQ15553" s="55">
        <v>0</v>
      </c>
      <c r="AR15553" s="55">
        <v>28500</v>
      </c>
      <c r="AS15553" s="78">
        <f t="shared" si="246"/>
        <v>0</v>
      </c>
    </row>
    <row r="15554" spans="39:45">
      <c r="AM15554" s="54">
        <v>2020</v>
      </c>
      <c r="AN15554" s="54" t="s">
        <v>191</v>
      </c>
      <c r="AO15554" s="54">
        <v>10</v>
      </c>
      <c r="AP15554" s="54">
        <v>24</v>
      </c>
      <c r="AQ15554" s="54">
        <v>0</v>
      </c>
      <c r="AR15554" s="55">
        <v>28500</v>
      </c>
      <c r="AS15554" s="78">
        <f t="shared" ref="AS15554:AS15617" si="247">AQ15554/AR15554</f>
        <v>0</v>
      </c>
    </row>
    <row r="15555" spans="39:45">
      <c r="AM15555" s="55">
        <v>2020</v>
      </c>
      <c r="AN15555" s="55" t="s">
        <v>191</v>
      </c>
      <c r="AO15555" s="55">
        <v>10</v>
      </c>
      <c r="AP15555" s="55">
        <v>1</v>
      </c>
      <c r="AQ15555" s="55">
        <v>0</v>
      </c>
      <c r="AR15555" s="55">
        <v>28500</v>
      </c>
      <c r="AS15555" s="78">
        <f t="shared" si="247"/>
        <v>0</v>
      </c>
    </row>
    <row r="15556" spans="39:45">
      <c r="AM15556" s="54">
        <v>2020</v>
      </c>
      <c r="AN15556" s="54" t="s">
        <v>191</v>
      </c>
      <c r="AO15556" s="54">
        <v>10</v>
      </c>
      <c r="AP15556" s="54">
        <v>2</v>
      </c>
      <c r="AQ15556" s="54">
        <v>0</v>
      </c>
      <c r="AR15556" s="55">
        <v>28500</v>
      </c>
      <c r="AS15556" s="78">
        <f t="shared" si="247"/>
        <v>0</v>
      </c>
    </row>
    <row r="15557" spans="39:45">
      <c r="AM15557" s="55">
        <v>2020</v>
      </c>
      <c r="AN15557" s="55" t="s">
        <v>191</v>
      </c>
      <c r="AO15557" s="55">
        <v>10</v>
      </c>
      <c r="AP15557" s="55">
        <v>3</v>
      </c>
      <c r="AQ15557" s="55">
        <v>0</v>
      </c>
      <c r="AR15557" s="55">
        <v>28500</v>
      </c>
      <c r="AS15557" s="78">
        <f t="shared" si="247"/>
        <v>0</v>
      </c>
    </row>
    <row r="15558" spans="39:45">
      <c r="AM15558" s="54">
        <v>2020</v>
      </c>
      <c r="AN15558" s="54" t="s">
        <v>191</v>
      </c>
      <c r="AO15558" s="54">
        <v>10</v>
      </c>
      <c r="AP15558" s="54">
        <v>4</v>
      </c>
      <c r="AQ15558" s="54">
        <v>0</v>
      </c>
      <c r="AR15558" s="55">
        <v>28500</v>
      </c>
      <c r="AS15558" s="78">
        <f t="shared" si="247"/>
        <v>0</v>
      </c>
    </row>
    <row r="15559" spans="39:45">
      <c r="AM15559" s="55">
        <v>2020</v>
      </c>
      <c r="AN15559" s="55" t="s">
        <v>191</v>
      </c>
      <c r="AO15559" s="55">
        <v>10</v>
      </c>
      <c r="AP15559" s="55">
        <v>5</v>
      </c>
      <c r="AQ15559" s="55">
        <v>0</v>
      </c>
      <c r="AR15559" s="55">
        <v>28500</v>
      </c>
      <c r="AS15559" s="78">
        <f t="shared" si="247"/>
        <v>0</v>
      </c>
    </row>
    <row r="15560" spans="39:45">
      <c r="AM15560" s="54">
        <v>2020</v>
      </c>
      <c r="AN15560" s="54" t="s">
        <v>191</v>
      </c>
      <c r="AO15560" s="54">
        <v>10</v>
      </c>
      <c r="AP15560" s="54">
        <v>6</v>
      </c>
      <c r="AQ15560" s="54">
        <v>0</v>
      </c>
      <c r="AR15560" s="55">
        <v>28500</v>
      </c>
      <c r="AS15560" s="78">
        <f t="shared" si="247"/>
        <v>0</v>
      </c>
    </row>
    <row r="15561" spans="39:45">
      <c r="AM15561" s="55">
        <v>2020</v>
      </c>
      <c r="AN15561" s="55" t="s">
        <v>191</v>
      </c>
      <c r="AO15561" s="55">
        <v>10</v>
      </c>
      <c r="AP15561" s="55">
        <v>7</v>
      </c>
      <c r="AQ15561" s="55">
        <v>4637</v>
      </c>
      <c r="AR15561" s="55">
        <v>28500</v>
      </c>
      <c r="AS15561" s="78">
        <f t="shared" si="247"/>
        <v>0.1627017543859649</v>
      </c>
    </row>
    <row r="15562" spans="39:45">
      <c r="AM15562" s="54">
        <v>2020</v>
      </c>
      <c r="AN15562" s="54" t="s">
        <v>191</v>
      </c>
      <c r="AO15562" s="54">
        <v>10</v>
      </c>
      <c r="AP15562" s="54">
        <v>8</v>
      </c>
      <c r="AQ15562" s="54">
        <v>15627</v>
      </c>
      <c r="AR15562" s="55">
        <v>28500</v>
      </c>
      <c r="AS15562" s="78">
        <f t="shared" si="247"/>
        <v>0.5483157894736842</v>
      </c>
    </row>
    <row r="15563" spans="39:45">
      <c r="AM15563" s="55">
        <v>2020</v>
      </c>
      <c r="AN15563" s="55" t="s">
        <v>191</v>
      </c>
      <c r="AO15563" s="55">
        <v>10</v>
      </c>
      <c r="AP15563" s="55">
        <v>9</v>
      </c>
      <c r="AQ15563" s="55">
        <v>12786</v>
      </c>
      <c r="AR15563" s="55">
        <v>28500</v>
      </c>
      <c r="AS15563" s="78">
        <f t="shared" si="247"/>
        <v>0.44863157894736844</v>
      </c>
    </row>
    <row r="15564" spans="39:45">
      <c r="AM15564" s="54">
        <v>2020</v>
      </c>
      <c r="AN15564" s="54" t="s">
        <v>191</v>
      </c>
      <c r="AO15564" s="54">
        <v>10</v>
      </c>
      <c r="AP15564" s="54">
        <v>10</v>
      </c>
      <c r="AQ15564" s="54">
        <v>7451</v>
      </c>
      <c r="AR15564" s="55">
        <v>28500</v>
      </c>
      <c r="AS15564" s="78">
        <f t="shared" si="247"/>
        <v>0.26143859649122808</v>
      </c>
    </row>
    <row r="15565" spans="39:45">
      <c r="AM15565" s="55">
        <v>2020</v>
      </c>
      <c r="AN15565" s="55" t="s">
        <v>191</v>
      </c>
      <c r="AO15565" s="55">
        <v>10</v>
      </c>
      <c r="AP15565" s="55">
        <v>11</v>
      </c>
      <c r="AQ15565" s="55">
        <v>11584.5</v>
      </c>
      <c r="AR15565" s="55">
        <v>28500</v>
      </c>
      <c r="AS15565" s="78">
        <f t="shared" si="247"/>
        <v>0.40647368421052632</v>
      </c>
    </row>
    <row r="15566" spans="39:45">
      <c r="AM15566" s="54">
        <v>2020</v>
      </c>
      <c r="AN15566" s="54" t="s">
        <v>191</v>
      </c>
      <c r="AO15566" s="54">
        <v>10</v>
      </c>
      <c r="AP15566" s="54">
        <v>12</v>
      </c>
      <c r="AQ15566" s="54">
        <v>3277</v>
      </c>
      <c r="AR15566" s="55">
        <v>28500</v>
      </c>
      <c r="AS15566" s="78">
        <f t="shared" si="247"/>
        <v>0.11498245614035088</v>
      </c>
    </row>
    <row r="15567" spans="39:45">
      <c r="AM15567" s="55">
        <v>2020</v>
      </c>
      <c r="AN15567" s="55" t="s">
        <v>191</v>
      </c>
      <c r="AO15567" s="55">
        <v>10</v>
      </c>
      <c r="AP15567" s="55">
        <v>13</v>
      </c>
      <c r="AQ15567" s="55">
        <v>1771</v>
      </c>
      <c r="AR15567" s="55">
        <v>28500</v>
      </c>
      <c r="AS15567" s="78">
        <f t="shared" si="247"/>
        <v>6.2140350877192982E-2</v>
      </c>
    </row>
    <row r="15568" spans="39:45">
      <c r="AM15568" s="54">
        <v>2020</v>
      </c>
      <c r="AN15568" s="54" t="s">
        <v>191</v>
      </c>
      <c r="AO15568" s="54">
        <v>10</v>
      </c>
      <c r="AP15568" s="54">
        <v>14</v>
      </c>
      <c r="AQ15568" s="54">
        <v>4747.5</v>
      </c>
      <c r="AR15568" s="55">
        <v>28500</v>
      </c>
      <c r="AS15568" s="78">
        <f t="shared" si="247"/>
        <v>0.16657894736842105</v>
      </c>
    </row>
    <row r="15569" spans="39:45">
      <c r="AM15569" s="55">
        <v>2020</v>
      </c>
      <c r="AN15569" s="55" t="s">
        <v>191</v>
      </c>
      <c r="AO15569" s="55">
        <v>10</v>
      </c>
      <c r="AP15569" s="55">
        <v>15</v>
      </c>
      <c r="AQ15569" s="55">
        <v>2172</v>
      </c>
      <c r="AR15569" s="55">
        <v>28500</v>
      </c>
      <c r="AS15569" s="78">
        <f t="shared" si="247"/>
        <v>7.6210526315789479E-2</v>
      </c>
    </row>
    <row r="15570" spans="39:45">
      <c r="AM15570" s="54">
        <v>2020</v>
      </c>
      <c r="AN15570" s="54" t="s">
        <v>191</v>
      </c>
      <c r="AO15570" s="54">
        <v>10</v>
      </c>
      <c r="AP15570" s="54">
        <v>16</v>
      </c>
      <c r="AQ15570" s="54">
        <v>2677.5</v>
      </c>
      <c r="AR15570" s="55">
        <v>28500</v>
      </c>
      <c r="AS15570" s="78">
        <f t="shared" si="247"/>
        <v>9.3947368421052627E-2</v>
      </c>
    </row>
    <row r="15571" spans="39:45">
      <c r="AM15571" s="55">
        <v>2020</v>
      </c>
      <c r="AN15571" s="55" t="s">
        <v>191</v>
      </c>
      <c r="AO15571" s="55">
        <v>10</v>
      </c>
      <c r="AP15571" s="55">
        <v>17</v>
      </c>
      <c r="AQ15571" s="55">
        <v>0</v>
      </c>
      <c r="AR15571" s="55">
        <v>28500</v>
      </c>
      <c r="AS15571" s="78">
        <f t="shared" si="247"/>
        <v>0</v>
      </c>
    </row>
    <row r="15572" spans="39:45">
      <c r="AM15572" s="54">
        <v>2020</v>
      </c>
      <c r="AN15572" s="54" t="s">
        <v>191</v>
      </c>
      <c r="AO15572" s="54">
        <v>10</v>
      </c>
      <c r="AP15572" s="54">
        <v>18</v>
      </c>
      <c r="AQ15572" s="54">
        <v>0</v>
      </c>
      <c r="AR15572" s="55">
        <v>28500</v>
      </c>
      <c r="AS15572" s="78">
        <f t="shared" si="247"/>
        <v>0</v>
      </c>
    </row>
    <row r="15573" spans="39:45">
      <c r="AM15573" s="55">
        <v>2020</v>
      </c>
      <c r="AN15573" s="55" t="s">
        <v>191</v>
      </c>
      <c r="AO15573" s="55">
        <v>10</v>
      </c>
      <c r="AP15573" s="55">
        <v>19</v>
      </c>
      <c r="AQ15573" s="55">
        <v>0</v>
      </c>
      <c r="AR15573" s="55">
        <v>28500</v>
      </c>
      <c r="AS15573" s="78">
        <f t="shared" si="247"/>
        <v>0</v>
      </c>
    </row>
    <row r="15574" spans="39:45">
      <c r="AM15574" s="54">
        <v>2020</v>
      </c>
      <c r="AN15574" s="54" t="s">
        <v>191</v>
      </c>
      <c r="AO15574" s="54">
        <v>10</v>
      </c>
      <c r="AP15574" s="54">
        <v>20</v>
      </c>
      <c r="AQ15574" s="54">
        <v>0</v>
      </c>
      <c r="AR15574" s="55">
        <v>28500</v>
      </c>
      <c r="AS15574" s="78">
        <f t="shared" si="247"/>
        <v>0</v>
      </c>
    </row>
    <row r="15575" spans="39:45">
      <c r="AM15575" s="55">
        <v>2020</v>
      </c>
      <c r="AN15575" s="55" t="s">
        <v>191</v>
      </c>
      <c r="AO15575" s="55">
        <v>10</v>
      </c>
      <c r="AP15575" s="55">
        <v>21</v>
      </c>
      <c r="AQ15575" s="55">
        <v>0</v>
      </c>
      <c r="AR15575" s="55">
        <v>28500</v>
      </c>
      <c r="AS15575" s="78">
        <f t="shared" si="247"/>
        <v>0</v>
      </c>
    </row>
    <row r="15576" spans="39:45">
      <c r="AM15576" s="54">
        <v>2020</v>
      </c>
      <c r="AN15576" s="54" t="s">
        <v>191</v>
      </c>
      <c r="AO15576" s="54">
        <v>10</v>
      </c>
      <c r="AP15576" s="54">
        <v>22</v>
      </c>
      <c r="AQ15576" s="54">
        <v>0</v>
      </c>
      <c r="AR15576" s="55">
        <v>28500</v>
      </c>
      <c r="AS15576" s="78">
        <f t="shared" si="247"/>
        <v>0</v>
      </c>
    </row>
    <row r="15577" spans="39:45">
      <c r="AM15577" s="55">
        <v>2020</v>
      </c>
      <c r="AN15577" s="55" t="s">
        <v>191</v>
      </c>
      <c r="AO15577" s="55">
        <v>10</v>
      </c>
      <c r="AP15577" s="55">
        <v>23</v>
      </c>
      <c r="AQ15577" s="55">
        <v>0</v>
      </c>
      <c r="AR15577" s="55">
        <v>28500</v>
      </c>
      <c r="AS15577" s="78">
        <f t="shared" si="247"/>
        <v>0</v>
      </c>
    </row>
    <row r="15578" spans="39:45">
      <c r="AM15578" s="54">
        <v>2020</v>
      </c>
      <c r="AN15578" s="54" t="s">
        <v>191</v>
      </c>
      <c r="AO15578" s="54">
        <v>11</v>
      </c>
      <c r="AP15578" s="54">
        <v>24</v>
      </c>
      <c r="AQ15578" s="54">
        <v>0</v>
      </c>
      <c r="AR15578" s="55">
        <v>28500</v>
      </c>
      <c r="AS15578" s="78">
        <f t="shared" si="247"/>
        <v>0</v>
      </c>
    </row>
    <row r="15579" spans="39:45">
      <c r="AM15579" s="55">
        <v>2020</v>
      </c>
      <c r="AN15579" s="55" t="s">
        <v>191</v>
      </c>
      <c r="AO15579" s="55">
        <v>11</v>
      </c>
      <c r="AP15579" s="55">
        <v>1</v>
      </c>
      <c r="AQ15579" s="55">
        <v>0</v>
      </c>
      <c r="AR15579" s="55">
        <v>28500</v>
      </c>
      <c r="AS15579" s="78">
        <f t="shared" si="247"/>
        <v>0</v>
      </c>
    </row>
    <row r="15580" spans="39:45">
      <c r="AM15580" s="54">
        <v>2020</v>
      </c>
      <c r="AN15580" s="54" t="s">
        <v>191</v>
      </c>
      <c r="AO15580" s="54">
        <v>11</v>
      </c>
      <c r="AP15580" s="54">
        <v>2</v>
      </c>
      <c r="AQ15580" s="54">
        <v>0</v>
      </c>
      <c r="AR15580" s="55">
        <v>28500</v>
      </c>
      <c r="AS15580" s="78">
        <f t="shared" si="247"/>
        <v>0</v>
      </c>
    </row>
    <row r="15581" spans="39:45">
      <c r="AM15581" s="55">
        <v>2020</v>
      </c>
      <c r="AN15581" s="55" t="s">
        <v>191</v>
      </c>
      <c r="AO15581" s="55">
        <v>11</v>
      </c>
      <c r="AP15581" s="55">
        <v>3</v>
      </c>
      <c r="AQ15581" s="55">
        <v>0</v>
      </c>
      <c r="AR15581" s="55">
        <v>28500</v>
      </c>
      <c r="AS15581" s="78">
        <f t="shared" si="247"/>
        <v>0</v>
      </c>
    </row>
    <row r="15582" spans="39:45">
      <c r="AM15582" s="54">
        <v>2020</v>
      </c>
      <c r="AN15582" s="54" t="s">
        <v>191</v>
      </c>
      <c r="AO15582" s="54">
        <v>11</v>
      </c>
      <c r="AP15582" s="54">
        <v>4</v>
      </c>
      <c r="AQ15582" s="54">
        <v>0</v>
      </c>
      <c r="AR15582" s="55">
        <v>28500</v>
      </c>
      <c r="AS15582" s="78">
        <f t="shared" si="247"/>
        <v>0</v>
      </c>
    </row>
    <row r="15583" spans="39:45">
      <c r="AM15583" s="55">
        <v>2020</v>
      </c>
      <c r="AN15583" s="55" t="s">
        <v>191</v>
      </c>
      <c r="AO15583" s="55">
        <v>11</v>
      </c>
      <c r="AP15583" s="55">
        <v>5</v>
      </c>
      <c r="AQ15583" s="55">
        <v>0</v>
      </c>
      <c r="AR15583" s="55">
        <v>28500</v>
      </c>
      <c r="AS15583" s="78">
        <f t="shared" si="247"/>
        <v>0</v>
      </c>
    </row>
    <row r="15584" spans="39:45">
      <c r="AM15584" s="54">
        <v>2020</v>
      </c>
      <c r="AN15584" s="54" t="s">
        <v>191</v>
      </c>
      <c r="AO15584" s="54">
        <v>11</v>
      </c>
      <c r="AP15584" s="54">
        <v>6</v>
      </c>
      <c r="AQ15584" s="54">
        <v>0</v>
      </c>
      <c r="AR15584" s="55">
        <v>28500</v>
      </c>
      <c r="AS15584" s="78">
        <f t="shared" si="247"/>
        <v>0</v>
      </c>
    </row>
    <row r="15585" spans="39:45">
      <c r="AM15585" s="55">
        <v>2020</v>
      </c>
      <c r="AN15585" s="55" t="s">
        <v>191</v>
      </c>
      <c r="AO15585" s="55">
        <v>11</v>
      </c>
      <c r="AP15585" s="55">
        <v>7</v>
      </c>
      <c r="AQ15585" s="55">
        <v>3995</v>
      </c>
      <c r="AR15585" s="55">
        <v>28500</v>
      </c>
      <c r="AS15585" s="78">
        <f t="shared" si="247"/>
        <v>0.14017543859649123</v>
      </c>
    </row>
    <row r="15586" spans="39:45">
      <c r="AM15586" s="54">
        <v>2020</v>
      </c>
      <c r="AN15586" s="54" t="s">
        <v>191</v>
      </c>
      <c r="AO15586" s="54">
        <v>11</v>
      </c>
      <c r="AP15586" s="54">
        <v>8</v>
      </c>
      <c r="AQ15586" s="54">
        <v>17566</v>
      </c>
      <c r="AR15586" s="55">
        <v>28500</v>
      </c>
      <c r="AS15586" s="78">
        <f t="shared" si="247"/>
        <v>0.61635087719298243</v>
      </c>
    </row>
    <row r="15587" spans="39:45">
      <c r="AM15587" s="55">
        <v>2020</v>
      </c>
      <c r="AN15587" s="55" t="s">
        <v>191</v>
      </c>
      <c r="AO15587" s="55">
        <v>11</v>
      </c>
      <c r="AP15587" s="55">
        <v>9</v>
      </c>
      <c r="AQ15587" s="55">
        <v>17133</v>
      </c>
      <c r="AR15587" s="55">
        <v>28500</v>
      </c>
      <c r="AS15587" s="78">
        <f t="shared" si="247"/>
        <v>0.60115789473684211</v>
      </c>
    </row>
    <row r="15588" spans="39:45">
      <c r="AM15588" s="54">
        <v>2020</v>
      </c>
      <c r="AN15588" s="54" t="s">
        <v>191</v>
      </c>
      <c r="AO15588" s="54">
        <v>11</v>
      </c>
      <c r="AP15588" s="54">
        <v>10</v>
      </c>
      <c r="AQ15588" s="54">
        <v>30826</v>
      </c>
      <c r="AR15588" s="55">
        <v>28500</v>
      </c>
      <c r="AS15588" s="78">
        <f t="shared" si="247"/>
        <v>1.0816140350877192</v>
      </c>
    </row>
    <row r="15589" spans="39:45">
      <c r="AM15589" s="55">
        <v>2020</v>
      </c>
      <c r="AN15589" s="55" t="s">
        <v>191</v>
      </c>
      <c r="AO15589" s="55">
        <v>11</v>
      </c>
      <c r="AP15589" s="55">
        <v>11</v>
      </c>
      <c r="AQ15589" s="55">
        <v>8162</v>
      </c>
      <c r="AR15589" s="55">
        <v>28500</v>
      </c>
      <c r="AS15589" s="78">
        <f t="shared" si="247"/>
        <v>0.28638596491228069</v>
      </c>
    </row>
    <row r="15590" spans="39:45">
      <c r="AM15590" s="54">
        <v>2020</v>
      </c>
      <c r="AN15590" s="54" t="s">
        <v>191</v>
      </c>
      <c r="AO15590" s="54">
        <v>11</v>
      </c>
      <c r="AP15590" s="54">
        <v>12</v>
      </c>
      <c r="AQ15590" s="54">
        <v>0</v>
      </c>
      <c r="AR15590" s="55">
        <v>28500</v>
      </c>
      <c r="AS15590" s="78">
        <f t="shared" si="247"/>
        <v>0</v>
      </c>
    </row>
    <row r="15591" spans="39:45">
      <c r="AM15591" s="55">
        <v>2020</v>
      </c>
      <c r="AN15591" s="55" t="s">
        <v>191</v>
      </c>
      <c r="AO15591" s="55">
        <v>11</v>
      </c>
      <c r="AP15591" s="55">
        <v>13</v>
      </c>
      <c r="AQ15591" s="55">
        <v>6080</v>
      </c>
      <c r="AR15591" s="55">
        <v>28500</v>
      </c>
      <c r="AS15591" s="78">
        <f t="shared" si="247"/>
        <v>0.21333333333333335</v>
      </c>
    </row>
    <row r="15592" spans="39:45">
      <c r="AM15592" s="54">
        <v>2020</v>
      </c>
      <c r="AN15592" s="54" t="s">
        <v>191</v>
      </c>
      <c r="AO15592" s="54">
        <v>11</v>
      </c>
      <c r="AP15592" s="54">
        <v>14</v>
      </c>
      <c r="AQ15592" s="54">
        <v>8208</v>
      </c>
      <c r="AR15592" s="55">
        <v>28500</v>
      </c>
      <c r="AS15592" s="78">
        <f t="shared" si="247"/>
        <v>0.28799999999999998</v>
      </c>
    </row>
    <row r="15593" spans="39:45">
      <c r="AM15593" s="55">
        <v>2020</v>
      </c>
      <c r="AN15593" s="55" t="s">
        <v>191</v>
      </c>
      <c r="AO15593" s="55">
        <v>11</v>
      </c>
      <c r="AP15593" s="55">
        <v>15</v>
      </c>
      <c r="AQ15593" s="55">
        <v>7444</v>
      </c>
      <c r="AR15593" s="55">
        <v>28500</v>
      </c>
      <c r="AS15593" s="78">
        <f t="shared" si="247"/>
        <v>0.26119298245614037</v>
      </c>
    </row>
    <row r="15594" spans="39:45">
      <c r="AM15594" s="54">
        <v>2020</v>
      </c>
      <c r="AN15594" s="54" t="s">
        <v>191</v>
      </c>
      <c r="AO15594" s="54">
        <v>11</v>
      </c>
      <c r="AP15594" s="54">
        <v>16</v>
      </c>
      <c r="AQ15594" s="54">
        <v>2370.5</v>
      </c>
      <c r="AR15594" s="55">
        <v>28500</v>
      </c>
      <c r="AS15594" s="78">
        <f t="shared" si="247"/>
        <v>8.3175438596491222E-2</v>
      </c>
    </row>
    <row r="15595" spans="39:45">
      <c r="AM15595" s="55">
        <v>2020</v>
      </c>
      <c r="AN15595" s="55" t="s">
        <v>191</v>
      </c>
      <c r="AO15595" s="55">
        <v>11</v>
      </c>
      <c r="AP15595" s="55">
        <v>17</v>
      </c>
      <c r="AQ15595" s="55">
        <v>0</v>
      </c>
      <c r="AR15595" s="55">
        <v>28500</v>
      </c>
      <c r="AS15595" s="78">
        <f t="shared" si="247"/>
        <v>0</v>
      </c>
    </row>
    <row r="15596" spans="39:45">
      <c r="AM15596" s="54">
        <v>2020</v>
      </c>
      <c r="AN15596" s="54" t="s">
        <v>191</v>
      </c>
      <c r="AO15596" s="54">
        <v>11</v>
      </c>
      <c r="AP15596" s="54">
        <v>18</v>
      </c>
      <c r="AQ15596" s="54">
        <v>0</v>
      </c>
      <c r="AR15596" s="55">
        <v>28500</v>
      </c>
      <c r="AS15596" s="78">
        <f t="shared" si="247"/>
        <v>0</v>
      </c>
    </row>
    <row r="15597" spans="39:45">
      <c r="AM15597" s="55">
        <v>2020</v>
      </c>
      <c r="AN15597" s="55" t="s">
        <v>191</v>
      </c>
      <c r="AO15597" s="55">
        <v>11</v>
      </c>
      <c r="AP15597" s="55">
        <v>19</v>
      </c>
      <c r="AQ15597" s="55">
        <v>0</v>
      </c>
      <c r="AR15597" s="55">
        <v>28500</v>
      </c>
      <c r="AS15597" s="78">
        <f t="shared" si="247"/>
        <v>0</v>
      </c>
    </row>
    <row r="15598" spans="39:45">
      <c r="AM15598" s="54">
        <v>2020</v>
      </c>
      <c r="AN15598" s="54" t="s">
        <v>191</v>
      </c>
      <c r="AO15598" s="54">
        <v>11</v>
      </c>
      <c r="AP15598" s="54">
        <v>20</v>
      </c>
      <c r="AQ15598" s="54">
        <v>0</v>
      </c>
      <c r="AR15598" s="55">
        <v>28500</v>
      </c>
      <c r="AS15598" s="78">
        <f t="shared" si="247"/>
        <v>0</v>
      </c>
    </row>
    <row r="15599" spans="39:45">
      <c r="AM15599" s="55">
        <v>2020</v>
      </c>
      <c r="AN15599" s="55" t="s">
        <v>191</v>
      </c>
      <c r="AO15599" s="55">
        <v>11</v>
      </c>
      <c r="AP15599" s="55">
        <v>21</v>
      </c>
      <c r="AQ15599" s="55">
        <v>0</v>
      </c>
      <c r="AR15599" s="55">
        <v>28500</v>
      </c>
      <c r="AS15599" s="78">
        <f t="shared" si="247"/>
        <v>0</v>
      </c>
    </row>
    <row r="15600" spans="39:45">
      <c r="AM15600" s="54">
        <v>2020</v>
      </c>
      <c r="AN15600" s="54" t="s">
        <v>191</v>
      </c>
      <c r="AO15600" s="54">
        <v>11</v>
      </c>
      <c r="AP15600" s="54">
        <v>22</v>
      </c>
      <c r="AQ15600" s="54">
        <v>0</v>
      </c>
      <c r="AR15600" s="55">
        <v>28500</v>
      </c>
      <c r="AS15600" s="78">
        <f t="shared" si="247"/>
        <v>0</v>
      </c>
    </row>
    <row r="15601" spans="39:45">
      <c r="AM15601" s="55">
        <v>2020</v>
      </c>
      <c r="AN15601" s="55" t="s">
        <v>191</v>
      </c>
      <c r="AO15601" s="55">
        <v>11</v>
      </c>
      <c r="AP15601" s="55">
        <v>23</v>
      </c>
      <c r="AQ15601" s="55">
        <v>0</v>
      </c>
      <c r="AR15601" s="55">
        <v>28500</v>
      </c>
      <c r="AS15601" s="78">
        <f t="shared" si="247"/>
        <v>0</v>
      </c>
    </row>
    <row r="15602" spans="39:45">
      <c r="AM15602" s="54">
        <v>2020</v>
      </c>
      <c r="AN15602" s="54" t="s">
        <v>191</v>
      </c>
      <c r="AO15602" s="54">
        <v>12</v>
      </c>
      <c r="AP15602" s="54">
        <v>24</v>
      </c>
      <c r="AQ15602" s="54">
        <v>0</v>
      </c>
      <c r="AR15602" s="55">
        <v>28500</v>
      </c>
      <c r="AS15602" s="78">
        <f t="shared" si="247"/>
        <v>0</v>
      </c>
    </row>
    <row r="15603" spans="39:45">
      <c r="AM15603" s="55">
        <v>2020</v>
      </c>
      <c r="AN15603" s="55" t="s">
        <v>191</v>
      </c>
      <c r="AO15603" s="55">
        <v>12</v>
      </c>
      <c r="AP15603" s="55">
        <v>1</v>
      </c>
      <c r="AQ15603" s="55">
        <v>0</v>
      </c>
      <c r="AR15603" s="55">
        <v>28500</v>
      </c>
      <c r="AS15603" s="78">
        <f t="shared" si="247"/>
        <v>0</v>
      </c>
    </row>
    <row r="15604" spans="39:45">
      <c r="AM15604" s="54">
        <v>2020</v>
      </c>
      <c r="AN15604" s="54" t="s">
        <v>191</v>
      </c>
      <c r="AO15604" s="54">
        <v>12</v>
      </c>
      <c r="AP15604" s="54">
        <v>2</v>
      </c>
      <c r="AQ15604" s="54">
        <v>0</v>
      </c>
      <c r="AR15604" s="55">
        <v>28500</v>
      </c>
      <c r="AS15604" s="78">
        <f t="shared" si="247"/>
        <v>0</v>
      </c>
    </row>
    <row r="15605" spans="39:45">
      <c r="AM15605" s="55">
        <v>2020</v>
      </c>
      <c r="AN15605" s="55" t="s">
        <v>191</v>
      </c>
      <c r="AO15605" s="55">
        <v>12</v>
      </c>
      <c r="AP15605" s="55">
        <v>3</v>
      </c>
      <c r="AQ15605" s="55">
        <v>0</v>
      </c>
      <c r="AR15605" s="55">
        <v>28500</v>
      </c>
      <c r="AS15605" s="78">
        <f t="shared" si="247"/>
        <v>0</v>
      </c>
    </row>
    <row r="15606" spans="39:45">
      <c r="AM15606" s="54">
        <v>2020</v>
      </c>
      <c r="AN15606" s="54" t="s">
        <v>191</v>
      </c>
      <c r="AO15606" s="54">
        <v>12</v>
      </c>
      <c r="AP15606" s="54">
        <v>4</v>
      </c>
      <c r="AQ15606" s="54">
        <v>0</v>
      </c>
      <c r="AR15606" s="55">
        <v>28500</v>
      </c>
      <c r="AS15606" s="78">
        <f t="shared" si="247"/>
        <v>0</v>
      </c>
    </row>
    <row r="15607" spans="39:45">
      <c r="AM15607" s="55">
        <v>2020</v>
      </c>
      <c r="AN15607" s="55" t="s">
        <v>191</v>
      </c>
      <c r="AO15607" s="55">
        <v>12</v>
      </c>
      <c r="AP15607" s="55">
        <v>5</v>
      </c>
      <c r="AQ15607" s="55">
        <v>0</v>
      </c>
      <c r="AR15607" s="55">
        <v>28500</v>
      </c>
      <c r="AS15607" s="78">
        <f t="shared" si="247"/>
        <v>0</v>
      </c>
    </row>
    <row r="15608" spans="39:45">
      <c r="AM15608" s="54">
        <v>2020</v>
      </c>
      <c r="AN15608" s="54" t="s">
        <v>191</v>
      </c>
      <c r="AO15608" s="54">
        <v>12</v>
      </c>
      <c r="AP15608" s="54">
        <v>6</v>
      </c>
      <c r="AQ15608" s="54">
        <v>0</v>
      </c>
      <c r="AR15608" s="55">
        <v>28500</v>
      </c>
      <c r="AS15608" s="78">
        <f t="shared" si="247"/>
        <v>0</v>
      </c>
    </row>
    <row r="15609" spans="39:45">
      <c r="AM15609" s="55">
        <v>2020</v>
      </c>
      <c r="AN15609" s="55" t="s">
        <v>191</v>
      </c>
      <c r="AO15609" s="55">
        <v>12</v>
      </c>
      <c r="AP15609" s="55">
        <v>7</v>
      </c>
      <c r="AQ15609" s="55">
        <v>2938.5</v>
      </c>
      <c r="AR15609" s="55">
        <v>28500</v>
      </c>
      <c r="AS15609" s="78">
        <f t="shared" si="247"/>
        <v>0.10310526315789474</v>
      </c>
    </row>
    <row r="15610" spans="39:45">
      <c r="AM15610" s="54">
        <v>2020</v>
      </c>
      <c r="AN15610" s="54" t="s">
        <v>191</v>
      </c>
      <c r="AO15610" s="54">
        <v>12</v>
      </c>
      <c r="AP15610" s="54">
        <v>8</v>
      </c>
      <c r="AQ15610" s="54">
        <v>1728.5</v>
      </c>
      <c r="AR15610" s="55">
        <v>28500</v>
      </c>
      <c r="AS15610" s="78">
        <f t="shared" si="247"/>
        <v>6.0649122807017543E-2</v>
      </c>
    </row>
    <row r="15611" spans="39:45">
      <c r="AM15611" s="55">
        <v>2020</v>
      </c>
      <c r="AN15611" s="55" t="s">
        <v>191</v>
      </c>
      <c r="AO15611" s="55">
        <v>12</v>
      </c>
      <c r="AP15611" s="55">
        <v>9</v>
      </c>
      <c r="AQ15611" s="55">
        <v>2576</v>
      </c>
      <c r="AR15611" s="55">
        <v>28500</v>
      </c>
      <c r="AS15611" s="78">
        <f t="shared" si="247"/>
        <v>9.0385964912280709E-2</v>
      </c>
    </row>
    <row r="15612" spans="39:45">
      <c r="AM15612" s="54">
        <v>2020</v>
      </c>
      <c r="AN15612" s="54" t="s">
        <v>191</v>
      </c>
      <c r="AO15612" s="54">
        <v>12</v>
      </c>
      <c r="AP15612" s="54">
        <v>10</v>
      </c>
      <c r="AQ15612" s="54">
        <v>8487</v>
      </c>
      <c r="AR15612" s="55">
        <v>28500</v>
      </c>
      <c r="AS15612" s="78">
        <f t="shared" si="247"/>
        <v>0.29778947368421055</v>
      </c>
    </row>
    <row r="15613" spans="39:45">
      <c r="AM15613" s="55">
        <v>2020</v>
      </c>
      <c r="AN15613" s="55" t="s">
        <v>191</v>
      </c>
      <c r="AO15613" s="55">
        <v>12</v>
      </c>
      <c r="AP15613" s="55">
        <v>11</v>
      </c>
      <c r="AQ15613" s="55">
        <v>8585.5</v>
      </c>
      <c r="AR15613" s="55">
        <v>28500</v>
      </c>
      <c r="AS15613" s="78">
        <f t="shared" si="247"/>
        <v>0.30124561403508771</v>
      </c>
    </row>
    <row r="15614" spans="39:45">
      <c r="AM15614" s="54">
        <v>2020</v>
      </c>
      <c r="AN15614" s="54" t="s">
        <v>191</v>
      </c>
      <c r="AO15614" s="54">
        <v>12</v>
      </c>
      <c r="AP15614" s="54">
        <v>12</v>
      </c>
      <c r="AQ15614" s="54">
        <v>6389</v>
      </c>
      <c r="AR15614" s="55">
        <v>28500</v>
      </c>
      <c r="AS15614" s="78">
        <f t="shared" si="247"/>
        <v>0.22417543859649122</v>
      </c>
    </row>
    <row r="15615" spans="39:45">
      <c r="AM15615" s="55">
        <v>2020</v>
      </c>
      <c r="AN15615" s="55" t="s">
        <v>191</v>
      </c>
      <c r="AO15615" s="55">
        <v>12</v>
      </c>
      <c r="AP15615" s="55">
        <v>13</v>
      </c>
      <c r="AQ15615" s="55">
        <v>9963</v>
      </c>
      <c r="AR15615" s="55">
        <v>28500</v>
      </c>
      <c r="AS15615" s="78">
        <f t="shared" si="247"/>
        <v>0.34957894736842104</v>
      </c>
    </row>
    <row r="15616" spans="39:45">
      <c r="AM15616" s="54">
        <v>2020</v>
      </c>
      <c r="AN15616" s="54" t="s">
        <v>191</v>
      </c>
      <c r="AO15616" s="54">
        <v>12</v>
      </c>
      <c r="AP15616" s="54">
        <v>14</v>
      </c>
      <c r="AQ15616" s="54">
        <v>725.5</v>
      </c>
      <c r="AR15616" s="55">
        <v>28500</v>
      </c>
      <c r="AS15616" s="78">
        <f t="shared" si="247"/>
        <v>2.5456140350877194E-2</v>
      </c>
    </row>
    <row r="15617" spans="39:45">
      <c r="AM15617" s="55">
        <v>2020</v>
      </c>
      <c r="AN15617" s="55" t="s">
        <v>191</v>
      </c>
      <c r="AO15617" s="55">
        <v>12</v>
      </c>
      <c r="AP15617" s="55">
        <v>15</v>
      </c>
      <c r="AQ15617" s="55">
        <v>2721.5</v>
      </c>
      <c r="AR15617" s="55">
        <v>28500</v>
      </c>
      <c r="AS15617" s="78">
        <f t="shared" si="247"/>
        <v>9.5491228070175432E-2</v>
      </c>
    </row>
    <row r="15618" spans="39:45">
      <c r="AM15618" s="54">
        <v>2020</v>
      </c>
      <c r="AN15618" s="54" t="s">
        <v>191</v>
      </c>
      <c r="AO15618" s="54">
        <v>12</v>
      </c>
      <c r="AP15618" s="54">
        <v>16</v>
      </c>
      <c r="AQ15618" s="54">
        <v>861</v>
      </c>
      <c r="AR15618" s="55">
        <v>28500</v>
      </c>
      <c r="AS15618" s="78">
        <f t="shared" ref="AS15618:AS15681" si="248">AQ15618/AR15618</f>
        <v>3.0210526315789472E-2</v>
      </c>
    </row>
    <row r="15619" spans="39:45">
      <c r="AM15619" s="55">
        <v>2020</v>
      </c>
      <c r="AN15619" s="55" t="s">
        <v>191</v>
      </c>
      <c r="AO15619" s="55">
        <v>12</v>
      </c>
      <c r="AP15619" s="55">
        <v>17</v>
      </c>
      <c r="AQ15619" s="55">
        <v>0</v>
      </c>
      <c r="AR15619" s="55">
        <v>28500</v>
      </c>
      <c r="AS15619" s="78">
        <f t="shared" si="248"/>
        <v>0</v>
      </c>
    </row>
    <row r="15620" spans="39:45">
      <c r="AM15620" s="54">
        <v>2020</v>
      </c>
      <c r="AN15620" s="54" t="s">
        <v>191</v>
      </c>
      <c r="AO15620" s="54">
        <v>12</v>
      </c>
      <c r="AP15620" s="54">
        <v>18</v>
      </c>
      <c r="AQ15620" s="54">
        <v>0</v>
      </c>
      <c r="AR15620" s="55">
        <v>28500</v>
      </c>
      <c r="AS15620" s="78">
        <f t="shared" si="248"/>
        <v>0</v>
      </c>
    </row>
    <row r="15621" spans="39:45">
      <c r="AM15621" s="55">
        <v>2020</v>
      </c>
      <c r="AN15621" s="55" t="s">
        <v>191</v>
      </c>
      <c r="AO15621" s="55">
        <v>12</v>
      </c>
      <c r="AP15621" s="55">
        <v>19</v>
      </c>
      <c r="AQ15621" s="55">
        <v>0</v>
      </c>
      <c r="AR15621" s="55">
        <v>28500</v>
      </c>
      <c r="AS15621" s="78">
        <f t="shared" si="248"/>
        <v>0</v>
      </c>
    </row>
    <row r="15622" spans="39:45">
      <c r="AM15622" s="54">
        <v>2020</v>
      </c>
      <c r="AN15622" s="54" t="s">
        <v>191</v>
      </c>
      <c r="AO15622" s="54">
        <v>12</v>
      </c>
      <c r="AP15622" s="54">
        <v>20</v>
      </c>
      <c r="AQ15622" s="54">
        <v>0</v>
      </c>
      <c r="AR15622" s="55">
        <v>28500</v>
      </c>
      <c r="AS15622" s="78">
        <f t="shared" si="248"/>
        <v>0</v>
      </c>
    </row>
    <row r="15623" spans="39:45">
      <c r="AM15623" s="55">
        <v>2020</v>
      </c>
      <c r="AN15623" s="55" t="s">
        <v>191</v>
      </c>
      <c r="AO15623" s="55">
        <v>12</v>
      </c>
      <c r="AP15623" s="55">
        <v>21</v>
      </c>
      <c r="AQ15623" s="55">
        <v>0</v>
      </c>
      <c r="AR15623" s="55">
        <v>28500</v>
      </c>
      <c r="AS15623" s="78">
        <f t="shared" si="248"/>
        <v>0</v>
      </c>
    </row>
    <row r="15624" spans="39:45">
      <c r="AM15624" s="54">
        <v>2020</v>
      </c>
      <c r="AN15624" s="54" t="s">
        <v>191</v>
      </c>
      <c r="AO15624" s="54">
        <v>12</v>
      </c>
      <c r="AP15624" s="54">
        <v>22</v>
      </c>
      <c r="AQ15624" s="54">
        <v>0</v>
      </c>
      <c r="AR15624" s="55">
        <v>28500</v>
      </c>
      <c r="AS15624" s="78">
        <f t="shared" si="248"/>
        <v>0</v>
      </c>
    </row>
    <row r="15625" spans="39:45">
      <c r="AM15625" s="55">
        <v>2020</v>
      </c>
      <c r="AN15625" s="55" t="s">
        <v>191</v>
      </c>
      <c r="AO15625" s="55">
        <v>12</v>
      </c>
      <c r="AP15625" s="55">
        <v>23</v>
      </c>
      <c r="AQ15625" s="55">
        <v>0</v>
      </c>
      <c r="AR15625" s="55">
        <v>28500</v>
      </c>
      <c r="AS15625" s="78">
        <f t="shared" si="248"/>
        <v>0</v>
      </c>
    </row>
    <row r="15626" spans="39:45">
      <c r="AM15626" s="54">
        <v>2020</v>
      </c>
      <c r="AN15626" s="54" t="s">
        <v>191</v>
      </c>
      <c r="AO15626" s="54">
        <v>13</v>
      </c>
      <c r="AP15626" s="54">
        <v>24</v>
      </c>
      <c r="AQ15626" s="54">
        <v>0</v>
      </c>
      <c r="AR15626" s="55">
        <v>28500</v>
      </c>
      <c r="AS15626" s="78">
        <f t="shared" si="248"/>
        <v>0</v>
      </c>
    </row>
    <row r="15627" spans="39:45">
      <c r="AM15627" s="55">
        <v>2020</v>
      </c>
      <c r="AN15627" s="55" t="s">
        <v>191</v>
      </c>
      <c r="AO15627" s="55">
        <v>13</v>
      </c>
      <c r="AP15627" s="55">
        <v>1</v>
      </c>
      <c r="AQ15627" s="55">
        <v>0</v>
      </c>
      <c r="AR15627" s="55">
        <v>28500</v>
      </c>
      <c r="AS15627" s="78">
        <f t="shared" si="248"/>
        <v>0</v>
      </c>
    </row>
    <row r="15628" spans="39:45">
      <c r="AM15628" s="54">
        <v>2020</v>
      </c>
      <c r="AN15628" s="54" t="s">
        <v>191</v>
      </c>
      <c r="AO15628" s="54">
        <v>13</v>
      </c>
      <c r="AP15628" s="54">
        <v>2</v>
      </c>
      <c r="AQ15628" s="54">
        <v>0</v>
      </c>
      <c r="AR15628" s="55">
        <v>28500</v>
      </c>
      <c r="AS15628" s="78">
        <f t="shared" si="248"/>
        <v>0</v>
      </c>
    </row>
    <row r="15629" spans="39:45">
      <c r="AM15629" s="55">
        <v>2020</v>
      </c>
      <c r="AN15629" s="55" t="s">
        <v>191</v>
      </c>
      <c r="AO15629" s="55">
        <v>13</v>
      </c>
      <c r="AP15629" s="55">
        <v>3</v>
      </c>
      <c r="AQ15629" s="55">
        <v>0</v>
      </c>
      <c r="AR15629" s="55">
        <v>28500</v>
      </c>
      <c r="AS15629" s="78">
        <f t="shared" si="248"/>
        <v>0</v>
      </c>
    </row>
    <row r="15630" spans="39:45">
      <c r="AM15630" s="54">
        <v>2020</v>
      </c>
      <c r="AN15630" s="54" t="s">
        <v>191</v>
      </c>
      <c r="AO15630" s="54">
        <v>13</v>
      </c>
      <c r="AP15630" s="54">
        <v>4</v>
      </c>
      <c r="AQ15630" s="54">
        <v>0</v>
      </c>
      <c r="AR15630" s="55">
        <v>28500</v>
      </c>
      <c r="AS15630" s="78">
        <f t="shared" si="248"/>
        <v>0</v>
      </c>
    </row>
    <row r="15631" spans="39:45">
      <c r="AM15631" s="55">
        <v>2020</v>
      </c>
      <c r="AN15631" s="55" t="s">
        <v>191</v>
      </c>
      <c r="AO15631" s="55">
        <v>13</v>
      </c>
      <c r="AP15631" s="55">
        <v>5</v>
      </c>
      <c r="AQ15631" s="55">
        <v>0</v>
      </c>
      <c r="AR15631" s="55">
        <v>28500</v>
      </c>
      <c r="AS15631" s="78">
        <f t="shared" si="248"/>
        <v>0</v>
      </c>
    </row>
    <row r="15632" spans="39:45">
      <c r="AM15632" s="54">
        <v>2020</v>
      </c>
      <c r="AN15632" s="54" t="s">
        <v>191</v>
      </c>
      <c r="AO15632" s="54">
        <v>13</v>
      </c>
      <c r="AP15632" s="54">
        <v>6</v>
      </c>
      <c r="AQ15632" s="54">
        <v>0</v>
      </c>
      <c r="AR15632" s="55">
        <v>28500</v>
      </c>
      <c r="AS15632" s="78">
        <f t="shared" si="248"/>
        <v>0</v>
      </c>
    </row>
    <row r="15633" spans="39:45">
      <c r="AM15633" s="55">
        <v>2020</v>
      </c>
      <c r="AN15633" s="55" t="s">
        <v>191</v>
      </c>
      <c r="AO15633" s="55">
        <v>13</v>
      </c>
      <c r="AP15633" s="55">
        <v>7</v>
      </c>
      <c r="AQ15633" s="55">
        <v>4683</v>
      </c>
      <c r="AR15633" s="55">
        <v>28500</v>
      </c>
      <c r="AS15633" s="78">
        <f t="shared" si="248"/>
        <v>0.16431578947368422</v>
      </c>
    </row>
    <row r="15634" spans="39:45">
      <c r="AM15634" s="54">
        <v>2020</v>
      </c>
      <c r="AN15634" s="54" t="s">
        <v>191</v>
      </c>
      <c r="AO15634" s="54">
        <v>13</v>
      </c>
      <c r="AP15634" s="54">
        <v>8</v>
      </c>
      <c r="AQ15634" s="54">
        <v>4189.5</v>
      </c>
      <c r="AR15634" s="55">
        <v>28500</v>
      </c>
      <c r="AS15634" s="78">
        <f t="shared" si="248"/>
        <v>0.14699999999999999</v>
      </c>
    </row>
    <row r="15635" spans="39:45">
      <c r="AM15635" s="55">
        <v>2020</v>
      </c>
      <c r="AN15635" s="55" t="s">
        <v>191</v>
      </c>
      <c r="AO15635" s="55">
        <v>13</v>
      </c>
      <c r="AP15635" s="55">
        <v>9</v>
      </c>
      <c r="AQ15635" s="55">
        <v>1363.5</v>
      </c>
      <c r="AR15635" s="55">
        <v>28500</v>
      </c>
      <c r="AS15635" s="78">
        <f t="shared" si="248"/>
        <v>4.7842105263157894E-2</v>
      </c>
    </row>
    <row r="15636" spans="39:45">
      <c r="AM15636" s="54">
        <v>2020</v>
      </c>
      <c r="AN15636" s="54" t="s">
        <v>191</v>
      </c>
      <c r="AO15636" s="54">
        <v>13</v>
      </c>
      <c r="AP15636" s="54">
        <v>10</v>
      </c>
      <c r="AQ15636" s="54">
        <v>3003</v>
      </c>
      <c r="AR15636" s="55">
        <v>28500</v>
      </c>
      <c r="AS15636" s="78">
        <f t="shared" si="248"/>
        <v>0.10536842105263158</v>
      </c>
    </row>
    <row r="15637" spans="39:45">
      <c r="AM15637" s="55">
        <v>2020</v>
      </c>
      <c r="AN15637" s="55" t="s">
        <v>191</v>
      </c>
      <c r="AO15637" s="55">
        <v>13</v>
      </c>
      <c r="AP15637" s="55">
        <v>11</v>
      </c>
      <c r="AQ15637" s="55">
        <v>4477.5</v>
      </c>
      <c r="AR15637" s="55">
        <v>28500</v>
      </c>
      <c r="AS15637" s="78">
        <f t="shared" si="248"/>
        <v>0.15710526315789475</v>
      </c>
    </row>
    <row r="15638" spans="39:45">
      <c r="AM15638" s="54">
        <v>2020</v>
      </c>
      <c r="AN15638" s="54" t="s">
        <v>191</v>
      </c>
      <c r="AO15638" s="54">
        <v>13</v>
      </c>
      <c r="AP15638" s="54">
        <v>12</v>
      </c>
      <c r="AQ15638" s="54">
        <v>1105</v>
      </c>
      <c r="AR15638" s="55">
        <v>28500</v>
      </c>
      <c r="AS15638" s="78">
        <f t="shared" si="248"/>
        <v>3.8771929824561402E-2</v>
      </c>
    </row>
    <row r="15639" spans="39:45">
      <c r="AM15639" s="55">
        <v>2020</v>
      </c>
      <c r="AN15639" s="55" t="s">
        <v>191</v>
      </c>
      <c r="AO15639" s="55">
        <v>13</v>
      </c>
      <c r="AP15639" s="55">
        <v>13</v>
      </c>
      <c r="AQ15639" s="55">
        <v>966</v>
      </c>
      <c r="AR15639" s="55">
        <v>28500</v>
      </c>
      <c r="AS15639" s="78">
        <f t="shared" si="248"/>
        <v>3.3894736842105262E-2</v>
      </c>
    </row>
    <row r="15640" spans="39:45">
      <c r="AM15640" s="54">
        <v>2020</v>
      </c>
      <c r="AN15640" s="54" t="s">
        <v>191</v>
      </c>
      <c r="AO15640" s="54">
        <v>13</v>
      </c>
      <c r="AP15640" s="54">
        <v>14</v>
      </c>
      <c r="AQ15640" s="54">
        <v>698.5</v>
      </c>
      <c r="AR15640" s="55">
        <v>28500</v>
      </c>
      <c r="AS15640" s="78">
        <f t="shared" si="248"/>
        <v>2.450877192982456E-2</v>
      </c>
    </row>
    <row r="15641" spans="39:45">
      <c r="AM15641" s="55">
        <v>2020</v>
      </c>
      <c r="AN15641" s="55" t="s">
        <v>191</v>
      </c>
      <c r="AO15641" s="55">
        <v>13</v>
      </c>
      <c r="AP15641" s="55">
        <v>15</v>
      </c>
      <c r="AQ15641" s="55">
        <v>1782.5</v>
      </c>
      <c r="AR15641" s="55">
        <v>28500</v>
      </c>
      <c r="AS15641" s="78">
        <f t="shared" si="248"/>
        <v>6.2543859649122804E-2</v>
      </c>
    </row>
    <row r="15642" spans="39:45">
      <c r="AM15642" s="54">
        <v>2020</v>
      </c>
      <c r="AN15642" s="54" t="s">
        <v>191</v>
      </c>
      <c r="AO15642" s="54">
        <v>13</v>
      </c>
      <c r="AP15642" s="54">
        <v>16</v>
      </c>
      <c r="AQ15642" s="54">
        <v>219.5</v>
      </c>
      <c r="AR15642" s="55">
        <v>28500</v>
      </c>
      <c r="AS15642" s="78">
        <f t="shared" si="248"/>
        <v>7.7017543859649127E-3</v>
      </c>
    </row>
    <row r="15643" spans="39:45">
      <c r="AM15643" s="55">
        <v>2020</v>
      </c>
      <c r="AN15643" s="55" t="s">
        <v>191</v>
      </c>
      <c r="AO15643" s="55">
        <v>13</v>
      </c>
      <c r="AP15643" s="55">
        <v>17</v>
      </c>
      <c r="AQ15643" s="55">
        <v>0</v>
      </c>
      <c r="AR15643" s="55">
        <v>28500</v>
      </c>
      <c r="AS15643" s="78">
        <f t="shared" si="248"/>
        <v>0</v>
      </c>
    </row>
    <row r="15644" spans="39:45">
      <c r="AM15644" s="54">
        <v>2020</v>
      </c>
      <c r="AN15644" s="54" t="s">
        <v>191</v>
      </c>
      <c r="AO15644" s="54">
        <v>13</v>
      </c>
      <c r="AP15644" s="54">
        <v>18</v>
      </c>
      <c r="AQ15644" s="54">
        <v>0</v>
      </c>
      <c r="AR15644" s="55">
        <v>28500</v>
      </c>
      <c r="AS15644" s="78">
        <f t="shared" si="248"/>
        <v>0</v>
      </c>
    </row>
    <row r="15645" spans="39:45">
      <c r="AM15645" s="55">
        <v>2020</v>
      </c>
      <c r="AN15645" s="55" t="s">
        <v>191</v>
      </c>
      <c r="AO15645" s="55">
        <v>13</v>
      </c>
      <c r="AP15645" s="55">
        <v>19</v>
      </c>
      <c r="AQ15645" s="55">
        <v>0</v>
      </c>
      <c r="AR15645" s="55">
        <v>28500</v>
      </c>
      <c r="AS15645" s="78">
        <f t="shared" si="248"/>
        <v>0</v>
      </c>
    </row>
    <row r="15646" spans="39:45">
      <c r="AM15646" s="54">
        <v>2020</v>
      </c>
      <c r="AN15646" s="54" t="s">
        <v>191</v>
      </c>
      <c r="AO15646" s="54">
        <v>13</v>
      </c>
      <c r="AP15646" s="54">
        <v>20</v>
      </c>
      <c r="AQ15646" s="54">
        <v>0</v>
      </c>
      <c r="AR15646" s="55">
        <v>28500</v>
      </c>
      <c r="AS15646" s="78">
        <f t="shared" si="248"/>
        <v>0</v>
      </c>
    </row>
    <row r="15647" spans="39:45">
      <c r="AM15647" s="55">
        <v>2020</v>
      </c>
      <c r="AN15647" s="55" t="s">
        <v>191</v>
      </c>
      <c r="AO15647" s="55">
        <v>13</v>
      </c>
      <c r="AP15647" s="55">
        <v>21</v>
      </c>
      <c r="AQ15647" s="55">
        <v>0</v>
      </c>
      <c r="AR15647" s="55">
        <v>28500</v>
      </c>
      <c r="AS15647" s="78">
        <f t="shared" si="248"/>
        <v>0</v>
      </c>
    </row>
    <row r="15648" spans="39:45">
      <c r="AM15648" s="54">
        <v>2020</v>
      </c>
      <c r="AN15648" s="54" t="s">
        <v>191</v>
      </c>
      <c r="AO15648" s="54">
        <v>13</v>
      </c>
      <c r="AP15648" s="54">
        <v>22</v>
      </c>
      <c r="AQ15648" s="54">
        <v>0</v>
      </c>
      <c r="AR15648" s="55">
        <v>28500</v>
      </c>
      <c r="AS15648" s="78">
        <f t="shared" si="248"/>
        <v>0</v>
      </c>
    </row>
    <row r="15649" spans="39:45">
      <c r="AM15649" s="55">
        <v>2020</v>
      </c>
      <c r="AN15649" s="55" t="s">
        <v>191</v>
      </c>
      <c r="AO15649" s="55">
        <v>13</v>
      </c>
      <c r="AP15649" s="55">
        <v>23</v>
      </c>
      <c r="AQ15649" s="55">
        <v>0</v>
      </c>
      <c r="AR15649" s="55">
        <v>28500</v>
      </c>
      <c r="AS15649" s="78">
        <f t="shared" si="248"/>
        <v>0</v>
      </c>
    </row>
    <row r="15650" spans="39:45">
      <c r="AM15650" s="54">
        <v>2020</v>
      </c>
      <c r="AN15650" s="54" t="s">
        <v>191</v>
      </c>
      <c r="AO15650" s="54">
        <v>14</v>
      </c>
      <c r="AP15650" s="54">
        <v>24</v>
      </c>
      <c r="AQ15650" s="54">
        <v>0</v>
      </c>
      <c r="AR15650" s="55">
        <v>28500</v>
      </c>
      <c r="AS15650" s="78">
        <f t="shared" si="248"/>
        <v>0</v>
      </c>
    </row>
    <row r="15651" spans="39:45">
      <c r="AM15651" s="55">
        <v>2020</v>
      </c>
      <c r="AN15651" s="55" t="s">
        <v>191</v>
      </c>
      <c r="AO15651" s="55">
        <v>14</v>
      </c>
      <c r="AP15651" s="55">
        <v>1</v>
      </c>
      <c r="AQ15651" s="55">
        <v>0</v>
      </c>
      <c r="AR15651" s="55">
        <v>28500</v>
      </c>
      <c r="AS15651" s="78">
        <f t="shared" si="248"/>
        <v>0</v>
      </c>
    </row>
    <row r="15652" spans="39:45">
      <c r="AM15652" s="54">
        <v>2020</v>
      </c>
      <c r="AN15652" s="54" t="s">
        <v>191</v>
      </c>
      <c r="AO15652" s="54">
        <v>14</v>
      </c>
      <c r="AP15652" s="54">
        <v>2</v>
      </c>
      <c r="AQ15652" s="54">
        <v>0</v>
      </c>
      <c r="AR15652" s="55">
        <v>28500</v>
      </c>
      <c r="AS15652" s="78">
        <f t="shared" si="248"/>
        <v>0</v>
      </c>
    </row>
    <row r="15653" spans="39:45">
      <c r="AM15653" s="55">
        <v>2020</v>
      </c>
      <c r="AN15653" s="55" t="s">
        <v>191</v>
      </c>
      <c r="AO15653" s="55">
        <v>14</v>
      </c>
      <c r="AP15653" s="55">
        <v>3</v>
      </c>
      <c r="AQ15653" s="55">
        <v>0</v>
      </c>
      <c r="AR15653" s="55">
        <v>28500</v>
      </c>
      <c r="AS15653" s="78">
        <f t="shared" si="248"/>
        <v>0</v>
      </c>
    </row>
    <row r="15654" spans="39:45">
      <c r="AM15654" s="54">
        <v>2020</v>
      </c>
      <c r="AN15654" s="54" t="s">
        <v>191</v>
      </c>
      <c r="AO15654" s="54">
        <v>14</v>
      </c>
      <c r="AP15654" s="54">
        <v>4</v>
      </c>
      <c r="AQ15654" s="54">
        <v>0</v>
      </c>
      <c r="AR15654" s="55">
        <v>28500</v>
      </c>
      <c r="AS15654" s="78">
        <f t="shared" si="248"/>
        <v>0</v>
      </c>
    </row>
    <row r="15655" spans="39:45">
      <c r="AM15655" s="55">
        <v>2020</v>
      </c>
      <c r="AN15655" s="55" t="s">
        <v>191</v>
      </c>
      <c r="AO15655" s="55">
        <v>14</v>
      </c>
      <c r="AP15655" s="55">
        <v>5</v>
      </c>
      <c r="AQ15655" s="55">
        <v>0</v>
      </c>
      <c r="AR15655" s="55">
        <v>28500</v>
      </c>
      <c r="AS15655" s="78">
        <f t="shared" si="248"/>
        <v>0</v>
      </c>
    </row>
    <row r="15656" spans="39:45">
      <c r="AM15656" s="54">
        <v>2020</v>
      </c>
      <c r="AN15656" s="54" t="s">
        <v>191</v>
      </c>
      <c r="AO15656" s="54">
        <v>14</v>
      </c>
      <c r="AP15656" s="54">
        <v>6</v>
      </c>
      <c r="AQ15656" s="54">
        <v>0</v>
      </c>
      <c r="AR15656" s="55">
        <v>28500</v>
      </c>
      <c r="AS15656" s="78">
        <f t="shared" si="248"/>
        <v>0</v>
      </c>
    </row>
    <row r="15657" spans="39:45">
      <c r="AM15657" s="55">
        <v>2020</v>
      </c>
      <c r="AN15657" s="55" t="s">
        <v>191</v>
      </c>
      <c r="AO15657" s="55">
        <v>14</v>
      </c>
      <c r="AP15657" s="55">
        <v>7</v>
      </c>
      <c r="AQ15657" s="55">
        <v>2756.5</v>
      </c>
      <c r="AR15657" s="55">
        <v>28500</v>
      </c>
      <c r="AS15657" s="78">
        <f t="shared" si="248"/>
        <v>9.6719298245614038E-2</v>
      </c>
    </row>
    <row r="15658" spans="39:45">
      <c r="AM15658" s="54">
        <v>2020</v>
      </c>
      <c r="AN15658" s="54" t="s">
        <v>191</v>
      </c>
      <c r="AO15658" s="54">
        <v>14</v>
      </c>
      <c r="AP15658" s="54">
        <v>8</v>
      </c>
      <c r="AQ15658" s="54">
        <v>5120.5</v>
      </c>
      <c r="AR15658" s="55">
        <v>28500</v>
      </c>
      <c r="AS15658" s="78">
        <f t="shared" si="248"/>
        <v>0.17966666666666667</v>
      </c>
    </row>
    <row r="15659" spans="39:45">
      <c r="AM15659" s="55">
        <v>2020</v>
      </c>
      <c r="AN15659" s="55" t="s">
        <v>191</v>
      </c>
      <c r="AO15659" s="55">
        <v>14</v>
      </c>
      <c r="AP15659" s="55">
        <v>9</v>
      </c>
      <c r="AQ15659" s="55">
        <v>25200.5</v>
      </c>
      <c r="AR15659" s="55">
        <v>28500</v>
      </c>
      <c r="AS15659" s="78">
        <f t="shared" si="248"/>
        <v>0.88422807017543859</v>
      </c>
    </row>
    <row r="15660" spans="39:45">
      <c r="AM15660" s="54">
        <v>2020</v>
      </c>
      <c r="AN15660" s="54" t="s">
        <v>191</v>
      </c>
      <c r="AO15660" s="54">
        <v>14</v>
      </c>
      <c r="AP15660" s="54">
        <v>10</v>
      </c>
      <c r="AQ15660" s="54">
        <v>12833</v>
      </c>
      <c r="AR15660" s="55">
        <v>28500</v>
      </c>
      <c r="AS15660" s="78">
        <f t="shared" si="248"/>
        <v>0.45028070175438595</v>
      </c>
    </row>
    <row r="15661" spans="39:45">
      <c r="AM15661" s="55">
        <v>2020</v>
      </c>
      <c r="AN15661" s="55" t="s">
        <v>191</v>
      </c>
      <c r="AO15661" s="55">
        <v>14</v>
      </c>
      <c r="AP15661" s="55">
        <v>11</v>
      </c>
      <c r="AQ15661" s="55">
        <v>8794.5</v>
      </c>
      <c r="AR15661" s="55">
        <v>28500</v>
      </c>
      <c r="AS15661" s="78">
        <f t="shared" si="248"/>
        <v>0.30857894736842106</v>
      </c>
    </row>
    <row r="15662" spans="39:45">
      <c r="AM15662" s="54">
        <v>2020</v>
      </c>
      <c r="AN15662" s="54" t="s">
        <v>191</v>
      </c>
      <c r="AO15662" s="54">
        <v>14</v>
      </c>
      <c r="AP15662" s="54">
        <v>12</v>
      </c>
      <c r="AQ15662" s="54">
        <v>5688.5</v>
      </c>
      <c r="AR15662" s="55">
        <v>28500</v>
      </c>
      <c r="AS15662" s="78">
        <f t="shared" si="248"/>
        <v>0.19959649122807019</v>
      </c>
    </row>
    <row r="15663" spans="39:45">
      <c r="AM15663" s="55">
        <v>2020</v>
      </c>
      <c r="AN15663" s="55" t="s">
        <v>191</v>
      </c>
      <c r="AO15663" s="55">
        <v>14</v>
      </c>
      <c r="AP15663" s="55">
        <v>13</v>
      </c>
      <c r="AQ15663" s="55">
        <v>5762.5</v>
      </c>
      <c r="AR15663" s="55">
        <v>28500</v>
      </c>
      <c r="AS15663" s="78">
        <f t="shared" si="248"/>
        <v>0.20219298245614034</v>
      </c>
    </row>
    <row r="15664" spans="39:45">
      <c r="AM15664" s="54">
        <v>2020</v>
      </c>
      <c r="AN15664" s="54" t="s">
        <v>191</v>
      </c>
      <c r="AO15664" s="54">
        <v>14</v>
      </c>
      <c r="AP15664" s="54">
        <v>14</v>
      </c>
      <c r="AQ15664" s="54">
        <v>8928</v>
      </c>
      <c r="AR15664" s="55">
        <v>28500</v>
      </c>
      <c r="AS15664" s="78">
        <f t="shared" si="248"/>
        <v>0.31326315789473685</v>
      </c>
    </row>
    <row r="15665" spans="39:45">
      <c r="AM15665" s="55">
        <v>2020</v>
      </c>
      <c r="AN15665" s="55" t="s">
        <v>191</v>
      </c>
      <c r="AO15665" s="55">
        <v>14</v>
      </c>
      <c r="AP15665" s="55">
        <v>15</v>
      </c>
      <c r="AQ15665" s="55">
        <v>3926.5</v>
      </c>
      <c r="AR15665" s="55">
        <v>28500</v>
      </c>
      <c r="AS15665" s="78">
        <f t="shared" si="248"/>
        <v>0.13777192982456141</v>
      </c>
    </row>
    <row r="15666" spans="39:45">
      <c r="AM15666" s="54">
        <v>2020</v>
      </c>
      <c r="AN15666" s="54" t="s">
        <v>191</v>
      </c>
      <c r="AO15666" s="54">
        <v>14</v>
      </c>
      <c r="AP15666" s="54">
        <v>16</v>
      </c>
      <c r="AQ15666" s="54">
        <v>1634</v>
      </c>
      <c r="AR15666" s="55">
        <v>28500</v>
      </c>
      <c r="AS15666" s="78">
        <f t="shared" si="248"/>
        <v>5.7333333333333333E-2</v>
      </c>
    </row>
    <row r="15667" spans="39:45">
      <c r="AM15667" s="55">
        <v>2020</v>
      </c>
      <c r="AN15667" s="55" t="s">
        <v>191</v>
      </c>
      <c r="AO15667" s="55">
        <v>14</v>
      </c>
      <c r="AP15667" s="55">
        <v>17</v>
      </c>
      <c r="AQ15667" s="55">
        <v>0</v>
      </c>
      <c r="AR15667" s="55">
        <v>28500</v>
      </c>
      <c r="AS15667" s="78">
        <f t="shared" si="248"/>
        <v>0</v>
      </c>
    </row>
    <row r="15668" spans="39:45">
      <c r="AM15668" s="54">
        <v>2020</v>
      </c>
      <c r="AN15668" s="54" t="s">
        <v>191</v>
      </c>
      <c r="AO15668" s="54">
        <v>14</v>
      </c>
      <c r="AP15668" s="54">
        <v>18</v>
      </c>
      <c r="AQ15668" s="54">
        <v>0</v>
      </c>
      <c r="AR15668" s="55">
        <v>28500</v>
      </c>
      <c r="AS15668" s="78">
        <f t="shared" si="248"/>
        <v>0</v>
      </c>
    </row>
    <row r="15669" spans="39:45">
      <c r="AM15669" s="55">
        <v>2020</v>
      </c>
      <c r="AN15669" s="55" t="s">
        <v>191</v>
      </c>
      <c r="AO15669" s="55">
        <v>14</v>
      </c>
      <c r="AP15669" s="55">
        <v>19</v>
      </c>
      <c r="AQ15669" s="55">
        <v>0</v>
      </c>
      <c r="AR15669" s="55">
        <v>28500</v>
      </c>
      <c r="AS15669" s="78">
        <f t="shared" si="248"/>
        <v>0</v>
      </c>
    </row>
    <row r="15670" spans="39:45">
      <c r="AM15670" s="54">
        <v>2020</v>
      </c>
      <c r="AN15670" s="54" t="s">
        <v>191</v>
      </c>
      <c r="AO15670" s="54">
        <v>14</v>
      </c>
      <c r="AP15670" s="54">
        <v>20</v>
      </c>
      <c r="AQ15670" s="54">
        <v>0</v>
      </c>
      <c r="AR15670" s="55">
        <v>28500</v>
      </c>
      <c r="AS15670" s="78">
        <f t="shared" si="248"/>
        <v>0</v>
      </c>
    </row>
    <row r="15671" spans="39:45">
      <c r="AM15671" s="55">
        <v>2020</v>
      </c>
      <c r="AN15671" s="55" t="s">
        <v>191</v>
      </c>
      <c r="AO15671" s="55">
        <v>14</v>
      </c>
      <c r="AP15671" s="55">
        <v>21</v>
      </c>
      <c r="AQ15671" s="55">
        <v>0</v>
      </c>
      <c r="AR15671" s="55">
        <v>28500</v>
      </c>
      <c r="AS15671" s="78">
        <f t="shared" si="248"/>
        <v>0</v>
      </c>
    </row>
    <row r="15672" spans="39:45">
      <c r="AM15672" s="54">
        <v>2020</v>
      </c>
      <c r="AN15672" s="54" t="s">
        <v>191</v>
      </c>
      <c r="AO15672" s="54">
        <v>14</v>
      </c>
      <c r="AP15672" s="54">
        <v>22</v>
      </c>
      <c r="AQ15672" s="54">
        <v>0</v>
      </c>
      <c r="AR15672" s="55">
        <v>28500</v>
      </c>
      <c r="AS15672" s="78">
        <f t="shared" si="248"/>
        <v>0</v>
      </c>
    </row>
    <row r="15673" spans="39:45">
      <c r="AM15673" s="55">
        <v>2020</v>
      </c>
      <c r="AN15673" s="55" t="s">
        <v>191</v>
      </c>
      <c r="AO15673" s="55">
        <v>14</v>
      </c>
      <c r="AP15673" s="55">
        <v>23</v>
      </c>
      <c r="AQ15673" s="55">
        <v>0</v>
      </c>
      <c r="AR15673" s="55">
        <v>28500</v>
      </c>
      <c r="AS15673" s="78">
        <f t="shared" si="248"/>
        <v>0</v>
      </c>
    </row>
    <row r="15674" spans="39:45">
      <c r="AM15674" s="54">
        <v>2020</v>
      </c>
      <c r="AN15674" s="54" t="s">
        <v>191</v>
      </c>
      <c r="AO15674" s="54">
        <v>15</v>
      </c>
      <c r="AP15674" s="54">
        <v>24</v>
      </c>
      <c r="AQ15674" s="54">
        <v>0</v>
      </c>
      <c r="AR15674" s="55">
        <v>28500</v>
      </c>
      <c r="AS15674" s="78">
        <f t="shared" si="248"/>
        <v>0</v>
      </c>
    </row>
    <row r="15675" spans="39:45">
      <c r="AM15675" s="55">
        <v>2020</v>
      </c>
      <c r="AN15675" s="55" t="s">
        <v>191</v>
      </c>
      <c r="AO15675" s="55">
        <v>15</v>
      </c>
      <c r="AP15675" s="55">
        <v>1</v>
      </c>
      <c r="AQ15675" s="55">
        <v>0</v>
      </c>
      <c r="AR15675" s="55">
        <v>28500</v>
      </c>
      <c r="AS15675" s="78">
        <f t="shared" si="248"/>
        <v>0</v>
      </c>
    </row>
    <row r="15676" spans="39:45">
      <c r="AM15676" s="54">
        <v>2020</v>
      </c>
      <c r="AN15676" s="54" t="s">
        <v>191</v>
      </c>
      <c r="AO15676" s="54">
        <v>15</v>
      </c>
      <c r="AP15676" s="54">
        <v>2</v>
      </c>
      <c r="AQ15676" s="54">
        <v>0</v>
      </c>
      <c r="AR15676" s="55">
        <v>28500</v>
      </c>
      <c r="AS15676" s="78">
        <f t="shared" si="248"/>
        <v>0</v>
      </c>
    </row>
    <row r="15677" spans="39:45">
      <c r="AM15677" s="55">
        <v>2020</v>
      </c>
      <c r="AN15677" s="55" t="s">
        <v>191</v>
      </c>
      <c r="AO15677" s="55">
        <v>15</v>
      </c>
      <c r="AP15677" s="55">
        <v>3</v>
      </c>
      <c r="AQ15677" s="55">
        <v>0</v>
      </c>
      <c r="AR15677" s="55">
        <v>28500</v>
      </c>
      <c r="AS15677" s="78">
        <f t="shared" si="248"/>
        <v>0</v>
      </c>
    </row>
    <row r="15678" spans="39:45">
      <c r="AM15678" s="54">
        <v>2020</v>
      </c>
      <c r="AN15678" s="54" t="s">
        <v>191</v>
      </c>
      <c r="AO15678" s="54">
        <v>15</v>
      </c>
      <c r="AP15678" s="54">
        <v>4</v>
      </c>
      <c r="AQ15678" s="54">
        <v>0</v>
      </c>
      <c r="AR15678" s="55">
        <v>28500</v>
      </c>
      <c r="AS15678" s="78">
        <f t="shared" si="248"/>
        <v>0</v>
      </c>
    </row>
    <row r="15679" spans="39:45">
      <c r="AM15679" s="55">
        <v>2020</v>
      </c>
      <c r="AN15679" s="55" t="s">
        <v>191</v>
      </c>
      <c r="AO15679" s="55">
        <v>15</v>
      </c>
      <c r="AP15679" s="55">
        <v>5</v>
      </c>
      <c r="AQ15679" s="55">
        <v>0</v>
      </c>
      <c r="AR15679" s="55">
        <v>28500</v>
      </c>
      <c r="AS15679" s="78">
        <f t="shared" si="248"/>
        <v>0</v>
      </c>
    </row>
    <row r="15680" spans="39:45">
      <c r="AM15680" s="54">
        <v>2020</v>
      </c>
      <c r="AN15680" s="54" t="s">
        <v>191</v>
      </c>
      <c r="AO15680" s="54">
        <v>15</v>
      </c>
      <c r="AP15680" s="54">
        <v>6</v>
      </c>
      <c r="AQ15680" s="54">
        <v>0</v>
      </c>
      <c r="AR15680" s="55">
        <v>28500</v>
      </c>
      <c r="AS15680" s="78">
        <f t="shared" si="248"/>
        <v>0</v>
      </c>
    </row>
    <row r="15681" spans="39:45">
      <c r="AM15681" s="55">
        <v>2020</v>
      </c>
      <c r="AN15681" s="55" t="s">
        <v>191</v>
      </c>
      <c r="AO15681" s="55">
        <v>15</v>
      </c>
      <c r="AP15681" s="55">
        <v>7</v>
      </c>
      <c r="AQ15681" s="55">
        <v>5541.5</v>
      </c>
      <c r="AR15681" s="55">
        <v>28500</v>
      </c>
      <c r="AS15681" s="78">
        <f t="shared" si="248"/>
        <v>0.19443859649122808</v>
      </c>
    </row>
    <row r="15682" spans="39:45">
      <c r="AM15682" s="54">
        <v>2020</v>
      </c>
      <c r="AN15682" s="54" t="s">
        <v>191</v>
      </c>
      <c r="AO15682" s="54">
        <v>15</v>
      </c>
      <c r="AP15682" s="54">
        <v>8</v>
      </c>
      <c r="AQ15682" s="54">
        <v>6538.5</v>
      </c>
      <c r="AR15682" s="55">
        <v>28500</v>
      </c>
      <c r="AS15682" s="78">
        <f t="shared" ref="AS15682:AS15745" si="249">AQ15682/AR15682</f>
        <v>0.22942105263157894</v>
      </c>
    </row>
    <row r="15683" spans="39:45">
      <c r="AM15683" s="55">
        <v>2020</v>
      </c>
      <c r="AN15683" s="55" t="s">
        <v>191</v>
      </c>
      <c r="AO15683" s="55">
        <v>15</v>
      </c>
      <c r="AP15683" s="55">
        <v>9</v>
      </c>
      <c r="AQ15683" s="55">
        <v>11661.5</v>
      </c>
      <c r="AR15683" s="55">
        <v>28500</v>
      </c>
      <c r="AS15683" s="78">
        <f t="shared" si="249"/>
        <v>0.40917543859649125</v>
      </c>
    </row>
    <row r="15684" spans="39:45">
      <c r="AM15684" s="54">
        <v>2020</v>
      </c>
      <c r="AN15684" s="54" t="s">
        <v>191</v>
      </c>
      <c r="AO15684" s="54">
        <v>15</v>
      </c>
      <c r="AP15684" s="54">
        <v>10</v>
      </c>
      <c r="AQ15684" s="54">
        <v>11897</v>
      </c>
      <c r="AR15684" s="55">
        <v>28500</v>
      </c>
      <c r="AS15684" s="78">
        <f t="shared" si="249"/>
        <v>0.41743859649122805</v>
      </c>
    </row>
    <row r="15685" spans="39:45">
      <c r="AM15685" s="55">
        <v>2020</v>
      </c>
      <c r="AN15685" s="55" t="s">
        <v>191</v>
      </c>
      <c r="AO15685" s="55">
        <v>15</v>
      </c>
      <c r="AP15685" s="55">
        <v>11</v>
      </c>
      <c r="AQ15685" s="55">
        <v>12063</v>
      </c>
      <c r="AR15685" s="55">
        <v>28500</v>
      </c>
      <c r="AS15685" s="78">
        <f t="shared" si="249"/>
        <v>0.42326315789473684</v>
      </c>
    </row>
    <row r="15686" spans="39:45">
      <c r="AM15686" s="54">
        <v>2020</v>
      </c>
      <c r="AN15686" s="54" t="s">
        <v>191</v>
      </c>
      <c r="AO15686" s="54">
        <v>15</v>
      </c>
      <c r="AP15686" s="54">
        <v>12</v>
      </c>
      <c r="AQ15686" s="54">
        <v>14809</v>
      </c>
      <c r="AR15686" s="55">
        <v>28500</v>
      </c>
      <c r="AS15686" s="78">
        <f t="shared" si="249"/>
        <v>0.51961403508771931</v>
      </c>
    </row>
    <row r="15687" spans="39:45">
      <c r="AM15687" s="55">
        <v>2020</v>
      </c>
      <c r="AN15687" s="55" t="s">
        <v>191</v>
      </c>
      <c r="AO15687" s="55">
        <v>15</v>
      </c>
      <c r="AP15687" s="55">
        <v>13</v>
      </c>
      <c r="AQ15687" s="55">
        <v>29808.5</v>
      </c>
      <c r="AR15687" s="55">
        <v>28500</v>
      </c>
      <c r="AS15687" s="78">
        <f t="shared" si="249"/>
        <v>1.0459122807017545</v>
      </c>
    </row>
    <row r="15688" spans="39:45">
      <c r="AM15688" s="54">
        <v>2020</v>
      </c>
      <c r="AN15688" s="54" t="s">
        <v>191</v>
      </c>
      <c r="AO15688" s="54">
        <v>15</v>
      </c>
      <c r="AP15688" s="54">
        <v>14</v>
      </c>
      <c r="AQ15688" s="54">
        <v>7876</v>
      </c>
      <c r="AR15688" s="55">
        <v>28500</v>
      </c>
      <c r="AS15688" s="78">
        <f t="shared" si="249"/>
        <v>0.27635087719298246</v>
      </c>
    </row>
    <row r="15689" spans="39:45">
      <c r="AM15689" s="55">
        <v>2020</v>
      </c>
      <c r="AN15689" s="55" t="s">
        <v>191</v>
      </c>
      <c r="AO15689" s="55">
        <v>15</v>
      </c>
      <c r="AP15689" s="55">
        <v>15</v>
      </c>
      <c r="AQ15689" s="55">
        <v>4952</v>
      </c>
      <c r="AR15689" s="55">
        <v>28500</v>
      </c>
      <c r="AS15689" s="78">
        <f t="shared" si="249"/>
        <v>0.17375438596491227</v>
      </c>
    </row>
    <row r="15690" spans="39:45">
      <c r="AM15690" s="54">
        <v>2020</v>
      </c>
      <c r="AN15690" s="54" t="s">
        <v>191</v>
      </c>
      <c r="AO15690" s="54">
        <v>15</v>
      </c>
      <c r="AP15690" s="54">
        <v>16</v>
      </c>
      <c r="AQ15690" s="54">
        <v>3976</v>
      </c>
      <c r="AR15690" s="55">
        <v>28500</v>
      </c>
      <c r="AS15690" s="78">
        <f t="shared" si="249"/>
        <v>0.13950877192982455</v>
      </c>
    </row>
    <row r="15691" spans="39:45">
      <c r="AM15691" s="55">
        <v>2020</v>
      </c>
      <c r="AN15691" s="55" t="s">
        <v>191</v>
      </c>
      <c r="AO15691" s="55">
        <v>15</v>
      </c>
      <c r="AP15691" s="55">
        <v>17</v>
      </c>
      <c r="AQ15691" s="55">
        <v>0</v>
      </c>
      <c r="AR15691" s="55">
        <v>28500</v>
      </c>
      <c r="AS15691" s="78">
        <f t="shared" si="249"/>
        <v>0</v>
      </c>
    </row>
    <row r="15692" spans="39:45">
      <c r="AM15692" s="54">
        <v>2020</v>
      </c>
      <c r="AN15692" s="54" t="s">
        <v>191</v>
      </c>
      <c r="AO15692" s="54">
        <v>15</v>
      </c>
      <c r="AP15692" s="54">
        <v>18</v>
      </c>
      <c r="AQ15692" s="54">
        <v>0</v>
      </c>
      <c r="AR15692" s="55">
        <v>28500</v>
      </c>
      <c r="AS15692" s="78">
        <f t="shared" si="249"/>
        <v>0</v>
      </c>
    </row>
    <row r="15693" spans="39:45">
      <c r="AM15693" s="55">
        <v>2020</v>
      </c>
      <c r="AN15693" s="55" t="s">
        <v>191</v>
      </c>
      <c r="AO15693" s="55">
        <v>15</v>
      </c>
      <c r="AP15693" s="55">
        <v>19</v>
      </c>
      <c r="AQ15693" s="55">
        <v>0</v>
      </c>
      <c r="AR15693" s="55">
        <v>28500</v>
      </c>
      <c r="AS15693" s="78">
        <f t="shared" si="249"/>
        <v>0</v>
      </c>
    </row>
    <row r="15694" spans="39:45">
      <c r="AM15694" s="54">
        <v>2020</v>
      </c>
      <c r="AN15694" s="54" t="s">
        <v>191</v>
      </c>
      <c r="AO15694" s="54">
        <v>15</v>
      </c>
      <c r="AP15694" s="54">
        <v>20</v>
      </c>
      <c r="AQ15694" s="54">
        <v>0</v>
      </c>
      <c r="AR15694" s="55">
        <v>28500</v>
      </c>
      <c r="AS15694" s="78">
        <f t="shared" si="249"/>
        <v>0</v>
      </c>
    </row>
    <row r="15695" spans="39:45">
      <c r="AM15695" s="55">
        <v>2020</v>
      </c>
      <c r="AN15695" s="55" t="s">
        <v>191</v>
      </c>
      <c r="AO15695" s="55">
        <v>15</v>
      </c>
      <c r="AP15695" s="55">
        <v>21</v>
      </c>
      <c r="AQ15695" s="55">
        <v>0</v>
      </c>
      <c r="AR15695" s="55">
        <v>28500</v>
      </c>
      <c r="AS15695" s="78">
        <f t="shared" si="249"/>
        <v>0</v>
      </c>
    </row>
    <row r="15696" spans="39:45">
      <c r="AM15696" s="54">
        <v>2020</v>
      </c>
      <c r="AN15696" s="54" t="s">
        <v>191</v>
      </c>
      <c r="AO15696" s="54">
        <v>15</v>
      </c>
      <c r="AP15696" s="54">
        <v>22</v>
      </c>
      <c r="AQ15696" s="54">
        <v>0</v>
      </c>
      <c r="AR15696" s="55">
        <v>28500</v>
      </c>
      <c r="AS15696" s="78">
        <f t="shared" si="249"/>
        <v>0</v>
      </c>
    </row>
    <row r="15697" spans="39:45">
      <c r="AM15697" s="55">
        <v>2020</v>
      </c>
      <c r="AN15697" s="55" t="s">
        <v>191</v>
      </c>
      <c r="AO15697" s="55">
        <v>15</v>
      </c>
      <c r="AP15697" s="55">
        <v>23</v>
      </c>
      <c r="AQ15697" s="55">
        <v>0</v>
      </c>
      <c r="AR15697" s="55">
        <v>28500</v>
      </c>
      <c r="AS15697" s="78">
        <f t="shared" si="249"/>
        <v>0</v>
      </c>
    </row>
    <row r="15698" spans="39:45">
      <c r="AM15698" s="54">
        <v>2020</v>
      </c>
      <c r="AN15698" s="54" t="s">
        <v>191</v>
      </c>
      <c r="AO15698" s="54">
        <v>16</v>
      </c>
      <c r="AP15698" s="54">
        <v>24</v>
      </c>
      <c r="AQ15698" s="54">
        <v>0</v>
      </c>
      <c r="AR15698" s="55">
        <v>28500</v>
      </c>
      <c r="AS15698" s="78">
        <f t="shared" si="249"/>
        <v>0</v>
      </c>
    </row>
    <row r="15699" spans="39:45">
      <c r="AM15699" s="55">
        <v>2020</v>
      </c>
      <c r="AN15699" s="55" t="s">
        <v>191</v>
      </c>
      <c r="AO15699" s="55">
        <v>16</v>
      </c>
      <c r="AP15699" s="55">
        <v>1</v>
      </c>
      <c r="AQ15699" s="55">
        <v>0</v>
      </c>
      <c r="AR15699" s="55">
        <v>28500</v>
      </c>
      <c r="AS15699" s="78">
        <f t="shared" si="249"/>
        <v>0</v>
      </c>
    </row>
    <row r="15700" spans="39:45">
      <c r="AM15700" s="54">
        <v>2020</v>
      </c>
      <c r="AN15700" s="54" t="s">
        <v>191</v>
      </c>
      <c r="AO15700" s="54">
        <v>16</v>
      </c>
      <c r="AP15700" s="54">
        <v>2</v>
      </c>
      <c r="AQ15700" s="54">
        <v>0</v>
      </c>
      <c r="AR15700" s="55">
        <v>28500</v>
      </c>
      <c r="AS15700" s="78">
        <f t="shared" si="249"/>
        <v>0</v>
      </c>
    </row>
    <row r="15701" spans="39:45">
      <c r="AM15701" s="55">
        <v>2020</v>
      </c>
      <c r="AN15701" s="55" t="s">
        <v>191</v>
      </c>
      <c r="AO15701" s="55">
        <v>16</v>
      </c>
      <c r="AP15701" s="55">
        <v>3</v>
      </c>
      <c r="AQ15701" s="55">
        <v>0</v>
      </c>
      <c r="AR15701" s="55">
        <v>28500</v>
      </c>
      <c r="AS15701" s="78">
        <f t="shared" si="249"/>
        <v>0</v>
      </c>
    </row>
    <row r="15702" spans="39:45">
      <c r="AM15702" s="54">
        <v>2020</v>
      </c>
      <c r="AN15702" s="54" t="s">
        <v>191</v>
      </c>
      <c r="AO15702" s="54">
        <v>16</v>
      </c>
      <c r="AP15702" s="54">
        <v>4</v>
      </c>
      <c r="AQ15702" s="54">
        <v>0</v>
      </c>
      <c r="AR15702" s="55">
        <v>28500</v>
      </c>
      <c r="AS15702" s="78">
        <f t="shared" si="249"/>
        <v>0</v>
      </c>
    </row>
    <row r="15703" spans="39:45">
      <c r="AM15703" s="55">
        <v>2020</v>
      </c>
      <c r="AN15703" s="55" t="s">
        <v>191</v>
      </c>
      <c r="AO15703" s="55">
        <v>16</v>
      </c>
      <c r="AP15703" s="55">
        <v>5</v>
      </c>
      <c r="AQ15703" s="55">
        <v>0</v>
      </c>
      <c r="AR15703" s="55">
        <v>28500</v>
      </c>
      <c r="AS15703" s="78">
        <f t="shared" si="249"/>
        <v>0</v>
      </c>
    </row>
    <row r="15704" spans="39:45">
      <c r="AM15704" s="54">
        <v>2020</v>
      </c>
      <c r="AN15704" s="54" t="s">
        <v>191</v>
      </c>
      <c r="AO15704" s="54">
        <v>16</v>
      </c>
      <c r="AP15704" s="54">
        <v>6</v>
      </c>
      <c r="AQ15704" s="54">
        <v>0</v>
      </c>
      <c r="AR15704" s="55">
        <v>28500</v>
      </c>
      <c r="AS15704" s="78">
        <f t="shared" si="249"/>
        <v>0</v>
      </c>
    </row>
    <row r="15705" spans="39:45">
      <c r="AM15705" s="55">
        <v>2020</v>
      </c>
      <c r="AN15705" s="55" t="s">
        <v>191</v>
      </c>
      <c r="AO15705" s="55">
        <v>16</v>
      </c>
      <c r="AP15705" s="55">
        <v>7</v>
      </c>
      <c r="AQ15705" s="55">
        <v>1509.5</v>
      </c>
      <c r="AR15705" s="55">
        <v>28500</v>
      </c>
      <c r="AS15705" s="78">
        <f t="shared" si="249"/>
        <v>5.2964912280701756E-2</v>
      </c>
    </row>
    <row r="15706" spans="39:45">
      <c r="AM15706" s="54">
        <v>2020</v>
      </c>
      <c r="AN15706" s="54" t="s">
        <v>191</v>
      </c>
      <c r="AO15706" s="54">
        <v>16</v>
      </c>
      <c r="AP15706" s="54">
        <v>8</v>
      </c>
      <c r="AQ15706" s="54">
        <v>3676</v>
      </c>
      <c r="AR15706" s="55">
        <v>28500</v>
      </c>
      <c r="AS15706" s="78">
        <f t="shared" si="249"/>
        <v>0.12898245614035087</v>
      </c>
    </row>
    <row r="15707" spans="39:45">
      <c r="AM15707" s="55">
        <v>2020</v>
      </c>
      <c r="AN15707" s="55" t="s">
        <v>191</v>
      </c>
      <c r="AO15707" s="55">
        <v>16</v>
      </c>
      <c r="AP15707" s="55">
        <v>9</v>
      </c>
      <c r="AQ15707" s="55">
        <v>2318</v>
      </c>
      <c r="AR15707" s="55">
        <v>28500</v>
      </c>
      <c r="AS15707" s="78">
        <f t="shared" si="249"/>
        <v>8.1333333333333327E-2</v>
      </c>
    </row>
    <row r="15708" spans="39:45">
      <c r="AM15708" s="54">
        <v>2020</v>
      </c>
      <c r="AN15708" s="54" t="s">
        <v>191</v>
      </c>
      <c r="AO15708" s="54">
        <v>16</v>
      </c>
      <c r="AP15708" s="54">
        <v>10</v>
      </c>
      <c r="AQ15708" s="54">
        <v>4380.5</v>
      </c>
      <c r="AR15708" s="55">
        <v>28500</v>
      </c>
      <c r="AS15708" s="78">
        <f t="shared" si="249"/>
        <v>0.15370175438596492</v>
      </c>
    </row>
    <row r="15709" spans="39:45">
      <c r="AM15709" s="55">
        <v>2020</v>
      </c>
      <c r="AN15709" s="55" t="s">
        <v>191</v>
      </c>
      <c r="AO15709" s="55">
        <v>16</v>
      </c>
      <c r="AP15709" s="55">
        <v>11</v>
      </c>
      <c r="AQ15709" s="55">
        <v>8562</v>
      </c>
      <c r="AR15709" s="55">
        <v>28500</v>
      </c>
      <c r="AS15709" s="78">
        <f t="shared" si="249"/>
        <v>0.30042105263157892</v>
      </c>
    </row>
    <row r="15710" spans="39:45">
      <c r="AM15710" s="54">
        <v>2020</v>
      </c>
      <c r="AN15710" s="54" t="s">
        <v>191</v>
      </c>
      <c r="AO15710" s="54">
        <v>16</v>
      </c>
      <c r="AP15710" s="54">
        <v>12</v>
      </c>
      <c r="AQ15710" s="54">
        <v>6458</v>
      </c>
      <c r="AR15710" s="55">
        <v>28500</v>
      </c>
      <c r="AS15710" s="78">
        <f t="shared" si="249"/>
        <v>0.22659649122807018</v>
      </c>
    </row>
    <row r="15711" spans="39:45">
      <c r="AM15711" s="55">
        <v>2020</v>
      </c>
      <c r="AN15711" s="55" t="s">
        <v>191</v>
      </c>
      <c r="AO15711" s="55">
        <v>16</v>
      </c>
      <c r="AP15711" s="55">
        <v>13</v>
      </c>
      <c r="AQ15711" s="55">
        <v>4269.5</v>
      </c>
      <c r="AR15711" s="55">
        <v>28500</v>
      </c>
      <c r="AS15711" s="78">
        <f t="shared" si="249"/>
        <v>0.14980701754385964</v>
      </c>
    </row>
    <row r="15712" spans="39:45">
      <c r="AM15712" s="54">
        <v>2020</v>
      </c>
      <c r="AN15712" s="54" t="s">
        <v>191</v>
      </c>
      <c r="AO15712" s="54">
        <v>16</v>
      </c>
      <c r="AP15712" s="54">
        <v>14</v>
      </c>
      <c r="AQ15712" s="54">
        <v>1442</v>
      </c>
      <c r="AR15712" s="55">
        <v>28500</v>
      </c>
      <c r="AS15712" s="78">
        <f t="shared" si="249"/>
        <v>5.0596491228070174E-2</v>
      </c>
    </row>
    <row r="15713" spans="39:45">
      <c r="AM15713" s="55">
        <v>2020</v>
      </c>
      <c r="AN15713" s="55" t="s">
        <v>191</v>
      </c>
      <c r="AO15713" s="55">
        <v>16</v>
      </c>
      <c r="AP15713" s="55">
        <v>15</v>
      </c>
      <c r="AQ15713" s="55">
        <v>3321</v>
      </c>
      <c r="AR15713" s="55">
        <v>28500</v>
      </c>
      <c r="AS15713" s="78">
        <f t="shared" si="249"/>
        <v>0.11652631578947369</v>
      </c>
    </row>
    <row r="15714" spans="39:45">
      <c r="AM15714" s="54">
        <v>2020</v>
      </c>
      <c r="AN15714" s="54" t="s">
        <v>191</v>
      </c>
      <c r="AO15714" s="54">
        <v>16</v>
      </c>
      <c r="AP15714" s="54">
        <v>16</v>
      </c>
      <c r="AQ15714" s="54">
        <v>2238</v>
      </c>
      <c r="AR15714" s="55">
        <v>28500</v>
      </c>
      <c r="AS15714" s="78">
        <f t="shared" si="249"/>
        <v>7.852631578947368E-2</v>
      </c>
    </row>
    <row r="15715" spans="39:45">
      <c r="AM15715" s="55">
        <v>2020</v>
      </c>
      <c r="AN15715" s="55" t="s">
        <v>191</v>
      </c>
      <c r="AO15715" s="55">
        <v>16</v>
      </c>
      <c r="AP15715" s="55">
        <v>17</v>
      </c>
      <c r="AQ15715" s="55">
        <v>0</v>
      </c>
      <c r="AR15715" s="55">
        <v>28500</v>
      </c>
      <c r="AS15715" s="78">
        <f t="shared" si="249"/>
        <v>0</v>
      </c>
    </row>
    <row r="15716" spans="39:45">
      <c r="AM15716" s="54">
        <v>2020</v>
      </c>
      <c r="AN15716" s="54" t="s">
        <v>191</v>
      </c>
      <c r="AO15716" s="54">
        <v>16</v>
      </c>
      <c r="AP15716" s="54">
        <v>18</v>
      </c>
      <c r="AQ15716" s="54">
        <v>0</v>
      </c>
      <c r="AR15716" s="55">
        <v>28500</v>
      </c>
      <c r="AS15716" s="78">
        <f t="shared" si="249"/>
        <v>0</v>
      </c>
    </row>
    <row r="15717" spans="39:45">
      <c r="AM15717" s="55">
        <v>2020</v>
      </c>
      <c r="AN15717" s="55" t="s">
        <v>191</v>
      </c>
      <c r="AO15717" s="55">
        <v>16</v>
      </c>
      <c r="AP15717" s="55">
        <v>19</v>
      </c>
      <c r="AQ15717" s="55">
        <v>0</v>
      </c>
      <c r="AR15717" s="55">
        <v>28500</v>
      </c>
      <c r="AS15717" s="78">
        <f t="shared" si="249"/>
        <v>0</v>
      </c>
    </row>
    <row r="15718" spans="39:45">
      <c r="AM15718" s="54">
        <v>2020</v>
      </c>
      <c r="AN15718" s="54" t="s">
        <v>191</v>
      </c>
      <c r="AO15718" s="54">
        <v>16</v>
      </c>
      <c r="AP15718" s="54">
        <v>20</v>
      </c>
      <c r="AQ15718" s="54">
        <v>0</v>
      </c>
      <c r="AR15718" s="55">
        <v>28500</v>
      </c>
      <c r="AS15718" s="78">
        <f t="shared" si="249"/>
        <v>0</v>
      </c>
    </row>
    <row r="15719" spans="39:45">
      <c r="AM15719" s="55">
        <v>2020</v>
      </c>
      <c r="AN15719" s="55" t="s">
        <v>191</v>
      </c>
      <c r="AO15719" s="55">
        <v>16</v>
      </c>
      <c r="AP15719" s="55">
        <v>21</v>
      </c>
      <c r="AQ15719" s="55">
        <v>0</v>
      </c>
      <c r="AR15719" s="55">
        <v>28500</v>
      </c>
      <c r="AS15719" s="78">
        <f t="shared" si="249"/>
        <v>0</v>
      </c>
    </row>
    <row r="15720" spans="39:45">
      <c r="AM15720" s="54">
        <v>2020</v>
      </c>
      <c r="AN15720" s="54" t="s">
        <v>191</v>
      </c>
      <c r="AO15720" s="54">
        <v>16</v>
      </c>
      <c r="AP15720" s="54">
        <v>22</v>
      </c>
      <c r="AQ15720" s="54">
        <v>0</v>
      </c>
      <c r="AR15720" s="55">
        <v>28500</v>
      </c>
      <c r="AS15720" s="78">
        <f t="shared" si="249"/>
        <v>0</v>
      </c>
    </row>
    <row r="15721" spans="39:45">
      <c r="AM15721" s="55">
        <v>2020</v>
      </c>
      <c r="AN15721" s="55" t="s">
        <v>191</v>
      </c>
      <c r="AO15721" s="55">
        <v>16</v>
      </c>
      <c r="AP15721" s="55">
        <v>23</v>
      </c>
      <c r="AQ15721" s="55">
        <v>0</v>
      </c>
      <c r="AR15721" s="55">
        <v>28500</v>
      </c>
      <c r="AS15721" s="78">
        <f t="shared" si="249"/>
        <v>0</v>
      </c>
    </row>
    <row r="15722" spans="39:45">
      <c r="AM15722" s="54">
        <v>2020</v>
      </c>
      <c r="AN15722" s="54" t="s">
        <v>191</v>
      </c>
      <c r="AO15722" s="54">
        <v>17</v>
      </c>
      <c r="AP15722" s="54">
        <v>24</v>
      </c>
      <c r="AQ15722" s="54">
        <v>0</v>
      </c>
      <c r="AR15722" s="55">
        <v>28500</v>
      </c>
      <c r="AS15722" s="78">
        <f t="shared" si="249"/>
        <v>0</v>
      </c>
    </row>
    <row r="15723" spans="39:45">
      <c r="AM15723" s="55">
        <v>2020</v>
      </c>
      <c r="AN15723" s="55" t="s">
        <v>191</v>
      </c>
      <c r="AO15723" s="55">
        <v>17</v>
      </c>
      <c r="AP15723" s="55">
        <v>1</v>
      </c>
      <c r="AQ15723" s="55">
        <v>0</v>
      </c>
      <c r="AR15723" s="55">
        <v>28500</v>
      </c>
      <c r="AS15723" s="78">
        <f t="shared" si="249"/>
        <v>0</v>
      </c>
    </row>
    <row r="15724" spans="39:45">
      <c r="AM15724" s="54">
        <v>2020</v>
      </c>
      <c r="AN15724" s="54" t="s">
        <v>191</v>
      </c>
      <c r="AO15724" s="54">
        <v>17</v>
      </c>
      <c r="AP15724" s="54">
        <v>2</v>
      </c>
      <c r="AQ15724" s="54">
        <v>0</v>
      </c>
      <c r="AR15724" s="55">
        <v>28500</v>
      </c>
      <c r="AS15724" s="78">
        <f t="shared" si="249"/>
        <v>0</v>
      </c>
    </row>
    <row r="15725" spans="39:45">
      <c r="AM15725" s="55">
        <v>2020</v>
      </c>
      <c r="AN15725" s="55" t="s">
        <v>191</v>
      </c>
      <c r="AO15725" s="55">
        <v>17</v>
      </c>
      <c r="AP15725" s="55">
        <v>3</v>
      </c>
      <c r="AQ15725" s="55">
        <v>0</v>
      </c>
      <c r="AR15725" s="55">
        <v>28500</v>
      </c>
      <c r="AS15725" s="78">
        <f t="shared" si="249"/>
        <v>0</v>
      </c>
    </row>
    <row r="15726" spans="39:45">
      <c r="AM15726" s="54">
        <v>2020</v>
      </c>
      <c r="AN15726" s="54" t="s">
        <v>191</v>
      </c>
      <c r="AO15726" s="54">
        <v>17</v>
      </c>
      <c r="AP15726" s="54">
        <v>4</v>
      </c>
      <c r="AQ15726" s="54">
        <v>0</v>
      </c>
      <c r="AR15726" s="55">
        <v>28500</v>
      </c>
      <c r="AS15726" s="78">
        <f t="shared" si="249"/>
        <v>0</v>
      </c>
    </row>
    <row r="15727" spans="39:45">
      <c r="AM15727" s="55">
        <v>2020</v>
      </c>
      <c r="AN15727" s="55" t="s">
        <v>191</v>
      </c>
      <c r="AO15727" s="55">
        <v>17</v>
      </c>
      <c r="AP15727" s="55">
        <v>5</v>
      </c>
      <c r="AQ15727" s="55">
        <v>0</v>
      </c>
      <c r="AR15727" s="55">
        <v>28500</v>
      </c>
      <c r="AS15727" s="78">
        <f t="shared" si="249"/>
        <v>0</v>
      </c>
    </row>
    <row r="15728" spans="39:45">
      <c r="AM15728" s="54">
        <v>2020</v>
      </c>
      <c r="AN15728" s="54" t="s">
        <v>191</v>
      </c>
      <c r="AO15728" s="54">
        <v>17</v>
      </c>
      <c r="AP15728" s="54">
        <v>6</v>
      </c>
      <c r="AQ15728" s="54">
        <v>0</v>
      </c>
      <c r="AR15728" s="55">
        <v>28500</v>
      </c>
      <c r="AS15728" s="78">
        <f t="shared" si="249"/>
        <v>0</v>
      </c>
    </row>
    <row r="15729" spans="39:45">
      <c r="AM15729" s="55">
        <v>2020</v>
      </c>
      <c r="AN15729" s="55" t="s">
        <v>191</v>
      </c>
      <c r="AO15729" s="55">
        <v>17</v>
      </c>
      <c r="AP15729" s="55">
        <v>7</v>
      </c>
      <c r="AQ15729" s="55">
        <v>599</v>
      </c>
      <c r="AR15729" s="55">
        <v>28500</v>
      </c>
      <c r="AS15729" s="78">
        <f t="shared" si="249"/>
        <v>2.1017543859649122E-2</v>
      </c>
    </row>
    <row r="15730" spans="39:45">
      <c r="AM15730" s="54">
        <v>2020</v>
      </c>
      <c r="AN15730" s="54" t="s">
        <v>191</v>
      </c>
      <c r="AO15730" s="54">
        <v>17</v>
      </c>
      <c r="AP15730" s="54">
        <v>8</v>
      </c>
      <c r="AQ15730" s="54">
        <v>2276</v>
      </c>
      <c r="AR15730" s="55">
        <v>28500</v>
      </c>
      <c r="AS15730" s="78">
        <f t="shared" si="249"/>
        <v>7.9859649122807019E-2</v>
      </c>
    </row>
    <row r="15731" spans="39:45">
      <c r="AM15731" s="55">
        <v>2020</v>
      </c>
      <c r="AN15731" s="55" t="s">
        <v>191</v>
      </c>
      <c r="AO15731" s="55">
        <v>17</v>
      </c>
      <c r="AP15731" s="55">
        <v>9</v>
      </c>
      <c r="AQ15731" s="55">
        <v>6092.5</v>
      </c>
      <c r="AR15731" s="55">
        <v>28500</v>
      </c>
      <c r="AS15731" s="78">
        <f t="shared" si="249"/>
        <v>0.21377192982456139</v>
      </c>
    </row>
    <row r="15732" spans="39:45">
      <c r="AM15732" s="54">
        <v>2020</v>
      </c>
      <c r="AN15732" s="54" t="s">
        <v>191</v>
      </c>
      <c r="AO15732" s="54">
        <v>17</v>
      </c>
      <c r="AP15732" s="54">
        <v>10</v>
      </c>
      <c r="AQ15732" s="54">
        <v>3845</v>
      </c>
      <c r="AR15732" s="55">
        <v>28500</v>
      </c>
      <c r="AS15732" s="78">
        <f t="shared" si="249"/>
        <v>0.13491228070175437</v>
      </c>
    </row>
    <row r="15733" spans="39:45">
      <c r="AM15733" s="55">
        <v>2020</v>
      </c>
      <c r="AN15733" s="55" t="s">
        <v>191</v>
      </c>
      <c r="AO15733" s="55">
        <v>17</v>
      </c>
      <c r="AP15733" s="55">
        <v>11</v>
      </c>
      <c r="AQ15733" s="55">
        <v>5538.5</v>
      </c>
      <c r="AR15733" s="55">
        <v>28500</v>
      </c>
      <c r="AS15733" s="78">
        <f t="shared" si="249"/>
        <v>0.19433333333333333</v>
      </c>
    </row>
    <row r="15734" spans="39:45">
      <c r="AM15734" s="54">
        <v>2020</v>
      </c>
      <c r="AN15734" s="54" t="s">
        <v>191</v>
      </c>
      <c r="AO15734" s="54">
        <v>17</v>
      </c>
      <c r="AP15734" s="54">
        <v>12</v>
      </c>
      <c r="AQ15734" s="54">
        <v>5106.5</v>
      </c>
      <c r="AR15734" s="55">
        <v>28500</v>
      </c>
      <c r="AS15734" s="78">
        <f t="shared" si="249"/>
        <v>0.17917543859649124</v>
      </c>
    </row>
    <row r="15735" spans="39:45">
      <c r="AM15735" s="55">
        <v>2020</v>
      </c>
      <c r="AN15735" s="55" t="s">
        <v>191</v>
      </c>
      <c r="AO15735" s="55">
        <v>17</v>
      </c>
      <c r="AP15735" s="55">
        <v>13</v>
      </c>
      <c r="AQ15735" s="55">
        <v>6835</v>
      </c>
      <c r="AR15735" s="55">
        <v>28500</v>
      </c>
      <c r="AS15735" s="78">
        <f t="shared" si="249"/>
        <v>0.23982456140350877</v>
      </c>
    </row>
    <row r="15736" spans="39:45">
      <c r="AM15736" s="54">
        <v>2020</v>
      </c>
      <c r="AN15736" s="54" t="s">
        <v>191</v>
      </c>
      <c r="AO15736" s="54">
        <v>17</v>
      </c>
      <c r="AP15736" s="54">
        <v>14</v>
      </c>
      <c r="AQ15736" s="54">
        <v>2962.5</v>
      </c>
      <c r="AR15736" s="55">
        <v>28500</v>
      </c>
      <c r="AS15736" s="78">
        <f t="shared" si="249"/>
        <v>0.10394736842105264</v>
      </c>
    </row>
    <row r="15737" spans="39:45">
      <c r="AM15737" s="55">
        <v>2020</v>
      </c>
      <c r="AN15737" s="55" t="s">
        <v>191</v>
      </c>
      <c r="AO15737" s="55">
        <v>17</v>
      </c>
      <c r="AP15737" s="55">
        <v>15</v>
      </c>
      <c r="AQ15737" s="55">
        <v>1843.5</v>
      </c>
      <c r="AR15737" s="55">
        <v>28500</v>
      </c>
      <c r="AS15737" s="78">
        <f t="shared" si="249"/>
        <v>6.4684210526315788E-2</v>
      </c>
    </row>
    <row r="15738" spans="39:45">
      <c r="AM15738" s="54">
        <v>2020</v>
      </c>
      <c r="AN15738" s="54" t="s">
        <v>191</v>
      </c>
      <c r="AO15738" s="54">
        <v>17</v>
      </c>
      <c r="AP15738" s="54">
        <v>16</v>
      </c>
      <c r="AQ15738" s="54">
        <v>600</v>
      </c>
      <c r="AR15738" s="55">
        <v>28500</v>
      </c>
      <c r="AS15738" s="78">
        <f t="shared" si="249"/>
        <v>2.1052631578947368E-2</v>
      </c>
    </row>
    <row r="15739" spans="39:45">
      <c r="AM15739" s="55">
        <v>2020</v>
      </c>
      <c r="AN15739" s="55" t="s">
        <v>191</v>
      </c>
      <c r="AO15739" s="55">
        <v>17</v>
      </c>
      <c r="AP15739" s="55">
        <v>17</v>
      </c>
      <c r="AQ15739" s="55">
        <v>0</v>
      </c>
      <c r="AR15739" s="55">
        <v>28500</v>
      </c>
      <c r="AS15739" s="78">
        <f t="shared" si="249"/>
        <v>0</v>
      </c>
    </row>
    <row r="15740" spans="39:45">
      <c r="AM15740" s="54">
        <v>2020</v>
      </c>
      <c r="AN15740" s="54" t="s">
        <v>191</v>
      </c>
      <c r="AO15740" s="54">
        <v>17</v>
      </c>
      <c r="AP15740" s="54">
        <v>18</v>
      </c>
      <c r="AQ15740" s="54">
        <v>0</v>
      </c>
      <c r="AR15740" s="55">
        <v>28500</v>
      </c>
      <c r="AS15740" s="78">
        <f t="shared" si="249"/>
        <v>0</v>
      </c>
    </row>
    <row r="15741" spans="39:45">
      <c r="AM15741" s="55">
        <v>2020</v>
      </c>
      <c r="AN15741" s="55" t="s">
        <v>191</v>
      </c>
      <c r="AO15741" s="55">
        <v>17</v>
      </c>
      <c r="AP15741" s="55">
        <v>19</v>
      </c>
      <c r="AQ15741" s="55">
        <v>0</v>
      </c>
      <c r="AR15741" s="55">
        <v>28500</v>
      </c>
      <c r="AS15741" s="78">
        <f t="shared" si="249"/>
        <v>0</v>
      </c>
    </row>
    <row r="15742" spans="39:45">
      <c r="AM15742" s="54">
        <v>2020</v>
      </c>
      <c r="AN15742" s="54" t="s">
        <v>191</v>
      </c>
      <c r="AO15742" s="54">
        <v>17</v>
      </c>
      <c r="AP15742" s="54">
        <v>20</v>
      </c>
      <c r="AQ15742" s="54">
        <v>0</v>
      </c>
      <c r="AR15742" s="55">
        <v>28500</v>
      </c>
      <c r="AS15742" s="78">
        <f t="shared" si="249"/>
        <v>0</v>
      </c>
    </row>
    <row r="15743" spans="39:45">
      <c r="AM15743" s="55">
        <v>2020</v>
      </c>
      <c r="AN15743" s="55" t="s">
        <v>191</v>
      </c>
      <c r="AO15743" s="55">
        <v>17</v>
      </c>
      <c r="AP15743" s="55">
        <v>21</v>
      </c>
      <c r="AQ15743" s="55">
        <v>0</v>
      </c>
      <c r="AR15743" s="55">
        <v>28500</v>
      </c>
      <c r="AS15743" s="78">
        <f t="shared" si="249"/>
        <v>0</v>
      </c>
    </row>
    <row r="15744" spans="39:45">
      <c r="AM15744" s="54">
        <v>2020</v>
      </c>
      <c r="AN15744" s="54" t="s">
        <v>191</v>
      </c>
      <c r="AO15744" s="54">
        <v>17</v>
      </c>
      <c r="AP15744" s="54">
        <v>22</v>
      </c>
      <c r="AQ15744" s="54">
        <v>0</v>
      </c>
      <c r="AR15744" s="55">
        <v>28500</v>
      </c>
      <c r="AS15744" s="78">
        <f t="shared" si="249"/>
        <v>0</v>
      </c>
    </row>
    <row r="15745" spans="39:45">
      <c r="AM15745" s="55">
        <v>2020</v>
      </c>
      <c r="AN15745" s="55" t="s">
        <v>191</v>
      </c>
      <c r="AO15745" s="55">
        <v>17</v>
      </c>
      <c r="AP15745" s="55">
        <v>23</v>
      </c>
      <c r="AQ15745" s="55">
        <v>0</v>
      </c>
      <c r="AR15745" s="55">
        <v>28500</v>
      </c>
      <c r="AS15745" s="78">
        <f t="shared" si="249"/>
        <v>0</v>
      </c>
    </row>
    <row r="15746" spans="39:45">
      <c r="AM15746" s="54">
        <v>2020</v>
      </c>
      <c r="AN15746" s="54" t="s">
        <v>191</v>
      </c>
      <c r="AO15746" s="54">
        <v>18</v>
      </c>
      <c r="AP15746" s="54">
        <v>24</v>
      </c>
      <c r="AQ15746" s="54">
        <v>0</v>
      </c>
      <c r="AR15746" s="55">
        <v>28500</v>
      </c>
      <c r="AS15746" s="78">
        <f t="shared" ref="AS15746:AS15809" si="250">AQ15746/AR15746</f>
        <v>0</v>
      </c>
    </row>
    <row r="15747" spans="39:45">
      <c r="AM15747" s="55">
        <v>2020</v>
      </c>
      <c r="AN15747" s="55" t="s">
        <v>191</v>
      </c>
      <c r="AO15747" s="55">
        <v>18</v>
      </c>
      <c r="AP15747" s="55">
        <v>1</v>
      </c>
      <c r="AQ15747" s="55">
        <v>0</v>
      </c>
      <c r="AR15747" s="55">
        <v>28500</v>
      </c>
      <c r="AS15747" s="78">
        <f t="shared" si="250"/>
        <v>0</v>
      </c>
    </row>
    <row r="15748" spans="39:45">
      <c r="AM15748" s="54">
        <v>2020</v>
      </c>
      <c r="AN15748" s="54" t="s">
        <v>191</v>
      </c>
      <c r="AO15748" s="54">
        <v>18</v>
      </c>
      <c r="AP15748" s="54">
        <v>2</v>
      </c>
      <c r="AQ15748" s="54">
        <v>0</v>
      </c>
      <c r="AR15748" s="55">
        <v>28500</v>
      </c>
      <c r="AS15748" s="78">
        <f t="shared" si="250"/>
        <v>0</v>
      </c>
    </row>
    <row r="15749" spans="39:45">
      <c r="AM15749" s="55">
        <v>2020</v>
      </c>
      <c r="AN15749" s="55" t="s">
        <v>191</v>
      </c>
      <c r="AO15749" s="55">
        <v>18</v>
      </c>
      <c r="AP15749" s="55">
        <v>3</v>
      </c>
      <c r="AQ15749" s="55">
        <v>0</v>
      </c>
      <c r="AR15749" s="55">
        <v>28500</v>
      </c>
      <c r="AS15749" s="78">
        <f t="shared" si="250"/>
        <v>0</v>
      </c>
    </row>
    <row r="15750" spans="39:45">
      <c r="AM15750" s="54">
        <v>2020</v>
      </c>
      <c r="AN15750" s="54" t="s">
        <v>191</v>
      </c>
      <c r="AO15750" s="54">
        <v>18</v>
      </c>
      <c r="AP15750" s="54">
        <v>4</v>
      </c>
      <c r="AQ15750" s="54">
        <v>0</v>
      </c>
      <c r="AR15750" s="55">
        <v>28500</v>
      </c>
      <c r="AS15750" s="78">
        <f t="shared" si="250"/>
        <v>0</v>
      </c>
    </row>
    <row r="15751" spans="39:45">
      <c r="AM15751" s="55">
        <v>2020</v>
      </c>
      <c r="AN15751" s="55" t="s">
        <v>191</v>
      </c>
      <c r="AO15751" s="55">
        <v>18</v>
      </c>
      <c r="AP15751" s="55">
        <v>5</v>
      </c>
      <c r="AQ15751" s="55">
        <v>0</v>
      </c>
      <c r="AR15751" s="55">
        <v>28500</v>
      </c>
      <c r="AS15751" s="78">
        <f t="shared" si="250"/>
        <v>0</v>
      </c>
    </row>
    <row r="15752" spans="39:45">
      <c r="AM15752" s="54">
        <v>2020</v>
      </c>
      <c r="AN15752" s="54" t="s">
        <v>191</v>
      </c>
      <c r="AO15752" s="54">
        <v>18</v>
      </c>
      <c r="AP15752" s="54">
        <v>6</v>
      </c>
      <c r="AQ15752" s="54">
        <v>0</v>
      </c>
      <c r="AR15752" s="55">
        <v>28500</v>
      </c>
      <c r="AS15752" s="78">
        <f t="shared" si="250"/>
        <v>0</v>
      </c>
    </row>
    <row r="15753" spans="39:45">
      <c r="AM15753" s="55">
        <v>2020</v>
      </c>
      <c r="AN15753" s="55" t="s">
        <v>191</v>
      </c>
      <c r="AO15753" s="55">
        <v>18</v>
      </c>
      <c r="AP15753" s="55">
        <v>7</v>
      </c>
      <c r="AQ15753" s="55">
        <v>2363</v>
      </c>
      <c r="AR15753" s="55">
        <v>28500</v>
      </c>
      <c r="AS15753" s="78">
        <f t="shared" si="250"/>
        <v>8.2912280701754382E-2</v>
      </c>
    </row>
    <row r="15754" spans="39:45">
      <c r="AM15754" s="54">
        <v>2020</v>
      </c>
      <c r="AN15754" s="54" t="s">
        <v>191</v>
      </c>
      <c r="AO15754" s="54">
        <v>18</v>
      </c>
      <c r="AP15754" s="54">
        <v>8</v>
      </c>
      <c r="AQ15754" s="54">
        <v>5854.5</v>
      </c>
      <c r="AR15754" s="55">
        <v>28500</v>
      </c>
      <c r="AS15754" s="78">
        <f t="shared" si="250"/>
        <v>0.20542105263157895</v>
      </c>
    </row>
    <row r="15755" spans="39:45">
      <c r="AM15755" s="55">
        <v>2020</v>
      </c>
      <c r="AN15755" s="55" t="s">
        <v>191</v>
      </c>
      <c r="AO15755" s="55">
        <v>18</v>
      </c>
      <c r="AP15755" s="55">
        <v>9</v>
      </c>
      <c r="AQ15755" s="55">
        <v>4926.5</v>
      </c>
      <c r="AR15755" s="55">
        <v>28500</v>
      </c>
      <c r="AS15755" s="78">
        <f t="shared" si="250"/>
        <v>0.17285964912280702</v>
      </c>
    </row>
    <row r="15756" spans="39:45">
      <c r="AM15756" s="54">
        <v>2020</v>
      </c>
      <c r="AN15756" s="54" t="s">
        <v>191</v>
      </c>
      <c r="AO15756" s="54">
        <v>18</v>
      </c>
      <c r="AP15756" s="54">
        <v>10</v>
      </c>
      <c r="AQ15756" s="54">
        <v>9165</v>
      </c>
      <c r="AR15756" s="55">
        <v>28500</v>
      </c>
      <c r="AS15756" s="78">
        <f t="shared" si="250"/>
        <v>0.32157894736842108</v>
      </c>
    </row>
    <row r="15757" spans="39:45">
      <c r="AM15757" s="55">
        <v>2020</v>
      </c>
      <c r="AN15757" s="55" t="s">
        <v>191</v>
      </c>
      <c r="AO15757" s="55">
        <v>18</v>
      </c>
      <c r="AP15757" s="55">
        <v>11</v>
      </c>
      <c r="AQ15757" s="55">
        <v>9939.5</v>
      </c>
      <c r="AR15757" s="55">
        <v>28500</v>
      </c>
      <c r="AS15757" s="78">
        <f t="shared" si="250"/>
        <v>0.34875438596491226</v>
      </c>
    </row>
    <row r="15758" spans="39:45">
      <c r="AM15758" s="54">
        <v>2020</v>
      </c>
      <c r="AN15758" s="54" t="s">
        <v>191</v>
      </c>
      <c r="AO15758" s="54">
        <v>18</v>
      </c>
      <c r="AP15758" s="54">
        <v>12</v>
      </c>
      <c r="AQ15758" s="54">
        <v>8103</v>
      </c>
      <c r="AR15758" s="55">
        <v>28500</v>
      </c>
      <c r="AS15758" s="78">
        <f t="shared" si="250"/>
        <v>0.28431578947368419</v>
      </c>
    </row>
    <row r="15759" spans="39:45">
      <c r="AM15759" s="55">
        <v>2020</v>
      </c>
      <c r="AN15759" s="55" t="s">
        <v>191</v>
      </c>
      <c r="AO15759" s="55">
        <v>18</v>
      </c>
      <c r="AP15759" s="55">
        <v>13</v>
      </c>
      <c r="AQ15759" s="55">
        <v>9458.5</v>
      </c>
      <c r="AR15759" s="55">
        <v>28500</v>
      </c>
      <c r="AS15759" s="78">
        <f t="shared" si="250"/>
        <v>0.33187719298245616</v>
      </c>
    </row>
    <row r="15760" spans="39:45">
      <c r="AM15760" s="54">
        <v>2020</v>
      </c>
      <c r="AN15760" s="54" t="s">
        <v>191</v>
      </c>
      <c r="AO15760" s="54">
        <v>18</v>
      </c>
      <c r="AP15760" s="54">
        <v>14</v>
      </c>
      <c r="AQ15760" s="54">
        <v>3184</v>
      </c>
      <c r="AR15760" s="55">
        <v>28500</v>
      </c>
      <c r="AS15760" s="78">
        <f t="shared" si="250"/>
        <v>0.11171929824561404</v>
      </c>
    </row>
    <row r="15761" spans="39:45">
      <c r="AM15761" s="55">
        <v>2020</v>
      </c>
      <c r="AN15761" s="55" t="s">
        <v>191</v>
      </c>
      <c r="AO15761" s="55">
        <v>18</v>
      </c>
      <c r="AP15761" s="55">
        <v>15</v>
      </c>
      <c r="AQ15761" s="55">
        <v>4831.5</v>
      </c>
      <c r="AR15761" s="55">
        <v>28500</v>
      </c>
      <c r="AS15761" s="78">
        <f t="shared" si="250"/>
        <v>0.16952631578947369</v>
      </c>
    </row>
    <row r="15762" spans="39:45">
      <c r="AM15762" s="54">
        <v>2020</v>
      </c>
      <c r="AN15762" s="54" t="s">
        <v>191</v>
      </c>
      <c r="AO15762" s="54">
        <v>18</v>
      </c>
      <c r="AP15762" s="54">
        <v>16</v>
      </c>
      <c r="AQ15762" s="54">
        <v>782</v>
      </c>
      <c r="AR15762" s="55">
        <v>28500</v>
      </c>
      <c r="AS15762" s="78">
        <f t="shared" si="250"/>
        <v>2.7438596491228071E-2</v>
      </c>
    </row>
    <row r="15763" spans="39:45">
      <c r="AM15763" s="55">
        <v>2020</v>
      </c>
      <c r="AN15763" s="55" t="s">
        <v>191</v>
      </c>
      <c r="AO15763" s="55">
        <v>18</v>
      </c>
      <c r="AP15763" s="55">
        <v>17</v>
      </c>
      <c r="AQ15763" s="55">
        <v>0</v>
      </c>
      <c r="AR15763" s="55">
        <v>28500</v>
      </c>
      <c r="AS15763" s="78">
        <f t="shared" si="250"/>
        <v>0</v>
      </c>
    </row>
    <row r="15764" spans="39:45">
      <c r="AM15764" s="54">
        <v>2020</v>
      </c>
      <c r="AN15764" s="54" t="s">
        <v>191</v>
      </c>
      <c r="AO15764" s="54">
        <v>18</v>
      </c>
      <c r="AP15764" s="54">
        <v>18</v>
      </c>
      <c r="AQ15764" s="54">
        <v>0</v>
      </c>
      <c r="AR15764" s="55">
        <v>28500</v>
      </c>
      <c r="AS15764" s="78">
        <f t="shared" si="250"/>
        <v>0</v>
      </c>
    </row>
    <row r="15765" spans="39:45">
      <c r="AM15765" s="55">
        <v>2020</v>
      </c>
      <c r="AN15765" s="55" t="s">
        <v>191</v>
      </c>
      <c r="AO15765" s="55">
        <v>18</v>
      </c>
      <c r="AP15765" s="55">
        <v>19</v>
      </c>
      <c r="AQ15765" s="55">
        <v>0</v>
      </c>
      <c r="AR15765" s="55">
        <v>28500</v>
      </c>
      <c r="AS15765" s="78">
        <f t="shared" si="250"/>
        <v>0</v>
      </c>
    </row>
    <row r="15766" spans="39:45">
      <c r="AM15766" s="54">
        <v>2020</v>
      </c>
      <c r="AN15766" s="54" t="s">
        <v>191</v>
      </c>
      <c r="AO15766" s="54">
        <v>18</v>
      </c>
      <c r="AP15766" s="54">
        <v>20</v>
      </c>
      <c r="AQ15766" s="54">
        <v>0</v>
      </c>
      <c r="AR15766" s="55">
        <v>28500</v>
      </c>
      <c r="AS15766" s="78">
        <f t="shared" si="250"/>
        <v>0</v>
      </c>
    </row>
    <row r="15767" spans="39:45">
      <c r="AM15767" s="55">
        <v>2020</v>
      </c>
      <c r="AN15767" s="55" t="s">
        <v>191</v>
      </c>
      <c r="AO15767" s="55">
        <v>18</v>
      </c>
      <c r="AP15767" s="55">
        <v>21</v>
      </c>
      <c r="AQ15767" s="55">
        <v>0</v>
      </c>
      <c r="AR15767" s="55">
        <v>28500</v>
      </c>
      <c r="AS15767" s="78">
        <f t="shared" si="250"/>
        <v>0</v>
      </c>
    </row>
    <row r="15768" spans="39:45">
      <c r="AM15768" s="54">
        <v>2020</v>
      </c>
      <c r="AN15768" s="54" t="s">
        <v>191</v>
      </c>
      <c r="AO15768" s="54">
        <v>18</v>
      </c>
      <c r="AP15768" s="54">
        <v>22</v>
      </c>
      <c r="AQ15768" s="54">
        <v>0</v>
      </c>
      <c r="AR15768" s="55">
        <v>28500</v>
      </c>
      <c r="AS15768" s="78">
        <f t="shared" si="250"/>
        <v>0</v>
      </c>
    </row>
    <row r="15769" spans="39:45">
      <c r="AM15769" s="55">
        <v>2020</v>
      </c>
      <c r="AN15769" s="55" t="s">
        <v>191</v>
      </c>
      <c r="AO15769" s="55">
        <v>18</v>
      </c>
      <c r="AP15769" s="55">
        <v>23</v>
      </c>
      <c r="AQ15769" s="55">
        <v>0</v>
      </c>
      <c r="AR15769" s="55">
        <v>28500</v>
      </c>
      <c r="AS15769" s="78">
        <f t="shared" si="250"/>
        <v>0</v>
      </c>
    </row>
    <row r="15770" spans="39:45">
      <c r="AM15770" s="54">
        <v>2020</v>
      </c>
      <c r="AN15770" s="54" t="s">
        <v>191</v>
      </c>
      <c r="AO15770" s="54">
        <v>19</v>
      </c>
      <c r="AP15770" s="54">
        <v>24</v>
      </c>
      <c r="AQ15770" s="54">
        <v>0</v>
      </c>
      <c r="AR15770" s="55">
        <v>28500</v>
      </c>
      <c r="AS15770" s="78">
        <f t="shared" si="250"/>
        <v>0</v>
      </c>
    </row>
    <row r="15771" spans="39:45">
      <c r="AM15771" s="55">
        <v>2020</v>
      </c>
      <c r="AN15771" s="55" t="s">
        <v>191</v>
      </c>
      <c r="AO15771" s="55">
        <v>19</v>
      </c>
      <c r="AP15771" s="55">
        <v>1</v>
      </c>
      <c r="AQ15771" s="55">
        <v>0</v>
      </c>
      <c r="AR15771" s="55">
        <v>28500</v>
      </c>
      <c r="AS15771" s="78">
        <f t="shared" si="250"/>
        <v>0</v>
      </c>
    </row>
    <row r="15772" spans="39:45">
      <c r="AM15772" s="54">
        <v>2020</v>
      </c>
      <c r="AN15772" s="54" t="s">
        <v>191</v>
      </c>
      <c r="AO15772" s="54">
        <v>19</v>
      </c>
      <c r="AP15772" s="54">
        <v>2</v>
      </c>
      <c r="AQ15772" s="54">
        <v>0</v>
      </c>
      <c r="AR15772" s="55">
        <v>28500</v>
      </c>
      <c r="AS15772" s="78">
        <f t="shared" si="250"/>
        <v>0</v>
      </c>
    </row>
    <row r="15773" spans="39:45">
      <c r="AM15773" s="55">
        <v>2020</v>
      </c>
      <c r="AN15773" s="55" t="s">
        <v>191</v>
      </c>
      <c r="AO15773" s="55">
        <v>19</v>
      </c>
      <c r="AP15773" s="55">
        <v>3</v>
      </c>
      <c r="AQ15773" s="55">
        <v>0</v>
      </c>
      <c r="AR15773" s="55">
        <v>28500</v>
      </c>
      <c r="AS15773" s="78">
        <f t="shared" si="250"/>
        <v>0</v>
      </c>
    </row>
    <row r="15774" spans="39:45">
      <c r="AM15774" s="54">
        <v>2020</v>
      </c>
      <c r="AN15774" s="54" t="s">
        <v>191</v>
      </c>
      <c r="AO15774" s="54">
        <v>19</v>
      </c>
      <c r="AP15774" s="54">
        <v>4</v>
      </c>
      <c r="AQ15774" s="54">
        <v>0</v>
      </c>
      <c r="AR15774" s="55">
        <v>28500</v>
      </c>
      <c r="AS15774" s="78">
        <f t="shared" si="250"/>
        <v>0</v>
      </c>
    </row>
    <row r="15775" spans="39:45">
      <c r="AM15775" s="55">
        <v>2020</v>
      </c>
      <c r="AN15775" s="55" t="s">
        <v>191</v>
      </c>
      <c r="AO15775" s="55">
        <v>19</v>
      </c>
      <c r="AP15775" s="55">
        <v>5</v>
      </c>
      <c r="AQ15775" s="55">
        <v>0</v>
      </c>
      <c r="AR15775" s="55">
        <v>28500</v>
      </c>
      <c r="AS15775" s="78">
        <f t="shared" si="250"/>
        <v>0</v>
      </c>
    </row>
    <row r="15776" spans="39:45">
      <c r="AM15776" s="54">
        <v>2020</v>
      </c>
      <c r="AN15776" s="54" t="s">
        <v>191</v>
      </c>
      <c r="AO15776" s="54">
        <v>19</v>
      </c>
      <c r="AP15776" s="54">
        <v>6</v>
      </c>
      <c r="AQ15776" s="54">
        <v>0</v>
      </c>
      <c r="AR15776" s="55">
        <v>28500</v>
      </c>
      <c r="AS15776" s="78">
        <f t="shared" si="250"/>
        <v>0</v>
      </c>
    </row>
    <row r="15777" spans="39:45">
      <c r="AM15777" s="55">
        <v>2020</v>
      </c>
      <c r="AN15777" s="55" t="s">
        <v>191</v>
      </c>
      <c r="AO15777" s="55">
        <v>19</v>
      </c>
      <c r="AP15777" s="55">
        <v>7</v>
      </c>
      <c r="AQ15777" s="55">
        <v>2306</v>
      </c>
      <c r="AR15777" s="55">
        <v>28500</v>
      </c>
      <c r="AS15777" s="78">
        <f t="shared" si="250"/>
        <v>8.091228070175438E-2</v>
      </c>
    </row>
    <row r="15778" spans="39:45">
      <c r="AM15778" s="54">
        <v>2020</v>
      </c>
      <c r="AN15778" s="54" t="s">
        <v>191</v>
      </c>
      <c r="AO15778" s="54">
        <v>19</v>
      </c>
      <c r="AP15778" s="54">
        <v>8</v>
      </c>
      <c r="AQ15778" s="54">
        <v>9905</v>
      </c>
      <c r="AR15778" s="55">
        <v>28500</v>
      </c>
      <c r="AS15778" s="78">
        <f t="shared" si="250"/>
        <v>0.34754385964912282</v>
      </c>
    </row>
    <row r="15779" spans="39:45">
      <c r="AM15779" s="55">
        <v>2020</v>
      </c>
      <c r="AN15779" s="55" t="s">
        <v>191</v>
      </c>
      <c r="AO15779" s="55">
        <v>19</v>
      </c>
      <c r="AP15779" s="55">
        <v>9</v>
      </c>
      <c r="AQ15779" s="55">
        <v>7788.5</v>
      </c>
      <c r="AR15779" s="55">
        <v>28500</v>
      </c>
      <c r="AS15779" s="78">
        <f t="shared" si="250"/>
        <v>0.27328070175438596</v>
      </c>
    </row>
    <row r="15780" spans="39:45">
      <c r="AM15780" s="54">
        <v>2020</v>
      </c>
      <c r="AN15780" s="54" t="s">
        <v>191</v>
      </c>
      <c r="AO15780" s="54">
        <v>19</v>
      </c>
      <c r="AP15780" s="54">
        <v>10</v>
      </c>
      <c r="AQ15780" s="54">
        <v>14644</v>
      </c>
      <c r="AR15780" s="55">
        <v>28500</v>
      </c>
      <c r="AS15780" s="78">
        <f t="shared" si="250"/>
        <v>0.51382456140350874</v>
      </c>
    </row>
    <row r="15781" spans="39:45">
      <c r="AM15781" s="55">
        <v>2020</v>
      </c>
      <c r="AN15781" s="55" t="s">
        <v>191</v>
      </c>
      <c r="AO15781" s="55">
        <v>19</v>
      </c>
      <c r="AP15781" s="55">
        <v>11</v>
      </c>
      <c r="AQ15781" s="55">
        <v>29351.5</v>
      </c>
      <c r="AR15781" s="55">
        <v>28500</v>
      </c>
      <c r="AS15781" s="78">
        <f t="shared" si="250"/>
        <v>1.0298771929824562</v>
      </c>
    </row>
    <row r="15782" spans="39:45">
      <c r="AM15782" s="54">
        <v>2020</v>
      </c>
      <c r="AN15782" s="54" t="s">
        <v>191</v>
      </c>
      <c r="AO15782" s="54">
        <v>19</v>
      </c>
      <c r="AP15782" s="54">
        <v>12</v>
      </c>
      <c r="AQ15782" s="54">
        <v>30083.5</v>
      </c>
      <c r="AR15782" s="55">
        <v>28500</v>
      </c>
      <c r="AS15782" s="78">
        <f t="shared" si="250"/>
        <v>1.0555614035087719</v>
      </c>
    </row>
    <row r="15783" spans="39:45">
      <c r="AM15783" s="55">
        <v>2020</v>
      </c>
      <c r="AN15783" s="55" t="s">
        <v>191</v>
      </c>
      <c r="AO15783" s="55">
        <v>19</v>
      </c>
      <c r="AP15783" s="55">
        <v>13</v>
      </c>
      <c r="AQ15783" s="55">
        <v>25804</v>
      </c>
      <c r="AR15783" s="55">
        <v>28500</v>
      </c>
      <c r="AS15783" s="78">
        <f t="shared" si="250"/>
        <v>0.90540350877192988</v>
      </c>
    </row>
    <row r="15784" spans="39:45">
      <c r="AM15784" s="54">
        <v>2020</v>
      </c>
      <c r="AN15784" s="54" t="s">
        <v>191</v>
      </c>
      <c r="AO15784" s="54">
        <v>19</v>
      </c>
      <c r="AP15784" s="54">
        <v>14</v>
      </c>
      <c r="AQ15784" s="54">
        <v>18902</v>
      </c>
      <c r="AR15784" s="55">
        <v>28500</v>
      </c>
      <c r="AS15784" s="78">
        <f t="shared" si="250"/>
        <v>0.66322807017543861</v>
      </c>
    </row>
    <row r="15785" spans="39:45">
      <c r="AM15785" s="55">
        <v>2020</v>
      </c>
      <c r="AN15785" s="55" t="s">
        <v>191</v>
      </c>
      <c r="AO15785" s="55">
        <v>19</v>
      </c>
      <c r="AP15785" s="55">
        <v>15</v>
      </c>
      <c r="AQ15785" s="55">
        <v>6256.5</v>
      </c>
      <c r="AR15785" s="55">
        <v>28500</v>
      </c>
      <c r="AS15785" s="78">
        <f t="shared" si="250"/>
        <v>0.21952631578947368</v>
      </c>
    </row>
    <row r="15786" spans="39:45">
      <c r="AM15786" s="54">
        <v>2020</v>
      </c>
      <c r="AN15786" s="54" t="s">
        <v>191</v>
      </c>
      <c r="AO15786" s="54">
        <v>19</v>
      </c>
      <c r="AP15786" s="54">
        <v>16</v>
      </c>
      <c r="AQ15786" s="54">
        <v>93</v>
      </c>
      <c r="AR15786" s="55">
        <v>28500</v>
      </c>
      <c r="AS15786" s="78">
        <f t="shared" si="250"/>
        <v>3.2631578947368419E-3</v>
      </c>
    </row>
    <row r="15787" spans="39:45">
      <c r="AM15787" s="55">
        <v>2020</v>
      </c>
      <c r="AN15787" s="55" t="s">
        <v>191</v>
      </c>
      <c r="AO15787" s="55">
        <v>19</v>
      </c>
      <c r="AP15787" s="55">
        <v>17</v>
      </c>
      <c r="AQ15787" s="55">
        <v>0</v>
      </c>
      <c r="AR15787" s="55">
        <v>28500</v>
      </c>
      <c r="AS15787" s="78">
        <f t="shared" si="250"/>
        <v>0</v>
      </c>
    </row>
    <row r="15788" spans="39:45">
      <c r="AM15788" s="54">
        <v>2020</v>
      </c>
      <c r="AN15788" s="54" t="s">
        <v>191</v>
      </c>
      <c r="AO15788" s="54">
        <v>19</v>
      </c>
      <c r="AP15788" s="54">
        <v>18</v>
      </c>
      <c r="AQ15788" s="54">
        <v>0</v>
      </c>
      <c r="AR15788" s="55">
        <v>28500</v>
      </c>
      <c r="AS15788" s="78">
        <f t="shared" si="250"/>
        <v>0</v>
      </c>
    </row>
    <row r="15789" spans="39:45">
      <c r="AM15789" s="55">
        <v>2020</v>
      </c>
      <c r="AN15789" s="55" t="s">
        <v>191</v>
      </c>
      <c r="AO15789" s="55">
        <v>19</v>
      </c>
      <c r="AP15789" s="55">
        <v>19</v>
      </c>
      <c r="AQ15789" s="55">
        <v>0</v>
      </c>
      <c r="AR15789" s="55">
        <v>28500</v>
      </c>
      <c r="AS15789" s="78">
        <f t="shared" si="250"/>
        <v>0</v>
      </c>
    </row>
    <row r="15790" spans="39:45">
      <c r="AM15790" s="54">
        <v>2020</v>
      </c>
      <c r="AN15790" s="54" t="s">
        <v>191</v>
      </c>
      <c r="AO15790" s="54">
        <v>19</v>
      </c>
      <c r="AP15790" s="54">
        <v>20</v>
      </c>
      <c r="AQ15790" s="54">
        <v>0</v>
      </c>
      <c r="AR15790" s="55">
        <v>28500</v>
      </c>
      <c r="AS15790" s="78">
        <f t="shared" si="250"/>
        <v>0</v>
      </c>
    </row>
    <row r="15791" spans="39:45">
      <c r="AM15791" s="55">
        <v>2020</v>
      </c>
      <c r="AN15791" s="55" t="s">
        <v>191</v>
      </c>
      <c r="AO15791" s="55">
        <v>19</v>
      </c>
      <c r="AP15791" s="55">
        <v>21</v>
      </c>
      <c r="AQ15791" s="55">
        <v>0</v>
      </c>
      <c r="AR15791" s="55">
        <v>28500</v>
      </c>
      <c r="AS15791" s="78">
        <f t="shared" si="250"/>
        <v>0</v>
      </c>
    </row>
    <row r="15792" spans="39:45">
      <c r="AM15792" s="54">
        <v>2020</v>
      </c>
      <c r="AN15792" s="54" t="s">
        <v>191</v>
      </c>
      <c r="AO15792" s="54">
        <v>19</v>
      </c>
      <c r="AP15792" s="54">
        <v>22</v>
      </c>
      <c r="AQ15792" s="54">
        <v>0</v>
      </c>
      <c r="AR15792" s="55">
        <v>28500</v>
      </c>
      <c r="AS15792" s="78">
        <f t="shared" si="250"/>
        <v>0</v>
      </c>
    </row>
    <row r="15793" spans="39:45">
      <c r="AM15793" s="55">
        <v>2020</v>
      </c>
      <c r="AN15793" s="55" t="s">
        <v>191</v>
      </c>
      <c r="AO15793" s="55">
        <v>19</v>
      </c>
      <c r="AP15793" s="55">
        <v>23</v>
      </c>
      <c r="AQ15793" s="55">
        <v>0</v>
      </c>
      <c r="AR15793" s="55">
        <v>28500</v>
      </c>
      <c r="AS15793" s="78">
        <f t="shared" si="250"/>
        <v>0</v>
      </c>
    </row>
    <row r="15794" spans="39:45">
      <c r="AM15794" s="54">
        <v>2020</v>
      </c>
      <c r="AN15794" s="54" t="s">
        <v>191</v>
      </c>
      <c r="AO15794" s="54">
        <v>20</v>
      </c>
      <c r="AP15794" s="54">
        <v>24</v>
      </c>
      <c r="AQ15794" s="54">
        <v>0</v>
      </c>
      <c r="AR15794" s="55">
        <v>28500</v>
      </c>
      <c r="AS15794" s="78">
        <f t="shared" si="250"/>
        <v>0</v>
      </c>
    </row>
    <row r="15795" spans="39:45">
      <c r="AM15795" s="55">
        <v>2020</v>
      </c>
      <c r="AN15795" s="55" t="s">
        <v>191</v>
      </c>
      <c r="AO15795" s="55">
        <v>20</v>
      </c>
      <c r="AP15795" s="55">
        <v>1</v>
      </c>
      <c r="AQ15795" s="55">
        <v>0</v>
      </c>
      <c r="AR15795" s="55">
        <v>28500</v>
      </c>
      <c r="AS15795" s="78">
        <f t="shared" si="250"/>
        <v>0</v>
      </c>
    </row>
    <row r="15796" spans="39:45">
      <c r="AM15796" s="54">
        <v>2020</v>
      </c>
      <c r="AN15796" s="54" t="s">
        <v>191</v>
      </c>
      <c r="AO15796" s="54">
        <v>20</v>
      </c>
      <c r="AP15796" s="54">
        <v>2</v>
      </c>
      <c r="AQ15796" s="54">
        <v>0</v>
      </c>
      <c r="AR15796" s="55">
        <v>28500</v>
      </c>
      <c r="AS15796" s="78">
        <f t="shared" si="250"/>
        <v>0</v>
      </c>
    </row>
    <row r="15797" spans="39:45">
      <c r="AM15797" s="55">
        <v>2020</v>
      </c>
      <c r="AN15797" s="55" t="s">
        <v>191</v>
      </c>
      <c r="AO15797" s="55">
        <v>20</v>
      </c>
      <c r="AP15797" s="55">
        <v>3</v>
      </c>
      <c r="AQ15797" s="55">
        <v>0</v>
      </c>
      <c r="AR15797" s="55">
        <v>28500</v>
      </c>
      <c r="AS15797" s="78">
        <f t="shared" si="250"/>
        <v>0</v>
      </c>
    </row>
    <row r="15798" spans="39:45">
      <c r="AM15798" s="54">
        <v>2020</v>
      </c>
      <c r="AN15798" s="54" t="s">
        <v>191</v>
      </c>
      <c r="AO15798" s="54">
        <v>20</v>
      </c>
      <c r="AP15798" s="54">
        <v>4</v>
      </c>
      <c r="AQ15798" s="54">
        <v>0</v>
      </c>
      <c r="AR15798" s="55">
        <v>28500</v>
      </c>
      <c r="AS15798" s="78">
        <f t="shared" si="250"/>
        <v>0</v>
      </c>
    </row>
    <row r="15799" spans="39:45">
      <c r="AM15799" s="55">
        <v>2020</v>
      </c>
      <c r="AN15799" s="55" t="s">
        <v>191</v>
      </c>
      <c r="AO15799" s="55">
        <v>20</v>
      </c>
      <c r="AP15799" s="55">
        <v>5</v>
      </c>
      <c r="AQ15799" s="55">
        <v>0</v>
      </c>
      <c r="AR15799" s="55">
        <v>28500</v>
      </c>
      <c r="AS15799" s="78">
        <f t="shared" si="250"/>
        <v>0</v>
      </c>
    </row>
    <row r="15800" spans="39:45">
      <c r="AM15800" s="54">
        <v>2020</v>
      </c>
      <c r="AN15800" s="54" t="s">
        <v>191</v>
      </c>
      <c r="AO15800" s="54">
        <v>20</v>
      </c>
      <c r="AP15800" s="54">
        <v>6</v>
      </c>
      <c r="AQ15800" s="54">
        <v>0</v>
      </c>
      <c r="AR15800" s="55">
        <v>28500</v>
      </c>
      <c r="AS15800" s="78">
        <f t="shared" si="250"/>
        <v>0</v>
      </c>
    </row>
    <row r="15801" spans="39:45">
      <c r="AM15801" s="55">
        <v>2020</v>
      </c>
      <c r="AN15801" s="55" t="s">
        <v>191</v>
      </c>
      <c r="AO15801" s="55">
        <v>20</v>
      </c>
      <c r="AP15801" s="55">
        <v>7</v>
      </c>
      <c r="AQ15801" s="55">
        <v>353</v>
      </c>
      <c r="AR15801" s="55">
        <v>28500</v>
      </c>
      <c r="AS15801" s="78">
        <f t="shared" si="250"/>
        <v>1.2385964912280702E-2</v>
      </c>
    </row>
    <row r="15802" spans="39:45">
      <c r="AM15802" s="54">
        <v>2020</v>
      </c>
      <c r="AN15802" s="54" t="s">
        <v>191</v>
      </c>
      <c r="AO15802" s="54">
        <v>20</v>
      </c>
      <c r="AP15802" s="54">
        <v>8</v>
      </c>
      <c r="AQ15802" s="54">
        <v>4728.5</v>
      </c>
      <c r="AR15802" s="55">
        <v>28500</v>
      </c>
      <c r="AS15802" s="78">
        <f t="shared" si="250"/>
        <v>0.16591228070175437</v>
      </c>
    </row>
    <row r="15803" spans="39:45">
      <c r="AM15803" s="55">
        <v>2020</v>
      </c>
      <c r="AN15803" s="55" t="s">
        <v>191</v>
      </c>
      <c r="AO15803" s="55">
        <v>20</v>
      </c>
      <c r="AP15803" s="55">
        <v>9</v>
      </c>
      <c r="AQ15803" s="55">
        <v>620</v>
      </c>
      <c r="AR15803" s="55">
        <v>28500</v>
      </c>
      <c r="AS15803" s="78">
        <f t="shared" si="250"/>
        <v>2.175438596491228E-2</v>
      </c>
    </row>
    <row r="15804" spans="39:45">
      <c r="AM15804" s="54">
        <v>2020</v>
      </c>
      <c r="AN15804" s="54" t="s">
        <v>191</v>
      </c>
      <c r="AO15804" s="54">
        <v>20</v>
      </c>
      <c r="AP15804" s="54">
        <v>10</v>
      </c>
      <c r="AQ15804" s="54">
        <v>6918.5</v>
      </c>
      <c r="AR15804" s="55">
        <v>28500</v>
      </c>
      <c r="AS15804" s="78">
        <f t="shared" si="250"/>
        <v>0.24275438596491228</v>
      </c>
    </row>
    <row r="15805" spans="39:45">
      <c r="AM15805" s="55">
        <v>2020</v>
      </c>
      <c r="AN15805" s="55" t="s">
        <v>191</v>
      </c>
      <c r="AO15805" s="55">
        <v>20</v>
      </c>
      <c r="AP15805" s="55">
        <v>11</v>
      </c>
      <c r="AQ15805" s="55">
        <v>12924.5</v>
      </c>
      <c r="AR15805" s="55">
        <v>28500</v>
      </c>
      <c r="AS15805" s="78">
        <f t="shared" si="250"/>
        <v>0.45349122807017545</v>
      </c>
    </row>
    <row r="15806" spans="39:45">
      <c r="AM15806" s="54">
        <v>2020</v>
      </c>
      <c r="AN15806" s="54" t="s">
        <v>191</v>
      </c>
      <c r="AO15806" s="54">
        <v>20</v>
      </c>
      <c r="AP15806" s="54">
        <v>12</v>
      </c>
      <c r="AQ15806" s="54">
        <v>13185</v>
      </c>
      <c r="AR15806" s="55">
        <v>28500</v>
      </c>
      <c r="AS15806" s="78">
        <f t="shared" si="250"/>
        <v>0.46263157894736839</v>
      </c>
    </row>
    <row r="15807" spans="39:45">
      <c r="AM15807" s="55">
        <v>2020</v>
      </c>
      <c r="AN15807" s="55" t="s">
        <v>191</v>
      </c>
      <c r="AO15807" s="55">
        <v>20</v>
      </c>
      <c r="AP15807" s="55">
        <v>13</v>
      </c>
      <c r="AQ15807" s="55">
        <v>8325.5</v>
      </c>
      <c r="AR15807" s="55">
        <v>28500</v>
      </c>
      <c r="AS15807" s="78">
        <f t="shared" si="250"/>
        <v>0.29212280701754384</v>
      </c>
    </row>
    <row r="15808" spans="39:45">
      <c r="AM15808" s="54">
        <v>2020</v>
      </c>
      <c r="AN15808" s="54" t="s">
        <v>191</v>
      </c>
      <c r="AO15808" s="54">
        <v>20</v>
      </c>
      <c r="AP15808" s="54">
        <v>14</v>
      </c>
      <c r="AQ15808" s="54">
        <v>7196.5</v>
      </c>
      <c r="AR15808" s="55">
        <v>28500</v>
      </c>
      <c r="AS15808" s="78">
        <f t="shared" si="250"/>
        <v>0.25250877192982457</v>
      </c>
    </row>
    <row r="15809" spans="39:45">
      <c r="AM15809" s="55">
        <v>2020</v>
      </c>
      <c r="AN15809" s="55" t="s">
        <v>191</v>
      </c>
      <c r="AO15809" s="55">
        <v>20</v>
      </c>
      <c r="AP15809" s="55">
        <v>15</v>
      </c>
      <c r="AQ15809" s="55">
        <v>7680</v>
      </c>
      <c r="AR15809" s="55">
        <v>28500</v>
      </c>
      <c r="AS15809" s="78">
        <f t="shared" si="250"/>
        <v>0.26947368421052631</v>
      </c>
    </row>
    <row r="15810" spans="39:45">
      <c r="AM15810" s="54">
        <v>2020</v>
      </c>
      <c r="AN15810" s="54" t="s">
        <v>191</v>
      </c>
      <c r="AO15810" s="54">
        <v>20</v>
      </c>
      <c r="AP15810" s="54">
        <v>16</v>
      </c>
      <c r="AQ15810" s="54">
        <v>3115</v>
      </c>
      <c r="AR15810" s="55">
        <v>28500</v>
      </c>
      <c r="AS15810" s="78">
        <f t="shared" ref="AS15810:AS15873" si="251">AQ15810/AR15810</f>
        <v>0.10929824561403509</v>
      </c>
    </row>
    <row r="15811" spans="39:45">
      <c r="AM15811" s="55">
        <v>2020</v>
      </c>
      <c r="AN15811" s="55" t="s">
        <v>191</v>
      </c>
      <c r="AO15811" s="55">
        <v>20</v>
      </c>
      <c r="AP15811" s="55">
        <v>17</v>
      </c>
      <c r="AQ15811" s="55">
        <v>0</v>
      </c>
      <c r="AR15811" s="55">
        <v>28500</v>
      </c>
      <c r="AS15811" s="78">
        <f t="shared" si="251"/>
        <v>0</v>
      </c>
    </row>
    <row r="15812" spans="39:45">
      <c r="AM15812" s="54">
        <v>2020</v>
      </c>
      <c r="AN15812" s="54" t="s">
        <v>191</v>
      </c>
      <c r="AO15812" s="54">
        <v>20</v>
      </c>
      <c r="AP15812" s="54">
        <v>18</v>
      </c>
      <c r="AQ15812" s="54">
        <v>0</v>
      </c>
      <c r="AR15812" s="55">
        <v>28500</v>
      </c>
      <c r="AS15812" s="78">
        <f t="shared" si="251"/>
        <v>0</v>
      </c>
    </row>
    <row r="15813" spans="39:45">
      <c r="AM15813" s="55">
        <v>2020</v>
      </c>
      <c r="AN15813" s="55" t="s">
        <v>191</v>
      </c>
      <c r="AO15813" s="55">
        <v>20</v>
      </c>
      <c r="AP15813" s="55">
        <v>19</v>
      </c>
      <c r="AQ15813" s="55">
        <v>0</v>
      </c>
      <c r="AR15813" s="55">
        <v>28500</v>
      </c>
      <c r="AS15813" s="78">
        <f t="shared" si="251"/>
        <v>0</v>
      </c>
    </row>
    <row r="15814" spans="39:45">
      <c r="AM15814" s="54">
        <v>2020</v>
      </c>
      <c r="AN15814" s="54" t="s">
        <v>191</v>
      </c>
      <c r="AO15814" s="54">
        <v>20</v>
      </c>
      <c r="AP15814" s="54">
        <v>20</v>
      </c>
      <c r="AQ15814" s="54">
        <v>0</v>
      </c>
      <c r="AR15814" s="55">
        <v>28500</v>
      </c>
      <c r="AS15814" s="78">
        <f t="shared" si="251"/>
        <v>0</v>
      </c>
    </row>
    <row r="15815" spans="39:45">
      <c r="AM15815" s="55">
        <v>2020</v>
      </c>
      <c r="AN15815" s="55" t="s">
        <v>191</v>
      </c>
      <c r="AO15815" s="55">
        <v>20</v>
      </c>
      <c r="AP15815" s="55">
        <v>21</v>
      </c>
      <c r="AQ15815" s="55">
        <v>0</v>
      </c>
      <c r="AR15815" s="55">
        <v>28500</v>
      </c>
      <c r="AS15815" s="78">
        <f t="shared" si="251"/>
        <v>0</v>
      </c>
    </row>
    <row r="15816" spans="39:45">
      <c r="AM15816" s="54">
        <v>2020</v>
      </c>
      <c r="AN15816" s="54" t="s">
        <v>191</v>
      </c>
      <c r="AO15816" s="54">
        <v>20</v>
      </c>
      <c r="AP15816" s="54">
        <v>22</v>
      </c>
      <c r="AQ15816" s="54">
        <v>0</v>
      </c>
      <c r="AR15816" s="55">
        <v>28500</v>
      </c>
      <c r="AS15816" s="78">
        <f t="shared" si="251"/>
        <v>0</v>
      </c>
    </row>
    <row r="15817" spans="39:45">
      <c r="AM15817" s="55">
        <v>2020</v>
      </c>
      <c r="AN15817" s="55" t="s">
        <v>191</v>
      </c>
      <c r="AO15817" s="55">
        <v>20</v>
      </c>
      <c r="AP15817" s="55">
        <v>23</v>
      </c>
      <c r="AQ15817" s="55">
        <v>0</v>
      </c>
      <c r="AR15817" s="55">
        <v>28500</v>
      </c>
      <c r="AS15817" s="78">
        <f t="shared" si="251"/>
        <v>0</v>
      </c>
    </row>
    <row r="15818" spans="39:45">
      <c r="AM15818" s="54">
        <v>2020</v>
      </c>
      <c r="AN15818" s="54" t="s">
        <v>191</v>
      </c>
      <c r="AO15818" s="54">
        <v>21</v>
      </c>
      <c r="AP15818" s="54">
        <v>24</v>
      </c>
      <c r="AQ15818" s="54">
        <v>0</v>
      </c>
      <c r="AR15818" s="55">
        <v>28500</v>
      </c>
      <c r="AS15818" s="78">
        <f t="shared" si="251"/>
        <v>0</v>
      </c>
    </row>
    <row r="15819" spans="39:45">
      <c r="AM15819" s="55">
        <v>2020</v>
      </c>
      <c r="AN15819" s="55" t="s">
        <v>191</v>
      </c>
      <c r="AO15819" s="55">
        <v>21</v>
      </c>
      <c r="AP15819" s="55">
        <v>1</v>
      </c>
      <c r="AQ15819" s="55">
        <v>0</v>
      </c>
      <c r="AR15819" s="55">
        <v>28500</v>
      </c>
      <c r="AS15819" s="78">
        <f t="shared" si="251"/>
        <v>0</v>
      </c>
    </row>
    <row r="15820" spans="39:45">
      <c r="AM15820" s="54">
        <v>2020</v>
      </c>
      <c r="AN15820" s="54" t="s">
        <v>191</v>
      </c>
      <c r="AO15820" s="54">
        <v>21</v>
      </c>
      <c r="AP15820" s="54">
        <v>2</v>
      </c>
      <c r="AQ15820" s="54">
        <v>0</v>
      </c>
      <c r="AR15820" s="55">
        <v>28500</v>
      </c>
      <c r="AS15820" s="78">
        <f t="shared" si="251"/>
        <v>0</v>
      </c>
    </row>
    <row r="15821" spans="39:45">
      <c r="AM15821" s="55">
        <v>2020</v>
      </c>
      <c r="AN15821" s="55" t="s">
        <v>191</v>
      </c>
      <c r="AO15821" s="55">
        <v>21</v>
      </c>
      <c r="AP15821" s="55">
        <v>3</v>
      </c>
      <c r="AQ15821" s="55">
        <v>0</v>
      </c>
      <c r="AR15821" s="55">
        <v>28500</v>
      </c>
      <c r="AS15821" s="78">
        <f t="shared" si="251"/>
        <v>0</v>
      </c>
    </row>
    <row r="15822" spans="39:45">
      <c r="AM15822" s="54">
        <v>2020</v>
      </c>
      <c r="AN15822" s="54" t="s">
        <v>191</v>
      </c>
      <c r="AO15822" s="54">
        <v>21</v>
      </c>
      <c r="AP15822" s="54">
        <v>4</v>
      </c>
      <c r="AQ15822" s="54">
        <v>0</v>
      </c>
      <c r="AR15822" s="55">
        <v>28500</v>
      </c>
      <c r="AS15822" s="78">
        <f t="shared" si="251"/>
        <v>0</v>
      </c>
    </row>
    <row r="15823" spans="39:45">
      <c r="AM15823" s="55">
        <v>2020</v>
      </c>
      <c r="AN15823" s="55" t="s">
        <v>191</v>
      </c>
      <c r="AO15823" s="55">
        <v>21</v>
      </c>
      <c r="AP15823" s="55">
        <v>5</v>
      </c>
      <c r="AQ15823" s="55">
        <v>0</v>
      </c>
      <c r="AR15823" s="55">
        <v>28500</v>
      </c>
      <c r="AS15823" s="78">
        <f t="shared" si="251"/>
        <v>0</v>
      </c>
    </row>
    <row r="15824" spans="39:45">
      <c r="AM15824" s="54">
        <v>2020</v>
      </c>
      <c r="AN15824" s="54" t="s">
        <v>191</v>
      </c>
      <c r="AO15824" s="54">
        <v>21</v>
      </c>
      <c r="AP15824" s="54">
        <v>6</v>
      </c>
      <c r="AQ15824" s="54">
        <v>0</v>
      </c>
      <c r="AR15824" s="55">
        <v>28500</v>
      </c>
      <c r="AS15824" s="78">
        <f t="shared" si="251"/>
        <v>0</v>
      </c>
    </row>
    <row r="15825" spans="39:45">
      <c r="AM15825" s="55">
        <v>2020</v>
      </c>
      <c r="AN15825" s="55" t="s">
        <v>191</v>
      </c>
      <c r="AO15825" s="55">
        <v>21</v>
      </c>
      <c r="AP15825" s="55">
        <v>7</v>
      </c>
      <c r="AQ15825" s="55">
        <v>0</v>
      </c>
      <c r="AR15825" s="55">
        <v>28500</v>
      </c>
      <c r="AS15825" s="78">
        <f t="shared" si="251"/>
        <v>0</v>
      </c>
    </row>
    <row r="15826" spans="39:45">
      <c r="AM15826" s="54">
        <v>2020</v>
      </c>
      <c r="AN15826" s="54" t="s">
        <v>191</v>
      </c>
      <c r="AO15826" s="54">
        <v>21</v>
      </c>
      <c r="AP15826" s="54">
        <v>8</v>
      </c>
      <c r="AQ15826" s="54">
        <v>441</v>
      </c>
      <c r="AR15826" s="55">
        <v>28500</v>
      </c>
      <c r="AS15826" s="78">
        <f t="shared" si="251"/>
        <v>1.5473684210526317E-2</v>
      </c>
    </row>
    <row r="15827" spans="39:45">
      <c r="AM15827" s="55">
        <v>2020</v>
      </c>
      <c r="AN15827" s="55" t="s">
        <v>191</v>
      </c>
      <c r="AO15827" s="55">
        <v>21</v>
      </c>
      <c r="AP15827" s="55">
        <v>9</v>
      </c>
      <c r="AQ15827" s="55">
        <v>500.5</v>
      </c>
      <c r="AR15827" s="55">
        <v>28500</v>
      </c>
      <c r="AS15827" s="78">
        <f t="shared" si="251"/>
        <v>1.7561403508771931E-2</v>
      </c>
    </row>
    <row r="15828" spans="39:45">
      <c r="AM15828" s="54">
        <v>2020</v>
      </c>
      <c r="AN15828" s="54" t="s">
        <v>191</v>
      </c>
      <c r="AO15828" s="54">
        <v>21</v>
      </c>
      <c r="AP15828" s="54">
        <v>10</v>
      </c>
      <c r="AQ15828" s="54">
        <v>4033</v>
      </c>
      <c r="AR15828" s="55">
        <v>28500</v>
      </c>
      <c r="AS15828" s="78">
        <f t="shared" si="251"/>
        <v>0.14150877192982456</v>
      </c>
    </row>
    <row r="15829" spans="39:45">
      <c r="AM15829" s="55">
        <v>2020</v>
      </c>
      <c r="AN15829" s="55" t="s">
        <v>191</v>
      </c>
      <c r="AO15829" s="55">
        <v>21</v>
      </c>
      <c r="AP15829" s="55">
        <v>11</v>
      </c>
      <c r="AQ15829" s="55">
        <v>1711</v>
      </c>
      <c r="AR15829" s="55">
        <v>28500</v>
      </c>
      <c r="AS15829" s="78">
        <f t="shared" si="251"/>
        <v>6.0035087719298247E-2</v>
      </c>
    </row>
    <row r="15830" spans="39:45">
      <c r="AM15830" s="54">
        <v>2020</v>
      </c>
      <c r="AN15830" s="54" t="s">
        <v>191</v>
      </c>
      <c r="AO15830" s="54">
        <v>21</v>
      </c>
      <c r="AP15830" s="54">
        <v>12</v>
      </c>
      <c r="AQ15830" s="54">
        <v>1713</v>
      </c>
      <c r="AR15830" s="55">
        <v>28500</v>
      </c>
      <c r="AS15830" s="78">
        <f t="shared" si="251"/>
        <v>6.0105263157894738E-2</v>
      </c>
    </row>
    <row r="15831" spans="39:45">
      <c r="AM15831" s="55">
        <v>2020</v>
      </c>
      <c r="AN15831" s="55" t="s">
        <v>191</v>
      </c>
      <c r="AO15831" s="55">
        <v>21</v>
      </c>
      <c r="AP15831" s="55">
        <v>13</v>
      </c>
      <c r="AQ15831" s="55">
        <v>1427</v>
      </c>
      <c r="AR15831" s="55">
        <v>28500</v>
      </c>
      <c r="AS15831" s="78">
        <f t="shared" si="251"/>
        <v>5.0070175438596494E-2</v>
      </c>
    </row>
    <row r="15832" spans="39:45">
      <c r="AM15832" s="54">
        <v>2020</v>
      </c>
      <c r="AN15832" s="54" t="s">
        <v>191</v>
      </c>
      <c r="AO15832" s="54">
        <v>21</v>
      </c>
      <c r="AP15832" s="54">
        <v>14</v>
      </c>
      <c r="AQ15832" s="54">
        <v>2558</v>
      </c>
      <c r="AR15832" s="55">
        <v>28500</v>
      </c>
      <c r="AS15832" s="78">
        <f t="shared" si="251"/>
        <v>8.9754385964912281E-2</v>
      </c>
    </row>
    <row r="15833" spans="39:45">
      <c r="AM15833" s="55">
        <v>2020</v>
      </c>
      <c r="AN15833" s="55" t="s">
        <v>191</v>
      </c>
      <c r="AO15833" s="55">
        <v>21</v>
      </c>
      <c r="AP15833" s="55">
        <v>15</v>
      </c>
      <c r="AQ15833" s="55">
        <v>3124</v>
      </c>
      <c r="AR15833" s="55">
        <v>28500</v>
      </c>
      <c r="AS15833" s="78">
        <f t="shared" si="251"/>
        <v>0.1096140350877193</v>
      </c>
    </row>
    <row r="15834" spans="39:45">
      <c r="AM15834" s="54">
        <v>2020</v>
      </c>
      <c r="AN15834" s="54" t="s">
        <v>191</v>
      </c>
      <c r="AO15834" s="54">
        <v>21</v>
      </c>
      <c r="AP15834" s="54">
        <v>16</v>
      </c>
      <c r="AQ15834" s="54">
        <v>823</v>
      </c>
      <c r="AR15834" s="55">
        <v>28500</v>
      </c>
      <c r="AS15834" s="78">
        <f t="shared" si="251"/>
        <v>2.887719298245614E-2</v>
      </c>
    </row>
    <row r="15835" spans="39:45">
      <c r="AM15835" s="55">
        <v>2020</v>
      </c>
      <c r="AN15835" s="55" t="s">
        <v>191</v>
      </c>
      <c r="AO15835" s="55">
        <v>21</v>
      </c>
      <c r="AP15835" s="55">
        <v>17</v>
      </c>
      <c r="AQ15835" s="55">
        <v>0</v>
      </c>
      <c r="AR15835" s="55">
        <v>28500</v>
      </c>
      <c r="AS15835" s="78">
        <f t="shared" si="251"/>
        <v>0</v>
      </c>
    </row>
    <row r="15836" spans="39:45">
      <c r="AM15836" s="54">
        <v>2020</v>
      </c>
      <c r="AN15836" s="54" t="s">
        <v>191</v>
      </c>
      <c r="AO15836" s="54">
        <v>21</v>
      </c>
      <c r="AP15836" s="54">
        <v>18</v>
      </c>
      <c r="AQ15836" s="54">
        <v>0</v>
      </c>
      <c r="AR15836" s="55">
        <v>28500</v>
      </c>
      <c r="AS15836" s="78">
        <f t="shared" si="251"/>
        <v>0</v>
      </c>
    </row>
    <row r="15837" spans="39:45">
      <c r="AM15837" s="55">
        <v>2020</v>
      </c>
      <c r="AN15837" s="55" t="s">
        <v>191</v>
      </c>
      <c r="AO15837" s="55">
        <v>21</v>
      </c>
      <c r="AP15837" s="55">
        <v>19</v>
      </c>
      <c r="AQ15837" s="55">
        <v>0</v>
      </c>
      <c r="AR15837" s="55">
        <v>28500</v>
      </c>
      <c r="AS15837" s="78">
        <f t="shared" si="251"/>
        <v>0</v>
      </c>
    </row>
    <row r="15838" spans="39:45">
      <c r="AM15838" s="54">
        <v>2020</v>
      </c>
      <c r="AN15838" s="54" t="s">
        <v>191</v>
      </c>
      <c r="AO15838" s="54">
        <v>21</v>
      </c>
      <c r="AP15838" s="54">
        <v>20</v>
      </c>
      <c r="AQ15838" s="54">
        <v>0</v>
      </c>
      <c r="AR15838" s="55">
        <v>28500</v>
      </c>
      <c r="AS15838" s="78">
        <f t="shared" si="251"/>
        <v>0</v>
      </c>
    </row>
    <row r="15839" spans="39:45">
      <c r="AM15839" s="55">
        <v>2020</v>
      </c>
      <c r="AN15839" s="55" t="s">
        <v>191</v>
      </c>
      <c r="AO15839" s="55">
        <v>21</v>
      </c>
      <c r="AP15839" s="55">
        <v>21</v>
      </c>
      <c r="AQ15839" s="55">
        <v>0</v>
      </c>
      <c r="AR15839" s="55">
        <v>28500</v>
      </c>
      <c r="AS15839" s="78">
        <f t="shared" si="251"/>
        <v>0</v>
      </c>
    </row>
    <row r="15840" spans="39:45">
      <c r="AM15840" s="54">
        <v>2020</v>
      </c>
      <c r="AN15840" s="54" t="s">
        <v>191</v>
      </c>
      <c r="AO15840" s="54">
        <v>21</v>
      </c>
      <c r="AP15840" s="54">
        <v>22</v>
      </c>
      <c r="AQ15840" s="54">
        <v>0</v>
      </c>
      <c r="AR15840" s="55">
        <v>28500</v>
      </c>
      <c r="AS15840" s="78">
        <f t="shared" si="251"/>
        <v>0</v>
      </c>
    </row>
    <row r="15841" spans="39:45">
      <c r="AM15841" s="55">
        <v>2020</v>
      </c>
      <c r="AN15841" s="55" t="s">
        <v>191</v>
      </c>
      <c r="AO15841" s="55">
        <v>21</v>
      </c>
      <c r="AP15841" s="55">
        <v>23</v>
      </c>
      <c r="AQ15841" s="55">
        <v>0</v>
      </c>
      <c r="AR15841" s="55">
        <v>28500</v>
      </c>
      <c r="AS15841" s="78">
        <f t="shared" si="251"/>
        <v>0</v>
      </c>
    </row>
    <row r="15842" spans="39:45">
      <c r="AM15842" s="54">
        <v>2020</v>
      </c>
      <c r="AN15842" s="54" t="s">
        <v>191</v>
      </c>
      <c r="AO15842" s="54">
        <v>22</v>
      </c>
      <c r="AP15842" s="54">
        <v>24</v>
      </c>
      <c r="AQ15842" s="54">
        <v>0</v>
      </c>
      <c r="AR15842" s="55">
        <v>28500</v>
      </c>
      <c r="AS15842" s="78">
        <f t="shared" si="251"/>
        <v>0</v>
      </c>
    </row>
    <row r="15843" spans="39:45">
      <c r="AM15843" s="55">
        <v>2020</v>
      </c>
      <c r="AN15843" s="55" t="s">
        <v>191</v>
      </c>
      <c r="AO15843" s="55">
        <v>22</v>
      </c>
      <c r="AP15843" s="55">
        <v>1</v>
      </c>
      <c r="AQ15843" s="55">
        <v>0</v>
      </c>
      <c r="AR15843" s="55">
        <v>28500</v>
      </c>
      <c r="AS15843" s="78">
        <f t="shared" si="251"/>
        <v>0</v>
      </c>
    </row>
    <row r="15844" spans="39:45">
      <c r="AM15844" s="54">
        <v>2020</v>
      </c>
      <c r="AN15844" s="54" t="s">
        <v>191</v>
      </c>
      <c r="AO15844" s="54">
        <v>22</v>
      </c>
      <c r="AP15844" s="54">
        <v>2</v>
      </c>
      <c r="AQ15844" s="54">
        <v>0</v>
      </c>
      <c r="AR15844" s="55">
        <v>28500</v>
      </c>
      <c r="AS15844" s="78">
        <f t="shared" si="251"/>
        <v>0</v>
      </c>
    </row>
    <row r="15845" spans="39:45">
      <c r="AM15845" s="55">
        <v>2020</v>
      </c>
      <c r="AN15845" s="55" t="s">
        <v>191</v>
      </c>
      <c r="AO15845" s="55">
        <v>22</v>
      </c>
      <c r="AP15845" s="55">
        <v>3</v>
      </c>
      <c r="AQ15845" s="55">
        <v>0</v>
      </c>
      <c r="AR15845" s="55">
        <v>28500</v>
      </c>
      <c r="AS15845" s="78">
        <f t="shared" si="251"/>
        <v>0</v>
      </c>
    </row>
    <row r="15846" spans="39:45">
      <c r="AM15846" s="54">
        <v>2020</v>
      </c>
      <c r="AN15846" s="54" t="s">
        <v>191</v>
      </c>
      <c r="AO15846" s="54">
        <v>22</v>
      </c>
      <c r="AP15846" s="54">
        <v>4</v>
      </c>
      <c r="AQ15846" s="54">
        <v>0</v>
      </c>
      <c r="AR15846" s="55">
        <v>28500</v>
      </c>
      <c r="AS15846" s="78">
        <f t="shared" si="251"/>
        <v>0</v>
      </c>
    </row>
    <row r="15847" spans="39:45">
      <c r="AM15847" s="55">
        <v>2020</v>
      </c>
      <c r="AN15847" s="55" t="s">
        <v>191</v>
      </c>
      <c r="AO15847" s="55">
        <v>22</v>
      </c>
      <c r="AP15847" s="55">
        <v>5</v>
      </c>
      <c r="AQ15847" s="55">
        <v>0</v>
      </c>
      <c r="AR15847" s="55">
        <v>28500</v>
      </c>
      <c r="AS15847" s="78">
        <f t="shared" si="251"/>
        <v>0</v>
      </c>
    </row>
    <row r="15848" spans="39:45">
      <c r="AM15848" s="54">
        <v>2020</v>
      </c>
      <c r="AN15848" s="54" t="s">
        <v>191</v>
      </c>
      <c r="AO15848" s="54">
        <v>22</v>
      </c>
      <c r="AP15848" s="54">
        <v>6</v>
      </c>
      <c r="AQ15848" s="54">
        <v>0</v>
      </c>
      <c r="AR15848" s="55">
        <v>28500</v>
      </c>
      <c r="AS15848" s="78">
        <f t="shared" si="251"/>
        <v>0</v>
      </c>
    </row>
    <row r="15849" spans="39:45">
      <c r="AM15849" s="55">
        <v>2020</v>
      </c>
      <c r="AN15849" s="55" t="s">
        <v>191</v>
      </c>
      <c r="AO15849" s="55">
        <v>22</v>
      </c>
      <c r="AP15849" s="55">
        <v>7</v>
      </c>
      <c r="AQ15849" s="55">
        <v>2453</v>
      </c>
      <c r="AR15849" s="55">
        <v>28500</v>
      </c>
      <c r="AS15849" s="78">
        <f t="shared" si="251"/>
        <v>8.6070175438596491E-2</v>
      </c>
    </row>
    <row r="15850" spans="39:45">
      <c r="AM15850" s="54">
        <v>2020</v>
      </c>
      <c r="AN15850" s="54" t="s">
        <v>191</v>
      </c>
      <c r="AO15850" s="54">
        <v>22</v>
      </c>
      <c r="AP15850" s="54">
        <v>8</v>
      </c>
      <c r="AQ15850" s="54">
        <v>5998</v>
      </c>
      <c r="AR15850" s="55">
        <v>28500</v>
      </c>
      <c r="AS15850" s="78">
        <f t="shared" si="251"/>
        <v>0.2104561403508772</v>
      </c>
    </row>
    <row r="15851" spans="39:45">
      <c r="AM15851" s="55">
        <v>2020</v>
      </c>
      <c r="AN15851" s="55" t="s">
        <v>191</v>
      </c>
      <c r="AO15851" s="55">
        <v>22</v>
      </c>
      <c r="AP15851" s="55">
        <v>9</v>
      </c>
      <c r="AQ15851" s="55">
        <v>5445</v>
      </c>
      <c r="AR15851" s="55">
        <v>28500</v>
      </c>
      <c r="AS15851" s="78">
        <f t="shared" si="251"/>
        <v>0.19105263157894736</v>
      </c>
    </row>
    <row r="15852" spans="39:45">
      <c r="AM15852" s="54">
        <v>2020</v>
      </c>
      <c r="AN15852" s="54" t="s">
        <v>191</v>
      </c>
      <c r="AO15852" s="54">
        <v>22</v>
      </c>
      <c r="AP15852" s="54">
        <v>10</v>
      </c>
      <c r="AQ15852" s="54">
        <v>26804.5</v>
      </c>
      <c r="AR15852" s="55">
        <v>28500</v>
      </c>
      <c r="AS15852" s="78">
        <f t="shared" si="251"/>
        <v>0.94050877192982452</v>
      </c>
    </row>
    <row r="15853" spans="39:45">
      <c r="AM15853" s="55">
        <v>2020</v>
      </c>
      <c r="AN15853" s="55" t="s">
        <v>191</v>
      </c>
      <c r="AO15853" s="55">
        <v>22</v>
      </c>
      <c r="AP15853" s="55">
        <v>11</v>
      </c>
      <c r="AQ15853" s="55">
        <v>911.5</v>
      </c>
      <c r="AR15853" s="55">
        <v>28500</v>
      </c>
      <c r="AS15853" s="78">
        <f t="shared" si="251"/>
        <v>3.1982456140350876E-2</v>
      </c>
    </row>
    <row r="15854" spans="39:45">
      <c r="AM15854" s="54">
        <v>2020</v>
      </c>
      <c r="AN15854" s="54" t="s">
        <v>191</v>
      </c>
      <c r="AO15854" s="54">
        <v>22</v>
      </c>
      <c r="AP15854" s="54">
        <v>12</v>
      </c>
      <c r="AQ15854" s="54">
        <v>32813</v>
      </c>
      <c r="AR15854" s="55">
        <v>28500</v>
      </c>
      <c r="AS15854" s="78">
        <f t="shared" si="251"/>
        <v>1.1513333333333333</v>
      </c>
    </row>
    <row r="15855" spans="39:45">
      <c r="AM15855" s="55">
        <v>2020</v>
      </c>
      <c r="AN15855" s="55" t="s">
        <v>191</v>
      </c>
      <c r="AO15855" s="55">
        <v>22</v>
      </c>
      <c r="AP15855" s="55">
        <v>13</v>
      </c>
      <c r="AQ15855" s="55">
        <v>21435.5</v>
      </c>
      <c r="AR15855" s="55">
        <v>28500</v>
      </c>
      <c r="AS15855" s="78">
        <f t="shared" si="251"/>
        <v>0.75212280701754386</v>
      </c>
    </row>
    <row r="15856" spans="39:45">
      <c r="AM15856" s="54">
        <v>2020</v>
      </c>
      <c r="AN15856" s="54" t="s">
        <v>191</v>
      </c>
      <c r="AO15856" s="54">
        <v>22</v>
      </c>
      <c r="AP15856" s="54">
        <v>14</v>
      </c>
      <c r="AQ15856" s="54">
        <v>15235</v>
      </c>
      <c r="AR15856" s="55">
        <v>28500</v>
      </c>
      <c r="AS15856" s="78">
        <f t="shared" si="251"/>
        <v>0.5345614035087719</v>
      </c>
    </row>
    <row r="15857" spans="39:45">
      <c r="AM15857" s="55">
        <v>2020</v>
      </c>
      <c r="AN15857" s="55" t="s">
        <v>191</v>
      </c>
      <c r="AO15857" s="55">
        <v>22</v>
      </c>
      <c r="AP15857" s="55">
        <v>15</v>
      </c>
      <c r="AQ15857" s="55">
        <v>11480</v>
      </c>
      <c r="AR15857" s="55">
        <v>28500</v>
      </c>
      <c r="AS15857" s="78">
        <f t="shared" si="251"/>
        <v>0.40280701754385967</v>
      </c>
    </row>
    <row r="15858" spans="39:45">
      <c r="AM15858" s="54">
        <v>2020</v>
      </c>
      <c r="AN15858" s="54" t="s">
        <v>191</v>
      </c>
      <c r="AO15858" s="54">
        <v>22</v>
      </c>
      <c r="AP15858" s="54">
        <v>16</v>
      </c>
      <c r="AQ15858" s="54">
        <v>3984.5</v>
      </c>
      <c r="AR15858" s="55">
        <v>28500</v>
      </c>
      <c r="AS15858" s="78">
        <f t="shared" si="251"/>
        <v>0.13980701754385966</v>
      </c>
    </row>
    <row r="15859" spans="39:45">
      <c r="AM15859" s="55">
        <v>2020</v>
      </c>
      <c r="AN15859" s="55" t="s">
        <v>191</v>
      </c>
      <c r="AO15859" s="55">
        <v>22</v>
      </c>
      <c r="AP15859" s="55">
        <v>17</v>
      </c>
      <c r="AQ15859" s="55">
        <v>0</v>
      </c>
      <c r="AR15859" s="55">
        <v>28500</v>
      </c>
      <c r="AS15859" s="78">
        <f t="shared" si="251"/>
        <v>0</v>
      </c>
    </row>
    <row r="15860" spans="39:45">
      <c r="AM15860" s="54">
        <v>2020</v>
      </c>
      <c r="AN15860" s="54" t="s">
        <v>191</v>
      </c>
      <c r="AO15860" s="54">
        <v>22</v>
      </c>
      <c r="AP15860" s="54">
        <v>18</v>
      </c>
      <c r="AQ15860" s="54">
        <v>0</v>
      </c>
      <c r="AR15860" s="55">
        <v>28500</v>
      </c>
      <c r="AS15860" s="78">
        <f t="shared" si="251"/>
        <v>0</v>
      </c>
    </row>
    <row r="15861" spans="39:45">
      <c r="AM15861" s="55">
        <v>2020</v>
      </c>
      <c r="AN15861" s="55" t="s">
        <v>191</v>
      </c>
      <c r="AO15861" s="55">
        <v>22</v>
      </c>
      <c r="AP15861" s="55">
        <v>19</v>
      </c>
      <c r="AQ15861" s="55">
        <v>0</v>
      </c>
      <c r="AR15861" s="55">
        <v>28500</v>
      </c>
      <c r="AS15861" s="78">
        <f t="shared" si="251"/>
        <v>0</v>
      </c>
    </row>
    <row r="15862" spans="39:45">
      <c r="AM15862" s="54">
        <v>2020</v>
      </c>
      <c r="AN15862" s="54" t="s">
        <v>191</v>
      </c>
      <c r="AO15862" s="54">
        <v>22</v>
      </c>
      <c r="AP15862" s="54">
        <v>20</v>
      </c>
      <c r="AQ15862" s="54">
        <v>0</v>
      </c>
      <c r="AR15862" s="55">
        <v>28500</v>
      </c>
      <c r="AS15862" s="78">
        <f t="shared" si="251"/>
        <v>0</v>
      </c>
    </row>
    <row r="15863" spans="39:45">
      <c r="AM15863" s="55">
        <v>2020</v>
      </c>
      <c r="AN15863" s="55" t="s">
        <v>191</v>
      </c>
      <c r="AO15863" s="55">
        <v>22</v>
      </c>
      <c r="AP15863" s="55">
        <v>21</v>
      </c>
      <c r="AQ15863" s="55">
        <v>0</v>
      </c>
      <c r="AR15863" s="55">
        <v>28500</v>
      </c>
      <c r="AS15863" s="78">
        <f t="shared" si="251"/>
        <v>0</v>
      </c>
    </row>
    <row r="15864" spans="39:45">
      <c r="AM15864" s="54">
        <v>2020</v>
      </c>
      <c r="AN15864" s="54" t="s">
        <v>191</v>
      </c>
      <c r="AO15864" s="54">
        <v>22</v>
      </c>
      <c r="AP15864" s="54">
        <v>22</v>
      </c>
      <c r="AQ15864" s="54">
        <v>0</v>
      </c>
      <c r="AR15864" s="55">
        <v>28500</v>
      </c>
      <c r="AS15864" s="78">
        <f t="shared" si="251"/>
        <v>0</v>
      </c>
    </row>
    <row r="15865" spans="39:45">
      <c r="AM15865" s="55">
        <v>2020</v>
      </c>
      <c r="AN15865" s="55" t="s">
        <v>191</v>
      </c>
      <c r="AO15865" s="55">
        <v>22</v>
      </c>
      <c r="AP15865" s="55">
        <v>23</v>
      </c>
      <c r="AQ15865" s="55">
        <v>0</v>
      </c>
      <c r="AR15865" s="55">
        <v>28500</v>
      </c>
      <c r="AS15865" s="78">
        <f t="shared" si="251"/>
        <v>0</v>
      </c>
    </row>
    <row r="15866" spans="39:45">
      <c r="AM15866" s="54">
        <v>2020</v>
      </c>
      <c r="AN15866" s="54" t="s">
        <v>191</v>
      </c>
      <c r="AO15866" s="54">
        <v>23</v>
      </c>
      <c r="AP15866" s="54">
        <v>24</v>
      </c>
      <c r="AQ15866" s="54">
        <v>0</v>
      </c>
      <c r="AR15866" s="55">
        <v>28500</v>
      </c>
      <c r="AS15866" s="78">
        <f t="shared" si="251"/>
        <v>0</v>
      </c>
    </row>
    <row r="15867" spans="39:45">
      <c r="AM15867" s="55">
        <v>2020</v>
      </c>
      <c r="AN15867" s="55" t="s">
        <v>191</v>
      </c>
      <c r="AO15867" s="55">
        <v>23</v>
      </c>
      <c r="AP15867" s="55">
        <v>1</v>
      </c>
      <c r="AQ15867" s="55">
        <v>0</v>
      </c>
      <c r="AR15867" s="55">
        <v>28500</v>
      </c>
      <c r="AS15867" s="78">
        <f t="shared" si="251"/>
        <v>0</v>
      </c>
    </row>
    <row r="15868" spans="39:45">
      <c r="AM15868" s="54">
        <v>2020</v>
      </c>
      <c r="AN15868" s="54" t="s">
        <v>191</v>
      </c>
      <c r="AO15868" s="54">
        <v>23</v>
      </c>
      <c r="AP15868" s="54">
        <v>2</v>
      </c>
      <c r="AQ15868" s="54">
        <v>0</v>
      </c>
      <c r="AR15868" s="55">
        <v>28500</v>
      </c>
      <c r="AS15868" s="78">
        <f t="shared" si="251"/>
        <v>0</v>
      </c>
    </row>
    <row r="15869" spans="39:45">
      <c r="AM15869" s="55">
        <v>2020</v>
      </c>
      <c r="AN15869" s="55" t="s">
        <v>191</v>
      </c>
      <c r="AO15869" s="55">
        <v>23</v>
      </c>
      <c r="AP15869" s="55">
        <v>3</v>
      </c>
      <c r="AQ15869" s="55">
        <v>0</v>
      </c>
      <c r="AR15869" s="55">
        <v>28500</v>
      </c>
      <c r="AS15869" s="78">
        <f t="shared" si="251"/>
        <v>0</v>
      </c>
    </row>
    <row r="15870" spans="39:45">
      <c r="AM15870" s="54">
        <v>2020</v>
      </c>
      <c r="AN15870" s="54" t="s">
        <v>191</v>
      </c>
      <c r="AO15870" s="54">
        <v>23</v>
      </c>
      <c r="AP15870" s="54">
        <v>4</v>
      </c>
      <c r="AQ15870" s="54">
        <v>0</v>
      </c>
      <c r="AR15870" s="55">
        <v>28500</v>
      </c>
      <c r="AS15870" s="78">
        <f t="shared" si="251"/>
        <v>0</v>
      </c>
    </row>
    <row r="15871" spans="39:45">
      <c r="AM15871" s="55">
        <v>2020</v>
      </c>
      <c r="AN15871" s="55" t="s">
        <v>191</v>
      </c>
      <c r="AO15871" s="55">
        <v>23</v>
      </c>
      <c r="AP15871" s="55">
        <v>5</v>
      </c>
      <c r="AQ15871" s="55">
        <v>0</v>
      </c>
      <c r="AR15871" s="55">
        <v>28500</v>
      </c>
      <c r="AS15871" s="78">
        <f t="shared" si="251"/>
        <v>0</v>
      </c>
    </row>
    <row r="15872" spans="39:45">
      <c r="AM15872" s="54">
        <v>2020</v>
      </c>
      <c r="AN15872" s="54" t="s">
        <v>191</v>
      </c>
      <c r="AO15872" s="54">
        <v>23</v>
      </c>
      <c r="AP15872" s="54">
        <v>6</v>
      </c>
      <c r="AQ15872" s="54">
        <v>0</v>
      </c>
      <c r="AR15872" s="55">
        <v>28500</v>
      </c>
      <c r="AS15872" s="78">
        <f t="shared" si="251"/>
        <v>0</v>
      </c>
    </row>
    <row r="15873" spans="39:45">
      <c r="AM15873" s="55">
        <v>2020</v>
      </c>
      <c r="AN15873" s="55" t="s">
        <v>191</v>
      </c>
      <c r="AO15873" s="55">
        <v>23</v>
      </c>
      <c r="AP15873" s="55">
        <v>7</v>
      </c>
      <c r="AQ15873" s="55">
        <v>1416</v>
      </c>
      <c r="AR15873" s="55">
        <v>28500</v>
      </c>
      <c r="AS15873" s="78">
        <f t="shared" si="251"/>
        <v>4.9684210526315789E-2</v>
      </c>
    </row>
    <row r="15874" spans="39:45">
      <c r="AM15874" s="54">
        <v>2020</v>
      </c>
      <c r="AN15874" s="54" t="s">
        <v>191</v>
      </c>
      <c r="AO15874" s="54">
        <v>23</v>
      </c>
      <c r="AP15874" s="54">
        <v>8</v>
      </c>
      <c r="AQ15874" s="54">
        <v>13778.5</v>
      </c>
      <c r="AR15874" s="55">
        <v>28500</v>
      </c>
      <c r="AS15874" s="78">
        <f t="shared" ref="AS15874:AS15937" si="252">AQ15874/AR15874</f>
        <v>0.48345614035087719</v>
      </c>
    </row>
    <row r="15875" spans="39:45">
      <c r="AM15875" s="55">
        <v>2020</v>
      </c>
      <c r="AN15875" s="55" t="s">
        <v>191</v>
      </c>
      <c r="AO15875" s="55">
        <v>23</v>
      </c>
      <c r="AP15875" s="55">
        <v>9</v>
      </c>
      <c r="AQ15875" s="55">
        <v>19678</v>
      </c>
      <c r="AR15875" s="55">
        <v>28500</v>
      </c>
      <c r="AS15875" s="78">
        <f t="shared" si="252"/>
        <v>0.69045614035087721</v>
      </c>
    </row>
    <row r="15876" spans="39:45">
      <c r="AM15876" s="54">
        <v>2020</v>
      </c>
      <c r="AN15876" s="54" t="s">
        <v>191</v>
      </c>
      <c r="AO15876" s="54">
        <v>23</v>
      </c>
      <c r="AP15876" s="54">
        <v>10</v>
      </c>
      <c r="AQ15876" s="54">
        <v>17116</v>
      </c>
      <c r="AR15876" s="55">
        <v>28500</v>
      </c>
      <c r="AS15876" s="78">
        <f t="shared" si="252"/>
        <v>0.60056140350877196</v>
      </c>
    </row>
    <row r="15877" spans="39:45">
      <c r="AM15877" s="55">
        <v>2020</v>
      </c>
      <c r="AN15877" s="55" t="s">
        <v>191</v>
      </c>
      <c r="AO15877" s="55">
        <v>23</v>
      </c>
      <c r="AP15877" s="55">
        <v>11</v>
      </c>
      <c r="AQ15877" s="55">
        <v>1150</v>
      </c>
      <c r="AR15877" s="55">
        <v>28500</v>
      </c>
      <c r="AS15877" s="78">
        <f t="shared" si="252"/>
        <v>4.0350877192982457E-2</v>
      </c>
    </row>
    <row r="15878" spans="39:45">
      <c r="AM15878" s="54">
        <v>2020</v>
      </c>
      <c r="AN15878" s="54" t="s">
        <v>191</v>
      </c>
      <c r="AO15878" s="54">
        <v>23</v>
      </c>
      <c r="AP15878" s="54">
        <v>12</v>
      </c>
      <c r="AQ15878" s="54">
        <v>4153</v>
      </c>
      <c r="AR15878" s="55">
        <v>28500</v>
      </c>
      <c r="AS15878" s="78">
        <f t="shared" si="252"/>
        <v>0.14571929824561403</v>
      </c>
    </row>
    <row r="15879" spans="39:45">
      <c r="AM15879" s="55">
        <v>2020</v>
      </c>
      <c r="AN15879" s="55" t="s">
        <v>191</v>
      </c>
      <c r="AO15879" s="55">
        <v>23</v>
      </c>
      <c r="AP15879" s="55">
        <v>13</v>
      </c>
      <c r="AQ15879" s="55">
        <v>15785</v>
      </c>
      <c r="AR15879" s="55">
        <v>28500</v>
      </c>
      <c r="AS15879" s="78">
        <f t="shared" si="252"/>
        <v>0.55385964912280705</v>
      </c>
    </row>
    <row r="15880" spans="39:45">
      <c r="AM15880" s="54">
        <v>2020</v>
      </c>
      <c r="AN15880" s="54" t="s">
        <v>191</v>
      </c>
      <c r="AO15880" s="54">
        <v>23</v>
      </c>
      <c r="AP15880" s="54">
        <v>14</v>
      </c>
      <c r="AQ15880" s="54">
        <v>12006</v>
      </c>
      <c r="AR15880" s="55">
        <v>28500</v>
      </c>
      <c r="AS15880" s="78">
        <f t="shared" si="252"/>
        <v>0.42126315789473684</v>
      </c>
    </row>
    <row r="15881" spans="39:45">
      <c r="AM15881" s="55">
        <v>2020</v>
      </c>
      <c r="AN15881" s="55" t="s">
        <v>191</v>
      </c>
      <c r="AO15881" s="55">
        <v>23</v>
      </c>
      <c r="AP15881" s="55">
        <v>15</v>
      </c>
      <c r="AQ15881" s="55">
        <v>1082</v>
      </c>
      <c r="AR15881" s="55">
        <v>28500</v>
      </c>
      <c r="AS15881" s="78">
        <f t="shared" si="252"/>
        <v>3.7964912280701757E-2</v>
      </c>
    </row>
    <row r="15882" spans="39:45">
      <c r="AM15882" s="54">
        <v>2020</v>
      </c>
      <c r="AN15882" s="54" t="s">
        <v>191</v>
      </c>
      <c r="AO15882" s="54">
        <v>23</v>
      </c>
      <c r="AP15882" s="54">
        <v>16</v>
      </c>
      <c r="AQ15882" s="54">
        <v>1890</v>
      </c>
      <c r="AR15882" s="55">
        <v>28500</v>
      </c>
      <c r="AS15882" s="78">
        <f t="shared" si="252"/>
        <v>6.6315789473684217E-2</v>
      </c>
    </row>
    <row r="15883" spans="39:45">
      <c r="AM15883" s="55">
        <v>2020</v>
      </c>
      <c r="AN15883" s="55" t="s">
        <v>191</v>
      </c>
      <c r="AO15883" s="55">
        <v>23</v>
      </c>
      <c r="AP15883" s="55">
        <v>17</v>
      </c>
      <c r="AQ15883" s="55">
        <v>0</v>
      </c>
      <c r="AR15883" s="55">
        <v>28500</v>
      </c>
      <c r="AS15883" s="78">
        <f t="shared" si="252"/>
        <v>0</v>
      </c>
    </row>
    <row r="15884" spans="39:45">
      <c r="AM15884" s="54">
        <v>2020</v>
      </c>
      <c r="AN15884" s="54" t="s">
        <v>191</v>
      </c>
      <c r="AO15884" s="54">
        <v>23</v>
      </c>
      <c r="AP15884" s="54">
        <v>18</v>
      </c>
      <c r="AQ15884" s="54">
        <v>0</v>
      </c>
      <c r="AR15884" s="55">
        <v>28500</v>
      </c>
      <c r="AS15884" s="78">
        <f t="shared" si="252"/>
        <v>0</v>
      </c>
    </row>
    <row r="15885" spans="39:45">
      <c r="AM15885" s="55">
        <v>2020</v>
      </c>
      <c r="AN15885" s="55" t="s">
        <v>191</v>
      </c>
      <c r="AO15885" s="55">
        <v>23</v>
      </c>
      <c r="AP15885" s="55">
        <v>19</v>
      </c>
      <c r="AQ15885" s="55">
        <v>0</v>
      </c>
      <c r="AR15885" s="55">
        <v>28500</v>
      </c>
      <c r="AS15885" s="78">
        <f t="shared" si="252"/>
        <v>0</v>
      </c>
    </row>
    <row r="15886" spans="39:45">
      <c r="AM15886" s="54">
        <v>2020</v>
      </c>
      <c r="AN15886" s="54" t="s">
        <v>191</v>
      </c>
      <c r="AO15886" s="54">
        <v>23</v>
      </c>
      <c r="AP15886" s="54">
        <v>20</v>
      </c>
      <c r="AQ15886" s="54">
        <v>0</v>
      </c>
      <c r="AR15886" s="55">
        <v>28500</v>
      </c>
      <c r="AS15886" s="78">
        <f t="shared" si="252"/>
        <v>0</v>
      </c>
    </row>
    <row r="15887" spans="39:45">
      <c r="AM15887" s="55">
        <v>2020</v>
      </c>
      <c r="AN15887" s="55" t="s">
        <v>191</v>
      </c>
      <c r="AO15887" s="55">
        <v>23</v>
      </c>
      <c r="AP15887" s="55">
        <v>21</v>
      </c>
      <c r="AQ15887" s="55">
        <v>0</v>
      </c>
      <c r="AR15887" s="55">
        <v>28500</v>
      </c>
      <c r="AS15887" s="78">
        <f t="shared" si="252"/>
        <v>0</v>
      </c>
    </row>
    <row r="15888" spans="39:45">
      <c r="AM15888" s="54">
        <v>2020</v>
      </c>
      <c r="AN15888" s="54" t="s">
        <v>191</v>
      </c>
      <c r="AO15888" s="54">
        <v>23</v>
      </c>
      <c r="AP15888" s="54">
        <v>22</v>
      </c>
      <c r="AQ15888" s="54">
        <v>0</v>
      </c>
      <c r="AR15888" s="55">
        <v>28500</v>
      </c>
      <c r="AS15888" s="78">
        <f t="shared" si="252"/>
        <v>0</v>
      </c>
    </row>
    <row r="15889" spans="39:45">
      <c r="AM15889" s="55">
        <v>2020</v>
      </c>
      <c r="AN15889" s="55" t="s">
        <v>191</v>
      </c>
      <c r="AO15889" s="55">
        <v>23</v>
      </c>
      <c r="AP15889" s="55">
        <v>23</v>
      </c>
      <c r="AQ15889" s="55">
        <v>0</v>
      </c>
      <c r="AR15889" s="55">
        <v>28500</v>
      </c>
      <c r="AS15889" s="78">
        <f t="shared" si="252"/>
        <v>0</v>
      </c>
    </row>
    <row r="15890" spans="39:45">
      <c r="AM15890" s="54">
        <v>2020</v>
      </c>
      <c r="AN15890" s="54" t="s">
        <v>191</v>
      </c>
      <c r="AO15890" s="54">
        <v>24</v>
      </c>
      <c r="AP15890" s="54">
        <v>24</v>
      </c>
      <c r="AQ15890" s="54">
        <v>0</v>
      </c>
      <c r="AR15890" s="55">
        <v>28500</v>
      </c>
      <c r="AS15890" s="78">
        <f t="shared" si="252"/>
        <v>0</v>
      </c>
    </row>
    <row r="15891" spans="39:45">
      <c r="AM15891" s="55">
        <v>2020</v>
      </c>
      <c r="AN15891" s="55" t="s">
        <v>191</v>
      </c>
      <c r="AO15891" s="55">
        <v>24</v>
      </c>
      <c r="AP15891" s="55">
        <v>1</v>
      </c>
      <c r="AQ15891" s="55">
        <v>0</v>
      </c>
      <c r="AR15891" s="55">
        <v>28500</v>
      </c>
      <c r="AS15891" s="78">
        <f t="shared" si="252"/>
        <v>0</v>
      </c>
    </row>
    <row r="15892" spans="39:45">
      <c r="AM15892" s="54">
        <v>2020</v>
      </c>
      <c r="AN15892" s="54" t="s">
        <v>191</v>
      </c>
      <c r="AO15892" s="54">
        <v>24</v>
      </c>
      <c r="AP15892" s="54">
        <v>2</v>
      </c>
      <c r="AQ15892" s="54">
        <v>0</v>
      </c>
      <c r="AR15892" s="55">
        <v>28500</v>
      </c>
      <c r="AS15892" s="78">
        <f t="shared" si="252"/>
        <v>0</v>
      </c>
    </row>
    <row r="15893" spans="39:45">
      <c r="AM15893" s="55">
        <v>2020</v>
      </c>
      <c r="AN15893" s="55" t="s">
        <v>191</v>
      </c>
      <c r="AO15893" s="55">
        <v>24</v>
      </c>
      <c r="AP15893" s="55">
        <v>3</v>
      </c>
      <c r="AQ15893" s="55">
        <v>0</v>
      </c>
      <c r="AR15893" s="55">
        <v>28500</v>
      </c>
      <c r="AS15893" s="78">
        <f t="shared" si="252"/>
        <v>0</v>
      </c>
    </row>
    <row r="15894" spans="39:45">
      <c r="AM15894" s="54">
        <v>2020</v>
      </c>
      <c r="AN15894" s="54" t="s">
        <v>191</v>
      </c>
      <c r="AO15894" s="54">
        <v>24</v>
      </c>
      <c r="AP15894" s="54">
        <v>4</v>
      </c>
      <c r="AQ15894" s="54">
        <v>0</v>
      </c>
      <c r="AR15894" s="55">
        <v>28500</v>
      </c>
      <c r="AS15894" s="78">
        <f t="shared" si="252"/>
        <v>0</v>
      </c>
    </row>
    <row r="15895" spans="39:45">
      <c r="AM15895" s="55">
        <v>2020</v>
      </c>
      <c r="AN15895" s="55" t="s">
        <v>191</v>
      </c>
      <c r="AO15895" s="55">
        <v>24</v>
      </c>
      <c r="AP15895" s="55">
        <v>5</v>
      </c>
      <c r="AQ15895" s="55">
        <v>0</v>
      </c>
      <c r="AR15895" s="55">
        <v>28500</v>
      </c>
      <c r="AS15895" s="78">
        <f t="shared" si="252"/>
        <v>0</v>
      </c>
    </row>
    <row r="15896" spans="39:45">
      <c r="AM15896" s="54">
        <v>2020</v>
      </c>
      <c r="AN15896" s="54" t="s">
        <v>191</v>
      </c>
      <c r="AO15896" s="54">
        <v>24</v>
      </c>
      <c r="AP15896" s="54">
        <v>6</v>
      </c>
      <c r="AQ15896" s="54">
        <v>0</v>
      </c>
      <c r="AR15896" s="55">
        <v>28500</v>
      </c>
      <c r="AS15896" s="78">
        <f t="shared" si="252"/>
        <v>0</v>
      </c>
    </row>
    <row r="15897" spans="39:45">
      <c r="AM15897" s="55">
        <v>2020</v>
      </c>
      <c r="AN15897" s="55" t="s">
        <v>191</v>
      </c>
      <c r="AO15897" s="55">
        <v>24</v>
      </c>
      <c r="AP15897" s="55">
        <v>7</v>
      </c>
      <c r="AQ15897" s="55">
        <v>570</v>
      </c>
      <c r="AR15897" s="55">
        <v>28500</v>
      </c>
      <c r="AS15897" s="78">
        <f t="shared" si="252"/>
        <v>0.02</v>
      </c>
    </row>
    <row r="15898" spans="39:45">
      <c r="AM15898" s="54">
        <v>2020</v>
      </c>
      <c r="AN15898" s="54" t="s">
        <v>191</v>
      </c>
      <c r="AO15898" s="54">
        <v>24</v>
      </c>
      <c r="AP15898" s="54">
        <v>8</v>
      </c>
      <c r="AQ15898" s="54">
        <v>3198.5</v>
      </c>
      <c r="AR15898" s="55">
        <v>28500</v>
      </c>
      <c r="AS15898" s="78">
        <f t="shared" si="252"/>
        <v>0.11222807017543859</v>
      </c>
    </row>
    <row r="15899" spans="39:45">
      <c r="AM15899" s="55">
        <v>2020</v>
      </c>
      <c r="AN15899" s="55" t="s">
        <v>191</v>
      </c>
      <c r="AO15899" s="55">
        <v>24</v>
      </c>
      <c r="AP15899" s="55">
        <v>9</v>
      </c>
      <c r="AQ15899" s="55">
        <v>4138.5</v>
      </c>
      <c r="AR15899" s="55">
        <v>28500</v>
      </c>
      <c r="AS15899" s="78">
        <f t="shared" si="252"/>
        <v>0.14521052631578948</v>
      </c>
    </row>
    <row r="15900" spans="39:45">
      <c r="AM15900" s="54">
        <v>2020</v>
      </c>
      <c r="AN15900" s="54" t="s">
        <v>191</v>
      </c>
      <c r="AO15900" s="54">
        <v>24</v>
      </c>
      <c r="AP15900" s="54">
        <v>10</v>
      </c>
      <c r="AQ15900" s="54">
        <v>6308.5</v>
      </c>
      <c r="AR15900" s="55">
        <v>28500</v>
      </c>
      <c r="AS15900" s="78">
        <f t="shared" si="252"/>
        <v>0.22135087719298246</v>
      </c>
    </row>
    <row r="15901" spans="39:45">
      <c r="AM15901" s="55">
        <v>2020</v>
      </c>
      <c r="AN15901" s="55" t="s">
        <v>191</v>
      </c>
      <c r="AO15901" s="55">
        <v>24</v>
      </c>
      <c r="AP15901" s="55">
        <v>11</v>
      </c>
      <c r="AQ15901" s="55">
        <v>10352</v>
      </c>
      <c r="AR15901" s="55">
        <v>28500</v>
      </c>
      <c r="AS15901" s="78">
        <f t="shared" si="252"/>
        <v>0.36322807017543862</v>
      </c>
    </row>
    <row r="15902" spans="39:45">
      <c r="AM15902" s="54">
        <v>2020</v>
      </c>
      <c r="AN15902" s="54" t="s">
        <v>191</v>
      </c>
      <c r="AO15902" s="54">
        <v>24</v>
      </c>
      <c r="AP15902" s="54">
        <v>12</v>
      </c>
      <c r="AQ15902" s="54">
        <v>4720</v>
      </c>
      <c r="AR15902" s="55">
        <v>28500</v>
      </c>
      <c r="AS15902" s="78">
        <f t="shared" si="252"/>
        <v>0.1656140350877193</v>
      </c>
    </row>
    <row r="15903" spans="39:45">
      <c r="AM15903" s="55">
        <v>2020</v>
      </c>
      <c r="AN15903" s="55" t="s">
        <v>191</v>
      </c>
      <c r="AO15903" s="55">
        <v>24</v>
      </c>
      <c r="AP15903" s="55">
        <v>13</v>
      </c>
      <c r="AQ15903" s="55">
        <v>8363.5</v>
      </c>
      <c r="AR15903" s="55">
        <v>28500</v>
      </c>
      <c r="AS15903" s="78">
        <f t="shared" si="252"/>
        <v>0.29345614035087719</v>
      </c>
    </row>
    <row r="15904" spans="39:45">
      <c r="AM15904" s="54">
        <v>2020</v>
      </c>
      <c r="AN15904" s="54" t="s">
        <v>191</v>
      </c>
      <c r="AO15904" s="54">
        <v>24</v>
      </c>
      <c r="AP15904" s="54">
        <v>14</v>
      </c>
      <c r="AQ15904" s="54">
        <v>6308.5</v>
      </c>
      <c r="AR15904" s="55">
        <v>28500</v>
      </c>
      <c r="AS15904" s="78">
        <f t="shared" si="252"/>
        <v>0.22135087719298246</v>
      </c>
    </row>
    <row r="15905" spans="39:45">
      <c r="AM15905" s="55">
        <v>2020</v>
      </c>
      <c r="AN15905" s="55" t="s">
        <v>191</v>
      </c>
      <c r="AO15905" s="55">
        <v>24</v>
      </c>
      <c r="AP15905" s="55">
        <v>15</v>
      </c>
      <c r="AQ15905" s="55">
        <v>1822</v>
      </c>
      <c r="AR15905" s="55">
        <v>28500</v>
      </c>
      <c r="AS15905" s="78">
        <f t="shared" si="252"/>
        <v>6.3929824561403503E-2</v>
      </c>
    </row>
    <row r="15906" spans="39:45">
      <c r="AM15906" s="54">
        <v>2020</v>
      </c>
      <c r="AN15906" s="54" t="s">
        <v>191</v>
      </c>
      <c r="AO15906" s="54">
        <v>24</v>
      </c>
      <c r="AP15906" s="54">
        <v>16</v>
      </c>
      <c r="AQ15906" s="54">
        <v>515.5</v>
      </c>
      <c r="AR15906" s="55">
        <v>28500</v>
      </c>
      <c r="AS15906" s="78">
        <f t="shared" si="252"/>
        <v>1.8087719298245614E-2</v>
      </c>
    </row>
    <row r="15907" spans="39:45">
      <c r="AM15907" s="55">
        <v>2020</v>
      </c>
      <c r="AN15907" s="55" t="s">
        <v>191</v>
      </c>
      <c r="AO15907" s="55">
        <v>24</v>
      </c>
      <c r="AP15907" s="55">
        <v>17</v>
      </c>
      <c r="AQ15907" s="55">
        <v>0</v>
      </c>
      <c r="AR15907" s="55">
        <v>28500</v>
      </c>
      <c r="AS15907" s="78">
        <f t="shared" si="252"/>
        <v>0</v>
      </c>
    </row>
    <row r="15908" spans="39:45">
      <c r="AM15908" s="54">
        <v>2020</v>
      </c>
      <c r="AN15908" s="54" t="s">
        <v>191</v>
      </c>
      <c r="AO15908" s="54">
        <v>24</v>
      </c>
      <c r="AP15908" s="54">
        <v>18</v>
      </c>
      <c r="AQ15908" s="54">
        <v>0</v>
      </c>
      <c r="AR15908" s="55">
        <v>28500</v>
      </c>
      <c r="AS15908" s="78">
        <f t="shared" si="252"/>
        <v>0</v>
      </c>
    </row>
    <row r="15909" spans="39:45">
      <c r="AM15909" s="55">
        <v>2020</v>
      </c>
      <c r="AN15909" s="55" t="s">
        <v>191</v>
      </c>
      <c r="AO15909" s="55">
        <v>24</v>
      </c>
      <c r="AP15909" s="55">
        <v>19</v>
      </c>
      <c r="AQ15909" s="55">
        <v>0</v>
      </c>
      <c r="AR15909" s="55">
        <v>28500</v>
      </c>
      <c r="AS15909" s="78">
        <f t="shared" si="252"/>
        <v>0</v>
      </c>
    </row>
    <row r="15910" spans="39:45">
      <c r="AM15910" s="54">
        <v>2020</v>
      </c>
      <c r="AN15910" s="54" t="s">
        <v>191</v>
      </c>
      <c r="AO15910" s="54">
        <v>24</v>
      </c>
      <c r="AP15910" s="54">
        <v>20</v>
      </c>
      <c r="AQ15910" s="54">
        <v>0</v>
      </c>
      <c r="AR15910" s="55">
        <v>28500</v>
      </c>
      <c r="AS15910" s="78">
        <f t="shared" si="252"/>
        <v>0</v>
      </c>
    </row>
    <row r="15911" spans="39:45">
      <c r="AM15911" s="55">
        <v>2020</v>
      </c>
      <c r="AN15911" s="55" t="s">
        <v>191</v>
      </c>
      <c r="AO15911" s="55">
        <v>24</v>
      </c>
      <c r="AP15911" s="55">
        <v>21</v>
      </c>
      <c r="AQ15911" s="55">
        <v>0</v>
      </c>
      <c r="AR15911" s="55">
        <v>28500</v>
      </c>
      <c r="AS15911" s="78">
        <f t="shared" si="252"/>
        <v>0</v>
      </c>
    </row>
    <row r="15912" spans="39:45">
      <c r="AM15912" s="54">
        <v>2020</v>
      </c>
      <c r="AN15912" s="54" t="s">
        <v>191</v>
      </c>
      <c r="AO15912" s="54">
        <v>24</v>
      </c>
      <c r="AP15912" s="54">
        <v>22</v>
      </c>
      <c r="AQ15912" s="54">
        <v>0</v>
      </c>
      <c r="AR15912" s="55">
        <v>28500</v>
      </c>
      <c r="AS15912" s="78">
        <f t="shared" si="252"/>
        <v>0</v>
      </c>
    </row>
    <row r="15913" spans="39:45">
      <c r="AM15913" s="55">
        <v>2020</v>
      </c>
      <c r="AN15913" s="55" t="s">
        <v>191</v>
      </c>
      <c r="AO15913" s="55">
        <v>24</v>
      </c>
      <c r="AP15913" s="55">
        <v>23</v>
      </c>
      <c r="AQ15913" s="55">
        <v>0</v>
      </c>
      <c r="AR15913" s="55">
        <v>28500</v>
      </c>
      <c r="AS15913" s="78">
        <f t="shared" si="252"/>
        <v>0</v>
      </c>
    </row>
    <row r="15914" spans="39:45">
      <c r="AM15914" s="54">
        <v>2020</v>
      </c>
      <c r="AN15914" s="54" t="s">
        <v>191</v>
      </c>
      <c r="AO15914" s="54">
        <v>25</v>
      </c>
      <c r="AP15914" s="54">
        <v>24</v>
      </c>
      <c r="AQ15914" s="54">
        <v>0</v>
      </c>
      <c r="AR15914" s="55">
        <v>28500</v>
      </c>
      <c r="AS15914" s="78">
        <f t="shared" si="252"/>
        <v>0</v>
      </c>
    </row>
    <row r="15915" spans="39:45">
      <c r="AM15915" s="55">
        <v>2020</v>
      </c>
      <c r="AN15915" s="55" t="s">
        <v>191</v>
      </c>
      <c r="AO15915" s="55">
        <v>25</v>
      </c>
      <c r="AP15915" s="55">
        <v>1</v>
      </c>
      <c r="AQ15915" s="55">
        <v>0</v>
      </c>
      <c r="AR15915" s="55">
        <v>28500</v>
      </c>
      <c r="AS15915" s="78">
        <f t="shared" si="252"/>
        <v>0</v>
      </c>
    </row>
    <row r="15916" spans="39:45">
      <c r="AM15916" s="54">
        <v>2020</v>
      </c>
      <c r="AN15916" s="54" t="s">
        <v>191</v>
      </c>
      <c r="AO15916" s="54">
        <v>25</v>
      </c>
      <c r="AP15916" s="54">
        <v>2</v>
      </c>
      <c r="AQ15916" s="54">
        <v>0</v>
      </c>
      <c r="AR15916" s="55">
        <v>28500</v>
      </c>
      <c r="AS15916" s="78">
        <f t="shared" si="252"/>
        <v>0</v>
      </c>
    </row>
    <row r="15917" spans="39:45">
      <c r="AM15917" s="55">
        <v>2020</v>
      </c>
      <c r="AN15917" s="55" t="s">
        <v>191</v>
      </c>
      <c r="AO15917" s="55">
        <v>25</v>
      </c>
      <c r="AP15917" s="55">
        <v>3</v>
      </c>
      <c r="AQ15917" s="55">
        <v>0</v>
      </c>
      <c r="AR15917" s="55">
        <v>28500</v>
      </c>
      <c r="AS15917" s="78">
        <f t="shared" si="252"/>
        <v>0</v>
      </c>
    </row>
    <row r="15918" spans="39:45">
      <c r="AM15918" s="54">
        <v>2020</v>
      </c>
      <c r="AN15918" s="54" t="s">
        <v>191</v>
      </c>
      <c r="AO15918" s="54">
        <v>25</v>
      </c>
      <c r="AP15918" s="54">
        <v>4</v>
      </c>
      <c r="AQ15918" s="54">
        <v>0</v>
      </c>
      <c r="AR15918" s="55">
        <v>28500</v>
      </c>
      <c r="AS15918" s="78">
        <f t="shared" si="252"/>
        <v>0</v>
      </c>
    </row>
    <row r="15919" spans="39:45">
      <c r="AM15919" s="55">
        <v>2020</v>
      </c>
      <c r="AN15919" s="55" t="s">
        <v>191</v>
      </c>
      <c r="AO15919" s="55">
        <v>25</v>
      </c>
      <c r="AP15919" s="55">
        <v>5</v>
      </c>
      <c r="AQ15919" s="55">
        <v>0</v>
      </c>
      <c r="AR15919" s="55">
        <v>28500</v>
      </c>
      <c r="AS15919" s="78">
        <f t="shared" si="252"/>
        <v>0</v>
      </c>
    </row>
    <row r="15920" spans="39:45">
      <c r="AM15920" s="54">
        <v>2020</v>
      </c>
      <c r="AN15920" s="54" t="s">
        <v>191</v>
      </c>
      <c r="AO15920" s="54">
        <v>25</v>
      </c>
      <c r="AP15920" s="54">
        <v>6</v>
      </c>
      <c r="AQ15920" s="54">
        <v>0</v>
      </c>
      <c r="AR15920" s="55">
        <v>28500</v>
      </c>
      <c r="AS15920" s="78">
        <f t="shared" si="252"/>
        <v>0</v>
      </c>
    </row>
    <row r="15921" spans="39:45">
      <c r="AM15921" s="55">
        <v>2020</v>
      </c>
      <c r="AN15921" s="55" t="s">
        <v>191</v>
      </c>
      <c r="AO15921" s="55">
        <v>25</v>
      </c>
      <c r="AP15921" s="55">
        <v>7</v>
      </c>
      <c r="AQ15921" s="55">
        <v>1811</v>
      </c>
      <c r="AR15921" s="55">
        <v>28500</v>
      </c>
      <c r="AS15921" s="78">
        <f t="shared" si="252"/>
        <v>6.3543859649122805E-2</v>
      </c>
    </row>
    <row r="15922" spans="39:45">
      <c r="AM15922" s="54">
        <v>2020</v>
      </c>
      <c r="AN15922" s="54" t="s">
        <v>191</v>
      </c>
      <c r="AO15922" s="54">
        <v>25</v>
      </c>
      <c r="AP15922" s="54">
        <v>8</v>
      </c>
      <c r="AQ15922" s="54">
        <v>194</v>
      </c>
      <c r="AR15922" s="55">
        <v>28500</v>
      </c>
      <c r="AS15922" s="78">
        <f t="shared" si="252"/>
        <v>6.8070175438596494E-3</v>
      </c>
    </row>
    <row r="15923" spans="39:45">
      <c r="AM15923" s="55">
        <v>2020</v>
      </c>
      <c r="AN15923" s="55" t="s">
        <v>191</v>
      </c>
      <c r="AO15923" s="55">
        <v>25</v>
      </c>
      <c r="AP15923" s="55">
        <v>9</v>
      </c>
      <c r="AQ15923" s="55">
        <v>25509</v>
      </c>
      <c r="AR15923" s="55">
        <v>28500</v>
      </c>
      <c r="AS15923" s="78">
        <f t="shared" si="252"/>
        <v>0.89505263157894732</v>
      </c>
    </row>
    <row r="15924" spans="39:45">
      <c r="AM15924" s="54">
        <v>2020</v>
      </c>
      <c r="AN15924" s="54" t="s">
        <v>191</v>
      </c>
      <c r="AO15924" s="54">
        <v>25</v>
      </c>
      <c r="AP15924" s="54">
        <v>10</v>
      </c>
      <c r="AQ15924" s="54">
        <v>730.5</v>
      </c>
      <c r="AR15924" s="55">
        <v>28500</v>
      </c>
      <c r="AS15924" s="78">
        <f t="shared" si="252"/>
        <v>2.5631578947368422E-2</v>
      </c>
    </row>
    <row r="15925" spans="39:45">
      <c r="AM15925" s="55">
        <v>2020</v>
      </c>
      <c r="AN15925" s="55" t="s">
        <v>191</v>
      </c>
      <c r="AO15925" s="55">
        <v>25</v>
      </c>
      <c r="AP15925" s="55">
        <v>11</v>
      </c>
      <c r="AQ15925" s="55">
        <v>4838</v>
      </c>
      <c r="AR15925" s="55">
        <v>28500</v>
      </c>
      <c r="AS15925" s="78">
        <f t="shared" si="252"/>
        <v>0.16975438596491227</v>
      </c>
    </row>
    <row r="15926" spans="39:45">
      <c r="AM15926" s="54">
        <v>2020</v>
      </c>
      <c r="AN15926" s="54" t="s">
        <v>191</v>
      </c>
      <c r="AO15926" s="54">
        <v>25</v>
      </c>
      <c r="AP15926" s="54">
        <v>12</v>
      </c>
      <c r="AQ15926" s="54">
        <v>35920</v>
      </c>
      <c r="AR15926" s="55">
        <v>28500</v>
      </c>
      <c r="AS15926" s="78">
        <f t="shared" si="252"/>
        <v>1.2603508771929826</v>
      </c>
    </row>
    <row r="15927" spans="39:45">
      <c r="AM15927" s="55">
        <v>2020</v>
      </c>
      <c r="AN15927" s="55" t="s">
        <v>191</v>
      </c>
      <c r="AO15927" s="55">
        <v>25</v>
      </c>
      <c r="AP15927" s="55">
        <v>13</v>
      </c>
      <c r="AQ15927" s="55">
        <v>6498.5</v>
      </c>
      <c r="AR15927" s="55">
        <v>28500</v>
      </c>
      <c r="AS15927" s="78">
        <f t="shared" si="252"/>
        <v>0.22801754385964912</v>
      </c>
    </row>
    <row r="15928" spans="39:45">
      <c r="AM15928" s="54">
        <v>2020</v>
      </c>
      <c r="AN15928" s="54" t="s">
        <v>191</v>
      </c>
      <c r="AO15928" s="54">
        <v>25</v>
      </c>
      <c r="AP15928" s="54">
        <v>14</v>
      </c>
      <c r="AQ15928" s="54">
        <v>26662.5</v>
      </c>
      <c r="AR15928" s="55">
        <v>28500</v>
      </c>
      <c r="AS15928" s="78">
        <f t="shared" si="252"/>
        <v>0.93552631578947365</v>
      </c>
    </row>
    <row r="15929" spans="39:45">
      <c r="AM15929" s="55">
        <v>2020</v>
      </c>
      <c r="AN15929" s="55" t="s">
        <v>191</v>
      </c>
      <c r="AO15929" s="55">
        <v>25</v>
      </c>
      <c r="AP15929" s="55">
        <v>15</v>
      </c>
      <c r="AQ15929" s="55">
        <v>15271.5</v>
      </c>
      <c r="AR15929" s="55">
        <v>28500</v>
      </c>
      <c r="AS15929" s="78">
        <f t="shared" si="252"/>
        <v>0.5358421052631579</v>
      </c>
    </row>
    <row r="15930" spans="39:45">
      <c r="AM15930" s="54">
        <v>2020</v>
      </c>
      <c r="AN15930" s="54" t="s">
        <v>191</v>
      </c>
      <c r="AO15930" s="54">
        <v>25</v>
      </c>
      <c r="AP15930" s="54">
        <v>16</v>
      </c>
      <c r="AQ15930" s="54">
        <v>4059</v>
      </c>
      <c r="AR15930" s="55">
        <v>28500</v>
      </c>
      <c r="AS15930" s="78">
        <f t="shared" si="252"/>
        <v>0.14242105263157895</v>
      </c>
    </row>
    <row r="15931" spans="39:45">
      <c r="AM15931" s="55">
        <v>2020</v>
      </c>
      <c r="AN15931" s="55" t="s">
        <v>191</v>
      </c>
      <c r="AO15931" s="55">
        <v>25</v>
      </c>
      <c r="AP15931" s="55">
        <v>17</v>
      </c>
      <c r="AQ15931" s="55">
        <v>0</v>
      </c>
      <c r="AR15931" s="55">
        <v>28500</v>
      </c>
      <c r="AS15931" s="78">
        <f t="shared" si="252"/>
        <v>0</v>
      </c>
    </row>
    <row r="15932" spans="39:45">
      <c r="AM15932" s="54">
        <v>2020</v>
      </c>
      <c r="AN15932" s="54" t="s">
        <v>191</v>
      </c>
      <c r="AO15932" s="54">
        <v>25</v>
      </c>
      <c r="AP15932" s="54">
        <v>18</v>
      </c>
      <c r="AQ15932" s="54">
        <v>0</v>
      </c>
      <c r="AR15932" s="55">
        <v>28500</v>
      </c>
      <c r="AS15932" s="78">
        <f t="shared" si="252"/>
        <v>0</v>
      </c>
    </row>
    <row r="15933" spans="39:45">
      <c r="AM15933" s="55">
        <v>2020</v>
      </c>
      <c r="AN15933" s="55" t="s">
        <v>191</v>
      </c>
      <c r="AO15933" s="55">
        <v>25</v>
      </c>
      <c r="AP15933" s="55">
        <v>19</v>
      </c>
      <c r="AQ15933" s="55">
        <v>0</v>
      </c>
      <c r="AR15933" s="55">
        <v>28500</v>
      </c>
      <c r="AS15933" s="78">
        <f t="shared" si="252"/>
        <v>0</v>
      </c>
    </row>
    <row r="15934" spans="39:45">
      <c r="AM15934" s="54">
        <v>2020</v>
      </c>
      <c r="AN15934" s="54" t="s">
        <v>191</v>
      </c>
      <c r="AO15934" s="54">
        <v>25</v>
      </c>
      <c r="AP15934" s="54">
        <v>20</v>
      </c>
      <c r="AQ15934" s="54">
        <v>0</v>
      </c>
      <c r="AR15934" s="55">
        <v>28500</v>
      </c>
      <c r="AS15934" s="78">
        <f t="shared" si="252"/>
        <v>0</v>
      </c>
    </row>
    <row r="15935" spans="39:45">
      <c r="AM15935" s="55">
        <v>2020</v>
      </c>
      <c r="AN15935" s="55" t="s">
        <v>191</v>
      </c>
      <c r="AO15935" s="55">
        <v>25</v>
      </c>
      <c r="AP15935" s="55">
        <v>21</v>
      </c>
      <c r="AQ15935" s="55">
        <v>0</v>
      </c>
      <c r="AR15935" s="55">
        <v>28500</v>
      </c>
      <c r="AS15935" s="78">
        <f t="shared" si="252"/>
        <v>0</v>
      </c>
    </row>
    <row r="15936" spans="39:45">
      <c r="AM15936" s="54">
        <v>2020</v>
      </c>
      <c r="AN15936" s="54" t="s">
        <v>191</v>
      </c>
      <c r="AO15936" s="54">
        <v>25</v>
      </c>
      <c r="AP15936" s="54">
        <v>22</v>
      </c>
      <c r="AQ15936" s="54">
        <v>0</v>
      </c>
      <c r="AR15936" s="55">
        <v>28500</v>
      </c>
      <c r="AS15936" s="78">
        <f t="shared" si="252"/>
        <v>0</v>
      </c>
    </row>
    <row r="15937" spans="39:45">
      <c r="AM15937" s="55">
        <v>2020</v>
      </c>
      <c r="AN15937" s="55" t="s">
        <v>191</v>
      </c>
      <c r="AO15937" s="55">
        <v>25</v>
      </c>
      <c r="AP15937" s="55">
        <v>23</v>
      </c>
      <c r="AQ15937" s="55">
        <v>0</v>
      </c>
      <c r="AR15937" s="55">
        <v>28500</v>
      </c>
      <c r="AS15937" s="78">
        <f t="shared" si="252"/>
        <v>0</v>
      </c>
    </row>
    <row r="15938" spans="39:45">
      <c r="AM15938" s="54">
        <v>2020</v>
      </c>
      <c r="AN15938" s="54" t="s">
        <v>191</v>
      </c>
      <c r="AO15938" s="54">
        <v>26</v>
      </c>
      <c r="AP15938" s="54">
        <v>24</v>
      </c>
      <c r="AQ15938" s="54">
        <v>0</v>
      </c>
      <c r="AR15938" s="55">
        <v>28500</v>
      </c>
      <c r="AS15938" s="78">
        <f t="shared" ref="AS15938:AS16001" si="253">AQ15938/AR15938</f>
        <v>0</v>
      </c>
    </row>
    <row r="15939" spans="39:45">
      <c r="AM15939" s="55">
        <v>2020</v>
      </c>
      <c r="AN15939" s="55" t="s">
        <v>191</v>
      </c>
      <c r="AO15939" s="55">
        <v>26</v>
      </c>
      <c r="AP15939" s="55">
        <v>1</v>
      </c>
      <c r="AQ15939" s="55">
        <v>0</v>
      </c>
      <c r="AR15939" s="55">
        <v>28500</v>
      </c>
      <c r="AS15939" s="78">
        <f t="shared" si="253"/>
        <v>0</v>
      </c>
    </row>
    <row r="15940" spans="39:45">
      <c r="AM15940" s="54">
        <v>2020</v>
      </c>
      <c r="AN15940" s="54" t="s">
        <v>191</v>
      </c>
      <c r="AO15940" s="54">
        <v>26</v>
      </c>
      <c r="AP15940" s="54">
        <v>2</v>
      </c>
      <c r="AQ15940" s="54">
        <v>0</v>
      </c>
      <c r="AR15940" s="55">
        <v>28500</v>
      </c>
      <c r="AS15940" s="78">
        <f t="shared" si="253"/>
        <v>0</v>
      </c>
    </row>
    <row r="15941" spans="39:45">
      <c r="AM15941" s="55">
        <v>2020</v>
      </c>
      <c r="AN15941" s="55" t="s">
        <v>191</v>
      </c>
      <c r="AO15941" s="55">
        <v>26</v>
      </c>
      <c r="AP15941" s="55">
        <v>3</v>
      </c>
      <c r="AQ15941" s="55">
        <v>0</v>
      </c>
      <c r="AR15941" s="55">
        <v>28500</v>
      </c>
      <c r="AS15941" s="78">
        <f t="shared" si="253"/>
        <v>0</v>
      </c>
    </row>
    <row r="15942" spans="39:45">
      <c r="AM15942" s="54">
        <v>2020</v>
      </c>
      <c r="AN15942" s="54" t="s">
        <v>191</v>
      </c>
      <c r="AO15942" s="54">
        <v>26</v>
      </c>
      <c r="AP15942" s="54">
        <v>4</v>
      </c>
      <c r="AQ15942" s="54">
        <v>0</v>
      </c>
      <c r="AR15942" s="55">
        <v>28500</v>
      </c>
      <c r="AS15942" s="78">
        <f t="shared" si="253"/>
        <v>0</v>
      </c>
    </row>
    <row r="15943" spans="39:45">
      <c r="AM15943" s="55">
        <v>2020</v>
      </c>
      <c r="AN15943" s="55" t="s">
        <v>191</v>
      </c>
      <c r="AO15943" s="55">
        <v>26</v>
      </c>
      <c r="AP15943" s="55">
        <v>5</v>
      </c>
      <c r="AQ15943" s="55">
        <v>0</v>
      </c>
      <c r="AR15943" s="55">
        <v>28500</v>
      </c>
      <c r="AS15943" s="78">
        <f t="shared" si="253"/>
        <v>0</v>
      </c>
    </row>
    <row r="15944" spans="39:45">
      <c r="AM15944" s="54">
        <v>2020</v>
      </c>
      <c r="AN15944" s="54" t="s">
        <v>191</v>
      </c>
      <c r="AO15944" s="54">
        <v>26</v>
      </c>
      <c r="AP15944" s="54">
        <v>6</v>
      </c>
      <c r="AQ15944" s="54">
        <v>0</v>
      </c>
      <c r="AR15944" s="55">
        <v>28500</v>
      </c>
      <c r="AS15944" s="78">
        <f t="shared" si="253"/>
        <v>0</v>
      </c>
    </row>
    <row r="15945" spans="39:45">
      <c r="AM15945" s="55">
        <v>2020</v>
      </c>
      <c r="AN15945" s="55" t="s">
        <v>191</v>
      </c>
      <c r="AO15945" s="55">
        <v>26</v>
      </c>
      <c r="AP15945" s="55">
        <v>7</v>
      </c>
      <c r="AQ15945" s="55">
        <v>1434.5</v>
      </c>
      <c r="AR15945" s="55">
        <v>28500</v>
      </c>
      <c r="AS15945" s="78">
        <f t="shared" si="253"/>
        <v>5.0333333333333334E-2</v>
      </c>
    </row>
    <row r="15946" spans="39:45">
      <c r="AM15946" s="54">
        <v>2020</v>
      </c>
      <c r="AN15946" s="54" t="s">
        <v>191</v>
      </c>
      <c r="AO15946" s="54">
        <v>26</v>
      </c>
      <c r="AP15946" s="54">
        <v>8</v>
      </c>
      <c r="AQ15946" s="54">
        <v>14179</v>
      </c>
      <c r="AR15946" s="55">
        <v>28500</v>
      </c>
      <c r="AS15946" s="78">
        <f t="shared" si="253"/>
        <v>0.49750877192982457</v>
      </c>
    </row>
    <row r="15947" spans="39:45">
      <c r="AM15947" s="55">
        <v>2020</v>
      </c>
      <c r="AN15947" s="55" t="s">
        <v>191</v>
      </c>
      <c r="AO15947" s="55">
        <v>26</v>
      </c>
      <c r="AP15947" s="55">
        <v>9</v>
      </c>
      <c r="AQ15947" s="55">
        <v>23163</v>
      </c>
      <c r="AR15947" s="55">
        <v>28500</v>
      </c>
      <c r="AS15947" s="78">
        <f t="shared" si="253"/>
        <v>0.8127368421052632</v>
      </c>
    </row>
    <row r="15948" spans="39:45">
      <c r="AM15948" s="54">
        <v>2020</v>
      </c>
      <c r="AN15948" s="54" t="s">
        <v>191</v>
      </c>
      <c r="AO15948" s="54">
        <v>26</v>
      </c>
      <c r="AP15948" s="54">
        <v>10</v>
      </c>
      <c r="AQ15948" s="54">
        <v>27249</v>
      </c>
      <c r="AR15948" s="55">
        <v>28500</v>
      </c>
      <c r="AS15948" s="78">
        <f t="shared" si="253"/>
        <v>0.95610526315789479</v>
      </c>
    </row>
    <row r="15949" spans="39:45">
      <c r="AM15949" s="55">
        <v>2020</v>
      </c>
      <c r="AN15949" s="55" t="s">
        <v>191</v>
      </c>
      <c r="AO15949" s="55">
        <v>26</v>
      </c>
      <c r="AP15949" s="55">
        <v>11</v>
      </c>
      <c r="AQ15949" s="55">
        <v>10661.5</v>
      </c>
      <c r="AR15949" s="55">
        <v>28500</v>
      </c>
      <c r="AS15949" s="78">
        <f t="shared" si="253"/>
        <v>0.37408771929824564</v>
      </c>
    </row>
    <row r="15950" spans="39:45">
      <c r="AM15950" s="54">
        <v>2020</v>
      </c>
      <c r="AN15950" s="54" t="s">
        <v>191</v>
      </c>
      <c r="AO15950" s="54">
        <v>26</v>
      </c>
      <c r="AP15950" s="54">
        <v>12</v>
      </c>
      <c r="AQ15950" s="54">
        <v>25336</v>
      </c>
      <c r="AR15950" s="55">
        <v>28500</v>
      </c>
      <c r="AS15950" s="78">
        <f t="shared" si="253"/>
        <v>0.88898245614035087</v>
      </c>
    </row>
    <row r="15951" spans="39:45">
      <c r="AM15951" s="55">
        <v>2020</v>
      </c>
      <c r="AN15951" s="55" t="s">
        <v>191</v>
      </c>
      <c r="AO15951" s="55">
        <v>26</v>
      </c>
      <c r="AP15951" s="55">
        <v>13</v>
      </c>
      <c r="AQ15951" s="55">
        <v>6135.5</v>
      </c>
      <c r="AR15951" s="55">
        <v>28500</v>
      </c>
      <c r="AS15951" s="78">
        <f t="shared" si="253"/>
        <v>0.21528070175438596</v>
      </c>
    </row>
    <row r="15952" spans="39:45">
      <c r="AM15952" s="54">
        <v>2020</v>
      </c>
      <c r="AN15952" s="54" t="s">
        <v>191</v>
      </c>
      <c r="AO15952" s="54">
        <v>26</v>
      </c>
      <c r="AP15952" s="54">
        <v>14</v>
      </c>
      <c r="AQ15952" s="54">
        <v>4961.5</v>
      </c>
      <c r="AR15952" s="55">
        <v>28500</v>
      </c>
      <c r="AS15952" s="78">
        <f t="shared" si="253"/>
        <v>0.17408771929824562</v>
      </c>
    </row>
    <row r="15953" spans="39:45">
      <c r="AM15953" s="55">
        <v>2020</v>
      </c>
      <c r="AN15953" s="55" t="s">
        <v>191</v>
      </c>
      <c r="AO15953" s="55">
        <v>26</v>
      </c>
      <c r="AP15953" s="55">
        <v>15</v>
      </c>
      <c r="AQ15953" s="55">
        <v>4382</v>
      </c>
      <c r="AR15953" s="55">
        <v>28500</v>
      </c>
      <c r="AS15953" s="78">
        <f t="shared" si="253"/>
        <v>0.15375438596491228</v>
      </c>
    </row>
    <row r="15954" spans="39:45">
      <c r="AM15954" s="54">
        <v>2020</v>
      </c>
      <c r="AN15954" s="54" t="s">
        <v>191</v>
      </c>
      <c r="AO15954" s="54">
        <v>26</v>
      </c>
      <c r="AP15954" s="54">
        <v>16</v>
      </c>
      <c r="AQ15954" s="54">
        <v>1676</v>
      </c>
      <c r="AR15954" s="55">
        <v>28500</v>
      </c>
      <c r="AS15954" s="78">
        <f t="shared" si="253"/>
        <v>5.8807017543859648E-2</v>
      </c>
    </row>
    <row r="15955" spans="39:45">
      <c r="AM15955" s="55">
        <v>2020</v>
      </c>
      <c r="AN15955" s="55" t="s">
        <v>191</v>
      </c>
      <c r="AO15955" s="55">
        <v>26</v>
      </c>
      <c r="AP15955" s="55">
        <v>17</v>
      </c>
      <c r="AQ15955" s="55">
        <v>0</v>
      </c>
      <c r="AR15955" s="55">
        <v>28500</v>
      </c>
      <c r="AS15955" s="78">
        <f t="shared" si="253"/>
        <v>0</v>
      </c>
    </row>
    <row r="15956" spans="39:45">
      <c r="AM15956" s="54">
        <v>2020</v>
      </c>
      <c r="AN15956" s="54" t="s">
        <v>191</v>
      </c>
      <c r="AO15956" s="54">
        <v>26</v>
      </c>
      <c r="AP15956" s="54">
        <v>18</v>
      </c>
      <c r="AQ15956" s="54">
        <v>0</v>
      </c>
      <c r="AR15956" s="55">
        <v>28500</v>
      </c>
      <c r="AS15956" s="78">
        <f t="shared" si="253"/>
        <v>0</v>
      </c>
    </row>
    <row r="15957" spans="39:45">
      <c r="AM15957" s="55">
        <v>2020</v>
      </c>
      <c r="AN15957" s="55" t="s">
        <v>191</v>
      </c>
      <c r="AO15957" s="55">
        <v>26</v>
      </c>
      <c r="AP15957" s="55">
        <v>19</v>
      </c>
      <c r="AQ15957" s="55">
        <v>0</v>
      </c>
      <c r="AR15957" s="55">
        <v>28500</v>
      </c>
      <c r="AS15957" s="78">
        <f t="shared" si="253"/>
        <v>0</v>
      </c>
    </row>
    <row r="15958" spans="39:45">
      <c r="AM15958" s="54">
        <v>2020</v>
      </c>
      <c r="AN15958" s="54" t="s">
        <v>191</v>
      </c>
      <c r="AO15958" s="54">
        <v>26</v>
      </c>
      <c r="AP15958" s="54">
        <v>20</v>
      </c>
      <c r="AQ15958" s="54">
        <v>0</v>
      </c>
      <c r="AR15958" s="55">
        <v>28500</v>
      </c>
      <c r="AS15958" s="78">
        <f t="shared" si="253"/>
        <v>0</v>
      </c>
    </row>
    <row r="15959" spans="39:45">
      <c r="AM15959" s="55">
        <v>2020</v>
      </c>
      <c r="AN15959" s="55" t="s">
        <v>191</v>
      </c>
      <c r="AO15959" s="55">
        <v>26</v>
      </c>
      <c r="AP15959" s="55">
        <v>21</v>
      </c>
      <c r="AQ15959" s="55">
        <v>0</v>
      </c>
      <c r="AR15959" s="55">
        <v>28500</v>
      </c>
      <c r="AS15959" s="78">
        <f t="shared" si="253"/>
        <v>0</v>
      </c>
    </row>
    <row r="15960" spans="39:45">
      <c r="AM15960" s="54">
        <v>2020</v>
      </c>
      <c r="AN15960" s="54" t="s">
        <v>191</v>
      </c>
      <c r="AO15960" s="54">
        <v>26</v>
      </c>
      <c r="AP15960" s="54">
        <v>22</v>
      </c>
      <c r="AQ15960" s="54">
        <v>0</v>
      </c>
      <c r="AR15960" s="55">
        <v>28500</v>
      </c>
      <c r="AS15960" s="78">
        <f t="shared" si="253"/>
        <v>0</v>
      </c>
    </row>
    <row r="15961" spans="39:45">
      <c r="AM15961" s="55">
        <v>2020</v>
      </c>
      <c r="AN15961" s="55" t="s">
        <v>191</v>
      </c>
      <c r="AO15961" s="55">
        <v>26</v>
      </c>
      <c r="AP15961" s="55">
        <v>23</v>
      </c>
      <c r="AQ15961" s="55">
        <v>0</v>
      </c>
      <c r="AR15961" s="55">
        <v>28500</v>
      </c>
      <c r="AS15961" s="78">
        <f t="shared" si="253"/>
        <v>0</v>
      </c>
    </row>
    <row r="15962" spans="39:45">
      <c r="AM15962" s="54">
        <v>2020</v>
      </c>
      <c r="AN15962" s="54" t="s">
        <v>191</v>
      </c>
      <c r="AO15962" s="54">
        <v>27</v>
      </c>
      <c r="AP15962" s="54">
        <v>24</v>
      </c>
      <c r="AQ15962" s="54">
        <v>0</v>
      </c>
      <c r="AR15962" s="55">
        <v>28500</v>
      </c>
      <c r="AS15962" s="78">
        <f t="shared" si="253"/>
        <v>0</v>
      </c>
    </row>
    <row r="15963" spans="39:45">
      <c r="AM15963" s="55">
        <v>2020</v>
      </c>
      <c r="AN15963" s="55" t="s">
        <v>191</v>
      </c>
      <c r="AO15963" s="55">
        <v>27</v>
      </c>
      <c r="AP15963" s="55">
        <v>1</v>
      </c>
      <c r="AQ15963" s="55">
        <v>0</v>
      </c>
      <c r="AR15963" s="55">
        <v>28500</v>
      </c>
      <c r="AS15963" s="78">
        <f t="shared" si="253"/>
        <v>0</v>
      </c>
    </row>
    <row r="15964" spans="39:45">
      <c r="AM15964" s="54">
        <v>2020</v>
      </c>
      <c r="AN15964" s="54" t="s">
        <v>191</v>
      </c>
      <c r="AO15964" s="54">
        <v>27</v>
      </c>
      <c r="AP15964" s="54">
        <v>2</v>
      </c>
      <c r="AQ15964" s="54">
        <v>0</v>
      </c>
      <c r="AR15964" s="55">
        <v>28500</v>
      </c>
      <c r="AS15964" s="78">
        <f t="shared" si="253"/>
        <v>0</v>
      </c>
    </row>
    <row r="15965" spans="39:45">
      <c r="AM15965" s="55">
        <v>2020</v>
      </c>
      <c r="AN15965" s="55" t="s">
        <v>191</v>
      </c>
      <c r="AO15965" s="55">
        <v>27</v>
      </c>
      <c r="AP15965" s="55">
        <v>3</v>
      </c>
      <c r="AQ15965" s="55">
        <v>0</v>
      </c>
      <c r="AR15965" s="55">
        <v>28500</v>
      </c>
      <c r="AS15965" s="78">
        <f t="shared" si="253"/>
        <v>0</v>
      </c>
    </row>
    <row r="15966" spans="39:45">
      <c r="AM15966" s="54">
        <v>2020</v>
      </c>
      <c r="AN15966" s="54" t="s">
        <v>191</v>
      </c>
      <c r="AO15966" s="54">
        <v>27</v>
      </c>
      <c r="AP15966" s="54">
        <v>4</v>
      </c>
      <c r="AQ15966" s="54">
        <v>0</v>
      </c>
      <c r="AR15966" s="55">
        <v>28500</v>
      </c>
      <c r="AS15966" s="78">
        <f t="shared" si="253"/>
        <v>0</v>
      </c>
    </row>
    <row r="15967" spans="39:45">
      <c r="AM15967" s="55">
        <v>2020</v>
      </c>
      <c r="AN15967" s="55" t="s">
        <v>191</v>
      </c>
      <c r="AO15967" s="55">
        <v>27</v>
      </c>
      <c r="AP15967" s="55">
        <v>5</v>
      </c>
      <c r="AQ15967" s="55">
        <v>0</v>
      </c>
      <c r="AR15967" s="55">
        <v>28500</v>
      </c>
      <c r="AS15967" s="78">
        <f t="shared" si="253"/>
        <v>0</v>
      </c>
    </row>
    <row r="15968" spans="39:45">
      <c r="AM15968" s="54">
        <v>2020</v>
      </c>
      <c r="AN15968" s="54" t="s">
        <v>191</v>
      </c>
      <c r="AO15968" s="54">
        <v>27</v>
      </c>
      <c r="AP15968" s="54">
        <v>6</v>
      </c>
      <c r="AQ15968" s="54">
        <v>0</v>
      </c>
      <c r="AR15968" s="55">
        <v>28500</v>
      </c>
      <c r="AS15968" s="78">
        <f t="shared" si="253"/>
        <v>0</v>
      </c>
    </row>
    <row r="15969" spans="39:45">
      <c r="AM15969" s="55">
        <v>2020</v>
      </c>
      <c r="AN15969" s="55" t="s">
        <v>191</v>
      </c>
      <c r="AO15969" s="55">
        <v>27</v>
      </c>
      <c r="AP15969" s="55">
        <v>7</v>
      </c>
      <c r="AQ15969" s="55">
        <v>0</v>
      </c>
      <c r="AR15969" s="55">
        <v>28500</v>
      </c>
      <c r="AS15969" s="78">
        <f t="shared" si="253"/>
        <v>0</v>
      </c>
    </row>
    <row r="15970" spans="39:45">
      <c r="AM15970" s="54">
        <v>2020</v>
      </c>
      <c r="AN15970" s="54" t="s">
        <v>191</v>
      </c>
      <c r="AO15970" s="54">
        <v>27</v>
      </c>
      <c r="AP15970" s="54">
        <v>8</v>
      </c>
      <c r="AQ15970" s="54">
        <v>873.5</v>
      </c>
      <c r="AR15970" s="55">
        <v>28500</v>
      </c>
      <c r="AS15970" s="78">
        <f t="shared" si="253"/>
        <v>3.0649122807017544E-2</v>
      </c>
    </row>
    <row r="15971" spans="39:45">
      <c r="AM15971" s="55">
        <v>2020</v>
      </c>
      <c r="AN15971" s="55" t="s">
        <v>191</v>
      </c>
      <c r="AO15971" s="55">
        <v>27</v>
      </c>
      <c r="AP15971" s="55">
        <v>9</v>
      </c>
      <c r="AQ15971" s="55">
        <v>1573</v>
      </c>
      <c r="AR15971" s="55">
        <v>28500</v>
      </c>
      <c r="AS15971" s="78">
        <f t="shared" si="253"/>
        <v>5.5192982456140349E-2</v>
      </c>
    </row>
    <row r="15972" spans="39:45">
      <c r="AM15972" s="54">
        <v>2020</v>
      </c>
      <c r="AN15972" s="54" t="s">
        <v>191</v>
      </c>
      <c r="AO15972" s="54">
        <v>27</v>
      </c>
      <c r="AP15972" s="54">
        <v>10</v>
      </c>
      <c r="AQ15972" s="54">
        <v>5258.5</v>
      </c>
      <c r="AR15972" s="55">
        <v>28500</v>
      </c>
      <c r="AS15972" s="78">
        <f t="shared" si="253"/>
        <v>0.18450877192982457</v>
      </c>
    </row>
    <row r="15973" spans="39:45">
      <c r="AM15973" s="55">
        <v>2020</v>
      </c>
      <c r="AN15973" s="55" t="s">
        <v>191</v>
      </c>
      <c r="AO15973" s="55">
        <v>27</v>
      </c>
      <c r="AP15973" s="55">
        <v>11</v>
      </c>
      <c r="AQ15973" s="55">
        <v>3298.5</v>
      </c>
      <c r="AR15973" s="55">
        <v>28500</v>
      </c>
      <c r="AS15973" s="78">
        <f t="shared" si="253"/>
        <v>0.11573684210526315</v>
      </c>
    </row>
    <row r="15974" spans="39:45">
      <c r="AM15974" s="54">
        <v>2020</v>
      </c>
      <c r="AN15974" s="54" t="s">
        <v>191</v>
      </c>
      <c r="AO15974" s="54">
        <v>27</v>
      </c>
      <c r="AP15974" s="54">
        <v>12</v>
      </c>
      <c r="AQ15974" s="54">
        <v>2186.5</v>
      </c>
      <c r="AR15974" s="55">
        <v>28500</v>
      </c>
      <c r="AS15974" s="78">
        <f t="shared" si="253"/>
        <v>7.6719298245614034E-2</v>
      </c>
    </row>
    <row r="15975" spans="39:45">
      <c r="AM15975" s="55">
        <v>2020</v>
      </c>
      <c r="AN15975" s="55" t="s">
        <v>191</v>
      </c>
      <c r="AO15975" s="55">
        <v>27</v>
      </c>
      <c r="AP15975" s="55">
        <v>13</v>
      </c>
      <c r="AQ15975" s="55">
        <v>10896.5</v>
      </c>
      <c r="AR15975" s="55">
        <v>28500</v>
      </c>
      <c r="AS15975" s="78">
        <f t="shared" si="253"/>
        <v>0.38233333333333336</v>
      </c>
    </row>
    <row r="15976" spans="39:45">
      <c r="AM15976" s="54">
        <v>2020</v>
      </c>
      <c r="AN15976" s="54" t="s">
        <v>191</v>
      </c>
      <c r="AO15976" s="54">
        <v>27</v>
      </c>
      <c r="AP15976" s="54">
        <v>14</v>
      </c>
      <c r="AQ15976" s="54">
        <v>2899</v>
      </c>
      <c r="AR15976" s="55">
        <v>28500</v>
      </c>
      <c r="AS15976" s="78">
        <f t="shared" si="253"/>
        <v>0.10171929824561403</v>
      </c>
    </row>
    <row r="15977" spans="39:45">
      <c r="AM15977" s="55">
        <v>2020</v>
      </c>
      <c r="AN15977" s="55" t="s">
        <v>191</v>
      </c>
      <c r="AO15977" s="55">
        <v>27</v>
      </c>
      <c r="AP15977" s="55">
        <v>15</v>
      </c>
      <c r="AQ15977" s="55">
        <v>1265.5</v>
      </c>
      <c r="AR15977" s="55">
        <v>28500</v>
      </c>
      <c r="AS15977" s="78">
        <f t="shared" si="253"/>
        <v>4.4403508771929827E-2</v>
      </c>
    </row>
    <row r="15978" spans="39:45">
      <c r="AM15978" s="54">
        <v>2020</v>
      </c>
      <c r="AN15978" s="54" t="s">
        <v>191</v>
      </c>
      <c r="AO15978" s="54">
        <v>27</v>
      </c>
      <c r="AP15978" s="54">
        <v>16</v>
      </c>
      <c r="AQ15978" s="54">
        <v>164.5</v>
      </c>
      <c r="AR15978" s="55">
        <v>28500</v>
      </c>
      <c r="AS15978" s="78">
        <f t="shared" si="253"/>
        <v>5.7719298245614038E-3</v>
      </c>
    </row>
    <row r="15979" spans="39:45">
      <c r="AM15979" s="55">
        <v>2020</v>
      </c>
      <c r="AN15979" s="55" t="s">
        <v>191</v>
      </c>
      <c r="AO15979" s="55">
        <v>27</v>
      </c>
      <c r="AP15979" s="55">
        <v>17</v>
      </c>
      <c r="AQ15979" s="55">
        <v>0</v>
      </c>
      <c r="AR15979" s="55">
        <v>28500</v>
      </c>
      <c r="AS15979" s="78">
        <f t="shared" si="253"/>
        <v>0</v>
      </c>
    </row>
    <row r="15980" spans="39:45">
      <c r="AM15980" s="54">
        <v>2020</v>
      </c>
      <c r="AN15980" s="54" t="s">
        <v>191</v>
      </c>
      <c r="AO15980" s="54">
        <v>27</v>
      </c>
      <c r="AP15980" s="54">
        <v>18</v>
      </c>
      <c r="AQ15980" s="54">
        <v>0</v>
      </c>
      <c r="AR15980" s="55">
        <v>28500</v>
      </c>
      <c r="AS15980" s="78">
        <f t="shared" si="253"/>
        <v>0</v>
      </c>
    </row>
    <row r="15981" spans="39:45">
      <c r="AM15981" s="55">
        <v>2020</v>
      </c>
      <c r="AN15981" s="55" t="s">
        <v>191</v>
      </c>
      <c r="AO15981" s="55">
        <v>27</v>
      </c>
      <c r="AP15981" s="55">
        <v>19</v>
      </c>
      <c r="AQ15981" s="55">
        <v>0</v>
      </c>
      <c r="AR15981" s="55">
        <v>28500</v>
      </c>
      <c r="AS15981" s="78">
        <f t="shared" si="253"/>
        <v>0</v>
      </c>
    </row>
    <row r="15982" spans="39:45">
      <c r="AM15982" s="54">
        <v>2020</v>
      </c>
      <c r="AN15982" s="54" t="s">
        <v>191</v>
      </c>
      <c r="AO15982" s="54">
        <v>27</v>
      </c>
      <c r="AP15982" s="54">
        <v>20</v>
      </c>
      <c r="AQ15982" s="54">
        <v>0</v>
      </c>
      <c r="AR15982" s="55">
        <v>28500</v>
      </c>
      <c r="AS15982" s="78">
        <f t="shared" si="253"/>
        <v>0</v>
      </c>
    </row>
    <row r="15983" spans="39:45">
      <c r="AM15983" s="55">
        <v>2020</v>
      </c>
      <c r="AN15983" s="55" t="s">
        <v>191</v>
      </c>
      <c r="AO15983" s="55">
        <v>27</v>
      </c>
      <c r="AP15983" s="55">
        <v>21</v>
      </c>
      <c r="AQ15983" s="55">
        <v>0</v>
      </c>
      <c r="AR15983" s="55">
        <v>28500</v>
      </c>
      <c r="AS15983" s="78">
        <f t="shared" si="253"/>
        <v>0</v>
      </c>
    </row>
    <row r="15984" spans="39:45">
      <c r="AM15984" s="54">
        <v>2020</v>
      </c>
      <c r="AN15984" s="54" t="s">
        <v>191</v>
      </c>
      <c r="AO15984" s="54">
        <v>27</v>
      </c>
      <c r="AP15984" s="54">
        <v>22</v>
      </c>
      <c r="AQ15984" s="54">
        <v>0</v>
      </c>
      <c r="AR15984" s="55">
        <v>28500</v>
      </c>
      <c r="AS15984" s="78">
        <f t="shared" si="253"/>
        <v>0</v>
      </c>
    </row>
    <row r="15985" spans="39:45">
      <c r="AM15985" s="55">
        <v>2020</v>
      </c>
      <c r="AN15985" s="55" t="s">
        <v>191</v>
      </c>
      <c r="AO15985" s="55">
        <v>27</v>
      </c>
      <c r="AP15985" s="55">
        <v>23</v>
      </c>
      <c r="AQ15985" s="55">
        <v>0</v>
      </c>
      <c r="AR15985" s="55">
        <v>28500</v>
      </c>
      <c r="AS15985" s="78">
        <f t="shared" si="253"/>
        <v>0</v>
      </c>
    </row>
    <row r="15986" spans="39:45">
      <c r="AM15986" s="54">
        <v>2020</v>
      </c>
      <c r="AN15986" s="54" t="s">
        <v>191</v>
      </c>
      <c r="AO15986" s="54">
        <v>28</v>
      </c>
      <c r="AP15986" s="54">
        <v>24</v>
      </c>
      <c r="AQ15986" s="54">
        <v>0</v>
      </c>
      <c r="AR15986" s="55">
        <v>28500</v>
      </c>
      <c r="AS15986" s="78">
        <f t="shared" si="253"/>
        <v>0</v>
      </c>
    </row>
    <row r="15987" spans="39:45">
      <c r="AM15987" s="55">
        <v>2020</v>
      </c>
      <c r="AN15987" s="55" t="s">
        <v>191</v>
      </c>
      <c r="AO15987" s="55">
        <v>28</v>
      </c>
      <c r="AP15987" s="55">
        <v>1</v>
      </c>
      <c r="AQ15987" s="55">
        <v>0</v>
      </c>
      <c r="AR15987" s="55">
        <v>28500</v>
      </c>
      <c r="AS15987" s="78">
        <f t="shared" si="253"/>
        <v>0</v>
      </c>
    </row>
    <row r="15988" spans="39:45">
      <c r="AM15988" s="54">
        <v>2020</v>
      </c>
      <c r="AN15988" s="54" t="s">
        <v>191</v>
      </c>
      <c r="AO15988" s="54">
        <v>28</v>
      </c>
      <c r="AP15988" s="54">
        <v>2</v>
      </c>
      <c r="AQ15988" s="54">
        <v>0</v>
      </c>
      <c r="AR15988" s="55">
        <v>28500</v>
      </c>
      <c r="AS15988" s="78">
        <f t="shared" si="253"/>
        <v>0</v>
      </c>
    </row>
    <row r="15989" spans="39:45">
      <c r="AM15989" s="55">
        <v>2020</v>
      </c>
      <c r="AN15989" s="55" t="s">
        <v>191</v>
      </c>
      <c r="AO15989" s="55">
        <v>28</v>
      </c>
      <c r="AP15989" s="55">
        <v>3</v>
      </c>
      <c r="AQ15989" s="55">
        <v>0</v>
      </c>
      <c r="AR15989" s="55">
        <v>28500</v>
      </c>
      <c r="AS15989" s="78">
        <f t="shared" si="253"/>
        <v>0</v>
      </c>
    </row>
    <row r="15990" spans="39:45">
      <c r="AM15990" s="54">
        <v>2020</v>
      </c>
      <c r="AN15990" s="54" t="s">
        <v>191</v>
      </c>
      <c r="AO15990" s="54">
        <v>28</v>
      </c>
      <c r="AP15990" s="54">
        <v>4</v>
      </c>
      <c r="AQ15990" s="54">
        <v>0</v>
      </c>
      <c r="AR15990" s="55">
        <v>28500</v>
      </c>
      <c r="AS15990" s="78">
        <f t="shared" si="253"/>
        <v>0</v>
      </c>
    </row>
    <row r="15991" spans="39:45">
      <c r="AM15991" s="55">
        <v>2020</v>
      </c>
      <c r="AN15991" s="55" t="s">
        <v>191</v>
      </c>
      <c r="AO15991" s="55">
        <v>28</v>
      </c>
      <c r="AP15991" s="55">
        <v>5</v>
      </c>
      <c r="AQ15991" s="55">
        <v>0</v>
      </c>
      <c r="AR15991" s="55">
        <v>28500</v>
      </c>
      <c r="AS15991" s="78">
        <f t="shared" si="253"/>
        <v>0</v>
      </c>
    </row>
    <row r="15992" spans="39:45">
      <c r="AM15992" s="54">
        <v>2020</v>
      </c>
      <c r="AN15992" s="54" t="s">
        <v>191</v>
      </c>
      <c r="AO15992" s="54">
        <v>28</v>
      </c>
      <c r="AP15992" s="54">
        <v>6</v>
      </c>
      <c r="AQ15992" s="54">
        <v>0</v>
      </c>
      <c r="AR15992" s="55">
        <v>28500</v>
      </c>
      <c r="AS15992" s="78">
        <f t="shared" si="253"/>
        <v>0</v>
      </c>
    </row>
    <row r="15993" spans="39:45">
      <c r="AM15993" s="55">
        <v>2020</v>
      </c>
      <c r="AN15993" s="55" t="s">
        <v>191</v>
      </c>
      <c r="AO15993" s="55">
        <v>28</v>
      </c>
      <c r="AP15993" s="55">
        <v>7</v>
      </c>
      <c r="AQ15993" s="55">
        <v>521.5</v>
      </c>
      <c r="AR15993" s="55">
        <v>28500</v>
      </c>
      <c r="AS15993" s="78">
        <f t="shared" si="253"/>
        <v>1.8298245614035088E-2</v>
      </c>
    </row>
    <row r="15994" spans="39:45">
      <c r="AM15994" s="54">
        <v>2020</v>
      </c>
      <c r="AN15994" s="54" t="s">
        <v>191</v>
      </c>
      <c r="AO15994" s="54">
        <v>28</v>
      </c>
      <c r="AP15994" s="54">
        <v>8</v>
      </c>
      <c r="AQ15994" s="54">
        <v>12872.5</v>
      </c>
      <c r="AR15994" s="55">
        <v>28500</v>
      </c>
      <c r="AS15994" s="78">
        <f t="shared" si="253"/>
        <v>0.45166666666666666</v>
      </c>
    </row>
    <row r="15995" spans="39:45">
      <c r="AM15995" s="55">
        <v>2020</v>
      </c>
      <c r="AN15995" s="55" t="s">
        <v>191</v>
      </c>
      <c r="AO15995" s="55">
        <v>28</v>
      </c>
      <c r="AP15995" s="55">
        <v>9</v>
      </c>
      <c r="AQ15995" s="55">
        <v>4519</v>
      </c>
      <c r="AR15995" s="55">
        <v>28500</v>
      </c>
      <c r="AS15995" s="78">
        <f t="shared" si="253"/>
        <v>0.15856140350877193</v>
      </c>
    </row>
    <row r="15996" spans="39:45">
      <c r="AM15996" s="54">
        <v>2020</v>
      </c>
      <c r="AN15996" s="54" t="s">
        <v>191</v>
      </c>
      <c r="AO15996" s="54">
        <v>28</v>
      </c>
      <c r="AP15996" s="54">
        <v>10</v>
      </c>
      <c r="AQ15996" s="54">
        <v>12499</v>
      </c>
      <c r="AR15996" s="55">
        <v>28500</v>
      </c>
      <c r="AS15996" s="78">
        <f t="shared" si="253"/>
        <v>0.43856140350877193</v>
      </c>
    </row>
    <row r="15997" spans="39:45">
      <c r="AM15997" s="55">
        <v>2020</v>
      </c>
      <c r="AN15997" s="55" t="s">
        <v>191</v>
      </c>
      <c r="AO15997" s="55">
        <v>28</v>
      </c>
      <c r="AP15997" s="55">
        <v>11</v>
      </c>
      <c r="AQ15997" s="55">
        <v>13744.5</v>
      </c>
      <c r="AR15997" s="55">
        <v>28500</v>
      </c>
      <c r="AS15997" s="78">
        <f t="shared" si="253"/>
        <v>0.48226315789473684</v>
      </c>
    </row>
    <row r="15998" spans="39:45">
      <c r="AM15998" s="54">
        <v>2020</v>
      </c>
      <c r="AN15998" s="54" t="s">
        <v>191</v>
      </c>
      <c r="AO15998" s="54">
        <v>28</v>
      </c>
      <c r="AP15998" s="54">
        <v>12</v>
      </c>
      <c r="AQ15998" s="54">
        <v>28414</v>
      </c>
      <c r="AR15998" s="55">
        <v>28500</v>
      </c>
      <c r="AS15998" s="78">
        <f t="shared" si="253"/>
        <v>0.99698245614035086</v>
      </c>
    </row>
    <row r="15999" spans="39:45">
      <c r="AM15999" s="55">
        <v>2020</v>
      </c>
      <c r="AN15999" s="55" t="s">
        <v>191</v>
      </c>
      <c r="AO15999" s="55">
        <v>28</v>
      </c>
      <c r="AP15999" s="55">
        <v>13</v>
      </c>
      <c r="AQ15999" s="55">
        <v>6563.5</v>
      </c>
      <c r="AR15999" s="55">
        <v>28500</v>
      </c>
      <c r="AS15999" s="78">
        <f t="shared" si="253"/>
        <v>0.23029824561403509</v>
      </c>
    </row>
    <row r="16000" spans="39:45">
      <c r="AM16000" s="54">
        <v>2020</v>
      </c>
      <c r="AN16000" s="54" t="s">
        <v>191</v>
      </c>
      <c r="AO16000" s="54">
        <v>28</v>
      </c>
      <c r="AP16000" s="54">
        <v>14</v>
      </c>
      <c r="AQ16000" s="54">
        <v>6452.5</v>
      </c>
      <c r="AR16000" s="55">
        <v>28500</v>
      </c>
      <c r="AS16000" s="78">
        <f t="shared" si="253"/>
        <v>0.22640350877192983</v>
      </c>
    </row>
    <row r="16001" spans="39:45">
      <c r="AM16001" s="55">
        <v>2020</v>
      </c>
      <c r="AN16001" s="55" t="s">
        <v>191</v>
      </c>
      <c r="AO16001" s="55">
        <v>28</v>
      </c>
      <c r="AP16001" s="55">
        <v>15</v>
      </c>
      <c r="AQ16001" s="55">
        <v>14997.5</v>
      </c>
      <c r="AR16001" s="55">
        <v>28500</v>
      </c>
      <c r="AS16001" s="78">
        <f t="shared" si="253"/>
        <v>0.5262280701754386</v>
      </c>
    </row>
    <row r="16002" spans="39:45">
      <c r="AM16002" s="54">
        <v>2020</v>
      </c>
      <c r="AN16002" s="54" t="s">
        <v>191</v>
      </c>
      <c r="AO16002" s="54">
        <v>28</v>
      </c>
      <c r="AP16002" s="54">
        <v>16</v>
      </c>
      <c r="AQ16002" s="54">
        <v>325</v>
      </c>
      <c r="AR16002" s="55">
        <v>28500</v>
      </c>
      <c r="AS16002" s="78">
        <f t="shared" ref="AS16002:AS16065" si="254">AQ16002/AR16002</f>
        <v>1.1403508771929825E-2</v>
      </c>
    </row>
    <row r="16003" spans="39:45">
      <c r="AM16003" s="55">
        <v>2020</v>
      </c>
      <c r="AN16003" s="55" t="s">
        <v>191</v>
      </c>
      <c r="AO16003" s="55">
        <v>28</v>
      </c>
      <c r="AP16003" s="55">
        <v>17</v>
      </c>
      <c r="AQ16003" s="55">
        <v>0</v>
      </c>
      <c r="AR16003" s="55">
        <v>28500</v>
      </c>
      <c r="AS16003" s="78">
        <f t="shared" si="254"/>
        <v>0</v>
      </c>
    </row>
    <row r="16004" spans="39:45">
      <c r="AM16004" s="54">
        <v>2020</v>
      </c>
      <c r="AN16004" s="54" t="s">
        <v>191</v>
      </c>
      <c r="AO16004" s="54">
        <v>28</v>
      </c>
      <c r="AP16004" s="54">
        <v>18</v>
      </c>
      <c r="AQ16004" s="54">
        <v>0</v>
      </c>
      <c r="AR16004" s="55">
        <v>28500</v>
      </c>
      <c r="AS16004" s="78">
        <f t="shared" si="254"/>
        <v>0</v>
      </c>
    </row>
    <row r="16005" spans="39:45">
      <c r="AM16005" s="55">
        <v>2020</v>
      </c>
      <c r="AN16005" s="55" t="s">
        <v>191</v>
      </c>
      <c r="AO16005" s="55">
        <v>28</v>
      </c>
      <c r="AP16005" s="55">
        <v>19</v>
      </c>
      <c r="AQ16005" s="55">
        <v>0</v>
      </c>
      <c r="AR16005" s="55">
        <v>28500</v>
      </c>
      <c r="AS16005" s="78">
        <f t="shared" si="254"/>
        <v>0</v>
      </c>
    </row>
    <row r="16006" spans="39:45">
      <c r="AM16006" s="54">
        <v>2020</v>
      </c>
      <c r="AN16006" s="54" t="s">
        <v>191</v>
      </c>
      <c r="AO16006" s="54">
        <v>28</v>
      </c>
      <c r="AP16006" s="54">
        <v>20</v>
      </c>
      <c r="AQ16006" s="54">
        <v>0</v>
      </c>
      <c r="AR16006" s="55">
        <v>28500</v>
      </c>
      <c r="AS16006" s="78">
        <f t="shared" si="254"/>
        <v>0</v>
      </c>
    </row>
    <row r="16007" spans="39:45">
      <c r="AM16007" s="55">
        <v>2020</v>
      </c>
      <c r="AN16007" s="55" t="s">
        <v>191</v>
      </c>
      <c r="AO16007" s="55">
        <v>28</v>
      </c>
      <c r="AP16007" s="55">
        <v>21</v>
      </c>
      <c r="AQ16007" s="55">
        <v>0</v>
      </c>
      <c r="AR16007" s="55">
        <v>28500</v>
      </c>
      <c r="AS16007" s="78">
        <f t="shared" si="254"/>
        <v>0</v>
      </c>
    </row>
    <row r="16008" spans="39:45">
      <c r="AM16008" s="54">
        <v>2020</v>
      </c>
      <c r="AN16008" s="54" t="s">
        <v>191</v>
      </c>
      <c r="AO16008" s="54">
        <v>28</v>
      </c>
      <c r="AP16008" s="54">
        <v>22</v>
      </c>
      <c r="AQ16008" s="54">
        <v>0</v>
      </c>
      <c r="AR16008" s="55">
        <v>28500</v>
      </c>
      <c r="AS16008" s="78">
        <f t="shared" si="254"/>
        <v>0</v>
      </c>
    </row>
    <row r="16009" spans="39:45">
      <c r="AM16009" s="55">
        <v>2020</v>
      </c>
      <c r="AN16009" s="55" t="s">
        <v>191</v>
      </c>
      <c r="AO16009" s="55">
        <v>28</v>
      </c>
      <c r="AP16009" s="55">
        <v>23</v>
      </c>
      <c r="AQ16009" s="55">
        <v>0</v>
      </c>
      <c r="AR16009" s="55">
        <v>28500</v>
      </c>
      <c r="AS16009" s="78">
        <f t="shared" si="254"/>
        <v>0</v>
      </c>
    </row>
    <row r="16010" spans="39:45">
      <c r="AM16010" s="54">
        <v>2020</v>
      </c>
      <c r="AN16010" s="54" t="s">
        <v>191</v>
      </c>
      <c r="AO16010" s="54">
        <v>29</v>
      </c>
      <c r="AP16010" s="54">
        <v>24</v>
      </c>
      <c r="AQ16010" s="54">
        <v>0</v>
      </c>
      <c r="AR16010" s="55">
        <v>28500</v>
      </c>
      <c r="AS16010" s="78">
        <f t="shared" si="254"/>
        <v>0</v>
      </c>
    </row>
    <row r="16011" spans="39:45">
      <c r="AM16011" s="55">
        <v>2020</v>
      </c>
      <c r="AN16011" s="55" t="s">
        <v>191</v>
      </c>
      <c r="AO16011" s="55">
        <v>29</v>
      </c>
      <c r="AP16011" s="55">
        <v>1</v>
      </c>
      <c r="AQ16011" s="55">
        <v>0</v>
      </c>
      <c r="AR16011" s="55">
        <v>28500</v>
      </c>
      <c r="AS16011" s="78">
        <f t="shared" si="254"/>
        <v>0</v>
      </c>
    </row>
    <row r="16012" spans="39:45">
      <c r="AM16012" s="54">
        <v>2020</v>
      </c>
      <c r="AN16012" s="54" t="s">
        <v>191</v>
      </c>
      <c r="AO16012" s="54">
        <v>29</v>
      </c>
      <c r="AP16012" s="54">
        <v>2</v>
      </c>
      <c r="AQ16012" s="54">
        <v>0</v>
      </c>
      <c r="AR16012" s="55">
        <v>28500</v>
      </c>
      <c r="AS16012" s="78">
        <f t="shared" si="254"/>
        <v>0</v>
      </c>
    </row>
    <row r="16013" spans="39:45">
      <c r="AM16013" s="55">
        <v>2020</v>
      </c>
      <c r="AN16013" s="55" t="s">
        <v>191</v>
      </c>
      <c r="AO16013" s="55">
        <v>29</v>
      </c>
      <c r="AP16013" s="55">
        <v>3</v>
      </c>
      <c r="AQ16013" s="55">
        <v>0</v>
      </c>
      <c r="AR16013" s="55">
        <v>28500</v>
      </c>
      <c r="AS16013" s="78">
        <f t="shared" si="254"/>
        <v>0</v>
      </c>
    </row>
    <row r="16014" spans="39:45">
      <c r="AM16014" s="54">
        <v>2020</v>
      </c>
      <c r="AN16014" s="54" t="s">
        <v>191</v>
      </c>
      <c r="AO16014" s="54">
        <v>29</v>
      </c>
      <c r="AP16014" s="54">
        <v>4</v>
      </c>
      <c r="AQ16014" s="54">
        <v>0</v>
      </c>
      <c r="AR16014" s="55">
        <v>28500</v>
      </c>
      <c r="AS16014" s="78">
        <f t="shared" si="254"/>
        <v>0</v>
      </c>
    </row>
    <row r="16015" spans="39:45">
      <c r="AM16015" s="55">
        <v>2020</v>
      </c>
      <c r="AN16015" s="55" t="s">
        <v>191</v>
      </c>
      <c r="AO16015" s="55">
        <v>29</v>
      </c>
      <c r="AP16015" s="55">
        <v>5</v>
      </c>
      <c r="AQ16015" s="55">
        <v>0</v>
      </c>
      <c r="AR16015" s="55">
        <v>28500</v>
      </c>
      <c r="AS16015" s="78">
        <f t="shared" si="254"/>
        <v>0</v>
      </c>
    </row>
    <row r="16016" spans="39:45">
      <c r="AM16016" s="54">
        <v>2020</v>
      </c>
      <c r="AN16016" s="54" t="s">
        <v>191</v>
      </c>
      <c r="AO16016" s="54">
        <v>29</v>
      </c>
      <c r="AP16016" s="54">
        <v>6</v>
      </c>
      <c r="AQ16016" s="54">
        <v>0</v>
      </c>
      <c r="AR16016" s="55">
        <v>28500</v>
      </c>
      <c r="AS16016" s="78">
        <f t="shared" si="254"/>
        <v>0</v>
      </c>
    </row>
    <row r="16017" spans="39:45">
      <c r="AM16017" s="55">
        <v>2020</v>
      </c>
      <c r="AN16017" s="55" t="s">
        <v>191</v>
      </c>
      <c r="AO16017" s="55">
        <v>29</v>
      </c>
      <c r="AP16017" s="55">
        <v>7</v>
      </c>
      <c r="AQ16017" s="55">
        <v>0</v>
      </c>
      <c r="AR16017" s="55">
        <v>28500</v>
      </c>
      <c r="AS16017" s="78">
        <f t="shared" si="254"/>
        <v>0</v>
      </c>
    </row>
    <row r="16018" spans="39:45">
      <c r="AM16018" s="54">
        <v>2020</v>
      </c>
      <c r="AN16018" s="54" t="s">
        <v>191</v>
      </c>
      <c r="AO16018" s="54">
        <v>29</v>
      </c>
      <c r="AP16018" s="54">
        <v>8</v>
      </c>
      <c r="AQ16018" s="54">
        <v>2138.5</v>
      </c>
      <c r="AR16018" s="55">
        <v>28500</v>
      </c>
      <c r="AS16018" s="78">
        <f t="shared" si="254"/>
        <v>7.5035087719298246E-2</v>
      </c>
    </row>
    <row r="16019" spans="39:45">
      <c r="AM16019" s="55">
        <v>2020</v>
      </c>
      <c r="AN16019" s="55" t="s">
        <v>191</v>
      </c>
      <c r="AO16019" s="55">
        <v>29</v>
      </c>
      <c r="AP16019" s="55">
        <v>9</v>
      </c>
      <c r="AQ16019" s="55">
        <v>4081.5</v>
      </c>
      <c r="AR16019" s="55">
        <v>28500</v>
      </c>
      <c r="AS16019" s="78">
        <f t="shared" si="254"/>
        <v>0.14321052631578948</v>
      </c>
    </row>
    <row r="16020" spans="39:45">
      <c r="AM16020" s="54">
        <v>2020</v>
      </c>
      <c r="AN16020" s="54" t="s">
        <v>191</v>
      </c>
      <c r="AO16020" s="54">
        <v>29</v>
      </c>
      <c r="AP16020" s="54">
        <v>10</v>
      </c>
      <c r="AQ16020" s="54">
        <v>7268.5</v>
      </c>
      <c r="AR16020" s="55">
        <v>28500</v>
      </c>
      <c r="AS16020" s="78">
        <f t="shared" si="254"/>
        <v>0.25503508771929823</v>
      </c>
    </row>
    <row r="16021" spans="39:45">
      <c r="AM16021" s="55">
        <v>2020</v>
      </c>
      <c r="AN16021" s="55" t="s">
        <v>191</v>
      </c>
      <c r="AO16021" s="55">
        <v>29</v>
      </c>
      <c r="AP16021" s="55">
        <v>11</v>
      </c>
      <c r="AQ16021" s="55">
        <v>2219.5</v>
      </c>
      <c r="AR16021" s="55">
        <v>28500</v>
      </c>
      <c r="AS16021" s="78">
        <f t="shared" si="254"/>
        <v>7.7877192982456142E-2</v>
      </c>
    </row>
    <row r="16022" spans="39:45">
      <c r="AM16022" s="54">
        <v>2020</v>
      </c>
      <c r="AN16022" s="54" t="s">
        <v>191</v>
      </c>
      <c r="AO16022" s="54">
        <v>29</v>
      </c>
      <c r="AP16022" s="54">
        <v>12</v>
      </c>
      <c r="AQ16022" s="54">
        <v>3394.5</v>
      </c>
      <c r="AR16022" s="55">
        <v>28500</v>
      </c>
      <c r="AS16022" s="78">
        <f t="shared" si="254"/>
        <v>0.11910526315789474</v>
      </c>
    </row>
    <row r="16023" spans="39:45">
      <c r="AM16023" s="55">
        <v>2020</v>
      </c>
      <c r="AN16023" s="55" t="s">
        <v>191</v>
      </c>
      <c r="AO16023" s="55">
        <v>29</v>
      </c>
      <c r="AP16023" s="55">
        <v>13</v>
      </c>
      <c r="AQ16023" s="55">
        <v>4470</v>
      </c>
      <c r="AR16023" s="55">
        <v>28500</v>
      </c>
      <c r="AS16023" s="78">
        <f t="shared" si="254"/>
        <v>0.15684210526315789</v>
      </c>
    </row>
    <row r="16024" spans="39:45">
      <c r="AM16024" s="54">
        <v>2020</v>
      </c>
      <c r="AN16024" s="54" t="s">
        <v>191</v>
      </c>
      <c r="AO16024" s="54">
        <v>29</v>
      </c>
      <c r="AP16024" s="54">
        <v>14</v>
      </c>
      <c r="AQ16024" s="54">
        <v>3946</v>
      </c>
      <c r="AR16024" s="55">
        <v>28500</v>
      </c>
      <c r="AS16024" s="78">
        <f t="shared" si="254"/>
        <v>0.13845614035087719</v>
      </c>
    </row>
    <row r="16025" spans="39:45">
      <c r="AM16025" s="55">
        <v>2020</v>
      </c>
      <c r="AN16025" s="55" t="s">
        <v>191</v>
      </c>
      <c r="AO16025" s="55">
        <v>29</v>
      </c>
      <c r="AP16025" s="55">
        <v>15</v>
      </c>
      <c r="AQ16025" s="55">
        <v>918</v>
      </c>
      <c r="AR16025" s="55">
        <v>28500</v>
      </c>
      <c r="AS16025" s="78">
        <f t="shared" si="254"/>
        <v>3.2210526315789474E-2</v>
      </c>
    </row>
    <row r="16026" spans="39:45">
      <c r="AM16026" s="54">
        <v>2020</v>
      </c>
      <c r="AN16026" s="54" t="s">
        <v>191</v>
      </c>
      <c r="AO16026" s="54">
        <v>29</v>
      </c>
      <c r="AP16026" s="54">
        <v>16</v>
      </c>
      <c r="AQ16026" s="54">
        <v>12</v>
      </c>
      <c r="AR16026" s="55">
        <v>28500</v>
      </c>
      <c r="AS16026" s="78">
        <f t="shared" si="254"/>
        <v>4.2105263157894739E-4</v>
      </c>
    </row>
    <row r="16027" spans="39:45">
      <c r="AM16027" s="55">
        <v>2020</v>
      </c>
      <c r="AN16027" s="55" t="s">
        <v>191</v>
      </c>
      <c r="AO16027" s="55">
        <v>29</v>
      </c>
      <c r="AP16027" s="55">
        <v>17</v>
      </c>
      <c r="AQ16027" s="55">
        <v>0</v>
      </c>
      <c r="AR16027" s="55">
        <v>28500</v>
      </c>
      <c r="AS16027" s="78">
        <f t="shared" si="254"/>
        <v>0</v>
      </c>
    </row>
    <row r="16028" spans="39:45">
      <c r="AM16028" s="54">
        <v>2020</v>
      </c>
      <c r="AN16028" s="54" t="s">
        <v>191</v>
      </c>
      <c r="AO16028" s="54">
        <v>29</v>
      </c>
      <c r="AP16028" s="54">
        <v>18</v>
      </c>
      <c r="AQ16028" s="54">
        <v>0</v>
      </c>
      <c r="AR16028" s="55">
        <v>28500</v>
      </c>
      <c r="AS16028" s="78">
        <f t="shared" si="254"/>
        <v>0</v>
      </c>
    </row>
    <row r="16029" spans="39:45">
      <c r="AM16029" s="55">
        <v>2020</v>
      </c>
      <c r="AN16029" s="55" t="s">
        <v>191</v>
      </c>
      <c r="AO16029" s="55">
        <v>29</v>
      </c>
      <c r="AP16029" s="55">
        <v>19</v>
      </c>
      <c r="AQ16029" s="55">
        <v>0</v>
      </c>
      <c r="AR16029" s="55">
        <v>28500</v>
      </c>
      <c r="AS16029" s="78">
        <f t="shared" si="254"/>
        <v>0</v>
      </c>
    </row>
    <row r="16030" spans="39:45">
      <c r="AM16030" s="54">
        <v>2020</v>
      </c>
      <c r="AN16030" s="54" t="s">
        <v>191</v>
      </c>
      <c r="AO16030" s="54">
        <v>29</v>
      </c>
      <c r="AP16030" s="54">
        <v>20</v>
      </c>
      <c r="AQ16030" s="54">
        <v>0</v>
      </c>
      <c r="AR16030" s="55">
        <v>28500</v>
      </c>
      <c r="AS16030" s="78">
        <f t="shared" si="254"/>
        <v>0</v>
      </c>
    </row>
    <row r="16031" spans="39:45">
      <c r="AM16031" s="55">
        <v>2020</v>
      </c>
      <c r="AN16031" s="55" t="s">
        <v>191</v>
      </c>
      <c r="AO16031" s="55">
        <v>29</v>
      </c>
      <c r="AP16031" s="55">
        <v>21</v>
      </c>
      <c r="AQ16031" s="55">
        <v>0</v>
      </c>
      <c r="AR16031" s="55">
        <v>28500</v>
      </c>
      <c r="AS16031" s="78">
        <f t="shared" si="254"/>
        <v>0</v>
      </c>
    </row>
    <row r="16032" spans="39:45">
      <c r="AM16032" s="54">
        <v>2020</v>
      </c>
      <c r="AN16032" s="54" t="s">
        <v>191</v>
      </c>
      <c r="AO16032" s="54">
        <v>29</v>
      </c>
      <c r="AP16032" s="54">
        <v>22</v>
      </c>
      <c r="AQ16032" s="54">
        <v>0</v>
      </c>
      <c r="AR16032" s="55">
        <v>28500</v>
      </c>
      <c r="AS16032" s="78">
        <f t="shared" si="254"/>
        <v>0</v>
      </c>
    </row>
    <row r="16033" spans="39:45">
      <c r="AM16033" s="55">
        <v>2020</v>
      </c>
      <c r="AN16033" s="55" t="s">
        <v>191</v>
      </c>
      <c r="AO16033" s="55">
        <v>29</v>
      </c>
      <c r="AP16033" s="55">
        <v>23</v>
      </c>
      <c r="AQ16033" s="55">
        <v>0</v>
      </c>
      <c r="AR16033" s="55">
        <v>28500</v>
      </c>
      <c r="AS16033" s="78">
        <f t="shared" si="254"/>
        <v>0</v>
      </c>
    </row>
    <row r="16034" spans="39:45">
      <c r="AM16034" s="54">
        <v>2020</v>
      </c>
      <c r="AN16034" s="54" t="s">
        <v>191</v>
      </c>
      <c r="AO16034" s="54">
        <v>30</v>
      </c>
      <c r="AP16034" s="54">
        <v>24</v>
      </c>
      <c r="AQ16034" s="54">
        <v>0</v>
      </c>
      <c r="AR16034" s="55">
        <v>28500</v>
      </c>
      <c r="AS16034" s="78">
        <f t="shared" si="254"/>
        <v>0</v>
      </c>
    </row>
    <row r="16035" spans="39:45">
      <c r="AM16035" s="55">
        <v>2020</v>
      </c>
      <c r="AN16035" s="55" t="s">
        <v>191</v>
      </c>
      <c r="AO16035" s="55">
        <v>30</v>
      </c>
      <c r="AP16035" s="55">
        <v>1</v>
      </c>
      <c r="AQ16035" s="55">
        <v>0</v>
      </c>
      <c r="AR16035" s="55">
        <v>28500</v>
      </c>
      <c r="AS16035" s="78">
        <f t="shared" si="254"/>
        <v>0</v>
      </c>
    </row>
    <row r="16036" spans="39:45">
      <c r="AM16036" s="54">
        <v>2020</v>
      </c>
      <c r="AN16036" s="54" t="s">
        <v>191</v>
      </c>
      <c r="AO16036" s="54">
        <v>30</v>
      </c>
      <c r="AP16036" s="54">
        <v>2</v>
      </c>
      <c r="AQ16036" s="54">
        <v>0</v>
      </c>
      <c r="AR16036" s="55">
        <v>28500</v>
      </c>
      <c r="AS16036" s="78">
        <f t="shared" si="254"/>
        <v>0</v>
      </c>
    </row>
    <row r="16037" spans="39:45">
      <c r="AM16037" s="55">
        <v>2020</v>
      </c>
      <c r="AN16037" s="55" t="s">
        <v>191</v>
      </c>
      <c r="AO16037" s="55">
        <v>30</v>
      </c>
      <c r="AP16037" s="55">
        <v>3</v>
      </c>
      <c r="AQ16037" s="55">
        <v>0</v>
      </c>
      <c r="AR16037" s="55">
        <v>28500</v>
      </c>
      <c r="AS16037" s="78">
        <f t="shared" si="254"/>
        <v>0</v>
      </c>
    </row>
    <row r="16038" spans="39:45">
      <c r="AM16038" s="54">
        <v>2020</v>
      </c>
      <c r="AN16038" s="54" t="s">
        <v>191</v>
      </c>
      <c r="AO16038" s="54">
        <v>30</v>
      </c>
      <c r="AP16038" s="54">
        <v>4</v>
      </c>
      <c r="AQ16038" s="54">
        <v>0</v>
      </c>
      <c r="AR16038" s="55">
        <v>28500</v>
      </c>
      <c r="AS16038" s="78">
        <f t="shared" si="254"/>
        <v>0</v>
      </c>
    </row>
    <row r="16039" spans="39:45">
      <c r="AM16039" s="55">
        <v>2020</v>
      </c>
      <c r="AN16039" s="55" t="s">
        <v>191</v>
      </c>
      <c r="AO16039" s="55">
        <v>30</v>
      </c>
      <c r="AP16039" s="55">
        <v>5</v>
      </c>
      <c r="AQ16039" s="55">
        <v>0</v>
      </c>
      <c r="AR16039" s="55">
        <v>28500</v>
      </c>
      <c r="AS16039" s="78">
        <f t="shared" si="254"/>
        <v>0</v>
      </c>
    </row>
    <row r="16040" spans="39:45">
      <c r="AM16040" s="54">
        <v>2020</v>
      </c>
      <c r="AN16040" s="54" t="s">
        <v>191</v>
      </c>
      <c r="AO16040" s="54">
        <v>30</v>
      </c>
      <c r="AP16040" s="54">
        <v>6</v>
      </c>
      <c r="AQ16040" s="54">
        <v>0</v>
      </c>
      <c r="AR16040" s="55">
        <v>28500</v>
      </c>
      <c r="AS16040" s="78">
        <f t="shared" si="254"/>
        <v>0</v>
      </c>
    </row>
    <row r="16041" spans="39:45">
      <c r="AM16041" s="55">
        <v>2020</v>
      </c>
      <c r="AN16041" s="55" t="s">
        <v>191</v>
      </c>
      <c r="AO16041" s="55">
        <v>30</v>
      </c>
      <c r="AP16041" s="55">
        <v>7</v>
      </c>
      <c r="AQ16041" s="55">
        <v>0</v>
      </c>
      <c r="AR16041" s="55">
        <v>28500</v>
      </c>
      <c r="AS16041" s="78">
        <f t="shared" si="254"/>
        <v>0</v>
      </c>
    </row>
    <row r="16042" spans="39:45">
      <c r="AM16042" s="54">
        <v>2020</v>
      </c>
      <c r="AN16042" s="54" t="s">
        <v>191</v>
      </c>
      <c r="AO16042" s="54">
        <v>30</v>
      </c>
      <c r="AP16042" s="54">
        <v>8</v>
      </c>
      <c r="AQ16042" s="54">
        <v>3035</v>
      </c>
      <c r="AR16042" s="55">
        <v>28500</v>
      </c>
      <c r="AS16042" s="78">
        <f t="shared" si="254"/>
        <v>0.10649122807017544</v>
      </c>
    </row>
    <row r="16043" spans="39:45">
      <c r="AM16043" s="55">
        <v>2020</v>
      </c>
      <c r="AN16043" s="55" t="s">
        <v>191</v>
      </c>
      <c r="AO16043" s="55">
        <v>30</v>
      </c>
      <c r="AP16043" s="55">
        <v>9</v>
      </c>
      <c r="AQ16043" s="55">
        <v>1640.5</v>
      </c>
      <c r="AR16043" s="55">
        <v>28500</v>
      </c>
      <c r="AS16043" s="78">
        <f t="shared" si="254"/>
        <v>5.7561403508771931E-2</v>
      </c>
    </row>
    <row r="16044" spans="39:45">
      <c r="AM16044" s="54">
        <v>2020</v>
      </c>
      <c r="AN16044" s="54" t="s">
        <v>191</v>
      </c>
      <c r="AO16044" s="54">
        <v>30</v>
      </c>
      <c r="AP16044" s="54">
        <v>10</v>
      </c>
      <c r="AQ16044" s="54">
        <v>2148</v>
      </c>
      <c r="AR16044" s="55">
        <v>28500</v>
      </c>
      <c r="AS16044" s="78">
        <f t="shared" si="254"/>
        <v>7.5368421052631585E-2</v>
      </c>
    </row>
    <row r="16045" spans="39:45">
      <c r="AM16045" s="55">
        <v>2020</v>
      </c>
      <c r="AN16045" s="55" t="s">
        <v>191</v>
      </c>
      <c r="AO16045" s="55">
        <v>30</v>
      </c>
      <c r="AP16045" s="55">
        <v>11</v>
      </c>
      <c r="AQ16045" s="55">
        <v>1496</v>
      </c>
      <c r="AR16045" s="55">
        <v>28500</v>
      </c>
      <c r="AS16045" s="78">
        <f t="shared" si="254"/>
        <v>5.2491228070175436E-2</v>
      </c>
    </row>
    <row r="16046" spans="39:45">
      <c r="AM16046" s="54">
        <v>2020</v>
      </c>
      <c r="AN16046" s="54" t="s">
        <v>191</v>
      </c>
      <c r="AO16046" s="54">
        <v>30</v>
      </c>
      <c r="AP16046" s="54">
        <v>12</v>
      </c>
      <c r="AQ16046" s="54">
        <v>3306</v>
      </c>
      <c r="AR16046" s="55">
        <v>28500</v>
      </c>
      <c r="AS16046" s="78">
        <f t="shared" si="254"/>
        <v>0.11600000000000001</v>
      </c>
    </row>
    <row r="16047" spans="39:45">
      <c r="AM16047" s="55">
        <v>2020</v>
      </c>
      <c r="AN16047" s="55" t="s">
        <v>191</v>
      </c>
      <c r="AO16047" s="55">
        <v>30</v>
      </c>
      <c r="AP16047" s="55">
        <v>13</v>
      </c>
      <c r="AQ16047" s="55">
        <v>2440.5</v>
      </c>
      <c r="AR16047" s="55">
        <v>28500</v>
      </c>
      <c r="AS16047" s="78">
        <f t="shared" si="254"/>
        <v>8.563157894736842E-2</v>
      </c>
    </row>
    <row r="16048" spans="39:45">
      <c r="AM16048" s="54">
        <v>2020</v>
      </c>
      <c r="AN16048" s="54" t="s">
        <v>191</v>
      </c>
      <c r="AO16048" s="54">
        <v>30</v>
      </c>
      <c r="AP16048" s="54">
        <v>14</v>
      </c>
      <c r="AQ16048" s="54">
        <v>2181.5</v>
      </c>
      <c r="AR16048" s="55">
        <v>28500</v>
      </c>
      <c r="AS16048" s="78">
        <f t="shared" si="254"/>
        <v>7.6543859649122803E-2</v>
      </c>
    </row>
    <row r="16049" spans="39:45">
      <c r="AM16049" s="55">
        <v>2020</v>
      </c>
      <c r="AN16049" s="55" t="s">
        <v>191</v>
      </c>
      <c r="AO16049" s="55">
        <v>30</v>
      </c>
      <c r="AP16049" s="55">
        <v>15</v>
      </c>
      <c r="AQ16049" s="55">
        <v>2637.5</v>
      </c>
      <c r="AR16049" s="55">
        <v>28500</v>
      </c>
      <c r="AS16049" s="78">
        <f t="shared" si="254"/>
        <v>9.2543859649122803E-2</v>
      </c>
    </row>
    <row r="16050" spans="39:45">
      <c r="AM16050" s="54">
        <v>2020</v>
      </c>
      <c r="AN16050" s="54" t="s">
        <v>191</v>
      </c>
      <c r="AO16050" s="54">
        <v>30</v>
      </c>
      <c r="AP16050" s="54">
        <v>16</v>
      </c>
      <c r="AQ16050" s="54">
        <v>0</v>
      </c>
      <c r="AR16050" s="55">
        <v>28500</v>
      </c>
      <c r="AS16050" s="78">
        <f t="shared" si="254"/>
        <v>0</v>
      </c>
    </row>
    <row r="16051" spans="39:45">
      <c r="AM16051" s="55">
        <v>2020</v>
      </c>
      <c r="AN16051" s="55" t="s">
        <v>191</v>
      </c>
      <c r="AO16051" s="55">
        <v>30</v>
      </c>
      <c r="AP16051" s="55">
        <v>17</v>
      </c>
      <c r="AQ16051" s="55">
        <v>0</v>
      </c>
      <c r="AR16051" s="55">
        <v>28500</v>
      </c>
      <c r="AS16051" s="78">
        <f t="shared" si="254"/>
        <v>0</v>
      </c>
    </row>
    <row r="16052" spans="39:45">
      <c r="AM16052" s="54">
        <v>2020</v>
      </c>
      <c r="AN16052" s="54" t="s">
        <v>191</v>
      </c>
      <c r="AO16052" s="54">
        <v>30</v>
      </c>
      <c r="AP16052" s="54">
        <v>18</v>
      </c>
      <c r="AQ16052" s="54">
        <v>0</v>
      </c>
      <c r="AR16052" s="55">
        <v>28500</v>
      </c>
      <c r="AS16052" s="78">
        <f t="shared" si="254"/>
        <v>0</v>
      </c>
    </row>
    <row r="16053" spans="39:45">
      <c r="AM16053" s="55">
        <v>2020</v>
      </c>
      <c r="AN16053" s="55" t="s">
        <v>191</v>
      </c>
      <c r="AO16053" s="55">
        <v>30</v>
      </c>
      <c r="AP16053" s="55">
        <v>19</v>
      </c>
      <c r="AQ16053" s="55">
        <v>0</v>
      </c>
      <c r="AR16053" s="55">
        <v>28500</v>
      </c>
      <c r="AS16053" s="78">
        <f t="shared" si="254"/>
        <v>0</v>
      </c>
    </row>
    <row r="16054" spans="39:45">
      <c r="AM16054" s="54">
        <v>2020</v>
      </c>
      <c r="AN16054" s="54" t="s">
        <v>191</v>
      </c>
      <c r="AO16054" s="54">
        <v>30</v>
      </c>
      <c r="AP16054" s="54">
        <v>20</v>
      </c>
      <c r="AQ16054" s="54">
        <v>0</v>
      </c>
      <c r="AR16054" s="55">
        <v>28500</v>
      </c>
      <c r="AS16054" s="78">
        <f t="shared" si="254"/>
        <v>0</v>
      </c>
    </row>
    <row r="16055" spans="39:45">
      <c r="AM16055" s="55">
        <v>2020</v>
      </c>
      <c r="AN16055" s="55" t="s">
        <v>191</v>
      </c>
      <c r="AO16055" s="55">
        <v>30</v>
      </c>
      <c r="AP16055" s="55">
        <v>21</v>
      </c>
      <c r="AQ16055" s="55">
        <v>0</v>
      </c>
      <c r="AR16055" s="55">
        <v>28500</v>
      </c>
      <c r="AS16055" s="78">
        <f t="shared" si="254"/>
        <v>0</v>
      </c>
    </row>
    <row r="16056" spans="39:45">
      <c r="AM16056" s="54">
        <v>2020</v>
      </c>
      <c r="AN16056" s="54" t="s">
        <v>191</v>
      </c>
      <c r="AO16056" s="54">
        <v>30</v>
      </c>
      <c r="AP16056" s="54">
        <v>22</v>
      </c>
      <c r="AQ16056" s="54">
        <v>0</v>
      </c>
      <c r="AR16056" s="55">
        <v>28500</v>
      </c>
      <c r="AS16056" s="78">
        <f t="shared" si="254"/>
        <v>0</v>
      </c>
    </row>
    <row r="16057" spans="39:45">
      <c r="AM16057" s="55">
        <v>2020</v>
      </c>
      <c r="AN16057" s="55" t="s">
        <v>191</v>
      </c>
      <c r="AO16057" s="55">
        <v>30</v>
      </c>
      <c r="AP16057" s="55">
        <v>23</v>
      </c>
      <c r="AQ16057" s="55">
        <v>0</v>
      </c>
      <c r="AR16057" s="55">
        <v>28500</v>
      </c>
      <c r="AS16057" s="78">
        <f t="shared" si="254"/>
        <v>0</v>
      </c>
    </row>
    <row r="16058" spans="39:45">
      <c r="AM16058" s="54">
        <v>2020</v>
      </c>
      <c r="AN16058" s="54" t="s">
        <v>191</v>
      </c>
      <c r="AO16058" s="54">
        <v>31</v>
      </c>
      <c r="AP16058" s="54">
        <v>24</v>
      </c>
      <c r="AQ16058" s="54">
        <v>0</v>
      </c>
      <c r="AR16058" s="55">
        <v>28500</v>
      </c>
      <c r="AS16058" s="78">
        <f t="shared" si="254"/>
        <v>0</v>
      </c>
    </row>
    <row r="16059" spans="39:45">
      <c r="AM16059" s="55">
        <v>2020</v>
      </c>
      <c r="AN16059" s="55" t="s">
        <v>191</v>
      </c>
      <c r="AO16059" s="55">
        <v>31</v>
      </c>
      <c r="AP16059" s="55">
        <v>1</v>
      </c>
      <c r="AQ16059" s="55">
        <v>0</v>
      </c>
      <c r="AR16059" s="55">
        <v>28500</v>
      </c>
      <c r="AS16059" s="78">
        <f t="shared" si="254"/>
        <v>0</v>
      </c>
    </row>
    <row r="16060" spans="39:45">
      <c r="AM16060" s="54">
        <v>2020</v>
      </c>
      <c r="AN16060" s="54" t="s">
        <v>191</v>
      </c>
      <c r="AO16060" s="54">
        <v>31</v>
      </c>
      <c r="AP16060" s="54">
        <v>2</v>
      </c>
      <c r="AQ16060" s="54">
        <v>0</v>
      </c>
      <c r="AR16060" s="55">
        <v>28500</v>
      </c>
      <c r="AS16060" s="78">
        <f t="shared" si="254"/>
        <v>0</v>
      </c>
    </row>
    <row r="16061" spans="39:45">
      <c r="AM16061" s="55">
        <v>2020</v>
      </c>
      <c r="AN16061" s="55" t="s">
        <v>191</v>
      </c>
      <c r="AO16061" s="55">
        <v>31</v>
      </c>
      <c r="AP16061" s="55">
        <v>3</v>
      </c>
      <c r="AQ16061" s="55">
        <v>0</v>
      </c>
      <c r="AR16061" s="55">
        <v>28500</v>
      </c>
      <c r="AS16061" s="78">
        <f t="shared" si="254"/>
        <v>0</v>
      </c>
    </row>
    <row r="16062" spans="39:45">
      <c r="AM16062" s="54">
        <v>2020</v>
      </c>
      <c r="AN16062" s="54" t="s">
        <v>191</v>
      </c>
      <c r="AO16062" s="54">
        <v>31</v>
      </c>
      <c r="AP16062" s="54">
        <v>4</v>
      </c>
      <c r="AQ16062" s="54">
        <v>0</v>
      </c>
      <c r="AR16062" s="55">
        <v>28500</v>
      </c>
      <c r="AS16062" s="78">
        <f t="shared" si="254"/>
        <v>0</v>
      </c>
    </row>
    <row r="16063" spans="39:45">
      <c r="AM16063" s="55">
        <v>2020</v>
      </c>
      <c r="AN16063" s="55" t="s">
        <v>191</v>
      </c>
      <c r="AO16063" s="55">
        <v>31</v>
      </c>
      <c r="AP16063" s="55">
        <v>5</v>
      </c>
      <c r="AQ16063" s="55">
        <v>0</v>
      </c>
      <c r="AR16063" s="55">
        <v>28500</v>
      </c>
      <c r="AS16063" s="78">
        <f t="shared" si="254"/>
        <v>0</v>
      </c>
    </row>
    <row r="16064" spans="39:45">
      <c r="AM16064" s="54">
        <v>2020</v>
      </c>
      <c r="AN16064" s="54" t="s">
        <v>191</v>
      </c>
      <c r="AO16064" s="54">
        <v>31</v>
      </c>
      <c r="AP16064" s="54">
        <v>6</v>
      </c>
      <c r="AQ16064" s="54">
        <v>0</v>
      </c>
      <c r="AR16064" s="55">
        <v>28500</v>
      </c>
      <c r="AS16064" s="78">
        <f t="shared" si="254"/>
        <v>0</v>
      </c>
    </row>
    <row r="16065" spans="39:45">
      <c r="AM16065" s="55">
        <v>2020</v>
      </c>
      <c r="AN16065" s="55" t="s">
        <v>191</v>
      </c>
      <c r="AO16065" s="55">
        <v>31</v>
      </c>
      <c r="AP16065" s="55">
        <v>7</v>
      </c>
      <c r="AQ16065" s="55">
        <v>0</v>
      </c>
      <c r="AR16065" s="55">
        <v>28500</v>
      </c>
      <c r="AS16065" s="78">
        <f t="shared" si="254"/>
        <v>0</v>
      </c>
    </row>
    <row r="16066" spans="39:45">
      <c r="AM16066" s="54">
        <v>2020</v>
      </c>
      <c r="AN16066" s="54" t="s">
        <v>191</v>
      </c>
      <c r="AO16066" s="54">
        <v>31</v>
      </c>
      <c r="AP16066" s="54">
        <v>8</v>
      </c>
      <c r="AQ16066" s="54">
        <v>214.5</v>
      </c>
      <c r="AR16066" s="55">
        <v>28500</v>
      </c>
      <c r="AS16066" s="78">
        <f t="shared" ref="AS16066:AS16129" si="255">AQ16066/AR16066</f>
        <v>7.5263157894736839E-3</v>
      </c>
    </row>
    <row r="16067" spans="39:45">
      <c r="AM16067" s="55">
        <v>2020</v>
      </c>
      <c r="AN16067" s="55" t="s">
        <v>191</v>
      </c>
      <c r="AO16067" s="55">
        <v>31</v>
      </c>
      <c r="AP16067" s="55">
        <v>9</v>
      </c>
      <c r="AQ16067" s="55">
        <v>14854.5</v>
      </c>
      <c r="AR16067" s="55">
        <v>28500</v>
      </c>
      <c r="AS16067" s="78">
        <f t="shared" si="255"/>
        <v>0.52121052631578946</v>
      </c>
    </row>
    <row r="16068" spans="39:45">
      <c r="AM16068" s="54">
        <v>2020</v>
      </c>
      <c r="AN16068" s="54" t="s">
        <v>191</v>
      </c>
      <c r="AO16068" s="54">
        <v>31</v>
      </c>
      <c r="AP16068" s="54">
        <v>10</v>
      </c>
      <c r="AQ16068" s="54">
        <v>21609.5</v>
      </c>
      <c r="AR16068" s="55">
        <v>28500</v>
      </c>
      <c r="AS16068" s="78">
        <f t="shared" si="255"/>
        <v>0.75822807017543858</v>
      </c>
    </row>
    <row r="16069" spans="39:45">
      <c r="AM16069" s="55">
        <v>2020</v>
      </c>
      <c r="AN16069" s="55" t="s">
        <v>191</v>
      </c>
      <c r="AO16069" s="55">
        <v>31</v>
      </c>
      <c r="AP16069" s="55">
        <v>11</v>
      </c>
      <c r="AQ16069" s="55">
        <v>713.5</v>
      </c>
      <c r="AR16069" s="55">
        <v>28500</v>
      </c>
      <c r="AS16069" s="78">
        <f t="shared" si="255"/>
        <v>2.5035087719298247E-2</v>
      </c>
    </row>
    <row r="16070" spans="39:45">
      <c r="AM16070" s="54">
        <v>2020</v>
      </c>
      <c r="AN16070" s="54" t="s">
        <v>191</v>
      </c>
      <c r="AO16070" s="54">
        <v>31</v>
      </c>
      <c r="AP16070" s="54">
        <v>12</v>
      </c>
      <c r="AQ16070" s="54">
        <v>1457.5</v>
      </c>
      <c r="AR16070" s="55">
        <v>28500</v>
      </c>
      <c r="AS16070" s="78">
        <f t="shared" si="255"/>
        <v>5.1140350877192979E-2</v>
      </c>
    </row>
    <row r="16071" spans="39:45">
      <c r="AM16071" s="55">
        <v>2020</v>
      </c>
      <c r="AN16071" s="55" t="s">
        <v>191</v>
      </c>
      <c r="AO16071" s="55">
        <v>31</v>
      </c>
      <c r="AP16071" s="55">
        <v>13</v>
      </c>
      <c r="AQ16071" s="55">
        <v>1608</v>
      </c>
      <c r="AR16071" s="55">
        <v>28500</v>
      </c>
      <c r="AS16071" s="78">
        <f t="shared" si="255"/>
        <v>5.6421052631578948E-2</v>
      </c>
    </row>
    <row r="16072" spans="39:45">
      <c r="AM16072" s="54">
        <v>2020</v>
      </c>
      <c r="AN16072" s="54" t="s">
        <v>191</v>
      </c>
      <c r="AO16072" s="54">
        <v>31</v>
      </c>
      <c r="AP16072" s="54">
        <v>14</v>
      </c>
      <c r="AQ16072" s="54">
        <v>880.5</v>
      </c>
      <c r="AR16072" s="55">
        <v>28500</v>
      </c>
      <c r="AS16072" s="78">
        <f t="shared" si="255"/>
        <v>3.0894736842105263E-2</v>
      </c>
    </row>
    <row r="16073" spans="39:45">
      <c r="AM16073" s="55">
        <v>2020</v>
      </c>
      <c r="AN16073" s="55" t="s">
        <v>191</v>
      </c>
      <c r="AO16073" s="55">
        <v>31</v>
      </c>
      <c r="AP16073" s="55">
        <v>15</v>
      </c>
      <c r="AQ16073" s="55">
        <v>2741.5</v>
      </c>
      <c r="AR16073" s="55">
        <v>28500</v>
      </c>
      <c r="AS16073" s="78">
        <f t="shared" si="255"/>
        <v>9.6192982456140344E-2</v>
      </c>
    </row>
    <row r="16074" spans="39:45">
      <c r="AM16074" s="54">
        <v>2020</v>
      </c>
      <c r="AN16074" s="54" t="s">
        <v>191</v>
      </c>
      <c r="AO16074" s="54">
        <v>31</v>
      </c>
      <c r="AP16074" s="54">
        <v>16</v>
      </c>
      <c r="AQ16074" s="54">
        <v>530</v>
      </c>
      <c r="AR16074" s="55">
        <v>28500</v>
      </c>
      <c r="AS16074" s="78">
        <f t="shared" si="255"/>
        <v>1.8596491228070177E-2</v>
      </c>
    </row>
    <row r="16075" spans="39:45">
      <c r="AM16075" s="55">
        <v>2020</v>
      </c>
      <c r="AN16075" s="55" t="s">
        <v>191</v>
      </c>
      <c r="AO16075" s="55">
        <v>31</v>
      </c>
      <c r="AP16075" s="55">
        <v>17</v>
      </c>
      <c r="AQ16075" s="55">
        <v>0</v>
      </c>
      <c r="AR16075" s="55">
        <v>28500</v>
      </c>
      <c r="AS16075" s="78">
        <f t="shared" si="255"/>
        <v>0</v>
      </c>
    </row>
    <row r="16076" spans="39:45">
      <c r="AM16076" s="54">
        <v>2020</v>
      </c>
      <c r="AN16076" s="54" t="s">
        <v>191</v>
      </c>
      <c r="AO16076" s="54">
        <v>31</v>
      </c>
      <c r="AP16076" s="54">
        <v>18</v>
      </c>
      <c r="AQ16076" s="54">
        <v>0</v>
      </c>
      <c r="AR16076" s="55">
        <v>28500</v>
      </c>
      <c r="AS16076" s="78">
        <f t="shared" si="255"/>
        <v>0</v>
      </c>
    </row>
    <row r="16077" spans="39:45">
      <c r="AM16077" s="55">
        <v>2020</v>
      </c>
      <c r="AN16077" s="55" t="s">
        <v>191</v>
      </c>
      <c r="AO16077" s="55">
        <v>31</v>
      </c>
      <c r="AP16077" s="55">
        <v>19</v>
      </c>
      <c r="AQ16077" s="55">
        <v>0</v>
      </c>
      <c r="AR16077" s="55">
        <v>28500</v>
      </c>
      <c r="AS16077" s="78">
        <f t="shared" si="255"/>
        <v>0</v>
      </c>
    </row>
    <row r="16078" spans="39:45">
      <c r="AM16078" s="54">
        <v>2020</v>
      </c>
      <c r="AN16078" s="54" t="s">
        <v>191</v>
      </c>
      <c r="AO16078" s="54">
        <v>31</v>
      </c>
      <c r="AP16078" s="54">
        <v>20</v>
      </c>
      <c r="AQ16078" s="54">
        <v>0</v>
      </c>
      <c r="AR16078" s="55">
        <v>28500</v>
      </c>
      <c r="AS16078" s="78">
        <f t="shared" si="255"/>
        <v>0</v>
      </c>
    </row>
    <row r="16079" spans="39:45">
      <c r="AM16079" s="55">
        <v>2020</v>
      </c>
      <c r="AN16079" s="55" t="s">
        <v>191</v>
      </c>
      <c r="AO16079" s="55">
        <v>31</v>
      </c>
      <c r="AP16079" s="55">
        <v>21</v>
      </c>
      <c r="AQ16079" s="55">
        <v>0</v>
      </c>
      <c r="AR16079" s="55">
        <v>28500</v>
      </c>
      <c r="AS16079" s="78">
        <f t="shared" si="255"/>
        <v>0</v>
      </c>
    </row>
    <row r="16080" spans="39:45">
      <c r="AM16080" s="54">
        <v>2020</v>
      </c>
      <c r="AN16080" s="54" t="s">
        <v>191</v>
      </c>
      <c r="AO16080" s="54">
        <v>31</v>
      </c>
      <c r="AP16080" s="54">
        <v>22</v>
      </c>
      <c r="AQ16080" s="54">
        <v>0</v>
      </c>
      <c r="AR16080" s="55">
        <v>28500</v>
      </c>
      <c r="AS16080" s="78">
        <f t="shared" si="255"/>
        <v>0</v>
      </c>
    </row>
    <row r="16081" spans="39:45">
      <c r="AM16081" s="55">
        <v>2020</v>
      </c>
      <c r="AN16081" s="55" t="s">
        <v>191</v>
      </c>
      <c r="AO16081" s="55">
        <v>31</v>
      </c>
      <c r="AP16081" s="55">
        <v>23</v>
      </c>
      <c r="AQ16081" s="55">
        <v>0</v>
      </c>
      <c r="AR16081" s="55">
        <v>28500</v>
      </c>
      <c r="AS16081" s="78">
        <f t="shared" si="255"/>
        <v>0</v>
      </c>
    </row>
    <row r="16082" spans="39:45">
      <c r="AM16082" s="54">
        <v>2020</v>
      </c>
      <c r="AN16082" s="54" t="s">
        <v>192</v>
      </c>
      <c r="AO16082" s="54">
        <v>1</v>
      </c>
      <c r="AP16082" s="54">
        <v>24</v>
      </c>
      <c r="AQ16082" s="54">
        <v>0</v>
      </c>
      <c r="AR16082" s="55">
        <v>28500</v>
      </c>
      <c r="AS16082" s="78">
        <f t="shared" si="255"/>
        <v>0</v>
      </c>
    </row>
    <row r="16083" spans="39:45">
      <c r="AM16083" s="55">
        <v>2020</v>
      </c>
      <c r="AN16083" s="55" t="s">
        <v>192</v>
      </c>
      <c r="AO16083" s="55">
        <v>1</v>
      </c>
      <c r="AP16083" s="55">
        <v>1</v>
      </c>
      <c r="AQ16083" s="55">
        <v>0</v>
      </c>
      <c r="AR16083" s="55">
        <v>28500</v>
      </c>
      <c r="AS16083" s="78">
        <f t="shared" si="255"/>
        <v>0</v>
      </c>
    </row>
    <row r="16084" spans="39:45">
      <c r="AM16084" s="54">
        <v>2020</v>
      </c>
      <c r="AN16084" s="54" t="s">
        <v>192</v>
      </c>
      <c r="AO16084" s="54">
        <v>1</v>
      </c>
      <c r="AP16084" s="54">
        <v>2</v>
      </c>
      <c r="AQ16084" s="54">
        <v>0</v>
      </c>
      <c r="AR16084" s="55">
        <v>28500</v>
      </c>
      <c r="AS16084" s="78">
        <f t="shared" si="255"/>
        <v>0</v>
      </c>
    </row>
    <row r="16085" spans="39:45">
      <c r="AM16085" s="55">
        <v>2020</v>
      </c>
      <c r="AN16085" s="55" t="s">
        <v>192</v>
      </c>
      <c r="AO16085" s="55">
        <v>1</v>
      </c>
      <c r="AP16085" s="55">
        <v>3</v>
      </c>
      <c r="AQ16085" s="55">
        <v>0</v>
      </c>
      <c r="AR16085" s="55">
        <v>28500</v>
      </c>
      <c r="AS16085" s="78">
        <f t="shared" si="255"/>
        <v>0</v>
      </c>
    </row>
    <row r="16086" spans="39:45">
      <c r="AM16086" s="54">
        <v>2020</v>
      </c>
      <c r="AN16086" s="54" t="s">
        <v>192</v>
      </c>
      <c r="AO16086" s="54">
        <v>1</v>
      </c>
      <c r="AP16086" s="54">
        <v>4</v>
      </c>
      <c r="AQ16086" s="54">
        <v>0</v>
      </c>
      <c r="AR16086" s="55">
        <v>28500</v>
      </c>
      <c r="AS16086" s="78">
        <f t="shared" si="255"/>
        <v>0</v>
      </c>
    </row>
    <row r="16087" spans="39:45">
      <c r="AM16087" s="55">
        <v>2020</v>
      </c>
      <c r="AN16087" s="55" t="s">
        <v>192</v>
      </c>
      <c r="AO16087" s="55">
        <v>1</v>
      </c>
      <c r="AP16087" s="55">
        <v>5</v>
      </c>
      <c r="AQ16087" s="55">
        <v>0</v>
      </c>
      <c r="AR16087" s="55">
        <v>28500</v>
      </c>
      <c r="AS16087" s="78">
        <f t="shared" si="255"/>
        <v>0</v>
      </c>
    </row>
    <row r="16088" spans="39:45">
      <c r="AM16088" s="54">
        <v>2020</v>
      </c>
      <c r="AN16088" s="54" t="s">
        <v>192</v>
      </c>
      <c r="AO16088" s="54">
        <v>1</v>
      </c>
      <c r="AP16088" s="54">
        <v>6</v>
      </c>
      <c r="AQ16088" s="54">
        <v>0</v>
      </c>
      <c r="AR16088" s="55">
        <v>28500</v>
      </c>
      <c r="AS16088" s="78">
        <f t="shared" si="255"/>
        <v>0</v>
      </c>
    </row>
    <row r="16089" spans="39:45">
      <c r="AM16089" s="55">
        <v>2020</v>
      </c>
      <c r="AN16089" s="55" t="s">
        <v>192</v>
      </c>
      <c r="AO16089" s="55">
        <v>1</v>
      </c>
      <c r="AP16089" s="55">
        <v>7</v>
      </c>
      <c r="AQ16089" s="55">
        <v>0</v>
      </c>
      <c r="AR16089" s="55">
        <v>28500</v>
      </c>
      <c r="AS16089" s="78">
        <f t="shared" si="255"/>
        <v>0</v>
      </c>
    </row>
    <row r="16090" spans="39:45">
      <c r="AM16090" s="54">
        <v>2020</v>
      </c>
      <c r="AN16090" s="54" t="s">
        <v>192</v>
      </c>
      <c r="AO16090" s="54">
        <v>1</v>
      </c>
      <c r="AP16090" s="54">
        <v>8</v>
      </c>
      <c r="AQ16090" s="54">
        <v>1915</v>
      </c>
      <c r="AR16090" s="55">
        <v>28500</v>
      </c>
      <c r="AS16090" s="78">
        <f t="shared" si="255"/>
        <v>6.7192982456140346E-2</v>
      </c>
    </row>
    <row r="16091" spans="39:45">
      <c r="AM16091" s="55">
        <v>2020</v>
      </c>
      <c r="AN16091" s="55" t="s">
        <v>192</v>
      </c>
      <c r="AO16091" s="55">
        <v>1</v>
      </c>
      <c r="AP16091" s="55">
        <v>9</v>
      </c>
      <c r="AQ16091" s="55">
        <v>7619</v>
      </c>
      <c r="AR16091" s="55">
        <v>28500</v>
      </c>
      <c r="AS16091" s="78">
        <f t="shared" si="255"/>
        <v>0.26733333333333331</v>
      </c>
    </row>
    <row r="16092" spans="39:45">
      <c r="AM16092" s="54">
        <v>2020</v>
      </c>
      <c r="AN16092" s="54" t="s">
        <v>192</v>
      </c>
      <c r="AO16092" s="54">
        <v>1</v>
      </c>
      <c r="AP16092" s="54">
        <v>10</v>
      </c>
      <c r="AQ16092" s="54">
        <v>13920.5</v>
      </c>
      <c r="AR16092" s="55">
        <v>28500</v>
      </c>
      <c r="AS16092" s="78">
        <f t="shared" si="255"/>
        <v>0.48843859649122806</v>
      </c>
    </row>
    <row r="16093" spans="39:45">
      <c r="AM16093" s="55">
        <v>2020</v>
      </c>
      <c r="AN16093" s="55" t="s">
        <v>192</v>
      </c>
      <c r="AO16093" s="55">
        <v>1</v>
      </c>
      <c r="AP16093" s="55">
        <v>11</v>
      </c>
      <c r="AQ16093" s="55">
        <v>6475.5</v>
      </c>
      <c r="AR16093" s="55">
        <v>28500</v>
      </c>
      <c r="AS16093" s="78">
        <f t="shared" si="255"/>
        <v>0.22721052631578947</v>
      </c>
    </row>
    <row r="16094" spans="39:45">
      <c r="AM16094" s="54">
        <v>2020</v>
      </c>
      <c r="AN16094" s="54" t="s">
        <v>192</v>
      </c>
      <c r="AO16094" s="54">
        <v>1</v>
      </c>
      <c r="AP16094" s="54">
        <v>12</v>
      </c>
      <c r="AQ16094" s="54">
        <v>6281</v>
      </c>
      <c r="AR16094" s="55">
        <v>28500</v>
      </c>
      <c r="AS16094" s="78">
        <f t="shared" si="255"/>
        <v>0.22038596491228071</v>
      </c>
    </row>
    <row r="16095" spans="39:45">
      <c r="AM16095" s="55">
        <v>2020</v>
      </c>
      <c r="AN16095" s="55" t="s">
        <v>192</v>
      </c>
      <c r="AO16095" s="55">
        <v>1</v>
      </c>
      <c r="AP16095" s="55">
        <v>13</v>
      </c>
      <c r="AQ16095" s="55">
        <v>3953.5</v>
      </c>
      <c r="AR16095" s="55">
        <v>28500</v>
      </c>
      <c r="AS16095" s="78">
        <f t="shared" si="255"/>
        <v>0.13871929824561405</v>
      </c>
    </row>
    <row r="16096" spans="39:45">
      <c r="AM16096" s="54">
        <v>2020</v>
      </c>
      <c r="AN16096" s="54" t="s">
        <v>192</v>
      </c>
      <c r="AO16096" s="54">
        <v>1</v>
      </c>
      <c r="AP16096" s="54">
        <v>14</v>
      </c>
      <c r="AQ16096" s="54">
        <v>4154.5</v>
      </c>
      <c r="AR16096" s="55">
        <v>28500</v>
      </c>
      <c r="AS16096" s="78">
        <f t="shared" si="255"/>
        <v>0.14577192982456141</v>
      </c>
    </row>
    <row r="16097" spans="39:45">
      <c r="AM16097" s="55">
        <v>2020</v>
      </c>
      <c r="AN16097" s="55" t="s">
        <v>192</v>
      </c>
      <c r="AO16097" s="55">
        <v>1</v>
      </c>
      <c r="AP16097" s="55">
        <v>15</v>
      </c>
      <c r="AQ16097" s="55">
        <v>1781</v>
      </c>
      <c r="AR16097" s="55">
        <v>28500</v>
      </c>
      <c r="AS16097" s="78">
        <f t="shared" si="255"/>
        <v>6.2491228070175438E-2</v>
      </c>
    </row>
    <row r="16098" spans="39:45">
      <c r="AM16098" s="54">
        <v>2020</v>
      </c>
      <c r="AN16098" s="54" t="s">
        <v>192</v>
      </c>
      <c r="AO16098" s="54">
        <v>1</v>
      </c>
      <c r="AP16098" s="54">
        <v>16</v>
      </c>
      <c r="AQ16098" s="54">
        <v>0</v>
      </c>
      <c r="AR16098" s="55">
        <v>28500</v>
      </c>
      <c r="AS16098" s="78">
        <f t="shared" si="255"/>
        <v>0</v>
      </c>
    </row>
    <row r="16099" spans="39:45">
      <c r="AM16099" s="55">
        <v>2020</v>
      </c>
      <c r="AN16099" s="55" t="s">
        <v>192</v>
      </c>
      <c r="AO16099" s="55">
        <v>1</v>
      </c>
      <c r="AP16099" s="55">
        <v>17</v>
      </c>
      <c r="AQ16099" s="55">
        <v>0</v>
      </c>
      <c r="AR16099" s="55">
        <v>28500</v>
      </c>
      <c r="AS16099" s="78">
        <f t="shared" si="255"/>
        <v>0</v>
      </c>
    </row>
    <row r="16100" spans="39:45">
      <c r="AM16100" s="54">
        <v>2020</v>
      </c>
      <c r="AN16100" s="54" t="s">
        <v>192</v>
      </c>
      <c r="AO16100" s="54">
        <v>1</v>
      </c>
      <c r="AP16100" s="54">
        <v>18</v>
      </c>
      <c r="AQ16100" s="54">
        <v>0</v>
      </c>
      <c r="AR16100" s="55">
        <v>28500</v>
      </c>
      <c r="AS16100" s="78">
        <f t="shared" si="255"/>
        <v>0</v>
      </c>
    </row>
    <row r="16101" spans="39:45">
      <c r="AM16101" s="55">
        <v>2020</v>
      </c>
      <c r="AN16101" s="55" t="s">
        <v>192</v>
      </c>
      <c r="AO16101" s="55">
        <v>1</v>
      </c>
      <c r="AP16101" s="55">
        <v>19</v>
      </c>
      <c r="AQ16101" s="55">
        <v>0</v>
      </c>
      <c r="AR16101" s="55">
        <v>28500</v>
      </c>
      <c r="AS16101" s="78">
        <f t="shared" si="255"/>
        <v>0</v>
      </c>
    </row>
    <row r="16102" spans="39:45">
      <c r="AM16102" s="54">
        <v>2020</v>
      </c>
      <c r="AN16102" s="54" t="s">
        <v>192</v>
      </c>
      <c r="AO16102" s="54">
        <v>1</v>
      </c>
      <c r="AP16102" s="54">
        <v>20</v>
      </c>
      <c r="AQ16102" s="54">
        <v>0</v>
      </c>
      <c r="AR16102" s="55">
        <v>28500</v>
      </c>
      <c r="AS16102" s="78">
        <f t="shared" si="255"/>
        <v>0</v>
      </c>
    </row>
    <row r="16103" spans="39:45">
      <c r="AM16103" s="55">
        <v>2020</v>
      </c>
      <c r="AN16103" s="55" t="s">
        <v>192</v>
      </c>
      <c r="AO16103" s="55">
        <v>1</v>
      </c>
      <c r="AP16103" s="55">
        <v>21</v>
      </c>
      <c r="AQ16103" s="55">
        <v>0</v>
      </c>
      <c r="AR16103" s="55">
        <v>28500</v>
      </c>
      <c r="AS16103" s="78">
        <f t="shared" si="255"/>
        <v>0</v>
      </c>
    </row>
    <row r="16104" spans="39:45">
      <c r="AM16104" s="54">
        <v>2020</v>
      </c>
      <c r="AN16104" s="54" t="s">
        <v>192</v>
      </c>
      <c r="AO16104" s="54">
        <v>1</v>
      </c>
      <c r="AP16104" s="54">
        <v>22</v>
      </c>
      <c r="AQ16104" s="54">
        <v>0</v>
      </c>
      <c r="AR16104" s="55">
        <v>28500</v>
      </c>
      <c r="AS16104" s="78">
        <f t="shared" si="255"/>
        <v>0</v>
      </c>
    </row>
    <row r="16105" spans="39:45">
      <c r="AM16105" s="55">
        <v>2020</v>
      </c>
      <c r="AN16105" s="55" t="s">
        <v>192</v>
      </c>
      <c r="AO16105" s="55">
        <v>1</v>
      </c>
      <c r="AP16105" s="55">
        <v>23</v>
      </c>
      <c r="AQ16105" s="55">
        <v>0</v>
      </c>
      <c r="AR16105" s="55">
        <v>28500</v>
      </c>
      <c r="AS16105" s="78">
        <f t="shared" si="255"/>
        <v>0</v>
      </c>
    </row>
    <row r="16106" spans="39:45">
      <c r="AM16106" s="54">
        <v>2020</v>
      </c>
      <c r="AN16106" s="54" t="s">
        <v>192</v>
      </c>
      <c r="AO16106" s="54">
        <v>2</v>
      </c>
      <c r="AP16106" s="54">
        <v>24</v>
      </c>
      <c r="AQ16106" s="54">
        <v>0</v>
      </c>
      <c r="AR16106" s="55">
        <v>28500</v>
      </c>
      <c r="AS16106" s="78">
        <f t="shared" si="255"/>
        <v>0</v>
      </c>
    </row>
    <row r="16107" spans="39:45">
      <c r="AM16107" s="55">
        <v>2020</v>
      </c>
      <c r="AN16107" s="55" t="s">
        <v>192</v>
      </c>
      <c r="AO16107" s="55">
        <v>2</v>
      </c>
      <c r="AP16107" s="55">
        <v>1</v>
      </c>
      <c r="AQ16107" s="55">
        <v>0</v>
      </c>
      <c r="AR16107" s="55">
        <v>28500</v>
      </c>
      <c r="AS16107" s="78">
        <f t="shared" si="255"/>
        <v>0</v>
      </c>
    </row>
    <row r="16108" spans="39:45">
      <c r="AM16108" s="54">
        <v>2020</v>
      </c>
      <c r="AN16108" s="54" t="s">
        <v>192</v>
      </c>
      <c r="AO16108" s="54">
        <v>2</v>
      </c>
      <c r="AP16108" s="54">
        <v>2</v>
      </c>
      <c r="AQ16108" s="54">
        <v>0</v>
      </c>
      <c r="AR16108" s="55">
        <v>28500</v>
      </c>
      <c r="AS16108" s="78">
        <f t="shared" si="255"/>
        <v>0</v>
      </c>
    </row>
    <row r="16109" spans="39:45">
      <c r="AM16109" s="55">
        <v>2020</v>
      </c>
      <c r="AN16109" s="55" t="s">
        <v>192</v>
      </c>
      <c r="AO16109" s="55">
        <v>2</v>
      </c>
      <c r="AP16109" s="55">
        <v>3</v>
      </c>
      <c r="AQ16109" s="55">
        <v>0</v>
      </c>
      <c r="AR16109" s="55">
        <v>28500</v>
      </c>
      <c r="AS16109" s="78">
        <f t="shared" si="255"/>
        <v>0</v>
      </c>
    </row>
    <row r="16110" spans="39:45">
      <c r="AM16110" s="54">
        <v>2020</v>
      </c>
      <c r="AN16110" s="54" t="s">
        <v>192</v>
      </c>
      <c r="AO16110" s="54">
        <v>2</v>
      </c>
      <c r="AP16110" s="54">
        <v>4</v>
      </c>
      <c r="AQ16110" s="54">
        <v>0</v>
      </c>
      <c r="AR16110" s="55">
        <v>28500</v>
      </c>
      <c r="AS16110" s="78">
        <f t="shared" si="255"/>
        <v>0</v>
      </c>
    </row>
    <row r="16111" spans="39:45">
      <c r="AM16111" s="55">
        <v>2020</v>
      </c>
      <c r="AN16111" s="55" t="s">
        <v>192</v>
      </c>
      <c r="AO16111" s="55">
        <v>2</v>
      </c>
      <c r="AP16111" s="55">
        <v>5</v>
      </c>
      <c r="AQ16111" s="55">
        <v>0</v>
      </c>
      <c r="AR16111" s="55">
        <v>28500</v>
      </c>
      <c r="AS16111" s="78">
        <f t="shared" si="255"/>
        <v>0</v>
      </c>
    </row>
    <row r="16112" spans="39:45">
      <c r="AM16112" s="54">
        <v>2020</v>
      </c>
      <c r="AN16112" s="54" t="s">
        <v>192</v>
      </c>
      <c r="AO16112" s="54">
        <v>2</v>
      </c>
      <c r="AP16112" s="54">
        <v>6</v>
      </c>
      <c r="AQ16112" s="54">
        <v>0</v>
      </c>
      <c r="AR16112" s="55">
        <v>28500</v>
      </c>
      <c r="AS16112" s="78">
        <f t="shared" si="255"/>
        <v>0</v>
      </c>
    </row>
    <row r="16113" spans="39:45">
      <c r="AM16113" s="55">
        <v>2020</v>
      </c>
      <c r="AN16113" s="55" t="s">
        <v>192</v>
      </c>
      <c r="AO16113" s="55">
        <v>2</v>
      </c>
      <c r="AP16113" s="55">
        <v>7</v>
      </c>
      <c r="AQ16113" s="55">
        <v>0</v>
      </c>
      <c r="AR16113" s="55">
        <v>28500</v>
      </c>
      <c r="AS16113" s="78">
        <f t="shared" si="255"/>
        <v>0</v>
      </c>
    </row>
    <row r="16114" spans="39:45">
      <c r="AM16114" s="54">
        <v>2020</v>
      </c>
      <c r="AN16114" s="54" t="s">
        <v>192</v>
      </c>
      <c r="AO16114" s="54">
        <v>2</v>
      </c>
      <c r="AP16114" s="54">
        <v>8</v>
      </c>
      <c r="AQ16114" s="54">
        <v>2437.5</v>
      </c>
      <c r="AR16114" s="55">
        <v>28500</v>
      </c>
      <c r="AS16114" s="78">
        <f t="shared" si="255"/>
        <v>8.5526315789473686E-2</v>
      </c>
    </row>
    <row r="16115" spans="39:45">
      <c r="AM16115" s="55">
        <v>2020</v>
      </c>
      <c r="AN16115" s="55" t="s">
        <v>192</v>
      </c>
      <c r="AO16115" s="55">
        <v>2</v>
      </c>
      <c r="AP16115" s="55">
        <v>9</v>
      </c>
      <c r="AQ16115" s="55">
        <v>3867</v>
      </c>
      <c r="AR16115" s="55">
        <v>28500</v>
      </c>
      <c r="AS16115" s="78">
        <f t="shared" si="255"/>
        <v>0.1356842105263158</v>
      </c>
    </row>
    <row r="16116" spans="39:45">
      <c r="AM16116" s="54">
        <v>2020</v>
      </c>
      <c r="AN16116" s="54" t="s">
        <v>192</v>
      </c>
      <c r="AO16116" s="54">
        <v>2</v>
      </c>
      <c r="AP16116" s="54">
        <v>10</v>
      </c>
      <c r="AQ16116" s="54">
        <v>2071.5</v>
      </c>
      <c r="AR16116" s="55">
        <v>28500</v>
      </c>
      <c r="AS16116" s="78">
        <f t="shared" si="255"/>
        <v>7.2684210526315796E-2</v>
      </c>
    </row>
    <row r="16117" spans="39:45">
      <c r="AM16117" s="55">
        <v>2020</v>
      </c>
      <c r="AN16117" s="55" t="s">
        <v>192</v>
      </c>
      <c r="AO16117" s="55">
        <v>2</v>
      </c>
      <c r="AP16117" s="55">
        <v>11</v>
      </c>
      <c r="AQ16117" s="55">
        <v>17526</v>
      </c>
      <c r="AR16117" s="55">
        <v>28500</v>
      </c>
      <c r="AS16117" s="78">
        <f t="shared" si="255"/>
        <v>0.61494736842105269</v>
      </c>
    </row>
    <row r="16118" spans="39:45">
      <c r="AM16118" s="54">
        <v>2020</v>
      </c>
      <c r="AN16118" s="54" t="s">
        <v>192</v>
      </c>
      <c r="AO16118" s="54">
        <v>2</v>
      </c>
      <c r="AP16118" s="54">
        <v>12</v>
      </c>
      <c r="AQ16118" s="54">
        <v>28746</v>
      </c>
      <c r="AR16118" s="55">
        <v>28500</v>
      </c>
      <c r="AS16118" s="78">
        <f t="shared" si="255"/>
        <v>1.0086315789473683</v>
      </c>
    </row>
    <row r="16119" spans="39:45">
      <c r="AM16119" s="55">
        <v>2020</v>
      </c>
      <c r="AN16119" s="55" t="s">
        <v>192</v>
      </c>
      <c r="AO16119" s="55">
        <v>2</v>
      </c>
      <c r="AP16119" s="55">
        <v>13</v>
      </c>
      <c r="AQ16119" s="55">
        <v>30181</v>
      </c>
      <c r="AR16119" s="55">
        <v>28500</v>
      </c>
      <c r="AS16119" s="78">
        <f t="shared" si="255"/>
        <v>1.0589824561403509</v>
      </c>
    </row>
    <row r="16120" spans="39:45">
      <c r="AM16120" s="54">
        <v>2020</v>
      </c>
      <c r="AN16120" s="54" t="s">
        <v>192</v>
      </c>
      <c r="AO16120" s="54">
        <v>2</v>
      </c>
      <c r="AP16120" s="54">
        <v>14</v>
      </c>
      <c r="AQ16120" s="54">
        <v>14815.5</v>
      </c>
      <c r="AR16120" s="55">
        <v>28500</v>
      </c>
      <c r="AS16120" s="78">
        <f t="shared" si="255"/>
        <v>0.51984210526315788</v>
      </c>
    </row>
    <row r="16121" spans="39:45">
      <c r="AM16121" s="55">
        <v>2020</v>
      </c>
      <c r="AN16121" s="55" t="s">
        <v>192</v>
      </c>
      <c r="AO16121" s="55">
        <v>2</v>
      </c>
      <c r="AP16121" s="55">
        <v>15</v>
      </c>
      <c r="AQ16121" s="55">
        <v>14881</v>
      </c>
      <c r="AR16121" s="55">
        <v>28500</v>
      </c>
      <c r="AS16121" s="78">
        <f t="shared" si="255"/>
        <v>0.52214035087719302</v>
      </c>
    </row>
    <row r="16122" spans="39:45">
      <c r="AM16122" s="54">
        <v>2020</v>
      </c>
      <c r="AN16122" s="54" t="s">
        <v>192</v>
      </c>
      <c r="AO16122" s="54">
        <v>2</v>
      </c>
      <c r="AP16122" s="54">
        <v>16</v>
      </c>
      <c r="AQ16122" s="54">
        <v>0</v>
      </c>
      <c r="AR16122" s="55">
        <v>28500</v>
      </c>
      <c r="AS16122" s="78">
        <f t="shared" si="255"/>
        <v>0</v>
      </c>
    </row>
    <row r="16123" spans="39:45">
      <c r="AM16123" s="55">
        <v>2020</v>
      </c>
      <c r="AN16123" s="55" t="s">
        <v>192</v>
      </c>
      <c r="AO16123" s="55">
        <v>2</v>
      </c>
      <c r="AP16123" s="55">
        <v>17</v>
      </c>
      <c r="AQ16123" s="55">
        <v>0</v>
      </c>
      <c r="AR16123" s="55">
        <v>28500</v>
      </c>
      <c r="AS16123" s="78">
        <f t="shared" si="255"/>
        <v>0</v>
      </c>
    </row>
    <row r="16124" spans="39:45">
      <c r="AM16124" s="54">
        <v>2020</v>
      </c>
      <c r="AN16124" s="54" t="s">
        <v>192</v>
      </c>
      <c r="AO16124" s="54">
        <v>2</v>
      </c>
      <c r="AP16124" s="54">
        <v>18</v>
      </c>
      <c r="AQ16124" s="54">
        <v>0</v>
      </c>
      <c r="AR16124" s="55">
        <v>28500</v>
      </c>
      <c r="AS16124" s="78">
        <f t="shared" si="255"/>
        <v>0</v>
      </c>
    </row>
    <row r="16125" spans="39:45">
      <c r="AM16125" s="55">
        <v>2020</v>
      </c>
      <c r="AN16125" s="55" t="s">
        <v>192</v>
      </c>
      <c r="AO16125" s="55">
        <v>2</v>
      </c>
      <c r="AP16125" s="55">
        <v>19</v>
      </c>
      <c r="AQ16125" s="55">
        <v>0</v>
      </c>
      <c r="AR16125" s="55">
        <v>28500</v>
      </c>
      <c r="AS16125" s="78">
        <f t="shared" si="255"/>
        <v>0</v>
      </c>
    </row>
    <row r="16126" spans="39:45">
      <c r="AM16126" s="54">
        <v>2020</v>
      </c>
      <c r="AN16126" s="54" t="s">
        <v>192</v>
      </c>
      <c r="AO16126" s="54">
        <v>2</v>
      </c>
      <c r="AP16126" s="54">
        <v>20</v>
      </c>
      <c r="AQ16126" s="54">
        <v>0</v>
      </c>
      <c r="AR16126" s="55">
        <v>28500</v>
      </c>
      <c r="AS16126" s="78">
        <f t="shared" si="255"/>
        <v>0</v>
      </c>
    </row>
    <row r="16127" spans="39:45">
      <c r="AM16127" s="55">
        <v>2020</v>
      </c>
      <c r="AN16127" s="55" t="s">
        <v>192</v>
      </c>
      <c r="AO16127" s="55">
        <v>2</v>
      </c>
      <c r="AP16127" s="55">
        <v>21</v>
      </c>
      <c r="AQ16127" s="55">
        <v>0</v>
      </c>
      <c r="AR16127" s="55">
        <v>28500</v>
      </c>
      <c r="AS16127" s="78">
        <f t="shared" si="255"/>
        <v>0</v>
      </c>
    </row>
    <row r="16128" spans="39:45">
      <c r="AM16128" s="54">
        <v>2020</v>
      </c>
      <c r="AN16128" s="54" t="s">
        <v>192</v>
      </c>
      <c r="AO16128" s="54">
        <v>2</v>
      </c>
      <c r="AP16128" s="54">
        <v>22</v>
      </c>
      <c r="AQ16128" s="54">
        <v>0</v>
      </c>
      <c r="AR16128" s="55">
        <v>28500</v>
      </c>
      <c r="AS16128" s="78">
        <f t="shared" si="255"/>
        <v>0</v>
      </c>
    </row>
    <row r="16129" spans="39:45">
      <c r="AM16129" s="55">
        <v>2020</v>
      </c>
      <c r="AN16129" s="55" t="s">
        <v>192</v>
      </c>
      <c r="AO16129" s="55">
        <v>2</v>
      </c>
      <c r="AP16129" s="55">
        <v>23</v>
      </c>
      <c r="AQ16129" s="55">
        <v>0</v>
      </c>
      <c r="AR16129" s="55">
        <v>28500</v>
      </c>
      <c r="AS16129" s="78">
        <f t="shared" si="255"/>
        <v>0</v>
      </c>
    </row>
    <row r="16130" spans="39:45">
      <c r="AM16130" s="54">
        <v>2020</v>
      </c>
      <c r="AN16130" s="54" t="s">
        <v>192</v>
      </c>
      <c r="AO16130" s="54">
        <v>3</v>
      </c>
      <c r="AP16130" s="54">
        <v>24</v>
      </c>
      <c r="AQ16130" s="54">
        <v>0</v>
      </c>
      <c r="AR16130" s="55">
        <v>28500</v>
      </c>
      <c r="AS16130" s="78">
        <f t="shared" ref="AS16130:AS16193" si="256">AQ16130/AR16130</f>
        <v>0</v>
      </c>
    </row>
    <row r="16131" spans="39:45">
      <c r="AM16131" s="55">
        <v>2020</v>
      </c>
      <c r="AN16131" s="55" t="s">
        <v>192</v>
      </c>
      <c r="AO16131" s="55">
        <v>3</v>
      </c>
      <c r="AP16131" s="55">
        <v>1</v>
      </c>
      <c r="AQ16131" s="55">
        <v>0</v>
      </c>
      <c r="AR16131" s="55">
        <v>28500</v>
      </c>
      <c r="AS16131" s="78">
        <f t="shared" si="256"/>
        <v>0</v>
      </c>
    </row>
    <row r="16132" spans="39:45">
      <c r="AM16132" s="54">
        <v>2020</v>
      </c>
      <c r="AN16132" s="54" t="s">
        <v>192</v>
      </c>
      <c r="AO16132" s="54">
        <v>3</v>
      </c>
      <c r="AP16132" s="54">
        <v>2</v>
      </c>
      <c r="AQ16132" s="54">
        <v>0</v>
      </c>
      <c r="AR16132" s="55">
        <v>28500</v>
      </c>
      <c r="AS16132" s="78">
        <f t="shared" si="256"/>
        <v>0</v>
      </c>
    </row>
    <row r="16133" spans="39:45">
      <c r="AM16133" s="55">
        <v>2020</v>
      </c>
      <c r="AN16133" s="55" t="s">
        <v>192</v>
      </c>
      <c r="AO16133" s="55">
        <v>3</v>
      </c>
      <c r="AP16133" s="55">
        <v>3</v>
      </c>
      <c r="AQ16133" s="55">
        <v>0</v>
      </c>
      <c r="AR16133" s="55">
        <v>28500</v>
      </c>
      <c r="AS16133" s="78">
        <f t="shared" si="256"/>
        <v>0</v>
      </c>
    </row>
    <row r="16134" spans="39:45">
      <c r="AM16134" s="54">
        <v>2020</v>
      </c>
      <c r="AN16134" s="54" t="s">
        <v>192</v>
      </c>
      <c r="AO16134" s="54">
        <v>3</v>
      </c>
      <c r="AP16134" s="54">
        <v>4</v>
      </c>
      <c r="AQ16134" s="54">
        <v>0</v>
      </c>
      <c r="AR16134" s="55">
        <v>28500</v>
      </c>
      <c r="AS16134" s="78">
        <f t="shared" si="256"/>
        <v>0</v>
      </c>
    </row>
    <row r="16135" spans="39:45">
      <c r="AM16135" s="55">
        <v>2020</v>
      </c>
      <c r="AN16135" s="55" t="s">
        <v>192</v>
      </c>
      <c r="AO16135" s="55">
        <v>3</v>
      </c>
      <c r="AP16135" s="55">
        <v>5</v>
      </c>
      <c r="AQ16135" s="55">
        <v>0</v>
      </c>
      <c r="AR16135" s="55">
        <v>28500</v>
      </c>
      <c r="AS16135" s="78">
        <f t="shared" si="256"/>
        <v>0</v>
      </c>
    </row>
    <row r="16136" spans="39:45">
      <c r="AM16136" s="54">
        <v>2020</v>
      </c>
      <c r="AN16136" s="54" t="s">
        <v>192</v>
      </c>
      <c r="AO16136" s="54">
        <v>3</v>
      </c>
      <c r="AP16136" s="54">
        <v>6</v>
      </c>
      <c r="AQ16136" s="54">
        <v>0</v>
      </c>
      <c r="AR16136" s="55">
        <v>28500</v>
      </c>
      <c r="AS16136" s="78">
        <f t="shared" si="256"/>
        <v>0</v>
      </c>
    </row>
    <row r="16137" spans="39:45">
      <c r="AM16137" s="55">
        <v>2020</v>
      </c>
      <c r="AN16137" s="55" t="s">
        <v>192</v>
      </c>
      <c r="AO16137" s="55">
        <v>3</v>
      </c>
      <c r="AP16137" s="55">
        <v>7</v>
      </c>
      <c r="AQ16137" s="55">
        <v>0</v>
      </c>
      <c r="AR16137" s="55">
        <v>28500</v>
      </c>
      <c r="AS16137" s="78">
        <f t="shared" si="256"/>
        <v>0</v>
      </c>
    </row>
    <row r="16138" spans="39:45">
      <c r="AM16138" s="54">
        <v>2020</v>
      </c>
      <c r="AN16138" s="54" t="s">
        <v>192</v>
      </c>
      <c r="AO16138" s="54">
        <v>3</v>
      </c>
      <c r="AP16138" s="54">
        <v>8</v>
      </c>
      <c r="AQ16138" s="54">
        <v>9409.5</v>
      </c>
      <c r="AR16138" s="55">
        <v>28500</v>
      </c>
      <c r="AS16138" s="78">
        <f t="shared" si="256"/>
        <v>0.33015789473684209</v>
      </c>
    </row>
    <row r="16139" spans="39:45">
      <c r="AM16139" s="55">
        <v>2020</v>
      </c>
      <c r="AN16139" s="55" t="s">
        <v>192</v>
      </c>
      <c r="AO16139" s="55">
        <v>3</v>
      </c>
      <c r="AP16139" s="55">
        <v>9</v>
      </c>
      <c r="AQ16139" s="55">
        <v>2298</v>
      </c>
      <c r="AR16139" s="55">
        <v>28500</v>
      </c>
      <c r="AS16139" s="78">
        <f t="shared" si="256"/>
        <v>8.0631578947368415E-2</v>
      </c>
    </row>
    <row r="16140" spans="39:45">
      <c r="AM16140" s="54">
        <v>2020</v>
      </c>
      <c r="AN16140" s="54" t="s">
        <v>192</v>
      </c>
      <c r="AO16140" s="54">
        <v>3</v>
      </c>
      <c r="AP16140" s="54">
        <v>10</v>
      </c>
      <c r="AQ16140" s="54">
        <v>25272.5</v>
      </c>
      <c r="AR16140" s="55">
        <v>28500</v>
      </c>
      <c r="AS16140" s="78">
        <f t="shared" si="256"/>
        <v>0.8867543859649123</v>
      </c>
    </row>
    <row r="16141" spans="39:45">
      <c r="AM16141" s="55">
        <v>2020</v>
      </c>
      <c r="AN16141" s="55" t="s">
        <v>192</v>
      </c>
      <c r="AO16141" s="55">
        <v>3</v>
      </c>
      <c r="AP16141" s="55">
        <v>11</v>
      </c>
      <c r="AQ16141" s="55">
        <v>17939.5</v>
      </c>
      <c r="AR16141" s="55">
        <v>28500</v>
      </c>
      <c r="AS16141" s="78">
        <f t="shared" si="256"/>
        <v>0.62945614035087716</v>
      </c>
    </row>
    <row r="16142" spans="39:45">
      <c r="AM16142" s="54">
        <v>2020</v>
      </c>
      <c r="AN16142" s="54" t="s">
        <v>192</v>
      </c>
      <c r="AO16142" s="54">
        <v>3</v>
      </c>
      <c r="AP16142" s="54">
        <v>12</v>
      </c>
      <c r="AQ16142" s="54">
        <v>12278.5</v>
      </c>
      <c r="AR16142" s="55">
        <v>28500</v>
      </c>
      <c r="AS16142" s="78">
        <f t="shared" si="256"/>
        <v>0.43082456140350878</v>
      </c>
    </row>
    <row r="16143" spans="39:45">
      <c r="AM16143" s="55">
        <v>2020</v>
      </c>
      <c r="AN16143" s="55" t="s">
        <v>192</v>
      </c>
      <c r="AO16143" s="55">
        <v>3</v>
      </c>
      <c r="AP16143" s="55">
        <v>13</v>
      </c>
      <c r="AQ16143" s="55">
        <v>6166</v>
      </c>
      <c r="AR16143" s="55">
        <v>28500</v>
      </c>
      <c r="AS16143" s="78">
        <f t="shared" si="256"/>
        <v>0.21635087719298246</v>
      </c>
    </row>
    <row r="16144" spans="39:45">
      <c r="AM16144" s="54">
        <v>2020</v>
      </c>
      <c r="AN16144" s="54" t="s">
        <v>192</v>
      </c>
      <c r="AO16144" s="54">
        <v>3</v>
      </c>
      <c r="AP16144" s="54">
        <v>14</v>
      </c>
      <c r="AQ16144" s="54">
        <v>8197</v>
      </c>
      <c r="AR16144" s="55">
        <v>28500</v>
      </c>
      <c r="AS16144" s="78">
        <f t="shared" si="256"/>
        <v>0.28761403508771932</v>
      </c>
    </row>
    <row r="16145" spans="39:45">
      <c r="AM16145" s="55">
        <v>2020</v>
      </c>
      <c r="AN16145" s="55" t="s">
        <v>192</v>
      </c>
      <c r="AO16145" s="55">
        <v>3</v>
      </c>
      <c r="AP16145" s="55">
        <v>15</v>
      </c>
      <c r="AQ16145" s="55">
        <v>10158.5</v>
      </c>
      <c r="AR16145" s="55">
        <v>28500</v>
      </c>
      <c r="AS16145" s="78">
        <f t="shared" si="256"/>
        <v>0.35643859649122805</v>
      </c>
    </row>
    <row r="16146" spans="39:45">
      <c r="AM16146" s="54">
        <v>2020</v>
      </c>
      <c r="AN16146" s="54" t="s">
        <v>192</v>
      </c>
      <c r="AO16146" s="54">
        <v>3</v>
      </c>
      <c r="AP16146" s="54">
        <v>16</v>
      </c>
      <c r="AQ16146" s="54">
        <v>0</v>
      </c>
      <c r="AR16146" s="55">
        <v>28500</v>
      </c>
      <c r="AS16146" s="78">
        <f t="shared" si="256"/>
        <v>0</v>
      </c>
    </row>
    <row r="16147" spans="39:45">
      <c r="AM16147" s="55">
        <v>2020</v>
      </c>
      <c r="AN16147" s="55" t="s">
        <v>192</v>
      </c>
      <c r="AO16147" s="55">
        <v>3</v>
      </c>
      <c r="AP16147" s="55">
        <v>17</v>
      </c>
      <c r="AQ16147" s="55">
        <v>0</v>
      </c>
      <c r="AR16147" s="55">
        <v>28500</v>
      </c>
      <c r="AS16147" s="78">
        <f t="shared" si="256"/>
        <v>0</v>
      </c>
    </row>
    <row r="16148" spans="39:45">
      <c r="AM16148" s="54">
        <v>2020</v>
      </c>
      <c r="AN16148" s="54" t="s">
        <v>192</v>
      </c>
      <c r="AO16148" s="54">
        <v>3</v>
      </c>
      <c r="AP16148" s="54">
        <v>18</v>
      </c>
      <c r="AQ16148" s="54">
        <v>0</v>
      </c>
      <c r="AR16148" s="55">
        <v>28500</v>
      </c>
      <c r="AS16148" s="78">
        <f t="shared" si="256"/>
        <v>0</v>
      </c>
    </row>
    <row r="16149" spans="39:45">
      <c r="AM16149" s="55">
        <v>2020</v>
      </c>
      <c r="AN16149" s="55" t="s">
        <v>192</v>
      </c>
      <c r="AO16149" s="55">
        <v>3</v>
      </c>
      <c r="AP16149" s="55">
        <v>19</v>
      </c>
      <c r="AQ16149" s="55">
        <v>0</v>
      </c>
      <c r="AR16149" s="55">
        <v>28500</v>
      </c>
      <c r="AS16149" s="78">
        <f t="shared" si="256"/>
        <v>0</v>
      </c>
    </row>
    <row r="16150" spans="39:45">
      <c r="AM16150" s="54">
        <v>2020</v>
      </c>
      <c r="AN16150" s="54" t="s">
        <v>192</v>
      </c>
      <c r="AO16150" s="54">
        <v>3</v>
      </c>
      <c r="AP16150" s="54">
        <v>20</v>
      </c>
      <c r="AQ16150" s="54">
        <v>0</v>
      </c>
      <c r="AR16150" s="55">
        <v>28500</v>
      </c>
      <c r="AS16150" s="78">
        <f t="shared" si="256"/>
        <v>0</v>
      </c>
    </row>
    <row r="16151" spans="39:45">
      <c r="AM16151" s="55">
        <v>2020</v>
      </c>
      <c r="AN16151" s="55" t="s">
        <v>192</v>
      </c>
      <c r="AO16151" s="55">
        <v>3</v>
      </c>
      <c r="AP16151" s="55">
        <v>21</v>
      </c>
      <c r="AQ16151" s="55">
        <v>0</v>
      </c>
      <c r="AR16151" s="55">
        <v>28500</v>
      </c>
      <c r="AS16151" s="78">
        <f t="shared" si="256"/>
        <v>0</v>
      </c>
    </row>
    <row r="16152" spans="39:45">
      <c r="AM16152" s="54">
        <v>2020</v>
      </c>
      <c r="AN16152" s="54" t="s">
        <v>192</v>
      </c>
      <c r="AO16152" s="54">
        <v>3</v>
      </c>
      <c r="AP16152" s="54">
        <v>22</v>
      </c>
      <c r="AQ16152" s="54">
        <v>0</v>
      </c>
      <c r="AR16152" s="55">
        <v>28500</v>
      </c>
      <c r="AS16152" s="78">
        <f t="shared" si="256"/>
        <v>0</v>
      </c>
    </row>
    <row r="16153" spans="39:45">
      <c r="AM16153" s="55">
        <v>2020</v>
      </c>
      <c r="AN16153" s="55" t="s">
        <v>192</v>
      </c>
      <c r="AO16153" s="55">
        <v>3</v>
      </c>
      <c r="AP16153" s="55">
        <v>23</v>
      </c>
      <c r="AQ16153" s="55">
        <v>0</v>
      </c>
      <c r="AR16153" s="55">
        <v>28500</v>
      </c>
      <c r="AS16153" s="78">
        <f t="shared" si="256"/>
        <v>0</v>
      </c>
    </row>
    <row r="16154" spans="39:45">
      <c r="AM16154" s="54">
        <v>2020</v>
      </c>
      <c r="AN16154" s="54" t="s">
        <v>192</v>
      </c>
      <c r="AO16154" s="54">
        <v>4</v>
      </c>
      <c r="AP16154" s="54">
        <v>24</v>
      </c>
      <c r="AQ16154" s="54">
        <v>0</v>
      </c>
      <c r="AR16154" s="55">
        <v>28500</v>
      </c>
      <c r="AS16154" s="78">
        <f t="shared" si="256"/>
        <v>0</v>
      </c>
    </row>
    <row r="16155" spans="39:45">
      <c r="AM16155" s="55">
        <v>2020</v>
      </c>
      <c r="AN16155" s="55" t="s">
        <v>192</v>
      </c>
      <c r="AO16155" s="55">
        <v>4</v>
      </c>
      <c r="AP16155" s="55">
        <v>1</v>
      </c>
      <c r="AQ16155" s="55">
        <v>0</v>
      </c>
      <c r="AR16155" s="55">
        <v>28500</v>
      </c>
      <c r="AS16155" s="78">
        <f t="shared" si="256"/>
        <v>0</v>
      </c>
    </row>
    <row r="16156" spans="39:45">
      <c r="AM16156" s="54">
        <v>2020</v>
      </c>
      <c r="AN16156" s="54" t="s">
        <v>192</v>
      </c>
      <c r="AO16156" s="54">
        <v>4</v>
      </c>
      <c r="AP16156" s="54">
        <v>2</v>
      </c>
      <c r="AQ16156" s="54">
        <v>0</v>
      </c>
      <c r="AR16156" s="55">
        <v>28500</v>
      </c>
      <c r="AS16156" s="78">
        <f t="shared" si="256"/>
        <v>0</v>
      </c>
    </row>
    <row r="16157" spans="39:45">
      <c r="AM16157" s="55">
        <v>2020</v>
      </c>
      <c r="AN16157" s="55" t="s">
        <v>192</v>
      </c>
      <c r="AO16157" s="55">
        <v>4</v>
      </c>
      <c r="AP16157" s="55">
        <v>3</v>
      </c>
      <c r="AQ16157" s="55">
        <v>0</v>
      </c>
      <c r="AR16157" s="55">
        <v>28500</v>
      </c>
      <c r="AS16157" s="78">
        <f t="shared" si="256"/>
        <v>0</v>
      </c>
    </row>
    <row r="16158" spans="39:45">
      <c r="AM16158" s="54">
        <v>2020</v>
      </c>
      <c r="AN16158" s="54" t="s">
        <v>192</v>
      </c>
      <c r="AO16158" s="54">
        <v>4</v>
      </c>
      <c r="AP16158" s="54">
        <v>4</v>
      </c>
      <c r="AQ16158" s="54">
        <v>0</v>
      </c>
      <c r="AR16158" s="55">
        <v>28500</v>
      </c>
      <c r="AS16158" s="78">
        <f t="shared" si="256"/>
        <v>0</v>
      </c>
    </row>
    <row r="16159" spans="39:45">
      <c r="AM16159" s="55">
        <v>2020</v>
      </c>
      <c r="AN16159" s="55" t="s">
        <v>192</v>
      </c>
      <c r="AO16159" s="55">
        <v>4</v>
      </c>
      <c r="AP16159" s="55">
        <v>5</v>
      </c>
      <c r="AQ16159" s="55">
        <v>0</v>
      </c>
      <c r="AR16159" s="55">
        <v>28500</v>
      </c>
      <c r="AS16159" s="78">
        <f t="shared" si="256"/>
        <v>0</v>
      </c>
    </row>
    <row r="16160" spans="39:45">
      <c r="AM16160" s="54">
        <v>2020</v>
      </c>
      <c r="AN16160" s="54" t="s">
        <v>192</v>
      </c>
      <c r="AO16160" s="54">
        <v>4</v>
      </c>
      <c r="AP16160" s="54">
        <v>6</v>
      </c>
      <c r="AQ16160" s="54">
        <v>0</v>
      </c>
      <c r="AR16160" s="55">
        <v>28500</v>
      </c>
      <c r="AS16160" s="78">
        <f t="shared" si="256"/>
        <v>0</v>
      </c>
    </row>
    <row r="16161" spans="39:45">
      <c r="AM16161" s="55">
        <v>2020</v>
      </c>
      <c r="AN16161" s="55" t="s">
        <v>192</v>
      </c>
      <c r="AO16161" s="55">
        <v>4</v>
      </c>
      <c r="AP16161" s="55">
        <v>7</v>
      </c>
      <c r="AQ16161" s="55">
        <v>0</v>
      </c>
      <c r="AR16161" s="55">
        <v>28500</v>
      </c>
      <c r="AS16161" s="78">
        <f t="shared" si="256"/>
        <v>0</v>
      </c>
    </row>
    <row r="16162" spans="39:45">
      <c r="AM16162" s="54">
        <v>2020</v>
      </c>
      <c r="AN16162" s="54" t="s">
        <v>192</v>
      </c>
      <c r="AO16162" s="54">
        <v>4</v>
      </c>
      <c r="AP16162" s="54">
        <v>8</v>
      </c>
      <c r="AQ16162" s="54">
        <v>13321</v>
      </c>
      <c r="AR16162" s="55">
        <v>28500</v>
      </c>
      <c r="AS16162" s="78">
        <f t="shared" si="256"/>
        <v>0.46740350877192982</v>
      </c>
    </row>
    <row r="16163" spans="39:45">
      <c r="AM16163" s="55">
        <v>2020</v>
      </c>
      <c r="AN16163" s="55" t="s">
        <v>192</v>
      </c>
      <c r="AO16163" s="55">
        <v>4</v>
      </c>
      <c r="AP16163" s="55">
        <v>9</v>
      </c>
      <c r="AQ16163" s="55">
        <v>23054.5</v>
      </c>
      <c r="AR16163" s="55">
        <v>28500</v>
      </c>
      <c r="AS16163" s="78">
        <f t="shared" si="256"/>
        <v>0.8089298245614035</v>
      </c>
    </row>
    <row r="16164" spans="39:45">
      <c r="AM16164" s="54">
        <v>2020</v>
      </c>
      <c r="AN16164" s="54" t="s">
        <v>192</v>
      </c>
      <c r="AO16164" s="54">
        <v>4</v>
      </c>
      <c r="AP16164" s="54">
        <v>10</v>
      </c>
      <c r="AQ16164" s="54">
        <v>29964.5</v>
      </c>
      <c r="AR16164" s="55">
        <v>28500</v>
      </c>
      <c r="AS16164" s="78">
        <f t="shared" si="256"/>
        <v>1.0513859649122808</v>
      </c>
    </row>
    <row r="16165" spans="39:45">
      <c r="AM16165" s="55">
        <v>2020</v>
      </c>
      <c r="AN16165" s="55" t="s">
        <v>192</v>
      </c>
      <c r="AO16165" s="55">
        <v>4</v>
      </c>
      <c r="AP16165" s="55">
        <v>11</v>
      </c>
      <c r="AQ16165" s="55">
        <v>32752.5</v>
      </c>
      <c r="AR16165" s="55">
        <v>28500</v>
      </c>
      <c r="AS16165" s="78">
        <f t="shared" si="256"/>
        <v>1.1492105263157895</v>
      </c>
    </row>
    <row r="16166" spans="39:45">
      <c r="AM16166" s="54">
        <v>2020</v>
      </c>
      <c r="AN16166" s="54" t="s">
        <v>192</v>
      </c>
      <c r="AO16166" s="54">
        <v>4</v>
      </c>
      <c r="AP16166" s="54">
        <v>12</v>
      </c>
      <c r="AQ16166" s="54">
        <v>34133</v>
      </c>
      <c r="AR16166" s="55">
        <v>28500</v>
      </c>
      <c r="AS16166" s="78">
        <f t="shared" si="256"/>
        <v>1.1976491228070176</v>
      </c>
    </row>
    <row r="16167" spans="39:45">
      <c r="AM16167" s="55">
        <v>2020</v>
      </c>
      <c r="AN16167" s="55" t="s">
        <v>192</v>
      </c>
      <c r="AO16167" s="55">
        <v>4</v>
      </c>
      <c r="AP16167" s="55">
        <v>13</v>
      </c>
      <c r="AQ16167" s="55">
        <v>32741</v>
      </c>
      <c r="AR16167" s="55">
        <v>28500</v>
      </c>
      <c r="AS16167" s="78">
        <f t="shared" si="256"/>
        <v>1.1488070175438596</v>
      </c>
    </row>
    <row r="16168" spans="39:45">
      <c r="AM16168" s="54">
        <v>2020</v>
      </c>
      <c r="AN16168" s="54" t="s">
        <v>192</v>
      </c>
      <c r="AO16168" s="54">
        <v>4</v>
      </c>
      <c r="AP16168" s="54">
        <v>14</v>
      </c>
      <c r="AQ16168" s="54">
        <v>23541</v>
      </c>
      <c r="AR16168" s="55">
        <v>28500</v>
      </c>
      <c r="AS16168" s="78">
        <f t="shared" si="256"/>
        <v>0.82599999999999996</v>
      </c>
    </row>
    <row r="16169" spans="39:45">
      <c r="AM16169" s="55">
        <v>2020</v>
      </c>
      <c r="AN16169" s="55" t="s">
        <v>192</v>
      </c>
      <c r="AO16169" s="55">
        <v>4</v>
      </c>
      <c r="AP16169" s="55">
        <v>15</v>
      </c>
      <c r="AQ16169" s="55">
        <v>15656.5</v>
      </c>
      <c r="AR16169" s="55">
        <v>28500</v>
      </c>
      <c r="AS16169" s="78">
        <f t="shared" si="256"/>
        <v>0.54935087719298248</v>
      </c>
    </row>
    <row r="16170" spans="39:45">
      <c r="AM16170" s="54">
        <v>2020</v>
      </c>
      <c r="AN16170" s="54" t="s">
        <v>192</v>
      </c>
      <c r="AO16170" s="54">
        <v>4</v>
      </c>
      <c r="AP16170" s="54">
        <v>16</v>
      </c>
      <c r="AQ16170" s="54">
        <v>0</v>
      </c>
      <c r="AR16170" s="55">
        <v>28500</v>
      </c>
      <c r="AS16170" s="78">
        <f t="shared" si="256"/>
        <v>0</v>
      </c>
    </row>
    <row r="16171" spans="39:45">
      <c r="AM16171" s="55">
        <v>2020</v>
      </c>
      <c r="AN16171" s="55" t="s">
        <v>192</v>
      </c>
      <c r="AO16171" s="55">
        <v>4</v>
      </c>
      <c r="AP16171" s="55">
        <v>17</v>
      </c>
      <c r="AQ16171" s="55">
        <v>0</v>
      </c>
      <c r="AR16171" s="55">
        <v>28500</v>
      </c>
      <c r="AS16171" s="78">
        <f t="shared" si="256"/>
        <v>0</v>
      </c>
    </row>
    <row r="16172" spans="39:45">
      <c r="AM16172" s="54">
        <v>2020</v>
      </c>
      <c r="AN16172" s="54" t="s">
        <v>192</v>
      </c>
      <c r="AO16172" s="54">
        <v>4</v>
      </c>
      <c r="AP16172" s="54">
        <v>18</v>
      </c>
      <c r="AQ16172" s="54">
        <v>0</v>
      </c>
      <c r="AR16172" s="55">
        <v>28500</v>
      </c>
      <c r="AS16172" s="78">
        <f t="shared" si="256"/>
        <v>0</v>
      </c>
    </row>
    <row r="16173" spans="39:45">
      <c r="AM16173" s="55">
        <v>2020</v>
      </c>
      <c r="AN16173" s="55" t="s">
        <v>192</v>
      </c>
      <c r="AO16173" s="55">
        <v>4</v>
      </c>
      <c r="AP16173" s="55">
        <v>19</v>
      </c>
      <c r="AQ16173" s="55">
        <v>0</v>
      </c>
      <c r="AR16173" s="55">
        <v>28500</v>
      </c>
      <c r="AS16173" s="78">
        <f t="shared" si="256"/>
        <v>0</v>
      </c>
    </row>
    <row r="16174" spans="39:45">
      <c r="AM16174" s="54">
        <v>2020</v>
      </c>
      <c r="AN16174" s="54" t="s">
        <v>192</v>
      </c>
      <c r="AO16174" s="54">
        <v>4</v>
      </c>
      <c r="AP16174" s="54">
        <v>20</v>
      </c>
      <c r="AQ16174" s="54">
        <v>0</v>
      </c>
      <c r="AR16174" s="55">
        <v>28500</v>
      </c>
      <c r="AS16174" s="78">
        <f t="shared" si="256"/>
        <v>0</v>
      </c>
    </row>
    <row r="16175" spans="39:45">
      <c r="AM16175" s="55">
        <v>2020</v>
      </c>
      <c r="AN16175" s="55" t="s">
        <v>192</v>
      </c>
      <c r="AO16175" s="55">
        <v>4</v>
      </c>
      <c r="AP16175" s="55">
        <v>21</v>
      </c>
      <c r="AQ16175" s="55">
        <v>0</v>
      </c>
      <c r="AR16175" s="55">
        <v>28500</v>
      </c>
      <c r="AS16175" s="78">
        <f t="shared" si="256"/>
        <v>0</v>
      </c>
    </row>
    <row r="16176" spans="39:45">
      <c r="AM16176" s="54">
        <v>2020</v>
      </c>
      <c r="AN16176" s="54" t="s">
        <v>192</v>
      </c>
      <c r="AO16176" s="54">
        <v>4</v>
      </c>
      <c r="AP16176" s="54">
        <v>22</v>
      </c>
      <c r="AQ16176" s="54">
        <v>0</v>
      </c>
      <c r="AR16176" s="55">
        <v>28500</v>
      </c>
      <c r="AS16176" s="78">
        <f t="shared" si="256"/>
        <v>0</v>
      </c>
    </row>
    <row r="16177" spans="39:45">
      <c r="AM16177" s="55">
        <v>2020</v>
      </c>
      <c r="AN16177" s="55" t="s">
        <v>192</v>
      </c>
      <c r="AO16177" s="55">
        <v>4</v>
      </c>
      <c r="AP16177" s="55">
        <v>23</v>
      </c>
      <c r="AQ16177" s="55">
        <v>0</v>
      </c>
      <c r="AR16177" s="55">
        <v>28500</v>
      </c>
      <c r="AS16177" s="78">
        <f t="shared" si="256"/>
        <v>0</v>
      </c>
    </row>
    <row r="16178" spans="39:45">
      <c r="AM16178" s="54">
        <v>2020</v>
      </c>
      <c r="AN16178" s="54" t="s">
        <v>192</v>
      </c>
      <c r="AO16178" s="54">
        <v>5</v>
      </c>
      <c r="AP16178" s="54">
        <v>24</v>
      </c>
      <c r="AQ16178" s="54">
        <v>0</v>
      </c>
      <c r="AR16178" s="55">
        <v>28500</v>
      </c>
      <c r="AS16178" s="78">
        <f t="shared" si="256"/>
        <v>0</v>
      </c>
    </row>
    <row r="16179" spans="39:45">
      <c r="AM16179" s="55">
        <v>2020</v>
      </c>
      <c r="AN16179" s="55" t="s">
        <v>192</v>
      </c>
      <c r="AO16179" s="55">
        <v>5</v>
      </c>
      <c r="AP16179" s="55">
        <v>1</v>
      </c>
      <c r="AQ16179" s="55">
        <v>0</v>
      </c>
      <c r="AR16179" s="55">
        <v>28500</v>
      </c>
      <c r="AS16179" s="78">
        <f t="shared" si="256"/>
        <v>0</v>
      </c>
    </row>
    <row r="16180" spans="39:45">
      <c r="AM16180" s="54">
        <v>2020</v>
      </c>
      <c r="AN16180" s="54" t="s">
        <v>192</v>
      </c>
      <c r="AO16180" s="54">
        <v>5</v>
      </c>
      <c r="AP16180" s="54">
        <v>2</v>
      </c>
      <c r="AQ16180" s="54">
        <v>0</v>
      </c>
      <c r="AR16180" s="55">
        <v>28500</v>
      </c>
      <c r="AS16180" s="78">
        <f t="shared" si="256"/>
        <v>0</v>
      </c>
    </row>
    <row r="16181" spans="39:45">
      <c r="AM16181" s="55">
        <v>2020</v>
      </c>
      <c r="AN16181" s="55" t="s">
        <v>192</v>
      </c>
      <c r="AO16181" s="55">
        <v>5</v>
      </c>
      <c r="AP16181" s="55">
        <v>3</v>
      </c>
      <c r="AQ16181" s="55">
        <v>0</v>
      </c>
      <c r="AR16181" s="55">
        <v>28500</v>
      </c>
      <c r="AS16181" s="78">
        <f t="shared" si="256"/>
        <v>0</v>
      </c>
    </row>
    <row r="16182" spans="39:45">
      <c r="AM16182" s="54">
        <v>2020</v>
      </c>
      <c r="AN16182" s="54" t="s">
        <v>192</v>
      </c>
      <c r="AO16182" s="54">
        <v>5</v>
      </c>
      <c r="AP16182" s="54">
        <v>4</v>
      </c>
      <c r="AQ16182" s="54">
        <v>0</v>
      </c>
      <c r="AR16182" s="55">
        <v>28500</v>
      </c>
      <c r="AS16182" s="78">
        <f t="shared" si="256"/>
        <v>0</v>
      </c>
    </row>
    <row r="16183" spans="39:45">
      <c r="AM16183" s="55">
        <v>2020</v>
      </c>
      <c r="AN16183" s="55" t="s">
        <v>192</v>
      </c>
      <c r="AO16183" s="55">
        <v>5</v>
      </c>
      <c r="AP16183" s="55">
        <v>5</v>
      </c>
      <c r="AQ16183" s="55">
        <v>0</v>
      </c>
      <c r="AR16183" s="55">
        <v>28500</v>
      </c>
      <c r="AS16183" s="78">
        <f t="shared" si="256"/>
        <v>0</v>
      </c>
    </row>
    <row r="16184" spans="39:45">
      <c r="AM16184" s="54">
        <v>2020</v>
      </c>
      <c r="AN16184" s="54" t="s">
        <v>192</v>
      </c>
      <c r="AO16184" s="54">
        <v>5</v>
      </c>
      <c r="AP16184" s="54">
        <v>6</v>
      </c>
      <c r="AQ16184" s="54">
        <v>0</v>
      </c>
      <c r="AR16184" s="55">
        <v>28500</v>
      </c>
      <c r="AS16184" s="78">
        <f t="shared" si="256"/>
        <v>0</v>
      </c>
    </row>
    <row r="16185" spans="39:45">
      <c r="AM16185" s="55">
        <v>2020</v>
      </c>
      <c r="AN16185" s="55" t="s">
        <v>192</v>
      </c>
      <c r="AO16185" s="55">
        <v>5</v>
      </c>
      <c r="AP16185" s="55">
        <v>7</v>
      </c>
      <c r="AQ16185" s="55">
        <v>0</v>
      </c>
      <c r="AR16185" s="55">
        <v>28500</v>
      </c>
      <c r="AS16185" s="78">
        <f t="shared" si="256"/>
        <v>0</v>
      </c>
    </row>
    <row r="16186" spans="39:45">
      <c r="AM16186" s="54">
        <v>2020</v>
      </c>
      <c r="AN16186" s="54" t="s">
        <v>192</v>
      </c>
      <c r="AO16186" s="54">
        <v>5</v>
      </c>
      <c r="AP16186" s="54">
        <v>8</v>
      </c>
      <c r="AQ16186" s="54">
        <v>7478.5</v>
      </c>
      <c r="AR16186" s="55">
        <v>28500</v>
      </c>
      <c r="AS16186" s="78">
        <f t="shared" si="256"/>
        <v>0.26240350877192981</v>
      </c>
    </row>
    <row r="16187" spans="39:45">
      <c r="AM16187" s="55">
        <v>2020</v>
      </c>
      <c r="AN16187" s="55" t="s">
        <v>192</v>
      </c>
      <c r="AO16187" s="55">
        <v>5</v>
      </c>
      <c r="AP16187" s="55">
        <v>9</v>
      </c>
      <c r="AQ16187" s="55">
        <v>12585.5</v>
      </c>
      <c r="AR16187" s="55">
        <v>28500</v>
      </c>
      <c r="AS16187" s="78">
        <f t="shared" si="256"/>
        <v>0.44159649122807015</v>
      </c>
    </row>
    <row r="16188" spans="39:45">
      <c r="AM16188" s="54">
        <v>2020</v>
      </c>
      <c r="AN16188" s="54" t="s">
        <v>192</v>
      </c>
      <c r="AO16188" s="54">
        <v>5</v>
      </c>
      <c r="AP16188" s="54">
        <v>10</v>
      </c>
      <c r="AQ16188" s="54">
        <v>9257.5</v>
      </c>
      <c r="AR16188" s="55">
        <v>28500</v>
      </c>
      <c r="AS16188" s="78">
        <f t="shared" si="256"/>
        <v>0.32482456140350879</v>
      </c>
    </row>
    <row r="16189" spans="39:45">
      <c r="AM16189" s="55">
        <v>2020</v>
      </c>
      <c r="AN16189" s="55" t="s">
        <v>192</v>
      </c>
      <c r="AO16189" s="55">
        <v>5</v>
      </c>
      <c r="AP16189" s="55">
        <v>11</v>
      </c>
      <c r="AQ16189" s="55">
        <v>11601.5</v>
      </c>
      <c r="AR16189" s="55">
        <v>28500</v>
      </c>
      <c r="AS16189" s="78">
        <f t="shared" si="256"/>
        <v>0.40707017543859647</v>
      </c>
    </row>
    <row r="16190" spans="39:45">
      <c r="AM16190" s="54">
        <v>2020</v>
      </c>
      <c r="AN16190" s="54" t="s">
        <v>192</v>
      </c>
      <c r="AO16190" s="54">
        <v>5</v>
      </c>
      <c r="AP16190" s="54">
        <v>12</v>
      </c>
      <c r="AQ16190" s="54">
        <v>15451.5</v>
      </c>
      <c r="AR16190" s="55">
        <v>28500</v>
      </c>
      <c r="AS16190" s="78">
        <f t="shared" si="256"/>
        <v>0.54215789473684206</v>
      </c>
    </row>
    <row r="16191" spans="39:45">
      <c r="AM16191" s="55">
        <v>2020</v>
      </c>
      <c r="AN16191" s="55" t="s">
        <v>192</v>
      </c>
      <c r="AO16191" s="55">
        <v>5</v>
      </c>
      <c r="AP16191" s="55">
        <v>13</v>
      </c>
      <c r="AQ16191" s="55">
        <v>19831.5</v>
      </c>
      <c r="AR16191" s="55">
        <v>28500</v>
      </c>
      <c r="AS16191" s="78">
        <f t="shared" si="256"/>
        <v>0.69584210526315793</v>
      </c>
    </row>
    <row r="16192" spans="39:45">
      <c r="AM16192" s="54">
        <v>2020</v>
      </c>
      <c r="AN16192" s="54" t="s">
        <v>192</v>
      </c>
      <c r="AO16192" s="54">
        <v>5</v>
      </c>
      <c r="AP16192" s="54">
        <v>14</v>
      </c>
      <c r="AQ16192" s="54">
        <v>18452</v>
      </c>
      <c r="AR16192" s="55">
        <v>28500</v>
      </c>
      <c r="AS16192" s="78">
        <f t="shared" si="256"/>
        <v>0.64743859649122804</v>
      </c>
    </row>
    <row r="16193" spans="39:45">
      <c r="AM16193" s="55">
        <v>2020</v>
      </c>
      <c r="AN16193" s="55" t="s">
        <v>192</v>
      </c>
      <c r="AO16193" s="55">
        <v>5</v>
      </c>
      <c r="AP16193" s="55">
        <v>15</v>
      </c>
      <c r="AQ16193" s="55">
        <v>13907.5</v>
      </c>
      <c r="AR16193" s="55">
        <v>28500</v>
      </c>
      <c r="AS16193" s="78">
        <f t="shared" si="256"/>
        <v>0.48798245614035085</v>
      </c>
    </row>
    <row r="16194" spans="39:45">
      <c r="AM16194" s="54">
        <v>2020</v>
      </c>
      <c r="AN16194" s="54" t="s">
        <v>192</v>
      </c>
      <c r="AO16194" s="54">
        <v>5</v>
      </c>
      <c r="AP16194" s="54">
        <v>16</v>
      </c>
      <c r="AQ16194" s="54">
        <v>0</v>
      </c>
      <c r="AR16194" s="55">
        <v>28500</v>
      </c>
      <c r="AS16194" s="78">
        <f t="shared" ref="AS16194:AS16257" si="257">AQ16194/AR16194</f>
        <v>0</v>
      </c>
    </row>
    <row r="16195" spans="39:45">
      <c r="AM16195" s="55">
        <v>2020</v>
      </c>
      <c r="AN16195" s="55" t="s">
        <v>192</v>
      </c>
      <c r="AO16195" s="55">
        <v>5</v>
      </c>
      <c r="AP16195" s="55">
        <v>17</v>
      </c>
      <c r="AQ16195" s="55">
        <v>0</v>
      </c>
      <c r="AR16195" s="55">
        <v>28500</v>
      </c>
      <c r="AS16195" s="78">
        <f t="shared" si="257"/>
        <v>0</v>
      </c>
    </row>
    <row r="16196" spans="39:45">
      <c r="AM16196" s="54">
        <v>2020</v>
      </c>
      <c r="AN16196" s="54" t="s">
        <v>192</v>
      </c>
      <c r="AO16196" s="54">
        <v>5</v>
      </c>
      <c r="AP16196" s="54">
        <v>18</v>
      </c>
      <c r="AQ16196" s="54">
        <v>0</v>
      </c>
      <c r="AR16196" s="55">
        <v>28500</v>
      </c>
      <c r="AS16196" s="78">
        <f t="shared" si="257"/>
        <v>0</v>
      </c>
    </row>
    <row r="16197" spans="39:45">
      <c r="AM16197" s="55">
        <v>2020</v>
      </c>
      <c r="AN16197" s="55" t="s">
        <v>192</v>
      </c>
      <c r="AO16197" s="55">
        <v>5</v>
      </c>
      <c r="AP16197" s="55">
        <v>19</v>
      </c>
      <c r="AQ16197" s="55">
        <v>0</v>
      </c>
      <c r="AR16197" s="55">
        <v>28500</v>
      </c>
      <c r="AS16197" s="78">
        <f t="shared" si="257"/>
        <v>0</v>
      </c>
    </row>
    <row r="16198" spans="39:45">
      <c r="AM16198" s="54">
        <v>2020</v>
      </c>
      <c r="AN16198" s="54" t="s">
        <v>192</v>
      </c>
      <c r="AO16198" s="54">
        <v>5</v>
      </c>
      <c r="AP16198" s="54">
        <v>20</v>
      </c>
      <c r="AQ16198" s="54">
        <v>0</v>
      </c>
      <c r="AR16198" s="55">
        <v>28500</v>
      </c>
      <c r="AS16198" s="78">
        <f t="shared" si="257"/>
        <v>0</v>
      </c>
    </row>
    <row r="16199" spans="39:45">
      <c r="AM16199" s="55">
        <v>2020</v>
      </c>
      <c r="AN16199" s="55" t="s">
        <v>192</v>
      </c>
      <c r="AO16199" s="55">
        <v>5</v>
      </c>
      <c r="AP16199" s="55">
        <v>21</v>
      </c>
      <c r="AQ16199" s="55">
        <v>0</v>
      </c>
      <c r="AR16199" s="55">
        <v>28500</v>
      </c>
      <c r="AS16199" s="78">
        <f t="shared" si="257"/>
        <v>0</v>
      </c>
    </row>
    <row r="16200" spans="39:45">
      <c r="AM16200" s="54">
        <v>2020</v>
      </c>
      <c r="AN16200" s="54" t="s">
        <v>192</v>
      </c>
      <c r="AO16200" s="54">
        <v>5</v>
      </c>
      <c r="AP16200" s="54">
        <v>22</v>
      </c>
      <c r="AQ16200" s="54">
        <v>0</v>
      </c>
      <c r="AR16200" s="55">
        <v>28500</v>
      </c>
      <c r="AS16200" s="78">
        <f t="shared" si="257"/>
        <v>0</v>
      </c>
    </row>
    <row r="16201" spans="39:45">
      <c r="AM16201" s="55">
        <v>2020</v>
      </c>
      <c r="AN16201" s="55" t="s">
        <v>192</v>
      </c>
      <c r="AO16201" s="55">
        <v>5</v>
      </c>
      <c r="AP16201" s="55">
        <v>23</v>
      </c>
      <c r="AQ16201" s="55">
        <v>0</v>
      </c>
      <c r="AR16201" s="55">
        <v>28500</v>
      </c>
      <c r="AS16201" s="78">
        <f t="shared" si="257"/>
        <v>0</v>
      </c>
    </row>
    <row r="16202" spans="39:45">
      <c r="AM16202" s="54">
        <v>2020</v>
      </c>
      <c r="AN16202" s="54" t="s">
        <v>192</v>
      </c>
      <c r="AO16202" s="54">
        <v>6</v>
      </c>
      <c r="AP16202" s="54">
        <v>24</v>
      </c>
      <c r="AQ16202" s="54">
        <v>0</v>
      </c>
      <c r="AR16202" s="55">
        <v>28500</v>
      </c>
      <c r="AS16202" s="78">
        <f t="shared" si="257"/>
        <v>0</v>
      </c>
    </row>
    <row r="16203" spans="39:45">
      <c r="AM16203" s="55">
        <v>2020</v>
      </c>
      <c r="AN16203" s="55" t="s">
        <v>192</v>
      </c>
      <c r="AO16203" s="55">
        <v>6</v>
      </c>
      <c r="AP16203" s="55">
        <v>1</v>
      </c>
      <c r="AQ16203" s="55">
        <v>0</v>
      </c>
      <c r="AR16203" s="55">
        <v>28500</v>
      </c>
      <c r="AS16203" s="78">
        <f t="shared" si="257"/>
        <v>0</v>
      </c>
    </row>
    <row r="16204" spans="39:45">
      <c r="AM16204" s="54">
        <v>2020</v>
      </c>
      <c r="AN16204" s="54" t="s">
        <v>192</v>
      </c>
      <c r="AO16204" s="54">
        <v>6</v>
      </c>
      <c r="AP16204" s="54">
        <v>2</v>
      </c>
      <c r="AQ16204" s="54">
        <v>0</v>
      </c>
      <c r="AR16204" s="55">
        <v>28500</v>
      </c>
      <c r="AS16204" s="78">
        <f t="shared" si="257"/>
        <v>0</v>
      </c>
    </row>
    <row r="16205" spans="39:45">
      <c r="AM16205" s="55">
        <v>2020</v>
      </c>
      <c r="AN16205" s="55" t="s">
        <v>192</v>
      </c>
      <c r="AO16205" s="55">
        <v>6</v>
      </c>
      <c r="AP16205" s="55">
        <v>3</v>
      </c>
      <c r="AQ16205" s="55">
        <v>0</v>
      </c>
      <c r="AR16205" s="55">
        <v>28500</v>
      </c>
      <c r="AS16205" s="78">
        <f t="shared" si="257"/>
        <v>0</v>
      </c>
    </row>
    <row r="16206" spans="39:45">
      <c r="AM16206" s="54">
        <v>2020</v>
      </c>
      <c r="AN16206" s="54" t="s">
        <v>192</v>
      </c>
      <c r="AO16206" s="54">
        <v>6</v>
      </c>
      <c r="AP16206" s="54">
        <v>4</v>
      </c>
      <c r="AQ16206" s="54">
        <v>0</v>
      </c>
      <c r="AR16206" s="55">
        <v>28500</v>
      </c>
      <c r="AS16206" s="78">
        <f t="shared" si="257"/>
        <v>0</v>
      </c>
    </row>
    <row r="16207" spans="39:45">
      <c r="AM16207" s="55">
        <v>2020</v>
      </c>
      <c r="AN16207" s="55" t="s">
        <v>192</v>
      </c>
      <c r="AO16207" s="55">
        <v>6</v>
      </c>
      <c r="AP16207" s="55">
        <v>5</v>
      </c>
      <c r="AQ16207" s="55">
        <v>0</v>
      </c>
      <c r="AR16207" s="55">
        <v>28500</v>
      </c>
      <c r="AS16207" s="78">
        <f t="shared" si="257"/>
        <v>0</v>
      </c>
    </row>
    <row r="16208" spans="39:45">
      <c r="AM16208" s="54">
        <v>2020</v>
      </c>
      <c r="AN16208" s="54" t="s">
        <v>192</v>
      </c>
      <c r="AO16208" s="54">
        <v>6</v>
      </c>
      <c r="AP16208" s="54">
        <v>6</v>
      </c>
      <c r="AQ16208" s="54">
        <v>0</v>
      </c>
      <c r="AR16208" s="55">
        <v>28500</v>
      </c>
      <c r="AS16208" s="78">
        <f t="shared" si="257"/>
        <v>0</v>
      </c>
    </row>
    <row r="16209" spans="39:45">
      <c r="AM16209" s="55">
        <v>2020</v>
      </c>
      <c r="AN16209" s="55" t="s">
        <v>192</v>
      </c>
      <c r="AO16209" s="55">
        <v>6</v>
      </c>
      <c r="AP16209" s="55">
        <v>7</v>
      </c>
      <c r="AQ16209" s="55">
        <v>0</v>
      </c>
      <c r="AR16209" s="55">
        <v>28500</v>
      </c>
      <c r="AS16209" s="78">
        <f t="shared" si="257"/>
        <v>0</v>
      </c>
    </row>
    <row r="16210" spans="39:45">
      <c r="AM16210" s="54">
        <v>2020</v>
      </c>
      <c r="AN16210" s="54" t="s">
        <v>192</v>
      </c>
      <c r="AO16210" s="54">
        <v>6</v>
      </c>
      <c r="AP16210" s="54">
        <v>8</v>
      </c>
      <c r="AQ16210" s="54">
        <v>3694</v>
      </c>
      <c r="AR16210" s="55">
        <v>28500</v>
      </c>
      <c r="AS16210" s="78">
        <f t="shared" si="257"/>
        <v>0.12961403508771929</v>
      </c>
    </row>
    <row r="16211" spans="39:45">
      <c r="AM16211" s="55">
        <v>2020</v>
      </c>
      <c r="AN16211" s="55" t="s">
        <v>192</v>
      </c>
      <c r="AO16211" s="55">
        <v>6</v>
      </c>
      <c r="AP16211" s="55">
        <v>9</v>
      </c>
      <c r="AQ16211" s="55">
        <v>2521.5</v>
      </c>
      <c r="AR16211" s="55">
        <v>28500</v>
      </c>
      <c r="AS16211" s="78">
        <f t="shared" si="257"/>
        <v>8.8473684210526315E-2</v>
      </c>
    </row>
    <row r="16212" spans="39:45">
      <c r="AM16212" s="54">
        <v>2020</v>
      </c>
      <c r="AN16212" s="54" t="s">
        <v>192</v>
      </c>
      <c r="AO16212" s="54">
        <v>6</v>
      </c>
      <c r="AP16212" s="54">
        <v>10</v>
      </c>
      <c r="AQ16212" s="54">
        <v>6946.5</v>
      </c>
      <c r="AR16212" s="55">
        <v>28500</v>
      </c>
      <c r="AS16212" s="78">
        <f t="shared" si="257"/>
        <v>0.24373684210526317</v>
      </c>
    </row>
    <row r="16213" spans="39:45">
      <c r="AM16213" s="55">
        <v>2020</v>
      </c>
      <c r="AN16213" s="55" t="s">
        <v>192</v>
      </c>
      <c r="AO16213" s="55">
        <v>6</v>
      </c>
      <c r="AP16213" s="55">
        <v>11</v>
      </c>
      <c r="AQ16213" s="55">
        <v>6873.5</v>
      </c>
      <c r="AR16213" s="55">
        <v>28500</v>
      </c>
      <c r="AS16213" s="78">
        <f t="shared" si="257"/>
        <v>0.24117543859649124</v>
      </c>
    </row>
    <row r="16214" spans="39:45">
      <c r="AM16214" s="54">
        <v>2020</v>
      </c>
      <c r="AN16214" s="54" t="s">
        <v>192</v>
      </c>
      <c r="AO16214" s="54">
        <v>6</v>
      </c>
      <c r="AP16214" s="54">
        <v>12</v>
      </c>
      <c r="AQ16214" s="54">
        <v>6975</v>
      </c>
      <c r="AR16214" s="55">
        <v>28500</v>
      </c>
      <c r="AS16214" s="78">
        <f t="shared" si="257"/>
        <v>0.24473684210526317</v>
      </c>
    </row>
    <row r="16215" spans="39:45">
      <c r="AM16215" s="55">
        <v>2020</v>
      </c>
      <c r="AN16215" s="55" t="s">
        <v>192</v>
      </c>
      <c r="AO16215" s="55">
        <v>6</v>
      </c>
      <c r="AP16215" s="55">
        <v>13</v>
      </c>
      <c r="AQ16215" s="55">
        <v>4163.5</v>
      </c>
      <c r="AR16215" s="55">
        <v>28500</v>
      </c>
      <c r="AS16215" s="78">
        <f t="shared" si="257"/>
        <v>0.14608771929824563</v>
      </c>
    </row>
    <row r="16216" spans="39:45">
      <c r="AM16216" s="54">
        <v>2020</v>
      </c>
      <c r="AN16216" s="54" t="s">
        <v>192</v>
      </c>
      <c r="AO16216" s="54">
        <v>6</v>
      </c>
      <c r="AP16216" s="54">
        <v>14</v>
      </c>
      <c r="AQ16216" s="54">
        <v>4769</v>
      </c>
      <c r="AR16216" s="55">
        <v>28500</v>
      </c>
      <c r="AS16216" s="78">
        <f t="shared" si="257"/>
        <v>0.16733333333333333</v>
      </c>
    </row>
    <row r="16217" spans="39:45">
      <c r="AM16217" s="55">
        <v>2020</v>
      </c>
      <c r="AN16217" s="55" t="s">
        <v>192</v>
      </c>
      <c r="AO16217" s="55">
        <v>6</v>
      </c>
      <c r="AP16217" s="55">
        <v>15</v>
      </c>
      <c r="AQ16217" s="55">
        <v>13777</v>
      </c>
      <c r="AR16217" s="55">
        <v>28500</v>
      </c>
      <c r="AS16217" s="78">
        <f t="shared" si="257"/>
        <v>0.48340350877192984</v>
      </c>
    </row>
    <row r="16218" spans="39:45">
      <c r="AM16218" s="54">
        <v>2020</v>
      </c>
      <c r="AN16218" s="54" t="s">
        <v>192</v>
      </c>
      <c r="AO16218" s="54">
        <v>6</v>
      </c>
      <c r="AP16218" s="54">
        <v>16</v>
      </c>
      <c r="AQ16218" s="54">
        <v>0</v>
      </c>
      <c r="AR16218" s="55">
        <v>28500</v>
      </c>
      <c r="AS16218" s="78">
        <f t="shared" si="257"/>
        <v>0</v>
      </c>
    </row>
    <row r="16219" spans="39:45">
      <c r="AM16219" s="55">
        <v>2020</v>
      </c>
      <c r="AN16219" s="55" t="s">
        <v>192</v>
      </c>
      <c r="AO16219" s="55">
        <v>6</v>
      </c>
      <c r="AP16219" s="55">
        <v>17</v>
      </c>
      <c r="AQ16219" s="55">
        <v>0</v>
      </c>
      <c r="AR16219" s="55">
        <v>28500</v>
      </c>
      <c r="AS16219" s="78">
        <f t="shared" si="257"/>
        <v>0</v>
      </c>
    </row>
    <row r="16220" spans="39:45">
      <c r="AM16220" s="54">
        <v>2020</v>
      </c>
      <c r="AN16220" s="54" t="s">
        <v>192</v>
      </c>
      <c r="AO16220" s="54">
        <v>6</v>
      </c>
      <c r="AP16220" s="54">
        <v>18</v>
      </c>
      <c r="AQ16220" s="54">
        <v>0</v>
      </c>
      <c r="AR16220" s="55">
        <v>28500</v>
      </c>
      <c r="AS16220" s="78">
        <f t="shared" si="257"/>
        <v>0</v>
      </c>
    </row>
    <row r="16221" spans="39:45">
      <c r="AM16221" s="55">
        <v>2020</v>
      </c>
      <c r="AN16221" s="55" t="s">
        <v>192</v>
      </c>
      <c r="AO16221" s="55">
        <v>6</v>
      </c>
      <c r="AP16221" s="55">
        <v>19</v>
      </c>
      <c r="AQ16221" s="55">
        <v>0</v>
      </c>
      <c r="AR16221" s="55">
        <v>28500</v>
      </c>
      <c r="AS16221" s="78">
        <f t="shared" si="257"/>
        <v>0</v>
      </c>
    </row>
    <row r="16222" spans="39:45">
      <c r="AM16222" s="54">
        <v>2020</v>
      </c>
      <c r="AN16222" s="54" t="s">
        <v>192</v>
      </c>
      <c r="AO16222" s="54">
        <v>6</v>
      </c>
      <c r="AP16222" s="54">
        <v>20</v>
      </c>
      <c r="AQ16222" s="54">
        <v>0</v>
      </c>
      <c r="AR16222" s="55">
        <v>28500</v>
      </c>
      <c r="AS16222" s="78">
        <f t="shared" si="257"/>
        <v>0</v>
      </c>
    </row>
    <row r="16223" spans="39:45">
      <c r="AM16223" s="55">
        <v>2020</v>
      </c>
      <c r="AN16223" s="55" t="s">
        <v>192</v>
      </c>
      <c r="AO16223" s="55">
        <v>6</v>
      </c>
      <c r="AP16223" s="55">
        <v>21</v>
      </c>
      <c r="AQ16223" s="55">
        <v>0</v>
      </c>
      <c r="AR16223" s="55">
        <v>28500</v>
      </c>
      <c r="AS16223" s="78">
        <f t="shared" si="257"/>
        <v>0</v>
      </c>
    </row>
    <row r="16224" spans="39:45">
      <c r="AM16224" s="54">
        <v>2020</v>
      </c>
      <c r="AN16224" s="54" t="s">
        <v>192</v>
      </c>
      <c r="AO16224" s="54">
        <v>6</v>
      </c>
      <c r="AP16224" s="54">
        <v>22</v>
      </c>
      <c r="AQ16224" s="54">
        <v>0</v>
      </c>
      <c r="AR16224" s="55">
        <v>28500</v>
      </c>
      <c r="AS16224" s="78">
        <f t="shared" si="257"/>
        <v>0</v>
      </c>
    </row>
    <row r="16225" spans="39:45">
      <c r="AM16225" s="55">
        <v>2020</v>
      </c>
      <c r="AN16225" s="55" t="s">
        <v>192</v>
      </c>
      <c r="AO16225" s="55">
        <v>6</v>
      </c>
      <c r="AP16225" s="55">
        <v>23</v>
      </c>
      <c r="AQ16225" s="55">
        <v>0</v>
      </c>
      <c r="AR16225" s="55">
        <v>28500</v>
      </c>
      <c r="AS16225" s="78">
        <f t="shared" si="257"/>
        <v>0</v>
      </c>
    </row>
    <row r="16226" spans="39:45">
      <c r="AM16226" s="54">
        <v>2020</v>
      </c>
      <c r="AN16226" s="54" t="s">
        <v>192</v>
      </c>
      <c r="AO16226" s="54">
        <v>7</v>
      </c>
      <c r="AP16226" s="54">
        <v>24</v>
      </c>
      <c r="AQ16226" s="54">
        <v>0</v>
      </c>
      <c r="AR16226" s="55">
        <v>28500</v>
      </c>
      <c r="AS16226" s="78">
        <f t="shared" si="257"/>
        <v>0</v>
      </c>
    </row>
    <row r="16227" spans="39:45">
      <c r="AM16227" s="55">
        <v>2020</v>
      </c>
      <c r="AN16227" s="55" t="s">
        <v>192</v>
      </c>
      <c r="AO16227" s="55">
        <v>7</v>
      </c>
      <c r="AP16227" s="55">
        <v>1</v>
      </c>
      <c r="AQ16227" s="55">
        <v>0</v>
      </c>
      <c r="AR16227" s="55">
        <v>28500</v>
      </c>
      <c r="AS16227" s="78">
        <f t="shared" si="257"/>
        <v>0</v>
      </c>
    </row>
    <row r="16228" spans="39:45">
      <c r="AM16228" s="54">
        <v>2020</v>
      </c>
      <c r="AN16228" s="54" t="s">
        <v>192</v>
      </c>
      <c r="AO16228" s="54">
        <v>7</v>
      </c>
      <c r="AP16228" s="54">
        <v>2</v>
      </c>
      <c r="AQ16228" s="54">
        <v>0</v>
      </c>
      <c r="AR16228" s="55">
        <v>28500</v>
      </c>
      <c r="AS16228" s="78">
        <f t="shared" si="257"/>
        <v>0</v>
      </c>
    </row>
    <row r="16229" spans="39:45">
      <c r="AM16229" s="55">
        <v>2020</v>
      </c>
      <c r="AN16229" s="55" t="s">
        <v>192</v>
      </c>
      <c r="AO16229" s="55">
        <v>7</v>
      </c>
      <c r="AP16229" s="55">
        <v>3</v>
      </c>
      <c r="AQ16229" s="55">
        <v>0</v>
      </c>
      <c r="AR16229" s="55">
        <v>28500</v>
      </c>
      <c r="AS16229" s="78">
        <f t="shared" si="257"/>
        <v>0</v>
      </c>
    </row>
    <row r="16230" spans="39:45">
      <c r="AM16230" s="54">
        <v>2020</v>
      </c>
      <c r="AN16230" s="54" t="s">
        <v>192</v>
      </c>
      <c r="AO16230" s="54">
        <v>7</v>
      </c>
      <c r="AP16230" s="54">
        <v>4</v>
      </c>
      <c r="AQ16230" s="54">
        <v>0</v>
      </c>
      <c r="AR16230" s="55">
        <v>28500</v>
      </c>
      <c r="AS16230" s="78">
        <f t="shared" si="257"/>
        <v>0</v>
      </c>
    </row>
    <row r="16231" spans="39:45">
      <c r="AM16231" s="55">
        <v>2020</v>
      </c>
      <c r="AN16231" s="55" t="s">
        <v>192</v>
      </c>
      <c r="AO16231" s="55">
        <v>7</v>
      </c>
      <c r="AP16231" s="55">
        <v>5</v>
      </c>
      <c r="AQ16231" s="55">
        <v>0</v>
      </c>
      <c r="AR16231" s="55">
        <v>28500</v>
      </c>
      <c r="AS16231" s="78">
        <f t="shared" si="257"/>
        <v>0</v>
      </c>
    </row>
    <row r="16232" spans="39:45">
      <c r="AM16232" s="54">
        <v>2020</v>
      </c>
      <c r="AN16232" s="54" t="s">
        <v>192</v>
      </c>
      <c r="AO16232" s="54">
        <v>7</v>
      </c>
      <c r="AP16232" s="54">
        <v>6</v>
      </c>
      <c r="AQ16232" s="54">
        <v>0</v>
      </c>
      <c r="AR16232" s="55">
        <v>28500</v>
      </c>
      <c r="AS16232" s="78">
        <f t="shared" si="257"/>
        <v>0</v>
      </c>
    </row>
    <row r="16233" spans="39:45">
      <c r="AM16233" s="55">
        <v>2020</v>
      </c>
      <c r="AN16233" s="55" t="s">
        <v>192</v>
      </c>
      <c r="AO16233" s="55">
        <v>7</v>
      </c>
      <c r="AP16233" s="55">
        <v>7</v>
      </c>
      <c r="AQ16233" s="55">
        <v>0</v>
      </c>
      <c r="AR16233" s="55">
        <v>28500</v>
      </c>
      <c r="AS16233" s="78">
        <f t="shared" si="257"/>
        <v>0</v>
      </c>
    </row>
    <row r="16234" spans="39:45">
      <c r="AM16234" s="54">
        <v>2020</v>
      </c>
      <c r="AN16234" s="54" t="s">
        <v>192</v>
      </c>
      <c r="AO16234" s="54">
        <v>7</v>
      </c>
      <c r="AP16234" s="54">
        <v>8</v>
      </c>
      <c r="AQ16234" s="54">
        <v>6300</v>
      </c>
      <c r="AR16234" s="55">
        <v>28500</v>
      </c>
      <c r="AS16234" s="78">
        <f t="shared" si="257"/>
        <v>0.22105263157894736</v>
      </c>
    </row>
    <row r="16235" spans="39:45">
      <c r="AM16235" s="55">
        <v>2020</v>
      </c>
      <c r="AN16235" s="55" t="s">
        <v>192</v>
      </c>
      <c r="AO16235" s="55">
        <v>7</v>
      </c>
      <c r="AP16235" s="55">
        <v>9</v>
      </c>
      <c r="AQ16235" s="55">
        <v>13513.5</v>
      </c>
      <c r="AR16235" s="55">
        <v>28500</v>
      </c>
      <c r="AS16235" s="78">
        <f t="shared" si="257"/>
        <v>0.47415789473684211</v>
      </c>
    </row>
    <row r="16236" spans="39:45">
      <c r="AM16236" s="54">
        <v>2020</v>
      </c>
      <c r="AN16236" s="54" t="s">
        <v>192</v>
      </c>
      <c r="AO16236" s="54">
        <v>7</v>
      </c>
      <c r="AP16236" s="54">
        <v>10</v>
      </c>
      <c r="AQ16236" s="54">
        <v>27763.5</v>
      </c>
      <c r="AR16236" s="55">
        <v>28500</v>
      </c>
      <c r="AS16236" s="78">
        <f t="shared" si="257"/>
        <v>0.97415789473684211</v>
      </c>
    </row>
    <row r="16237" spans="39:45">
      <c r="AM16237" s="55">
        <v>2020</v>
      </c>
      <c r="AN16237" s="55" t="s">
        <v>192</v>
      </c>
      <c r="AO16237" s="55">
        <v>7</v>
      </c>
      <c r="AP16237" s="55">
        <v>11</v>
      </c>
      <c r="AQ16237" s="55">
        <v>29891</v>
      </c>
      <c r="AR16237" s="55">
        <v>28500</v>
      </c>
      <c r="AS16237" s="78">
        <f t="shared" si="257"/>
        <v>1.0488070175438597</v>
      </c>
    </row>
    <row r="16238" spans="39:45">
      <c r="AM16238" s="54">
        <v>2020</v>
      </c>
      <c r="AN16238" s="54" t="s">
        <v>192</v>
      </c>
      <c r="AO16238" s="54">
        <v>7</v>
      </c>
      <c r="AP16238" s="54">
        <v>12</v>
      </c>
      <c r="AQ16238" s="54">
        <v>31937</v>
      </c>
      <c r="AR16238" s="55">
        <v>28500</v>
      </c>
      <c r="AS16238" s="78">
        <f t="shared" si="257"/>
        <v>1.1205964912280701</v>
      </c>
    </row>
    <row r="16239" spans="39:45">
      <c r="AM16239" s="55">
        <v>2020</v>
      </c>
      <c r="AN16239" s="55" t="s">
        <v>192</v>
      </c>
      <c r="AO16239" s="55">
        <v>7</v>
      </c>
      <c r="AP16239" s="55">
        <v>13</v>
      </c>
      <c r="AQ16239" s="55">
        <v>28570.5</v>
      </c>
      <c r="AR16239" s="55">
        <v>28500</v>
      </c>
      <c r="AS16239" s="78">
        <f t="shared" si="257"/>
        <v>1.0024736842105264</v>
      </c>
    </row>
    <row r="16240" spans="39:45">
      <c r="AM16240" s="54">
        <v>2020</v>
      </c>
      <c r="AN16240" s="54" t="s">
        <v>192</v>
      </c>
      <c r="AO16240" s="54">
        <v>7</v>
      </c>
      <c r="AP16240" s="54">
        <v>14</v>
      </c>
      <c r="AQ16240" s="54">
        <v>21434</v>
      </c>
      <c r="AR16240" s="55">
        <v>28500</v>
      </c>
      <c r="AS16240" s="78">
        <f t="shared" si="257"/>
        <v>0.75207017543859644</v>
      </c>
    </row>
    <row r="16241" spans="39:45">
      <c r="AM16241" s="55">
        <v>2020</v>
      </c>
      <c r="AN16241" s="55" t="s">
        <v>192</v>
      </c>
      <c r="AO16241" s="55">
        <v>7</v>
      </c>
      <c r="AP16241" s="55">
        <v>15</v>
      </c>
      <c r="AQ16241" s="55">
        <v>14186.5</v>
      </c>
      <c r="AR16241" s="55">
        <v>28500</v>
      </c>
      <c r="AS16241" s="78">
        <f t="shared" si="257"/>
        <v>0.49777192982456142</v>
      </c>
    </row>
    <row r="16242" spans="39:45">
      <c r="AM16242" s="54">
        <v>2020</v>
      </c>
      <c r="AN16242" s="54" t="s">
        <v>192</v>
      </c>
      <c r="AO16242" s="54">
        <v>7</v>
      </c>
      <c r="AP16242" s="54">
        <v>16</v>
      </c>
      <c r="AQ16242" s="54">
        <v>0</v>
      </c>
      <c r="AR16242" s="55">
        <v>28500</v>
      </c>
      <c r="AS16242" s="78">
        <f t="shared" si="257"/>
        <v>0</v>
      </c>
    </row>
    <row r="16243" spans="39:45">
      <c r="AM16243" s="55">
        <v>2020</v>
      </c>
      <c r="AN16243" s="55" t="s">
        <v>192</v>
      </c>
      <c r="AO16243" s="55">
        <v>7</v>
      </c>
      <c r="AP16243" s="55">
        <v>17</v>
      </c>
      <c r="AQ16243" s="55">
        <v>0</v>
      </c>
      <c r="AR16243" s="55">
        <v>28500</v>
      </c>
      <c r="AS16243" s="78">
        <f t="shared" si="257"/>
        <v>0</v>
      </c>
    </row>
    <row r="16244" spans="39:45">
      <c r="AM16244" s="54">
        <v>2020</v>
      </c>
      <c r="AN16244" s="54" t="s">
        <v>192</v>
      </c>
      <c r="AO16244" s="54">
        <v>7</v>
      </c>
      <c r="AP16244" s="54">
        <v>18</v>
      </c>
      <c r="AQ16244" s="54">
        <v>0</v>
      </c>
      <c r="AR16244" s="55">
        <v>28500</v>
      </c>
      <c r="AS16244" s="78">
        <f t="shared" si="257"/>
        <v>0</v>
      </c>
    </row>
    <row r="16245" spans="39:45">
      <c r="AM16245" s="55">
        <v>2020</v>
      </c>
      <c r="AN16245" s="55" t="s">
        <v>192</v>
      </c>
      <c r="AO16245" s="55">
        <v>7</v>
      </c>
      <c r="AP16245" s="55">
        <v>19</v>
      </c>
      <c r="AQ16245" s="55">
        <v>0</v>
      </c>
      <c r="AR16245" s="55">
        <v>28500</v>
      </c>
      <c r="AS16245" s="78">
        <f t="shared" si="257"/>
        <v>0</v>
      </c>
    </row>
    <row r="16246" spans="39:45">
      <c r="AM16246" s="54">
        <v>2020</v>
      </c>
      <c r="AN16246" s="54" t="s">
        <v>192</v>
      </c>
      <c r="AO16246" s="54">
        <v>7</v>
      </c>
      <c r="AP16246" s="54">
        <v>20</v>
      </c>
      <c r="AQ16246" s="54">
        <v>0</v>
      </c>
      <c r="AR16246" s="55">
        <v>28500</v>
      </c>
      <c r="AS16246" s="78">
        <f t="shared" si="257"/>
        <v>0</v>
      </c>
    </row>
    <row r="16247" spans="39:45">
      <c r="AM16247" s="55">
        <v>2020</v>
      </c>
      <c r="AN16247" s="55" t="s">
        <v>192</v>
      </c>
      <c r="AO16247" s="55">
        <v>7</v>
      </c>
      <c r="AP16247" s="55">
        <v>21</v>
      </c>
      <c r="AQ16247" s="55">
        <v>0</v>
      </c>
      <c r="AR16247" s="55">
        <v>28500</v>
      </c>
      <c r="AS16247" s="78">
        <f t="shared" si="257"/>
        <v>0</v>
      </c>
    </row>
    <row r="16248" spans="39:45">
      <c r="AM16248" s="54">
        <v>2020</v>
      </c>
      <c r="AN16248" s="54" t="s">
        <v>192</v>
      </c>
      <c r="AO16248" s="54">
        <v>7</v>
      </c>
      <c r="AP16248" s="54">
        <v>22</v>
      </c>
      <c r="AQ16248" s="54">
        <v>0</v>
      </c>
      <c r="AR16248" s="55">
        <v>28500</v>
      </c>
      <c r="AS16248" s="78">
        <f t="shared" si="257"/>
        <v>0</v>
      </c>
    </row>
    <row r="16249" spans="39:45">
      <c r="AM16249" s="55">
        <v>2020</v>
      </c>
      <c r="AN16249" s="55" t="s">
        <v>192</v>
      </c>
      <c r="AO16249" s="55">
        <v>7</v>
      </c>
      <c r="AP16249" s="55">
        <v>23</v>
      </c>
      <c r="AQ16249" s="55">
        <v>0</v>
      </c>
      <c r="AR16249" s="55">
        <v>28500</v>
      </c>
      <c r="AS16249" s="78">
        <f t="shared" si="257"/>
        <v>0</v>
      </c>
    </row>
    <row r="16250" spans="39:45">
      <c r="AM16250" s="54">
        <v>2020</v>
      </c>
      <c r="AN16250" s="54" t="s">
        <v>192</v>
      </c>
      <c r="AO16250" s="54">
        <v>8</v>
      </c>
      <c r="AP16250" s="54">
        <v>24</v>
      </c>
      <c r="AQ16250" s="54">
        <v>0</v>
      </c>
      <c r="AR16250" s="55">
        <v>28500</v>
      </c>
      <c r="AS16250" s="78">
        <f t="shared" si="257"/>
        <v>0</v>
      </c>
    </row>
    <row r="16251" spans="39:45">
      <c r="AM16251" s="55">
        <v>2020</v>
      </c>
      <c r="AN16251" s="55" t="s">
        <v>192</v>
      </c>
      <c r="AO16251" s="55">
        <v>8</v>
      </c>
      <c r="AP16251" s="55">
        <v>1</v>
      </c>
      <c r="AQ16251" s="55">
        <v>0</v>
      </c>
      <c r="AR16251" s="55">
        <v>28500</v>
      </c>
      <c r="AS16251" s="78">
        <f t="shared" si="257"/>
        <v>0</v>
      </c>
    </row>
    <row r="16252" spans="39:45">
      <c r="AM16252" s="54">
        <v>2020</v>
      </c>
      <c r="AN16252" s="54" t="s">
        <v>192</v>
      </c>
      <c r="AO16252" s="54">
        <v>8</v>
      </c>
      <c r="AP16252" s="54">
        <v>2</v>
      </c>
      <c r="AQ16252" s="54">
        <v>0</v>
      </c>
      <c r="AR16252" s="55">
        <v>28500</v>
      </c>
      <c r="AS16252" s="78">
        <f t="shared" si="257"/>
        <v>0</v>
      </c>
    </row>
    <row r="16253" spans="39:45">
      <c r="AM16253" s="55">
        <v>2020</v>
      </c>
      <c r="AN16253" s="55" t="s">
        <v>192</v>
      </c>
      <c r="AO16253" s="55">
        <v>8</v>
      </c>
      <c r="AP16253" s="55">
        <v>3</v>
      </c>
      <c r="AQ16253" s="55">
        <v>0</v>
      </c>
      <c r="AR16253" s="55">
        <v>28500</v>
      </c>
      <c r="AS16253" s="78">
        <f t="shared" si="257"/>
        <v>0</v>
      </c>
    </row>
    <row r="16254" spans="39:45">
      <c r="AM16254" s="54">
        <v>2020</v>
      </c>
      <c r="AN16254" s="54" t="s">
        <v>192</v>
      </c>
      <c r="AO16254" s="54">
        <v>8</v>
      </c>
      <c r="AP16254" s="54">
        <v>4</v>
      </c>
      <c r="AQ16254" s="54">
        <v>0</v>
      </c>
      <c r="AR16254" s="55">
        <v>28500</v>
      </c>
      <c r="AS16254" s="78">
        <f t="shared" si="257"/>
        <v>0</v>
      </c>
    </row>
    <row r="16255" spans="39:45">
      <c r="AM16255" s="55">
        <v>2020</v>
      </c>
      <c r="AN16255" s="55" t="s">
        <v>192</v>
      </c>
      <c r="AO16255" s="55">
        <v>8</v>
      </c>
      <c r="AP16255" s="55">
        <v>5</v>
      </c>
      <c r="AQ16255" s="55">
        <v>0</v>
      </c>
      <c r="AR16255" s="55">
        <v>28500</v>
      </c>
      <c r="AS16255" s="78">
        <f t="shared" si="257"/>
        <v>0</v>
      </c>
    </row>
    <row r="16256" spans="39:45">
      <c r="AM16256" s="54">
        <v>2020</v>
      </c>
      <c r="AN16256" s="54" t="s">
        <v>192</v>
      </c>
      <c r="AO16256" s="54">
        <v>8</v>
      </c>
      <c r="AP16256" s="54">
        <v>6</v>
      </c>
      <c r="AQ16256" s="54">
        <v>0</v>
      </c>
      <c r="AR16256" s="55">
        <v>28500</v>
      </c>
      <c r="AS16256" s="78">
        <f t="shared" si="257"/>
        <v>0</v>
      </c>
    </row>
    <row r="16257" spans="39:45">
      <c r="AM16257" s="55">
        <v>2020</v>
      </c>
      <c r="AN16257" s="55" t="s">
        <v>192</v>
      </c>
      <c r="AO16257" s="55">
        <v>8</v>
      </c>
      <c r="AP16257" s="55">
        <v>7</v>
      </c>
      <c r="AQ16257" s="55">
        <v>0</v>
      </c>
      <c r="AR16257" s="55">
        <v>28500</v>
      </c>
      <c r="AS16257" s="78">
        <f t="shared" si="257"/>
        <v>0</v>
      </c>
    </row>
    <row r="16258" spans="39:45">
      <c r="AM16258" s="54">
        <v>2020</v>
      </c>
      <c r="AN16258" s="54" t="s">
        <v>192</v>
      </c>
      <c r="AO16258" s="54">
        <v>8</v>
      </c>
      <c r="AP16258" s="54">
        <v>8</v>
      </c>
      <c r="AQ16258" s="54">
        <v>1937</v>
      </c>
      <c r="AR16258" s="55">
        <v>28500</v>
      </c>
      <c r="AS16258" s="78">
        <f t="shared" ref="AS16258:AS16321" si="258">AQ16258/AR16258</f>
        <v>6.7964912280701756E-2</v>
      </c>
    </row>
    <row r="16259" spans="39:45">
      <c r="AM16259" s="55">
        <v>2020</v>
      </c>
      <c r="AN16259" s="55" t="s">
        <v>192</v>
      </c>
      <c r="AO16259" s="55">
        <v>8</v>
      </c>
      <c r="AP16259" s="55">
        <v>9</v>
      </c>
      <c r="AQ16259" s="55">
        <v>8451</v>
      </c>
      <c r="AR16259" s="55">
        <v>28500</v>
      </c>
      <c r="AS16259" s="78">
        <f t="shared" si="258"/>
        <v>0.29652631578947369</v>
      </c>
    </row>
    <row r="16260" spans="39:45">
      <c r="AM16260" s="54">
        <v>2020</v>
      </c>
      <c r="AN16260" s="54" t="s">
        <v>192</v>
      </c>
      <c r="AO16260" s="54">
        <v>8</v>
      </c>
      <c r="AP16260" s="54">
        <v>10</v>
      </c>
      <c r="AQ16260" s="54">
        <v>25712</v>
      </c>
      <c r="AR16260" s="55">
        <v>28500</v>
      </c>
      <c r="AS16260" s="78">
        <f t="shared" si="258"/>
        <v>0.90217543859649119</v>
      </c>
    </row>
    <row r="16261" spans="39:45">
      <c r="AM16261" s="55">
        <v>2020</v>
      </c>
      <c r="AN16261" s="55" t="s">
        <v>192</v>
      </c>
      <c r="AO16261" s="55">
        <v>8</v>
      </c>
      <c r="AP16261" s="55">
        <v>11</v>
      </c>
      <c r="AQ16261" s="55">
        <v>17213</v>
      </c>
      <c r="AR16261" s="55">
        <v>28500</v>
      </c>
      <c r="AS16261" s="78">
        <f t="shared" si="258"/>
        <v>0.6039649122807017</v>
      </c>
    </row>
    <row r="16262" spans="39:45">
      <c r="AM16262" s="54">
        <v>2020</v>
      </c>
      <c r="AN16262" s="54" t="s">
        <v>192</v>
      </c>
      <c r="AO16262" s="54">
        <v>8</v>
      </c>
      <c r="AP16262" s="54">
        <v>12</v>
      </c>
      <c r="AQ16262" s="54">
        <v>8529.5</v>
      </c>
      <c r="AR16262" s="55">
        <v>28500</v>
      </c>
      <c r="AS16262" s="78">
        <f t="shared" si="258"/>
        <v>0.29928070175438598</v>
      </c>
    </row>
    <row r="16263" spans="39:45">
      <c r="AM16263" s="55">
        <v>2020</v>
      </c>
      <c r="AN16263" s="55" t="s">
        <v>192</v>
      </c>
      <c r="AO16263" s="55">
        <v>8</v>
      </c>
      <c r="AP16263" s="55">
        <v>13</v>
      </c>
      <c r="AQ16263" s="55">
        <v>4451</v>
      </c>
      <c r="AR16263" s="55">
        <v>28500</v>
      </c>
      <c r="AS16263" s="78">
        <f t="shared" si="258"/>
        <v>0.15617543859649122</v>
      </c>
    </row>
    <row r="16264" spans="39:45">
      <c r="AM16264" s="54">
        <v>2020</v>
      </c>
      <c r="AN16264" s="54" t="s">
        <v>192</v>
      </c>
      <c r="AO16264" s="54">
        <v>8</v>
      </c>
      <c r="AP16264" s="54">
        <v>14</v>
      </c>
      <c r="AQ16264" s="54">
        <v>1351.5</v>
      </c>
      <c r="AR16264" s="55">
        <v>28500</v>
      </c>
      <c r="AS16264" s="78">
        <f t="shared" si="258"/>
        <v>4.7421052631578947E-2</v>
      </c>
    </row>
    <row r="16265" spans="39:45">
      <c r="AM16265" s="55">
        <v>2020</v>
      </c>
      <c r="AN16265" s="55" t="s">
        <v>192</v>
      </c>
      <c r="AO16265" s="55">
        <v>8</v>
      </c>
      <c r="AP16265" s="55">
        <v>15</v>
      </c>
      <c r="AQ16265" s="55">
        <v>877.5</v>
      </c>
      <c r="AR16265" s="55">
        <v>28500</v>
      </c>
      <c r="AS16265" s="78">
        <f t="shared" si="258"/>
        <v>3.0789473684210526E-2</v>
      </c>
    </row>
    <row r="16266" spans="39:45">
      <c r="AM16266" s="54">
        <v>2020</v>
      </c>
      <c r="AN16266" s="54" t="s">
        <v>192</v>
      </c>
      <c r="AO16266" s="54">
        <v>8</v>
      </c>
      <c r="AP16266" s="54">
        <v>16</v>
      </c>
      <c r="AQ16266" s="54">
        <v>0</v>
      </c>
      <c r="AR16266" s="55">
        <v>28500</v>
      </c>
      <c r="AS16266" s="78">
        <f t="shared" si="258"/>
        <v>0</v>
      </c>
    </row>
    <row r="16267" spans="39:45">
      <c r="AM16267" s="55">
        <v>2020</v>
      </c>
      <c r="AN16267" s="55" t="s">
        <v>192</v>
      </c>
      <c r="AO16267" s="55">
        <v>8</v>
      </c>
      <c r="AP16267" s="55">
        <v>17</v>
      </c>
      <c r="AQ16267" s="55">
        <v>0</v>
      </c>
      <c r="AR16267" s="55">
        <v>28500</v>
      </c>
      <c r="AS16267" s="78">
        <f t="shared" si="258"/>
        <v>0</v>
      </c>
    </row>
    <row r="16268" spans="39:45">
      <c r="AM16268" s="54">
        <v>2020</v>
      </c>
      <c r="AN16268" s="54" t="s">
        <v>192</v>
      </c>
      <c r="AO16268" s="54">
        <v>8</v>
      </c>
      <c r="AP16268" s="54">
        <v>18</v>
      </c>
      <c r="AQ16268" s="54">
        <v>0</v>
      </c>
      <c r="AR16268" s="55">
        <v>28500</v>
      </c>
      <c r="AS16268" s="78">
        <f t="shared" si="258"/>
        <v>0</v>
      </c>
    </row>
    <row r="16269" spans="39:45">
      <c r="AM16269" s="55">
        <v>2020</v>
      </c>
      <c r="AN16269" s="55" t="s">
        <v>192</v>
      </c>
      <c r="AO16269" s="55">
        <v>8</v>
      </c>
      <c r="AP16269" s="55">
        <v>19</v>
      </c>
      <c r="AQ16269" s="55">
        <v>0</v>
      </c>
      <c r="AR16269" s="55">
        <v>28500</v>
      </c>
      <c r="AS16269" s="78">
        <f t="shared" si="258"/>
        <v>0</v>
      </c>
    </row>
    <row r="16270" spans="39:45">
      <c r="AM16270" s="54">
        <v>2020</v>
      </c>
      <c r="AN16270" s="54" t="s">
        <v>192</v>
      </c>
      <c r="AO16270" s="54">
        <v>8</v>
      </c>
      <c r="AP16270" s="54">
        <v>20</v>
      </c>
      <c r="AQ16270" s="54">
        <v>0</v>
      </c>
      <c r="AR16270" s="55">
        <v>28500</v>
      </c>
      <c r="AS16270" s="78">
        <f t="shared" si="258"/>
        <v>0</v>
      </c>
    </row>
    <row r="16271" spans="39:45">
      <c r="AM16271" s="55">
        <v>2020</v>
      </c>
      <c r="AN16271" s="55" t="s">
        <v>192</v>
      </c>
      <c r="AO16271" s="55">
        <v>8</v>
      </c>
      <c r="AP16271" s="55">
        <v>21</v>
      </c>
      <c r="AQ16271" s="55">
        <v>0</v>
      </c>
      <c r="AR16271" s="55">
        <v>28500</v>
      </c>
      <c r="AS16271" s="78">
        <f t="shared" si="258"/>
        <v>0</v>
      </c>
    </row>
    <row r="16272" spans="39:45">
      <c r="AM16272" s="54">
        <v>2020</v>
      </c>
      <c r="AN16272" s="54" t="s">
        <v>192</v>
      </c>
      <c r="AO16272" s="54">
        <v>8</v>
      </c>
      <c r="AP16272" s="54">
        <v>22</v>
      </c>
      <c r="AQ16272" s="54">
        <v>0</v>
      </c>
      <c r="AR16272" s="55">
        <v>28500</v>
      </c>
      <c r="AS16272" s="78">
        <f t="shared" si="258"/>
        <v>0</v>
      </c>
    </row>
    <row r="16273" spans="39:45">
      <c r="AM16273" s="55">
        <v>2020</v>
      </c>
      <c r="AN16273" s="55" t="s">
        <v>192</v>
      </c>
      <c r="AO16273" s="55">
        <v>8</v>
      </c>
      <c r="AP16273" s="55">
        <v>23</v>
      </c>
      <c r="AQ16273" s="55">
        <v>0</v>
      </c>
      <c r="AR16273" s="55">
        <v>28500</v>
      </c>
      <c r="AS16273" s="78">
        <f t="shared" si="258"/>
        <v>0</v>
      </c>
    </row>
    <row r="16274" spans="39:45">
      <c r="AM16274" s="54">
        <v>2020</v>
      </c>
      <c r="AN16274" s="54" t="s">
        <v>192</v>
      </c>
      <c r="AO16274" s="54">
        <v>9</v>
      </c>
      <c r="AP16274" s="54">
        <v>24</v>
      </c>
      <c r="AQ16274" s="54">
        <v>0</v>
      </c>
      <c r="AR16274" s="55">
        <v>28500</v>
      </c>
      <c r="AS16274" s="78">
        <f t="shared" si="258"/>
        <v>0</v>
      </c>
    </row>
    <row r="16275" spans="39:45">
      <c r="AM16275" s="55">
        <v>2020</v>
      </c>
      <c r="AN16275" s="55" t="s">
        <v>192</v>
      </c>
      <c r="AO16275" s="55">
        <v>9</v>
      </c>
      <c r="AP16275" s="55">
        <v>1</v>
      </c>
      <c r="AQ16275" s="55">
        <v>0</v>
      </c>
      <c r="AR16275" s="55">
        <v>28500</v>
      </c>
      <c r="AS16275" s="78">
        <f t="shared" si="258"/>
        <v>0</v>
      </c>
    </row>
    <row r="16276" spans="39:45">
      <c r="AM16276" s="54">
        <v>2020</v>
      </c>
      <c r="AN16276" s="54" t="s">
        <v>192</v>
      </c>
      <c r="AO16276" s="54">
        <v>9</v>
      </c>
      <c r="AP16276" s="54">
        <v>2</v>
      </c>
      <c r="AQ16276" s="54">
        <v>0</v>
      </c>
      <c r="AR16276" s="55">
        <v>28500</v>
      </c>
      <c r="AS16276" s="78">
        <f t="shared" si="258"/>
        <v>0</v>
      </c>
    </row>
    <row r="16277" spans="39:45">
      <c r="AM16277" s="55">
        <v>2020</v>
      </c>
      <c r="AN16277" s="55" t="s">
        <v>192</v>
      </c>
      <c r="AO16277" s="55">
        <v>9</v>
      </c>
      <c r="AP16277" s="55">
        <v>3</v>
      </c>
      <c r="AQ16277" s="55">
        <v>0</v>
      </c>
      <c r="AR16277" s="55">
        <v>28500</v>
      </c>
      <c r="AS16277" s="78">
        <f t="shared" si="258"/>
        <v>0</v>
      </c>
    </row>
    <row r="16278" spans="39:45">
      <c r="AM16278" s="54">
        <v>2020</v>
      </c>
      <c r="AN16278" s="54" t="s">
        <v>192</v>
      </c>
      <c r="AO16278" s="54">
        <v>9</v>
      </c>
      <c r="AP16278" s="54">
        <v>4</v>
      </c>
      <c r="AQ16278" s="54">
        <v>0</v>
      </c>
      <c r="AR16278" s="55">
        <v>28500</v>
      </c>
      <c r="AS16278" s="78">
        <f t="shared" si="258"/>
        <v>0</v>
      </c>
    </row>
    <row r="16279" spans="39:45">
      <c r="AM16279" s="55">
        <v>2020</v>
      </c>
      <c r="AN16279" s="55" t="s">
        <v>192</v>
      </c>
      <c r="AO16279" s="55">
        <v>9</v>
      </c>
      <c r="AP16279" s="55">
        <v>5</v>
      </c>
      <c r="AQ16279" s="55">
        <v>0</v>
      </c>
      <c r="AR16279" s="55">
        <v>28500</v>
      </c>
      <c r="AS16279" s="78">
        <f t="shared" si="258"/>
        <v>0</v>
      </c>
    </row>
    <row r="16280" spans="39:45">
      <c r="AM16280" s="54">
        <v>2020</v>
      </c>
      <c r="AN16280" s="54" t="s">
        <v>192</v>
      </c>
      <c r="AO16280" s="54">
        <v>9</v>
      </c>
      <c r="AP16280" s="54">
        <v>6</v>
      </c>
      <c r="AQ16280" s="54">
        <v>0</v>
      </c>
      <c r="AR16280" s="55">
        <v>28500</v>
      </c>
      <c r="AS16280" s="78">
        <f t="shared" si="258"/>
        <v>0</v>
      </c>
    </row>
    <row r="16281" spans="39:45">
      <c r="AM16281" s="55">
        <v>2020</v>
      </c>
      <c r="AN16281" s="55" t="s">
        <v>192</v>
      </c>
      <c r="AO16281" s="55">
        <v>9</v>
      </c>
      <c r="AP16281" s="55">
        <v>7</v>
      </c>
      <c r="AQ16281" s="55">
        <v>0</v>
      </c>
      <c r="AR16281" s="55">
        <v>28500</v>
      </c>
      <c r="AS16281" s="78">
        <f t="shared" si="258"/>
        <v>0</v>
      </c>
    </row>
    <row r="16282" spans="39:45">
      <c r="AM16282" s="54">
        <v>2020</v>
      </c>
      <c r="AN16282" s="54" t="s">
        <v>192</v>
      </c>
      <c r="AO16282" s="54">
        <v>9</v>
      </c>
      <c r="AP16282" s="54">
        <v>8</v>
      </c>
      <c r="AQ16282" s="54">
        <v>2549</v>
      </c>
      <c r="AR16282" s="55">
        <v>28500</v>
      </c>
      <c r="AS16282" s="78">
        <f t="shared" si="258"/>
        <v>8.9438596491228067E-2</v>
      </c>
    </row>
    <row r="16283" spans="39:45">
      <c r="AM16283" s="55">
        <v>2020</v>
      </c>
      <c r="AN16283" s="55" t="s">
        <v>192</v>
      </c>
      <c r="AO16283" s="55">
        <v>9</v>
      </c>
      <c r="AP16283" s="55">
        <v>9</v>
      </c>
      <c r="AQ16283" s="55">
        <v>2375</v>
      </c>
      <c r="AR16283" s="55">
        <v>28500</v>
      </c>
      <c r="AS16283" s="78">
        <f t="shared" si="258"/>
        <v>8.3333333333333329E-2</v>
      </c>
    </row>
    <row r="16284" spans="39:45">
      <c r="AM16284" s="54">
        <v>2020</v>
      </c>
      <c r="AN16284" s="54" t="s">
        <v>192</v>
      </c>
      <c r="AO16284" s="54">
        <v>9</v>
      </c>
      <c r="AP16284" s="54">
        <v>10</v>
      </c>
      <c r="AQ16284" s="54">
        <v>1431.5</v>
      </c>
      <c r="AR16284" s="55">
        <v>28500</v>
      </c>
      <c r="AS16284" s="78">
        <f t="shared" si="258"/>
        <v>5.0228070175438594E-2</v>
      </c>
    </row>
    <row r="16285" spans="39:45">
      <c r="AM16285" s="55">
        <v>2020</v>
      </c>
      <c r="AN16285" s="55" t="s">
        <v>192</v>
      </c>
      <c r="AO16285" s="55">
        <v>9</v>
      </c>
      <c r="AP16285" s="55">
        <v>11</v>
      </c>
      <c r="AQ16285" s="55">
        <v>19653.5</v>
      </c>
      <c r="AR16285" s="55">
        <v>28500</v>
      </c>
      <c r="AS16285" s="78">
        <f t="shared" si="258"/>
        <v>0.68959649122807021</v>
      </c>
    </row>
    <row r="16286" spans="39:45">
      <c r="AM16286" s="54">
        <v>2020</v>
      </c>
      <c r="AN16286" s="54" t="s">
        <v>192</v>
      </c>
      <c r="AO16286" s="54">
        <v>9</v>
      </c>
      <c r="AP16286" s="54">
        <v>12</v>
      </c>
      <c r="AQ16286" s="54">
        <v>12460</v>
      </c>
      <c r="AR16286" s="55">
        <v>28500</v>
      </c>
      <c r="AS16286" s="78">
        <f t="shared" si="258"/>
        <v>0.43719298245614036</v>
      </c>
    </row>
    <row r="16287" spans="39:45">
      <c r="AM16287" s="55">
        <v>2020</v>
      </c>
      <c r="AN16287" s="55" t="s">
        <v>192</v>
      </c>
      <c r="AO16287" s="55">
        <v>9</v>
      </c>
      <c r="AP16287" s="55">
        <v>13</v>
      </c>
      <c r="AQ16287" s="55">
        <v>13258.5</v>
      </c>
      <c r="AR16287" s="55">
        <v>28500</v>
      </c>
      <c r="AS16287" s="78">
        <f t="shared" si="258"/>
        <v>0.46521052631578946</v>
      </c>
    </row>
    <row r="16288" spans="39:45">
      <c r="AM16288" s="54">
        <v>2020</v>
      </c>
      <c r="AN16288" s="54" t="s">
        <v>192</v>
      </c>
      <c r="AO16288" s="54">
        <v>9</v>
      </c>
      <c r="AP16288" s="54">
        <v>14</v>
      </c>
      <c r="AQ16288" s="54">
        <v>16062.5</v>
      </c>
      <c r="AR16288" s="55">
        <v>28500</v>
      </c>
      <c r="AS16288" s="78">
        <f t="shared" si="258"/>
        <v>0.56359649122807021</v>
      </c>
    </row>
    <row r="16289" spans="39:45">
      <c r="AM16289" s="55">
        <v>2020</v>
      </c>
      <c r="AN16289" s="55" t="s">
        <v>192</v>
      </c>
      <c r="AO16289" s="55">
        <v>9</v>
      </c>
      <c r="AP16289" s="55">
        <v>15</v>
      </c>
      <c r="AQ16289" s="55">
        <v>11914</v>
      </c>
      <c r="AR16289" s="55">
        <v>28500</v>
      </c>
      <c r="AS16289" s="78">
        <f t="shared" si="258"/>
        <v>0.41803508771929826</v>
      </c>
    </row>
    <row r="16290" spans="39:45">
      <c r="AM16290" s="54">
        <v>2020</v>
      </c>
      <c r="AN16290" s="54" t="s">
        <v>192</v>
      </c>
      <c r="AO16290" s="54">
        <v>9</v>
      </c>
      <c r="AP16290" s="54">
        <v>16</v>
      </c>
      <c r="AQ16290" s="54">
        <v>0</v>
      </c>
      <c r="AR16290" s="55">
        <v>28500</v>
      </c>
      <c r="AS16290" s="78">
        <f t="shared" si="258"/>
        <v>0</v>
      </c>
    </row>
    <row r="16291" spans="39:45">
      <c r="AM16291" s="55">
        <v>2020</v>
      </c>
      <c r="AN16291" s="55" t="s">
        <v>192</v>
      </c>
      <c r="AO16291" s="55">
        <v>9</v>
      </c>
      <c r="AP16291" s="55">
        <v>17</v>
      </c>
      <c r="AQ16291" s="55">
        <v>0</v>
      </c>
      <c r="AR16291" s="55">
        <v>28500</v>
      </c>
      <c r="AS16291" s="78">
        <f t="shared" si="258"/>
        <v>0</v>
      </c>
    </row>
    <row r="16292" spans="39:45">
      <c r="AM16292" s="54">
        <v>2020</v>
      </c>
      <c r="AN16292" s="54" t="s">
        <v>192</v>
      </c>
      <c r="AO16292" s="54">
        <v>9</v>
      </c>
      <c r="AP16292" s="54">
        <v>18</v>
      </c>
      <c r="AQ16292" s="54">
        <v>0</v>
      </c>
      <c r="AR16292" s="55">
        <v>28500</v>
      </c>
      <c r="AS16292" s="78">
        <f t="shared" si="258"/>
        <v>0</v>
      </c>
    </row>
    <row r="16293" spans="39:45">
      <c r="AM16293" s="55">
        <v>2020</v>
      </c>
      <c r="AN16293" s="55" t="s">
        <v>192</v>
      </c>
      <c r="AO16293" s="55">
        <v>9</v>
      </c>
      <c r="AP16293" s="55">
        <v>19</v>
      </c>
      <c r="AQ16293" s="55">
        <v>0</v>
      </c>
      <c r="AR16293" s="55">
        <v>28500</v>
      </c>
      <c r="AS16293" s="78">
        <f t="shared" si="258"/>
        <v>0</v>
      </c>
    </row>
    <row r="16294" spans="39:45">
      <c r="AM16294" s="54">
        <v>2020</v>
      </c>
      <c r="AN16294" s="54" t="s">
        <v>192</v>
      </c>
      <c r="AO16294" s="54">
        <v>9</v>
      </c>
      <c r="AP16294" s="54">
        <v>20</v>
      </c>
      <c r="AQ16294" s="54">
        <v>0</v>
      </c>
      <c r="AR16294" s="55">
        <v>28500</v>
      </c>
      <c r="AS16294" s="78">
        <f t="shared" si="258"/>
        <v>0</v>
      </c>
    </row>
    <row r="16295" spans="39:45">
      <c r="AM16295" s="55">
        <v>2020</v>
      </c>
      <c r="AN16295" s="55" t="s">
        <v>192</v>
      </c>
      <c r="AO16295" s="55">
        <v>9</v>
      </c>
      <c r="AP16295" s="55">
        <v>21</v>
      </c>
      <c r="AQ16295" s="55">
        <v>0</v>
      </c>
      <c r="AR16295" s="55">
        <v>28500</v>
      </c>
      <c r="AS16295" s="78">
        <f t="shared" si="258"/>
        <v>0</v>
      </c>
    </row>
    <row r="16296" spans="39:45">
      <c r="AM16296" s="54">
        <v>2020</v>
      </c>
      <c r="AN16296" s="54" t="s">
        <v>192</v>
      </c>
      <c r="AO16296" s="54">
        <v>9</v>
      </c>
      <c r="AP16296" s="54">
        <v>22</v>
      </c>
      <c r="AQ16296" s="54">
        <v>0</v>
      </c>
      <c r="AR16296" s="55">
        <v>28500</v>
      </c>
      <c r="AS16296" s="78">
        <f t="shared" si="258"/>
        <v>0</v>
      </c>
    </row>
    <row r="16297" spans="39:45">
      <c r="AM16297" s="55">
        <v>2020</v>
      </c>
      <c r="AN16297" s="55" t="s">
        <v>192</v>
      </c>
      <c r="AO16297" s="55">
        <v>9</v>
      </c>
      <c r="AP16297" s="55">
        <v>23</v>
      </c>
      <c r="AQ16297" s="55">
        <v>0</v>
      </c>
      <c r="AR16297" s="55">
        <v>28500</v>
      </c>
      <c r="AS16297" s="78">
        <f t="shared" si="258"/>
        <v>0</v>
      </c>
    </row>
    <row r="16298" spans="39:45">
      <c r="AM16298" s="54">
        <v>2020</v>
      </c>
      <c r="AN16298" s="54" t="s">
        <v>192</v>
      </c>
      <c r="AO16298" s="54">
        <v>10</v>
      </c>
      <c r="AP16298" s="54">
        <v>24</v>
      </c>
      <c r="AQ16298" s="54">
        <v>0</v>
      </c>
      <c r="AR16298" s="55">
        <v>28500</v>
      </c>
      <c r="AS16298" s="78">
        <f t="shared" si="258"/>
        <v>0</v>
      </c>
    </row>
    <row r="16299" spans="39:45">
      <c r="AM16299" s="55">
        <v>2020</v>
      </c>
      <c r="AN16299" s="55" t="s">
        <v>192</v>
      </c>
      <c r="AO16299" s="55">
        <v>10</v>
      </c>
      <c r="AP16299" s="55">
        <v>1</v>
      </c>
      <c r="AQ16299" s="55">
        <v>0</v>
      </c>
      <c r="AR16299" s="55">
        <v>28500</v>
      </c>
      <c r="AS16299" s="78">
        <f t="shared" si="258"/>
        <v>0</v>
      </c>
    </row>
    <row r="16300" spans="39:45">
      <c r="AM16300" s="54">
        <v>2020</v>
      </c>
      <c r="AN16300" s="54" t="s">
        <v>192</v>
      </c>
      <c r="AO16300" s="54">
        <v>10</v>
      </c>
      <c r="AP16300" s="54">
        <v>2</v>
      </c>
      <c r="AQ16300" s="54">
        <v>0</v>
      </c>
      <c r="AR16300" s="55">
        <v>28500</v>
      </c>
      <c r="AS16300" s="78">
        <f t="shared" si="258"/>
        <v>0</v>
      </c>
    </row>
    <row r="16301" spans="39:45">
      <c r="AM16301" s="55">
        <v>2020</v>
      </c>
      <c r="AN16301" s="55" t="s">
        <v>192</v>
      </c>
      <c r="AO16301" s="55">
        <v>10</v>
      </c>
      <c r="AP16301" s="55">
        <v>3</v>
      </c>
      <c r="AQ16301" s="55">
        <v>0</v>
      </c>
      <c r="AR16301" s="55">
        <v>28500</v>
      </c>
      <c r="AS16301" s="78">
        <f t="shared" si="258"/>
        <v>0</v>
      </c>
    </row>
    <row r="16302" spans="39:45">
      <c r="AM16302" s="54">
        <v>2020</v>
      </c>
      <c r="AN16302" s="54" t="s">
        <v>192</v>
      </c>
      <c r="AO16302" s="54">
        <v>10</v>
      </c>
      <c r="AP16302" s="54">
        <v>4</v>
      </c>
      <c r="AQ16302" s="54">
        <v>0</v>
      </c>
      <c r="AR16302" s="55">
        <v>28500</v>
      </c>
      <c r="AS16302" s="78">
        <f t="shared" si="258"/>
        <v>0</v>
      </c>
    </row>
    <row r="16303" spans="39:45">
      <c r="AM16303" s="55">
        <v>2020</v>
      </c>
      <c r="AN16303" s="55" t="s">
        <v>192</v>
      </c>
      <c r="AO16303" s="55">
        <v>10</v>
      </c>
      <c r="AP16303" s="55">
        <v>5</v>
      </c>
      <c r="AQ16303" s="55">
        <v>0</v>
      </c>
      <c r="AR16303" s="55">
        <v>28500</v>
      </c>
      <c r="AS16303" s="78">
        <f t="shared" si="258"/>
        <v>0</v>
      </c>
    </row>
    <row r="16304" spans="39:45">
      <c r="AM16304" s="54">
        <v>2020</v>
      </c>
      <c r="AN16304" s="54" t="s">
        <v>192</v>
      </c>
      <c r="AO16304" s="54">
        <v>10</v>
      </c>
      <c r="AP16304" s="54">
        <v>6</v>
      </c>
      <c r="AQ16304" s="54">
        <v>0</v>
      </c>
      <c r="AR16304" s="55">
        <v>28500</v>
      </c>
      <c r="AS16304" s="78">
        <f t="shared" si="258"/>
        <v>0</v>
      </c>
    </row>
    <row r="16305" spans="39:45">
      <c r="AM16305" s="55">
        <v>2020</v>
      </c>
      <c r="AN16305" s="55" t="s">
        <v>192</v>
      </c>
      <c r="AO16305" s="55">
        <v>10</v>
      </c>
      <c r="AP16305" s="55">
        <v>7</v>
      </c>
      <c r="AQ16305" s="55">
        <v>0</v>
      </c>
      <c r="AR16305" s="55">
        <v>28500</v>
      </c>
      <c r="AS16305" s="78">
        <f t="shared" si="258"/>
        <v>0</v>
      </c>
    </row>
    <row r="16306" spans="39:45">
      <c r="AM16306" s="54">
        <v>2020</v>
      </c>
      <c r="AN16306" s="54" t="s">
        <v>192</v>
      </c>
      <c r="AO16306" s="54">
        <v>10</v>
      </c>
      <c r="AP16306" s="54">
        <v>8</v>
      </c>
      <c r="AQ16306" s="54">
        <v>1820.5</v>
      </c>
      <c r="AR16306" s="55">
        <v>28500</v>
      </c>
      <c r="AS16306" s="78">
        <f t="shared" si="258"/>
        <v>6.3877192982456144E-2</v>
      </c>
    </row>
    <row r="16307" spans="39:45">
      <c r="AM16307" s="55">
        <v>2020</v>
      </c>
      <c r="AN16307" s="55" t="s">
        <v>192</v>
      </c>
      <c r="AO16307" s="55">
        <v>10</v>
      </c>
      <c r="AP16307" s="55">
        <v>9</v>
      </c>
      <c r="AQ16307" s="55">
        <v>14519.5</v>
      </c>
      <c r="AR16307" s="55">
        <v>28500</v>
      </c>
      <c r="AS16307" s="78">
        <f t="shared" si="258"/>
        <v>0.50945614035087716</v>
      </c>
    </row>
    <row r="16308" spans="39:45">
      <c r="AM16308" s="54">
        <v>2020</v>
      </c>
      <c r="AN16308" s="54" t="s">
        <v>192</v>
      </c>
      <c r="AO16308" s="54">
        <v>10</v>
      </c>
      <c r="AP16308" s="54">
        <v>10</v>
      </c>
      <c r="AQ16308" s="54">
        <v>19501.5</v>
      </c>
      <c r="AR16308" s="55">
        <v>28500</v>
      </c>
      <c r="AS16308" s="78">
        <f t="shared" si="258"/>
        <v>0.6842631578947368</v>
      </c>
    </row>
    <row r="16309" spans="39:45">
      <c r="AM16309" s="55">
        <v>2020</v>
      </c>
      <c r="AN16309" s="55" t="s">
        <v>192</v>
      </c>
      <c r="AO16309" s="55">
        <v>10</v>
      </c>
      <c r="AP16309" s="55">
        <v>11</v>
      </c>
      <c r="AQ16309" s="55">
        <v>29805</v>
      </c>
      <c r="AR16309" s="55">
        <v>28500</v>
      </c>
      <c r="AS16309" s="78">
        <f t="shared" si="258"/>
        <v>1.0457894736842106</v>
      </c>
    </row>
    <row r="16310" spans="39:45">
      <c r="AM16310" s="54">
        <v>2020</v>
      </c>
      <c r="AN16310" s="54" t="s">
        <v>192</v>
      </c>
      <c r="AO16310" s="54">
        <v>10</v>
      </c>
      <c r="AP16310" s="54">
        <v>12</v>
      </c>
      <c r="AQ16310" s="54">
        <v>10222</v>
      </c>
      <c r="AR16310" s="55">
        <v>28500</v>
      </c>
      <c r="AS16310" s="78">
        <f t="shared" si="258"/>
        <v>0.35866666666666669</v>
      </c>
    </row>
    <row r="16311" spans="39:45">
      <c r="AM16311" s="55">
        <v>2020</v>
      </c>
      <c r="AN16311" s="55" t="s">
        <v>192</v>
      </c>
      <c r="AO16311" s="55">
        <v>10</v>
      </c>
      <c r="AP16311" s="55">
        <v>13</v>
      </c>
      <c r="AQ16311" s="55">
        <v>2932.5</v>
      </c>
      <c r="AR16311" s="55">
        <v>28500</v>
      </c>
      <c r="AS16311" s="78">
        <f t="shared" si="258"/>
        <v>0.10289473684210526</v>
      </c>
    </row>
    <row r="16312" spans="39:45">
      <c r="AM16312" s="54">
        <v>2020</v>
      </c>
      <c r="AN16312" s="54" t="s">
        <v>192</v>
      </c>
      <c r="AO16312" s="54">
        <v>10</v>
      </c>
      <c r="AP16312" s="54">
        <v>14</v>
      </c>
      <c r="AQ16312" s="54">
        <v>3099</v>
      </c>
      <c r="AR16312" s="55">
        <v>28500</v>
      </c>
      <c r="AS16312" s="78">
        <f t="shared" si="258"/>
        <v>0.10873684210526316</v>
      </c>
    </row>
    <row r="16313" spans="39:45">
      <c r="AM16313" s="55">
        <v>2020</v>
      </c>
      <c r="AN16313" s="55" t="s">
        <v>192</v>
      </c>
      <c r="AO16313" s="55">
        <v>10</v>
      </c>
      <c r="AP16313" s="55">
        <v>15</v>
      </c>
      <c r="AQ16313" s="55">
        <v>4119.5</v>
      </c>
      <c r="AR16313" s="55">
        <v>28500</v>
      </c>
      <c r="AS16313" s="78">
        <f t="shared" si="258"/>
        <v>0.14454385964912281</v>
      </c>
    </row>
    <row r="16314" spans="39:45">
      <c r="AM16314" s="54">
        <v>2020</v>
      </c>
      <c r="AN16314" s="54" t="s">
        <v>192</v>
      </c>
      <c r="AO16314" s="54">
        <v>10</v>
      </c>
      <c r="AP16314" s="54">
        <v>16</v>
      </c>
      <c r="AQ16314" s="54">
        <v>0</v>
      </c>
      <c r="AR16314" s="55">
        <v>28500</v>
      </c>
      <c r="AS16314" s="78">
        <f t="shared" si="258"/>
        <v>0</v>
      </c>
    </row>
    <row r="16315" spans="39:45">
      <c r="AM16315" s="55">
        <v>2020</v>
      </c>
      <c r="AN16315" s="55" t="s">
        <v>192</v>
      </c>
      <c r="AO16315" s="55">
        <v>10</v>
      </c>
      <c r="AP16315" s="55">
        <v>17</v>
      </c>
      <c r="AQ16315" s="55">
        <v>0</v>
      </c>
      <c r="AR16315" s="55">
        <v>28500</v>
      </c>
      <c r="AS16315" s="78">
        <f t="shared" si="258"/>
        <v>0</v>
      </c>
    </row>
    <row r="16316" spans="39:45">
      <c r="AM16316" s="54">
        <v>2020</v>
      </c>
      <c r="AN16316" s="54" t="s">
        <v>192</v>
      </c>
      <c r="AO16316" s="54">
        <v>10</v>
      </c>
      <c r="AP16316" s="54">
        <v>18</v>
      </c>
      <c r="AQ16316" s="54">
        <v>0</v>
      </c>
      <c r="AR16316" s="55">
        <v>28500</v>
      </c>
      <c r="AS16316" s="78">
        <f t="shared" si="258"/>
        <v>0</v>
      </c>
    </row>
    <row r="16317" spans="39:45">
      <c r="AM16317" s="55">
        <v>2020</v>
      </c>
      <c r="AN16317" s="55" t="s">
        <v>192</v>
      </c>
      <c r="AO16317" s="55">
        <v>10</v>
      </c>
      <c r="AP16317" s="55">
        <v>19</v>
      </c>
      <c r="AQ16317" s="55">
        <v>0</v>
      </c>
      <c r="AR16317" s="55">
        <v>28500</v>
      </c>
      <c r="AS16317" s="78">
        <f t="shared" si="258"/>
        <v>0</v>
      </c>
    </row>
    <row r="16318" spans="39:45">
      <c r="AM16318" s="54">
        <v>2020</v>
      </c>
      <c r="AN16318" s="54" t="s">
        <v>192</v>
      </c>
      <c r="AO16318" s="54">
        <v>10</v>
      </c>
      <c r="AP16318" s="54">
        <v>20</v>
      </c>
      <c r="AQ16318" s="54">
        <v>0</v>
      </c>
      <c r="AR16318" s="55">
        <v>28500</v>
      </c>
      <c r="AS16318" s="78">
        <f t="shared" si="258"/>
        <v>0</v>
      </c>
    </row>
    <row r="16319" spans="39:45">
      <c r="AM16319" s="55">
        <v>2020</v>
      </c>
      <c r="AN16319" s="55" t="s">
        <v>192</v>
      </c>
      <c r="AO16319" s="55">
        <v>10</v>
      </c>
      <c r="AP16319" s="55">
        <v>21</v>
      </c>
      <c r="AQ16319" s="55">
        <v>0</v>
      </c>
      <c r="AR16319" s="55">
        <v>28500</v>
      </c>
      <c r="AS16319" s="78">
        <f t="shared" si="258"/>
        <v>0</v>
      </c>
    </row>
    <row r="16320" spans="39:45">
      <c r="AM16320" s="54">
        <v>2020</v>
      </c>
      <c r="AN16320" s="54" t="s">
        <v>192</v>
      </c>
      <c r="AO16320" s="54">
        <v>10</v>
      </c>
      <c r="AP16320" s="54">
        <v>22</v>
      </c>
      <c r="AQ16320" s="54">
        <v>0</v>
      </c>
      <c r="AR16320" s="55">
        <v>28500</v>
      </c>
      <c r="AS16320" s="78">
        <f t="shared" si="258"/>
        <v>0</v>
      </c>
    </row>
    <row r="16321" spans="39:45">
      <c r="AM16321" s="55">
        <v>2020</v>
      </c>
      <c r="AN16321" s="55" t="s">
        <v>192</v>
      </c>
      <c r="AO16321" s="55">
        <v>10</v>
      </c>
      <c r="AP16321" s="55">
        <v>23</v>
      </c>
      <c r="AQ16321" s="55">
        <v>0</v>
      </c>
      <c r="AR16321" s="55">
        <v>28500</v>
      </c>
      <c r="AS16321" s="78">
        <f t="shared" si="258"/>
        <v>0</v>
      </c>
    </row>
    <row r="16322" spans="39:45">
      <c r="AM16322" s="54">
        <v>2020</v>
      </c>
      <c r="AN16322" s="54" t="s">
        <v>192</v>
      </c>
      <c r="AO16322" s="54">
        <v>11</v>
      </c>
      <c r="AP16322" s="54">
        <v>24</v>
      </c>
      <c r="AQ16322" s="54">
        <v>0</v>
      </c>
      <c r="AR16322" s="55">
        <v>28500</v>
      </c>
      <c r="AS16322" s="78">
        <f t="shared" ref="AS16322:AS16385" si="259">AQ16322/AR16322</f>
        <v>0</v>
      </c>
    </row>
    <row r="16323" spans="39:45">
      <c r="AM16323" s="55">
        <v>2020</v>
      </c>
      <c r="AN16323" s="55" t="s">
        <v>192</v>
      </c>
      <c r="AO16323" s="55">
        <v>11</v>
      </c>
      <c r="AP16323" s="55">
        <v>1</v>
      </c>
      <c r="AQ16323" s="55">
        <v>0</v>
      </c>
      <c r="AR16323" s="55">
        <v>28500</v>
      </c>
      <c r="AS16323" s="78">
        <f t="shared" si="259"/>
        <v>0</v>
      </c>
    </row>
    <row r="16324" spans="39:45">
      <c r="AM16324" s="54">
        <v>2020</v>
      </c>
      <c r="AN16324" s="54" t="s">
        <v>192</v>
      </c>
      <c r="AO16324" s="54">
        <v>11</v>
      </c>
      <c r="AP16324" s="54">
        <v>2</v>
      </c>
      <c r="AQ16324" s="54">
        <v>0</v>
      </c>
      <c r="AR16324" s="55">
        <v>28500</v>
      </c>
      <c r="AS16324" s="78">
        <f t="shared" si="259"/>
        <v>0</v>
      </c>
    </row>
    <row r="16325" spans="39:45">
      <c r="AM16325" s="55">
        <v>2020</v>
      </c>
      <c r="AN16325" s="55" t="s">
        <v>192</v>
      </c>
      <c r="AO16325" s="55">
        <v>11</v>
      </c>
      <c r="AP16325" s="55">
        <v>3</v>
      </c>
      <c r="AQ16325" s="55">
        <v>0</v>
      </c>
      <c r="AR16325" s="55">
        <v>28500</v>
      </c>
      <c r="AS16325" s="78">
        <f t="shared" si="259"/>
        <v>0</v>
      </c>
    </row>
    <row r="16326" spans="39:45">
      <c r="AM16326" s="54">
        <v>2020</v>
      </c>
      <c r="AN16326" s="54" t="s">
        <v>192</v>
      </c>
      <c r="AO16326" s="54">
        <v>11</v>
      </c>
      <c r="AP16326" s="54">
        <v>4</v>
      </c>
      <c r="AQ16326" s="54">
        <v>0</v>
      </c>
      <c r="AR16326" s="55">
        <v>28500</v>
      </c>
      <c r="AS16326" s="78">
        <f t="shared" si="259"/>
        <v>0</v>
      </c>
    </row>
    <row r="16327" spans="39:45">
      <c r="AM16327" s="55">
        <v>2020</v>
      </c>
      <c r="AN16327" s="55" t="s">
        <v>192</v>
      </c>
      <c r="AO16327" s="55">
        <v>11</v>
      </c>
      <c r="AP16327" s="55">
        <v>5</v>
      </c>
      <c r="AQ16327" s="55">
        <v>0</v>
      </c>
      <c r="AR16327" s="55">
        <v>28500</v>
      </c>
      <c r="AS16327" s="78">
        <f t="shared" si="259"/>
        <v>0</v>
      </c>
    </row>
    <row r="16328" spans="39:45">
      <c r="AM16328" s="54">
        <v>2020</v>
      </c>
      <c r="AN16328" s="54" t="s">
        <v>192</v>
      </c>
      <c r="AO16328" s="54">
        <v>11</v>
      </c>
      <c r="AP16328" s="54">
        <v>6</v>
      </c>
      <c r="AQ16328" s="54">
        <v>0</v>
      </c>
      <c r="AR16328" s="55">
        <v>28500</v>
      </c>
      <c r="AS16328" s="78">
        <f t="shared" si="259"/>
        <v>0</v>
      </c>
    </row>
    <row r="16329" spans="39:45">
      <c r="AM16329" s="55">
        <v>2020</v>
      </c>
      <c r="AN16329" s="55" t="s">
        <v>192</v>
      </c>
      <c r="AO16329" s="55">
        <v>11</v>
      </c>
      <c r="AP16329" s="55">
        <v>7</v>
      </c>
      <c r="AQ16329" s="55">
        <v>0</v>
      </c>
      <c r="AR16329" s="55">
        <v>28500</v>
      </c>
      <c r="AS16329" s="78">
        <f t="shared" si="259"/>
        <v>0</v>
      </c>
    </row>
    <row r="16330" spans="39:45">
      <c r="AM16330" s="54">
        <v>2020</v>
      </c>
      <c r="AN16330" s="54" t="s">
        <v>192</v>
      </c>
      <c r="AO16330" s="54">
        <v>11</v>
      </c>
      <c r="AP16330" s="54">
        <v>8</v>
      </c>
      <c r="AQ16330" s="54">
        <v>698.5</v>
      </c>
      <c r="AR16330" s="55">
        <v>28500</v>
      </c>
      <c r="AS16330" s="78">
        <f t="shared" si="259"/>
        <v>2.450877192982456E-2</v>
      </c>
    </row>
    <row r="16331" spans="39:45">
      <c r="AM16331" s="55">
        <v>2020</v>
      </c>
      <c r="AN16331" s="55" t="s">
        <v>192</v>
      </c>
      <c r="AO16331" s="55">
        <v>11</v>
      </c>
      <c r="AP16331" s="55">
        <v>9</v>
      </c>
      <c r="AQ16331" s="55">
        <v>4482</v>
      </c>
      <c r="AR16331" s="55">
        <v>28500</v>
      </c>
      <c r="AS16331" s="78">
        <f t="shared" si="259"/>
        <v>0.15726315789473685</v>
      </c>
    </row>
    <row r="16332" spans="39:45">
      <c r="AM16332" s="54">
        <v>2020</v>
      </c>
      <c r="AN16332" s="54" t="s">
        <v>192</v>
      </c>
      <c r="AO16332" s="54">
        <v>11</v>
      </c>
      <c r="AP16332" s="54">
        <v>10</v>
      </c>
      <c r="AQ16332" s="54">
        <v>6945.5</v>
      </c>
      <c r="AR16332" s="55">
        <v>28500</v>
      </c>
      <c r="AS16332" s="78">
        <f t="shared" si="259"/>
        <v>0.24370175438596492</v>
      </c>
    </row>
    <row r="16333" spans="39:45">
      <c r="AM16333" s="55">
        <v>2020</v>
      </c>
      <c r="AN16333" s="55" t="s">
        <v>192</v>
      </c>
      <c r="AO16333" s="55">
        <v>11</v>
      </c>
      <c r="AP16333" s="55">
        <v>11</v>
      </c>
      <c r="AQ16333" s="55">
        <v>15206.5</v>
      </c>
      <c r="AR16333" s="55">
        <v>28500</v>
      </c>
      <c r="AS16333" s="78">
        <f t="shared" si="259"/>
        <v>0.5335614035087719</v>
      </c>
    </row>
    <row r="16334" spans="39:45">
      <c r="AM16334" s="54">
        <v>2020</v>
      </c>
      <c r="AN16334" s="54" t="s">
        <v>192</v>
      </c>
      <c r="AO16334" s="54">
        <v>11</v>
      </c>
      <c r="AP16334" s="54">
        <v>12</v>
      </c>
      <c r="AQ16334" s="54">
        <v>3763.5</v>
      </c>
      <c r="AR16334" s="55">
        <v>28500</v>
      </c>
      <c r="AS16334" s="78">
        <f t="shared" si="259"/>
        <v>0.13205263157894737</v>
      </c>
    </row>
    <row r="16335" spans="39:45">
      <c r="AM16335" s="55">
        <v>2020</v>
      </c>
      <c r="AN16335" s="55" t="s">
        <v>192</v>
      </c>
      <c r="AO16335" s="55">
        <v>11</v>
      </c>
      <c r="AP16335" s="55">
        <v>13</v>
      </c>
      <c r="AQ16335" s="55">
        <v>1401.5</v>
      </c>
      <c r="AR16335" s="55">
        <v>28500</v>
      </c>
      <c r="AS16335" s="78">
        <f t="shared" si="259"/>
        <v>4.9175438596491226E-2</v>
      </c>
    </row>
    <row r="16336" spans="39:45">
      <c r="AM16336" s="54">
        <v>2020</v>
      </c>
      <c r="AN16336" s="54" t="s">
        <v>192</v>
      </c>
      <c r="AO16336" s="54">
        <v>11</v>
      </c>
      <c r="AP16336" s="54">
        <v>14</v>
      </c>
      <c r="AQ16336" s="54">
        <v>3314</v>
      </c>
      <c r="AR16336" s="55">
        <v>28500</v>
      </c>
      <c r="AS16336" s="78">
        <f t="shared" si="259"/>
        <v>0.11628070175438597</v>
      </c>
    </row>
    <row r="16337" spans="39:45">
      <c r="AM16337" s="55">
        <v>2020</v>
      </c>
      <c r="AN16337" s="55" t="s">
        <v>192</v>
      </c>
      <c r="AO16337" s="55">
        <v>11</v>
      </c>
      <c r="AP16337" s="55">
        <v>15</v>
      </c>
      <c r="AQ16337" s="55">
        <v>723.5</v>
      </c>
      <c r="AR16337" s="55">
        <v>28500</v>
      </c>
      <c r="AS16337" s="78">
        <f t="shared" si="259"/>
        <v>2.5385964912280703E-2</v>
      </c>
    </row>
    <row r="16338" spans="39:45">
      <c r="AM16338" s="54">
        <v>2020</v>
      </c>
      <c r="AN16338" s="54" t="s">
        <v>192</v>
      </c>
      <c r="AO16338" s="54">
        <v>11</v>
      </c>
      <c r="AP16338" s="54">
        <v>16</v>
      </c>
      <c r="AQ16338" s="54">
        <v>0</v>
      </c>
      <c r="AR16338" s="55">
        <v>28500</v>
      </c>
      <c r="AS16338" s="78">
        <f t="shared" si="259"/>
        <v>0</v>
      </c>
    </row>
    <row r="16339" spans="39:45">
      <c r="AM16339" s="55">
        <v>2020</v>
      </c>
      <c r="AN16339" s="55" t="s">
        <v>192</v>
      </c>
      <c r="AO16339" s="55">
        <v>11</v>
      </c>
      <c r="AP16339" s="55">
        <v>17</v>
      </c>
      <c r="AQ16339" s="55">
        <v>0</v>
      </c>
      <c r="AR16339" s="55">
        <v>28500</v>
      </c>
      <c r="AS16339" s="78">
        <f t="shared" si="259"/>
        <v>0</v>
      </c>
    </row>
    <row r="16340" spans="39:45">
      <c r="AM16340" s="54">
        <v>2020</v>
      </c>
      <c r="AN16340" s="54" t="s">
        <v>192</v>
      </c>
      <c r="AO16340" s="54">
        <v>11</v>
      </c>
      <c r="AP16340" s="54">
        <v>18</v>
      </c>
      <c r="AQ16340" s="54">
        <v>0</v>
      </c>
      <c r="AR16340" s="55">
        <v>28500</v>
      </c>
      <c r="AS16340" s="78">
        <f t="shared" si="259"/>
        <v>0</v>
      </c>
    </row>
    <row r="16341" spans="39:45">
      <c r="AM16341" s="55">
        <v>2020</v>
      </c>
      <c r="AN16341" s="55" t="s">
        <v>192</v>
      </c>
      <c r="AO16341" s="55">
        <v>11</v>
      </c>
      <c r="AP16341" s="55">
        <v>19</v>
      </c>
      <c r="AQ16341" s="55">
        <v>0</v>
      </c>
      <c r="AR16341" s="55">
        <v>28500</v>
      </c>
      <c r="AS16341" s="78">
        <f t="shared" si="259"/>
        <v>0</v>
      </c>
    </row>
    <row r="16342" spans="39:45">
      <c r="AM16342" s="54">
        <v>2020</v>
      </c>
      <c r="AN16342" s="54" t="s">
        <v>192</v>
      </c>
      <c r="AO16342" s="54">
        <v>11</v>
      </c>
      <c r="AP16342" s="54">
        <v>20</v>
      </c>
      <c r="AQ16342" s="54">
        <v>0</v>
      </c>
      <c r="AR16342" s="55">
        <v>28500</v>
      </c>
      <c r="AS16342" s="78">
        <f t="shared" si="259"/>
        <v>0</v>
      </c>
    </row>
    <row r="16343" spans="39:45">
      <c r="AM16343" s="55">
        <v>2020</v>
      </c>
      <c r="AN16343" s="55" t="s">
        <v>192</v>
      </c>
      <c r="AO16343" s="55">
        <v>11</v>
      </c>
      <c r="AP16343" s="55">
        <v>21</v>
      </c>
      <c r="AQ16343" s="55">
        <v>0</v>
      </c>
      <c r="AR16343" s="55">
        <v>28500</v>
      </c>
      <c r="AS16343" s="78">
        <f t="shared" si="259"/>
        <v>0</v>
      </c>
    </row>
    <row r="16344" spans="39:45">
      <c r="AM16344" s="54">
        <v>2020</v>
      </c>
      <c r="AN16344" s="54" t="s">
        <v>192</v>
      </c>
      <c r="AO16344" s="54">
        <v>11</v>
      </c>
      <c r="AP16344" s="54">
        <v>22</v>
      </c>
      <c r="AQ16344" s="54">
        <v>0</v>
      </c>
      <c r="AR16344" s="55">
        <v>28500</v>
      </c>
      <c r="AS16344" s="78">
        <f t="shared" si="259"/>
        <v>0</v>
      </c>
    </row>
    <row r="16345" spans="39:45">
      <c r="AM16345" s="55">
        <v>2020</v>
      </c>
      <c r="AN16345" s="55" t="s">
        <v>192</v>
      </c>
      <c r="AO16345" s="55">
        <v>11</v>
      </c>
      <c r="AP16345" s="55">
        <v>23</v>
      </c>
      <c r="AQ16345" s="55">
        <v>0</v>
      </c>
      <c r="AR16345" s="55">
        <v>28500</v>
      </c>
      <c r="AS16345" s="78">
        <f t="shared" si="259"/>
        <v>0</v>
      </c>
    </row>
    <row r="16346" spans="39:45">
      <c r="AM16346" s="54">
        <v>2020</v>
      </c>
      <c r="AN16346" s="54" t="s">
        <v>192</v>
      </c>
      <c r="AO16346" s="54">
        <v>12</v>
      </c>
      <c r="AP16346" s="54">
        <v>24</v>
      </c>
      <c r="AQ16346" s="54">
        <v>0</v>
      </c>
      <c r="AR16346" s="55">
        <v>28500</v>
      </c>
      <c r="AS16346" s="78">
        <f t="shared" si="259"/>
        <v>0</v>
      </c>
    </row>
    <row r="16347" spans="39:45">
      <c r="AM16347" s="55">
        <v>2020</v>
      </c>
      <c r="AN16347" s="55" t="s">
        <v>192</v>
      </c>
      <c r="AO16347" s="55">
        <v>12</v>
      </c>
      <c r="AP16347" s="55">
        <v>1</v>
      </c>
      <c r="AQ16347" s="55">
        <v>0</v>
      </c>
      <c r="AR16347" s="55">
        <v>28500</v>
      </c>
      <c r="AS16347" s="78">
        <f t="shared" si="259"/>
        <v>0</v>
      </c>
    </row>
    <row r="16348" spans="39:45">
      <c r="AM16348" s="54">
        <v>2020</v>
      </c>
      <c r="AN16348" s="54" t="s">
        <v>192</v>
      </c>
      <c r="AO16348" s="54">
        <v>12</v>
      </c>
      <c r="AP16348" s="54">
        <v>2</v>
      </c>
      <c r="AQ16348" s="54">
        <v>0</v>
      </c>
      <c r="AR16348" s="55">
        <v>28500</v>
      </c>
      <c r="AS16348" s="78">
        <f t="shared" si="259"/>
        <v>0</v>
      </c>
    </row>
    <row r="16349" spans="39:45">
      <c r="AM16349" s="55">
        <v>2020</v>
      </c>
      <c r="AN16349" s="55" t="s">
        <v>192</v>
      </c>
      <c r="AO16349" s="55">
        <v>12</v>
      </c>
      <c r="AP16349" s="55">
        <v>3</v>
      </c>
      <c r="AQ16349" s="55">
        <v>0</v>
      </c>
      <c r="AR16349" s="55">
        <v>28500</v>
      </c>
      <c r="AS16349" s="78">
        <f t="shared" si="259"/>
        <v>0</v>
      </c>
    </row>
    <row r="16350" spans="39:45">
      <c r="AM16350" s="54">
        <v>2020</v>
      </c>
      <c r="AN16350" s="54" t="s">
        <v>192</v>
      </c>
      <c r="AO16350" s="54">
        <v>12</v>
      </c>
      <c r="AP16350" s="54">
        <v>4</v>
      </c>
      <c r="AQ16350" s="54">
        <v>0</v>
      </c>
      <c r="AR16350" s="55">
        <v>28500</v>
      </c>
      <c r="AS16350" s="78">
        <f t="shared" si="259"/>
        <v>0</v>
      </c>
    </row>
    <row r="16351" spans="39:45">
      <c r="AM16351" s="55">
        <v>2020</v>
      </c>
      <c r="AN16351" s="55" t="s">
        <v>192</v>
      </c>
      <c r="AO16351" s="55">
        <v>12</v>
      </c>
      <c r="AP16351" s="55">
        <v>5</v>
      </c>
      <c r="AQ16351" s="55">
        <v>0</v>
      </c>
      <c r="AR16351" s="55">
        <v>28500</v>
      </c>
      <c r="AS16351" s="78">
        <f t="shared" si="259"/>
        <v>0</v>
      </c>
    </row>
    <row r="16352" spans="39:45">
      <c r="AM16352" s="54">
        <v>2020</v>
      </c>
      <c r="AN16352" s="54" t="s">
        <v>192</v>
      </c>
      <c r="AO16352" s="54">
        <v>12</v>
      </c>
      <c r="AP16352" s="54">
        <v>6</v>
      </c>
      <c r="AQ16352" s="54">
        <v>0</v>
      </c>
      <c r="AR16352" s="55">
        <v>28500</v>
      </c>
      <c r="AS16352" s="78">
        <f t="shared" si="259"/>
        <v>0</v>
      </c>
    </row>
    <row r="16353" spans="39:45">
      <c r="AM16353" s="55">
        <v>2020</v>
      </c>
      <c r="AN16353" s="55" t="s">
        <v>192</v>
      </c>
      <c r="AO16353" s="55">
        <v>12</v>
      </c>
      <c r="AP16353" s="55">
        <v>7</v>
      </c>
      <c r="AQ16353" s="55">
        <v>0</v>
      </c>
      <c r="AR16353" s="55">
        <v>28500</v>
      </c>
      <c r="AS16353" s="78">
        <f t="shared" si="259"/>
        <v>0</v>
      </c>
    </row>
    <row r="16354" spans="39:45">
      <c r="AM16354" s="54">
        <v>2020</v>
      </c>
      <c r="AN16354" s="54" t="s">
        <v>192</v>
      </c>
      <c r="AO16354" s="54">
        <v>12</v>
      </c>
      <c r="AP16354" s="54">
        <v>8</v>
      </c>
      <c r="AQ16354" s="54">
        <v>8641</v>
      </c>
      <c r="AR16354" s="55">
        <v>28500</v>
      </c>
      <c r="AS16354" s="78">
        <f t="shared" si="259"/>
        <v>0.30319298245614035</v>
      </c>
    </row>
    <row r="16355" spans="39:45">
      <c r="AM16355" s="55">
        <v>2020</v>
      </c>
      <c r="AN16355" s="55" t="s">
        <v>192</v>
      </c>
      <c r="AO16355" s="55">
        <v>12</v>
      </c>
      <c r="AP16355" s="55">
        <v>9</v>
      </c>
      <c r="AQ16355" s="55">
        <v>19789</v>
      </c>
      <c r="AR16355" s="55">
        <v>28500</v>
      </c>
      <c r="AS16355" s="78">
        <f t="shared" si="259"/>
        <v>0.6943508771929825</v>
      </c>
    </row>
    <row r="16356" spans="39:45">
      <c r="AM16356" s="54">
        <v>2020</v>
      </c>
      <c r="AN16356" s="54" t="s">
        <v>192</v>
      </c>
      <c r="AO16356" s="54">
        <v>12</v>
      </c>
      <c r="AP16356" s="54">
        <v>10</v>
      </c>
      <c r="AQ16356" s="54">
        <v>27587</v>
      </c>
      <c r="AR16356" s="55">
        <v>28500</v>
      </c>
      <c r="AS16356" s="78">
        <f t="shared" si="259"/>
        <v>0.96796491228070181</v>
      </c>
    </row>
    <row r="16357" spans="39:45">
      <c r="AM16357" s="55">
        <v>2020</v>
      </c>
      <c r="AN16357" s="55" t="s">
        <v>192</v>
      </c>
      <c r="AO16357" s="55">
        <v>12</v>
      </c>
      <c r="AP16357" s="55">
        <v>11</v>
      </c>
      <c r="AQ16357" s="55">
        <v>21868</v>
      </c>
      <c r="AR16357" s="55">
        <v>28500</v>
      </c>
      <c r="AS16357" s="78">
        <f t="shared" si="259"/>
        <v>0.76729824561403503</v>
      </c>
    </row>
    <row r="16358" spans="39:45">
      <c r="AM16358" s="54">
        <v>2020</v>
      </c>
      <c r="AN16358" s="54" t="s">
        <v>192</v>
      </c>
      <c r="AO16358" s="54">
        <v>12</v>
      </c>
      <c r="AP16358" s="54">
        <v>12</v>
      </c>
      <c r="AQ16358" s="54">
        <v>22499.5</v>
      </c>
      <c r="AR16358" s="55">
        <v>28500</v>
      </c>
      <c r="AS16358" s="78">
        <f t="shared" si="259"/>
        <v>0.78945614035087719</v>
      </c>
    </row>
    <row r="16359" spans="39:45">
      <c r="AM16359" s="55">
        <v>2020</v>
      </c>
      <c r="AN16359" s="55" t="s">
        <v>192</v>
      </c>
      <c r="AO16359" s="55">
        <v>12</v>
      </c>
      <c r="AP16359" s="55">
        <v>13</v>
      </c>
      <c r="AQ16359" s="55">
        <v>27845.5</v>
      </c>
      <c r="AR16359" s="55">
        <v>28500</v>
      </c>
      <c r="AS16359" s="78">
        <f t="shared" si="259"/>
        <v>0.97703508771929826</v>
      </c>
    </row>
    <row r="16360" spans="39:45">
      <c r="AM16360" s="54">
        <v>2020</v>
      </c>
      <c r="AN16360" s="54" t="s">
        <v>192</v>
      </c>
      <c r="AO16360" s="54">
        <v>12</v>
      </c>
      <c r="AP16360" s="54">
        <v>14</v>
      </c>
      <c r="AQ16360" s="54">
        <v>20937.5</v>
      </c>
      <c r="AR16360" s="55">
        <v>28500</v>
      </c>
      <c r="AS16360" s="78">
        <f t="shared" si="259"/>
        <v>0.73464912280701755</v>
      </c>
    </row>
    <row r="16361" spans="39:45">
      <c r="AM16361" s="55">
        <v>2020</v>
      </c>
      <c r="AN16361" s="55" t="s">
        <v>192</v>
      </c>
      <c r="AO16361" s="55">
        <v>12</v>
      </c>
      <c r="AP16361" s="55">
        <v>15</v>
      </c>
      <c r="AQ16361" s="55">
        <v>1431.5</v>
      </c>
      <c r="AR16361" s="55">
        <v>28500</v>
      </c>
      <c r="AS16361" s="78">
        <f t="shared" si="259"/>
        <v>5.0228070175438594E-2</v>
      </c>
    </row>
    <row r="16362" spans="39:45">
      <c r="AM16362" s="54">
        <v>2020</v>
      </c>
      <c r="AN16362" s="54" t="s">
        <v>192</v>
      </c>
      <c r="AO16362" s="54">
        <v>12</v>
      </c>
      <c r="AP16362" s="54">
        <v>16</v>
      </c>
      <c r="AQ16362" s="54">
        <v>0</v>
      </c>
      <c r="AR16362" s="55">
        <v>28500</v>
      </c>
      <c r="AS16362" s="78">
        <f t="shared" si="259"/>
        <v>0</v>
      </c>
    </row>
    <row r="16363" spans="39:45">
      <c r="AM16363" s="55">
        <v>2020</v>
      </c>
      <c r="AN16363" s="55" t="s">
        <v>192</v>
      </c>
      <c r="AO16363" s="55">
        <v>12</v>
      </c>
      <c r="AP16363" s="55">
        <v>17</v>
      </c>
      <c r="AQ16363" s="55">
        <v>0</v>
      </c>
      <c r="AR16363" s="55">
        <v>28500</v>
      </c>
      <c r="AS16363" s="78">
        <f t="shared" si="259"/>
        <v>0</v>
      </c>
    </row>
    <row r="16364" spans="39:45">
      <c r="AM16364" s="54">
        <v>2020</v>
      </c>
      <c r="AN16364" s="54" t="s">
        <v>192</v>
      </c>
      <c r="AO16364" s="54">
        <v>12</v>
      </c>
      <c r="AP16364" s="54">
        <v>18</v>
      </c>
      <c r="AQ16364" s="54">
        <v>0</v>
      </c>
      <c r="AR16364" s="55">
        <v>28500</v>
      </c>
      <c r="AS16364" s="78">
        <f t="shared" si="259"/>
        <v>0</v>
      </c>
    </row>
    <row r="16365" spans="39:45">
      <c r="AM16365" s="55">
        <v>2020</v>
      </c>
      <c r="AN16365" s="55" t="s">
        <v>192</v>
      </c>
      <c r="AO16365" s="55">
        <v>12</v>
      </c>
      <c r="AP16365" s="55">
        <v>19</v>
      </c>
      <c r="AQ16365" s="55">
        <v>0</v>
      </c>
      <c r="AR16365" s="55">
        <v>28500</v>
      </c>
      <c r="AS16365" s="78">
        <f t="shared" si="259"/>
        <v>0</v>
      </c>
    </row>
    <row r="16366" spans="39:45">
      <c r="AM16366" s="54">
        <v>2020</v>
      </c>
      <c r="AN16366" s="54" t="s">
        <v>192</v>
      </c>
      <c r="AO16366" s="54">
        <v>12</v>
      </c>
      <c r="AP16366" s="54">
        <v>20</v>
      </c>
      <c r="AQ16366" s="54">
        <v>0</v>
      </c>
      <c r="AR16366" s="55">
        <v>28500</v>
      </c>
      <c r="AS16366" s="78">
        <f t="shared" si="259"/>
        <v>0</v>
      </c>
    </row>
    <row r="16367" spans="39:45">
      <c r="AM16367" s="55">
        <v>2020</v>
      </c>
      <c r="AN16367" s="55" t="s">
        <v>192</v>
      </c>
      <c r="AO16367" s="55">
        <v>12</v>
      </c>
      <c r="AP16367" s="55">
        <v>21</v>
      </c>
      <c r="AQ16367" s="55">
        <v>0</v>
      </c>
      <c r="AR16367" s="55">
        <v>28500</v>
      </c>
      <c r="AS16367" s="78">
        <f t="shared" si="259"/>
        <v>0</v>
      </c>
    </row>
    <row r="16368" spans="39:45">
      <c r="AM16368" s="54">
        <v>2020</v>
      </c>
      <c r="AN16368" s="54" t="s">
        <v>192</v>
      </c>
      <c r="AO16368" s="54">
        <v>12</v>
      </c>
      <c r="AP16368" s="54">
        <v>22</v>
      </c>
      <c r="AQ16368" s="54">
        <v>0</v>
      </c>
      <c r="AR16368" s="55">
        <v>28500</v>
      </c>
      <c r="AS16368" s="78">
        <f t="shared" si="259"/>
        <v>0</v>
      </c>
    </row>
    <row r="16369" spans="39:45">
      <c r="AM16369" s="55">
        <v>2020</v>
      </c>
      <c r="AN16369" s="55" t="s">
        <v>192</v>
      </c>
      <c r="AO16369" s="55">
        <v>12</v>
      </c>
      <c r="AP16369" s="55">
        <v>23</v>
      </c>
      <c r="AQ16369" s="55">
        <v>0</v>
      </c>
      <c r="AR16369" s="55">
        <v>28500</v>
      </c>
      <c r="AS16369" s="78">
        <f t="shared" si="259"/>
        <v>0</v>
      </c>
    </row>
    <row r="16370" spans="39:45">
      <c r="AM16370" s="54">
        <v>2020</v>
      </c>
      <c r="AN16370" s="54" t="s">
        <v>192</v>
      </c>
      <c r="AO16370" s="54">
        <v>13</v>
      </c>
      <c r="AP16370" s="54">
        <v>24</v>
      </c>
      <c r="AQ16370" s="54">
        <v>0</v>
      </c>
      <c r="AR16370" s="55">
        <v>28500</v>
      </c>
      <c r="AS16370" s="78">
        <f t="shared" si="259"/>
        <v>0</v>
      </c>
    </row>
    <row r="16371" spans="39:45">
      <c r="AM16371" s="55">
        <v>2020</v>
      </c>
      <c r="AN16371" s="55" t="s">
        <v>192</v>
      </c>
      <c r="AO16371" s="55">
        <v>13</v>
      </c>
      <c r="AP16371" s="55">
        <v>1</v>
      </c>
      <c r="AQ16371" s="55">
        <v>0</v>
      </c>
      <c r="AR16371" s="55">
        <v>28500</v>
      </c>
      <c r="AS16371" s="78">
        <f t="shared" si="259"/>
        <v>0</v>
      </c>
    </row>
    <row r="16372" spans="39:45">
      <c r="AM16372" s="54">
        <v>2020</v>
      </c>
      <c r="AN16372" s="54" t="s">
        <v>192</v>
      </c>
      <c r="AO16372" s="54">
        <v>13</v>
      </c>
      <c r="AP16372" s="54">
        <v>2</v>
      </c>
      <c r="AQ16372" s="54">
        <v>0</v>
      </c>
      <c r="AR16372" s="55">
        <v>28500</v>
      </c>
      <c r="AS16372" s="78">
        <f t="shared" si="259"/>
        <v>0</v>
      </c>
    </row>
    <row r="16373" spans="39:45">
      <c r="AM16373" s="55">
        <v>2020</v>
      </c>
      <c r="AN16373" s="55" t="s">
        <v>192</v>
      </c>
      <c r="AO16373" s="55">
        <v>13</v>
      </c>
      <c r="AP16373" s="55">
        <v>3</v>
      </c>
      <c r="AQ16373" s="55">
        <v>0</v>
      </c>
      <c r="AR16373" s="55">
        <v>28500</v>
      </c>
      <c r="AS16373" s="78">
        <f t="shared" si="259"/>
        <v>0</v>
      </c>
    </row>
    <row r="16374" spans="39:45">
      <c r="AM16374" s="54">
        <v>2020</v>
      </c>
      <c r="AN16374" s="54" t="s">
        <v>192</v>
      </c>
      <c r="AO16374" s="54">
        <v>13</v>
      </c>
      <c r="AP16374" s="54">
        <v>4</v>
      </c>
      <c r="AQ16374" s="54">
        <v>0</v>
      </c>
      <c r="AR16374" s="55">
        <v>28500</v>
      </c>
      <c r="AS16374" s="78">
        <f t="shared" si="259"/>
        <v>0</v>
      </c>
    </row>
    <row r="16375" spans="39:45">
      <c r="AM16375" s="55">
        <v>2020</v>
      </c>
      <c r="AN16375" s="55" t="s">
        <v>192</v>
      </c>
      <c r="AO16375" s="55">
        <v>13</v>
      </c>
      <c r="AP16375" s="55">
        <v>5</v>
      </c>
      <c r="AQ16375" s="55">
        <v>0</v>
      </c>
      <c r="AR16375" s="55">
        <v>28500</v>
      </c>
      <c r="AS16375" s="78">
        <f t="shared" si="259"/>
        <v>0</v>
      </c>
    </row>
    <row r="16376" spans="39:45">
      <c r="AM16376" s="54">
        <v>2020</v>
      </c>
      <c r="AN16376" s="54" t="s">
        <v>192</v>
      </c>
      <c r="AO16376" s="54">
        <v>13</v>
      </c>
      <c r="AP16376" s="54">
        <v>6</v>
      </c>
      <c r="AQ16376" s="54">
        <v>0</v>
      </c>
      <c r="AR16376" s="55">
        <v>28500</v>
      </c>
      <c r="AS16376" s="78">
        <f t="shared" si="259"/>
        <v>0</v>
      </c>
    </row>
    <row r="16377" spans="39:45">
      <c r="AM16377" s="55">
        <v>2020</v>
      </c>
      <c r="AN16377" s="55" t="s">
        <v>192</v>
      </c>
      <c r="AO16377" s="55">
        <v>13</v>
      </c>
      <c r="AP16377" s="55">
        <v>7</v>
      </c>
      <c r="AQ16377" s="55">
        <v>0</v>
      </c>
      <c r="AR16377" s="55">
        <v>28500</v>
      </c>
      <c r="AS16377" s="78">
        <f t="shared" si="259"/>
        <v>0</v>
      </c>
    </row>
    <row r="16378" spans="39:45">
      <c r="AM16378" s="54">
        <v>2020</v>
      </c>
      <c r="AN16378" s="54" t="s">
        <v>192</v>
      </c>
      <c r="AO16378" s="54">
        <v>13</v>
      </c>
      <c r="AP16378" s="54">
        <v>8</v>
      </c>
      <c r="AQ16378" s="54">
        <v>629</v>
      </c>
      <c r="AR16378" s="55">
        <v>28500</v>
      </c>
      <c r="AS16378" s="78">
        <f t="shared" si="259"/>
        <v>2.207017543859649E-2</v>
      </c>
    </row>
    <row r="16379" spans="39:45">
      <c r="AM16379" s="55">
        <v>2020</v>
      </c>
      <c r="AN16379" s="55" t="s">
        <v>192</v>
      </c>
      <c r="AO16379" s="55">
        <v>13</v>
      </c>
      <c r="AP16379" s="55">
        <v>9</v>
      </c>
      <c r="AQ16379" s="55">
        <v>4485.5</v>
      </c>
      <c r="AR16379" s="55">
        <v>28500</v>
      </c>
      <c r="AS16379" s="78">
        <f t="shared" si="259"/>
        <v>0.15738596491228071</v>
      </c>
    </row>
    <row r="16380" spans="39:45">
      <c r="AM16380" s="54">
        <v>2020</v>
      </c>
      <c r="AN16380" s="54" t="s">
        <v>192</v>
      </c>
      <c r="AO16380" s="54">
        <v>13</v>
      </c>
      <c r="AP16380" s="54">
        <v>10</v>
      </c>
      <c r="AQ16380" s="54">
        <v>10009</v>
      </c>
      <c r="AR16380" s="55">
        <v>28500</v>
      </c>
      <c r="AS16380" s="78">
        <f t="shared" si="259"/>
        <v>0.35119298245614033</v>
      </c>
    </row>
    <row r="16381" spans="39:45">
      <c r="AM16381" s="55">
        <v>2020</v>
      </c>
      <c r="AN16381" s="55" t="s">
        <v>192</v>
      </c>
      <c r="AO16381" s="55">
        <v>13</v>
      </c>
      <c r="AP16381" s="55">
        <v>11</v>
      </c>
      <c r="AQ16381" s="55">
        <v>13586</v>
      </c>
      <c r="AR16381" s="55">
        <v>28500</v>
      </c>
      <c r="AS16381" s="78">
        <f t="shared" si="259"/>
        <v>0.4767017543859649</v>
      </c>
    </row>
    <row r="16382" spans="39:45">
      <c r="AM16382" s="54">
        <v>2020</v>
      </c>
      <c r="AN16382" s="54" t="s">
        <v>192</v>
      </c>
      <c r="AO16382" s="54">
        <v>13</v>
      </c>
      <c r="AP16382" s="54">
        <v>12</v>
      </c>
      <c r="AQ16382" s="54">
        <v>30880</v>
      </c>
      <c r="AR16382" s="55">
        <v>28500</v>
      </c>
      <c r="AS16382" s="78">
        <f t="shared" si="259"/>
        <v>1.0835087719298246</v>
      </c>
    </row>
    <row r="16383" spans="39:45">
      <c r="AM16383" s="55">
        <v>2020</v>
      </c>
      <c r="AN16383" s="55" t="s">
        <v>192</v>
      </c>
      <c r="AO16383" s="55">
        <v>13</v>
      </c>
      <c r="AP16383" s="55">
        <v>13</v>
      </c>
      <c r="AQ16383" s="55">
        <v>21396</v>
      </c>
      <c r="AR16383" s="55">
        <v>28500</v>
      </c>
      <c r="AS16383" s="78">
        <f t="shared" si="259"/>
        <v>0.75073684210526315</v>
      </c>
    </row>
    <row r="16384" spans="39:45">
      <c r="AM16384" s="54">
        <v>2020</v>
      </c>
      <c r="AN16384" s="54" t="s">
        <v>192</v>
      </c>
      <c r="AO16384" s="54">
        <v>13</v>
      </c>
      <c r="AP16384" s="54">
        <v>14</v>
      </c>
      <c r="AQ16384" s="54">
        <v>15965</v>
      </c>
      <c r="AR16384" s="55">
        <v>28500</v>
      </c>
      <c r="AS16384" s="78">
        <f t="shared" si="259"/>
        <v>0.56017543859649122</v>
      </c>
    </row>
    <row r="16385" spans="39:45">
      <c r="AM16385" s="55">
        <v>2020</v>
      </c>
      <c r="AN16385" s="55" t="s">
        <v>192</v>
      </c>
      <c r="AO16385" s="55">
        <v>13</v>
      </c>
      <c r="AP16385" s="55">
        <v>15</v>
      </c>
      <c r="AQ16385" s="55">
        <v>11029</v>
      </c>
      <c r="AR16385" s="55">
        <v>28500</v>
      </c>
      <c r="AS16385" s="78">
        <f t="shared" si="259"/>
        <v>0.38698245614035087</v>
      </c>
    </row>
    <row r="16386" spans="39:45">
      <c r="AM16386" s="54">
        <v>2020</v>
      </c>
      <c r="AN16386" s="54" t="s">
        <v>192</v>
      </c>
      <c r="AO16386" s="54">
        <v>13</v>
      </c>
      <c r="AP16386" s="54">
        <v>16</v>
      </c>
      <c r="AQ16386" s="54">
        <v>0</v>
      </c>
      <c r="AR16386" s="55">
        <v>28500</v>
      </c>
      <c r="AS16386" s="78">
        <f t="shared" ref="AS16386:AS16449" si="260">AQ16386/AR16386</f>
        <v>0</v>
      </c>
    </row>
    <row r="16387" spans="39:45">
      <c r="AM16387" s="55">
        <v>2020</v>
      </c>
      <c r="AN16387" s="55" t="s">
        <v>192</v>
      </c>
      <c r="AO16387" s="55">
        <v>13</v>
      </c>
      <c r="AP16387" s="55">
        <v>17</v>
      </c>
      <c r="AQ16387" s="55">
        <v>0</v>
      </c>
      <c r="AR16387" s="55">
        <v>28500</v>
      </c>
      <c r="AS16387" s="78">
        <f t="shared" si="260"/>
        <v>0</v>
      </c>
    </row>
    <row r="16388" spans="39:45">
      <c r="AM16388" s="54">
        <v>2020</v>
      </c>
      <c r="AN16388" s="54" t="s">
        <v>192</v>
      </c>
      <c r="AO16388" s="54">
        <v>13</v>
      </c>
      <c r="AP16388" s="54">
        <v>18</v>
      </c>
      <c r="AQ16388" s="54">
        <v>0</v>
      </c>
      <c r="AR16388" s="55">
        <v>28500</v>
      </c>
      <c r="AS16388" s="78">
        <f t="shared" si="260"/>
        <v>0</v>
      </c>
    </row>
    <row r="16389" spans="39:45">
      <c r="AM16389" s="55">
        <v>2020</v>
      </c>
      <c r="AN16389" s="55" t="s">
        <v>192</v>
      </c>
      <c r="AO16389" s="55">
        <v>13</v>
      </c>
      <c r="AP16389" s="55">
        <v>19</v>
      </c>
      <c r="AQ16389" s="55">
        <v>0</v>
      </c>
      <c r="AR16389" s="55">
        <v>28500</v>
      </c>
      <c r="AS16389" s="78">
        <f t="shared" si="260"/>
        <v>0</v>
      </c>
    </row>
    <row r="16390" spans="39:45">
      <c r="AM16390" s="54">
        <v>2020</v>
      </c>
      <c r="AN16390" s="54" t="s">
        <v>192</v>
      </c>
      <c r="AO16390" s="54">
        <v>13</v>
      </c>
      <c r="AP16390" s="54">
        <v>20</v>
      </c>
      <c r="AQ16390" s="54">
        <v>0</v>
      </c>
      <c r="AR16390" s="55">
        <v>28500</v>
      </c>
      <c r="AS16390" s="78">
        <f t="shared" si="260"/>
        <v>0</v>
      </c>
    </row>
    <row r="16391" spans="39:45">
      <c r="AM16391" s="55">
        <v>2020</v>
      </c>
      <c r="AN16391" s="55" t="s">
        <v>192</v>
      </c>
      <c r="AO16391" s="55">
        <v>13</v>
      </c>
      <c r="AP16391" s="55">
        <v>21</v>
      </c>
      <c r="AQ16391" s="55">
        <v>0</v>
      </c>
      <c r="AR16391" s="55">
        <v>28500</v>
      </c>
      <c r="AS16391" s="78">
        <f t="shared" si="260"/>
        <v>0</v>
      </c>
    </row>
    <row r="16392" spans="39:45">
      <c r="AM16392" s="54">
        <v>2020</v>
      </c>
      <c r="AN16392" s="54" t="s">
        <v>192</v>
      </c>
      <c r="AO16392" s="54">
        <v>13</v>
      </c>
      <c r="AP16392" s="54">
        <v>22</v>
      </c>
      <c r="AQ16392" s="54">
        <v>0</v>
      </c>
      <c r="AR16392" s="55">
        <v>28500</v>
      </c>
      <c r="AS16392" s="78">
        <f t="shared" si="260"/>
        <v>0</v>
      </c>
    </row>
    <row r="16393" spans="39:45">
      <c r="AM16393" s="55">
        <v>2020</v>
      </c>
      <c r="AN16393" s="55" t="s">
        <v>192</v>
      </c>
      <c r="AO16393" s="55">
        <v>13</v>
      </c>
      <c r="AP16393" s="55">
        <v>23</v>
      </c>
      <c r="AQ16393" s="55">
        <v>0</v>
      </c>
      <c r="AR16393" s="55">
        <v>28500</v>
      </c>
      <c r="AS16393" s="78">
        <f t="shared" si="260"/>
        <v>0</v>
      </c>
    </row>
    <row r="16394" spans="39:45">
      <c r="AM16394" s="54">
        <v>2020</v>
      </c>
      <c r="AN16394" s="54" t="s">
        <v>192</v>
      </c>
      <c r="AO16394" s="54">
        <v>14</v>
      </c>
      <c r="AP16394" s="54">
        <v>24</v>
      </c>
      <c r="AQ16394" s="54">
        <v>0</v>
      </c>
      <c r="AR16394" s="55">
        <v>28500</v>
      </c>
      <c r="AS16394" s="78">
        <f t="shared" si="260"/>
        <v>0</v>
      </c>
    </row>
    <row r="16395" spans="39:45">
      <c r="AM16395" s="55">
        <v>2020</v>
      </c>
      <c r="AN16395" s="55" t="s">
        <v>192</v>
      </c>
      <c r="AO16395" s="55">
        <v>14</v>
      </c>
      <c r="AP16395" s="55">
        <v>1</v>
      </c>
      <c r="AQ16395" s="55">
        <v>0</v>
      </c>
      <c r="AR16395" s="55">
        <v>28500</v>
      </c>
      <c r="AS16395" s="78">
        <f t="shared" si="260"/>
        <v>0</v>
      </c>
    </row>
    <row r="16396" spans="39:45">
      <c r="AM16396" s="54">
        <v>2020</v>
      </c>
      <c r="AN16396" s="54" t="s">
        <v>192</v>
      </c>
      <c r="AO16396" s="54">
        <v>14</v>
      </c>
      <c r="AP16396" s="54">
        <v>2</v>
      </c>
      <c r="AQ16396" s="54">
        <v>0</v>
      </c>
      <c r="AR16396" s="55">
        <v>28500</v>
      </c>
      <c r="AS16396" s="78">
        <f t="shared" si="260"/>
        <v>0</v>
      </c>
    </row>
    <row r="16397" spans="39:45">
      <c r="AM16397" s="55">
        <v>2020</v>
      </c>
      <c r="AN16397" s="55" t="s">
        <v>192</v>
      </c>
      <c r="AO16397" s="55">
        <v>14</v>
      </c>
      <c r="AP16397" s="55">
        <v>3</v>
      </c>
      <c r="AQ16397" s="55">
        <v>0</v>
      </c>
      <c r="AR16397" s="55">
        <v>28500</v>
      </c>
      <c r="AS16397" s="78">
        <f t="shared" si="260"/>
        <v>0</v>
      </c>
    </row>
    <row r="16398" spans="39:45">
      <c r="AM16398" s="54">
        <v>2020</v>
      </c>
      <c r="AN16398" s="54" t="s">
        <v>192</v>
      </c>
      <c r="AO16398" s="54">
        <v>14</v>
      </c>
      <c r="AP16398" s="54">
        <v>4</v>
      </c>
      <c r="AQ16398" s="54">
        <v>0</v>
      </c>
      <c r="AR16398" s="55">
        <v>28500</v>
      </c>
      <c r="AS16398" s="78">
        <f t="shared" si="260"/>
        <v>0</v>
      </c>
    </row>
    <row r="16399" spans="39:45">
      <c r="AM16399" s="55">
        <v>2020</v>
      </c>
      <c r="AN16399" s="55" t="s">
        <v>192</v>
      </c>
      <c r="AO16399" s="55">
        <v>14</v>
      </c>
      <c r="AP16399" s="55">
        <v>5</v>
      </c>
      <c r="AQ16399" s="55">
        <v>0</v>
      </c>
      <c r="AR16399" s="55">
        <v>28500</v>
      </c>
      <c r="AS16399" s="78">
        <f t="shared" si="260"/>
        <v>0</v>
      </c>
    </row>
    <row r="16400" spans="39:45">
      <c r="AM16400" s="54">
        <v>2020</v>
      </c>
      <c r="AN16400" s="54" t="s">
        <v>192</v>
      </c>
      <c r="AO16400" s="54">
        <v>14</v>
      </c>
      <c r="AP16400" s="54">
        <v>6</v>
      </c>
      <c r="AQ16400" s="54">
        <v>0</v>
      </c>
      <c r="AR16400" s="55">
        <v>28500</v>
      </c>
      <c r="AS16400" s="78">
        <f t="shared" si="260"/>
        <v>0</v>
      </c>
    </row>
    <row r="16401" spans="39:45">
      <c r="AM16401" s="55">
        <v>2020</v>
      </c>
      <c r="AN16401" s="55" t="s">
        <v>192</v>
      </c>
      <c r="AO16401" s="55">
        <v>14</v>
      </c>
      <c r="AP16401" s="55">
        <v>7</v>
      </c>
      <c r="AQ16401" s="55">
        <v>0</v>
      </c>
      <c r="AR16401" s="55">
        <v>28500</v>
      </c>
      <c r="AS16401" s="78">
        <f t="shared" si="260"/>
        <v>0</v>
      </c>
    </row>
    <row r="16402" spans="39:45">
      <c r="AM16402" s="54">
        <v>2020</v>
      </c>
      <c r="AN16402" s="54" t="s">
        <v>192</v>
      </c>
      <c r="AO16402" s="54">
        <v>14</v>
      </c>
      <c r="AP16402" s="54">
        <v>8</v>
      </c>
      <c r="AQ16402" s="54">
        <v>269</v>
      </c>
      <c r="AR16402" s="55">
        <v>28500</v>
      </c>
      <c r="AS16402" s="78">
        <f t="shared" si="260"/>
        <v>9.4385964912280709E-3</v>
      </c>
    </row>
    <row r="16403" spans="39:45">
      <c r="AM16403" s="55">
        <v>2020</v>
      </c>
      <c r="AN16403" s="55" t="s">
        <v>192</v>
      </c>
      <c r="AO16403" s="55">
        <v>14</v>
      </c>
      <c r="AP16403" s="55">
        <v>9</v>
      </c>
      <c r="AQ16403" s="55">
        <v>215</v>
      </c>
      <c r="AR16403" s="55">
        <v>28500</v>
      </c>
      <c r="AS16403" s="78">
        <f t="shared" si="260"/>
        <v>7.5438596491228067E-3</v>
      </c>
    </row>
    <row r="16404" spans="39:45">
      <c r="AM16404" s="54">
        <v>2020</v>
      </c>
      <c r="AN16404" s="54" t="s">
        <v>192</v>
      </c>
      <c r="AO16404" s="54">
        <v>14</v>
      </c>
      <c r="AP16404" s="54">
        <v>10</v>
      </c>
      <c r="AQ16404" s="54">
        <v>4517</v>
      </c>
      <c r="AR16404" s="55">
        <v>28500</v>
      </c>
      <c r="AS16404" s="78">
        <f t="shared" si="260"/>
        <v>0.15849122807017543</v>
      </c>
    </row>
    <row r="16405" spans="39:45">
      <c r="AM16405" s="55">
        <v>2020</v>
      </c>
      <c r="AN16405" s="55" t="s">
        <v>192</v>
      </c>
      <c r="AO16405" s="55">
        <v>14</v>
      </c>
      <c r="AP16405" s="55">
        <v>11</v>
      </c>
      <c r="AQ16405" s="55">
        <v>1538.5</v>
      </c>
      <c r="AR16405" s="55">
        <v>28500</v>
      </c>
      <c r="AS16405" s="78">
        <f t="shared" si="260"/>
        <v>5.3982456140350875E-2</v>
      </c>
    </row>
    <row r="16406" spans="39:45">
      <c r="AM16406" s="54">
        <v>2020</v>
      </c>
      <c r="AN16406" s="54" t="s">
        <v>192</v>
      </c>
      <c r="AO16406" s="54">
        <v>14</v>
      </c>
      <c r="AP16406" s="54">
        <v>12</v>
      </c>
      <c r="AQ16406" s="54">
        <v>5142</v>
      </c>
      <c r="AR16406" s="55">
        <v>28500</v>
      </c>
      <c r="AS16406" s="78">
        <f t="shared" si="260"/>
        <v>0.18042105263157895</v>
      </c>
    </row>
    <row r="16407" spans="39:45">
      <c r="AM16407" s="55">
        <v>2020</v>
      </c>
      <c r="AN16407" s="55" t="s">
        <v>192</v>
      </c>
      <c r="AO16407" s="55">
        <v>14</v>
      </c>
      <c r="AP16407" s="55">
        <v>13</v>
      </c>
      <c r="AQ16407" s="55">
        <v>3126</v>
      </c>
      <c r="AR16407" s="55">
        <v>28500</v>
      </c>
      <c r="AS16407" s="78">
        <f t="shared" si="260"/>
        <v>0.10968421052631579</v>
      </c>
    </row>
    <row r="16408" spans="39:45">
      <c r="AM16408" s="54">
        <v>2020</v>
      </c>
      <c r="AN16408" s="54" t="s">
        <v>192</v>
      </c>
      <c r="AO16408" s="54">
        <v>14</v>
      </c>
      <c r="AP16408" s="54">
        <v>14</v>
      </c>
      <c r="AQ16408" s="54">
        <v>4469.5</v>
      </c>
      <c r="AR16408" s="55">
        <v>28500</v>
      </c>
      <c r="AS16408" s="78">
        <f t="shared" si="260"/>
        <v>0.15682456140350878</v>
      </c>
    </row>
    <row r="16409" spans="39:45">
      <c r="AM16409" s="55">
        <v>2020</v>
      </c>
      <c r="AN16409" s="55" t="s">
        <v>192</v>
      </c>
      <c r="AO16409" s="55">
        <v>14</v>
      </c>
      <c r="AP16409" s="55">
        <v>15</v>
      </c>
      <c r="AQ16409" s="55">
        <v>9509.5</v>
      </c>
      <c r="AR16409" s="55">
        <v>28500</v>
      </c>
      <c r="AS16409" s="78">
        <f t="shared" si="260"/>
        <v>0.33366666666666667</v>
      </c>
    </row>
    <row r="16410" spans="39:45">
      <c r="AM16410" s="54">
        <v>2020</v>
      </c>
      <c r="AN16410" s="54" t="s">
        <v>192</v>
      </c>
      <c r="AO16410" s="54">
        <v>14</v>
      </c>
      <c r="AP16410" s="54">
        <v>16</v>
      </c>
      <c r="AQ16410" s="54">
        <v>0</v>
      </c>
      <c r="AR16410" s="55">
        <v>28500</v>
      </c>
      <c r="AS16410" s="78">
        <f t="shared" si="260"/>
        <v>0</v>
      </c>
    </row>
    <row r="16411" spans="39:45">
      <c r="AM16411" s="55">
        <v>2020</v>
      </c>
      <c r="AN16411" s="55" t="s">
        <v>192</v>
      </c>
      <c r="AO16411" s="55">
        <v>14</v>
      </c>
      <c r="AP16411" s="55">
        <v>17</v>
      </c>
      <c r="AQ16411" s="55">
        <v>0</v>
      </c>
      <c r="AR16411" s="55">
        <v>28500</v>
      </c>
      <c r="AS16411" s="78">
        <f t="shared" si="260"/>
        <v>0</v>
      </c>
    </row>
    <row r="16412" spans="39:45">
      <c r="AM16412" s="54">
        <v>2020</v>
      </c>
      <c r="AN16412" s="54" t="s">
        <v>192</v>
      </c>
      <c r="AO16412" s="54">
        <v>14</v>
      </c>
      <c r="AP16412" s="54">
        <v>18</v>
      </c>
      <c r="AQ16412" s="54">
        <v>0</v>
      </c>
      <c r="AR16412" s="55">
        <v>28500</v>
      </c>
      <c r="AS16412" s="78">
        <f t="shared" si="260"/>
        <v>0</v>
      </c>
    </row>
    <row r="16413" spans="39:45">
      <c r="AM16413" s="55">
        <v>2020</v>
      </c>
      <c r="AN16413" s="55" t="s">
        <v>192</v>
      </c>
      <c r="AO16413" s="55">
        <v>14</v>
      </c>
      <c r="AP16413" s="55">
        <v>19</v>
      </c>
      <c r="AQ16413" s="55">
        <v>0</v>
      </c>
      <c r="AR16413" s="55">
        <v>28500</v>
      </c>
      <c r="AS16413" s="78">
        <f t="shared" si="260"/>
        <v>0</v>
      </c>
    </row>
    <row r="16414" spans="39:45">
      <c r="AM16414" s="54">
        <v>2020</v>
      </c>
      <c r="AN16414" s="54" t="s">
        <v>192</v>
      </c>
      <c r="AO16414" s="54">
        <v>14</v>
      </c>
      <c r="AP16414" s="54">
        <v>20</v>
      </c>
      <c r="AQ16414" s="54">
        <v>0</v>
      </c>
      <c r="AR16414" s="55">
        <v>28500</v>
      </c>
      <c r="AS16414" s="78">
        <f t="shared" si="260"/>
        <v>0</v>
      </c>
    </row>
    <row r="16415" spans="39:45">
      <c r="AM16415" s="55">
        <v>2020</v>
      </c>
      <c r="AN16415" s="55" t="s">
        <v>192</v>
      </c>
      <c r="AO16415" s="55">
        <v>14</v>
      </c>
      <c r="AP16415" s="55">
        <v>21</v>
      </c>
      <c r="AQ16415" s="55">
        <v>0</v>
      </c>
      <c r="AR16415" s="55">
        <v>28500</v>
      </c>
      <c r="AS16415" s="78">
        <f t="shared" si="260"/>
        <v>0</v>
      </c>
    </row>
    <row r="16416" spans="39:45">
      <c r="AM16416" s="54">
        <v>2020</v>
      </c>
      <c r="AN16416" s="54" t="s">
        <v>192</v>
      </c>
      <c r="AO16416" s="54">
        <v>14</v>
      </c>
      <c r="AP16416" s="54">
        <v>22</v>
      </c>
      <c r="AQ16416" s="54">
        <v>0</v>
      </c>
      <c r="AR16416" s="55">
        <v>28500</v>
      </c>
      <c r="AS16416" s="78">
        <f t="shared" si="260"/>
        <v>0</v>
      </c>
    </row>
    <row r="16417" spans="39:45">
      <c r="AM16417" s="55">
        <v>2020</v>
      </c>
      <c r="AN16417" s="55" t="s">
        <v>192</v>
      </c>
      <c r="AO16417" s="55">
        <v>14</v>
      </c>
      <c r="AP16417" s="55">
        <v>23</v>
      </c>
      <c r="AQ16417" s="55">
        <v>0</v>
      </c>
      <c r="AR16417" s="55">
        <v>28500</v>
      </c>
      <c r="AS16417" s="78">
        <f t="shared" si="260"/>
        <v>0</v>
      </c>
    </row>
    <row r="16418" spans="39:45">
      <c r="AM16418" s="54">
        <v>2020</v>
      </c>
      <c r="AN16418" s="54" t="s">
        <v>192</v>
      </c>
      <c r="AO16418" s="54">
        <v>15</v>
      </c>
      <c r="AP16418" s="54">
        <v>24</v>
      </c>
      <c r="AQ16418" s="54">
        <v>0</v>
      </c>
      <c r="AR16418" s="55">
        <v>28500</v>
      </c>
      <c r="AS16418" s="78">
        <f t="shared" si="260"/>
        <v>0</v>
      </c>
    </row>
    <row r="16419" spans="39:45">
      <c r="AM16419" s="55">
        <v>2020</v>
      </c>
      <c r="AN16419" s="55" t="s">
        <v>192</v>
      </c>
      <c r="AO16419" s="55">
        <v>15</v>
      </c>
      <c r="AP16419" s="55">
        <v>1</v>
      </c>
      <c r="AQ16419" s="55">
        <v>0</v>
      </c>
      <c r="AR16419" s="55">
        <v>28500</v>
      </c>
      <c r="AS16419" s="78">
        <f t="shared" si="260"/>
        <v>0</v>
      </c>
    </row>
    <row r="16420" spans="39:45">
      <c r="AM16420" s="54">
        <v>2020</v>
      </c>
      <c r="AN16420" s="54" t="s">
        <v>192</v>
      </c>
      <c r="AO16420" s="54">
        <v>15</v>
      </c>
      <c r="AP16420" s="54">
        <v>2</v>
      </c>
      <c r="AQ16420" s="54">
        <v>0</v>
      </c>
      <c r="AR16420" s="55">
        <v>28500</v>
      </c>
      <c r="AS16420" s="78">
        <f t="shared" si="260"/>
        <v>0</v>
      </c>
    </row>
    <row r="16421" spans="39:45">
      <c r="AM16421" s="55">
        <v>2020</v>
      </c>
      <c r="AN16421" s="55" t="s">
        <v>192</v>
      </c>
      <c r="AO16421" s="55">
        <v>15</v>
      </c>
      <c r="AP16421" s="55">
        <v>3</v>
      </c>
      <c r="AQ16421" s="55">
        <v>0</v>
      </c>
      <c r="AR16421" s="55">
        <v>28500</v>
      </c>
      <c r="AS16421" s="78">
        <f t="shared" si="260"/>
        <v>0</v>
      </c>
    </row>
    <row r="16422" spans="39:45">
      <c r="AM16422" s="54">
        <v>2020</v>
      </c>
      <c r="AN16422" s="54" t="s">
        <v>192</v>
      </c>
      <c r="AO16422" s="54">
        <v>15</v>
      </c>
      <c r="AP16422" s="54">
        <v>4</v>
      </c>
      <c r="AQ16422" s="54">
        <v>0</v>
      </c>
      <c r="AR16422" s="55">
        <v>28500</v>
      </c>
      <c r="AS16422" s="78">
        <f t="shared" si="260"/>
        <v>0</v>
      </c>
    </row>
    <row r="16423" spans="39:45">
      <c r="AM16423" s="55">
        <v>2020</v>
      </c>
      <c r="AN16423" s="55" t="s">
        <v>192</v>
      </c>
      <c r="AO16423" s="55">
        <v>15</v>
      </c>
      <c r="AP16423" s="55">
        <v>5</v>
      </c>
      <c r="AQ16423" s="55">
        <v>0</v>
      </c>
      <c r="AR16423" s="55">
        <v>28500</v>
      </c>
      <c r="AS16423" s="78">
        <f t="shared" si="260"/>
        <v>0</v>
      </c>
    </row>
    <row r="16424" spans="39:45">
      <c r="AM16424" s="54">
        <v>2020</v>
      </c>
      <c r="AN16424" s="54" t="s">
        <v>192</v>
      </c>
      <c r="AO16424" s="54">
        <v>15</v>
      </c>
      <c r="AP16424" s="54">
        <v>6</v>
      </c>
      <c r="AQ16424" s="54">
        <v>0</v>
      </c>
      <c r="AR16424" s="55">
        <v>28500</v>
      </c>
      <c r="AS16424" s="78">
        <f t="shared" si="260"/>
        <v>0</v>
      </c>
    </row>
    <row r="16425" spans="39:45">
      <c r="AM16425" s="55">
        <v>2020</v>
      </c>
      <c r="AN16425" s="55" t="s">
        <v>192</v>
      </c>
      <c r="AO16425" s="55">
        <v>15</v>
      </c>
      <c r="AP16425" s="55">
        <v>7</v>
      </c>
      <c r="AQ16425" s="55">
        <v>0</v>
      </c>
      <c r="AR16425" s="55">
        <v>28500</v>
      </c>
      <c r="AS16425" s="78">
        <f t="shared" si="260"/>
        <v>0</v>
      </c>
    </row>
    <row r="16426" spans="39:45">
      <c r="AM16426" s="54">
        <v>2020</v>
      </c>
      <c r="AN16426" s="54" t="s">
        <v>192</v>
      </c>
      <c r="AO16426" s="54">
        <v>15</v>
      </c>
      <c r="AP16426" s="54">
        <v>8</v>
      </c>
      <c r="AQ16426" s="54">
        <v>296.5</v>
      </c>
      <c r="AR16426" s="55">
        <v>28500</v>
      </c>
      <c r="AS16426" s="78">
        <f t="shared" si="260"/>
        <v>1.0403508771929824E-2</v>
      </c>
    </row>
    <row r="16427" spans="39:45">
      <c r="AM16427" s="55">
        <v>2020</v>
      </c>
      <c r="AN16427" s="55" t="s">
        <v>192</v>
      </c>
      <c r="AO16427" s="55">
        <v>15</v>
      </c>
      <c r="AP16427" s="55">
        <v>9</v>
      </c>
      <c r="AQ16427" s="55">
        <v>4556.5</v>
      </c>
      <c r="AR16427" s="55">
        <v>28500</v>
      </c>
      <c r="AS16427" s="78">
        <f t="shared" si="260"/>
        <v>0.15987719298245615</v>
      </c>
    </row>
    <row r="16428" spans="39:45">
      <c r="AM16428" s="54">
        <v>2020</v>
      </c>
      <c r="AN16428" s="54" t="s">
        <v>192</v>
      </c>
      <c r="AO16428" s="54">
        <v>15</v>
      </c>
      <c r="AP16428" s="54">
        <v>10</v>
      </c>
      <c r="AQ16428" s="54">
        <v>2328</v>
      </c>
      <c r="AR16428" s="55">
        <v>28500</v>
      </c>
      <c r="AS16428" s="78">
        <f t="shared" si="260"/>
        <v>8.168421052631579E-2</v>
      </c>
    </row>
    <row r="16429" spans="39:45">
      <c r="AM16429" s="55">
        <v>2020</v>
      </c>
      <c r="AN16429" s="55" t="s">
        <v>192</v>
      </c>
      <c r="AO16429" s="55">
        <v>15</v>
      </c>
      <c r="AP16429" s="55">
        <v>11</v>
      </c>
      <c r="AQ16429" s="55">
        <v>7323</v>
      </c>
      <c r="AR16429" s="55">
        <v>28500</v>
      </c>
      <c r="AS16429" s="78">
        <f t="shared" si="260"/>
        <v>0.25694736842105265</v>
      </c>
    </row>
    <row r="16430" spans="39:45">
      <c r="AM16430" s="54">
        <v>2020</v>
      </c>
      <c r="AN16430" s="54" t="s">
        <v>192</v>
      </c>
      <c r="AO16430" s="54">
        <v>15</v>
      </c>
      <c r="AP16430" s="54">
        <v>12</v>
      </c>
      <c r="AQ16430" s="54">
        <v>32685.5</v>
      </c>
      <c r="AR16430" s="55">
        <v>28500</v>
      </c>
      <c r="AS16430" s="78">
        <f t="shared" si="260"/>
        <v>1.1468596491228069</v>
      </c>
    </row>
    <row r="16431" spans="39:45">
      <c r="AM16431" s="55">
        <v>2020</v>
      </c>
      <c r="AN16431" s="55" t="s">
        <v>192</v>
      </c>
      <c r="AO16431" s="55">
        <v>15</v>
      </c>
      <c r="AP16431" s="55">
        <v>13</v>
      </c>
      <c r="AQ16431" s="55">
        <v>29524</v>
      </c>
      <c r="AR16431" s="55">
        <v>28500</v>
      </c>
      <c r="AS16431" s="78">
        <f t="shared" si="260"/>
        <v>1.0359298245614035</v>
      </c>
    </row>
    <row r="16432" spans="39:45">
      <c r="AM16432" s="54">
        <v>2020</v>
      </c>
      <c r="AN16432" s="54" t="s">
        <v>192</v>
      </c>
      <c r="AO16432" s="54">
        <v>15</v>
      </c>
      <c r="AP16432" s="54">
        <v>14</v>
      </c>
      <c r="AQ16432" s="54">
        <v>21873.5</v>
      </c>
      <c r="AR16432" s="55">
        <v>28500</v>
      </c>
      <c r="AS16432" s="78">
        <f t="shared" si="260"/>
        <v>0.76749122807017545</v>
      </c>
    </row>
    <row r="16433" spans="39:45">
      <c r="AM16433" s="55">
        <v>2020</v>
      </c>
      <c r="AN16433" s="55" t="s">
        <v>192</v>
      </c>
      <c r="AO16433" s="55">
        <v>15</v>
      </c>
      <c r="AP16433" s="55">
        <v>15</v>
      </c>
      <c r="AQ16433" s="55">
        <v>274.5</v>
      </c>
      <c r="AR16433" s="55">
        <v>28500</v>
      </c>
      <c r="AS16433" s="78">
        <f t="shared" si="260"/>
        <v>9.6315789473684216E-3</v>
      </c>
    </row>
    <row r="16434" spans="39:45">
      <c r="AM16434" s="54">
        <v>2020</v>
      </c>
      <c r="AN16434" s="54" t="s">
        <v>192</v>
      </c>
      <c r="AO16434" s="54">
        <v>15</v>
      </c>
      <c r="AP16434" s="54">
        <v>16</v>
      </c>
      <c r="AQ16434" s="54">
        <v>0</v>
      </c>
      <c r="AR16434" s="55">
        <v>28500</v>
      </c>
      <c r="AS16434" s="78">
        <f t="shared" si="260"/>
        <v>0</v>
      </c>
    </row>
    <row r="16435" spans="39:45">
      <c r="AM16435" s="55">
        <v>2020</v>
      </c>
      <c r="AN16435" s="55" t="s">
        <v>192</v>
      </c>
      <c r="AO16435" s="55">
        <v>15</v>
      </c>
      <c r="AP16435" s="55">
        <v>17</v>
      </c>
      <c r="AQ16435" s="55">
        <v>0</v>
      </c>
      <c r="AR16435" s="55">
        <v>28500</v>
      </c>
      <c r="AS16435" s="78">
        <f t="shared" si="260"/>
        <v>0</v>
      </c>
    </row>
    <row r="16436" spans="39:45">
      <c r="AM16436" s="54">
        <v>2020</v>
      </c>
      <c r="AN16436" s="54" t="s">
        <v>192</v>
      </c>
      <c r="AO16436" s="54">
        <v>15</v>
      </c>
      <c r="AP16436" s="54">
        <v>18</v>
      </c>
      <c r="AQ16436" s="54">
        <v>0</v>
      </c>
      <c r="AR16436" s="55">
        <v>28500</v>
      </c>
      <c r="AS16436" s="78">
        <f t="shared" si="260"/>
        <v>0</v>
      </c>
    </row>
    <row r="16437" spans="39:45">
      <c r="AM16437" s="55">
        <v>2020</v>
      </c>
      <c r="AN16437" s="55" t="s">
        <v>192</v>
      </c>
      <c r="AO16437" s="55">
        <v>15</v>
      </c>
      <c r="AP16437" s="55">
        <v>19</v>
      </c>
      <c r="AQ16437" s="55">
        <v>0</v>
      </c>
      <c r="AR16437" s="55">
        <v>28500</v>
      </c>
      <c r="AS16437" s="78">
        <f t="shared" si="260"/>
        <v>0</v>
      </c>
    </row>
    <row r="16438" spans="39:45">
      <c r="AM16438" s="54">
        <v>2020</v>
      </c>
      <c r="AN16438" s="54" t="s">
        <v>192</v>
      </c>
      <c r="AO16438" s="54">
        <v>15</v>
      </c>
      <c r="AP16438" s="54">
        <v>20</v>
      </c>
      <c r="AQ16438" s="54">
        <v>0</v>
      </c>
      <c r="AR16438" s="55">
        <v>28500</v>
      </c>
      <c r="AS16438" s="78">
        <f t="shared" si="260"/>
        <v>0</v>
      </c>
    </row>
    <row r="16439" spans="39:45">
      <c r="AM16439" s="55">
        <v>2020</v>
      </c>
      <c r="AN16439" s="55" t="s">
        <v>192</v>
      </c>
      <c r="AO16439" s="55">
        <v>15</v>
      </c>
      <c r="AP16439" s="55">
        <v>21</v>
      </c>
      <c r="AQ16439" s="55">
        <v>0</v>
      </c>
      <c r="AR16439" s="55">
        <v>28500</v>
      </c>
      <c r="AS16439" s="78">
        <f t="shared" si="260"/>
        <v>0</v>
      </c>
    </row>
    <row r="16440" spans="39:45">
      <c r="AM16440" s="54">
        <v>2020</v>
      </c>
      <c r="AN16440" s="54" t="s">
        <v>192</v>
      </c>
      <c r="AO16440" s="54">
        <v>15</v>
      </c>
      <c r="AP16440" s="54">
        <v>22</v>
      </c>
      <c r="AQ16440" s="54">
        <v>0</v>
      </c>
      <c r="AR16440" s="55">
        <v>28500</v>
      </c>
      <c r="AS16440" s="78">
        <f t="shared" si="260"/>
        <v>0</v>
      </c>
    </row>
    <row r="16441" spans="39:45">
      <c r="AM16441" s="55">
        <v>2020</v>
      </c>
      <c r="AN16441" s="55" t="s">
        <v>192</v>
      </c>
      <c r="AO16441" s="55">
        <v>15</v>
      </c>
      <c r="AP16441" s="55">
        <v>23</v>
      </c>
      <c r="AQ16441" s="55">
        <v>0</v>
      </c>
      <c r="AR16441" s="55">
        <v>28500</v>
      </c>
      <c r="AS16441" s="78">
        <f t="shared" si="260"/>
        <v>0</v>
      </c>
    </row>
    <row r="16442" spans="39:45">
      <c r="AM16442" s="54">
        <v>2020</v>
      </c>
      <c r="AN16442" s="54" t="s">
        <v>192</v>
      </c>
      <c r="AO16442" s="54">
        <v>16</v>
      </c>
      <c r="AP16442" s="54">
        <v>24</v>
      </c>
      <c r="AQ16442" s="54">
        <v>0</v>
      </c>
      <c r="AR16442" s="55">
        <v>28500</v>
      </c>
      <c r="AS16442" s="78">
        <f t="shared" si="260"/>
        <v>0</v>
      </c>
    </row>
    <row r="16443" spans="39:45">
      <c r="AM16443" s="55">
        <v>2020</v>
      </c>
      <c r="AN16443" s="55" t="s">
        <v>192</v>
      </c>
      <c r="AO16443" s="55">
        <v>16</v>
      </c>
      <c r="AP16443" s="55">
        <v>1</v>
      </c>
      <c r="AQ16443" s="55">
        <v>0</v>
      </c>
      <c r="AR16443" s="55">
        <v>28500</v>
      </c>
      <c r="AS16443" s="78">
        <f t="shared" si="260"/>
        <v>0</v>
      </c>
    </row>
    <row r="16444" spans="39:45">
      <c r="AM16444" s="54">
        <v>2020</v>
      </c>
      <c r="AN16444" s="54" t="s">
        <v>192</v>
      </c>
      <c r="AO16444" s="54">
        <v>16</v>
      </c>
      <c r="AP16444" s="54">
        <v>2</v>
      </c>
      <c r="AQ16444" s="54">
        <v>0</v>
      </c>
      <c r="AR16444" s="55">
        <v>28500</v>
      </c>
      <c r="AS16444" s="78">
        <f t="shared" si="260"/>
        <v>0</v>
      </c>
    </row>
    <row r="16445" spans="39:45">
      <c r="AM16445" s="55">
        <v>2020</v>
      </c>
      <c r="AN16445" s="55" t="s">
        <v>192</v>
      </c>
      <c r="AO16445" s="55">
        <v>16</v>
      </c>
      <c r="AP16445" s="55">
        <v>3</v>
      </c>
      <c r="AQ16445" s="55">
        <v>0</v>
      </c>
      <c r="AR16445" s="55">
        <v>28500</v>
      </c>
      <c r="AS16445" s="78">
        <f t="shared" si="260"/>
        <v>0</v>
      </c>
    </row>
    <row r="16446" spans="39:45">
      <c r="AM16446" s="54">
        <v>2020</v>
      </c>
      <c r="AN16446" s="54" t="s">
        <v>192</v>
      </c>
      <c r="AO16446" s="54">
        <v>16</v>
      </c>
      <c r="AP16446" s="54">
        <v>4</v>
      </c>
      <c r="AQ16446" s="54">
        <v>0</v>
      </c>
      <c r="AR16446" s="55">
        <v>28500</v>
      </c>
      <c r="AS16446" s="78">
        <f t="shared" si="260"/>
        <v>0</v>
      </c>
    </row>
    <row r="16447" spans="39:45">
      <c r="AM16447" s="55">
        <v>2020</v>
      </c>
      <c r="AN16447" s="55" t="s">
        <v>192</v>
      </c>
      <c r="AO16447" s="55">
        <v>16</v>
      </c>
      <c r="AP16447" s="55">
        <v>5</v>
      </c>
      <c r="AQ16447" s="55">
        <v>0</v>
      </c>
      <c r="AR16447" s="55">
        <v>28500</v>
      </c>
      <c r="AS16447" s="78">
        <f t="shared" si="260"/>
        <v>0</v>
      </c>
    </row>
    <row r="16448" spans="39:45">
      <c r="AM16448" s="54">
        <v>2020</v>
      </c>
      <c r="AN16448" s="54" t="s">
        <v>192</v>
      </c>
      <c r="AO16448" s="54">
        <v>16</v>
      </c>
      <c r="AP16448" s="54">
        <v>6</v>
      </c>
      <c r="AQ16448" s="54">
        <v>0</v>
      </c>
      <c r="AR16448" s="55">
        <v>28500</v>
      </c>
      <c r="AS16448" s="78">
        <f t="shared" si="260"/>
        <v>0</v>
      </c>
    </row>
    <row r="16449" spans="39:45">
      <c r="AM16449" s="55">
        <v>2020</v>
      </c>
      <c r="AN16449" s="55" t="s">
        <v>192</v>
      </c>
      <c r="AO16449" s="55">
        <v>16</v>
      </c>
      <c r="AP16449" s="55">
        <v>7</v>
      </c>
      <c r="AQ16449" s="55">
        <v>0</v>
      </c>
      <c r="AR16449" s="55">
        <v>28500</v>
      </c>
      <c r="AS16449" s="78">
        <f t="shared" si="260"/>
        <v>0</v>
      </c>
    </row>
    <row r="16450" spans="39:45">
      <c r="AM16450" s="54">
        <v>2020</v>
      </c>
      <c r="AN16450" s="54" t="s">
        <v>192</v>
      </c>
      <c r="AO16450" s="54">
        <v>16</v>
      </c>
      <c r="AP16450" s="54">
        <v>8</v>
      </c>
      <c r="AQ16450" s="54">
        <v>31.5</v>
      </c>
      <c r="AR16450" s="55">
        <v>28500</v>
      </c>
      <c r="AS16450" s="78">
        <f t="shared" ref="AS16450:AS16513" si="261">AQ16450/AR16450</f>
        <v>1.1052631578947368E-3</v>
      </c>
    </row>
    <row r="16451" spans="39:45">
      <c r="AM16451" s="55">
        <v>2020</v>
      </c>
      <c r="AN16451" s="55" t="s">
        <v>192</v>
      </c>
      <c r="AO16451" s="55">
        <v>16</v>
      </c>
      <c r="AP16451" s="55">
        <v>9</v>
      </c>
      <c r="AQ16451" s="55">
        <v>1318</v>
      </c>
      <c r="AR16451" s="55">
        <v>28500</v>
      </c>
      <c r="AS16451" s="78">
        <f t="shared" si="261"/>
        <v>4.6245614035087722E-2</v>
      </c>
    </row>
    <row r="16452" spans="39:45">
      <c r="AM16452" s="54">
        <v>2020</v>
      </c>
      <c r="AN16452" s="54" t="s">
        <v>192</v>
      </c>
      <c r="AO16452" s="54">
        <v>16</v>
      </c>
      <c r="AP16452" s="54">
        <v>10</v>
      </c>
      <c r="AQ16452" s="54">
        <v>1713</v>
      </c>
      <c r="AR16452" s="55">
        <v>28500</v>
      </c>
      <c r="AS16452" s="78">
        <f t="shared" si="261"/>
        <v>6.0105263157894738E-2</v>
      </c>
    </row>
    <row r="16453" spans="39:45">
      <c r="AM16453" s="55">
        <v>2020</v>
      </c>
      <c r="AN16453" s="55" t="s">
        <v>192</v>
      </c>
      <c r="AO16453" s="55">
        <v>16</v>
      </c>
      <c r="AP16453" s="55">
        <v>11</v>
      </c>
      <c r="AQ16453" s="55">
        <v>1971</v>
      </c>
      <c r="AR16453" s="55">
        <v>28500</v>
      </c>
      <c r="AS16453" s="78">
        <f t="shared" si="261"/>
        <v>6.9157894736842099E-2</v>
      </c>
    </row>
    <row r="16454" spans="39:45">
      <c r="AM16454" s="54">
        <v>2020</v>
      </c>
      <c r="AN16454" s="54" t="s">
        <v>192</v>
      </c>
      <c r="AO16454" s="54">
        <v>16</v>
      </c>
      <c r="AP16454" s="54">
        <v>12</v>
      </c>
      <c r="AQ16454" s="54">
        <v>14059.5</v>
      </c>
      <c r="AR16454" s="55">
        <v>28500</v>
      </c>
      <c r="AS16454" s="78">
        <f t="shared" si="261"/>
        <v>0.49331578947368421</v>
      </c>
    </row>
    <row r="16455" spans="39:45">
      <c r="AM16455" s="55">
        <v>2020</v>
      </c>
      <c r="AN16455" s="55" t="s">
        <v>192</v>
      </c>
      <c r="AO16455" s="55">
        <v>16</v>
      </c>
      <c r="AP16455" s="55">
        <v>13</v>
      </c>
      <c r="AQ16455" s="55">
        <v>11162.5</v>
      </c>
      <c r="AR16455" s="55">
        <v>28500</v>
      </c>
      <c r="AS16455" s="78">
        <f t="shared" si="261"/>
        <v>0.39166666666666666</v>
      </c>
    </row>
    <row r="16456" spans="39:45">
      <c r="AM16456" s="54">
        <v>2020</v>
      </c>
      <c r="AN16456" s="54" t="s">
        <v>192</v>
      </c>
      <c r="AO16456" s="54">
        <v>16</v>
      </c>
      <c r="AP16456" s="54">
        <v>14</v>
      </c>
      <c r="AQ16456" s="54">
        <v>2606</v>
      </c>
      <c r="AR16456" s="55">
        <v>28500</v>
      </c>
      <c r="AS16456" s="78">
        <f t="shared" si="261"/>
        <v>9.1438596491228069E-2</v>
      </c>
    </row>
    <row r="16457" spans="39:45">
      <c r="AM16457" s="55">
        <v>2020</v>
      </c>
      <c r="AN16457" s="55" t="s">
        <v>192</v>
      </c>
      <c r="AO16457" s="55">
        <v>16</v>
      </c>
      <c r="AP16457" s="55">
        <v>15</v>
      </c>
      <c r="AQ16457" s="55">
        <v>3329</v>
      </c>
      <c r="AR16457" s="55">
        <v>28500</v>
      </c>
      <c r="AS16457" s="78">
        <f t="shared" si="261"/>
        <v>0.11680701754385965</v>
      </c>
    </row>
    <row r="16458" spans="39:45">
      <c r="AM16458" s="54">
        <v>2020</v>
      </c>
      <c r="AN16458" s="54" t="s">
        <v>192</v>
      </c>
      <c r="AO16458" s="54">
        <v>16</v>
      </c>
      <c r="AP16458" s="54">
        <v>16</v>
      </c>
      <c r="AQ16458" s="54">
        <v>0</v>
      </c>
      <c r="AR16458" s="55">
        <v>28500</v>
      </c>
      <c r="AS16458" s="78">
        <f t="shared" si="261"/>
        <v>0</v>
      </c>
    </row>
    <row r="16459" spans="39:45">
      <c r="AM16459" s="55">
        <v>2020</v>
      </c>
      <c r="AN16459" s="55" t="s">
        <v>192</v>
      </c>
      <c r="AO16459" s="55">
        <v>16</v>
      </c>
      <c r="AP16459" s="55">
        <v>17</v>
      </c>
      <c r="AQ16459" s="55">
        <v>0</v>
      </c>
      <c r="AR16459" s="55">
        <v>28500</v>
      </c>
      <c r="AS16459" s="78">
        <f t="shared" si="261"/>
        <v>0</v>
      </c>
    </row>
    <row r="16460" spans="39:45">
      <c r="AM16460" s="54">
        <v>2020</v>
      </c>
      <c r="AN16460" s="54" t="s">
        <v>192</v>
      </c>
      <c r="AO16460" s="54">
        <v>16</v>
      </c>
      <c r="AP16460" s="54">
        <v>18</v>
      </c>
      <c r="AQ16460" s="54">
        <v>0</v>
      </c>
      <c r="AR16460" s="55">
        <v>28500</v>
      </c>
      <c r="AS16460" s="78">
        <f t="shared" si="261"/>
        <v>0</v>
      </c>
    </row>
    <row r="16461" spans="39:45">
      <c r="AM16461" s="55">
        <v>2020</v>
      </c>
      <c r="AN16461" s="55" t="s">
        <v>192</v>
      </c>
      <c r="AO16461" s="55">
        <v>16</v>
      </c>
      <c r="AP16461" s="55">
        <v>19</v>
      </c>
      <c r="AQ16461" s="55">
        <v>0</v>
      </c>
      <c r="AR16461" s="55">
        <v>28500</v>
      </c>
      <c r="AS16461" s="78">
        <f t="shared" si="261"/>
        <v>0</v>
      </c>
    </row>
    <row r="16462" spans="39:45">
      <c r="AM16462" s="54">
        <v>2020</v>
      </c>
      <c r="AN16462" s="54" t="s">
        <v>192</v>
      </c>
      <c r="AO16462" s="54">
        <v>16</v>
      </c>
      <c r="AP16462" s="54">
        <v>20</v>
      </c>
      <c r="AQ16462" s="54">
        <v>0</v>
      </c>
      <c r="AR16462" s="55">
        <v>28500</v>
      </c>
      <c r="AS16462" s="78">
        <f t="shared" si="261"/>
        <v>0</v>
      </c>
    </row>
    <row r="16463" spans="39:45">
      <c r="AM16463" s="55">
        <v>2020</v>
      </c>
      <c r="AN16463" s="55" t="s">
        <v>192</v>
      </c>
      <c r="AO16463" s="55">
        <v>16</v>
      </c>
      <c r="AP16463" s="55">
        <v>21</v>
      </c>
      <c r="AQ16463" s="55">
        <v>0</v>
      </c>
      <c r="AR16463" s="55">
        <v>28500</v>
      </c>
      <c r="AS16463" s="78">
        <f t="shared" si="261"/>
        <v>0</v>
      </c>
    </row>
    <row r="16464" spans="39:45">
      <c r="AM16464" s="54">
        <v>2020</v>
      </c>
      <c r="AN16464" s="54" t="s">
        <v>192</v>
      </c>
      <c r="AO16464" s="54">
        <v>16</v>
      </c>
      <c r="AP16464" s="54">
        <v>22</v>
      </c>
      <c r="AQ16464" s="54">
        <v>0</v>
      </c>
      <c r="AR16464" s="55">
        <v>28500</v>
      </c>
      <c r="AS16464" s="78">
        <f t="shared" si="261"/>
        <v>0</v>
      </c>
    </row>
    <row r="16465" spans="39:45">
      <c r="AM16465" s="55">
        <v>2020</v>
      </c>
      <c r="AN16465" s="55" t="s">
        <v>192</v>
      </c>
      <c r="AO16465" s="55">
        <v>16</v>
      </c>
      <c r="AP16465" s="55">
        <v>23</v>
      </c>
      <c r="AQ16465" s="55">
        <v>0</v>
      </c>
      <c r="AR16465" s="55">
        <v>28500</v>
      </c>
      <c r="AS16465" s="78">
        <f t="shared" si="261"/>
        <v>0</v>
      </c>
    </row>
    <row r="16466" spans="39:45">
      <c r="AM16466" s="54">
        <v>2020</v>
      </c>
      <c r="AN16466" s="54" t="s">
        <v>192</v>
      </c>
      <c r="AO16466" s="54">
        <v>17</v>
      </c>
      <c r="AP16466" s="54">
        <v>24</v>
      </c>
      <c r="AQ16466" s="54">
        <v>0</v>
      </c>
      <c r="AR16466" s="55">
        <v>28500</v>
      </c>
      <c r="AS16466" s="78">
        <f t="shared" si="261"/>
        <v>0</v>
      </c>
    </row>
    <row r="16467" spans="39:45">
      <c r="AM16467" s="55">
        <v>2020</v>
      </c>
      <c r="AN16467" s="55" t="s">
        <v>192</v>
      </c>
      <c r="AO16467" s="55">
        <v>17</v>
      </c>
      <c r="AP16467" s="55">
        <v>1</v>
      </c>
      <c r="AQ16467" s="55">
        <v>0</v>
      </c>
      <c r="AR16467" s="55">
        <v>28500</v>
      </c>
      <c r="AS16467" s="78">
        <f t="shared" si="261"/>
        <v>0</v>
      </c>
    </row>
    <row r="16468" spans="39:45">
      <c r="AM16468" s="54">
        <v>2020</v>
      </c>
      <c r="AN16468" s="54" t="s">
        <v>192</v>
      </c>
      <c r="AO16468" s="54">
        <v>17</v>
      </c>
      <c r="AP16468" s="54">
        <v>2</v>
      </c>
      <c r="AQ16468" s="54">
        <v>0</v>
      </c>
      <c r="AR16468" s="55">
        <v>28500</v>
      </c>
      <c r="AS16468" s="78">
        <f t="shared" si="261"/>
        <v>0</v>
      </c>
    </row>
    <row r="16469" spans="39:45">
      <c r="AM16469" s="55">
        <v>2020</v>
      </c>
      <c r="AN16469" s="55" t="s">
        <v>192</v>
      </c>
      <c r="AO16469" s="55">
        <v>17</v>
      </c>
      <c r="AP16469" s="55">
        <v>3</v>
      </c>
      <c r="AQ16469" s="55">
        <v>0</v>
      </c>
      <c r="AR16469" s="55">
        <v>28500</v>
      </c>
      <c r="AS16469" s="78">
        <f t="shared" si="261"/>
        <v>0</v>
      </c>
    </row>
    <row r="16470" spans="39:45">
      <c r="AM16470" s="54">
        <v>2020</v>
      </c>
      <c r="AN16470" s="54" t="s">
        <v>192</v>
      </c>
      <c r="AO16470" s="54">
        <v>17</v>
      </c>
      <c r="AP16470" s="54">
        <v>4</v>
      </c>
      <c r="AQ16470" s="54">
        <v>0</v>
      </c>
      <c r="AR16470" s="55">
        <v>28500</v>
      </c>
      <c r="AS16470" s="78">
        <f t="shared" si="261"/>
        <v>0</v>
      </c>
    </row>
    <row r="16471" spans="39:45">
      <c r="AM16471" s="55">
        <v>2020</v>
      </c>
      <c r="AN16471" s="55" t="s">
        <v>192</v>
      </c>
      <c r="AO16471" s="55">
        <v>17</v>
      </c>
      <c r="AP16471" s="55">
        <v>5</v>
      </c>
      <c r="AQ16471" s="55">
        <v>0</v>
      </c>
      <c r="AR16471" s="55">
        <v>28500</v>
      </c>
      <c r="AS16471" s="78">
        <f t="shared" si="261"/>
        <v>0</v>
      </c>
    </row>
    <row r="16472" spans="39:45">
      <c r="AM16472" s="54">
        <v>2020</v>
      </c>
      <c r="AN16472" s="54" t="s">
        <v>192</v>
      </c>
      <c r="AO16472" s="54">
        <v>17</v>
      </c>
      <c r="AP16472" s="54">
        <v>6</v>
      </c>
      <c r="AQ16472" s="54">
        <v>0</v>
      </c>
      <c r="AR16472" s="55">
        <v>28500</v>
      </c>
      <c r="AS16472" s="78">
        <f t="shared" si="261"/>
        <v>0</v>
      </c>
    </row>
    <row r="16473" spans="39:45">
      <c r="AM16473" s="55">
        <v>2020</v>
      </c>
      <c r="AN16473" s="55" t="s">
        <v>192</v>
      </c>
      <c r="AO16473" s="55">
        <v>17</v>
      </c>
      <c r="AP16473" s="55">
        <v>7</v>
      </c>
      <c r="AQ16473" s="55">
        <v>0</v>
      </c>
      <c r="AR16473" s="55">
        <v>28500</v>
      </c>
      <c r="AS16473" s="78">
        <f t="shared" si="261"/>
        <v>0</v>
      </c>
    </row>
    <row r="16474" spans="39:45">
      <c r="AM16474" s="54">
        <v>2020</v>
      </c>
      <c r="AN16474" s="54" t="s">
        <v>192</v>
      </c>
      <c r="AO16474" s="54">
        <v>17</v>
      </c>
      <c r="AP16474" s="54">
        <v>8</v>
      </c>
      <c r="AQ16474" s="54">
        <v>982.5</v>
      </c>
      <c r="AR16474" s="55">
        <v>28500</v>
      </c>
      <c r="AS16474" s="78">
        <f t="shared" si="261"/>
        <v>3.4473684210526316E-2</v>
      </c>
    </row>
    <row r="16475" spans="39:45">
      <c r="AM16475" s="55">
        <v>2020</v>
      </c>
      <c r="AN16475" s="55" t="s">
        <v>192</v>
      </c>
      <c r="AO16475" s="55">
        <v>17</v>
      </c>
      <c r="AP16475" s="55">
        <v>9</v>
      </c>
      <c r="AQ16475" s="55">
        <v>5034</v>
      </c>
      <c r="AR16475" s="55">
        <v>28500</v>
      </c>
      <c r="AS16475" s="78">
        <f t="shared" si="261"/>
        <v>0.17663157894736842</v>
      </c>
    </row>
    <row r="16476" spans="39:45">
      <c r="AM16476" s="54">
        <v>2020</v>
      </c>
      <c r="AN16476" s="54" t="s">
        <v>192</v>
      </c>
      <c r="AO16476" s="54">
        <v>17</v>
      </c>
      <c r="AP16476" s="54">
        <v>10</v>
      </c>
      <c r="AQ16476" s="54">
        <v>6946.5</v>
      </c>
      <c r="AR16476" s="55">
        <v>28500</v>
      </c>
      <c r="AS16476" s="78">
        <f t="shared" si="261"/>
        <v>0.24373684210526317</v>
      </c>
    </row>
    <row r="16477" spans="39:45">
      <c r="AM16477" s="55">
        <v>2020</v>
      </c>
      <c r="AN16477" s="55" t="s">
        <v>192</v>
      </c>
      <c r="AO16477" s="55">
        <v>17</v>
      </c>
      <c r="AP16477" s="55">
        <v>11</v>
      </c>
      <c r="AQ16477" s="55">
        <v>2837</v>
      </c>
      <c r="AR16477" s="55">
        <v>28500</v>
      </c>
      <c r="AS16477" s="78">
        <f t="shared" si="261"/>
        <v>9.9543859649122809E-2</v>
      </c>
    </row>
    <row r="16478" spans="39:45">
      <c r="AM16478" s="54">
        <v>2020</v>
      </c>
      <c r="AN16478" s="54" t="s">
        <v>192</v>
      </c>
      <c r="AO16478" s="54">
        <v>17</v>
      </c>
      <c r="AP16478" s="54">
        <v>12</v>
      </c>
      <c r="AQ16478" s="54">
        <v>3019.5</v>
      </c>
      <c r="AR16478" s="55">
        <v>28500</v>
      </c>
      <c r="AS16478" s="78">
        <f t="shared" si="261"/>
        <v>0.10594736842105264</v>
      </c>
    </row>
    <row r="16479" spans="39:45">
      <c r="AM16479" s="55">
        <v>2020</v>
      </c>
      <c r="AN16479" s="55" t="s">
        <v>192</v>
      </c>
      <c r="AO16479" s="55">
        <v>17</v>
      </c>
      <c r="AP16479" s="55">
        <v>13</v>
      </c>
      <c r="AQ16479" s="55">
        <v>7767.5</v>
      </c>
      <c r="AR16479" s="55">
        <v>28500</v>
      </c>
      <c r="AS16479" s="78">
        <f t="shared" si="261"/>
        <v>0.27254385964912281</v>
      </c>
    </row>
    <row r="16480" spans="39:45">
      <c r="AM16480" s="54">
        <v>2020</v>
      </c>
      <c r="AN16480" s="54" t="s">
        <v>192</v>
      </c>
      <c r="AO16480" s="54">
        <v>17</v>
      </c>
      <c r="AP16480" s="54">
        <v>14</v>
      </c>
      <c r="AQ16480" s="54">
        <v>561</v>
      </c>
      <c r="AR16480" s="55">
        <v>28500</v>
      </c>
      <c r="AS16480" s="78">
        <f t="shared" si="261"/>
        <v>1.968421052631579E-2</v>
      </c>
    </row>
    <row r="16481" spans="39:45">
      <c r="AM16481" s="55">
        <v>2020</v>
      </c>
      <c r="AN16481" s="55" t="s">
        <v>192</v>
      </c>
      <c r="AO16481" s="55">
        <v>17</v>
      </c>
      <c r="AP16481" s="55">
        <v>15</v>
      </c>
      <c r="AQ16481" s="55">
        <v>1224.5</v>
      </c>
      <c r="AR16481" s="55">
        <v>28500</v>
      </c>
      <c r="AS16481" s="78">
        <f t="shared" si="261"/>
        <v>4.2964912280701754E-2</v>
      </c>
    </row>
    <row r="16482" spans="39:45">
      <c r="AM16482" s="54">
        <v>2020</v>
      </c>
      <c r="AN16482" s="54" t="s">
        <v>192</v>
      </c>
      <c r="AO16482" s="54">
        <v>17</v>
      </c>
      <c r="AP16482" s="54">
        <v>16</v>
      </c>
      <c r="AQ16482" s="54">
        <v>0</v>
      </c>
      <c r="AR16482" s="55">
        <v>28500</v>
      </c>
      <c r="AS16482" s="78">
        <f t="shared" si="261"/>
        <v>0</v>
      </c>
    </row>
    <row r="16483" spans="39:45">
      <c r="AM16483" s="55">
        <v>2020</v>
      </c>
      <c r="AN16483" s="55" t="s">
        <v>192</v>
      </c>
      <c r="AO16483" s="55">
        <v>17</v>
      </c>
      <c r="AP16483" s="55">
        <v>17</v>
      </c>
      <c r="AQ16483" s="55">
        <v>0</v>
      </c>
      <c r="AR16483" s="55">
        <v>28500</v>
      </c>
      <c r="AS16483" s="78">
        <f t="shared" si="261"/>
        <v>0</v>
      </c>
    </row>
    <row r="16484" spans="39:45">
      <c r="AM16484" s="54">
        <v>2020</v>
      </c>
      <c r="AN16484" s="54" t="s">
        <v>192</v>
      </c>
      <c r="AO16484" s="54">
        <v>17</v>
      </c>
      <c r="AP16484" s="54">
        <v>18</v>
      </c>
      <c r="AQ16484" s="54">
        <v>0</v>
      </c>
      <c r="AR16484" s="55">
        <v>28500</v>
      </c>
      <c r="AS16484" s="78">
        <f t="shared" si="261"/>
        <v>0</v>
      </c>
    </row>
    <row r="16485" spans="39:45">
      <c r="AM16485" s="55">
        <v>2020</v>
      </c>
      <c r="AN16485" s="55" t="s">
        <v>192</v>
      </c>
      <c r="AO16485" s="55">
        <v>17</v>
      </c>
      <c r="AP16485" s="55">
        <v>19</v>
      </c>
      <c r="AQ16485" s="55">
        <v>0</v>
      </c>
      <c r="AR16485" s="55">
        <v>28500</v>
      </c>
      <c r="AS16485" s="78">
        <f t="shared" si="261"/>
        <v>0</v>
      </c>
    </row>
    <row r="16486" spans="39:45">
      <c r="AM16486" s="54">
        <v>2020</v>
      </c>
      <c r="AN16486" s="54" t="s">
        <v>192</v>
      </c>
      <c r="AO16486" s="54">
        <v>17</v>
      </c>
      <c r="AP16486" s="54">
        <v>20</v>
      </c>
      <c r="AQ16486" s="54">
        <v>0</v>
      </c>
      <c r="AR16486" s="55">
        <v>28500</v>
      </c>
      <c r="AS16486" s="78">
        <f t="shared" si="261"/>
        <v>0</v>
      </c>
    </row>
    <row r="16487" spans="39:45">
      <c r="AM16487" s="55">
        <v>2020</v>
      </c>
      <c r="AN16487" s="55" t="s">
        <v>192</v>
      </c>
      <c r="AO16487" s="55">
        <v>17</v>
      </c>
      <c r="AP16487" s="55">
        <v>21</v>
      </c>
      <c r="AQ16487" s="55">
        <v>0</v>
      </c>
      <c r="AR16487" s="55">
        <v>28500</v>
      </c>
      <c r="AS16487" s="78">
        <f t="shared" si="261"/>
        <v>0</v>
      </c>
    </row>
    <row r="16488" spans="39:45">
      <c r="AM16488" s="54">
        <v>2020</v>
      </c>
      <c r="AN16488" s="54" t="s">
        <v>192</v>
      </c>
      <c r="AO16488" s="54">
        <v>17</v>
      </c>
      <c r="AP16488" s="54">
        <v>22</v>
      </c>
      <c r="AQ16488" s="54">
        <v>0</v>
      </c>
      <c r="AR16488" s="55">
        <v>28500</v>
      </c>
      <c r="AS16488" s="78">
        <f t="shared" si="261"/>
        <v>0</v>
      </c>
    </row>
    <row r="16489" spans="39:45">
      <c r="AM16489" s="55">
        <v>2020</v>
      </c>
      <c r="AN16489" s="55" t="s">
        <v>192</v>
      </c>
      <c r="AO16489" s="55">
        <v>17</v>
      </c>
      <c r="AP16489" s="55">
        <v>23</v>
      </c>
      <c r="AQ16489" s="55">
        <v>0</v>
      </c>
      <c r="AR16489" s="55">
        <v>28500</v>
      </c>
      <c r="AS16489" s="78">
        <f t="shared" si="261"/>
        <v>0</v>
      </c>
    </row>
    <row r="16490" spans="39:45">
      <c r="AM16490" s="54">
        <v>2020</v>
      </c>
      <c r="AN16490" s="54" t="s">
        <v>192</v>
      </c>
      <c r="AO16490" s="54">
        <v>18</v>
      </c>
      <c r="AP16490" s="54">
        <v>24</v>
      </c>
      <c r="AQ16490" s="54">
        <v>0</v>
      </c>
      <c r="AR16490" s="55">
        <v>28500</v>
      </c>
      <c r="AS16490" s="78">
        <f t="shared" si="261"/>
        <v>0</v>
      </c>
    </row>
    <row r="16491" spans="39:45">
      <c r="AM16491" s="55">
        <v>2020</v>
      </c>
      <c r="AN16491" s="55" t="s">
        <v>192</v>
      </c>
      <c r="AO16491" s="55">
        <v>18</v>
      </c>
      <c r="AP16491" s="55">
        <v>1</v>
      </c>
      <c r="AQ16491" s="55">
        <v>0</v>
      </c>
      <c r="AR16491" s="55">
        <v>28500</v>
      </c>
      <c r="AS16491" s="78">
        <f t="shared" si="261"/>
        <v>0</v>
      </c>
    </row>
    <row r="16492" spans="39:45">
      <c r="AM16492" s="54">
        <v>2020</v>
      </c>
      <c r="AN16492" s="54" t="s">
        <v>192</v>
      </c>
      <c r="AO16492" s="54">
        <v>18</v>
      </c>
      <c r="AP16492" s="54">
        <v>2</v>
      </c>
      <c r="AQ16492" s="54">
        <v>0</v>
      </c>
      <c r="AR16492" s="55">
        <v>28500</v>
      </c>
      <c r="AS16492" s="78">
        <f t="shared" si="261"/>
        <v>0</v>
      </c>
    </row>
    <row r="16493" spans="39:45">
      <c r="AM16493" s="55">
        <v>2020</v>
      </c>
      <c r="AN16493" s="55" t="s">
        <v>192</v>
      </c>
      <c r="AO16493" s="55">
        <v>18</v>
      </c>
      <c r="AP16493" s="55">
        <v>3</v>
      </c>
      <c r="AQ16493" s="55">
        <v>0</v>
      </c>
      <c r="AR16493" s="55">
        <v>28500</v>
      </c>
      <c r="AS16493" s="78">
        <f t="shared" si="261"/>
        <v>0</v>
      </c>
    </row>
    <row r="16494" spans="39:45">
      <c r="AM16494" s="54">
        <v>2020</v>
      </c>
      <c r="AN16494" s="54" t="s">
        <v>192</v>
      </c>
      <c r="AO16494" s="54">
        <v>18</v>
      </c>
      <c r="AP16494" s="54">
        <v>4</v>
      </c>
      <c r="AQ16494" s="54">
        <v>0</v>
      </c>
      <c r="AR16494" s="55">
        <v>28500</v>
      </c>
      <c r="AS16494" s="78">
        <f t="shared" si="261"/>
        <v>0</v>
      </c>
    </row>
    <row r="16495" spans="39:45">
      <c r="AM16495" s="55">
        <v>2020</v>
      </c>
      <c r="AN16495" s="55" t="s">
        <v>192</v>
      </c>
      <c r="AO16495" s="55">
        <v>18</v>
      </c>
      <c r="AP16495" s="55">
        <v>5</v>
      </c>
      <c r="AQ16495" s="55">
        <v>0</v>
      </c>
      <c r="AR16495" s="55">
        <v>28500</v>
      </c>
      <c r="AS16495" s="78">
        <f t="shared" si="261"/>
        <v>0</v>
      </c>
    </row>
    <row r="16496" spans="39:45">
      <c r="AM16496" s="54">
        <v>2020</v>
      </c>
      <c r="AN16496" s="54" t="s">
        <v>192</v>
      </c>
      <c r="AO16496" s="54">
        <v>18</v>
      </c>
      <c r="AP16496" s="54">
        <v>6</v>
      </c>
      <c r="AQ16496" s="54">
        <v>0</v>
      </c>
      <c r="AR16496" s="55">
        <v>28500</v>
      </c>
      <c r="AS16496" s="78">
        <f t="shared" si="261"/>
        <v>0</v>
      </c>
    </row>
    <row r="16497" spans="39:45">
      <c r="AM16497" s="55">
        <v>2020</v>
      </c>
      <c r="AN16497" s="55" t="s">
        <v>192</v>
      </c>
      <c r="AO16497" s="55">
        <v>18</v>
      </c>
      <c r="AP16497" s="55">
        <v>7</v>
      </c>
      <c r="AQ16497" s="55">
        <v>0</v>
      </c>
      <c r="AR16497" s="55">
        <v>28500</v>
      </c>
      <c r="AS16497" s="78">
        <f t="shared" si="261"/>
        <v>0</v>
      </c>
    </row>
    <row r="16498" spans="39:45">
      <c r="AM16498" s="54">
        <v>2020</v>
      </c>
      <c r="AN16498" s="54" t="s">
        <v>192</v>
      </c>
      <c r="AO16498" s="54">
        <v>18</v>
      </c>
      <c r="AP16498" s="54">
        <v>8</v>
      </c>
      <c r="AQ16498" s="54">
        <v>4239.5</v>
      </c>
      <c r="AR16498" s="55">
        <v>28500</v>
      </c>
      <c r="AS16498" s="78">
        <f t="shared" si="261"/>
        <v>0.14875438596491228</v>
      </c>
    </row>
    <row r="16499" spans="39:45">
      <c r="AM16499" s="55">
        <v>2020</v>
      </c>
      <c r="AN16499" s="55" t="s">
        <v>192</v>
      </c>
      <c r="AO16499" s="55">
        <v>18</v>
      </c>
      <c r="AP16499" s="55">
        <v>9</v>
      </c>
      <c r="AQ16499" s="55">
        <v>15328</v>
      </c>
      <c r="AR16499" s="55">
        <v>28500</v>
      </c>
      <c r="AS16499" s="78">
        <f t="shared" si="261"/>
        <v>0.53782456140350876</v>
      </c>
    </row>
    <row r="16500" spans="39:45">
      <c r="AM16500" s="54">
        <v>2020</v>
      </c>
      <c r="AN16500" s="54" t="s">
        <v>192</v>
      </c>
      <c r="AO16500" s="54">
        <v>18</v>
      </c>
      <c r="AP16500" s="54">
        <v>10</v>
      </c>
      <c r="AQ16500" s="54">
        <v>21014.5</v>
      </c>
      <c r="AR16500" s="55">
        <v>28500</v>
      </c>
      <c r="AS16500" s="78">
        <f t="shared" si="261"/>
        <v>0.73735087719298242</v>
      </c>
    </row>
    <row r="16501" spans="39:45">
      <c r="AM16501" s="55">
        <v>2020</v>
      </c>
      <c r="AN16501" s="55" t="s">
        <v>192</v>
      </c>
      <c r="AO16501" s="55">
        <v>18</v>
      </c>
      <c r="AP16501" s="55">
        <v>11</v>
      </c>
      <c r="AQ16501" s="55">
        <v>16912.5</v>
      </c>
      <c r="AR16501" s="55">
        <v>28500</v>
      </c>
      <c r="AS16501" s="78">
        <f t="shared" si="261"/>
        <v>0.59342105263157896</v>
      </c>
    </row>
    <row r="16502" spans="39:45">
      <c r="AM16502" s="54">
        <v>2020</v>
      </c>
      <c r="AN16502" s="54" t="s">
        <v>192</v>
      </c>
      <c r="AO16502" s="54">
        <v>18</v>
      </c>
      <c r="AP16502" s="54">
        <v>12</v>
      </c>
      <c r="AQ16502" s="54">
        <v>28876.5</v>
      </c>
      <c r="AR16502" s="55">
        <v>28500</v>
      </c>
      <c r="AS16502" s="78">
        <f t="shared" si="261"/>
        <v>1.0132105263157896</v>
      </c>
    </row>
    <row r="16503" spans="39:45">
      <c r="AM16503" s="55">
        <v>2020</v>
      </c>
      <c r="AN16503" s="55" t="s">
        <v>192</v>
      </c>
      <c r="AO16503" s="55">
        <v>18</v>
      </c>
      <c r="AP16503" s="55">
        <v>13</v>
      </c>
      <c r="AQ16503" s="55">
        <v>4111.5</v>
      </c>
      <c r="AR16503" s="55">
        <v>28500</v>
      </c>
      <c r="AS16503" s="78">
        <f t="shared" si="261"/>
        <v>0.14426315789473684</v>
      </c>
    </row>
    <row r="16504" spans="39:45">
      <c r="AM16504" s="54">
        <v>2020</v>
      </c>
      <c r="AN16504" s="54" t="s">
        <v>192</v>
      </c>
      <c r="AO16504" s="54">
        <v>18</v>
      </c>
      <c r="AP16504" s="54">
        <v>14</v>
      </c>
      <c r="AQ16504" s="54">
        <v>409.5</v>
      </c>
      <c r="AR16504" s="55">
        <v>28500</v>
      </c>
      <c r="AS16504" s="78">
        <f t="shared" si="261"/>
        <v>1.4368421052631579E-2</v>
      </c>
    </row>
    <row r="16505" spans="39:45">
      <c r="AM16505" s="55">
        <v>2020</v>
      </c>
      <c r="AN16505" s="55" t="s">
        <v>192</v>
      </c>
      <c r="AO16505" s="55">
        <v>18</v>
      </c>
      <c r="AP16505" s="55">
        <v>15</v>
      </c>
      <c r="AQ16505" s="55">
        <v>499</v>
      </c>
      <c r="AR16505" s="55">
        <v>28500</v>
      </c>
      <c r="AS16505" s="78">
        <f t="shared" si="261"/>
        <v>1.750877192982456E-2</v>
      </c>
    </row>
    <row r="16506" spans="39:45">
      <c r="AM16506" s="54">
        <v>2020</v>
      </c>
      <c r="AN16506" s="54" t="s">
        <v>192</v>
      </c>
      <c r="AO16506" s="54">
        <v>18</v>
      </c>
      <c r="AP16506" s="54">
        <v>16</v>
      </c>
      <c r="AQ16506" s="54">
        <v>0</v>
      </c>
      <c r="AR16506" s="55">
        <v>28500</v>
      </c>
      <c r="AS16506" s="78">
        <f t="shared" si="261"/>
        <v>0</v>
      </c>
    </row>
    <row r="16507" spans="39:45">
      <c r="AM16507" s="55">
        <v>2020</v>
      </c>
      <c r="AN16507" s="55" t="s">
        <v>192</v>
      </c>
      <c r="AO16507" s="55">
        <v>18</v>
      </c>
      <c r="AP16507" s="55">
        <v>17</v>
      </c>
      <c r="AQ16507" s="55">
        <v>0</v>
      </c>
      <c r="AR16507" s="55">
        <v>28500</v>
      </c>
      <c r="AS16507" s="78">
        <f t="shared" si="261"/>
        <v>0</v>
      </c>
    </row>
    <row r="16508" spans="39:45">
      <c r="AM16508" s="54">
        <v>2020</v>
      </c>
      <c r="AN16508" s="54" t="s">
        <v>192</v>
      </c>
      <c r="AO16508" s="54">
        <v>18</v>
      </c>
      <c r="AP16508" s="54">
        <v>18</v>
      </c>
      <c r="AQ16508" s="54">
        <v>0</v>
      </c>
      <c r="AR16508" s="55">
        <v>28500</v>
      </c>
      <c r="AS16508" s="78">
        <f t="shared" si="261"/>
        <v>0</v>
      </c>
    </row>
    <row r="16509" spans="39:45">
      <c r="AM16509" s="55">
        <v>2020</v>
      </c>
      <c r="AN16509" s="55" t="s">
        <v>192</v>
      </c>
      <c r="AO16509" s="55">
        <v>18</v>
      </c>
      <c r="AP16509" s="55">
        <v>19</v>
      </c>
      <c r="AQ16509" s="55">
        <v>0</v>
      </c>
      <c r="AR16509" s="55">
        <v>28500</v>
      </c>
      <c r="AS16509" s="78">
        <f t="shared" si="261"/>
        <v>0</v>
      </c>
    </row>
    <row r="16510" spans="39:45">
      <c r="AM16510" s="54">
        <v>2020</v>
      </c>
      <c r="AN16510" s="54" t="s">
        <v>192</v>
      </c>
      <c r="AO16510" s="54">
        <v>18</v>
      </c>
      <c r="AP16510" s="54">
        <v>20</v>
      </c>
      <c r="AQ16510" s="54">
        <v>0</v>
      </c>
      <c r="AR16510" s="55">
        <v>28500</v>
      </c>
      <c r="AS16510" s="78">
        <f t="shared" si="261"/>
        <v>0</v>
      </c>
    </row>
    <row r="16511" spans="39:45">
      <c r="AM16511" s="55">
        <v>2020</v>
      </c>
      <c r="AN16511" s="55" t="s">
        <v>192</v>
      </c>
      <c r="AO16511" s="55">
        <v>18</v>
      </c>
      <c r="AP16511" s="55">
        <v>21</v>
      </c>
      <c r="AQ16511" s="55">
        <v>0</v>
      </c>
      <c r="AR16511" s="55">
        <v>28500</v>
      </c>
      <c r="AS16511" s="78">
        <f t="shared" si="261"/>
        <v>0</v>
      </c>
    </row>
    <row r="16512" spans="39:45">
      <c r="AM16512" s="54">
        <v>2020</v>
      </c>
      <c r="AN16512" s="54" t="s">
        <v>192</v>
      </c>
      <c r="AO16512" s="54">
        <v>18</v>
      </c>
      <c r="AP16512" s="54">
        <v>22</v>
      </c>
      <c r="AQ16512" s="54">
        <v>0</v>
      </c>
      <c r="AR16512" s="55">
        <v>28500</v>
      </c>
      <c r="AS16512" s="78">
        <f t="shared" si="261"/>
        <v>0</v>
      </c>
    </row>
    <row r="16513" spans="39:45">
      <c r="AM16513" s="55">
        <v>2020</v>
      </c>
      <c r="AN16513" s="55" t="s">
        <v>192</v>
      </c>
      <c r="AO16513" s="55">
        <v>18</v>
      </c>
      <c r="AP16513" s="55">
        <v>23</v>
      </c>
      <c r="AQ16513" s="55">
        <v>0</v>
      </c>
      <c r="AR16513" s="55">
        <v>28500</v>
      </c>
      <c r="AS16513" s="78">
        <f t="shared" si="261"/>
        <v>0</v>
      </c>
    </row>
    <row r="16514" spans="39:45">
      <c r="AM16514" s="54">
        <v>2020</v>
      </c>
      <c r="AN16514" s="54" t="s">
        <v>192</v>
      </c>
      <c r="AO16514" s="54">
        <v>19</v>
      </c>
      <c r="AP16514" s="54">
        <v>24</v>
      </c>
      <c r="AQ16514" s="54">
        <v>0</v>
      </c>
      <c r="AR16514" s="55">
        <v>28500</v>
      </c>
      <c r="AS16514" s="78">
        <f t="shared" ref="AS16514:AS16577" si="262">AQ16514/AR16514</f>
        <v>0</v>
      </c>
    </row>
    <row r="16515" spans="39:45">
      <c r="AM16515" s="55">
        <v>2020</v>
      </c>
      <c r="AN16515" s="55" t="s">
        <v>192</v>
      </c>
      <c r="AO16515" s="55">
        <v>19</v>
      </c>
      <c r="AP16515" s="55">
        <v>1</v>
      </c>
      <c r="AQ16515" s="55">
        <v>0</v>
      </c>
      <c r="AR16515" s="55">
        <v>28500</v>
      </c>
      <c r="AS16515" s="78">
        <f t="shared" si="262"/>
        <v>0</v>
      </c>
    </row>
    <row r="16516" spans="39:45">
      <c r="AM16516" s="54">
        <v>2020</v>
      </c>
      <c r="AN16516" s="54" t="s">
        <v>192</v>
      </c>
      <c r="AO16516" s="54">
        <v>19</v>
      </c>
      <c r="AP16516" s="54">
        <v>2</v>
      </c>
      <c r="AQ16516" s="54">
        <v>0</v>
      </c>
      <c r="AR16516" s="55">
        <v>28500</v>
      </c>
      <c r="AS16516" s="78">
        <f t="shared" si="262"/>
        <v>0</v>
      </c>
    </row>
    <row r="16517" spans="39:45">
      <c r="AM16517" s="55">
        <v>2020</v>
      </c>
      <c r="AN16517" s="55" t="s">
        <v>192</v>
      </c>
      <c r="AO16517" s="55">
        <v>19</v>
      </c>
      <c r="AP16517" s="55">
        <v>3</v>
      </c>
      <c r="AQ16517" s="55">
        <v>0</v>
      </c>
      <c r="AR16517" s="55">
        <v>28500</v>
      </c>
      <c r="AS16517" s="78">
        <f t="shared" si="262"/>
        <v>0</v>
      </c>
    </row>
    <row r="16518" spans="39:45">
      <c r="AM16518" s="54">
        <v>2020</v>
      </c>
      <c r="AN16518" s="54" t="s">
        <v>192</v>
      </c>
      <c r="AO16518" s="54">
        <v>19</v>
      </c>
      <c r="AP16518" s="54">
        <v>4</v>
      </c>
      <c r="AQ16518" s="54">
        <v>0</v>
      </c>
      <c r="AR16518" s="55">
        <v>28500</v>
      </c>
      <c r="AS16518" s="78">
        <f t="shared" si="262"/>
        <v>0</v>
      </c>
    </row>
    <row r="16519" spans="39:45">
      <c r="AM16519" s="55">
        <v>2020</v>
      </c>
      <c r="AN16519" s="55" t="s">
        <v>192</v>
      </c>
      <c r="AO16519" s="55">
        <v>19</v>
      </c>
      <c r="AP16519" s="55">
        <v>5</v>
      </c>
      <c r="AQ16519" s="55">
        <v>0</v>
      </c>
      <c r="AR16519" s="55">
        <v>28500</v>
      </c>
      <c r="AS16519" s="78">
        <f t="shared" si="262"/>
        <v>0</v>
      </c>
    </row>
    <row r="16520" spans="39:45">
      <c r="AM16520" s="54">
        <v>2020</v>
      </c>
      <c r="AN16520" s="54" t="s">
        <v>192</v>
      </c>
      <c r="AO16520" s="54">
        <v>19</v>
      </c>
      <c r="AP16520" s="54">
        <v>6</v>
      </c>
      <c r="AQ16520" s="54">
        <v>0</v>
      </c>
      <c r="AR16520" s="55">
        <v>28500</v>
      </c>
      <c r="AS16520" s="78">
        <f t="shared" si="262"/>
        <v>0</v>
      </c>
    </row>
    <row r="16521" spans="39:45">
      <c r="AM16521" s="55">
        <v>2020</v>
      </c>
      <c r="AN16521" s="55" t="s">
        <v>192</v>
      </c>
      <c r="AO16521" s="55">
        <v>19</v>
      </c>
      <c r="AP16521" s="55">
        <v>7</v>
      </c>
      <c r="AQ16521" s="55">
        <v>0</v>
      </c>
      <c r="AR16521" s="55">
        <v>28500</v>
      </c>
      <c r="AS16521" s="78">
        <f t="shared" si="262"/>
        <v>0</v>
      </c>
    </row>
    <row r="16522" spans="39:45">
      <c r="AM16522" s="54">
        <v>2020</v>
      </c>
      <c r="AN16522" s="54" t="s">
        <v>192</v>
      </c>
      <c r="AO16522" s="54">
        <v>19</v>
      </c>
      <c r="AP16522" s="54">
        <v>8</v>
      </c>
      <c r="AQ16522" s="54">
        <v>736.5</v>
      </c>
      <c r="AR16522" s="55">
        <v>28500</v>
      </c>
      <c r="AS16522" s="78">
        <f t="shared" si="262"/>
        <v>2.5842105263157895E-2</v>
      </c>
    </row>
    <row r="16523" spans="39:45">
      <c r="AM16523" s="55">
        <v>2020</v>
      </c>
      <c r="AN16523" s="55" t="s">
        <v>192</v>
      </c>
      <c r="AO16523" s="55">
        <v>19</v>
      </c>
      <c r="AP16523" s="55">
        <v>9</v>
      </c>
      <c r="AQ16523" s="55">
        <v>3779</v>
      </c>
      <c r="AR16523" s="55">
        <v>28500</v>
      </c>
      <c r="AS16523" s="78">
        <f t="shared" si="262"/>
        <v>0.13259649122807018</v>
      </c>
    </row>
    <row r="16524" spans="39:45">
      <c r="AM16524" s="54">
        <v>2020</v>
      </c>
      <c r="AN16524" s="54" t="s">
        <v>192</v>
      </c>
      <c r="AO16524" s="54">
        <v>19</v>
      </c>
      <c r="AP16524" s="54">
        <v>10</v>
      </c>
      <c r="AQ16524" s="54">
        <v>5062</v>
      </c>
      <c r="AR16524" s="55">
        <v>28500</v>
      </c>
      <c r="AS16524" s="78">
        <f t="shared" si="262"/>
        <v>0.17761403508771931</v>
      </c>
    </row>
    <row r="16525" spans="39:45">
      <c r="AM16525" s="55">
        <v>2020</v>
      </c>
      <c r="AN16525" s="55" t="s">
        <v>192</v>
      </c>
      <c r="AO16525" s="55">
        <v>19</v>
      </c>
      <c r="AP16525" s="55">
        <v>11</v>
      </c>
      <c r="AQ16525" s="55">
        <v>1290</v>
      </c>
      <c r="AR16525" s="55">
        <v>28500</v>
      </c>
      <c r="AS16525" s="78">
        <f t="shared" si="262"/>
        <v>4.5263157894736845E-2</v>
      </c>
    </row>
    <row r="16526" spans="39:45">
      <c r="AM16526" s="54">
        <v>2020</v>
      </c>
      <c r="AN16526" s="54" t="s">
        <v>192</v>
      </c>
      <c r="AO16526" s="54">
        <v>19</v>
      </c>
      <c r="AP16526" s="54">
        <v>12</v>
      </c>
      <c r="AQ16526" s="54">
        <v>2594</v>
      </c>
      <c r="AR16526" s="55">
        <v>28500</v>
      </c>
      <c r="AS16526" s="78">
        <f t="shared" si="262"/>
        <v>9.1017543859649122E-2</v>
      </c>
    </row>
    <row r="16527" spans="39:45">
      <c r="AM16527" s="55">
        <v>2020</v>
      </c>
      <c r="AN16527" s="55" t="s">
        <v>192</v>
      </c>
      <c r="AO16527" s="55">
        <v>19</v>
      </c>
      <c r="AP16527" s="55">
        <v>13</v>
      </c>
      <c r="AQ16527" s="55">
        <v>1047</v>
      </c>
      <c r="AR16527" s="55">
        <v>28500</v>
      </c>
      <c r="AS16527" s="78">
        <f t="shared" si="262"/>
        <v>3.6736842105263158E-2</v>
      </c>
    </row>
    <row r="16528" spans="39:45">
      <c r="AM16528" s="54">
        <v>2020</v>
      </c>
      <c r="AN16528" s="54" t="s">
        <v>192</v>
      </c>
      <c r="AO16528" s="54">
        <v>19</v>
      </c>
      <c r="AP16528" s="54">
        <v>14</v>
      </c>
      <c r="AQ16528" s="54">
        <v>17148.5</v>
      </c>
      <c r="AR16528" s="55">
        <v>28500</v>
      </c>
      <c r="AS16528" s="78">
        <f t="shared" si="262"/>
        <v>0.60170175438596496</v>
      </c>
    </row>
    <row r="16529" spans="39:45">
      <c r="AM16529" s="55">
        <v>2020</v>
      </c>
      <c r="AN16529" s="55" t="s">
        <v>192</v>
      </c>
      <c r="AO16529" s="55">
        <v>19</v>
      </c>
      <c r="AP16529" s="55">
        <v>15</v>
      </c>
      <c r="AQ16529" s="55">
        <v>10208.5</v>
      </c>
      <c r="AR16529" s="55">
        <v>28500</v>
      </c>
      <c r="AS16529" s="78">
        <f t="shared" si="262"/>
        <v>0.35819298245614034</v>
      </c>
    </row>
    <row r="16530" spans="39:45">
      <c r="AM16530" s="54">
        <v>2020</v>
      </c>
      <c r="AN16530" s="54" t="s">
        <v>192</v>
      </c>
      <c r="AO16530" s="54">
        <v>19</v>
      </c>
      <c r="AP16530" s="54">
        <v>16</v>
      </c>
      <c r="AQ16530" s="54">
        <v>0</v>
      </c>
      <c r="AR16530" s="55">
        <v>28500</v>
      </c>
      <c r="AS16530" s="78">
        <f t="shared" si="262"/>
        <v>0</v>
      </c>
    </row>
    <row r="16531" spans="39:45">
      <c r="AM16531" s="55">
        <v>2020</v>
      </c>
      <c r="AN16531" s="55" t="s">
        <v>192</v>
      </c>
      <c r="AO16531" s="55">
        <v>19</v>
      </c>
      <c r="AP16531" s="55">
        <v>17</v>
      </c>
      <c r="AQ16531" s="55">
        <v>0</v>
      </c>
      <c r="AR16531" s="55">
        <v>28500</v>
      </c>
      <c r="AS16531" s="78">
        <f t="shared" si="262"/>
        <v>0</v>
      </c>
    </row>
    <row r="16532" spans="39:45">
      <c r="AM16532" s="54">
        <v>2020</v>
      </c>
      <c r="AN16532" s="54" t="s">
        <v>192</v>
      </c>
      <c r="AO16532" s="54">
        <v>19</v>
      </c>
      <c r="AP16532" s="54">
        <v>18</v>
      </c>
      <c r="AQ16532" s="54">
        <v>0</v>
      </c>
      <c r="AR16532" s="55">
        <v>28500</v>
      </c>
      <c r="AS16532" s="78">
        <f t="shared" si="262"/>
        <v>0</v>
      </c>
    </row>
    <row r="16533" spans="39:45">
      <c r="AM16533" s="55">
        <v>2020</v>
      </c>
      <c r="AN16533" s="55" t="s">
        <v>192</v>
      </c>
      <c r="AO16533" s="55">
        <v>19</v>
      </c>
      <c r="AP16533" s="55">
        <v>19</v>
      </c>
      <c r="AQ16533" s="55">
        <v>0</v>
      </c>
      <c r="AR16533" s="55">
        <v>28500</v>
      </c>
      <c r="AS16533" s="78">
        <f t="shared" si="262"/>
        <v>0</v>
      </c>
    </row>
    <row r="16534" spans="39:45">
      <c r="AM16534" s="54">
        <v>2020</v>
      </c>
      <c r="AN16534" s="54" t="s">
        <v>192</v>
      </c>
      <c r="AO16534" s="54">
        <v>19</v>
      </c>
      <c r="AP16534" s="54">
        <v>20</v>
      </c>
      <c r="AQ16534" s="54">
        <v>0</v>
      </c>
      <c r="AR16534" s="55">
        <v>28500</v>
      </c>
      <c r="AS16534" s="78">
        <f t="shared" si="262"/>
        <v>0</v>
      </c>
    </row>
    <row r="16535" spans="39:45">
      <c r="AM16535" s="55">
        <v>2020</v>
      </c>
      <c r="AN16535" s="55" t="s">
        <v>192</v>
      </c>
      <c r="AO16535" s="55">
        <v>19</v>
      </c>
      <c r="AP16535" s="55">
        <v>21</v>
      </c>
      <c r="AQ16535" s="55">
        <v>0</v>
      </c>
      <c r="AR16535" s="55">
        <v>28500</v>
      </c>
      <c r="AS16535" s="78">
        <f t="shared" si="262"/>
        <v>0</v>
      </c>
    </row>
    <row r="16536" spans="39:45">
      <c r="AM16536" s="54">
        <v>2020</v>
      </c>
      <c r="AN16536" s="54" t="s">
        <v>192</v>
      </c>
      <c r="AO16536" s="54">
        <v>19</v>
      </c>
      <c r="AP16536" s="54">
        <v>22</v>
      </c>
      <c r="AQ16536" s="54">
        <v>0</v>
      </c>
      <c r="AR16536" s="55">
        <v>28500</v>
      </c>
      <c r="AS16536" s="78">
        <f t="shared" si="262"/>
        <v>0</v>
      </c>
    </row>
    <row r="16537" spans="39:45">
      <c r="AM16537" s="55">
        <v>2020</v>
      </c>
      <c r="AN16537" s="55" t="s">
        <v>192</v>
      </c>
      <c r="AO16537" s="55">
        <v>19</v>
      </c>
      <c r="AP16537" s="55">
        <v>23</v>
      </c>
      <c r="AQ16537" s="55">
        <v>0</v>
      </c>
      <c r="AR16537" s="55">
        <v>28500</v>
      </c>
      <c r="AS16537" s="78">
        <f t="shared" si="262"/>
        <v>0</v>
      </c>
    </row>
    <row r="16538" spans="39:45">
      <c r="AM16538" s="54">
        <v>2020</v>
      </c>
      <c r="AN16538" s="54" t="s">
        <v>192</v>
      </c>
      <c r="AO16538" s="54">
        <v>20</v>
      </c>
      <c r="AP16538" s="54">
        <v>24</v>
      </c>
      <c r="AQ16538" s="54">
        <v>0</v>
      </c>
      <c r="AR16538" s="55">
        <v>28500</v>
      </c>
      <c r="AS16538" s="78">
        <f t="shared" si="262"/>
        <v>0</v>
      </c>
    </row>
    <row r="16539" spans="39:45">
      <c r="AM16539" s="55">
        <v>2020</v>
      </c>
      <c r="AN16539" s="55" t="s">
        <v>192</v>
      </c>
      <c r="AO16539" s="55">
        <v>20</v>
      </c>
      <c r="AP16539" s="55">
        <v>1</v>
      </c>
      <c r="AQ16539" s="55">
        <v>0</v>
      </c>
      <c r="AR16539" s="55">
        <v>28500</v>
      </c>
      <c r="AS16539" s="78">
        <f t="shared" si="262"/>
        <v>0</v>
      </c>
    </row>
    <row r="16540" spans="39:45">
      <c r="AM16540" s="54">
        <v>2020</v>
      </c>
      <c r="AN16540" s="54" t="s">
        <v>192</v>
      </c>
      <c r="AO16540" s="54">
        <v>20</v>
      </c>
      <c r="AP16540" s="54">
        <v>2</v>
      </c>
      <c r="AQ16540" s="54">
        <v>0</v>
      </c>
      <c r="AR16540" s="55">
        <v>28500</v>
      </c>
      <c r="AS16540" s="78">
        <f t="shared" si="262"/>
        <v>0</v>
      </c>
    </row>
    <row r="16541" spans="39:45">
      <c r="AM16541" s="55">
        <v>2020</v>
      </c>
      <c r="AN16541" s="55" t="s">
        <v>192</v>
      </c>
      <c r="AO16541" s="55">
        <v>20</v>
      </c>
      <c r="AP16541" s="55">
        <v>3</v>
      </c>
      <c r="AQ16541" s="55">
        <v>0</v>
      </c>
      <c r="AR16541" s="55">
        <v>28500</v>
      </c>
      <c r="AS16541" s="78">
        <f t="shared" si="262"/>
        <v>0</v>
      </c>
    </row>
    <row r="16542" spans="39:45">
      <c r="AM16542" s="54">
        <v>2020</v>
      </c>
      <c r="AN16542" s="54" t="s">
        <v>192</v>
      </c>
      <c r="AO16542" s="54">
        <v>20</v>
      </c>
      <c r="AP16542" s="54">
        <v>4</v>
      </c>
      <c r="AQ16542" s="54">
        <v>0</v>
      </c>
      <c r="AR16542" s="55">
        <v>28500</v>
      </c>
      <c r="AS16542" s="78">
        <f t="shared" si="262"/>
        <v>0</v>
      </c>
    </row>
    <row r="16543" spans="39:45">
      <c r="AM16543" s="55">
        <v>2020</v>
      </c>
      <c r="AN16543" s="55" t="s">
        <v>192</v>
      </c>
      <c r="AO16543" s="55">
        <v>20</v>
      </c>
      <c r="AP16543" s="55">
        <v>5</v>
      </c>
      <c r="AQ16543" s="55">
        <v>0</v>
      </c>
      <c r="AR16543" s="55">
        <v>28500</v>
      </c>
      <c r="AS16543" s="78">
        <f t="shared" si="262"/>
        <v>0</v>
      </c>
    </row>
    <row r="16544" spans="39:45">
      <c r="AM16544" s="54">
        <v>2020</v>
      </c>
      <c r="AN16544" s="54" t="s">
        <v>192</v>
      </c>
      <c r="AO16544" s="54">
        <v>20</v>
      </c>
      <c r="AP16544" s="54">
        <v>6</v>
      </c>
      <c r="AQ16544" s="54">
        <v>0</v>
      </c>
      <c r="AR16544" s="55">
        <v>28500</v>
      </c>
      <c r="AS16544" s="78">
        <f t="shared" si="262"/>
        <v>0</v>
      </c>
    </row>
    <row r="16545" spans="39:45">
      <c r="AM16545" s="55">
        <v>2020</v>
      </c>
      <c r="AN16545" s="55" t="s">
        <v>192</v>
      </c>
      <c r="AO16545" s="55">
        <v>20</v>
      </c>
      <c r="AP16545" s="55">
        <v>7</v>
      </c>
      <c r="AQ16545" s="55">
        <v>0</v>
      </c>
      <c r="AR16545" s="55">
        <v>28500</v>
      </c>
      <c r="AS16545" s="78">
        <f t="shared" si="262"/>
        <v>0</v>
      </c>
    </row>
    <row r="16546" spans="39:45">
      <c r="AM16546" s="54">
        <v>2020</v>
      </c>
      <c r="AN16546" s="54" t="s">
        <v>192</v>
      </c>
      <c r="AO16546" s="54">
        <v>20</v>
      </c>
      <c r="AP16546" s="54">
        <v>8</v>
      </c>
      <c r="AQ16546" s="54">
        <v>976.5</v>
      </c>
      <c r="AR16546" s="55">
        <v>28500</v>
      </c>
      <c r="AS16546" s="78">
        <f t="shared" si="262"/>
        <v>3.4263157894736843E-2</v>
      </c>
    </row>
    <row r="16547" spans="39:45">
      <c r="AM16547" s="55">
        <v>2020</v>
      </c>
      <c r="AN16547" s="55" t="s">
        <v>192</v>
      </c>
      <c r="AO16547" s="55">
        <v>20</v>
      </c>
      <c r="AP16547" s="55">
        <v>9</v>
      </c>
      <c r="AQ16547" s="55">
        <v>5724.5</v>
      </c>
      <c r="AR16547" s="55">
        <v>28500</v>
      </c>
      <c r="AS16547" s="78">
        <f t="shared" si="262"/>
        <v>0.20085964912280702</v>
      </c>
    </row>
    <row r="16548" spans="39:45">
      <c r="AM16548" s="54">
        <v>2020</v>
      </c>
      <c r="AN16548" s="54" t="s">
        <v>192</v>
      </c>
      <c r="AO16548" s="54">
        <v>20</v>
      </c>
      <c r="AP16548" s="54">
        <v>10</v>
      </c>
      <c r="AQ16548" s="54">
        <v>19946.5</v>
      </c>
      <c r="AR16548" s="55">
        <v>28500</v>
      </c>
      <c r="AS16548" s="78">
        <f t="shared" si="262"/>
        <v>0.6998771929824561</v>
      </c>
    </row>
    <row r="16549" spans="39:45">
      <c r="AM16549" s="55">
        <v>2020</v>
      </c>
      <c r="AN16549" s="55" t="s">
        <v>192</v>
      </c>
      <c r="AO16549" s="55">
        <v>20</v>
      </c>
      <c r="AP16549" s="55">
        <v>11</v>
      </c>
      <c r="AQ16549" s="55">
        <v>8389.5</v>
      </c>
      <c r="AR16549" s="55">
        <v>28500</v>
      </c>
      <c r="AS16549" s="78">
        <f t="shared" si="262"/>
        <v>0.29436842105263156</v>
      </c>
    </row>
    <row r="16550" spans="39:45">
      <c r="AM16550" s="54">
        <v>2020</v>
      </c>
      <c r="AN16550" s="54" t="s">
        <v>192</v>
      </c>
      <c r="AO16550" s="54">
        <v>20</v>
      </c>
      <c r="AP16550" s="54">
        <v>12</v>
      </c>
      <c r="AQ16550" s="54">
        <v>6912.5</v>
      </c>
      <c r="AR16550" s="55">
        <v>28500</v>
      </c>
      <c r="AS16550" s="78">
        <f t="shared" si="262"/>
        <v>0.24254385964912281</v>
      </c>
    </row>
    <row r="16551" spans="39:45">
      <c r="AM16551" s="55">
        <v>2020</v>
      </c>
      <c r="AN16551" s="55" t="s">
        <v>192</v>
      </c>
      <c r="AO16551" s="55">
        <v>20</v>
      </c>
      <c r="AP16551" s="55">
        <v>13</v>
      </c>
      <c r="AQ16551" s="55">
        <v>7138</v>
      </c>
      <c r="AR16551" s="55">
        <v>28500</v>
      </c>
      <c r="AS16551" s="78">
        <f t="shared" si="262"/>
        <v>0.25045614035087721</v>
      </c>
    </row>
    <row r="16552" spans="39:45">
      <c r="AM16552" s="54">
        <v>2020</v>
      </c>
      <c r="AN16552" s="54" t="s">
        <v>192</v>
      </c>
      <c r="AO16552" s="54">
        <v>20</v>
      </c>
      <c r="AP16552" s="54">
        <v>14</v>
      </c>
      <c r="AQ16552" s="54">
        <v>6358.5</v>
      </c>
      <c r="AR16552" s="55">
        <v>28500</v>
      </c>
      <c r="AS16552" s="78">
        <f t="shared" si="262"/>
        <v>0.22310526315789472</v>
      </c>
    </row>
    <row r="16553" spans="39:45">
      <c r="AM16553" s="55">
        <v>2020</v>
      </c>
      <c r="AN16553" s="55" t="s">
        <v>192</v>
      </c>
      <c r="AO16553" s="55">
        <v>20</v>
      </c>
      <c r="AP16553" s="55">
        <v>15</v>
      </c>
      <c r="AQ16553" s="55">
        <v>1455</v>
      </c>
      <c r="AR16553" s="55">
        <v>28500</v>
      </c>
      <c r="AS16553" s="78">
        <f t="shared" si="262"/>
        <v>5.105263157894737E-2</v>
      </c>
    </row>
    <row r="16554" spans="39:45">
      <c r="AM16554" s="54">
        <v>2020</v>
      </c>
      <c r="AN16554" s="54" t="s">
        <v>192</v>
      </c>
      <c r="AO16554" s="54">
        <v>20</v>
      </c>
      <c r="AP16554" s="54">
        <v>16</v>
      </c>
      <c r="AQ16554" s="54">
        <v>0</v>
      </c>
      <c r="AR16554" s="55">
        <v>28500</v>
      </c>
      <c r="AS16554" s="78">
        <f t="shared" si="262"/>
        <v>0</v>
      </c>
    </row>
    <row r="16555" spans="39:45">
      <c r="AM16555" s="55">
        <v>2020</v>
      </c>
      <c r="AN16555" s="55" t="s">
        <v>192</v>
      </c>
      <c r="AO16555" s="55">
        <v>20</v>
      </c>
      <c r="AP16555" s="55">
        <v>17</v>
      </c>
      <c r="AQ16555" s="55">
        <v>0</v>
      </c>
      <c r="AR16555" s="55">
        <v>28500</v>
      </c>
      <c r="AS16555" s="78">
        <f t="shared" si="262"/>
        <v>0</v>
      </c>
    </row>
    <row r="16556" spans="39:45">
      <c r="AM16556" s="54">
        <v>2020</v>
      </c>
      <c r="AN16556" s="54" t="s">
        <v>192</v>
      </c>
      <c r="AO16556" s="54">
        <v>20</v>
      </c>
      <c r="AP16556" s="54">
        <v>18</v>
      </c>
      <c r="AQ16556" s="54">
        <v>0</v>
      </c>
      <c r="AR16556" s="55">
        <v>28500</v>
      </c>
      <c r="AS16556" s="78">
        <f t="shared" si="262"/>
        <v>0</v>
      </c>
    </row>
    <row r="16557" spans="39:45">
      <c r="AM16557" s="55">
        <v>2020</v>
      </c>
      <c r="AN16557" s="55" t="s">
        <v>192</v>
      </c>
      <c r="AO16557" s="55">
        <v>20</v>
      </c>
      <c r="AP16557" s="55">
        <v>19</v>
      </c>
      <c r="AQ16557" s="55">
        <v>0</v>
      </c>
      <c r="AR16557" s="55">
        <v>28500</v>
      </c>
      <c r="AS16557" s="78">
        <f t="shared" si="262"/>
        <v>0</v>
      </c>
    </row>
    <row r="16558" spans="39:45">
      <c r="AM16558" s="54">
        <v>2020</v>
      </c>
      <c r="AN16558" s="54" t="s">
        <v>192</v>
      </c>
      <c r="AO16558" s="54">
        <v>20</v>
      </c>
      <c r="AP16558" s="54">
        <v>20</v>
      </c>
      <c r="AQ16558" s="54">
        <v>0</v>
      </c>
      <c r="AR16558" s="55">
        <v>28500</v>
      </c>
      <c r="AS16558" s="78">
        <f t="shared" si="262"/>
        <v>0</v>
      </c>
    </row>
    <row r="16559" spans="39:45">
      <c r="AM16559" s="55">
        <v>2020</v>
      </c>
      <c r="AN16559" s="55" t="s">
        <v>192</v>
      </c>
      <c r="AO16559" s="55">
        <v>20</v>
      </c>
      <c r="AP16559" s="55">
        <v>21</v>
      </c>
      <c r="AQ16559" s="55">
        <v>0</v>
      </c>
      <c r="AR16559" s="55">
        <v>28500</v>
      </c>
      <c r="AS16559" s="78">
        <f t="shared" si="262"/>
        <v>0</v>
      </c>
    </row>
    <row r="16560" spans="39:45">
      <c r="AM16560" s="54">
        <v>2020</v>
      </c>
      <c r="AN16560" s="54" t="s">
        <v>192</v>
      </c>
      <c r="AO16560" s="54">
        <v>20</v>
      </c>
      <c r="AP16560" s="54">
        <v>22</v>
      </c>
      <c r="AQ16560" s="54">
        <v>0</v>
      </c>
      <c r="AR16560" s="55">
        <v>28500</v>
      </c>
      <c r="AS16560" s="78">
        <f t="shared" si="262"/>
        <v>0</v>
      </c>
    </row>
    <row r="16561" spans="39:45">
      <c r="AM16561" s="55">
        <v>2020</v>
      </c>
      <c r="AN16561" s="55" t="s">
        <v>192</v>
      </c>
      <c r="AO16561" s="55">
        <v>20</v>
      </c>
      <c r="AP16561" s="55">
        <v>23</v>
      </c>
      <c r="AQ16561" s="55">
        <v>0</v>
      </c>
      <c r="AR16561" s="55">
        <v>28500</v>
      </c>
      <c r="AS16561" s="78">
        <f t="shared" si="262"/>
        <v>0</v>
      </c>
    </row>
    <row r="16562" spans="39:45">
      <c r="AM16562" s="54">
        <v>2020</v>
      </c>
      <c r="AN16562" s="54" t="s">
        <v>192</v>
      </c>
      <c r="AO16562" s="54">
        <v>21</v>
      </c>
      <c r="AP16562" s="54">
        <v>24</v>
      </c>
      <c r="AQ16562" s="54">
        <v>0</v>
      </c>
      <c r="AR16562" s="55">
        <v>28500</v>
      </c>
      <c r="AS16562" s="78">
        <f t="shared" si="262"/>
        <v>0</v>
      </c>
    </row>
    <row r="16563" spans="39:45">
      <c r="AM16563" s="55">
        <v>2020</v>
      </c>
      <c r="AN16563" s="55" t="s">
        <v>192</v>
      </c>
      <c r="AO16563" s="55">
        <v>21</v>
      </c>
      <c r="AP16563" s="55">
        <v>1</v>
      </c>
      <c r="AQ16563" s="55">
        <v>0</v>
      </c>
      <c r="AR16563" s="55">
        <v>28500</v>
      </c>
      <c r="AS16563" s="78">
        <f t="shared" si="262"/>
        <v>0</v>
      </c>
    </row>
    <row r="16564" spans="39:45">
      <c r="AM16564" s="54">
        <v>2020</v>
      </c>
      <c r="AN16564" s="54" t="s">
        <v>192</v>
      </c>
      <c r="AO16564" s="54">
        <v>21</v>
      </c>
      <c r="AP16564" s="54">
        <v>2</v>
      </c>
      <c r="AQ16564" s="54">
        <v>0</v>
      </c>
      <c r="AR16564" s="55">
        <v>28500</v>
      </c>
      <c r="AS16564" s="78">
        <f t="shared" si="262"/>
        <v>0</v>
      </c>
    </row>
    <row r="16565" spans="39:45">
      <c r="AM16565" s="55">
        <v>2020</v>
      </c>
      <c r="AN16565" s="55" t="s">
        <v>192</v>
      </c>
      <c r="AO16565" s="55">
        <v>21</v>
      </c>
      <c r="AP16565" s="55">
        <v>3</v>
      </c>
      <c r="AQ16565" s="55">
        <v>0</v>
      </c>
      <c r="AR16565" s="55">
        <v>28500</v>
      </c>
      <c r="AS16565" s="78">
        <f t="shared" si="262"/>
        <v>0</v>
      </c>
    </row>
    <row r="16566" spans="39:45">
      <c r="AM16566" s="54">
        <v>2020</v>
      </c>
      <c r="AN16566" s="54" t="s">
        <v>192</v>
      </c>
      <c r="AO16566" s="54">
        <v>21</v>
      </c>
      <c r="AP16566" s="54">
        <v>4</v>
      </c>
      <c r="AQ16566" s="54">
        <v>0</v>
      </c>
      <c r="AR16566" s="55">
        <v>28500</v>
      </c>
      <c r="AS16566" s="78">
        <f t="shared" si="262"/>
        <v>0</v>
      </c>
    </row>
    <row r="16567" spans="39:45">
      <c r="AM16567" s="55">
        <v>2020</v>
      </c>
      <c r="AN16567" s="55" t="s">
        <v>192</v>
      </c>
      <c r="AO16567" s="55">
        <v>21</v>
      </c>
      <c r="AP16567" s="55">
        <v>5</v>
      </c>
      <c r="AQ16567" s="55">
        <v>0</v>
      </c>
      <c r="AR16567" s="55">
        <v>28500</v>
      </c>
      <c r="AS16567" s="78">
        <f t="shared" si="262"/>
        <v>0</v>
      </c>
    </row>
    <row r="16568" spans="39:45">
      <c r="AM16568" s="54">
        <v>2020</v>
      </c>
      <c r="AN16568" s="54" t="s">
        <v>192</v>
      </c>
      <c r="AO16568" s="54">
        <v>21</v>
      </c>
      <c r="AP16568" s="54">
        <v>6</v>
      </c>
      <c r="AQ16568" s="54">
        <v>0</v>
      </c>
      <c r="AR16568" s="55">
        <v>28500</v>
      </c>
      <c r="AS16568" s="78">
        <f t="shared" si="262"/>
        <v>0</v>
      </c>
    </row>
    <row r="16569" spans="39:45">
      <c r="AM16569" s="55">
        <v>2020</v>
      </c>
      <c r="AN16569" s="55" t="s">
        <v>192</v>
      </c>
      <c r="AO16569" s="55">
        <v>21</v>
      </c>
      <c r="AP16569" s="55">
        <v>7</v>
      </c>
      <c r="AQ16569" s="55">
        <v>0</v>
      </c>
      <c r="AR16569" s="55">
        <v>28500</v>
      </c>
      <c r="AS16569" s="78">
        <f t="shared" si="262"/>
        <v>0</v>
      </c>
    </row>
    <row r="16570" spans="39:45">
      <c r="AM16570" s="54">
        <v>2020</v>
      </c>
      <c r="AN16570" s="54" t="s">
        <v>192</v>
      </c>
      <c r="AO16570" s="54">
        <v>21</v>
      </c>
      <c r="AP16570" s="54">
        <v>8</v>
      </c>
      <c r="AQ16570" s="54">
        <v>4163</v>
      </c>
      <c r="AR16570" s="55">
        <v>28500</v>
      </c>
      <c r="AS16570" s="78">
        <f t="shared" si="262"/>
        <v>0.14607017543859649</v>
      </c>
    </row>
    <row r="16571" spans="39:45">
      <c r="AM16571" s="55">
        <v>2020</v>
      </c>
      <c r="AN16571" s="55" t="s">
        <v>192</v>
      </c>
      <c r="AO16571" s="55">
        <v>21</v>
      </c>
      <c r="AP16571" s="55">
        <v>9</v>
      </c>
      <c r="AQ16571" s="55">
        <v>1139.5</v>
      </c>
      <c r="AR16571" s="55">
        <v>28500</v>
      </c>
      <c r="AS16571" s="78">
        <f t="shared" si="262"/>
        <v>3.9982456140350876E-2</v>
      </c>
    </row>
    <row r="16572" spans="39:45">
      <c r="AM16572" s="54">
        <v>2020</v>
      </c>
      <c r="AN16572" s="54" t="s">
        <v>192</v>
      </c>
      <c r="AO16572" s="54">
        <v>21</v>
      </c>
      <c r="AP16572" s="54">
        <v>10</v>
      </c>
      <c r="AQ16572" s="54">
        <v>4970</v>
      </c>
      <c r="AR16572" s="55">
        <v>28500</v>
      </c>
      <c r="AS16572" s="78">
        <f t="shared" si="262"/>
        <v>0.1743859649122807</v>
      </c>
    </row>
    <row r="16573" spans="39:45">
      <c r="AM16573" s="55">
        <v>2020</v>
      </c>
      <c r="AN16573" s="55" t="s">
        <v>192</v>
      </c>
      <c r="AO16573" s="55">
        <v>21</v>
      </c>
      <c r="AP16573" s="55">
        <v>11</v>
      </c>
      <c r="AQ16573" s="55">
        <v>6442</v>
      </c>
      <c r="AR16573" s="55">
        <v>28500</v>
      </c>
      <c r="AS16573" s="78">
        <f t="shared" si="262"/>
        <v>0.22603508771929826</v>
      </c>
    </row>
    <row r="16574" spans="39:45">
      <c r="AM16574" s="54">
        <v>2020</v>
      </c>
      <c r="AN16574" s="54" t="s">
        <v>192</v>
      </c>
      <c r="AO16574" s="54">
        <v>21</v>
      </c>
      <c r="AP16574" s="54">
        <v>12</v>
      </c>
      <c r="AQ16574" s="54">
        <v>1882.5</v>
      </c>
      <c r="AR16574" s="55">
        <v>28500</v>
      </c>
      <c r="AS16574" s="78">
        <f t="shared" si="262"/>
        <v>6.6052631578947363E-2</v>
      </c>
    </row>
    <row r="16575" spans="39:45">
      <c r="AM16575" s="55">
        <v>2020</v>
      </c>
      <c r="AN16575" s="55" t="s">
        <v>192</v>
      </c>
      <c r="AO16575" s="55">
        <v>21</v>
      </c>
      <c r="AP16575" s="55">
        <v>13</v>
      </c>
      <c r="AQ16575" s="55">
        <v>4847.5</v>
      </c>
      <c r="AR16575" s="55">
        <v>28500</v>
      </c>
      <c r="AS16575" s="78">
        <f t="shared" si="262"/>
        <v>0.17008771929824562</v>
      </c>
    </row>
    <row r="16576" spans="39:45">
      <c r="AM16576" s="54">
        <v>2020</v>
      </c>
      <c r="AN16576" s="54" t="s">
        <v>192</v>
      </c>
      <c r="AO16576" s="54">
        <v>21</v>
      </c>
      <c r="AP16576" s="54">
        <v>14</v>
      </c>
      <c r="AQ16576" s="54">
        <v>1627</v>
      </c>
      <c r="AR16576" s="55">
        <v>28500</v>
      </c>
      <c r="AS16576" s="78">
        <f t="shared" si="262"/>
        <v>5.7087719298245611E-2</v>
      </c>
    </row>
    <row r="16577" spans="39:45">
      <c r="AM16577" s="55">
        <v>2020</v>
      </c>
      <c r="AN16577" s="55" t="s">
        <v>192</v>
      </c>
      <c r="AO16577" s="55">
        <v>21</v>
      </c>
      <c r="AP16577" s="55">
        <v>15</v>
      </c>
      <c r="AQ16577" s="55">
        <v>3964</v>
      </c>
      <c r="AR16577" s="55">
        <v>28500</v>
      </c>
      <c r="AS16577" s="78">
        <f t="shared" si="262"/>
        <v>0.13908771929824562</v>
      </c>
    </row>
    <row r="16578" spans="39:45">
      <c r="AM16578" s="54">
        <v>2020</v>
      </c>
      <c r="AN16578" s="54" t="s">
        <v>192</v>
      </c>
      <c r="AO16578" s="54">
        <v>21</v>
      </c>
      <c r="AP16578" s="54">
        <v>16</v>
      </c>
      <c r="AQ16578" s="54">
        <v>0</v>
      </c>
      <c r="AR16578" s="55">
        <v>28500</v>
      </c>
      <c r="AS16578" s="78">
        <f t="shared" ref="AS16578:AS16641" si="263">AQ16578/AR16578</f>
        <v>0</v>
      </c>
    </row>
    <row r="16579" spans="39:45">
      <c r="AM16579" s="55">
        <v>2020</v>
      </c>
      <c r="AN16579" s="55" t="s">
        <v>192</v>
      </c>
      <c r="AO16579" s="55">
        <v>21</v>
      </c>
      <c r="AP16579" s="55">
        <v>17</v>
      </c>
      <c r="AQ16579" s="55">
        <v>0</v>
      </c>
      <c r="AR16579" s="55">
        <v>28500</v>
      </c>
      <c r="AS16579" s="78">
        <f t="shared" si="263"/>
        <v>0</v>
      </c>
    </row>
    <row r="16580" spans="39:45">
      <c r="AM16580" s="54">
        <v>2020</v>
      </c>
      <c r="AN16580" s="54" t="s">
        <v>192</v>
      </c>
      <c r="AO16580" s="54">
        <v>21</v>
      </c>
      <c r="AP16580" s="54">
        <v>18</v>
      </c>
      <c r="AQ16580" s="54">
        <v>0</v>
      </c>
      <c r="AR16580" s="55">
        <v>28500</v>
      </c>
      <c r="AS16580" s="78">
        <f t="shared" si="263"/>
        <v>0</v>
      </c>
    </row>
    <row r="16581" spans="39:45">
      <c r="AM16581" s="55">
        <v>2020</v>
      </c>
      <c r="AN16581" s="55" t="s">
        <v>192</v>
      </c>
      <c r="AO16581" s="55">
        <v>21</v>
      </c>
      <c r="AP16581" s="55">
        <v>19</v>
      </c>
      <c r="AQ16581" s="55">
        <v>0</v>
      </c>
      <c r="AR16581" s="55">
        <v>28500</v>
      </c>
      <c r="AS16581" s="78">
        <f t="shared" si="263"/>
        <v>0</v>
      </c>
    </row>
    <row r="16582" spans="39:45">
      <c r="AM16582" s="54">
        <v>2020</v>
      </c>
      <c r="AN16582" s="54" t="s">
        <v>192</v>
      </c>
      <c r="AO16582" s="54">
        <v>21</v>
      </c>
      <c r="AP16582" s="54">
        <v>20</v>
      </c>
      <c r="AQ16582" s="54">
        <v>0</v>
      </c>
      <c r="AR16582" s="55">
        <v>28500</v>
      </c>
      <c r="AS16582" s="78">
        <f t="shared" si="263"/>
        <v>0</v>
      </c>
    </row>
    <row r="16583" spans="39:45">
      <c r="AM16583" s="55">
        <v>2020</v>
      </c>
      <c r="AN16583" s="55" t="s">
        <v>192</v>
      </c>
      <c r="AO16583" s="55">
        <v>21</v>
      </c>
      <c r="AP16583" s="55">
        <v>21</v>
      </c>
      <c r="AQ16583" s="55">
        <v>0</v>
      </c>
      <c r="AR16583" s="55">
        <v>28500</v>
      </c>
      <c r="AS16583" s="78">
        <f t="shared" si="263"/>
        <v>0</v>
      </c>
    </row>
    <row r="16584" spans="39:45">
      <c r="AM16584" s="54">
        <v>2020</v>
      </c>
      <c r="AN16584" s="54" t="s">
        <v>192</v>
      </c>
      <c r="AO16584" s="54">
        <v>21</v>
      </c>
      <c r="AP16584" s="54">
        <v>22</v>
      </c>
      <c r="AQ16584" s="54">
        <v>0</v>
      </c>
      <c r="AR16584" s="55">
        <v>28500</v>
      </c>
      <c r="AS16584" s="78">
        <f t="shared" si="263"/>
        <v>0</v>
      </c>
    </row>
    <row r="16585" spans="39:45">
      <c r="AM16585" s="55">
        <v>2020</v>
      </c>
      <c r="AN16585" s="55" t="s">
        <v>192</v>
      </c>
      <c r="AO16585" s="55">
        <v>21</v>
      </c>
      <c r="AP16585" s="55">
        <v>23</v>
      </c>
      <c r="AQ16585" s="55">
        <v>0</v>
      </c>
      <c r="AR16585" s="55">
        <v>28500</v>
      </c>
      <c r="AS16585" s="78">
        <f t="shared" si="263"/>
        <v>0</v>
      </c>
    </row>
    <row r="16586" spans="39:45">
      <c r="AM16586" s="54">
        <v>2020</v>
      </c>
      <c r="AN16586" s="54" t="s">
        <v>192</v>
      </c>
      <c r="AO16586" s="54">
        <v>22</v>
      </c>
      <c r="AP16586" s="54">
        <v>24</v>
      </c>
      <c r="AQ16586" s="54">
        <v>0</v>
      </c>
      <c r="AR16586" s="55">
        <v>28500</v>
      </c>
      <c r="AS16586" s="78">
        <f t="shared" si="263"/>
        <v>0</v>
      </c>
    </row>
    <row r="16587" spans="39:45">
      <c r="AM16587" s="55">
        <v>2020</v>
      </c>
      <c r="AN16587" s="55" t="s">
        <v>192</v>
      </c>
      <c r="AO16587" s="55">
        <v>22</v>
      </c>
      <c r="AP16587" s="55">
        <v>1</v>
      </c>
      <c r="AQ16587" s="55">
        <v>0</v>
      </c>
      <c r="AR16587" s="55">
        <v>28500</v>
      </c>
      <c r="AS16587" s="78">
        <f t="shared" si="263"/>
        <v>0</v>
      </c>
    </row>
    <row r="16588" spans="39:45">
      <c r="AM16588" s="54">
        <v>2020</v>
      </c>
      <c r="AN16588" s="54" t="s">
        <v>192</v>
      </c>
      <c r="AO16588" s="54">
        <v>22</v>
      </c>
      <c r="AP16588" s="54">
        <v>2</v>
      </c>
      <c r="AQ16588" s="54">
        <v>0</v>
      </c>
      <c r="AR16588" s="55">
        <v>28500</v>
      </c>
      <c r="AS16588" s="78">
        <f t="shared" si="263"/>
        <v>0</v>
      </c>
    </row>
    <row r="16589" spans="39:45">
      <c r="AM16589" s="55">
        <v>2020</v>
      </c>
      <c r="AN16589" s="55" t="s">
        <v>192</v>
      </c>
      <c r="AO16589" s="55">
        <v>22</v>
      </c>
      <c r="AP16589" s="55">
        <v>3</v>
      </c>
      <c r="AQ16589" s="55">
        <v>0</v>
      </c>
      <c r="AR16589" s="55">
        <v>28500</v>
      </c>
      <c r="AS16589" s="78">
        <f t="shared" si="263"/>
        <v>0</v>
      </c>
    </row>
    <row r="16590" spans="39:45">
      <c r="AM16590" s="54">
        <v>2020</v>
      </c>
      <c r="AN16590" s="54" t="s">
        <v>192</v>
      </c>
      <c r="AO16590" s="54">
        <v>22</v>
      </c>
      <c r="AP16590" s="54">
        <v>4</v>
      </c>
      <c r="AQ16590" s="54">
        <v>0</v>
      </c>
      <c r="AR16590" s="55">
        <v>28500</v>
      </c>
      <c r="AS16590" s="78">
        <f t="shared" si="263"/>
        <v>0</v>
      </c>
    </row>
    <row r="16591" spans="39:45">
      <c r="AM16591" s="55">
        <v>2020</v>
      </c>
      <c r="AN16591" s="55" t="s">
        <v>192</v>
      </c>
      <c r="AO16591" s="55">
        <v>22</v>
      </c>
      <c r="AP16591" s="55">
        <v>5</v>
      </c>
      <c r="AQ16591" s="55">
        <v>0</v>
      </c>
      <c r="AR16591" s="55">
        <v>28500</v>
      </c>
      <c r="AS16591" s="78">
        <f t="shared" si="263"/>
        <v>0</v>
      </c>
    </row>
    <row r="16592" spans="39:45">
      <c r="AM16592" s="54">
        <v>2020</v>
      </c>
      <c r="AN16592" s="54" t="s">
        <v>192</v>
      </c>
      <c r="AO16592" s="54">
        <v>22</v>
      </c>
      <c r="AP16592" s="54">
        <v>6</v>
      </c>
      <c r="AQ16592" s="54">
        <v>0</v>
      </c>
      <c r="AR16592" s="55">
        <v>28500</v>
      </c>
      <c r="AS16592" s="78">
        <f t="shared" si="263"/>
        <v>0</v>
      </c>
    </row>
    <row r="16593" spans="39:45">
      <c r="AM16593" s="55">
        <v>2020</v>
      </c>
      <c r="AN16593" s="55" t="s">
        <v>192</v>
      </c>
      <c r="AO16593" s="55">
        <v>22</v>
      </c>
      <c r="AP16593" s="55">
        <v>7</v>
      </c>
      <c r="AQ16593" s="55">
        <v>0</v>
      </c>
      <c r="AR16593" s="55">
        <v>28500</v>
      </c>
      <c r="AS16593" s="78">
        <f t="shared" si="263"/>
        <v>0</v>
      </c>
    </row>
    <row r="16594" spans="39:45">
      <c r="AM16594" s="54">
        <v>2020</v>
      </c>
      <c r="AN16594" s="54" t="s">
        <v>192</v>
      </c>
      <c r="AO16594" s="54">
        <v>22</v>
      </c>
      <c r="AP16594" s="54">
        <v>8</v>
      </c>
      <c r="AQ16594" s="54">
        <v>1208.5</v>
      </c>
      <c r="AR16594" s="55">
        <v>28500</v>
      </c>
      <c r="AS16594" s="78">
        <f t="shared" si="263"/>
        <v>4.2403508771929825E-2</v>
      </c>
    </row>
    <row r="16595" spans="39:45">
      <c r="AM16595" s="55">
        <v>2020</v>
      </c>
      <c r="AN16595" s="55" t="s">
        <v>192</v>
      </c>
      <c r="AO16595" s="55">
        <v>22</v>
      </c>
      <c r="AP16595" s="55">
        <v>9</v>
      </c>
      <c r="AQ16595" s="55">
        <v>4740</v>
      </c>
      <c r="AR16595" s="55">
        <v>28500</v>
      </c>
      <c r="AS16595" s="78">
        <f t="shared" si="263"/>
        <v>0.16631578947368422</v>
      </c>
    </row>
    <row r="16596" spans="39:45">
      <c r="AM16596" s="54">
        <v>2020</v>
      </c>
      <c r="AN16596" s="54" t="s">
        <v>192</v>
      </c>
      <c r="AO16596" s="54">
        <v>22</v>
      </c>
      <c r="AP16596" s="54">
        <v>10</v>
      </c>
      <c r="AQ16596" s="54">
        <v>7981.5</v>
      </c>
      <c r="AR16596" s="55">
        <v>28500</v>
      </c>
      <c r="AS16596" s="78">
        <f t="shared" si="263"/>
        <v>0.28005263157894739</v>
      </c>
    </row>
    <row r="16597" spans="39:45">
      <c r="AM16597" s="55">
        <v>2020</v>
      </c>
      <c r="AN16597" s="55" t="s">
        <v>192</v>
      </c>
      <c r="AO16597" s="55">
        <v>22</v>
      </c>
      <c r="AP16597" s="55">
        <v>11</v>
      </c>
      <c r="AQ16597" s="55">
        <v>30002.5</v>
      </c>
      <c r="AR16597" s="55">
        <v>28500</v>
      </c>
      <c r="AS16597" s="78">
        <f t="shared" si="263"/>
        <v>1.0527192982456139</v>
      </c>
    </row>
    <row r="16598" spans="39:45">
      <c r="AM16598" s="54">
        <v>2020</v>
      </c>
      <c r="AN16598" s="54" t="s">
        <v>192</v>
      </c>
      <c r="AO16598" s="54">
        <v>22</v>
      </c>
      <c r="AP16598" s="54">
        <v>12</v>
      </c>
      <c r="AQ16598" s="54">
        <v>5192.5</v>
      </c>
      <c r="AR16598" s="55">
        <v>28500</v>
      </c>
      <c r="AS16598" s="78">
        <f t="shared" si="263"/>
        <v>0.18219298245614035</v>
      </c>
    </row>
    <row r="16599" spans="39:45">
      <c r="AM16599" s="55">
        <v>2020</v>
      </c>
      <c r="AN16599" s="55" t="s">
        <v>192</v>
      </c>
      <c r="AO16599" s="55">
        <v>22</v>
      </c>
      <c r="AP16599" s="55">
        <v>13</v>
      </c>
      <c r="AQ16599" s="55">
        <v>20529</v>
      </c>
      <c r="AR16599" s="55">
        <v>28500</v>
      </c>
      <c r="AS16599" s="78">
        <f t="shared" si="263"/>
        <v>0.72031578947368424</v>
      </c>
    </row>
    <row r="16600" spans="39:45">
      <c r="AM16600" s="54">
        <v>2020</v>
      </c>
      <c r="AN16600" s="54" t="s">
        <v>192</v>
      </c>
      <c r="AO16600" s="54">
        <v>22</v>
      </c>
      <c r="AP16600" s="54">
        <v>14</v>
      </c>
      <c r="AQ16600" s="54">
        <v>17929</v>
      </c>
      <c r="AR16600" s="55">
        <v>28500</v>
      </c>
      <c r="AS16600" s="78">
        <f t="shared" si="263"/>
        <v>0.62908771929824558</v>
      </c>
    </row>
    <row r="16601" spans="39:45">
      <c r="AM16601" s="55">
        <v>2020</v>
      </c>
      <c r="AN16601" s="55" t="s">
        <v>192</v>
      </c>
      <c r="AO16601" s="55">
        <v>22</v>
      </c>
      <c r="AP16601" s="55">
        <v>15</v>
      </c>
      <c r="AQ16601" s="55">
        <v>8425</v>
      </c>
      <c r="AR16601" s="55">
        <v>28500</v>
      </c>
      <c r="AS16601" s="78">
        <f t="shared" si="263"/>
        <v>0.29561403508771927</v>
      </c>
    </row>
    <row r="16602" spans="39:45">
      <c r="AM16602" s="54">
        <v>2020</v>
      </c>
      <c r="AN16602" s="54" t="s">
        <v>192</v>
      </c>
      <c r="AO16602" s="54">
        <v>22</v>
      </c>
      <c r="AP16602" s="54">
        <v>16</v>
      </c>
      <c r="AQ16602" s="54">
        <v>0</v>
      </c>
      <c r="AR16602" s="55">
        <v>28500</v>
      </c>
      <c r="AS16602" s="78">
        <f t="shared" si="263"/>
        <v>0</v>
      </c>
    </row>
    <row r="16603" spans="39:45">
      <c r="AM16603" s="55">
        <v>2020</v>
      </c>
      <c r="AN16603" s="55" t="s">
        <v>192</v>
      </c>
      <c r="AO16603" s="55">
        <v>22</v>
      </c>
      <c r="AP16603" s="55">
        <v>17</v>
      </c>
      <c r="AQ16603" s="55">
        <v>0</v>
      </c>
      <c r="AR16603" s="55">
        <v>28500</v>
      </c>
      <c r="AS16603" s="78">
        <f t="shared" si="263"/>
        <v>0</v>
      </c>
    </row>
    <row r="16604" spans="39:45">
      <c r="AM16604" s="54">
        <v>2020</v>
      </c>
      <c r="AN16604" s="54" t="s">
        <v>192</v>
      </c>
      <c r="AO16604" s="54">
        <v>22</v>
      </c>
      <c r="AP16604" s="54">
        <v>18</v>
      </c>
      <c r="AQ16604" s="54">
        <v>0</v>
      </c>
      <c r="AR16604" s="55">
        <v>28500</v>
      </c>
      <c r="AS16604" s="78">
        <f t="shared" si="263"/>
        <v>0</v>
      </c>
    </row>
    <row r="16605" spans="39:45">
      <c r="AM16605" s="55">
        <v>2020</v>
      </c>
      <c r="AN16605" s="55" t="s">
        <v>192</v>
      </c>
      <c r="AO16605" s="55">
        <v>22</v>
      </c>
      <c r="AP16605" s="55">
        <v>19</v>
      </c>
      <c r="AQ16605" s="55">
        <v>0</v>
      </c>
      <c r="AR16605" s="55">
        <v>28500</v>
      </c>
      <c r="AS16605" s="78">
        <f t="shared" si="263"/>
        <v>0</v>
      </c>
    </row>
    <row r="16606" spans="39:45">
      <c r="AM16606" s="54">
        <v>2020</v>
      </c>
      <c r="AN16606" s="54" t="s">
        <v>192</v>
      </c>
      <c r="AO16606" s="54">
        <v>22</v>
      </c>
      <c r="AP16606" s="54">
        <v>20</v>
      </c>
      <c r="AQ16606" s="54">
        <v>0</v>
      </c>
      <c r="AR16606" s="55">
        <v>28500</v>
      </c>
      <c r="AS16606" s="78">
        <f t="shared" si="263"/>
        <v>0</v>
      </c>
    </row>
    <row r="16607" spans="39:45">
      <c r="AM16607" s="55">
        <v>2020</v>
      </c>
      <c r="AN16607" s="55" t="s">
        <v>192</v>
      </c>
      <c r="AO16607" s="55">
        <v>22</v>
      </c>
      <c r="AP16607" s="55">
        <v>21</v>
      </c>
      <c r="AQ16607" s="55">
        <v>0</v>
      </c>
      <c r="AR16607" s="55">
        <v>28500</v>
      </c>
      <c r="AS16607" s="78">
        <f t="shared" si="263"/>
        <v>0</v>
      </c>
    </row>
    <row r="16608" spans="39:45">
      <c r="AM16608" s="54">
        <v>2020</v>
      </c>
      <c r="AN16608" s="54" t="s">
        <v>192</v>
      </c>
      <c r="AO16608" s="54">
        <v>22</v>
      </c>
      <c r="AP16608" s="54">
        <v>22</v>
      </c>
      <c r="AQ16608" s="54">
        <v>0</v>
      </c>
      <c r="AR16608" s="55">
        <v>28500</v>
      </c>
      <c r="AS16608" s="78">
        <f t="shared" si="263"/>
        <v>0</v>
      </c>
    </row>
    <row r="16609" spans="39:45">
      <c r="AM16609" s="55">
        <v>2020</v>
      </c>
      <c r="AN16609" s="55" t="s">
        <v>192</v>
      </c>
      <c r="AO16609" s="55">
        <v>22</v>
      </c>
      <c r="AP16609" s="55">
        <v>23</v>
      </c>
      <c r="AQ16609" s="55">
        <v>0</v>
      </c>
      <c r="AR16609" s="55">
        <v>28500</v>
      </c>
      <c r="AS16609" s="78">
        <f t="shared" si="263"/>
        <v>0</v>
      </c>
    </row>
    <row r="16610" spans="39:45">
      <c r="AM16610" s="54">
        <v>2020</v>
      </c>
      <c r="AN16610" s="54" t="s">
        <v>192</v>
      </c>
      <c r="AO16610" s="54">
        <v>23</v>
      </c>
      <c r="AP16610" s="54">
        <v>24</v>
      </c>
      <c r="AQ16610" s="54">
        <v>0</v>
      </c>
      <c r="AR16610" s="55">
        <v>28500</v>
      </c>
      <c r="AS16610" s="78">
        <f t="shared" si="263"/>
        <v>0</v>
      </c>
    </row>
    <row r="16611" spans="39:45">
      <c r="AM16611" s="55">
        <v>2020</v>
      </c>
      <c r="AN16611" s="55" t="s">
        <v>192</v>
      </c>
      <c r="AO16611" s="55">
        <v>23</v>
      </c>
      <c r="AP16611" s="55">
        <v>1</v>
      </c>
      <c r="AQ16611" s="55">
        <v>0</v>
      </c>
      <c r="AR16611" s="55">
        <v>28500</v>
      </c>
      <c r="AS16611" s="78">
        <f t="shared" si="263"/>
        <v>0</v>
      </c>
    </row>
    <row r="16612" spans="39:45">
      <c r="AM16612" s="54">
        <v>2020</v>
      </c>
      <c r="AN16612" s="54" t="s">
        <v>192</v>
      </c>
      <c r="AO16612" s="54">
        <v>23</v>
      </c>
      <c r="AP16612" s="54">
        <v>2</v>
      </c>
      <c r="AQ16612" s="54">
        <v>0</v>
      </c>
      <c r="AR16612" s="55">
        <v>28500</v>
      </c>
      <c r="AS16612" s="78">
        <f t="shared" si="263"/>
        <v>0</v>
      </c>
    </row>
    <row r="16613" spans="39:45">
      <c r="AM16613" s="55">
        <v>2020</v>
      </c>
      <c r="AN16613" s="55" t="s">
        <v>192</v>
      </c>
      <c r="AO16613" s="55">
        <v>23</v>
      </c>
      <c r="AP16613" s="55">
        <v>3</v>
      </c>
      <c r="AQ16613" s="55">
        <v>0</v>
      </c>
      <c r="AR16613" s="55">
        <v>28500</v>
      </c>
      <c r="AS16613" s="78">
        <f t="shared" si="263"/>
        <v>0</v>
      </c>
    </row>
    <row r="16614" spans="39:45">
      <c r="AM16614" s="54">
        <v>2020</v>
      </c>
      <c r="AN16614" s="54" t="s">
        <v>192</v>
      </c>
      <c r="AO16614" s="54">
        <v>23</v>
      </c>
      <c r="AP16614" s="54">
        <v>4</v>
      </c>
      <c r="AQ16614" s="54">
        <v>0</v>
      </c>
      <c r="AR16614" s="55">
        <v>28500</v>
      </c>
      <c r="AS16614" s="78">
        <f t="shared" si="263"/>
        <v>0</v>
      </c>
    </row>
    <row r="16615" spans="39:45">
      <c r="AM16615" s="55">
        <v>2020</v>
      </c>
      <c r="AN16615" s="55" t="s">
        <v>192</v>
      </c>
      <c r="AO16615" s="55">
        <v>23</v>
      </c>
      <c r="AP16615" s="55">
        <v>5</v>
      </c>
      <c r="AQ16615" s="55">
        <v>0</v>
      </c>
      <c r="AR16615" s="55">
        <v>28500</v>
      </c>
      <c r="AS16615" s="78">
        <f t="shared" si="263"/>
        <v>0</v>
      </c>
    </row>
    <row r="16616" spans="39:45">
      <c r="AM16616" s="54">
        <v>2020</v>
      </c>
      <c r="AN16616" s="54" t="s">
        <v>192</v>
      </c>
      <c r="AO16616" s="54">
        <v>23</v>
      </c>
      <c r="AP16616" s="54">
        <v>6</v>
      </c>
      <c r="AQ16616" s="54">
        <v>0</v>
      </c>
      <c r="AR16616" s="55">
        <v>28500</v>
      </c>
      <c r="AS16616" s="78">
        <f t="shared" si="263"/>
        <v>0</v>
      </c>
    </row>
    <row r="16617" spans="39:45">
      <c r="AM16617" s="55">
        <v>2020</v>
      </c>
      <c r="AN16617" s="55" t="s">
        <v>192</v>
      </c>
      <c r="AO16617" s="55">
        <v>23</v>
      </c>
      <c r="AP16617" s="55">
        <v>7</v>
      </c>
      <c r="AQ16617" s="55">
        <v>0</v>
      </c>
      <c r="AR16617" s="55">
        <v>28500</v>
      </c>
      <c r="AS16617" s="78">
        <f t="shared" si="263"/>
        <v>0</v>
      </c>
    </row>
    <row r="16618" spans="39:45">
      <c r="AM16618" s="54">
        <v>2020</v>
      </c>
      <c r="AN16618" s="54" t="s">
        <v>192</v>
      </c>
      <c r="AO16618" s="54">
        <v>23</v>
      </c>
      <c r="AP16618" s="54">
        <v>8</v>
      </c>
      <c r="AQ16618" s="54">
        <v>929</v>
      </c>
      <c r="AR16618" s="55">
        <v>28500</v>
      </c>
      <c r="AS16618" s="78">
        <f t="shared" si="263"/>
        <v>3.2596491228070172E-2</v>
      </c>
    </row>
    <row r="16619" spans="39:45">
      <c r="AM16619" s="55">
        <v>2020</v>
      </c>
      <c r="AN16619" s="55" t="s">
        <v>192</v>
      </c>
      <c r="AO16619" s="55">
        <v>23</v>
      </c>
      <c r="AP16619" s="55">
        <v>9</v>
      </c>
      <c r="AQ16619" s="55">
        <v>18113.5</v>
      </c>
      <c r="AR16619" s="55">
        <v>28500</v>
      </c>
      <c r="AS16619" s="78">
        <f t="shared" si="263"/>
        <v>0.63556140350877188</v>
      </c>
    </row>
    <row r="16620" spans="39:45">
      <c r="AM16620" s="54">
        <v>2020</v>
      </c>
      <c r="AN16620" s="54" t="s">
        <v>192</v>
      </c>
      <c r="AO16620" s="54">
        <v>23</v>
      </c>
      <c r="AP16620" s="54">
        <v>10</v>
      </c>
      <c r="AQ16620" s="54">
        <v>25769</v>
      </c>
      <c r="AR16620" s="55">
        <v>28500</v>
      </c>
      <c r="AS16620" s="78">
        <f t="shared" si="263"/>
        <v>0.90417543859649119</v>
      </c>
    </row>
    <row r="16621" spans="39:45">
      <c r="AM16621" s="55">
        <v>2020</v>
      </c>
      <c r="AN16621" s="55" t="s">
        <v>192</v>
      </c>
      <c r="AO16621" s="55">
        <v>23</v>
      </c>
      <c r="AP16621" s="55">
        <v>11</v>
      </c>
      <c r="AQ16621" s="55">
        <v>18897</v>
      </c>
      <c r="AR16621" s="55">
        <v>28500</v>
      </c>
      <c r="AS16621" s="78">
        <f t="shared" si="263"/>
        <v>0.66305263157894734</v>
      </c>
    </row>
    <row r="16622" spans="39:45">
      <c r="AM16622" s="54">
        <v>2020</v>
      </c>
      <c r="AN16622" s="54" t="s">
        <v>192</v>
      </c>
      <c r="AO16622" s="54">
        <v>23</v>
      </c>
      <c r="AP16622" s="54">
        <v>12</v>
      </c>
      <c r="AQ16622" s="54">
        <v>5458</v>
      </c>
      <c r="AR16622" s="55">
        <v>28500</v>
      </c>
      <c r="AS16622" s="78">
        <f t="shared" si="263"/>
        <v>0.19150877192982457</v>
      </c>
    </row>
    <row r="16623" spans="39:45">
      <c r="AM16623" s="55">
        <v>2020</v>
      </c>
      <c r="AN16623" s="55" t="s">
        <v>192</v>
      </c>
      <c r="AO16623" s="55">
        <v>23</v>
      </c>
      <c r="AP16623" s="55">
        <v>13</v>
      </c>
      <c r="AQ16623" s="55">
        <v>2579.5</v>
      </c>
      <c r="AR16623" s="55">
        <v>28500</v>
      </c>
      <c r="AS16623" s="78">
        <f t="shared" si="263"/>
        <v>9.0508771929824566E-2</v>
      </c>
    </row>
    <row r="16624" spans="39:45">
      <c r="AM16624" s="54">
        <v>2020</v>
      </c>
      <c r="AN16624" s="54" t="s">
        <v>192</v>
      </c>
      <c r="AO16624" s="54">
        <v>23</v>
      </c>
      <c r="AP16624" s="54">
        <v>14</v>
      </c>
      <c r="AQ16624" s="54">
        <v>4730.5</v>
      </c>
      <c r="AR16624" s="55">
        <v>28500</v>
      </c>
      <c r="AS16624" s="78">
        <f t="shared" si="263"/>
        <v>0.16598245614035087</v>
      </c>
    </row>
    <row r="16625" spans="39:45">
      <c r="AM16625" s="55">
        <v>2020</v>
      </c>
      <c r="AN16625" s="55" t="s">
        <v>192</v>
      </c>
      <c r="AO16625" s="55">
        <v>23</v>
      </c>
      <c r="AP16625" s="55">
        <v>15</v>
      </c>
      <c r="AQ16625" s="55">
        <v>5844</v>
      </c>
      <c r="AR16625" s="55">
        <v>28500</v>
      </c>
      <c r="AS16625" s="78">
        <f t="shared" si="263"/>
        <v>0.20505263157894738</v>
      </c>
    </row>
    <row r="16626" spans="39:45">
      <c r="AM16626" s="54">
        <v>2020</v>
      </c>
      <c r="AN16626" s="54" t="s">
        <v>192</v>
      </c>
      <c r="AO16626" s="54">
        <v>23</v>
      </c>
      <c r="AP16626" s="54">
        <v>16</v>
      </c>
      <c r="AQ16626" s="54">
        <v>0</v>
      </c>
      <c r="AR16626" s="55">
        <v>28500</v>
      </c>
      <c r="AS16626" s="78">
        <f t="shared" si="263"/>
        <v>0</v>
      </c>
    </row>
    <row r="16627" spans="39:45">
      <c r="AM16627" s="55">
        <v>2020</v>
      </c>
      <c r="AN16627" s="55" t="s">
        <v>192</v>
      </c>
      <c r="AO16627" s="55">
        <v>23</v>
      </c>
      <c r="AP16627" s="55">
        <v>17</v>
      </c>
      <c r="AQ16627" s="55">
        <v>0</v>
      </c>
      <c r="AR16627" s="55">
        <v>28500</v>
      </c>
      <c r="AS16627" s="78">
        <f t="shared" si="263"/>
        <v>0</v>
      </c>
    </row>
    <row r="16628" spans="39:45">
      <c r="AM16628" s="54">
        <v>2020</v>
      </c>
      <c r="AN16628" s="54" t="s">
        <v>192</v>
      </c>
      <c r="AO16628" s="54">
        <v>23</v>
      </c>
      <c r="AP16628" s="54">
        <v>18</v>
      </c>
      <c r="AQ16628" s="54">
        <v>0</v>
      </c>
      <c r="AR16628" s="55">
        <v>28500</v>
      </c>
      <c r="AS16628" s="78">
        <f t="shared" si="263"/>
        <v>0</v>
      </c>
    </row>
    <row r="16629" spans="39:45">
      <c r="AM16629" s="55">
        <v>2020</v>
      </c>
      <c r="AN16629" s="55" t="s">
        <v>192</v>
      </c>
      <c r="AO16629" s="55">
        <v>23</v>
      </c>
      <c r="AP16629" s="55">
        <v>19</v>
      </c>
      <c r="AQ16629" s="55">
        <v>0</v>
      </c>
      <c r="AR16629" s="55">
        <v>28500</v>
      </c>
      <c r="AS16629" s="78">
        <f t="shared" si="263"/>
        <v>0</v>
      </c>
    </row>
    <row r="16630" spans="39:45">
      <c r="AM16630" s="54">
        <v>2020</v>
      </c>
      <c r="AN16630" s="54" t="s">
        <v>192</v>
      </c>
      <c r="AO16630" s="54">
        <v>23</v>
      </c>
      <c r="AP16630" s="54">
        <v>20</v>
      </c>
      <c r="AQ16630" s="54">
        <v>0</v>
      </c>
      <c r="AR16630" s="55">
        <v>28500</v>
      </c>
      <c r="AS16630" s="78">
        <f t="shared" si="263"/>
        <v>0</v>
      </c>
    </row>
    <row r="16631" spans="39:45">
      <c r="AM16631" s="55">
        <v>2020</v>
      </c>
      <c r="AN16631" s="55" t="s">
        <v>192</v>
      </c>
      <c r="AO16631" s="55">
        <v>23</v>
      </c>
      <c r="AP16631" s="55">
        <v>21</v>
      </c>
      <c r="AQ16631" s="55">
        <v>0</v>
      </c>
      <c r="AR16631" s="55">
        <v>28500</v>
      </c>
      <c r="AS16631" s="78">
        <f t="shared" si="263"/>
        <v>0</v>
      </c>
    </row>
    <row r="16632" spans="39:45">
      <c r="AM16632" s="54">
        <v>2020</v>
      </c>
      <c r="AN16632" s="54" t="s">
        <v>192</v>
      </c>
      <c r="AO16632" s="54">
        <v>23</v>
      </c>
      <c r="AP16632" s="54">
        <v>22</v>
      </c>
      <c r="AQ16632" s="54">
        <v>0</v>
      </c>
      <c r="AR16632" s="55">
        <v>28500</v>
      </c>
      <c r="AS16632" s="78">
        <f t="shared" si="263"/>
        <v>0</v>
      </c>
    </row>
    <row r="16633" spans="39:45">
      <c r="AM16633" s="55">
        <v>2020</v>
      </c>
      <c r="AN16633" s="55" t="s">
        <v>192</v>
      </c>
      <c r="AO16633" s="55">
        <v>23</v>
      </c>
      <c r="AP16633" s="55">
        <v>23</v>
      </c>
      <c r="AQ16633" s="55">
        <v>0</v>
      </c>
      <c r="AR16633" s="55">
        <v>28500</v>
      </c>
      <c r="AS16633" s="78">
        <f t="shared" si="263"/>
        <v>0</v>
      </c>
    </row>
    <row r="16634" spans="39:45">
      <c r="AM16634" s="54">
        <v>2020</v>
      </c>
      <c r="AN16634" s="54" t="s">
        <v>192</v>
      </c>
      <c r="AO16634" s="54">
        <v>24</v>
      </c>
      <c r="AP16634" s="54">
        <v>24</v>
      </c>
      <c r="AQ16634" s="54">
        <v>0</v>
      </c>
      <c r="AR16634" s="55">
        <v>28500</v>
      </c>
      <c r="AS16634" s="78">
        <f t="shared" si="263"/>
        <v>0</v>
      </c>
    </row>
    <row r="16635" spans="39:45">
      <c r="AM16635" s="55">
        <v>2020</v>
      </c>
      <c r="AN16635" s="55" t="s">
        <v>192</v>
      </c>
      <c r="AO16635" s="55">
        <v>24</v>
      </c>
      <c r="AP16635" s="55">
        <v>1</v>
      </c>
      <c r="AQ16635" s="55">
        <v>0</v>
      </c>
      <c r="AR16635" s="55">
        <v>28500</v>
      </c>
      <c r="AS16635" s="78">
        <f t="shared" si="263"/>
        <v>0</v>
      </c>
    </row>
    <row r="16636" spans="39:45">
      <c r="AM16636" s="54">
        <v>2020</v>
      </c>
      <c r="AN16636" s="54" t="s">
        <v>192</v>
      </c>
      <c r="AO16636" s="54">
        <v>24</v>
      </c>
      <c r="AP16636" s="54">
        <v>2</v>
      </c>
      <c r="AQ16636" s="54">
        <v>0</v>
      </c>
      <c r="AR16636" s="55">
        <v>28500</v>
      </c>
      <c r="AS16636" s="78">
        <f t="shared" si="263"/>
        <v>0</v>
      </c>
    </row>
    <row r="16637" spans="39:45">
      <c r="AM16637" s="55">
        <v>2020</v>
      </c>
      <c r="AN16637" s="55" t="s">
        <v>192</v>
      </c>
      <c r="AO16637" s="55">
        <v>24</v>
      </c>
      <c r="AP16637" s="55">
        <v>3</v>
      </c>
      <c r="AQ16637" s="55">
        <v>0</v>
      </c>
      <c r="AR16637" s="55">
        <v>28500</v>
      </c>
      <c r="AS16637" s="78">
        <f t="shared" si="263"/>
        <v>0</v>
      </c>
    </row>
    <row r="16638" spans="39:45">
      <c r="AM16638" s="54">
        <v>2020</v>
      </c>
      <c r="AN16638" s="54" t="s">
        <v>192</v>
      </c>
      <c r="AO16638" s="54">
        <v>24</v>
      </c>
      <c r="AP16638" s="54">
        <v>4</v>
      </c>
      <c r="AQ16638" s="54">
        <v>0</v>
      </c>
      <c r="AR16638" s="55">
        <v>28500</v>
      </c>
      <c r="AS16638" s="78">
        <f t="shared" si="263"/>
        <v>0</v>
      </c>
    </row>
    <row r="16639" spans="39:45">
      <c r="AM16639" s="55">
        <v>2020</v>
      </c>
      <c r="AN16639" s="55" t="s">
        <v>192</v>
      </c>
      <c r="AO16639" s="55">
        <v>24</v>
      </c>
      <c r="AP16639" s="55">
        <v>5</v>
      </c>
      <c r="AQ16639" s="55">
        <v>0</v>
      </c>
      <c r="AR16639" s="55">
        <v>28500</v>
      </c>
      <c r="AS16639" s="78">
        <f t="shared" si="263"/>
        <v>0</v>
      </c>
    </row>
    <row r="16640" spans="39:45">
      <c r="AM16640" s="54">
        <v>2020</v>
      </c>
      <c r="AN16640" s="54" t="s">
        <v>192</v>
      </c>
      <c r="AO16640" s="54">
        <v>24</v>
      </c>
      <c r="AP16640" s="54">
        <v>6</v>
      </c>
      <c r="AQ16640" s="54">
        <v>0</v>
      </c>
      <c r="AR16640" s="55">
        <v>28500</v>
      </c>
      <c r="AS16640" s="78">
        <f t="shared" si="263"/>
        <v>0</v>
      </c>
    </row>
    <row r="16641" spans="39:45">
      <c r="AM16641" s="55">
        <v>2020</v>
      </c>
      <c r="AN16641" s="55" t="s">
        <v>192</v>
      </c>
      <c r="AO16641" s="55">
        <v>24</v>
      </c>
      <c r="AP16641" s="55">
        <v>7</v>
      </c>
      <c r="AQ16641" s="55">
        <v>0</v>
      </c>
      <c r="AR16641" s="55">
        <v>28500</v>
      </c>
      <c r="AS16641" s="78">
        <f t="shared" si="263"/>
        <v>0</v>
      </c>
    </row>
    <row r="16642" spans="39:45">
      <c r="AM16642" s="54">
        <v>2020</v>
      </c>
      <c r="AN16642" s="54" t="s">
        <v>192</v>
      </c>
      <c r="AO16642" s="54">
        <v>24</v>
      </c>
      <c r="AP16642" s="54">
        <v>8</v>
      </c>
      <c r="AQ16642" s="54">
        <v>248</v>
      </c>
      <c r="AR16642" s="55">
        <v>28500</v>
      </c>
      <c r="AS16642" s="78">
        <f t="shared" ref="AS16642:AS16705" si="264">AQ16642/AR16642</f>
        <v>8.7017543859649119E-3</v>
      </c>
    </row>
    <row r="16643" spans="39:45">
      <c r="AM16643" s="55">
        <v>2020</v>
      </c>
      <c r="AN16643" s="55" t="s">
        <v>192</v>
      </c>
      <c r="AO16643" s="55">
        <v>24</v>
      </c>
      <c r="AP16643" s="55">
        <v>9</v>
      </c>
      <c r="AQ16643" s="55">
        <v>3810</v>
      </c>
      <c r="AR16643" s="55">
        <v>28500</v>
      </c>
      <c r="AS16643" s="78">
        <f t="shared" si="264"/>
        <v>0.13368421052631579</v>
      </c>
    </row>
    <row r="16644" spans="39:45">
      <c r="AM16644" s="54">
        <v>2020</v>
      </c>
      <c r="AN16644" s="54" t="s">
        <v>192</v>
      </c>
      <c r="AO16644" s="54">
        <v>24</v>
      </c>
      <c r="AP16644" s="54">
        <v>10</v>
      </c>
      <c r="AQ16644" s="54">
        <v>26942.5</v>
      </c>
      <c r="AR16644" s="55">
        <v>28500</v>
      </c>
      <c r="AS16644" s="78">
        <f t="shared" si="264"/>
        <v>0.9453508771929825</v>
      </c>
    </row>
    <row r="16645" spans="39:45">
      <c r="AM16645" s="55">
        <v>2020</v>
      </c>
      <c r="AN16645" s="55" t="s">
        <v>192</v>
      </c>
      <c r="AO16645" s="55">
        <v>24</v>
      </c>
      <c r="AP16645" s="55">
        <v>11</v>
      </c>
      <c r="AQ16645" s="55">
        <v>10351.5</v>
      </c>
      <c r="AR16645" s="55">
        <v>28500</v>
      </c>
      <c r="AS16645" s="78">
        <f t="shared" si="264"/>
        <v>0.36321052631578948</v>
      </c>
    </row>
    <row r="16646" spans="39:45">
      <c r="AM16646" s="54">
        <v>2020</v>
      </c>
      <c r="AN16646" s="54" t="s">
        <v>192</v>
      </c>
      <c r="AO16646" s="54">
        <v>24</v>
      </c>
      <c r="AP16646" s="54">
        <v>12</v>
      </c>
      <c r="AQ16646" s="54">
        <v>22484.5</v>
      </c>
      <c r="AR16646" s="55">
        <v>28500</v>
      </c>
      <c r="AS16646" s="78">
        <f t="shared" si="264"/>
        <v>0.78892982456140348</v>
      </c>
    </row>
    <row r="16647" spans="39:45">
      <c r="AM16647" s="55">
        <v>2020</v>
      </c>
      <c r="AN16647" s="55" t="s">
        <v>192</v>
      </c>
      <c r="AO16647" s="55">
        <v>24</v>
      </c>
      <c r="AP16647" s="55">
        <v>13</v>
      </c>
      <c r="AQ16647" s="55">
        <v>24147</v>
      </c>
      <c r="AR16647" s="55">
        <v>28500</v>
      </c>
      <c r="AS16647" s="78">
        <f t="shared" si="264"/>
        <v>0.84726315789473683</v>
      </c>
    </row>
    <row r="16648" spans="39:45">
      <c r="AM16648" s="54">
        <v>2020</v>
      </c>
      <c r="AN16648" s="54" t="s">
        <v>192</v>
      </c>
      <c r="AO16648" s="54">
        <v>24</v>
      </c>
      <c r="AP16648" s="54">
        <v>14</v>
      </c>
      <c r="AQ16648" s="54">
        <v>5491</v>
      </c>
      <c r="AR16648" s="55">
        <v>28500</v>
      </c>
      <c r="AS16648" s="78">
        <f t="shared" si="264"/>
        <v>0.19266666666666668</v>
      </c>
    </row>
    <row r="16649" spans="39:45">
      <c r="AM16649" s="55">
        <v>2020</v>
      </c>
      <c r="AN16649" s="55" t="s">
        <v>192</v>
      </c>
      <c r="AO16649" s="55">
        <v>24</v>
      </c>
      <c r="AP16649" s="55">
        <v>15</v>
      </c>
      <c r="AQ16649" s="55">
        <v>4214.5</v>
      </c>
      <c r="AR16649" s="55">
        <v>28500</v>
      </c>
      <c r="AS16649" s="78">
        <f t="shared" si="264"/>
        <v>0.14787719298245613</v>
      </c>
    </row>
    <row r="16650" spans="39:45">
      <c r="AM16650" s="54">
        <v>2020</v>
      </c>
      <c r="AN16650" s="54" t="s">
        <v>192</v>
      </c>
      <c r="AO16650" s="54">
        <v>24</v>
      </c>
      <c r="AP16650" s="54">
        <v>16</v>
      </c>
      <c r="AQ16650" s="54">
        <v>0</v>
      </c>
      <c r="AR16650" s="55">
        <v>28500</v>
      </c>
      <c r="AS16650" s="78">
        <f t="shared" si="264"/>
        <v>0</v>
      </c>
    </row>
    <row r="16651" spans="39:45">
      <c r="AM16651" s="55">
        <v>2020</v>
      </c>
      <c r="AN16651" s="55" t="s">
        <v>192</v>
      </c>
      <c r="AO16651" s="55">
        <v>24</v>
      </c>
      <c r="AP16651" s="55">
        <v>17</v>
      </c>
      <c r="AQ16651" s="55">
        <v>0</v>
      </c>
      <c r="AR16651" s="55">
        <v>28500</v>
      </c>
      <c r="AS16651" s="78">
        <f t="shared" si="264"/>
        <v>0</v>
      </c>
    </row>
    <row r="16652" spans="39:45">
      <c r="AM16652" s="54">
        <v>2020</v>
      </c>
      <c r="AN16652" s="54" t="s">
        <v>192</v>
      </c>
      <c r="AO16652" s="54">
        <v>24</v>
      </c>
      <c r="AP16652" s="54">
        <v>18</v>
      </c>
      <c r="AQ16652" s="54">
        <v>0</v>
      </c>
      <c r="AR16652" s="55">
        <v>28500</v>
      </c>
      <c r="AS16652" s="78">
        <f t="shared" si="264"/>
        <v>0</v>
      </c>
    </row>
    <row r="16653" spans="39:45">
      <c r="AM16653" s="55">
        <v>2020</v>
      </c>
      <c r="AN16653" s="55" t="s">
        <v>192</v>
      </c>
      <c r="AO16653" s="55">
        <v>24</v>
      </c>
      <c r="AP16653" s="55">
        <v>19</v>
      </c>
      <c r="AQ16653" s="55">
        <v>0</v>
      </c>
      <c r="AR16653" s="55">
        <v>28500</v>
      </c>
      <c r="AS16653" s="78">
        <f t="shared" si="264"/>
        <v>0</v>
      </c>
    </row>
    <row r="16654" spans="39:45">
      <c r="AM16654" s="54">
        <v>2020</v>
      </c>
      <c r="AN16654" s="54" t="s">
        <v>192</v>
      </c>
      <c r="AO16654" s="54">
        <v>24</v>
      </c>
      <c r="AP16654" s="54">
        <v>20</v>
      </c>
      <c r="AQ16654" s="54">
        <v>0</v>
      </c>
      <c r="AR16654" s="55">
        <v>28500</v>
      </c>
      <c r="AS16654" s="78">
        <f t="shared" si="264"/>
        <v>0</v>
      </c>
    </row>
    <row r="16655" spans="39:45">
      <c r="AM16655" s="55">
        <v>2020</v>
      </c>
      <c r="AN16655" s="55" t="s">
        <v>192</v>
      </c>
      <c r="AO16655" s="55">
        <v>24</v>
      </c>
      <c r="AP16655" s="55">
        <v>21</v>
      </c>
      <c r="AQ16655" s="55">
        <v>0</v>
      </c>
      <c r="AR16655" s="55">
        <v>28500</v>
      </c>
      <c r="AS16655" s="78">
        <f t="shared" si="264"/>
        <v>0</v>
      </c>
    </row>
    <row r="16656" spans="39:45">
      <c r="AM16656" s="54">
        <v>2020</v>
      </c>
      <c r="AN16656" s="54" t="s">
        <v>192</v>
      </c>
      <c r="AO16656" s="54">
        <v>24</v>
      </c>
      <c r="AP16656" s="54">
        <v>22</v>
      </c>
      <c r="AQ16656" s="54">
        <v>0</v>
      </c>
      <c r="AR16656" s="55">
        <v>28500</v>
      </c>
      <c r="AS16656" s="78">
        <f t="shared" si="264"/>
        <v>0</v>
      </c>
    </row>
    <row r="16657" spans="39:45">
      <c r="AM16657" s="55">
        <v>2020</v>
      </c>
      <c r="AN16657" s="55" t="s">
        <v>192</v>
      </c>
      <c r="AO16657" s="55">
        <v>24</v>
      </c>
      <c r="AP16657" s="55">
        <v>23</v>
      </c>
      <c r="AQ16657" s="55">
        <v>0</v>
      </c>
      <c r="AR16657" s="55">
        <v>28500</v>
      </c>
      <c r="AS16657" s="78">
        <f t="shared" si="264"/>
        <v>0</v>
      </c>
    </row>
    <row r="16658" spans="39:45">
      <c r="AM16658" s="54">
        <v>2020</v>
      </c>
      <c r="AN16658" s="54" t="s">
        <v>192</v>
      </c>
      <c r="AO16658" s="54">
        <v>25</v>
      </c>
      <c r="AP16658" s="54">
        <v>24</v>
      </c>
      <c r="AQ16658" s="54">
        <v>0</v>
      </c>
      <c r="AR16658" s="55">
        <v>28500</v>
      </c>
      <c r="AS16658" s="78">
        <f t="shared" si="264"/>
        <v>0</v>
      </c>
    </row>
    <row r="16659" spans="39:45">
      <c r="AM16659" s="55">
        <v>2020</v>
      </c>
      <c r="AN16659" s="55" t="s">
        <v>192</v>
      </c>
      <c r="AO16659" s="55">
        <v>25</v>
      </c>
      <c r="AP16659" s="55">
        <v>1</v>
      </c>
      <c r="AQ16659" s="55">
        <v>0</v>
      </c>
      <c r="AR16659" s="55">
        <v>28500</v>
      </c>
      <c r="AS16659" s="78">
        <f t="shared" si="264"/>
        <v>0</v>
      </c>
    </row>
    <row r="16660" spans="39:45">
      <c r="AM16660" s="54">
        <v>2020</v>
      </c>
      <c r="AN16660" s="54" t="s">
        <v>192</v>
      </c>
      <c r="AO16660" s="54">
        <v>25</v>
      </c>
      <c r="AP16660" s="54">
        <v>2</v>
      </c>
      <c r="AQ16660" s="54">
        <v>0</v>
      </c>
      <c r="AR16660" s="55">
        <v>28500</v>
      </c>
      <c r="AS16660" s="78">
        <f t="shared" si="264"/>
        <v>0</v>
      </c>
    </row>
    <row r="16661" spans="39:45">
      <c r="AM16661" s="55">
        <v>2020</v>
      </c>
      <c r="AN16661" s="55" t="s">
        <v>192</v>
      </c>
      <c r="AO16661" s="55">
        <v>25</v>
      </c>
      <c r="AP16661" s="55">
        <v>3</v>
      </c>
      <c r="AQ16661" s="55">
        <v>0</v>
      </c>
      <c r="AR16661" s="55">
        <v>28500</v>
      </c>
      <c r="AS16661" s="78">
        <f t="shared" si="264"/>
        <v>0</v>
      </c>
    </row>
    <row r="16662" spans="39:45">
      <c r="AM16662" s="54">
        <v>2020</v>
      </c>
      <c r="AN16662" s="54" t="s">
        <v>192</v>
      </c>
      <c r="AO16662" s="54">
        <v>25</v>
      </c>
      <c r="AP16662" s="54">
        <v>4</v>
      </c>
      <c r="AQ16662" s="54">
        <v>0</v>
      </c>
      <c r="AR16662" s="55">
        <v>28500</v>
      </c>
      <c r="AS16662" s="78">
        <f t="shared" si="264"/>
        <v>0</v>
      </c>
    </row>
    <row r="16663" spans="39:45">
      <c r="AM16663" s="55">
        <v>2020</v>
      </c>
      <c r="AN16663" s="55" t="s">
        <v>192</v>
      </c>
      <c r="AO16663" s="55">
        <v>25</v>
      </c>
      <c r="AP16663" s="55">
        <v>5</v>
      </c>
      <c r="AQ16663" s="55">
        <v>0</v>
      </c>
      <c r="AR16663" s="55">
        <v>28500</v>
      </c>
      <c r="AS16663" s="78">
        <f t="shared" si="264"/>
        <v>0</v>
      </c>
    </row>
    <row r="16664" spans="39:45">
      <c r="AM16664" s="54">
        <v>2020</v>
      </c>
      <c r="AN16664" s="54" t="s">
        <v>192</v>
      </c>
      <c r="AO16664" s="54">
        <v>25</v>
      </c>
      <c r="AP16664" s="54">
        <v>6</v>
      </c>
      <c r="AQ16664" s="54">
        <v>0</v>
      </c>
      <c r="AR16664" s="55">
        <v>28500</v>
      </c>
      <c r="AS16664" s="78">
        <f t="shared" si="264"/>
        <v>0</v>
      </c>
    </row>
    <row r="16665" spans="39:45">
      <c r="AM16665" s="55">
        <v>2020</v>
      </c>
      <c r="AN16665" s="55" t="s">
        <v>192</v>
      </c>
      <c r="AO16665" s="55">
        <v>25</v>
      </c>
      <c r="AP16665" s="55">
        <v>7</v>
      </c>
      <c r="AQ16665" s="55">
        <v>0</v>
      </c>
      <c r="AR16665" s="55">
        <v>28500</v>
      </c>
      <c r="AS16665" s="78">
        <f t="shared" si="264"/>
        <v>0</v>
      </c>
    </row>
    <row r="16666" spans="39:45">
      <c r="AM16666" s="54">
        <v>2020</v>
      </c>
      <c r="AN16666" s="54" t="s">
        <v>192</v>
      </c>
      <c r="AO16666" s="54">
        <v>25</v>
      </c>
      <c r="AP16666" s="54">
        <v>8</v>
      </c>
      <c r="AQ16666" s="54">
        <v>219.5</v>
      </c>
      <c r="AR16666" s="55">
        <v>28500</v>
      </c>
      <c r="AS16666" s="78">
        <f t="shared" si="264"/>
        <v>7.7017543859649127E-3</v>
      </c>
    </row>
    <row r="16667" spans="39:45">
      <c r="AM16667" s="55">
        <v>2020</v>
      </c>
      <c r="AN16667" s="55" t="s">
        <v>192</v>
      </c>
      <c r="AO16667" s="55">
        <v>25</v>
      </c>
      <c r="AP16667" s="55">
        <v>9</v>
      </c>
      <c r="AQ16667" s="55">
        <v>245.5</v>
      </c>
      <c r="AR16667" s="55">
        <v>28500</v>
      </c>
      <c r="AS16667" s="78">
        <f t="shared" si="264"/>
        <v>8.6140350877192979E-3</v>
      </c>
    </row>
    <row r="16668" spans="39:45">
      <c r="AM16668" s="54">
        <v>2020</v>
      </c>
      <c r="AN16668" s="54" t="s">
        <v>192</v>
      </c>
      <c r="AO16668" s="54">
        <v>25</v>
      </c>
      <c r="AP16668" s="54">
        <v>10</v>
      </c>
      <c r="AQ16668" s="54">
        <v>826.5</v>
      </c>
      <c r="AR16668" s="55">
        <v>28500</v>
      </c>
      <c r="AS16668" s="78">
        <f t="shared" si="264"/>
        <v>2.9000000000000001E-2</v>
      </c>
    </row>
    <row r="16669" spans="39:45">
      <c r="AM16669" s="55">
        <v>2020</v>
      </c>
      <c r="AN16669" s="55" t="s">
        <v>192</v>
      </c>
      <c r="AO16669" s="55">
        <v>25</v>
      </c>
      <c r="AP16669" s="55">
        <v>11</v>
      </c>
      <c r="AQ16669" s="55">
        <v>443.5</v>
      </c>
      <c r="AR16669" s="55">
        <v>28500</v>
      </c>
      <c r="AS16669" s="78">
        <f t="shared" si="264"/>
        <v>1.5561403508771931E-2</v>
      </c>
    </row>
    <row r="16670" spans="39:45">
      <c r="AM16670" s="54">
        <v>2020</v>
      </c>
      <c r="AN16670" s="54" t="s">
        <v>192</v>
      </c>
      <c r="AO16670" s="54">
        <v>25</v>
      </c>
      <c r="AP16670" s="54">
        <v>12</v>
      </c>
      <c r="AQ16670" s="54">
        <v>2095.5</v>
      </c>
      <c r="AR16670" s="55">
        <v>28500</v>
      </c>
      <c r="AS16670" s="78">
        <f t="shared" si="264"/>
        <v>7.352631578947369E-2</v>
      </c>
    </row>
    <row r="16671" spans="39:45">
      <c r="AM16671" s="55">
        <v>2020</v>
      </c>
      <c r="AN16671" s="55" t="s">
        <v>192</v>
      </c>
      <c r="AO16671" s="55">
        <v>25</v>
      </c>
      <c r="AP16671" s="55">
        <v>13</v>
      </c>
      <c r="AQ16671" s="55">
        <v>2133.5</v>
      </c>
      <c r="AR16671" s="55">
        <v>28500</v>
      </c>
      <c r="AS16671" s="78">
        <f t="shared" si="264"/>
        <v>7.4859649122807015E-2</v>
      </c>
    </row>
    <row r="16672" spans="39:45">
      <c r="AM16672" s="54">
        <v>2020</v>
      </c>
      <c r="AN16672" s="54" t="s">
        <v>192</v>
      </c>
      <c r="AO16672" s="54">
        <v>25</v>
      </c>
      <c r="AP16672" s="54">
        <v>14</v>
      </c>
      <c r="AQ16672" s="54">
        <v>856</v>
      </c>
      <c r="AR16672" s="55">
        <v>28500</v>
      </c>
      <c r="AS16672" s="78">
        <f t="shared" si="264"/>
        <v>3.0035087719298244E-2</v>
      </c>
    </row>
    <row r="16673" spans="39:45">
      <c r="AM16673" s="55">
        <v>2020</v>
      </c>
      <c r="AN16673" s="55" t="s">
        <v>192</v>
      </c>
      <c r="AO16673" s="55">
        <v>25</v>
      </c>
      <c r="AP16673" s="55">
        <v>15</v>
      </c>
      <c r="AQ16673" s="55">
        <v>217</v>
      </c>
      <c r="AR16673" s="55">
        <v>28500</v>
      </c>
      <c r="AS16673" s="78">
        <f t="shared" si="264"/>
        <v>7.6140350877192979E-3</v>
      </c>
    </row>
    <row r="16674" spans="39:45">
      <c r="AM16674" s="54">
        <v>2020</v>
      </c>
      <c r="AN16674" s="54" t="s">
        <v>192</v>
      </c>
      <c r="AO16674" s="54">
        <v>25</v>
      </c>
      <c r="AP16674" s="54">
        <v>16</v>
      </c>
      <c r="AQ16674" s="54">
        <v>0</v>
      </c>
      <c r="AR16674" s="55">
        <v>28500</v>
      </c>
      <c r="AS16674" s="78">
        <f t="shared" si="264"/>
        <v>0</v>
      </c>
    </row>
    <row r="16675" spans="39:45">
      <c r="AM16675" s="55">
        <v>2020</v>
      </c>
      <c r="AN16675" s="55" t="s">
        <v>192</v>
      </c>
      <c r="AO16675" s="55">
        <v>25</v>
      </c>
      <c r="AP16675" s="55">
        <v>17</v>
      </c>
      <c r="AQ16675" s="55">
        <v>0</v>
      </c>
      <c r="AR16675" s="55">
        <v>28500</v>
      </c>
      <c r="AS16675" s="78">
        <f t="shared" si="264"/>
        <v>0</v>
      </c>
    </row>
    <row r="16676" spans="39:45">
      <c r="AM16676" s="54">
        <v>2020</v>
      </c>
      <c r="AN16676" s="54" t="s">
        <v>192</v>
      </c>
      <c r="AO16676" s="54">
        <v>25</v>
      </c>
      <c r="AP16676" s="54">
        <v>18</v>
      </c>
      <c r="AQ16676" s="54">
        <v>0</v>
      </c>
      <c r="AR16676" s="55">
        <v>28500</v>
      </c>
      <c r="AS16676" s="78">
        <f t="shared" si="264"/>
        <v>0</v>
      </c>
    </row>
    <row r="16677" spans="39:45">
      <c r="AM16677" s="55">
        <v>2020</v>
      </c>
      <c r="AN16677" s="55" t="s">
        <v>192</v>
      </c>
      <c r="AO16677" s="55">
        <v>25</v>
      </c>
      <c r="AP16677" s="55">
        <v>19</v>
      </c>
      <c r="AQ16677" s="55">
        <v>0</v>
      </c>
      <c r="AR16677" s="55">
        <v>28500</v>
      </c>
      <c r="AS16677" s="78">
        <f t="shared" si="264"/>
        <v>0</v>
      </c>
    </row>
    <row r="16678" spans="39:45">
      <c r="AM16678" s="54">
        <v>2020</v>
      </c>
      <c r="AN16678" s="54" t="s">
        <v>192</v>
      </c>
      <c r="AO16678" s="54">
        <v>25</v>
      </c>
      <c r="AP16678" s="54">
        <v>20</v>
      </c>
      <c r="AQ16678" s="54">
        <v>0</v>
      </c>
      <c r="AR16678" s="55">
        <v>28500</v>
      </c>
      <c r="AS16678" s="78">
        <f t="shared" si="264"/>
        <v>0</v>
      </c>
    </row>
    <row r="16679" spans="39:45">
      <c r="AM16679" s="55">
        <v>2020</v>
      </c>
      <c r="AN16679" s="55" t="s">
        <v>192</v>
      </c>
      <c r="AO16679" s="55">
        <v>25</v>
      </c>
      <c r="AP16679" s="55">
        <v>21</v>
      </c>
      <c r="AQ16679" s="55">
        <v>0</v>
      </c>
      <c r="AR16679" s="55">
        <v>28500</v>
      </c>
      <c r="AS16679" s="78">
        <f t="shared" si="264"/>
        <v>0</v>
      </c>
    </row>
    <row r="16680" spans="39:45">
      <c r="AM16680" s="54">
        <v>2020</v>
      </c>
      <c r="AN16680" s="54" t="s">
        <v>192</v>
      </c>
      <c r="AO16680" s="54">
        <v>25</v>
      </c>
      <c r="AP16680" s="54">
        <v>22</v>
      </c>
      <c r="AQ16680" s="54">
        <v>0</v>
      </c>
      <c r="AR16680" s="55">
        <v>28500</v>
      </c>
      <c r="AS16680" s="78">
        <f t="shared" si="264"/>
        <v>0</v>
      </c>
    </row>
    <row r="16681" spans="39:45">
      <c r="AM16681" s="55">
        <v>2020</v>
      </c>
      <c r="AN16681" s="55" t="s">
        <v>192</v>
      </c>
      <c r="AO16681" s="55">
        <v>25</v>
      </c>
      <c r="AP16681" s="55">
        <v>23</v>
      </c>
      <c r="AQ16681" s="55">
        <v>0</v>
      </c>
      <c r="AR16681" s="55">
        <v>28500</v>
      </c>
      <c r="AS16681" s="78">
        <f t="shared" si="264"/>
        <v>0</v>
      </c>
    </row>
    <row r="16682" spans="39:45">
      <c r="AM16682" s="54">
        <v>2020</v>
      </c>
      <c r="AN16682" s="54" t="s">
        <v>192</v>
      </c>
      <c r="AO16682" s="54">
        <v>26</v>
      </c>
      <c r="AP16682" s="54">
        <v>24</v>
      </c>
      <c r="AQ16682" s="54">
        <v>0</v>
      </c>
      <c r="AR16682" s="55">
        <v>28500</v>
      </c>
      <c r="AS16682" s="78">
        <f t="shared" si="264"/>
        <v>0</v>
      </c>
    </row>
    <row r="16683" spans="39:45">
      <c r="AM16683" s="55">
        <v>2020</v>
      </c>
      <c r="AN16683" s="55" t="s">
        <v>192</v>
      </c>
      <c r="AO16683" s="55">
        <v>26</v>
      </c>
      <c r="AP16683" s="55">
        <v>1</v>
      </c>
      <c r="AQ16683" s="55">
        <v>0</v>
      </c>
      <c r="AR16683" s="55">
        <v>28500</v>
      </c>
      <c r="AS16683" s="78">
        <f t="shared" si="264"/>
        <v>0</v>
      </c>
    </row>
    <row r="16684" spans="39:45">
      <c r="AM16684" s="54">
        <v>2020</v>
      </c>
      <c r="AN16684" s="54" t="s">
        <v>192</v>
      </c>
      <c r="AO16684" s="54">
        <v>26</v>
      </c>
      <c r="AP16684" s="54">
        <v>2</v>
      </c>
      <c r="AQ16684" s="54">
        <v>0</v>
      </c>
      <c r="AR16684" s="55">
        <v>28500</v>
      </c>
      <c r="AS16684" s="78">
        <f t="shared" si="264"/>
        <v>0</v>
      </c>
    </row>
    <row r="16685" spans="39:45">
      <c r="AM16685" s="55">
        <v>2020</v>
      </c>
      <c r="AN16685" s="55" t="s">
        <v>192</v>
      </c>
      <c r="AO16685" s="55">
        <v>26</v>
      </c>
      <c r="AP16685" s="55">
        <v>3</v>
      </c>
      <c r="AQ16685" s="55">
        <v>0</v>
      </c>
      <c r="AR16685" s="55">
        <v>28500</v>
      </c>
      <c r="AS16685" s="78">
        <f t="shared" si="264"/>
        <v>0</v>
      </c>
    </row>
    <row r="16686" spans="39:45">
      <c r="AM16686" s="54">
        <v>2020</v>
      </c>
      <c r="AN16686" s="54" t="s">
        <v>192</v>
      </c>
      <c r="AO16686" s="54">
        <v>26</v>
      </c>
      <c r="AP16686" s="54">
        <v>4</v>
      </c>
      <c r="AQ16686" s="54">
        <v>0</v>
      </c>
      <c r="AR16686" s="55">
        <v>28500</v>
      </c>
      <c r="AS16686" s="78">
        <f t="shared" si="264"/>
        <v>0</v>
      </c>
    </row>
    <row r="16687" spans="39:45">
      <c r="AM16687" s="55">
        <v>2020</v>
      </c>
      <c r="AN16687" s="55" t="s">
        <v>192</v>
      </c>
      <c r="AO16687" s="55">
        <v>26</v>
      </c>
      <c r="AP16687" s="55">
        <v>5</v>
      </c>
      <c r="AQ16687" s="55">
        <v>0</v>
      </c>
      <c r="AR16687" s="55">
        <v>28500</v>
      </c>
      <c r="AS16687" s="78">
        <f t="shared" si="264"/>
        <v>0</v>
      </c>
    </row>
    <row r="16688" spans="39:45">
      <c r="AM16688" s="54">
        <v>2020</v>
      </c>
      <c r="AN16688" s="54" t="s">
        <v>192</v>
      </c>
      <c r="AO16688" s="54">
        <v>26</v>
      </c>
      <c r="AP16688" s="54">
        <v>6</v>
      </c>
      <c r="AQ16688" s="54">
        <v>0</v>
      </c>
      <c r="AR16688" s="55">
        <v>28500</v>
      </c>
      <c r="AS16688" s="78">
        <f t="shared" si="264"/>
        <v>0</v>
      </c>
    </row>
    <row r="16689" spans="39:45">
      <c r="AM16689" s="55">
        <v>2020</v>
      </c>
      <c r="AN16689" s="55" t="s">
        <v>192</v>
      </c>
      <c r="AO16689" s="55">
        <v>26</v>
      </c>
      <c r="AP16689" s="55">
        <v>7</v>
      </c>
      <c r="AQ16689" s="55">
        <v>0</v>
      </c>
      <c r="AR16689" s="55">
        <v>28500</v>
      </c>
      <c r="AS16689" s="78">
        <f t="shared" si="264"/>
        <v>0</v>
      </c>
    </row>
    <row r="16690" spans="39:45">
      <c r="AM16690" s="54">
        <v>2020</v>
      </c>
      <c r="AN16690" s="54" t="s">
        <v>192</v>
      </c>
      <c r="AO16690" s="54">
        <v>26</v>
      </c>
      <c r="AP16690" s="54">
        <v>8</v>
      </c>
      <c r="AQ16690" s="54">
        <v>76.5</v>
      </c>
      <c r="AR16690" s="55">
        <v>28500</v>
      </c>
      <c r="AS16690" s="78">
        <f t="shared" si="264"/>
        <v>2.6842105263157894E-3</v>
      </c>
    </row>
    <row r="16691" spans="39:45">
      <c r="AM16691" s="55">
        <v>2020</v>
      </c>
      <c r="AN16691" s="55" t="s">
        <v>192</v>
      </c>
      <c r="AO16691" s="55">
        <v>26</v>
      </c>
      <c r="AP16691" s="55">
        <v>9</v>
      </c>
      <c r="AQ16691" s="55">
        <v>890</v>
      </c>
      <c r="AR16691" s="55">
        <v>28500</v>
      </c>
      <c r="AS16691" s="78">
        <f t="shared" si="264"/>
        <v>3.1228070175438598E-2</v>
      </c>
    </row>
    <row r="16692" spans="39:45">
      <c r="AM16692" s="54">
        <v>2020</v>
      </c>
      <c r="AN16692" s="54" t="s">
        <v>192</v>
      </c>
      <c r="AO16692" s="54">
        <v>26</v>
      </c>
      <c r="AP16692" s="54">
        <v>10</v>
      </c>
      <c r="AQ16692" s="54">
        <v>3256</v>
      </c>
      <c r="AR16692" s="55">
        <v>28500</v>
      </c>
      <c r="AS16692" s="78">
        <f t="shared" si="264"/>
        <v>0.11424561403508772</v>
      </c>
    </row>
    <row r="16693" spans="39:45">
      <c r="AM16693" s="55">
        <v>2020</v>
      </c>
      <c r="AN16693" s="55" t="s">
        <v>192</v>
      </c>
      <c r="AO16693" s="55">
        <v>26</v>
      </c>
      <c r="AP16693" s="55">
        <v>11</v>
      </c>
      <c r="AQ16693" s="55">
        <v>2040</v>
      </c>
      <c r="AR16693" s="55">
        <v>28500</v>
      </c>
      <c r="AS16693" s="78">
        <f t="shared" si="264"/>
        <v>7.1578947368421048E-2</v>
      </c>
    </row>
    <row r="16694" spans="39:45">
      <c r="AM16694" s="54">
        <v>2020</v>
      </c>
      <c r="AN16694" s="54" t="s">
        <v>192</v>
      </c>
      <c r="AO16694" s="54">
        <v>26</v>
      </c>
      <c r="AP16694" s="54">
        <v>12</v>
      </c>
      <c r="AQ16694" s="54">
        <v>878</v>
      </c>
      <c r="AR16694" s="55">
        <v>28500</v>
      </c>
      <c r="AS16694" s="78">
        <f t="shared" si="264"/>
        <v>3.0807017543859651E-2</v>
      </c>
    </row>
    <row r="16695" spans="39:45">
      <c r="AM16695" s="55">
        <v>2020</v>
      </c>
      <c r="AN16695" s="55" t="s">
        <v>192</v>
      </c>
      <c r="AO16695" s="55">
        <v>26</v>
      </c>
      <c r="AP16695" s="55">
        <v>13</v>
      </c>
      <c r="AQ16695" s="55">
        <v>1330</v>
      </c>
      <c r="AR16695" s="55">
        <v>28500</v>
      </c>
      <c r="AS16695" s="78">
        <f t="shared" si="264"/>
        <v>4.6666666666666669E-2</v>
      </c>
    </row>
    <row r="16696" spans="39:45">
      <c r="AM16696" s="54">
        <v>2020</v>
      </c>
      <c r="AN16696" s="54" t="s">
        <v>192</v>
      </c>
      <c r="AO16696" s="54">
        <v>26</v>
      </c>
      <c r="AP16696" s="54">
        <v>14</v>
      </c>
      <c r="AQ16696" s="54">
        <v>423.5</v>
      </c>
      <c r="AR16696" s="55">
        <v>28500</v>
      </c>
      <c r="AS16696" s="78">
        <f t="shared" si="264"/>
        <v>1.4859649122807017E-2</v>
      </c>
    </row>
    <row r="16697" spans="39:45">
      <c r="AM16697" s="55">
        <v>2020</v>
      </c>
      <c r="AN16697" s="55" t="s">
        <v>192</v>
      </c>
      <c r="AO16697" s="55">
        <v>26</v>
      </c>
      <c r="AP16697" s="55">
        <v>15</v>
      </c>
      <c r="AQ16697" s="55">
        <v>335</v>
      </c>
      <c r="AR16697" s="55">
        <v>28500</v>
      </c>
      <c r="AS16697" s="78">
        <f t="shared" si="264"/>
        <v>1.1754385964912281E-2</v>
      </c>
    </row>
    <row r="16698" spans="39:45">
      <c r="AM16698" s="54">
        <v>2020</v>
      </c>
      <c r="AN16698" s="54" t="s">
        <v>192</v>
      </c>
      <c r="AO16698" s="54">
        <v>26</v>
      </c>
      <c r="AP16698" s="54">
        <v>16</v>
      </c>
      <c r="AQ16698" s="54">
        <v>0</v>
      </c>
      <c r="AR16698" s="55">
        <v>28500</v>
      </c>
      <c r="AS16698" s="78">
        <f t="shared" si="264"/>
        <v>0</v>
      </c>
    </row>
    <row r="16699" spans="39:45">
      <c r="AM16699" s="55">
        <v>2020</v>
      </c>
      <c r="AN16699" s="55" t="s">
        <v>192</v>
      </c>
      <c r="AO16699" s="55">
        <v>26</v>
      </c>
      <c r="AP16699" s="55">
        <v>17</v>
      </c>
      <c r="AQ16699" s="55">
        <v>0</v>
      </c>
      <c r="AR16699" s="55">
        <v>28500</v>
      </c>
      <c r="AS16699" s="78">
        <f t="shared" si="264"/>
        <v>0</v>
      </c>
    </row>
    <row r="16700" spans="39:45">
      <c r="AM16700" s="54">
        <v>2020</v>
      </c>
      <c r="AN16700" s="54" t="s">
        <v>192</v>
      </c>
      <c r="AO16700" s="54">
        <v>26</v>
      </c>
      <c r="AP16700" s="54">
        <v>18</v>
      </c>
      <c r="AQ16700" s="54">
        <v>0</v>
      </c>
      <c r="AR16700" s="55">
        <v>28500</v>
      </c>
      <c r="AS16700" s="78">
        <f t="shared" si="264"/>
        <v>0</v>
      </c>
    </row>
    <row r="16701" spans="39:45">
      <c r="AM16701" s="55">
        <v>2020</v>
      </c>
      <c r="AN16701" s="55" t="s">
        <v>192</v>
      </c>
      <c r="AO16701" s="55">
        <v>26</v>
      </c>
      <c r="AP16701" s="55">
        <v>19</v>
      </c>
      <c r="AQ16701" s="55">
        <v>0</v>
      </c>
      <c r="AR16701" s="55">
        <v>28500</v>
      </c>
      <c r="AS16701" s="78">
        <f t="shared" si="264"/>
        <v>0</v>
      </c>
    </row>
    <row r="16702" spans="39:45">
      <c r="AM16702" s="54">
        <v>2020</v>
      </c>
      <c r="AN16702" s="54" t="s">
        <v>192</v>
      </c>
      <c r="AO16702" s="54">
        <v>26</v>
      </c>
      <c r="AP16702" s="54">
        <v>20</v>
      </c>
      <c r="AQ16702" s="54">
        <v>0</v>
      </c>
      <c r="AR16702" s="55">
        <v>28500</v>
      </c>
      <c r="AS16702" s="78">
        <f t="shared" si="264"/>
        <v>0</v>
      </c>
    </row>
    <row r="16703" spans="39:45">
      <c r="AM16703" s="55">
        <v>2020</v>
      </c>
      <c r="AN16703" s="55" t="s">
        <v>192</v>
      </c>
      <c r="AO16703" s="55">
        <v>26</v>
      </c>
      <c r="AP16703" s="55">
        <v>21</v>
      </c>
      <c r="AQ16703" s="55">
        <v>0</v>
      </c>
      <c r="AR16703" s="55">
        <v>28500</v>
      </c>
      <c r="AS16703" s="78">
        <f t="shared" si="264"/>
        <v>0</v>
      </c>
    </row>
    <row r="16704" spans="39:45">
      <c r="AM16704" s="54">
        <v>2020</v>
      </c>
      <c r="AN16704" s="54" t="s">
        <v>192</v>
      </c>
      <c r="AO16704" s="54">
        <v>26</v>
      </c>
      <c r="AP16704" s="54">
        <v>22</v>
      </c>
      <c r="AQ16704" s="54">
        <v>0</v>
      </c>
      <c r="AR16704" s="55">
        <v>28500</v>
      </c>
      <c r="AS16704" s="78">
        <f t="shared" si="264"/>
        <v>0</v>
      </c>
    </row>
    <row r="16705" spans="39:45">
      <c r="AM16705" s="55">
        <v>2020</v>
      </c>
      <c r="AN16705" s="55" t="s">
        <v>192</v>
      </c>
      <c r="AO16705" s="55">
        <v>26</v>
      </c>
      <c r="AP16705" s="55">
        <v>23</v>
      </c>
      <c r="AQ16705" s="55">
        <v>0</v>
      </c>
      <c r="AR16705" s="55">
        <v>28500</v>
      </c>
      <c r="AS16705" s="78">
        <f t="shared" si="264"/>
        <v>0</v>
      </c>
    </row>
    <row r="16706" spans="39:45">
      <c r="AM16706" s="54">
        <v>2020</v>
      </c>
      <c r="AN16706" s="54" t="s">
        <v>192</v>
      </c>
      <c r="AO16706" s="54">
        <v>27</v>
      </c>
      <c r="AP16706" s="54">
        <v>24</v>
      </c>
      <c r="AQ16706" s="54">
        <v>0</v>
      </c>
      <c r="AR16706" s="55">
        <v>28500</v>
      </c>
      <c r="AS16706" s="78">
        <f t="shared" ref="AS16706:AS16769" si="265">AQ16706/AR16706</f>
        <v>0</v>
      </c>
    </row>
    <row r="16707" spans="39:45">
      <c r="AM16707" s="55">
        <v>2020</v>
      </c>
      <c r="AN16707" s="55" t="s">
        <v>192</v>
      </c>
      <c r="AO16707" s="55">
        <v>27</v>
      </c>
      <c r="AP16707" s="55">
        <v>1</v>
      </c>
      <c r="AQ16707" s="55">
        <v>0</v>
      </c>
      <c r="AR16707" s="55">
        <v>28500</v>
      </c>
      <c r="AS16707" s="78">
        <f t="shared" si="265"/>
        <v>0</v>
      </c>
    </row>
    <row r="16708" spans="39:45">
      <c r="AM16708" s="54">
        <v>2020</v>
      </c>
      <c r="AN16708" s="54" t="s">
        <v>192</v>
      </c>
      <c r="AO16708" s="54">
        <v>27</v>
      </c>
      <c r="AP16708" s="54">
        <v>2</v>
      </c>
      <c r="AQ16708" s="54">
        <v>0</v>
      </c>
      <c r="AR16708" s="55">
        <v>28500</v>
      </c>
      <c r="AS16708" s="78">
        <f t="shared" si="265"/>
        <v>0</v>
      </c>
    </row>
    <row r="16709" spans="39:45">
      <c r="AM16709" s="55">
        <v>2020</v>
      </c>
      <c r="AN16709" s="55" t="s">
        <v>192</v>
      </c>
      <c r="AO16709" s="55">
        <v>27</v>
      </c>
      <c r="AP16709" s="55">
        <v>3</v>
      </c>
      <c r="AQ16709" s="55">
        <v>0</v>
      </c>
      <c r="AR16709" s="55">
        <v>28500</v>
      </c>
      <c r="AS16709" s="78">
        <f t="shared" si="265"/>
        <v>0</v>
      </c>
    </row>
    <row r="16710" spans="39:45">
      <c r="AM16710" s="54">
        <v>2020</v>
      </c>
      <c r="AN16710" s="54" t="s">
        <v>192</v>
      </c>
      <c r="AO16710" s="54">
        <v>27</v>
      </c>
      <c r="AP16710" s="54">
        <v>4</v>
      </c>
      <c r="AQ16710" s="54">
        <v>0</v>
      </c>
      <c r="AR16710" s="55">
        <v>28500</v>
      </c>
      <c r="AS16710" s="78">
        <f t="shared" si="265"/>
        <v>0</v>
      </c>
    </row>
    <row r="16711" spans="39:45">
      <c r="AM16711" s="55">
        <v>2020</v>
      </c>
      <c r="AN16711" s="55" t="s">
        <v>192</v>
      </c>
      <c r="AO16711" s="55">
        <v>27</v>
      </c>
      <c r="AP16711" s="55">
        <v>5</v>
      </c>
      <c r="AQ16711" s="55">
        <v>0</v>
      </c>
      <c r="AR16711" s="55">
        <v>28500</v>
      </c>
      <c r="AS16711" s="78">
        <f t="shared" si="265"/>
        <v>0</v>
      </c>
    </row>
    <row r="16712" spans="39:45">
      <c r="AM16712" s="54">
        <v>2020</v>
      </c>
      <c r="AN16712" s="54" t="s">
        <v>192</v>
      </c>
      <c r="AO16712" s="54">
        <v>27</v>
      </c>
      <c r="AP16712" s="54">
        <v>6</v>
      </c>
      <c r="AQ16712" s="54">
        <v>0</v>
      </c>
      <c r="AR16712" s="55">
        <v>28500</v>
      </c>
      <c r="AS16712" s="78">
        <f t="shared" si="265"/>
        <v>0</v>
      </c>
    </row>
    <row r="16713" spans="39:45">
      <c r="AM16713" s="55">
        <v>2020</v>
      </c>
      <c r="AN16713" s="55" t="s">
        <v>192</v>
      </c>
      <c r="AO16713" s="55">
        <v>27</v>
      </c>
      <c r="AP16713" s="55">
        <v>7</v>
      </c>
      <c r="AQ16713" s="55">
        <v>0</v>
      </c>
      <c r="AR16713" s="55">
        <v>28500</v>
      </c>
      <c r="AS16713" s="78">
        <f t="shared" si="265"/>
        <v>0</v>
      </c>
    </row>
    <row r="16714" spans="39:45">
      <c r="AM16714" s="54">
        <v>2020</v>
      </c>
      <c r="AN16714" s="54" t="s">
        <v>192</v>
      </c>
      <c r="AO16714" s="54">
        <v>27</v>
      </c>
      <c r="AP16714" s="54">
        <v>8</v>
      </c>
      <c r="AQ16714" s="54">
        <v>894</v>
      </c>
      <c r="AR16714" s="55">
        <v>28500</v>
      </c>
      <c r="AS16714" s="78">
        <f t="shared" si="265"/>
        <v>3.136842105263158E-2</v>
      </c>
    </row>
    <row r="16715" spans="39:45">
      <c r="AM16715" s="55">
        <v>2020</v>
      </c>
      <c r="AN16715" s="55" t="s">
        <v>192</v>
      </c>
      <c r="AO16715" s="55">
        <v>27</v>
      </c>
      <c r="AP16715" s="55">
        <v>9</v>
      </c>
      <c r="AQ16715" s="55">
        <v>2844</v>
      </c>
      <c r="AR16715" s="55">
        <v>28500</v>
      </c>
      <c r="AS16715" s="78">
        <f t="shared" si="265"/>
        <v>9.9789473684210525E-2</v>
      </c>
    </row>
    <row r="16716" spans="39:45">
      <c r="AM16716" s="54">
        <v>2020</v>
      </c>
      <c r="AN16716" s="54" t="s">
        <v>192</v>
      </c>
      <c r="AO16716" s="54">
        <v>27</v>
      </c>
      <c r="AP16716" s="54">
        <v>10</v>
      </c>
      <c r="AQ16716" s="54">
        <v>13370.5</v>
      </c>
      <c r="AR16716" s="55">
        <v>28500</v>
      </c>
      <c r="AS16716" s="78">
        <f t="shared" si="265"/>
        <v>0.46914035087719297</v>
      </c>
    </row>
    <row r="16717" spans="39:45">
      <c r="AM16717" s="55">
        <v>2020</v>
      </c>
      <c r="AN16717" s="55" t="s">
        <v>192</v>
      </c>
      <c r="AO16717" s="55">
        <v>27</v>
      </c>
      <c r="AP16717" s="55">
        <v>11</v>
      </c>
      <c r="AQ16717" s="55">
        <v>8501.5</v>
      </c>
      <c r="AR16717" s="55">
        <v>28500</v>
      </c>
      <c r="AS16717" s="78">
        <f t="shared" si="265"/>
        <v>0.29829824561403506</v>
      </c>
    </row>
    <row r="16718" spans="39:45">
      <c r="AM16718" s="54">
        <v>2020</v>
      </c>
      <c r="AN16718" s="54" t="s">
        <v>192</v>
      </c>
      <c r="AO16718" s="54">
        <v>27</v>
      </c>
      <c r="AP16718" s="54">
        <v>12</v>
      </c>
      <c r="AQ16718" s="54">
        <v>13636.5</v>
      </c>
      <c r="AR16718" s="55">
        <v>28500</v>
      </c>
      <c r="AS16718" s="78">
        <f t="shared" si="265"/>
        <v>0.47847368421052633</v>
      </c>
    </row>
    <row r="16719" spans="39:45">
      <c r="AM16719" s="55">
        <v>2020</v>
      </c>
      <c r="AN16719" s="55" t="s">
        <v>192</v>
      </c>
      <c r="AO16719" s="55">
        <v>27</v>
      </c>
      <c r="AP16719" s="55">
        <v>13</v>
      </c>
      <c r="AQ16719" s="55">
        <v>20595</v>
      </c>
      <c r="AR16719" s="55">
        <v>28500</v>
      </c>
      <c r="AS16719" s="78">
        <f t="shared" si="265"/>
        <v>0.7226315789473684</v>
      </c>
    </row>
    <row r="16720" spans="39:45">
      <c r="AM16720" s="54">
        <v>2020</v>
      </c>
      <c r="AN16720" s="54" t="s">
        <v>192</v>
      </c>
      <c r="AO16720" s="54">
        <v>27</v>
      </c>
      <c r="AP16720" s="54">
        <v>14</v>
      </c>
      <c r="AQ16720" s="54">
        <v>4027</v>
      </c>
      <c r="AR16720" s="55">
        <v>28500</v>
      </c>
      <c r="AS16720" s="78">
        <f t="shared" si="265"/>
        <v>0.14129824561403509</v>
      </c>
    </row>
    <row r="16721" spans="39:45">
      <c r="AM16721" s="55">
        <v>2020</v>
      </c>
      <c r="AN16721" s="55" t="s">
        <v>192</v>
      </c>
      <c r="AO16721" s="55">
        <v>27</v>
      </c>
      <c r="AP16721" s="55">
        <v>15</v>
      </c>
      <c r="AQ16721" s="55">
        <v>2036.5</v>
      </c>
      <c r="AR16721" s="55">
        <v>28500</v>
      </c>
      <c r="AS16721" s="78">
        <f t="shared" si="265"/>
        <v>7.145614035087719E-2</v>
      </c>
    </row>
    <row r="16722" spans="39:45">
      <c r="AM16722" s="54">
        <v>2020</v>
      </c>
      <c r="AN16722" s="54" t="s">
        <v>192</v>
      </c>
      <c r="AO16722" s="54">
        <v>27</v>
      </c>
      <c r="AP16722" s="54">
        <v>16</v>
      </c>
      <c r="AQ16722" s="54">
        <v>0</v>
      </c>
      <c r="AR16722" s="55">
        <v>28500</v>
      </c>
      <c r="AS16722" s="78">
        <f t="shared" si="265"/>
        <v>0</v>
      </c>
    </row>
    <row r="16723" spans="39:45">
      <c r="AM16723" s="55">
        <v>2020</v>
      </c>
      <c r="AN16723" s="55" t="s">
        <v>192</v>
      </c>
      <c r="AO16723" s="55">
        <v>27</v>
      </c>
      <c r="AP16723" s="55">
        <v>17</v>
      </c>
      <c r="AQ16723" s="55">
        <v>0</v>
      </c>
      <c r="AR16723" s="55">
        <v>28500</v>
      </c>
      <c r="AS16723" s="78">
        <f t="shared" si="265"/>
        <v>0</v>
      </c>
    </row>
    <row r="16724" spans="39:45">
      <c r="AM16724" s="54">
        <v>2020</v>
      </c>
      <c r="AN16724" s="54" t="s">
        <v>192</v>
      </c>
      <c r="AO16724" s="54">
        <v>27</v>
      </c>
      <c r="AP16724" s="54">
        <v>18</v>
      </c>
      <c r="AQ16724" s="54">
        <v>0</v>
      </c>
      <c r="AR16724" s="55">
        <v>28500</v>
      </c>
      <c r="AS16724" s="78">
        <f t="shared" si="265"/>
        <v>0</v>
      </c>
    </row>
    <row r="16725" spans="39:45">
      <c r="AM16725" s="55">
        <v>2020</v>
      </c>
      <c r="AN16725" s="55" t="s">
        <v>192</v>
      </c>
      <c r="AO16725" s="55">
        <v>27</v>
      </c>
      <c r="AP16725" s="55">
        <v>19</v>
      </c>
      <c r="AQ16725" s="55">
        <v>0</v>
      </c>
      <c r="AR16725" s="55">
        <v>28500</v>
      </c>
      <c r="AS16725" s="78">
        <f t="shared" si="265"/>
        <v>0</v>
      </c>
    </row>
    <row r="16726" spans="39:45">
      <c r="AM16726" s="54">
        <v>2020</v>
      </c>
      <c r="AN16726" s="54" t="s">
        <v>192</v>
      </c>
      <c r="AO16726" s="54">
        <v>27</v>
      </c>
      <c r="AP16726" s="54">
        <v>20</v>
      </c>
      <c r="AQ16726" s="54">
        <v>0</v>
      </c>
      <c r="AR16726" s="55">
        <v>28500</v>
      </c>
      <c r="AS16726" s="78">
        <f t="shared" si="265"/>
        <v>0</v>
      </c>
    </row>
    <row r="16727" spans="39:45">
      <c r="AM16727" s="55">
        <v>2020</v>
      </c>
      <c r="AN16727" s="55" t="s">
        <v>192</v>
      </c>
      <c r="AO16727" s="55">
        <v>27</v>
      </c>
      <c r="AP16727" s="55">
        <v>21</v>
      </c>
      <c r="AQ16727" s="55">
        <v>0</v>
      </c>
      <c r="AR16727" s="55">
        <v>28500</v>
      </c>
      <c r="AS16727" s="78">
        <f t="shared" si="265"/>
        <v>0</v>
      </c>
    </row>
    <row r="16728" spans="39:45">
      <c r="AM16728" s="54">
        <v>2020</v>
      </c>
      <c r="AN16728" s="54" t="s">
        <v>192</v>
      </c>
      <c r="AO16728" s="54">
        <v>27</v>
      </c>
      <c r="AP16728" s="54">
        <v>22</v>
      </c>
      <c r="AQ16728" s="54">
        <v>0</v>
      </c>
      <c r="AR16728" s="55">
        <v>28500</v>
      </c>
      <c r="AS16728" s="78">
        <f t="shared" si="265"/>
        <v>0</v>
      </c>
    </row>
    <row r="16729" spans="39:45">
      <c r="AM16729" s="55">
        <v>2020</v>
      </c>
      <c r="AN16729" s="55" t="s">
        <v>192</v>
      </c>
      <c r="AO16729" s="55">
        <v>27</v>
      </c>
      <c r="AP16729" s="55">
        <v>23</v>
      </c>
      <c r="AQ16729" s="55">
        <v>0</v>
      </c>
      <c r="AR16729" s="55">
        <v>28500</v>
      </c>
      <c r="AS16729" s="78">
        <f t="shared" si="265"/>
        <v>0</v>
      </c>
    </row>
    <row r="16730" spans="39:45">
      <c r="AM16730" s="54">
        <v>2020</v>
      </c>
      <c r="AN16730" s="54" t="s">
        <v>192</v>
      </c>
      <c r="AO16730" s="54">
        <v>28</v>
      </c>
      <c r="AP16730" s="54">
        <v>24</v>
      </c>
      <c r="AQ16730" s="54">
        <v>0</v>
      </c>
      <c r="AR16730" s="55">
        <v>28500</v>
      </c>
      <c r="AS16730" s="78">
        <f t="shared" si="265"/>
        <v>0</v>
      </c>
    </row>
    <row r="16731" spans="39:45">
      <c r="AM16731" s="55">
        <v>2020</v>
      </c>
      <c r="AN16731" s="55" t="s">
        <v>192</v>
      </c>
      <c r="AO16731" s="55">
        <v>28</v>
      </c>
      <c r="AP16731" s="55">
        <v>1</v>
      </c>
      <c r="AQ16731" s="55">
        <v>0</v>
      </c>
      <c r="AR16731" s="55">
        <v>28500</v>
      </c>
      <c r="AS16731" s="78">
        <f t="shared" si="265"/>
        <v>0</v>
      </c>
    </row>
    <row r="16732" spans="39:45">
      <c r="AM16732" s="54">
        <v>2020</v>
      </c>
      <c r="AN16732" s="54" t="s">
        <v>192</v>
      </c>
      <c r="AO16732" s="54">
        <v>28</v>
      </c>
      <c r="AP16732" s="54">
        <v>2</v>
      </c>
      <c r="AQ16732" s="54">
        <v>0</v>
      </c>
      <c r="AR16732" s="55">
        <v>28500</v>
      </c>
      <c r="AS16732" s="78">
        <f t="shared" si="265"/>
        <v>0</v>
      </c>
    </row>
    <row r="16733" spans="39:45">
      <c r="AM16733" s="55">
        <v>2020</v>
      </c>
      <c r="AN16733" s="55" t="s">
        <v>192</v>
      </c>
      <c r="AO16733" s="55">
        <v>28</v>
      </c>
      <c r="AP16733" s="55">
        <v>3</v>
      </c>
      <c r="AQ16733" s="55">
        <v>0</v>
      </c>
      <c r="AR16733" s="55">
        <v>28500</v>
      </c>
      <c r="AS16733" s="78">
        <f t="shared" si="265"/>
        <v>0</v>
      </c>
    </row>
    <row r="16734" spans="39:45">
      <c r="AM16734" s="54">
        <v>2020</v>
      </c>
      <c r="AN16734" s="54" t="s">
        <v>192</v>
      </c>
      <c r="AO16734" s="54">
        <v>28</v>
      </c>
      <c r="AP16734" s="54">
        <v>4</v>
      </c>
      <c r="AQ16734" s="54">
        <v>0</v>
      </c>
      <c r="AR16734" s="55">
        <v>28500</v>
      </c>
      <c r="AS16734" s="78">
        <f t="shared" si="265"/>
        <v>0</v>
      </c>
    </row>
    <row r="16735" spans="39:45">
      <c r="AM16735" s="55">
        <v>2020</v>
      </c>
      <c r="AN16735" s="55" t="s">
        <v>192</v>
      </c>
      <c r="AO16735" s="55">
        <v>28</v>
      </c>
      <c r="AP16735" s="55">
        <v>5</v>
      </c>
      <c r="AQ16735" s="55">
        <v>0</v>
      </c>
      <c r="AR16735" s="55">
        <v>28500</v>
      </c>
      <c r="AS16735" s="78">
        <f t="shared" si="265"/>
        <v>0</v>
      </c>
    </row>
    <row r="16736" spans="39:45">
      <c r="AM16736" s="54">
        <v>2020</v>
      </c>
      <c r="AN16736" s="54" t="s">
        <v>192</v>
      </c>
      <c r="AO16736" s="54">
        <v>28</v>
      </c>
      <c r="AP16736" s="54">
        <v>6</v>
      </c>
      <c r="AQ16736" s="54">
        <v>0</v>
      </c>
      <c r="AR16736" s="55">
        <v>28500</v>
      </c>
      <c r="AS16736" s="78">
        <f t="shared" si="265"/>
        <v>0</v>
      </c>
    </row>
    <row r="16737" spans="39:45">
      <c r="AM16737" s="55">
        <v>2020</v>
      </c>
      <c r="AN16737" s="55" t="s">
        <v>192</v>
      </c>
      <c r="AO16737" s="55">
        <v>28</v>
      </c>
      <c r="AP16737" s="55">
        <v>7</v>
      </c>
      <c r="AQ16737" s="55">
        <v>0</v>
      </c>
      <c r="AR16737" s="55">
        <v>28500</v>
      </c>
      <c r="AS16737" s="78">
        <f t="shared" si="265"/>
        <v>0</v>
      </c>
    </row>
    <row r="16738" spans="39:45">
      <c r="AM16738" s="54">
        <v>2020</v>
      </c>
      <c r="AN16738" s="54" t="s">
        <v>192</v>
      </c>
      <c r="AO16738" s="54">
        <v>28</v>
      </c>
      <c r="AP16738" s="54">
        <v>8</v>
      </c>
      <c r="AQ16738" s="54">
        <v>14.5</v>
      </c>
      <c r="AR16738" s="55">
        <v>28500</v>
      </c>
      <c r="AS16738" s="78">
        <f t="shared" si="265"/>
        <v>5.0877192982456141E-4</v>
      </c>
    </row>
    <row r="16739" spans="39:45">
      <c r="AM16739" s="55">
        <v>2020</v>
      </c>
      <c r="AN16739" s="55" t="s">
        <v>192</v>
      </c>
      <c r="AO16739" s="55">
        <v>28</v>
      </c>
      <c r="AP16739" s="55">
        <v>9</v>
      </c>
      <c r="AQ16739" s="55">
        <v>1411</v>
      </c>
      <c r="AR16739" s="55">
        <v>28500</v>
      </c>
      <c r="AS16739" s="78">
        <f t="shared" si="265"/>
        <v>4.9508771929824565E-2</v>
      </c>
    </row>
    <row r="16740" spans="39:45">
      <c r="AM16740" s="54">
        <v>2020</v>
      </c>
      <c r="AN16740" s="54" t="s">
        <v>192</v>
      </c>
      <c r="AO16740" s="54">
        <v>28</v>
      </c>
      <c r="AP16740" s="54">
        <v>10</v>
      </c>
      <c r="AQ16740" s="54">
        <v>1882</v>
      </c>
      <c r="AR16740" s="55">
        <v>28500</v>
      </c>
      <c r="AS16740" s="78">
        <f t="shared" si="265"/>
        <v>6.6035087719298252E-2</v>
      </c>
    </row>
    <row r="16741" spans="39:45">
      <c r="AM16741" s="55">
        <v>2020</v>
      </c>
      <c r="AN16741" s="55" t="s">
        <v>192</v>
      </c>
      <c r="AO16741" s="55">
        <v>28</v>
      </c>
      <c r="AP16741" s="55">
        <v>11</v>
      </c>
      <c r="AQ16741" s="55">
        <v>2248.5</v>
      </c>
      <c r="AR16741" s="55">
        <v>28500</v>
      </c>
      <c r="AS16741" s="78">
        <f t="shared" si="265"/>
        <v>7.8894736842105267E-2</v>
      </c>
    </row>
    <row r="16742" spans="39:45">
      <c r="AM16742" s="54">
        <v>2020</v>
      </c>
      <c r="AN16742" s="54" t="s">
        <v>192</v>
      </c>
      <c r="AO16742" s="54">
        <v>28</v>
      </c>
      <c r="AP16742" s="54">
        <v>12</v>
      </c>
      <c r="AQ16742" s="54">
        <v>3147</v>
      </c>
      <c r="AR16742" s="55">
        <v>28500</v>
      </c>
      <c r="AS16742" s="78">
        <f t="shared" si="265"/>
        <v>0.11042105263157895</v>
      </c>
    </row>
    <row r="16743" spans="39:45">
      <c r="AM16743" s="55">
        <v>2020</v>
      </c>
      <c r="AN16743" s="55" t="s">
        <v>192</v>
      </c>
      <c r="AO16743" s="55">
        <v>28</v>
      </c>
      <c r="AP16743" s="55">
        <v>13</v>
      </c>
      <c r="AQ16743" s="55">
        <v>4902</v>
      </c>
      <c r="AR16743" s="55">
        <v>28500</v>
      </c>
      <c r="AS16743" s="78">
        <f t="shared" si="265"/>
        <v>0.17199999999999999</v>
      </c>
    </row>
    <row r="16744" spans="39:45">
      <c r="AM16744" s="54">
        <v>2020</v>
      </c>
      <c r="AN16744" s="54" t="s">
        <v>192</v>
      </c>
      <c r="AO16744" s="54">
        <v>28</v>
      </c>
      <c r="AP16744" s="54">
        <v>14</v>
      </c>
      <c r="AQ16744" s="54">
        <v>5901</v>
      </c>
      <c r="AR16744" s="55">
        <v>28500</v>
      </c>
      <c r="AS16744" s="78">
        <f t="shared" si="265"/>
        <v>0.20705263157894738</v>
      </c>
    </row>
    <row r="16745" spans="39:45">
      <c r="AM16745" s="55">
        <v>2020</v>
      </c>
      <c r="AN16745" s="55" t="s">
        <v>192</v>
      </c>
      <c r="AO16745" s="55">
        <v>28</v>
      </c>
      <c r="AP16745" s="55">
        <v>15</v>
      </c>
      <c r="AQ16745" s="55">
        <v>6381.5</v>
      </c>
      <c r="AR16745" s="55">
        <v>28500</v>
      </c>
      <c r="AS16745" s="78">
        <f t="shared" si="265"/>
        <v>0.2239122807017544</v>
      </c>
    </row>
    <row r="16746" spans="39:45">
      <c r="AM16746" s="54">
        <v>2020</v>
      </c>
      <c r="AN16746" s="54" t="s">
        <v>192</v>
      </c>
      <c r="AO16746" s="54">
        <v>28</v>
      </c>
      <c r="AP16746" s="54">
        <v>16</v>
      </c>
      <c r="AQ16746" s="54">
        <v>0</v>
      </c>
      <c r="AR16746" s="55">
        <v>28500</v>
      </c>
      <c r="AS16746" s="78">
        <f t="shared" si="265"/>
        <v>0</v>
      </c>
    </row>
    <row r="16747" spans="39:45">
      <c r="AM16747" s="55">
        <v>2020</v>
      </c>
      <c r="AN16747" s="55" t="s">
        <v>192</v>
      </c>
      <c r="AO16747" s="55">
        <v>28</v>
      </c>
      <c r="AP16747" s="55">
        <v>17</v>
      </c>
      <c r="AQ16747" s="55">
        <v>0</v>
      </c>
      <c r="AR16747" s="55">
        <v>28500</v>
      </c>
      <c r="AS16747" s="78">
        <f t="shared" si="265"/>
        <v>0</v>
      </c>
    </row>
    <row r="16748" spans="39:45">
      <c r="AM16748" s="54">
        <v>2020</v>
      </c>
      <c r="AN16748" s="54" t="s">
        <v>192</v>
      </c>
      <c r="AO16748" s="54">
        <v>28</v>
      </c>
      <c r="AP16748" s="54">
        <v>18</v>
      </c>
      <c r="AQ16748" s="54">
        <v>0</v>
      </c>
      <c r="AR16748" s="55">
        <v>28500</v>
      </c>
      <c r="AS16748" s="78">
        <f t="shared" si="265"/>
        <v>0</v>
      </c>
    </row>
    <row r="16749" spans="39:45">
      <c r="AM16749" s="55">
        <v>2020</v>
      </c>
      <c r="AN16749" s="55" t="s">
        <v>192</v>
      </c>
      <c r="AO16749" s="55">
        <v>28</v>
      </c>
      <c r="AP16749" s="55">
        <v>19</v>
      </c>
      <c r="AQ16749" s="55">
        <v>0</v>
      </c>
      <c r="AR16749" s="55">
        <v>28500</v>
      </c>
      <c r="AS16749" s="78">
        <f t="shared" si="265"/>
        <v>0</v>
      </c>
    </row>
    <row r="16750" spans="39:45">
      <c r="AM16750" s="54">
        <v>2020</v>
      </c>
      <c r="AN16750" s="54" t="s">
        <v>192</v>
      </c>
      <c r="AO16750" s="54">
        <v>28</v>
      </c>
      <c r="AP16750" s="54">
        <v>20</v>
      </c>
      <c r="AQ16750" s="54">
        <v>0</v>
      </c>
      <c r="AR16750" s="55">
        <v>28500</v>
      </c>
      <c r="AS16750" s="78">
        <f t="shared" si="265"/>
        <v>0</v>
      </c>
    </row>
    <row r="16751" spans="39:45">
      <c r="AM16751" s="55">
        <v>2020</v>
      </c>
      <c r="AN16751" s="55" t="s">
        <v>192</v>
      </c>
      <c r="AO16751" s="55">
        <v>28</v>
      </c>
      <c r="AP16751" s="55">
        <v>21</v>
      </c>
      <c r="AQ16751" s="55">
        <v>0</v>
      </c>
      <c r="AR16751" s="55">
        <v>28500</v>
      </c>
      <c r="AS16751" s="78">
        <f t="shared" si="265"/>
        <v>0</v>
      </c>
    </row>
    <row r="16752" spans="39:45">
      <c r="AM16752" s="54">
        <v>2020</v>
      </c>
      <c r="AN16752" s="54" t="s">
        <v>192</v>
      </c>
      <c r="AO16752" s="54">
        <v>28</v>
      </c>
      <c r="AP16752" s="54">
        <v>22</v>
      </c>
      <c r="AQ16752" s="54">
        <v>0</v>
      </c>
      <c r="AR16752" s="55">
        <v>28500</v>
      </c>
      <c r="AS16752" s="78">
        <f t="shared" si="265"/>
        <v>0</v>
      </c>
    </row>
    <row r="16753" spans="39:45">
      <c r="AM16753" s="55">
        <v>2020</v>
      </c>
      <c r="AN16753" s="55" t="s">
        <v>192</v>
      </c>
      <c r="AO16753" s="55">
        <v>28</v>
      </c>
      <c r="AP16753" s="55">
        <v>23</v>
      </c>
      <c r="AQ16753" s="55">
        <v>0</v>
      </c>
      <c r="AR16753" s="55">
        <v>28500</v>
      </c>
      <c r="AS16753" s="78">
        <f t="shared" si="265"/>
        <v>0</v>
      </c>
    </row>
    <row r="16754" spans="39:45">
      <c r="AM16754" s="54">
        <v>2020</v>
      </c>
      <c r="AN16754" s="54" t="s">
        <v>192</v>
      </c>
      <c r="AO16754" s="54">
        <v>29</v>
      </c>
      <c r="AP16754" s="54">
        <v>24</v>
      </c>
      <c r="AQ16754" s="54">
        <v>0</v>
      </c>
      <c r="AR16754" s="55">
        <v>28500</v>
      </c>
      <c r="AS16754" s="78">
        <f t="shared" si="265"/>
        <v>0</v>
      </c>
    </row>
    <row r="16755" spans="39:45">
      <c r="AM16755" s="55">
        <v>2020</v>
      </c>
      <c r="AN16755" s="55" t="s">
        <v>192</v>
      </c>
      <c r="AO16755" s="55">
        <v>29</v>
      </c>
      <c r="AP16755" s="55">
        <v>1</v>
      </c>
      <c r="AQ16755" s="55">
        <v>0</v>
      </c>
      <c r="AR16755" s="55">
        <v>28500</v>
      </c>
      <c r="AS16755" s="78">
        <f t="shared" si="265"/>
        <v>0</v>
      </c>
    </row>
    <row r="16756" spans="39:45">
      <c r="AM16756" s="54">
        <v>2020</v>
      </c>
      <c r="AN16756" s="54" t="s">
        <v>192</v>
      </c>
      <c r="AO16756" s="54">
        <v>29</v>
      </c>
      <c r="AP16756" s="54">
        <v>2</v>
      </c>
      <c r="AQ16756" s="54">
        <v>0</v>
      </c>
      <c r="AR16756" s="55">
        <v>28500</v>
      </c>
      <c r="AS16756" s="78">
        <f t="shared" si="265"/>
        <v>0</v>
      </c>
    </row>
    <row r="16757" spans="39:45">
      <c r="AM16757" s="55">
        <v>2020</v>
      </c>
      <c r="AN16757" s="55" t="s">
        <v>192</v>
      </c>
      <c r="AO16757" s="55">
        <v>29</v>
      </c>
      <c r="AP16757" s="55">
        <v>3</v>
      </c>
      <c r="AQ16757" s="55">
        <v>0</v>
      </c>
      <c r="AR16757" s="55">
        <v>28500</v>
      </c>
      <c r="AS16757" s="78">
        <f t="shared" si="265"/>
        <v>0</v>
      </c>
    </row>
    <row r="16758" spans="39:45">
      <c r="AM16758" s="54">
        <v>2020</v>
      </c>
      <c r="AN16758" s="54" t="s">
        <v>192</v>
      </c>
      <c r="AO16758" s="54">
        <v>29</v>
      </c>
      <c r="AP16758" s="54">
        <v>4</v>
      </c>
      <c r="AQ16758" s="54">
        <v>0</v>
      </c>
      <c r="AR16758" s="55">
        <v>28500</v>
      </c>
      <c r="AS16758" s="78">
        <f t="shared" si="265"/>
        <v>0</v>
      </c>
    </row>
    <row r="16759" spans="39:45">
      <c r="AM16759" s="55">
        <v>2020</v>
      </c>
      <c r="AN16759" s="55" t="s">
        <v>192</v>
      </c>
      <c r="AO16759" s="55">
        <v>29</v>
      </c>
      <c r="AP16759" s="55">
        <v>5</v>
      </c>
      <c r="AQ16759" s="55">
        <v>0</v>
      </c>
      <c r="AR16759" s="55">
        <v>28500</v>
      </c>
      <c r="AS16759" s="78">
        <f t="shared" si="265"/>
        <v>0</v>
      </c>
    </row>
    <row r="16760" spans="39:45">
      <c r="AM16760" s="54">
        <v>2020</v>
      </c>
      <c r="AN16760" s="54" t="s">
        <v>192</v>
      </c>
      <c r="AO16760" s="54">
        <v>29</v>
      </c>
      <c r="AP16760" s="54">
        <v>6</v>
      </c>
      <c r="AQ16760" s="54">
        <v>0</v>
      </c>
      <c r="AR16760" s="55">
        <v>28500</v>
      </c>
      <c r="AS16760" s="78">
        <f t="shared" si="265"/>
        <v>0</v>
      </c>
    </row>
    <row r="16761" spans="39:45">
      <c r="AM16761" s="55">
        <v>2020</v>
      </c>
      <c r="AN16761" s="55" t="s">
        <v>192</v>
      </c>
      <c r="AO16761" s="55">
        <v>29</v>
      </c>
      <c r="AP16761" s="55">
        <v>7</v>
      </c>
      <c r="AQ16761" s="55">
        <v>0</v>
      </c>
      <c r="AR16761" s="55">
        <v>28500</v>
      </c>
      <c r="AS16761" s="78">
        <f t="shared" si="265"/>
        <v>0</v>
      </c>
    </row>
    <row r="16762" spans="39:45">
      <c r="AM16762" s="54">
        <v>2020</v>
      </c>
      <c r="AN16762" s="54" t="s">
        <v>192</v>
      </c>
      <c r="AO16762" s="54">
        <v>29</v>
      </c>
      <c r="AP16762" s="54">
        <v>8</v>
      </c>
      <c r="AQ16762" s="54">
        <v>0</v>
      </c>
      <c r="AR16762" s="55">
        <v>28500</v>
      </c>
      <c r="AS16762" s="78">
        <f t="shared" si="265"/>
        <v>0</v>
      </c>
    </row>
    <row r="16763" spans="39:45">
      <c r="AM16763" s="55">
        <v>2020</v>
      </c>
      <c r="AN16763" s="55" t="s">
        <v>192</v>
      </c>
      <c r="AO16763" s="55">
        <v>29</v>
      </c>
      <c r="AP16763" s="55">
        <v>9</v>
      </c>
      <c r="AQ16763" s="55">
        <v>679.5</v>
      </c>
      <c r="AR16763" s="55">
        <v>28500</v>
      </c>
      <c r="AS16763" s="78">
        <f t="shared" si="265"/>
        <v>2.3842105263157894E-2</v>
      </c>
    </row>
    <row r="16764" spans="39:45">
      <c r="AM16764" s="54">
        <v>2020</v>
      </c>
      <c r="AN16764" s="54" t="s">
        <v>192</v>
      </c>
      <c r="AO16764" s="54">
        <v>29</v>
      </c>
      <c r="AP16764" s="54">
        <v>10</v>
      </c>
      <c r="AQ16764" s="54">
        <v>1553</v>
      </c>
      <c r="AR16764" s="55">
        <v>28500</v>
      </c>
      <c r="AS16764" s="78">
        <f t="shared" si="265"/>
        <v>5.4491228070175438E-2</v>
      </c>
    </row>
    <row r="16765" spans="39:45">
      <c r="AM16765" s="55">
        <v>2020</v>
      </c>
      <c r="AN16765" s="55" t="s">
        <v>192</v>
      </c>
      <c r="AO16765" s="55">
        <v>29</v>
      </c>
      <c r="AP16765" s="55">
        <v>11</v>
      </c>
      <c r="AQ16765" s="55">
        <v>1919.5</v>
      </c>
      <c r="AR16765" s="55">
        <v>28500</v>
      </c>
      <c r="AS16765" s="78">
        <f t="shared" si="265"/>
        <v>6.7350877192982453E-2</v>
      </c>
    </row>
    <row r="16766" spans="39:45">
      <c r="AM16766" s="54">
        <v>2020</v>
      </c>
      <c r="AN16766" s="54" t="s">
        <v>192</v>
      </c>
      <c r="AO16766" s="54">
        <v>29</v>
      </c>
      <c r="AP16766" s="54">
        <v>12</v>
      </c>
      <c r="AQ16766" s="54">
        <v>1916</v>
      </c>
      <c r="AR16766" s="55">
        <v>28500</v>
      </c>
      <c r="AS16766" s="78">
        <f t="shared" si="265"/>
        <v>6.7228070175438595E-2</v>
      </c>
    </row>
    <row r="16767" spans="39:45">
      <c r="AM16767" s="55">
        <v>2020</v>
      </c>
      <c r="AN16767" s="55" t="s">
        <v>192</v>
      </c>
      <c r="AO16767" s="55">
        <v>29</v>
      </c>
      <c r="AP16767" s="55">
        <v>13</v>
      </c>
      <c r="AQ16767" s="55">
        <v>2251</v>
      </c>
      <c r="AR16767" s="55">
        <v>28500</v>
      </c>
      <c r="AS16767" s="78">
        <f t="shared" si="265"/>
        <v>7.8982456140350876E-2</v>
      </c>
    </row>
    <row r="16768" spans="39:45">
      <c r="AM16768" s="54">
        <v>2020</v>
      </c>
      <c r="AN16768" s="54" t="s">
        <v>192</v>
      </c>
      <c r="AO16768" s="54">
        <v>29</v>
      </c>
      <c r="AP16768" s="54">
        <v>14</v>
      </c>
      <c r="AQ16768" s="54">
        <v>1150.5</v>
      </c>
      <c r="AR16768" s="55">
        <v>28500</v>
      </c>
      <c r="AS16768" s="78">
        <f t="shared" si="265"/>
        <v>4.0368421052631581E-2</v>
      </c>
    </row>
    <row r="16769" spans="39:45">
      <c r="AM16769" s="55">
        <v>2020</v>
      </c>
      <c r="AN16769" s="55" t="s">
        <v>192</v>
      </c>
      <c r="AO16769" s="55">
        <v>29</v>
      </c>
      <c r="AP16769" s="55">
        <v>15</v>
      </c>
      <c r="AQ16769" s="55">
        <v>363.5</v>
      </c>
      <c r="AR16769" s="55">
        <v>28500</v>
      </c>
      <c r="AS16769" s="78">
        <f t="shared" si="265"/>
        <v>1.275438596491228E-2</v>
      </c>
    </row>
    <row r="16770" spans="39:45">
      <c r="AM16770" s="54">
        <v>2020</v>
      </c>
      <c r="AN16770" s="54" t="s">
        <v>192</v>
      </c>
      <c r="AO16770" s="54">
        <v>29</v>
      </c>
      <c r="AP16770" s="54">
        <v>16</v>
      </c>
      <c r="AQ16770" s="54">
        <v>0</v>
      </c>
      <c r="AR16770" s="55">
        <v>28500</v>
      </c>
      <c r="AS16770" s="78">
        <f t="shared" ref="AS16770:AS16833" si="266">AQ16770/AR16770</f>
        <v>0</v>
      </c>
    </row>
    <row r="16771" spans="39:45">
      <c r="AM16771" s="55">
        <v>2020</v>
      </c>
      <c r="AN16771" s="55" t="s">
        <v>192</v>
      </c>
      <c r="AO16771" s="55">
        <v>29</v>
      </c>
      <c r="AP16771" s="55">
        <v>17</v>
      </c>
      <c r="AQ16771" s="55">
        <v>0</v>
      </c>
      <c r="AR16771" s="55">
        <v>28500</v>
      </c>
      <c r="AS16771" s="78">
        <f t="shared" si="266"/>
        <v>0</v>
      </c>
    </row>
    <row r="16772" spans="39:45">
      <c r="AM16772" s="54">
        <v>2020</v>
      </c>
      <c r="AN16772" s="54" t="s">
        <v>192</v>
      </c>
      <c r="AO16772" s="54">
        <v>29</v>
      </c>
      <c r="AP16772" s="54">
        <v>18</v>
      </c>
      <c r="AQ16772" s="54">
        <v>0</v>
      </c>
      <c r="AR16772" s="55">
        <v>28500</v>
      </c>
      <c r="AS16772" s="78">
        <f t="shared" si="266"/>
        <v>0</v>
      </c>
    </row>
    <row r="16773" spans="39:45">
      <c r="AM16773" s="55">
        <v>2020</v>
      </c>
      <c r="AN16773" s="55" t="s">
        <v>192</v>
      </c>
      <c r="AO16773" s="55">
        <v>29</v>
      </c>
      <c r="AP16773" s="55">
        <v>19</v>
      </c>
      <c r="AQ16773" s="55">
        <v>0</v>
      </c>
      <c r="AR16773" s="55">
        <v>28500</v>
      </c>
      <c r="AS16773" s="78">
        <f t="shared" si="266"/>
        <v>0</v>
      </c>
    </row>
    <row r="16774" spans="39:45">
      <c r="AM16774" s="54">
        <v>2020</v>
      </c>
      <c r="AN16774" s="54" t="s">
        <v>192</v>
      </c>
      <c r="AO16774" s="54">
        <v>29</v>
      </c>
      <c r="AP16774" s="54">
        <v>20</v>
      </c>
      <c r="AQ16774" s="54">
        <v>0</v>
      </c>
      <c r="AR16774" s="55">
        <v>28500</v>
      </c>
      <c r="AS16774" s="78">
        <f t="shared" si="266"/>
        <v>0</v>
      </c>
    </row>
    <row r="16775" spans="39:45">
      <c r="AM16775" s="55">
        <v>2020</v>
      </c>
      <c r="AN16775" s="55" t="s">
        <v>192</v>
      </c>
      <c r="AO16775" s="55">
        <v>29</v>
      </c>
      <c r="AP16775" s="55">
        <v>21</v>
      </c>
      <c r="AQ16775" s="55">
        <v>0</v>
      </c>
      <c r="AR16775" s="55">
        <v>28500</v>
      </c>
      <c r="AS16775" s="78">
        <f t="shared" si="266"/>
        <v>0</v>
      </c>
    </row>
    <row r="16776" spans="39:45">
      <c r="AM16776" s="54">
        <v>2020</v>
      </c>
      <c r="AN16776" s="54" t="s">
        <v>192</v>
      </c>
      <c r="AO16776" s="54">
        <v>29</v>
      </c>
      <c r="AP16776" s="54">
        <v>22</v>
      </c>
      <c r="AQ16776" s="54">
        <v>0</v>
      </c>
      <c r="AR16776" s="55">
        <v>28500</v>
      </c>
      <c r="AS16776" s="78">
        <f t="shared" si="266"/>
        <v>0</v>
      </c>
    </row>
    <row r="16777" spans="39:45">
      <c r="AM16777" s="55">
        <v>2020</v>
      </c>
      <c r="AN16777" s="55" t="s">
        <v>192</v>
      </c>
      <c r="AO16777" s="55">
        <v>29</v>
      </c>
      <c r="AP16777" s="55">
        <v>23</v>
      </c>
      <c r="AQ16777" s="55">
        <v>0</v>
      </c>
      <c r="AR16777" s="55">
        <v>28500</v>
      </c>
      <c r="AS16777" s="78">
        <f t="shared" si="266"/>
        <v>0</v>
      </c>
    </row>
    <row r="16778" spans="39:45">
      <c r="AM16778" s="54">
        <v>2020</v>
      </c>
      <c r="AN16778" s="54" t="s">
        <v>192</v>
      </c>
      <c r="AO16778" s="54">
        <v>30</v>
      </c>
      <c r="AP16778" s="54">
        <v>24</v>
      </c>
      <c r="AQ16778" s="54">
        <v>0</v>
      </c>
      <c r="AR16778" s="55">
        <v>28500</v>
      </c>
      <c r="AS16778" s="78">
        <f t="shared" si="266"/>
        <v>0</v>
      </c>
    </row>
    <row r="16779" spans="39:45">
      <c r="AM16779" s="55">
        <v>2020</v>
      </c>
      <c r="AN16779" s="55" t="s">
        <v>192</v>
      </c>
      <c r="AO16779" s="55">
        <v>30</v>
      </c>
      <c r="AP16779" s="55">
        <v>1</v>
      </c>
      <c r="AQ16779" s="55">
        <v>0</v>
      </c>
      <c r="AR16779" s="55">
        <v>28500</v>
      </c>
      <c r="AS16779" s="78">
        <f t="shared" si="266"/>
        <v>0</v>
      </c>
    </row>
    <row r="16780" spans="39:45">
      <c r="AM16780" s="54">
        <v>2020</v>
      </c>
      <c r="AN16780" s="54" t="s">
        <v>192</v>
      </c>
      <c r="AO16780" s="54">
        <v>30</v>
      </c>
      <c r="AP16780" s="54">
        <v>2</v>
      </c>
      <c r="AQ16780" s="54">
        <v>0</v>
      </c>
      <c r="AR16780" s="55">
        <v>28500</v>
      </c>
      <c r="AS16780" s="78">
        <f t="shared" si="266"/>
        <v>0</v>
      </c>
    </row>
    <row r="16781" spans="39:45">
      <c r="AM16781" s="55">
        <v>2020</v>
      </c>
      <c r="AN16781" s="55" t="s">
        <v>192</v>
      </c>
      <c r="AO16781" s="55">
        <v>30</v>
      </c>
      <c r="AP16781" s="55">
        <v>3</v>
      </c>
      <c r="AQ16781" s="55">
        <v>0</v>
      </c>
      <c r="AR16781" s="55">
        <v>28500</v>
      </c>
      <c r="AS16781" s="78">
        <f t="shared" si="266"/>
        <v>0</v>
      </c>
    </row>
    <row r="16782" spans="39:45">
      <c r="AM16782" s="54">
        <v>2020</v>
      </c>
      <c r="AN16782" s="54" t="s">
        <v>192</v>
      </c>
      <c r="AO16782" s="54">
        <v>30</v>
      </c>
      <c r="AP16782" s="54">
        <v>4</v>
      </c>
      <c r="AQ16782" s="54">
        <v>0</v>
      </c>
      <c r="AR16782" s="55">
        <v>28500</v>
      </c>
      <c r="AS16782" s="78">
        <f t="shared" si="266"/>
        <v>0</v>
      </c>
    </row>
    <row r="16783" spans="39:45">
      <c r="AM16783" s="55">
        <v>2020</v>
      </c>
      <c r="AN16783" s="55" t="s">
        <v>192</v>
      </c>
      <c r="AO16783" s="55">
        <v>30</v>
      </c>
      <c r="AP16783" s="55">
        <v>5</v>
      </c>
      <c r="AQ16783" s="55">
        <v>0</v>
      </c>
      <c r="AR16783" s="55">
        <v>28500</v>
      </c>
      <c r="AS16783" s="78">
        <f t="shared" si="266"/>
        <v>0</v>
      </c>
    </row>
    <row r="16784" spans="39:45">
      <c r="AM16784" s="54">
        <v>2020</v>
      </c>
      <c r="AN16784" s="54" t="s">
        <v>192</v>
      </c>
      <c r="AO16784" s="54">
        <v>30</v>
      </c>
      <c r="AP16784" s="54">
        <v>6</v>
      </c>
      <c r="AQ16784" s="54">
        <v>0</v>
      </c>
      <c r="AR16784" s="55">
        <v>28500</v>
      </c>
      <c r="AS16784" s="78">
        <f t="shared" si="266"/>
        <v>0</v>
      </c>
    </row>
    <row r="16785" spans="39:45">
      <c r="AM16785" s="55">
        <v>2020</v>
      </c>
      <c r="AN16785" s="55" t="s">
        <v>192</v>
      </c>
      <c r="AO16785" s="55">
        <v>30</v>
      </c>
      <c r="AP16785" s="55">
        <v>7</v>
      </c>
      <c r="AQ16785" s="55">
        <v>0</v>
      </c>
      <c r="AR16785" s="55">
        <v>28500</v>
      </c>
      <c r="AS16785" s="78">
        <f t="shared" si="266"/>
        <v>0</v>
      </c>
    </row>
    <row r="16786" spans="39:45">
      <c r="AM16786" s="54">
        <v>2020</v>
      </c>
      <c r="AN16786" s="54" t="s">
        <v>192</v>
      </c>
      <c r="AO16786" s="54">
        <v>30</v>
      </c>
      <c r="AP16786" s="54">
        <v>8</v>
      </c>
      <c r="AQ16786" s="54">
        <v>813.5</v>
      </c>
      <c r="AR16786" s="55">
        <v>28500</v>
      </c>
      <c r="AS16786" s="78">
        <f t="shared" si="266"/>
        <v>2.8543859649122805E-2</v>
      </c>
    </row>
    <row r="16787" spans="39:45">
      <c r="AM16787" s="55">
        <v>2020</v>
      </c>
      <c r="AN16787" s="55" t="s">
        <v>192</v>
      </c>
      <c r="AO16787" s="55">
        <v>30</v>
      </c>
      <c r="AP16787" s="55">
        <v>9</v>
      </c>
      <c r="AQ16787" s="55">
        <v>98.5</v>
      </c>
      <c r="AR16787" s="55">
        <v>28500</v>
      </c>
      <c r="AS16787" s="78">
        <f t="shared" si="266"/>
        <v>3.4561403508771931E-3</v>
      </c>
    </row>
    <row r="16788" spans="39:45">
      <c r="AM16788" s="54">
        <v>2020</v>
      </c>
      <c r="AN16788" s="54" t="s">
        <v>192</v>
      </c>
      <c r="AO16788" s="54">
        <v>30</v>
      </c>
      <c r="AP16788" s="54">
        <v>10</v>
      </c>
      <c r="AQ16788" s="54">
        <v>585</v>
      </c>
      <c r="AR16788" s="55">
        <v>28500</v>
      </c>
      <c r="AS16788" s="78">
        <f t="shared" si="266"/>
        <v>2.0526315789473684E-2</v>
      </c>
    </row>
    <row r="16789" spans="39:45">
      <c r="AM16789" s="55">
        <v>2020</v>
      </c>
      <c r="AN16789" s="55" t="s">
        <v>192</v>
      </c>
      <c r="AO16789" s="55">
        <v>30</v>
      </c>
      <c r="AP16789" s="55">
        <v>11</v>
      </c>
      <c r="AQ16789" s="55">
        <v>1820</v>
      </c>
      <c r="AR16789" s="55">
        <v>28500</v>
      </c>
      <c r="AS16789" s="78">
        <f t="shared" si="266"/>
        <v>6.3859649122807019E-2</v>
      </c>
    </row>
    <row r="16790" spans="39:45">
      <c r="AM16790" s="54">
        <v>2020</v>
      </c>
      <c r="AN16790" s="54" t="s">
        <v>192</v>
      </c>
      <c r="AO16790" s="54">
        <v>30</v>
      </c>
      <c r="AP16790" s="54">
        <v>12</v>
      </c>
      <c r="AQ16790" s="54">
        <v>3039.5</v>
      </c>
      <c r="AR16790" s="55">
        <v>28500</v>
      </c>
      <c r="AS16790" s="78">
        <f t="shared" si="266"/>
        <v>0.10664912280701755</v>
      </c>
    </row>
    <row r="16791" spans="39:45">
      <c r="AM16791" s="55">
        <v>2020</v>
      </c>
      <c r="AN16791" s="55" t="s">
        <v>192</v>
      </c>
      <c r="AO16791" s="55">
        <v>30</v>
      </c>
      <c r="AP16791" s="55">
        <v>13</v>
      </c>
      <c r="AQ16791" s="55">
        <v>712</v>
      </c>
      <c r="AR16791" s="55">
        <v>28500</v>
      </c>
      <c r="AS16791" s="78">
        <f t="shared" si="266"/>
        <v>2.4982456140350877E-2</v>
      </c>
    </row>
    <row r="16792" spans="39:45">
      <c r="AM16792" s="54">
        <v>2020</v>
      </c>
      <c r="AN16792" s="54" t="s">
        <v>192</v>
      </c>
      <c r="AO16792" s="54">
        <v>30</v>
      </c>
      <c r="AP16792" s="54">
        <v>14</v>
      </c>
      <c r="AQ16792" s="54">
        <v>2024.5</v>
      </c>
      <c r="AR16792" s="55">
        <v>28500</v>
      </c>
      <c r="AS16792" s="78">
        <f t="shared" si="266"/>
        <v>7.1035087719298243E-2</v>
      </c>
    </row>
    <row r="16793" spans="39:45">
      <c r="AM16793" s="55">
        <v>2020</v>
      </c>
      <c r="AN16793" s="55" t="s">
        <v>192</v>
      </c>
      <c r="AO16793" s="55">
        <v>30</v>
      </c>
      <c r="AP16793" s="55">
        <v>15</v>
      </c>
      <c r="AQ16793" s="55">
        <v>2253</v>
      </c>
      <c r="AR16793" s="55">
        <v>28500</v>
      </c>
      <c r="AS16793" s="78">
        <f t="shared" si="266"/>
        <v>7.9052631578947374E-2</v>
      </c>
    </row>
    <row r="16794" spans="39:45">
      <c r="AM16794" s="54">
        <v>2020</v>
      </c>
      <c r="AN16794" s="54" t="s">
        <v>192</v>
      </c>
      <c r="AO16794" s="54">
        <v>30</v>
      </c>
      <c r="AP16794" s="54">
        <v>16</v>
      </c>
      <c r="AQ16794" s="54">
        <v>0</v>
      </c>
      <c r="AR16794" s="55">
        <v>28500</v>
      </c>
      <c r="AS16794" s="78">
        <f t="shared" si="266"/>
        <v>0</v>
      </c>
    </row>
    <row r="16795" spans="39:45">
      <c r="AM16795" s="55">
        <v>2020</v>
      </c>
      <c r="AN16795" s="55" t="s">
        <v>192</v>
      </c>
      <c r="AO16795" s="55">
        <v>30</v>
      </c>
      <c r="AP16795" s="55">
        <v>17</v>
      </c>
      <c r="AQ16795" s="55">
        <v>0</v>
      </c>
      <c r="AR16795" s="55">
        <v>28500</v>
      </c>
      <c r="AS16795" s="78">
        <f t="shared" si="266"/>
        <v>0</v>
      </c>
    </row>
    <row r="16796" spans="39:45">
      <c r="AM16796" s="54">
        <v>2020</v>
      </c>
      <c r="AN16796" s="54" t="s">
        <v>192</v>
      </c>
      <c r="AO16796" s="54">
        <v>30</v>
      </c>
      <c r="AP16796" s="54">
        <v>18</v>
      </c>
      <c r="AQ16796" s="54">
        <v>0</v>
      </c>
      <c r="AR16796" s="55">
        <v>28500</v>
      </c>
      <c r="AS16796" s="78">
        <f t="shared" si="266"/>
        <v>0</v>
      </c>
    </row>
    <row r="16797" spans="39:45">
      <c r="AM16797" s="55">
        <v>2020</v>
      </c>
      <c r="AN16797" s="55" t="s">
        <v>192</v>
      </c>
      <c r="AO16797" s="55">
        <v>30</v>
      </c>
      <c r="AP16797" s="55">
        <v>19</v>
      </c>
      <c r="AQ16797" s="55">
        <v>0</v>
      </c>
      <c r="AR16797" s="55">
        <v>28500</v>
      </c>
      <c r="AS16797" s="78">
        <f t="shared" si="266"/>
        <v>0</v>
      </c>
    </row>
    <row r="16798" spans="39:45">
      <c r="AM16798" s="54">
        <v>2020</v>
      </c>
      <c r="AN16798" s="54" t="s">
        <v>192</v>
      </c>
      <c r="AO16798" s="54">
        <v>30</v>
      </c>
      <c r="AP16798" s="54">
        <v>20</v>
      </c>
      <c r="AQ16798" s="54">
        <v>0</v>
      </c>
      <c r="AR16798" s="55">
        <v>28500</v>
      </c>
      <c r="AS16798" s="78">
        <f t="shared" si="266"/>
        <v>0</v>
      </c>
    </row>
    <row r="16799" spans="39:45">
      <c r="AM16799" s="55">
        <v>2020</v>
      </c>
      <c r="AN16799" s="55" t="s">
        <v>192</v>
      </c>
      <c r="AO16799" s="55">
        <v>30</v>
      </c>
      <c r="AP16799" s="55">
        <v>21</v>
      </c>
      <c r="AQ16799" s="55">
        <v>0</v>
      </c>
      <c r="AR16799" s="55">
        <v>28500</v>
      </c>
      <c r="AS16799" s="78">
        <f t="shared" si="266"/>
        <v>0</v>
      </c>
    </row>
    <row r="16800" spans="39:45">
      <c r="AM16800" s="54">
        <v>2020</v>
      </c>
      <c r="AN16800" s="54" t="s">
        <v>192</v>
      </c>
      <c r="AO16800" s="54">
        <v>30</v>
      </c>
      <c r="AP16800" s="54">
        <v>22</v>
      </c>
      <c r="AQ16800" s="54">
        <v>0</v>
      </c>
      <c r="AR16800" s="55">
        <v>28500</v>
      </c>
      <c r="AS16800" s="78">
        <f t="shared" si="266"/>
        <v>0</v>
      </c>
    </row>
    <row r="16801" spans="39:45">
      <c r="AM16801" s="55">
        <v>2020</v>
      </c>
      <c r="AN16801" s="55" t="s">
        <v>192</v>
      </c>
      <c r="AO16801" s="55">
        <v>30</v>
      </c>
      <c r="AP16801" s="55">
        <v>23</v>
      </c>
      <c r="AQ16801" s="55">
        <v>0</v>
      </c>
      <c r="AR16801" s="55">
        <v>28500</v>
      </c>
      <c r="AS16801" s="78">
        <f t="shared" si="266"/>
        <v>0</v>
      </c>
    </row>
    <row r="16802" spans="39:45">
      <c r="AM16802" s="54">
        <v>2020</v>
      </c>
      <c r="AN16802" s="54" t="s">
        <v>193</v>
      </c>
      <c r="AO16802" s="54">
        <v>1</v>
      </c>
      <c r="AP16802" s="54">
        <v>24</v>
      </c>
      <c r="AQ16802" s="54">
        <v>0</v>
      </c>
      <c r="AR16802" s="55">
        <v>28500</v>
      </c>
      <c r="AS16802" s="78">
        <f t="shared" si="266"/>
        <v>0</v>
      </c>
    </row>
    <row r="16803" spans="39:45">
      <c r="AM16803" s="55">
        <v>2020</v>
      </c>
      <c r="AN16803" s="55" t="s">
        <v>193</v>
      </c>
      <c r="AO16803" s="55">
        <v>1</v>
      </c>
      <c r="AP16803" s="55">
        <v>1</v>
      </c>
      <c r="AQ16803" s="55">
        <v>0</v>
      </c>
      <c r="AR16803" s="55">
        <v>28500</v>
      </c>
      <c r="AS16803" s="78">
        <f t="shared" si="266"/>
        <v>0</v>
      </c>
    </row>
    <row r="16804" spans="39:45">
      <c r="AM16804" s="54">
        <v>2020</v>
      </c>
      <c r="AN16804" s="54" t="s">
        <v>193</v>
      </c>
      <c r="AO16804" s="54">
        <v>1</v>
      </c>
      <c r="AP16804" s="54">
        <v>2</v>
      </c>
      <c r="AQ16804" s="54">
        <v>0</v>
      </c>
      <c r="AR16804" s="55">
        <v>28500</v>
      </c>
      <c r="AS16804" s="78">
        <f t="shared" si="266"/>
        <v>0</v>
      </c>
    </row>
    <row r="16805" spans="39:45">
      <c r="AM16805" s="55">
        <v>2020</v>
      </c>
      <c r="AN16805" s="55" t="s">
        <v>193</v>
      </c>
      <c r="AO16805" s="55">
        <v>1</v>
      </c>
      <c r="AP16805" s="55">
        <v>3</v>
      </c>
      <c r="AQ16805" s="55">
        <v>0</v>
      </c>
      <c r="AR16805" s="55">
        <v>28500</v>
      </c>
      <c r="AS16805" s="78">
        <f t="shared" si="266"/>
        <v>0</v>
      </c>
    </row>
    <row r="16806" spans="39:45">
      <c r="AM16806" s="54">
        <v>2020</v>
      </c>
      <c r="AN16806" s="54" t="s">
        <v>193</v>
      </c>
      <c r="AO16806" s="54">
        <v>1</v>
      </c>
      <c r="AP16806" s="54">
        <v>4</v>
      </c>
      <c r="AQ16806" s="54">
        <v>0</v>
      </c>
      <c r="AR16806" s="55">
        <v>28500</v>
      </c>
      <c r="AS16806" s="78">
        <f t="shared" si="266"/>
        <v>0</v>
      </c>
    </row>
    <row r="16807" spans="39:45">
      <c r="AM16807" s="55">
        <v>2020</v>
      </c>
      <c r="AN16807" s="55" t="s">
        <v>193</v>
      </c>
      <c r="AO16807" s="55">
        <v>1</v>
      </c>
      <c r="AP16807" s="55">
        <v>5</v>
      </c>
      <c r="AQ16807" s="55">
        <v>0</v>
      </c>
      <c r="AR16807" s="55">
        <v>28500</v>
      </c>
      <c r="AS16807" s="78">
        <f t="shared" si="266"/>
        <v>0</v>
      </c>
    </row>
    <row r="16808" spans="39:45">
      <c r="AM16808" s="54">
        <v>2020</v>
      </c>
      <c r="AN16808" s="54" t="s">
        <v>193</v>
      </c>
      <c r="AO16808" s="54">
        <v>1</v>
      </c>
      <c r="AP16808" s="54">
        <v>6</v>
      </c>
      <c r="AQ16808" s="54">
        <v>0</v>
      </c>
      <c r="AR16808" s="55">
        <v>28500</v>
      </c>
      <c r="AS16808" s="78">
        <f t="shared" si="266"/>
        <v>0</v>
      </c>
    </row>
    <row r="16809" spans="39:45">
      <c r="AM16809" s="55">
        <v>2020</v>
      </c>
      <c r="AN16809" s="55" t="s">
        <v>193</v>
      </c>
      <c r="AO16809" s="55">
        <v>1</v>
      </c>
      <c r="AP16809" s="55">
        <v>7</v>
      </c>
      <c r="AQ16809" s="55">
        <v>0</v>
      </c>
      <c r="AR16809" s="55">
        <v>28500</v>
      </c>
      <c r="AS16809" s="78">
        <f t="shared" si="266"/>
        <v>0</v>
      </c>
    </row>
    <row r="16810" spans="39:45">
      <c r="AM16810" s="54">
        <v>2020</v>
      </c>
      <c r="AN16810" s="54" t="s">
        <v>193</v>
      </c>
      <c r="AO16810" s="54">
        <v>1</v>
      </c>
      <c r="AP16810" s="54">
        <v>8</v>
      </c>
      <c r="AQ16810" s="54">
        <v>77</v>
      </c>
      <c r="AR16810" s="55">
        <v>28500</v>
      </c>
      <c r="AS16810" s="78">
        <f t="shared" si="266"/>
        <v>2.7017543859649122E-3</v>
      </c>
    </row>
    <row r="16811" spans="39:45">
      <c r="AM16811" s="55">
        <v>2020</v>
      </c>
      <c r="AN16811" s="55" t="s">
        <v>193</v>
      </c>
      <c r="AO16811" s="55">
        <v>1</v>
      </c>
      <c r="AP16811" s="55">
        <v>9</v>
      </c>
      <c r="AQ16811" s="55">
        <v>14708</v>
      </c>
      <c r="AR16811" s="55">
        <v>28500</v>
      </c>
      <c r="AS16811" s="78">
        <f t="shared" si="266"/>
        <v>0.51607017543859646</v>
      </c>
    </row>
    <row r="16812" spans="39:45">
      <c r="AM16812" s="54">
        <v>2020</v>
      </c>
      <c r="AN16812" s="54" t="s">
        <v>193</v>
      </c>
      <c r="AO16812" s="54">
        <v>1</v>
      </c>
      <c r="AP16812" s="54">
        <v>10</v>
      </c>
      <c r="AQ16812" s="54">
        <v>24213.5</v>
      </c>
      <c r="AR16812" s="55">
        <v>28500</v>
      </c>
      <c r="AS16812" s="78">
        <f t="shared" si="266"/>
        <v>0.84959649122807013</v>
      </c>
    </row>
    <row r="16813" spans="39:45">
      <c r="AM16813" s="55">
        <v>2020</v>
      </c>
      <c r="AN16813" s="55" t="s">
        <v>193</v>
      </c>
      <c r="AO16813" s="55">
        <v>1</v>
      </c>
      <c r="AP16813" s="55">
        <v>11</v>
      </c>
      <c r="AQ16813" s="55">
        <v>24997.5</v>
      </c>
      <c r="AR16813" s="55">
        <v>28500</v>
      </c>
      <c r="AS16813" s="78">
        <f t="shared" si="266"/>
        <v>0.87710526315789472</v>
      </c>
    </row>
    <row r="16814" spans="39:45">
      <c r="AM16814" s="54">
        <v>2020</v>
      </c>
      <c r="AN16814" s="54" t="s">
        <v>193</v>
      </c>
      <c r="AO16814" s="54">
        <v>1</v>
      </c>
      <c r="AP16814" s="54">
        <v>12</v>
      </c>
      <c r="AQ16814" s="54">
        <v>28530</v>
      </c>
      <c r="AR16814" s="55">
        <v>28500</v>
      </c>
      <c r="AS16814" s="78">
        <f t="shared" si="266"/>
        <v>1.0010526315789474</v>
      </c>
    </row>
    <row r="16815" spans="39:45">
      <c r="AM16815" s="55">
        <v>2020</v>
      </c>
      <c r="AN16815" s="55" t="s">
        <v>193</v>
      </c>
      <c r="AO16815" s="55">
        <v>1</v>
      </c>
      <c r="AP16815" s="55">
        <v>13</v>
      </c>
      <c r="AQ16815" s="55">
        <v>27007</v>
      </c>
      <c r="AR16815" s="55">
        <v>28500</v>
      </c>
      <c r="AS16815" s="78">
        <f t="shared" si="266"/>
        <v>0.94761403508771935</v>
      </c>
    </row>
    <row r="16816" spans="39:45">
      <c r="AM16816" s="54">
        <v>2020</v>
      </c>
      <c r="AN16816" s="54" t="s">
        <v>193</v>
      </c>
      <c r="AO16816" s="54">
        <v>1</v>
      </c>
      <c r="AP16816" s="54">
        <v>14</v>
      </c>
      <c r="AQ16816" s="54">
        <v>5639.5</v>
      </c>
      <c r="AR16816" s="55">
        <v>28500</v>
      </c>
      <c r="AS16816" s="78">
        <f t="shared" si="266"/>
        <v>0.19787719298245615</v>
      </c>
    </row>
    <row r="16817" spans="39:45">
      <c r="AM16817" s="55">
        <v>2020</v>
      </c>
      <c r="AN16817" s="55" t="s">
        <v>193</v>
      </c>
      <c r="AO16817" s="55">
        <v>1</v>
      </c>
      <c r="AP16817" s="55">
        <v>15</v>
      </c>
      <c r="AQ16817" s="55">
        <v>4298</v>
      </c>
      <c r="AR16817" s="55">
        <v>28500</v>
      </c>
      <c r="AS16817" s="78">
        <f t="shared" si="266"/>
        <v>0.15080701754385964</v>
      </c>
    </row>
    <row r="16818" spans="39:45">
      <c r="AM16818" s="54">
        <v>2020</v>
      </c>
      <c r="AN16818" s="54" t="s">
        <v>193</v>
      </c>
      <c r="AO16818" s="54">
        <v>1</v>
      </c>
      <c r="AP16818" s="54">
        <v>16</v>
      </c>
      <c r="AQ16818" s="54">
        <v>0</v>
      </c>
      <c r="AR16818" s="55">
        <v>28500</v>
      </c>
      <c r="AS16818" s="78">
        <f t="shared" si="266"/>
        <v>0</v>
      </c>
    </row>
    <row r="16819" spans="39:45">
      <c r="AM16819" s="55">
        <v>2020</v>
      </c>
      <c r="AN16819" s="55" t="s">
        <v>193</v>
      </c>
      <c r="AO16819" s="55">
        <v>1</v>
      </c>
      <c r="AP16819" s="55">
        <v>17</v>
      </c>
      <c r="AQ16819" s="55">
        <v>0</v>
      </c>
      <c r="AR16819" s="55">
        <v>28500</v>
      </c>
      <c r="AS16819" s="78">
        <f t="shared" si="266"/>
        <v>0</v>
      </c>
    </row>
    <row r="16820" spans="39:45">
      <c r="AM16820" s="54">
        <v>2020</v>
      </c>
      <c r="AN16820" s="54" t="s">
        <v>193</v>
      </c>
      <c r="AO16820" s="54">
        <v>1</v>
      </c>
      <c r="AP16820" s="54">
        <v>18</v>
      </c>
      <c r="AQ16820" s="54">
        <v>0</v>
      </c>
      <c r="AR16820" s="55">
        <v>28500</v>
      </c>
      <c r="AS16820" s="78">
        <f t="shared" si="266"/>
        <v>0</v>
      </c>
    </row>
    <row r="16821" spans="39:45">
      <c r="AM16821" s="55">
        <v>2020</v>
      </c>
      <c r="AN16821" s="55" t="s">
        <v>193</v>
      </c>
      <c r="AO16821" s="55">
        <v>1</v>
      </c>
      <c r="AP16821" s="55">
        <v>19</v>
      </c>
      <c r="AQ16821" s="55">
        <v>0</v>
      </c>
      <c r="AR16821" s="55">
        <v>28500</v>
      </c>
      <c r="AS16821" s="78">
        <f t="shared" si="266"/>
        <v>0</v>
      </c>
    </row>
    <row r="16822" spans="39:45">
      <c r="AM16822" s="54">
        <v>2020</v>
      </c>
      <c r="AN16822" s="54" t="s">
        <v>193</v>
      </c>
      <c r="AO16822" s="54">
        <v>1</v>
      </c>
      <c r="AP16822" s="54">
        <v>20</v>
      </c>
      <c r="AQ16822" s="54">
        <v>0</v>
      </c>
      <c r="AR16822" s="55">
        <v>28500</v>
      </c>
      <c r="AS16822" s="78">
        <f t="shared" si="266"/>
        <v>0</v>
      </c>
    </row>
    <row r="16823" spans="39:45">
      <c r="AM16823" s="55">
        <v>2020</v>
      </c>
      <c r="AN16823" s="55" t="s">
        <v>193</v>
      </c>
      <c r="AO16823" s="55">
        <v>1</v>
      </c>
      <c r="AP16823" s="55">
        <v>21</v>
      </c>
      <c r="AQ16823" s="55">
        <v>0</v>
      </c>
      <c r="AR16823" s="55">
        <v>28500</v>
      </c>
      <c r="AS16823" s="78">
        <f t="shared" si="266"/>
        <v>0</v>
      </c>
    </row>
    <row r="16824" spans="39:45">
      <c r="AM16824" s="54">
        <v>2020</v>
      </c>
      <c r="AN16824" s="54" t="s">
        <v>193</v>
      </c>
      <c r="AO16824" s="54">
        <v>1</v>
      </c>
      <c r="AP16824" s="54">
        <v>22</v>
      </c>
      <c r="AQ16824" s="54">
        <v>0</v>
      </c>
      <c r="AR16824" s="55">
        <v>28500</v>
      </c>
      <c r="AS16824" s="78">
        <f t="shared" si="266"/>
        <v>0</v>
      </c>
    </row>
    <row r="16825" spans="39:45">
      <c r="AM16825" s="55">
        <v>2020</v>
      </c>
      <c r="AN16825" s="55" t="s">
        <v>193</v>
      </c>
      <c r="AO16825" s="55">
        <v>1</v>
      </c>
      <c r="AP16825" s="55">
        <v>23</v>
      </c>
      <c r="AQ16825" s="55">
        <v>0</v>
      </c>
      <c r="AR16825" s="55">
        <v>28500</v>
      </c>
      <c r="AS16825" s="78">
        <f t="shared" si="266"/>
        <v>0</v>
      </c>
    </row>
    <row r="16826" spans="39:45">
      <c r="AM16826" s="54">
        <v>2020</v>
      </c>
      <c r="AN16826" s="54" t="s">
        <v>193</v>
      </c>
      <c r="AO16826" s="54">
        <v>2</v>
      </c>
      <c r="AP16826" s="54">
        <v>24</v>
      </c>
      <c r="AQ16826" s="54">
        <v>0</v>
      </c>
      <c r="AR16826" s="55">
        <v>28500</v>
      </c>
      <c r="AS16826" s="78">
        <f t="shared" si="266"/>
        <v>0</v>
      </c>
    </row>
    <row r="16827" spans="39:45">
      <c r="AM16827" s="55">
        <v>2020</v>
      </c>
      <c r="AN16827" s="55" t="s">
        <v>193</v>
      </c>
      <c r="AO16827" s="55">
        <v>2</v>
      </c>
      <c r="AP16827" s="55">
        <v>1</v>
      </c>
      <c r="AQ16827" s="55">
        <v>0</v>
      </c>
      <c r="AR16827" s="55">
        <v>28500</v>
      </c>
      <c r="AS16827" s="78">
        <f t="shared" si="266"/>
        <v>0</v>
      </c>
    </row>
    <row r="16828" spans="39:45">
      <c r="AM16828" s="54">
        <v>2020</v>
      </c>
      <c r="AN16828" s="54" t="s">
        <v>193</v>
      </c>
      <c r="AO16828" s="54">
        <v>2</v>
      </c>
      <c r="AP16828" s="54">
        <v>2</v>
      </c>
      <c r="AQ16828" s="54">
        <v>0</v>
      </c>
      <c r="AR16828" s="55">
        <v>28500</v>
      </c>
      <c r="AS16828" s="78">
        <f t="shared" si="266"/>
        <v>0</v>
      </c>
    </row>
    <row r="16829" spans="39:45">
      <c r="AM16829" s="55">
        <v>2020</v>
      </c>
      <c r="AN16829" s="55" t="s">
        <v>193</v>
      </c>
      <c r="AO16829" s="55">
        <v>2</v>
      </c>
      <c r="AP16829" s="55">
        <v>3</v>
      </c>
      <c r="AQ16829" s="55">
        <v>0</v>
      </c>
      <c r="AR16829" s="55">
        <v>28500</v>
      </c>
      <c r="AS16829" s="78">
        <f t="shared" si="266"/>
        <v>0</v>
      </c>
    </row>
    <row r="16830" spans="39:45">
      <c r="AM16830" s="54">
        <v>2020</v>
      </c>
      <c r="AN16830" s="54" t="s">
        <v>193</v>
      </c>
      <c r="AO16830" s="54">
        <v>2</v>
      </c>
      <c r="AP16830" s="54">
        <v>4</v>
      </c>
      <c r="AQ16830" s="54">
        <v>0</v>
      </c>
      <c r="AR16830" s="55">
        <v>28500</v>
      </c>
      <c r="AS16830" s="78">
        <f t="shared" si="266"/>
        <v>0</v>
      </c>
    </row>
    <row r="16831" spans="39:45">
      <c r="AM16831" s="55">
        <v>2020</v>
      </c>
      <c r="AN16831" s="55" t="s">
        <v>193</v>
      </c>
      <c r="AO16831" s="55">
        <v>2</v>
      </c>
      <c r="AP16831" s="55">
        <v>5</v>
      </c>
      <c r="AQ16831" s="55">
        <v>0</v>
      </c>
      <c r="AR16831" s="55">
        <v>28500</v>
      </c>
      <c r="AS16831" s="78">
        <f t="shared" si="266"/>
        <v>0</v>
      </c>
    </row>
    <row r="16832" spans="39:45">
      <c r="AM16832" s="54">
        <v>2020</v>
      </c>
      <c r="AN16832" s="54" t="s">
        <v>193</v>
      </c>
      <c r="AO16832" s="54">
        <v>2</v>
      </c>
      <c r="AP16832" s="54">
        <v>6</v>
      </c>
      <c r="AQ16832" s="54">
        <v>0</v>
      </c>
      <c r="AR16832" s="55">
        <v>28500</v>
      </c>
      <c r="AS16832" s="78">
        <f t="shared" si="266"/>
        <v>0</v>
      </c>
    </row>
    <row r="16833" spans="39:45">
      <c r="AM16833" s="55">
        <v>2020</v>
      </c>
      <c r="AN16833" s="55" t="s">
        <v>193</v>
      </c>
      <c r="AO16833" s="55">
        <v>2</v>
      </c>
      <c r="AP16833" s="55">
        <v>7</v>
      </c>
      <c r="AQ16833" s="55">
        <v>0</v>
      </c>
      <c r="AR16833" s="55">
        <v>28500</v>
      </c>
      <c r="AS16833" s="78">
        <f t="shared" si="266"/>
        <v>0</v>
      </c>
    </row>
    <row r="16834" spans="39:45">
      <c r="AM16834" s="54">
        <v>2020</v>
      </c>
      <c r="AN16834" s="54" t="s">
        <v>193</v>
      </c>
      <c r="AO16834" s="54">
        <v>2</v>
      </c>
      <c r="AP16834" s="54">
        <v>8</v>
      </c>
      <c r="AQ16834" s="54">
        <v>0</v>
      </c>
      <c r="AR16834" s="55">
        <v>28500</v>
      </c>
      <c r="AS16834" s="78">
        <f t="shared" ref="AS16834:AS16897" si="267">AQ16834/AR16834</f>
        <v>0</v>
      </c>
    </row>
    <row r="16835" spans="39:45">
      <c r="AM16835" s="55">
        <v>2020</v>
      </c>
      <c r="AN16835" s="55" t="s">
        <v>193</v>
      </c>
      <c r="AO16835" s="55">
        <v>2</v>
      </c>
      <c r="AP16835" s="55">
        <v>9</v>
      </c>
      <c r="AQ16835" s="55">
        <v>407</v>
      </c>
      <c r="AR16835" s="55">
        <v>28500</v>
      </c>
      <c r="AS16835" s="78">
        <f t="shared" si="267"/>
        <v>1.4280701754385965E-2</v>
      </c>
    </row>
    <row r="16836" spans="39:45">
      <c r="AM16836" s="54">
        <v>2020</v>
      </c>
      <c r="AN16836" s="54" t="s">
        <v>193</v>
      </c>
      <c r="AO16836" s="54">
        <v>2</v>
      </c>
      <c r="AP16836" s="54">
        <v>10</v>
      </c>
      <c r="AQ16836" s="54">
        <v>897.5</v>
      </c>
      <c r="AR16836" s="55">
        <v>28500</v>
      </c>
      <c r="AS16836" s="78">
        <f t="shared" si="267"/>
        <v>3.1491228070175438E-2</v>
      </c>
    </row>
    <row r="16837" spans="39:45">
      <c r="AM16837" s="55">
        <v>2020</v>
      </c>
      <c r="AN16837" s="55" t="s">
        <v>193</v>
      </c>
      <c r="AO16837" s="55">
        <v>2</v>
      </c>
      <c r="AP16837" s="55">
        <v>11</v>
      </c>
      <c r="AQ16837" s="55">
        <v>4571.5</v>
      </c>
      <c r="AR16837" s="55">
        <v>28500</v>
      </c>
      <c r="AS16837" s="78">
        <f t="shared" si="267"/>
        <v>0.16040350877192983</v>
      </c>
    </row>
    <row r="16838" spans="39:45">
      <c r="AM16838" s="54">
        <v>2020</v>
      </c>
      <c r="AN16838" s="54" t="s">
        <v>193</v>
      </c>
      <c r="AO16838" s="54">
        <v>2</v>
      </c>
      <c r="AP16838" s="54">
        <v>12</v>
      </c>
      <c r="AQ16838" s="54">
        <v>11403.5</v>
      </c>
      <c r="AR16838" s="55">
        <v>28500</v>
      </c>
      <c r="AS16838" s="78">
        <f t="shared" si="267"/>
        <v>0.40012280701754388</v>
      </c>
    </row>
    <row r="16839" spans="39:45">
      <c r="AM16839" s="55">
        <v>2020</v>
      </c>
      <c r="AN16839" s="55" t="s">
        <v>193</v>
      </c>
      <c r="AO16839" s="55">
        <v>2</v>
      </c>
      <c r="AP16839" s="55">
        <v>13</v>
      </c>
      <c r="AQ16839" s="55">
        <v>7194.5</v>
      </c>
      <c r="AR16839" s="55">
        <v>28500</v>
      </c>
      <c r="AS16839" s="78">
        <f t="shared" si="267"/>
        <v>0.25243859649122807</v>
      </c>
    </row>
    <row r="16840" spans="39:45">
      <c r="AM16840" s="54">
        <v>2020</v>
      </c>
      <c r="AN16840" s="54" t="s">
        <v>193</v>
      </c>
      <c r="AO16840" s="54">
        <v>2</v>
      </c>
      <c r="AP16840" s="54">
        <v>14</v>
      </c>
      <c r="AQ16840" s="54">
        <v>3003</v>
      </c>
      <c r="AR16840" s="55">
        <v>28500</v>
      </c>
      <c r="AS16840" s="78">
        <f t="shared" si="267"/>
        <v>0.10536842105263158</v>
      </c>
    </row>
    <row r="16841" spans="39:45">
      <c r="AM16841" s="55">
        <v>2020</v>
      </c>
      <c r="AN16841" s="55" t="s">
        <v>193</v>
      </c>
      <c r="AO16841" s="55">
        <v>2</v>
      </c>
      <c r="AP16841" s="55">
        <v>15</v>
      </c>
      <c r="AQ16841" s="55">
        <v>54</v>
      </c>
      <c r="AR16841" s="55">
        <v>28500</v>
      </c>
      <c r="AS16841" s="78">
        <f t="shared" si="267"/>
        <v>1.8947368421052631E-3</v>
      </c>
    </row>
    <row r="16842" spans="39:45">
      <c r="AM16842" s="54">
        <v>2020</v>
      </c>
      <c r="AN16842" s="54" t="s">
        <v>193</v>
      </c>
      <c r="AO16842" s="54">
        <v>2</v>
      </c>
      <c r="AP16842" s="54">
        <v>16</v>
      </c>
      <c r="AQ16842" s="54">
        <v>0</v>
      </c>
      <c r="AR16842" s="55">
        <v>28500</v>
      </c>
      <c r="AS16842" s="78">
        <f t="shared" si="267"/>
        <v>0</v>
      </c>
    </row>
    <row r="16843" spans="39:45">
      <c r="AM16843" s="55">
        <v>2020</v>
      </c>
      <c r="AN16843" s="55" t="s">
        <v>193</v>
      </c>
      <c r="AO16843" s="55">
        <v>2</v>
      </c>
      <c r="AP16843" s="55">
        <v>17</v>
      </c>
      <c r="AQ16843" s="55">
        <v>0</v>
      </c>
      <c r="AR16843" s="55">
        <v>28500</v>
      </c>
      <c r="AS16843" s="78">
        <f t="shared" si="267"/>
        <v>0</v>
      </c>
    </row>
    <row r="16844" spans="39:45">
      <c r="AM16844" s="54">
        <v>2020</v>
      </c>
      <c r="AN16844" s="54" t="s">
        <v>193</v>
      </c>
      <c r="AO16844" s="54">
        <v>2</v>
      </c>
      <c r="AP16844" s="54">
        <v>18</v>
      </c>
      <c r="AQ16844" s="54">
        <v>0</v>
      </c>
      <c r="AR16844" s="55">
        <v>28500</v>
      </c>
      <c r="AS16844" s="78">
        <f t="shared" si="267"/>
        <v>0</v>
      </c>
    </row>
    <row r="16845" spans="39:45">
      <c r="AM16845" s="55">
        <v>2020</v>
      </c>
      <c r="AN16845" s="55" t="s">
        <v>193</v>
      </c>
      <c r="AO16845" s="55">
        <v>2</v>
      </c>
      <c r="AP16845" s="55">
        <v>19</v>
      </c>
      <c r="AQ16845" s="55">
        <v>0</v>
      </c>
      <c r="AR16845" s="55">
        <v>28500</v>
      </c>
      <c r="AS16845" s="78">
        <f t="shared" si="267"/>
        <v>0</v>
      </c>
    </row>
    <row r="16846" spans="39:45">
      <c r="AM16846" s="54">
        <v>2020</v>
      </c>
      <c r="AN16846" s="54" t="s">
        <v>193</v>
      </c>
      <c r="AO16846" s="54">
        <v>2</v>
      </c>
      <c r="AP16846" s="54">
        <v>20</v>
      </c>
      <c r="AQ16846" s="54">
        <v>0</v>
      </c>
      <c r="AR16846" s="55">
        <v>28500</v>
      </c>
      <c r="AS16846" s="78">
        <f t="shared" si="267"/>
        <v>0</v>
      </c>
    </row>
    <row r="16847" spans="39:45">
      <c r="AM16847" s="55">
        <v>2020</v>
      </c>
      <c r="AN16847" s="55" t="s">
        <v>193</v>
      </c>
      <c r="AO16847" s="55">
        <v>2</v>
      </c>
      <c r="AP16847" s="55">
        <v>21</v>
      </c>
      <c r="AQ16847" s="55">
        <v>0</v>
      </c>
      <c r="AR16847" s="55">
        <v>28500</v>
      </c>
      <c r="AS16847" s="78">
        <f t="shared" si="267"/>
        <v>0</v>
      </c>
    </row>
    <row r="16848" spans="39:45">
      <c r="AM16848" s="54">
        <v>2020</v>
      </c>
      <c r="AN16848" s="54" t="s">
        <v>193</v>
      </c>
      <c r="AO16848" s="54">
        <v>2</v>
      </c>
      <c r="AP16848" s="54">
        <v>22</v>
      </c>
      <c r="AQ16848" s="54">
        <v>0</v>
      </c>
      <c r="AR16848" s="55">
        <v>28500</v>
      </c>
      <c r="AS16848" s="78">
        <f t="shared" si="267"/>
        <v>0</v>
      </c>
    </row>
    <row r="16849" spans="39:45">
      <c r="AM16849" s="55">
        <v>2020</v>
      </c>
      <c r="AN16849" s="55" t="s">
        <v>193</v>
      </c>
      <c r="AO16849" s="55">
        <v>2</v>
      </c>
      <c r="AP16849" s="55">
        <v>23</v>
      </c>
      <c r="AQ16849" s="55">
        <v>0</v>
      </c>
      <c r="AR16849" s="55">
        <v>28500</v>
      </c>
      <c r="AS16849" s="78">
        <f t="shared" si="267"/>
        <v>0</v>
      </c>
    </row>
    <row r="16850" spans="39:45">
      <c r="AM16850" s="54">
        <v>2020</v>
      </c>
      <c r="AN16850" s="54" t="s">
        <v>193</v>
      </c>
      <c r="AO16850" s="54">
        <v>3</v>
      </c>
      <c r="AP16850" s="54">
        <v>24</v>
      </c>
      <c r="AQ16850" s="54">
        <v>0</v>
      </c>
      <c r="AR16850" s="55">
        <v>28500</v>
      </c>
      <c r="AS16850" s="78">
        <f t="shared" si="267"/>
        <v>0</v>
      </c>
    </row>
    <row r="16851" spans="39:45">
      <c r="AM16851" s="55">
        <v>2020</v>
      </c>
      <c r="AN16851" s="55" t="s">
        <v>193</v>
      </c>
      <c r="AO16851" s="55">
        <v>3</v>
      </c>
      <c r="AP16851" s="55">
        <v>1</v>
      </c>
      <c r="AQ16851" s="55">
        <v>0</v>
      </c>
      <c r="AR16851" s="55">
        <v>28500</v>
      </c>
      <c r="AS16851" s="78">
        <f t="shared" si="267"/>
        <v>0</v>
      </c>
    </row>
    <row r="16852" spans="39:45">
      <c r="AM16852" s="54">
        <v>2020</v>
      </c>
      <c r="AN16852" s="54" t="s">
        <v>193</v>
      </c>
      <c r="AO16852" s="54">
        <v>3</v>
      </c>
      <c r="AP16852" s="54">
        <v>2</v>
      </c>
      <c r="AQ16852" s="54">
        <v>0</v>
      </c>
      <c r="AR16852" s="55">
        <v>28500</v>
      </c>
      <c r="AS16852" s="78">
        <f t="shared" si="267"/>
        <v>0</v>
      </c>
    </row>
    <row r="16853" spans="39:45">
      <c r="AM16853" s="55">
        <v>2020</v>
      </c>
      <c r="AN16853" s="55" t="s">
        <v>193</v>
      </c>
      <c r="AO16853" s="55">
        <v>3</v>
      </c>
      <c r="AP16853" s="55">
        <v>3</v>
      </c>
      <c r="AQ16853" s="55">
        <v>0</v>
      </c>
      <c r="AR16853" s="55">
        <v>28500</v>
      </c>
      <c r="AS16853" s="78">
        <f t="shared" si="267"/>
        <v>0</v>
      </c>
    </row>
    <row r="16854" spans="39:45">
      <c r="AM16854" s="54">
        <v>2020</v>
      </c>
      <c r="AN16854" s="54" t="s">
        <v>193</v>
      </c>
      <c r="AO16854" s="54">
        <v>3</v>
      </c>
      <c r="AP16854" s="54">
        <v>4</v>
      </c>
      <c r="AQ16854" s="54">
        <v>0</v>
      </c>
      <c r="AR16854" s="55">
        <v>28500</v>
      </c>
      <c r="AS16854" s="78">
        <f t="shared" si="267"/>
        <v>0</v>
      </c>
    </row>
    <row r="16855" spans="39:45">
      <c r="AM16855" s="55">
        <v>2020</v>
      </c>
      <c r="AN16855" s="55" t="s">
        <v>193</v>
      </c>
      <c r="AO16855" s="55">
        <v>3</v>
      </c>
      <c r="AP16855" s="55">
        <v>5</v>
      </c>
      <c r="AQ16855" s="55">
        <v>0</v>
      </c>
      <c r="AR16855" s="55">
        <v>28500</v>
      </c>
      <c r="AS16855" s="78">
        <f t="shared" si="267"/>
        <v>0</v>
      </c>
    </row>
    <row r="16856" spans="39:45">
      <c r="AM16856" s="54">
        <v>2020</v>
      </c>
      <c r="AN16856" s="54" t="s">
        <v>193</v>
      </c>
      <c r="AO16856" s="54">
        <v>3</v>
      </c>
      <c r="AP16856" s="54">
        <v>6</v>
      </c>
      <c r="AQ16856" s="54">
        <v>0</v>
      </c>
      <c r="AR16856" s="55">
        <v>28500</v>
      </c>
      <c r="AS16856" s="78">
        <f t="shared" si="267"/>
        <v>0</v>
      </c>
    </row>
    <row r="16857" spans="39:45">
      <c r="AM16857" s="55">
        <v>2020</v>
      </c>
      <c r="AN16857" s="55" t="s">
        <v>193</v>
      </c>
      <c r="AO16857" s="55">
        <v>3</v>
      </c>
      <c r="AP16857" s="55">
        <v>7</v>
      </c>
      <c r="AQ16857" s="55">
        <v>0</v>
      </c>
      <c r="AR16857" s="55">
        <v>28500</v>
      </c>
      <c r="AS16857" s="78">
        <f t="shared" si="267"/>
        <v>0</v>
      </c>
    </row>
    <row r="16858" spans="39:45">
      <c r="AM16858" s="54">
        <v>2020</v>
      </c>
      <c r="AN16858" s="54" t="s">
        <v>193</v>
      </c>
      <c r="AO16858" s="54">
        <v>3</v>
      </c>
      <c r="AP16858" s="54">
        <v>8</v>
      </c>
      <c r="AQ16858" s="54">
        <v>0</v>
      </c>
      <c r="AR16858" s="55">
        <v>28500</v>
      </c>
      <c r="AS16858" s="78">
        <f t="shared" si="267"/>
        <v>0</v>
      </c>
    </row>
    <row r="16859" spans="39:45">
      <c r="AM16859" s="55">
        <v>2020</v>
      </c>
      <c r="AN16859" s="55" t="s">
        <v>193</v>
      </c>
      <c r="AO16859" s="55">
        <v>3</v>
      </c>
      <c r="AP16859" s="55">
        <v>9</v>
      </c>
      <c r="AQ16859" s="55">
        <v>754.5</v>
      </c>
      <c r="AR16859" s="55">
        <v>28500</v>
      </c>
      <c r="AS16859" s="78">
        <f t="shared" si="267"/>
        <v>2.6473684210526316E-2</v>
      </c>
    </row>
    <row r="16860" spans="39:45">
      <c r="AM16860" s="54">
        <v>2020</v>
      </c>
      <c r="AN16860" s="54" t="s">
        <v>193</v>
      </c>
      <c r="AO16860" s="54">
        <v>3</v>
      </c>
      <c r="AP16860" s="54">
        <v>10</v>
      </c>
      <c r="AQ16860" s="54">
        <v>1866.5</v>
      </c>
      <c r="AR16860" s="55">
        <v>28500</v>
      </c>
      <c r="AS16860" s="78">
        <f t="shared" si="267"/>
        <v>6.5491228070175433E-2</v>
      </c>
    </row>
    <row r="16861" spans="39:45">
      <c r="AM16861" s="55">
        <v>2020</v>
      </c>
      <c r="AN16861" s="55" t="s">
        <v>193</v>
      </c>
      <c r="AO16861" s="55">
        <v>3</v>
      </c>
      <c r="AP16861" s="55">
        <v>11</v>
      </c>
      <c r="AQ16861" s="55">
        <v>1562.5</v>
      </c>
      <c r="AR16861" s="55">
        <v>28500</v>
      </c>
      <c r="AS16861" s="78">
        <f t="shared" si="267"/>
        <v>5.4824561403508769E-2</v>
      </c>
    </row>
    <row r="16862" spans="39:45">
      <c r="AM16862" s="54">
        <v>2020</v>
      </c>
      <c r="AN16862" s="54" t="s">
        <v>193</v>
      </c>
      <c r="AO16862" s="54">
        <v>3</v>
      </c>
      <c r="AP16862" s="54">
        <v>12</v>
      </c>
      <c r="AQ16862" s="54">
        <v>1377</v>
      </c>
      <c r="AR16862" s="55">
        <v>28500</v>
      </c>
      <c r="AS16862" s="78">
        <f t="shared" si="267"/>
        <v>4.8315789473684208E-2</v>
      </c>
    </row>
    <row r="16863" spans="39:45">
      <c r="AM16863" s="55">
        <v>2020</v>
      </c>
      <c r="AN16863" s="55" t="s">
        <v>193</v>
      </c>
      <c r="AO16863" s="55">
        <v>3</v>
      </c>
      <c r="AP16863" s="55">
        <v>13</v>
      </c>
      <c r="AQ16863" s="55">
        <v>583.5</v>
      </c>
      <c r="AR16863" s="55">
        <v>28500</v>
      </c>
      <c r="AS16863" s="78">
        <f t="shared" si="267"/>
        <v>2.0473684210526314E-2</v>
      </c>
    </row>
    <row r="16864" spans="39:45">
      <c r="AM16864" s="54">
        <v>2020</v>
      </c>
      <c r="AN16864" s="54" t="s">
        <v>193</v>
      </c>
      <c r="AO16864" s="54">
        <v>3</v>
      </c>
      <c r="AP16864" s="54">
        <v>14</v>
      </c>
      <c r="AQ16864" s="54">
        <v>252</v>
      </c>
      <c r="AR16864" s="55">
        <v>28500</v>
      </c>
      <c r="AS16864" s="78">
        <f t="shared" si="267"/>
        <v>8.8421052631578942E-3</v>
      </c>
    </row>
    <row r="16865" spans="39:45">
      <c r="AM16865" s="55">
        <v>2020</v>
      </c>
      <c r="AN16865" s="55" t="s">
        <v>193</v>
      </c>
      <c r="AO16865" s="55">
        <v>3</v>
      </c>
      <c r="AP16865" s="55">
        <v>15</v>
      </c>
      <c r="AQ16865" s="55">
        <v>53.5</v>
      </c>
      <c r="AR16865" s="55">
        <v>28500</v>
      </c>
      <c r="AS16865" s="78">
        <f t="shared" si="267"/>
        <v>1.8771929824561403E-3</v>
      </c>
    </row>
    <row r="16866" spans="39:45">
      <c r="AM16866" s="54">
        <v>2020</v>
      </c>
      <c r="AN16866" s="54" t="s">
        <v>193</v>
      </c>
      <c r="AO16866" s="54">
        <v>3</v>
      </c>
      <c r="AP16866" s="54">
        <v>16</v>
      </c>
      <c r="AQ16866" s="54">
        <v>0</v>
      </c>
      <c r="AR16866" s="55">
        <v>28500</v>
      </c>
      <c r="AS16866" s="78">
        <f t="shared" si="267"/>
        <v>0</v>
      </c>
    </row>
    <row r="16867" spans="39:45">
      <c r="AM16867" s="55">
        <v>2020</v>
      </c>
      <c r="AN16867" s="55" t="s">
        <v>193</v>
      </c>
      <c r="AO16867" s="55">
        <v>3</v>
      </c>
      <c r="AP16867" s="55">
        <v>17</v>
      </c>
      <c r="AQ16867" s="55">
        <v>0</v>
      </c>
      <c r="AR16867" s="55">
        <v>28500</v>
      </c>
      <c r="AS16867" s="78">
        <f t="shared" si="267"/>
        <v>0</v>
      </c>
    </row>
    <row r="16868" spans="39:45">
      <c r="AM16868" s="54">
        <v>2020</v>
      </c>
      <c r="AN16868" s="54" t="s">
        <v>193</v>
      </c>
      <c r="AO16868" s="54">
        <v>3</v>
      </c>
      <c r="AP16868" s="54">
        <v>18</v>
      </c>
      <c r="AQ16868" s="54">
        <v>0</v>
      </c>
      <c r="AR16868" s="55">
        <v>28500</v>
      </c>
      <c r="AS16868" s="78">
        <f t="shared" si="267"/>
        <v>0</v>
      </c>
    </row>
    <row r="16869" spans="39:45">
      <c r="AM16869" s="55">
        <v>2020</v>
      </c>
      <c r="AN16869" s="55" t="s">
        <v>193</v>
      </c>
      <c r="AO16869" s="55">
        <v>3</v>
      </c>
      <c r="AP16869" s="55">
        <v>19</v>
      </c>
      <c r="AQ16869" s="55">
        <v>0</v>
      </c>
      <c r="AR16869" s="55">
        <v>28500</v>
      </c>
      <c r="AS16869" s="78">
        <f t="shared" si="267"/>
        <v>0</v>
      </c>
    </row>
    <row r="16870" spans="39:45">
      <c r="AM16870" s="54">
        <v>2020</v>
      </c>
      <c r="AN16870" s="54" t="s">
        <v>193</v>
      </c>
      <c r="AO16870" s="54">
        <v>3</v>
      </c>
      <c r="AP16870" s="54">
        <v>20</v>
      </c>
      <c r="AQ16870" s="54">
        <v>0</v>
      </c>
      <c r="AR16870" s="55">
        <v>28500</v>
      </c>
      <c r="AS16870" s="78">
        <f t="shared" si="267"/>
        <v>0</v>
      </c>
    </row>
    <row r="16871" spans="39:45">
      <c r="AM16871" s="55">
        <v>2020</v>
      </c>
      <c r="AN16871" s="55" t="s">
        <v>193</v>
      </c>
      <c r="AO16871" s="55">
        <v>3</v>
      </c>
      <c r="AP16871" s="55">
        <v>21</v>
      </c>
      <c r="AQ16871" s="55">
        <v>0</v>
      </c>
      <c r="AR16871" s="55">
        <v>28500</v>
      </c>
      <c r="AS16871" s="78">
        <f t="shared" si="267"/>
        <v>0</v>
      </c>
    </row>
    <row r="16872" spans="39:45">
      <c r="AM16872" s="54">
        <v>2020</v>
      </c>
      <c r="AN16872" s="54" t="s">
        <v>193</v>
      </c>
      <c r="AO16872" s="54">
        <v>3</v>
      </c>
      <c r="AP16872" s="54">
        <v>22</v>
      </c>
      <c r="AQ16872" s="54">
        <v>0</v>
      </c>
      <c r="AR16872" s="55">
        <v>28500</v>
      </c>
      <c r="AS16872" s="78">
        <f t="shared" si="267"/>
        <v>0</v>
      </c>
    </row>
    <row r="16873" spans="39:45">
      <c r="AM16873" s="55">
        <v>2020</v>
      </c>
      <c r="AN16873" s="55" t="s">
        <v>193</v>
      </c>
      <c r="AO16873" s="55">
        <v>3</v>
      </c>
      <c r="AP16873" s="55">
        <v>23</v>
      </c>
      <c r="AQ16873" s="55">
        <v>0</v>
      </c>
      <c r="AR16873" s="55">
        <v>28500</v>
      </c>
      <c r="AS16873" s="78">
        <f t="shared" si="267"/>
        <v>0</v>
      </c>
    </row>
    <row r="16874" spans="39:45">
      <c r="AM16874" s="54">
        <v>2020</v>
      </c>
      <c r="AN16874" s="54" t="s">
        <v>193</v>
      </c>
      <c r="AO16874" s="54">
        <v>4</v>
      </c>
      <c r="AP16874" s="54">
        <v>24</v>
      </c>
      <c r="AQ16874" s="54">
        <v>0</v>
      </c>
      <c r="AR16874" s="55">
        <v>28500</v>
      </c>
      <c r="AS16874" s="78">
        <f t="shared" si="267"/>
        <v>0</v>
      </c>
    </row>
    <row r="16875" spans="39:45">
      <c r="AM16875" s="55">
        <v>2020</v>
      </c>
      <c r="AN16875" s="55" t="s">
        <v>193</v>
      </c>
      <c r="AO16875" s="55">
        <v>4</v>
      </c>
      <c r="AP16875" s="55">
        <v>1</v>
      </c>
      <c r="AQ16875" s="55">
        <v>0</v>
      </c>
      <c r="AR16875" s="55">
        <v>28500</v>
      </c>
      <c r="AS16875" s="78">
        <f t="shared" si="267"/>
        <v>0</v>
      </c>
    </row>
    <row r="16876" spans="39:45">
      <c r="AM16876" s="54">
        <v>2020</v>
      </c>
      <c r="AN16876" s="54" t="s">
        <v>193</v>
      </c>
      <c r="AO16876" s="54">
        <v>4</v>
      </c>
      <c r="AP16876" s="54">
        <v>2</v>
      </c>
      <c r="AQ16876" s="54">
        <v>0</v>
      </c>
      <c r="AR16876" s="55">
        <v>28500</v>
      </c>
      <c r="AS16876" s="78">
        <f t="shared" si="267"/>
        <v>0</v>
      </c>
    </row>
    <row r="16877" spans="39:45">
      <c r="AM16877" s="55">
        <v>2020</v>
      </c>
      <c r="AN16877" s="55" t="s">
        <v>193</v>
      </c>
      <c r="AO16877" s="55">
        <v>4</v>
      </c>
      <c r="AP16877" s="55">
        <v>3</v>
      </c>
      <c r="AQ16877" s="55">
        <v>0</v>
      </c>
      <c r="AR16877" s="55">
        <v>28500</v>
      </c>
      <c r="AS16877" s="78">
        <f t="shared" si="267"/>
        <v>0</v>
      </c>
    </row>
    <row r="16878" spans="39:45">
      <c r="AM16878" s="54">
        <v>2020</v>
      </c>
      <c r="AN16878" s="54" t="s">
        <v>193</v>
      </c>
      <c r="AO16878" s="54">
        <v>4</v>
      </c>
      <c r="AP16878" s="54">
        <v>4</v>
      </c>
      <c r="AQ16878" s="54">
        <v>0</v>
      </c>
      <c r="AR16878" s="55">
        <v>28500</v>
      </c>
      <c r="AS16878" s="78">
        <f t="shared" si="267"/>
        <v>0</v>
      </c>
    </row>
    <row r="16879" spans="39:45">
      <c r="AM16879" s="55">
        <v>2020</v>
      </c>
      <c r="AN16879" s="55" t="s">
        <v>193</v>
      </c>
      <c r="AO16879" s="55">
        <v>4</v>
      </c>
      <c r="AP16879" s="55">
        <v>5</v>
      </c>
      <c r="AQ16879" s="55">
        <v>0</v>
      </c>
      <c r="AR16879" s="55">
        <v>28500</v>
      </c>
      <c r="AS16879" s="78">
        <f t="shared" si="267"/>
        <v>0</v>
      </c>
    </row>
    <row r="16880" spans="39:45">
      <c r="AM16880" s="54">
        <v>2020</v>
      </c>
      <c r="AN16880" s="54" t="s">
        <v>193</v>
      </c>
      <c r="AO16880" s="54">
        <v>4</v>
      </c>
      <c r="AP16880" s="54">
        <v>6</v>
      </c>
      <c r="AQ16880" s="54">
        <v>0</v>
      </c>
      <c r="AR16880" s="55">
        <v>28500</v>
      </c>
      <c r="AS16880" s="78">
        <f t="shared" si="267"/>
        <v>0</v>
      </c>
    </row>
    <row r="16881" spans="39:45">
      <c r="AM16881" s="55">
        <v>2020</v>
      </c>
      <c r="AN16881" s="55" t="s">
        <v>193</v>
      </c>
      <c r="AO16881" s="55">
        <v>4</v>
      </c>
      <c r="AP16881" s="55">
        <v>7</v>
      </c>
      <c r="AQ16881" s="55">
        <v>0</v>
      </c>
      <c r="AR16881" s="55">
        <v>28500</v>
      </c>
      <c r="AS16881" s="78">
        <f t="shared" si="267"/>
        <v>0</v>
      </c>
    </row>
    <row r="16882" spans="39:45">
      <c r="AM16882" s="54">
        <v>2020</v>
      </c>
      <c r="AN16882" s="54" t="s">
        <v>193</v>
      </c>
      <c r="AO16882" s="54">
        <v>4</v>
      </c>
      <c r="AP16882" s="54">
        <v>8</v>
      </c>
      <c r="AQ16882" s="54">
        <v>0</v>
      </c>
      <c r="AR16882" s="55">
        <v>28500</v>
      </c>
      <c r="AS16882" s="78">
        <f t="shared" si="267"/>
        <v>0</v>
      </c>
    </row>
    <row r="16883" spans="39:45">
      <c r="AM16883" s="55">
        <v>2020</v>
      </c>
      <c r="AN16883" s="55" t="s">
        <v>193</v>
      </c>
      <c r="AO16883" s="55">
        <v>4</v>
      </c>
      <c r="AP16883" s="55">
        <v>9</v>
      </c>
      <c r="AQ16883" s="55">
        <v>258.5</v>
      </c>
      <c r="AR16883" s="55">
        <v>28500</v>
      </c>
      <c r="AS16883" s="78">
        <f t="shared" si="267"/>
        <v>9.0701754385964905E-3</v>
      </c>
    </row>
    <row r="16884" spans="39:45">
      <c r="AM16884" s="54">
        <v>2020</v>
      </c>
      <c r="AN16884" s="54" t="s">
        <v>193</v>
      </c>
      <c r="AO16884" s="54">
        <v>4</v>
      </c>
      <c r="AP16884" s="54">
        <v>10</v>
      </c>
      <c r="AQ16884" s="54">
        <v>1006</v>
      </c>
      <c r="AR16884" s="55">
        <v>28500</v>
      </c>
      <c r="AS16884" s="78">
        <f t="shared" si="267"/>
        <v>3.5298245614035086E-2</v>
      </c>
    </row>
    <row r="16885" spans="39:45">
      <c r="AM16885" s="55">
        <v>2020</v>
      </c>
      <c r="AN16885" s="55" t="s">
        <v>193</v>
      </c>
      <c r="AO16885" s="55">
        <v>4</v>
      </c>
      <c r="AP16885" s="55">
        <v>11</v>
      </c>
      <c r="AQ16885" s="55">
        <v>628</v>
      </c>
      <c r="AR16885" s="55">
        <v>28500</v>
      </c>
      <c r="AS16885" s="78">
        <f t="shared" si="267"/>
        <v>2.2035087719298244E-2</v>
      </c>
    </row>
    <row r="16886" spans="39:45">
      <c r="AM16886" s="54">
        <v>2020</v>
      </c>
      <c r="AN16886" s="54" t="s">
        <v>193</v>
      </c>
      <c r="AO16886" s="54">
        <v>4</v>
      </c>
      <c r="AP16886" s="54">
        <v>12</v>
      </c>
      <c r="AQ16886" s="54">
        <v>5192.5</v>
      </c>
      <c r="AR16886" s="55">
        <v>28500</v>
      </c>
      <c r="AS16886" s="78">
        <f t="shared" si="267"/>
        <v>0.18219298245614035</v>
      </c>
    </row>
    <row r="16887" spans="39:45">
      <c r="AM16887" s="55">
        <v>2020</v>
      </c>
      <c r="AN16887" s="55" t="s">
        <v>193</v>
      </c>
      <c r="AO16887" s="55">
        <v>4</v>
      </c>
      <c r="AP16887" s="55">
        <v>13</v>
      </c>
      <c r="AQ16887" s="55">
        <v>5635</v>
      </c>
      <c r="AR16887" s="55">
        <v>28500</v>
      </c>
      <c r="AS16887" s="78">
        <f t="shared" si="267"/>
        <v>0.19771929824561404</v>
      </c>
    </row>
    <row r="16888" spans="39:45">
      <c r="AM16888" s="54">
        <v>2020</v>
      </c>
      <c r="AN16888" s="54" t="s">
        <v>193</v>
      </c>
      <c r="AO16888" s="54">
        <v>4</v>
      </c>
      <c r="AP16888" s="54">
        <v>14</v>
      </c>
      <c r="AQ16888" s="54">
        <v>9430</v>
      </c>
      <c r="AR16888" s="55">
        <v>28500</v>
      </c>
      <c r="AS16888" s="78">
        <f t="shared" si="267"/>
        <v>0.33087719298245616</v>
      </c>
    </row>
    <row r="16889" spans="39:45">
      <c r="AM16889" s="55">
        <v>2020</v>
      </c>
      <c r="AN16889" s="55" t="s">
        <v>193</v>
      </c>
      <c r="AO16889" s="55">
        <v>4</v>
      </c>
      <c r="AP16889" s="55">
        <v>15</v>
      </c>
      <c r="AQ16889" s="55">
        <v>2741.5</v>
      </c>
      <c r="AR16889" s="55">
        <v>28500</v>
      </c>
      <c r="AS16889" s="78">
        <f t="shared" si="267"/>
        <v>9.6192982456140344E-2</v>
      </c>
    </row>
    <row r="16890" spans="39:45">
      <c r="AM16890" s="54">
        <v>2020</v>
      </c>
      <c r="AN16890" s="54" t="s">
        <v>193</v>
      </c>
      <c r="AO16890" s="54">
        <v>4</v>
      </c>
      <c r="AP16890" s="54">
        <v>16</v>
      </c>
      <c r="AQ16890" s="54">
        <v>0</v>
      </c>
      <c r="AR16890" s="55">
        <v>28500</v>
      </c>
      <c r="AS16890" s="78">
        <f t="shared" si="267"/>
        <v>0</v>
      </c>
    </row>
    <row r="16891" spans="39:45">
      <c r="AM16891" s="55">
        <v>2020</v>
      </c>
      <c r="AN16891" s="55" t="s">
        <v>193</v>
      </c>
      <c r="AO16891" s="55">
        <v>4</v>
      </c>
      <c r="AP16891" s="55">
        <v>17</v>
      </c>
      <c r="AQ16891" s="55">
        <v>0</v>
      </c>
      <c r="AR16891" s="55">
        <v>28500</v>
      </c>
      <c r="AS16891" s="78">
        <f t="shared" si="267"/>
        <v>0</v>
      </c>
    </row>
    <row r="16892" spans="39:45">
      <c r="AM16892" s="54">
        <v>2020</v>
      </c>
      <c r="AN16892" s="54" t="s">
        <v>193</v>
      </c>
      <c r="AO16892" s="54">
        <v>4</v>
      </c>
      <c r="AP16892" s="54">
        <v>18</v>
      </c>
      <c r="AQ16892" s="54">
        <v>0</v>
      </c>
      <c r="AR16892" s="55">
        <v>28500</v>
      </c>
      <c r="AS16892" s="78">
        <f t="shared" si="267"/>
        <v>0</v>
      </c>
    </row>
    <row r="16893" spans="39:45">
      <c r="AM16893" s="55">
        <v>2020</v>
      </c>
      <c r="AN16893" s="55" t="s">
        <v>193</v>
      </c>
      <c r="AO16893" s="55">
        <v>4</v>
      </c>
      <c r="AP16893" s="55">
        <v>19</v>
      </c>
      <c r="AQ16893" s="55">
        <v>0</v>
      </c>
      <c r="AR16893" s="55">
        <v>28500</v>
      </c>
      <c r="AS16893" s="78">
        <f t="shared" si="267"/>
        <v>0</v>
      </c>
    </row>
    <row r="16894" spans="39:45">
      <c r="AM16894" s="54">
        <v>2020</v>
      </c>
      <c r="AN16894" s="54" t="s">
        <v>193</v>
      </c>
      <c r="AO16894" s="54">
        <v>4</v>
      </c>
      <c r="AP16894" s="54">
        <v>20</v>
      </c>
      <c r="AQ16894" s="54">
        <v>0</v>
      </c>
      <c r="AR16894" s="55">
        <v>28500</v>
      </c>
      <c r="AS16894" s="78">
        <f t="shared" si="267"/>
        <v>0</v>
      </c>
    </row>
    <row r="16895" spans="39:45">
      <c r="AM16895" s="55">
        <v>2020</v>
      </c>
      <c r="AN16895" s="55" t="s">
        <v>193</v>
      </c>
      <c r="AO16895" s="55">
        <v>4</v>
      </c>
      <c r="AP16895" s="55">
        <v>21</v>
      </c>
      <c r="AQ16895" s="55">
        <v>0</v>
      </c>
      <c r="AR16895" s="55">
        <v>28500</v>
      </c>
      <c r="AS16895" s="78">
        <f t="shared" si="267"/>
        <v>0</v>
      </c>
    </row>
    <row r="16896" spans="39:45">
      <c r="AM16896" s="54">
        <v>2020</v>
      </c>
      <c r="AN16896" s="54" t="s">
        <v>193</v>
      </c>
      <c r="AO16896" s="54">
        <v>4</v>
      </c>
      <c r="AP16896" s="54">
        <v>22</v>
      </c>
      <c r="AQ16896" s="54">
        <v>0</v>
      </c>
      <c r="AR16896" s="55">
        <v>28500</v>
      </c>
      <c r="AS16896" s="78">
        <f t="shared" si="267"/>
        <v>0</v>
      </c>
    </row>
    <row r="16897" spans="39:45">
      <c r="AM16897" s="55">
        <v>2020</v>
      </c>
      <c r="AN16897" s="55" t="s">
        <v>193</v>
      </c>
      <c r="AO16897" s="55">
        <v>4</v>
      </c>
      <c r="AP16897" s="55">
        <v>23</v>
      </c>
      <c r="AQ16897" s="55">
        <v>0</v>
      </c>
      <c r="AR16897" s="55">
        <v>28500</v>
      </c>
      <c r="AS16897" s="78">
        <f t="shared" si="267"/>
        <v>0</v>
      </c>
    </row>
    <row r="16898" spans="39:45">
      <c r="AM16898" s="54">
        <v>2020</v>
      </c>
      <c r="AN16898" s="54" t="s">
        <v>193</v>
      </c>
      <c r="AO16898" s="54">
        <v>5</v>
      </c>
      <c r="AP16898" s="54">
        <v>24</v>
      </c>
      <c r="AQ16898" s="54">
        <v>0</v>
      </c>
      <c r="AR16898" s="55">
        <v>28500</v>
      </c>
      <c r="AS16898" s="78">
        <f t="shared" ref="AS16898:AS16961" si="268">AQ16898/AR16898</f>
        <v>0</v>
      </c>
    </row>
    <row r="16899" spans="39:45">
      <c r="AM16899" s="55">
        <v>2020</v>
      </c>
      <c r="AN16899" s="55" t="s">
        <v>193</v>
      </c>
      <c r="AO16899" s="55">
        <v>5</v>
      </c>
      <c r="AP16899" s="55">
        <v>1</v>
      </c>
      <c r="AQ16899" s="55">
        <v>0</v>
      </c>
      <c r="AR16899" s="55">
        <v>28500</v>
      </c>
      <c r="AS16899" s="78">
        <f t="shared" si="268"/>
        <v>0</v>
      </c>
    </row>
    <row r="16900" spans="39:45">
      <c r="AM16900" s="54">
        <v>2020</v>
      </c>
      <c r="AN16900" s="54" t="s">
        <v>193</v>
      </c>
      <c r="AO16900" s="54">
        <v>5</v>
      </c>
      <c r="AP16900" s="54">
        <v>2</v>
      </c>
      <c r="AQ16900" s="54">
        <v>0</v>
      </c>
      <c r="AR16900" s="55">
        <v>28500</v>
      </c>
      <c r="AS16900" s="78">
        <f t="shared" si="268"/>
        <v>0</v>
      </c>
    </row>
    <row r="16901" spans="39:45">
      <c r="AM16901" s="55">
        <v>2020</v>
      </c>
      <c r="AN16901" s="55" t="s">
        <v>193</v>
      </c>
      <c r="AO16901" s="55">
        <v>5</v>
      </c>
      <c r="AP16901" s="55">
        <v>3</v>
      </c>
      <c r="AQ16901" s="55">
        <v>0</v>
      </c>
      <c r="AR16901" s="55">
        <v>28500</v>
      </c>
      <c r="AS16901" s="78">
        <f t="shared" si="268"/>
        <v>0</v>
      </c>
    </row>
    <row r="16902" spans="39:45">
      <c r="AM16902" s="54">
        <v>2020</v>
      </c>
      <c r="AN16902" s="54" t="s">
        <v>193</v>
      </c>
      <c r="AO16902" s="54">
        <v>5</v>
      </c>
      <c r="AP16902" s="54">
        <v>4</v>
      </c>
      <c r="AQ16902" s="54">
        <v>0</v>
      </c>
      <c r="AR16902" s="55">
        <v>28500</v>
      </c>
      <c r="AS16902" s="78">
        <f t="shared" si="268"/>
        <v>0</v>
      </c>
    </row>
    <row r="16903" spans="39:45">
      <c r="AM16903" s="55">
        <v>2020</v>
      </c>
      <c r="AN16903" s="55" t="s">
        <v>193</v>
      </c>
      <c r="AO16903" s="55">
        <v>5</v>
      </c>
      <c r="AP16903" s="55">
        <v>5</v>
      </c>
      <c r="AQ16903" s="55">
        <v>0</v>
      </c>
      <c r="AR16903" s="55">
        <v>28500</v>
      </c>
      <c r="AS16903" s="78">
        <f t="shared" si="268"/>
        <v>0</v>
      </c>
    </row>
    <row r="16904" spans="39:45">
      <c r="AM16904" s="54">
        <v>2020</v>
      </c>
      <c r="AN16904" s="54" t="s">
        <v>193</v>
      </c>
      <c r="AO16904" s="54">
        <v>5</v>
      </c>
      <c r="AP16904" s="54">
        <v>6</v>
      </c>
      <c r="AQ16904" s="54">
        <v>0</v>
      </c>
      <c r="AR16904" s="55">
        <v>28500</v>
      </c>
      <c r="AS16904" s="78">
        <f t="shared" si="268"/>
        <v>0</v>
      </c>
    </row>
    <row r="16905" spans="39:45">
      <c r="AM16905" s="55">
        <v>2020</v>
      </c>
      <c r="AN16905" s="55" t="s">
        <v>193</v>
      </c>
      <c r="AO16905" s="55">
        <v>5</v>
      </c>
      <c r="AP16905" s="55">
        <v>7</v>
      </c>
      <c r="AQ16905" s="55">
        <v>0</v>
      </c>
      <c r="AR16905" s="55">
        <v>28500</v>
      </c>
      <c r="AS16905" s="78">
        <f t="shared" si="268"/>
        <v>0</v>
      </c>
    </row>
    <row r="16906" spans="39:45">
      <c r="AM16906" s="54">
        <v>2020</v>
      </c>
      <c r="AN16906" s="54" t="s">
        <v>193</v>
      </c>
      <c r="AO16906" s="54">
        <v>5</v>
      </c>
      <c r="AP16906" s="54">
        <v>8</v>
      </c>
      <c r="AQ16906" s="54">
        <v>0</v>
      </c>
      <c r="AR16906" s="55">
        <v>28500</v>
      </c>
      <c r="AS16906" s="78">
        <f t="shared" si="268"/>
        <v>0</v>
      </c>
    </row>
    <row r="16907" spans="39:45">
      <c r="AM16907" s="55">
        <v>2020</v>
      </c>
      <c r="AN16907" s="55" t="s">
        <v>193</v>
      </c>
      <c r="AO16907" s="55">
        <v>5</v>
      </c>
      <c r="AP16907" s="55">
        <v>9</v>
      </c>
      <c r="AQ16907" s="55">
        <v>16188.5</v>
      </c>
      <c r="AR16907" s="55">
        <v>28500</v>
      </c>
      <c r="AS16907" s="78">
        <f t="shared" si="268"/>
        <v>0.56801754385964909</v>
      </c>
    </row>
    <row r="16908" spans="39:45">
      <c r="AM16908" s="54">
        <v>2020</v>
      </c>
      <c r="AN16908" s="54" t="s">
        <v>193</v>
      </c>
      <c r="AO16908" s="54">
        <v>5</v>
      </c>
      <c r="AP16908" s="54">
        <v>10</v>
      </c>
      <c r="AQ16908" s="54">
        <v>25096.5</v>
      </c>
      <c r="AR16908" s="55">
        <v>28500</v>
      </c>
      <c r="AS16908" s="78">
        <f t="shared" si="268"/>
        <v>0.88057894736842102</v>
      </c>
    </row>
    <row r="16909" spans="39:45">
      <c r="AM16909" s="55">
        <v>2020</v>
      </c>
      <c r="AN16909" s="55" t="s">
        <v>193</v>
      </c>
      <c r="AO16909" s="55">
        <v>5</v>
      </c>
      <c r="AP16909" s="55">
        <v>11</v>
      </c>
      <c r="AQ16909" s="55">
        <v>22327</v>
      </c>
      <c r="AR16909" s="55">
        <v>28500</v>
      </c>
      <c r="AS16909" s="78">
        <f t="shared" si="268"/>
        <v>0.78340350877192988</v>
      </c>
    </row>
    <row r="16910" spans="39:45">
      <c r="AM16910" s="54">
        <v>2020</v>
      </c>
      <c r="AN16910" s="54" t="s">
        <v>193</v>
      </c>
      <c r="AO16910" s="54">
        <v>5</v>
      </c>
      <c r="AP16910" s="54">
        <v>12</v>
      </c>
      <c r="AQ16910" s="54">
        <v>20949</v>
      </c>
      <c r="AR16910" s="55">
        <v>28500</v>
      </c>
      <c r="AS16910" s="78">
        <f t="shared" si="268"/>
        <v>0.7350526315789474</v>
      </c>
    </row>
    <row r="16911" spans="39:45">
      <c r="AM16911" s="55">
        <v>2020</v>
      </c>
      <c r="AN16911" s="55" t="s">
        <v>193</v>
      </c>
      <c r="AO16911" s="55">
        <v>5</v>
      </c>
      <c r="AP16911" s="55">
        <v>13</v>
      </c>
      <c r="AQ16911" s="55">
        <v>6883</v>
      </c>
      <c r="AR16911" s="55">
        <v>28500</v>
      </c>
      <c r="AS16911" s="78">
        <f t="shared" si="268"/>
        <v>0.24150877192982456</v>
      </c>
    </row>
    <row r="16912" spans="39:45">
      <c r="AM16912" s="54">
        <v>2020</v>
      </c>
      <c r="AN16912" s="54" t="s">
        <v>193</v>
      </c>
      <c r="AO16912" s="54">
        <v>5</v>
      </c>
      <c r="AP16912" s="54">
        <v>14</v>
      </c>
      <c r="AQ16912" s="54">
        <v>4227</v>
      </c>
      <c r="AR16912" s="55">
        <v>28500</v>
      </c>
      <c r="AS16912" s="78">
        <f t="shared" si="268"/>
        <v>0.14831578947368421</v>
      </c>
    </row>
    <row r="16913" spans="39:45">
      <c r="AM16913" s="55">
        <v>2020</v>
      </c>
      <c r="AN16913" s="55" t="s">
        <v>193</v>
      </c>
      <c r="AO16913" s="55">
        <v>5</v>
      </c>
      <c r="AP16913" s="55">
        <v>15</v>
      </c>
      <c r="AQ16913" s="55">
        <v>674</v>
      </c>
      <c r="AR16913" s="55">
        <v>28500</v>
      </c>
      <c r="AS16913" s="78">
        <f t="shared" si="268"/>
        <v>2.3649122807017545E-2</v>
      </c>
    </row>
    <row r="16914" spans="39:45">
      <c r="AM16914" s="54">
        <v>2020</v>
      </c>
      <c r="AN16914" s="54" t="s">
        <v>193</v>
      </c>
      <c r="AO16914" s="54">
        <v>5</v>
      </c>
      <c r="AP16914" s="54">
        <v>16</v>
      </c>
      <c r="AQ16914" s="54">
        <v>0</v>
      </c>
      <c r="AR16914" s="55">
        <v>28500</v>
      </c>
      <c r="AS16914" s="78">
        <f t="shared" si="268"/>
        <v>0</v>
      </c>
    </row>
    <row r="16915" spans="39:45">
      <c r="AM16915" s="55">
        <v>2020</v>
      </c>
      <c r="AN16915" s="55" t="s">
        <v>193</v>
      </c>
      <c r="AO16915" s="55">
        <v>5</v>
      </c>
      <c r="AP16915" s="55">
        <v>17</v>
      </c>
      <c r="AQ16915" s="55">
        <v>0</v>
      </c>
      <c r="AR16915" s="55">
        <v>28500</v>
      </c>
      <c r="AS16915" s="78">
        <f t="shared" si="268"/>
        <v>0</v>
      </c>
    </row>
    <row r="16916" spans="39:45">
      <c r="AM16916" s="54">
        <v>2020</v>
      </c>
      <c r="AN16916" s="54" t="s">
        <v>193</v>
      </c>
      <c r="AO16916" s="54">
        <v>5</v>
      </c>
      <c r="AP16916" s="54">
        <v>18</v>
      </c>
      <c r="AQ16916" s="54">
        <v>0</v>
      </c>
      <c r="AR16916" s="55">
        <v>28500</v>
      </c>
      <c r="AS16916" s="78">
        <f t="shared" si="268"/>
        <v>0</v>
      </c>
    </row>
    <row r="16917" spans="39:45">
      <c r="AM16917" s="55">
        <v>2020</v>
      </c>
      <c r="AN16917" s="55" t="s">
        <v>193</v>
      </c>
      <c r="AO16917" s="55">
        <v>5</v>
      </c>
      <c r="AP16917" s="55">
        <v>19</v>
      </c>
      <c r="AQ16917" s="55">
        <v>0</v>
      </c>
      <c r="AR16917" s="55">
        <v>28500</v>
      </c>
      <c r="AS16917" s="78">
        <f t="shared" si="268"/>
        <v>0</v>
      </c>
    </row>
    <row r="16918" spans="39:45">
      <c r="AM16918" s="54">
        <v>2020</v>
      </c>
      <c r="AN16918" s="54" t="s">
        <v>193</v>
      </c>
      <c r="AO16918" s="54">
        <v>5</v>
      </c>
      <c r="AP16918" s="54">
        <v>20</v>
      </c>
      <c r="AQ16918" s="54">
        <v>0</v>
      </c>
      <c r="AR16918" s="55">
        <v>28500</v>
      </c>
      <c r="AS16918" s="78">
        <f t="shared" si="268"/>
        <v>0</v>
      </c>
    </row>
    <row r="16919" spans="39:45">
      <c r="AM16919" s="55">
        <v>2020</v>
      </c>
      <c r="AN16919" s="55" t="s">
        <v>193</v>
      </c>
      <c r="AO16919" s="55">
        <v>5</v>
      </c>
      <c r="AP16919" s="55">
        <v>21</v>
      </c>
      <c r="AQ16919" s="55">
        <v>0</v>
      </c>
      <c r="AR16919" s="55">
        <v>28500</v>
      </c>
      <c r="AS16919" s="78">
        <f t="shared" si="268"/>
        <v>0</v>
      </c>
    </row>
    <row r="16920" spans="39:45">
      <c r="AM16920" s="54">
        <v>2020</v>
      </c>
      <c r="AN16920" s="54" t="s">
        <v>193</v>
      </c>
      <c r="AO16920" s="54">
        <v>5</v>
      </c>
      <c r="AP16920" s="54">
        <v>22</v>
      </c>
      <c r="AQ16920" s="54">
        <v>0</v>
      </c>
      <c r="AR16920" s="55">
        <v>28500</v>
      </c>
      <c r="AS16920" s="78">
        <f t="shared" si="268"/>
        <v>0</v>
      </c>
    </row>
    <row r="16921" spans="39:45">
      <c r="AM16921" s="55">
        <v>2020</v>
      </c>
      <c r="AN16921" s="55" t="s">
        <v>193</v>
      </c>
      <c r="AO16921" s="55">
        <v>5</v>
      </c>
      <c r="AP16921" s="55">
        <v>23</v>
      </c>
      <c r="AQ16921" s="55">
        <v>0</v>
      </c>
      <c r="AR16921" s="55">
        <v>28500</v>
      </c>
      <c r="AS16921" s="78">
        <f t="shared" si="268"/>
        <v>0</v>
      </c>
    </row>
    <row r="16922" spans="39:45">
      <c r="AM16922" s="54">
        <v>2020</v>
      </c>
      <c r="AN16922" s="54" t="s">
        <v>193</v>
      </c>
      <c r="AO16922" s="54">
        <v>6</v>
      </c>
      <c r="AP16922" s="54">
        <v>24</v>
      </c>
      <c r="AQ16922" s="54">
        <v>0</v>
      </c>
      <c r="AR16922" s="55">
        <v>28500</v>
      </c>
      <c r="AS16922" s="78">
        <f t="shared" si="268"/>
        <v>0</v>
      </c>
    </row>
    <row r="16923" spans="39:45">
      <c r="AM16923" s="55">
        <v>2020</v>
      </c>
      <c r="AN16923" s="55" t="s">
        <v>193</v>
      </c>
      <c r="AO16923" s="55">
        <v>6</v>
      </c>
      <c r="AP16923" s="55">
        <v>1</v>
      </c>
      <c r="AQ16923" s="55">
        <v>0</v>
      </c>
      <c r="AR16923" s="55">
        <v>28500</v>
      </c>
      <c r="AS16923" s="78">
        <f t="shared" si="268"/>
        <v>0</v>
      </c>
    </row>
    <row r="16924" spans="39:45">
      <c r="AM16924" s="54">
        <v>2020</v>
      </c>
      <c r="AN16924" s="54" t="s">
        <v>193</v>
      </c>
      <c r="AO16924" s="54">
        <v>6</v>
      </c>
      <c r="AP16924" s="54">
        <v>2</v>
      </c>
      <c r="AQ16924" s="54">
        <v>0</v>
      </c>
      <c r="AR16924" s="55">
        <v>28500</v>
      </c>
      <c r="AS16924" s="78">
        <f t="shared" si="268"/>
        <v>0</v>
      </c>
    </row>
    <row r="16925" spans="39:45">
      <c r="AM16925" s="55">
        <v>2020</v>
      </c>
      <c r="AN16925" s="55" t="s">
        <v>193</v>
      </c>
      <c r="AO16925" s="55">
        <v>6</v>
      </c>
      <c r="AP16925" s="55">
        <v>3</v>
      </c>
      <c r="AQ16925" s="55">
        <v>0</v>
      </c>
      <c r="AR16925" s="55">
        <v>28500</v>
      </c>
      <c r="AS16925" s="78">
        <f t="shared" si="268"/>
        <v>0</v>
      </c>
    </row>
    <row r="16926" spans="39:45">
      <c r="AM16926" s="54">
        <v>2020</v>
      </c>
      <c r="AN16926" s="54" t="s">
        <v>193</v>
      </c>
      <c r="AO16926" s="54">
        <v>6</v>
      </c>
      <c r="AP16926" s="54">
        <v>4</v>
      </c>
      <c r="AQ16926" s="54">
        <v>0</v>
      </c>
      <c r="AR16926" s="55">
        <v>28500</v>
      </c>
      <c r="AS16926" s="78">
        <f t="shared" si="268"/>
        <v>0</v>
      </c>
    </row>
    <row r="16927" spans="39:45">
      <c r="AM16927" s="55">
        <v>2020</v>
      </c>
      <c r="AN16927" s="55" t="s">
        <v>193</v>
      </c>
      <c r="AO16927" s="55">
        <v>6</v>
      </c>
      <c r="AP16927" s="55">
        <v>5</v>
      </c>
      <c r="AQ16927" s="55">
        <v>0</v>
      </c>
      <c r="AR16927" s="55">
        <v>28500</v>
      </c>
      <c r="AS16927" s="78">
        <f t="shared" si="268"/>
        <v>0</v>
      </c>
    </row>
    <row r="16928" spans="39:45">
      <c r="AM16928" s="54">
        <v>2020</v>
      </c>
      <c r="AN16928" s="54" t="s">
        <v>193</v>
      </c>
      <c r="AO16928" s="54">
        <v>6</v>
      </c>
      <c r="AP16928" s="54">
        <v>6</v>
      </c>
      <c r="AQ16928" s="54">
        <v>0</v>
      </c>
      <c r="AR16928" s="55">
        <v>28500</v>
      </c>
      <c r="AS16928" s="78">
        <f t="shared" si="268"/>
        <v>0</v>
      </c>
    </row>
    <row r="16929" spans="39:45">
      <c r="AM16929" s="55">
        <v>2020</v>
      </c>
      <c r="AN16929" s="55" t="s">
        <v>193</v>
      </c>
      <c r="AO16929" s="55">
        <v>6</v>
      </c>
      <c r="AP16929" s="55">
        <v>7</v>
      </c>
      <c r="AQ16929" s="55">
        <v>0</v>
      </c>
      <c r="AR16929" s="55">
        <v>28500</v>
      </c>
      <c r="AS16929" s="78">
        <f t="shared" si="268"/>
        <v>0</v>
      </c>
    </row>
    <row r="16930" spans="39:45">
      <c r="AM16930" s="54">
        <v>2020</v>
      </c>
      <c r="AN16930" s="54" t="s">
        <v>193</v>
      </c>
      <c r="AO16930" s="54">
        <v>6</v>
      </c>
      <c r="AP16930" s="54">
        <v>8</v>
      </c>
      <c r="AQ16930" s="54">
        <v>0</v>
      </c>
      <c r="AR16930" s="55">
        <v>28500</v>
      </c>
      <c r="AS16930" s="78">
        <f t="shared" si="268"/>
        <v>0</v>
      </c>
    </row>
    <row r="16931" spans="39:45">
      <c r="AM16931" s="55">
        <v>2020</v>
      </c>
      <c r="AN16931" s="55" t="s">
        <v>193</v>
      </c>
      <c r="AO16931" s="55">
        <v>6</v>
      </c>
      <c r="AP16931" s="55">
        <v>9</v>
      </c>
      <c r="AQ16931" s="55">
        <v>595.5</v>
      </c>
      <c r="AR16931" s="55">
        <v>28500</v>
      </c>
      <c r="AS16931" s="78">
        <f t="shared" si="268"/>
        <v>2.0894736842105265E-2</v>
      </c>
    </row>
    <row r="16932" spans="39:45">
      <c r="AM16932" s="54">
        <v>2020</v>
      </c>
      <c r="AN16932" s="54" t="s">
        <v>193</v>
      </c>
      <c r="AO16932" s="54">
        <v>6</v>
      </c>
      <c r="AP16932" s="54">
        <v>10</v>
      </c>
      <c r="AQ16932" s="54">
        <v>3295</v>
      </c>
      <c r="AR16932" s="55">
        <v>28500</v>
      </c>
      <c r="AS16932" s="78">
        <f t="shared" si="268"/>
        <v>0.11561403508771929</v>
      </c>
    </row>
    <row r="16933" spans="39:45">
      <c r="AM16933" s="55">
        <v>2020</v>
      </c>
      <c r="AN16933" s="55" t="s">
        <v>193</v>
      </c>
      <c r="AO16933" s="55">
        <v>6</v>
      </c>
      <c r="AP16933" s="55">
        <v>11</v>
      </c>
      <c r="AQ16933" s="55">
        <v>2174</v>
      </c>
      <c r="AR16933" s="55">
        <v>28500</v>
      </c>
      <c r="AS16933" s="78">
        <f t="shared" si="268"/>
        <v>7.6280701754385963E-2</v>
      </c>
    </row>
    <row r="16934" spans="39:45">
      <c r="AM16934" s="54">
        <v>2020</v>
      </c>
      <c r="AN16934" s="54" t="s">
        <v>193</v>
      </c>
      <c r="AO16934" s="54">
        <v>6</v>
      </c>
      <c r="AP16934" s="54">
        <v>12</v>
      </c>
      <c r="AQ16934" s="54">
        <v>4395</v>
      </c>
      <c r="AR16934" s="55">
        <v>28500</v>
      </c>
      <c r="AS16934" s="78">
        <f t="shared" si="268"/>
        <v>0.15421052631578946</v>
      </c>
    </row>
    <row r="16935" spans="39:45">
      <c r="AM16935" s="55">
        <v>2020</v>
      </c>
      <c r="AN16935" s="55" t="s">
        <v>193</v>
      </c>
      <c r="AO16935" s="55">
        <v>6</v>
      </c>
      <c r="AP16935" s="55">
        <v>13</v>
      </c>
      <c r="AQ16935" s="55">
        <v>6423.5</v>
      </c>
      <c r="AR16935" s="55">
        <v>28500</v>
      </c>
      <c r="AS16935" s="78">
        <f t="shared" si="268"/>
        <v>0.22538596491228069</v>
      </c>
    </row>
    <row r="16936" spans="39:45">
      <c r="AM16936" s="54">
        <v>2020</v>
      </c>
      <c r="AN16936" s="54" t="s">
        <v>193</v>
      </c>
      <c r="AO16936" s="54">
        <v>6</v>
      </c>
      <c r="AP16936" s="54">
        <v>14</v>
      </c>
      <c r="AQ16936" s="54">
        <v>1092.5</v>
      </c>
      <c r="AR16936" s="55">
        <v>28500</v>
      </c>
      <c r="AS16936" s="78">
        <f t="shared" si="268"/>
        <v>3.833333333333333E-2</v>
      </c>
    </row>
    <row r="16937" spans="39:45">
      <c r="AM16937" s="55">
        <v>2020</v>
      </c>
      <c r="AN16937" s="55" t="s">
        <v>193</v>
      </c>
      <c r="AO16937" s="55">
        <v>6</v>
      </c>
      <c r="AP16937" s="55">
        <v>15</v>
      </c>
      <c r="AQ16937" s="55">
        <v>3446</v>
      </c>
      <c r="AR16937" s="55">
        <v>28500</v>
      </c>
      <c r="AS16937" s="78">
        <f t="shared" si="268"/>
        <v>0.12091228070175439</v>
      </c>
    </row>
    <row r="16938" spans="39:45">
      <c r="AM16938" s="54">
        <v>2020</v>
      </c>
      <c r="AN16938" s="54" t="s">
        <v>193</v>
      </c>
      <c r="AO16938" s="54">
        <v>6</v>
      </c>
      <c r="AP16938" s="54">
        <v>16</v>
      </c>
      <c r="AQ16938" s="54">
        <v>0</v>
      </c>
      <c r="AR16938" s="55">
        <v>28500</v>
      </c>
      <c r="AS16938" s="78">
        <f t="shared" si="268"/>
        <v>0</v>
      </c>
    </row>
    <row r="16939" spans="39:45">
      <c r="AM16939" s="55">
        <v>2020</v>
      </c>
      <c r="AN16939" s="55" t="s">
        <v>193</v>
      </c>
      <c r="AO16939" s="55">
        <v>6</v>
      </c>
      <c r="AP16939" s="55">
        <v>17</v>
      </c>
      <c r="AQ16939" s="55">
        <v>0</v>
      </c>
      <c r="AR16939" s="55">
        <v>28500</v>
      </c>
      <c r="AS16939" s="78">
        <f t="shared" si="268"/>
        <v>0</v>
      </c>
    </row>
    <row r="16940" spans="39:45">
      <c r="AM16940" s="54">
        <v>2020</v>
      </c>
      <c r="AN16940" s="54" t="s">
        <v>193</v>
      </c>
      <c r="AO16940" s="54">
        <v>6</v>
      </c>
      <c r="AP16940" s="54">
        <v>18</v>
      </c>
      <c r="AQ16940" s="54">
        <v>0</v>
      </c>
      <c r="AR16940" s="55">
        <v>28500</v>
      </c>
      <c r="AS16940" s="78">
        <f t="shared" si="268"/>
        <v>0</v>
      </c>
    </row>
    <row r="16941" spans="39:45">
      <c r="AM16941" s="55">
        <v>2020</v>
      </c>
      <c r="AN16941" s="55" t="s">
        <v>193</v>
      </c>
      <c r="AO16941" s="55">
        <v>6</v>
      </c>
      <c r="AP16941" s="55">
        <v>19</v>
      </c>
      <c r="AQ16941" s="55">
        <v>0</v>
      </c>
      <c r="AR16941" s="55">
        <v>28500</v>
      </c>
      <c r="AS16941" s="78">
        <f t="shared" si="268"/>
        <v>0</v>
      </c>
    </row>
    <row r="16942" spans="39:45">
      <c r="AM16942" s="54">
        <v>2020</v>
      </c>
      <c r="AN16942" s="54" t="s">
        <v>193</v>
      </c>
      <c r="AO16942" s="54">
        <v>6</v>
      </c>
      <c r="AP16942" s="54">
        <v>20</v>
      </c>
      <c r="AQ16942" s="54">
        <v>0</v>
      </c>
      <c r="AR16942" s="55">
        <v>28500</v>
      </c>
      <c r="AS16942" s="78">
        <f t="shared" si="268"/>
        <v>0</v>
      </c>
    </row>
    <row r="16943" spans="39:45">
      <c r="AM16943" s="55">
        <v>2020</v>
      </c>
      <c r="AN16943" s="55" t="s">
        <v>193</v>
      </c>
      <c r="AO16943" s="55">
        <v>6</v>
      </c>
      <c r="AP16943" s="55">
        <v>21</v>
      </c>
      <c r="AQ16943" s="55">
        <v>0</v>
      </c>
      <c r="AR16943" s="55">
        <v>28500</v>
      </c>
      <c r="AS16943" s="78">
        <f t="shared" si="268"/>
        <v>0</v>
      </c>
    </row>
    <row r="16944" spans="39:45">
      <c r="AM16944" s="54">
        <v>2020</v>
      </c>
      <c r="AN16944" s="54" t="s">
        <v>193</v>
      </c>
      <c r="AO16944" s="54">
        <v>6</v>
      </c>
      <c r="AP16944" s="54">
        <v>22</v>
      </c>
      <c r="AQ16944" s="54">
        <v>0</v>
      </c>
      <c r="AR16944" s="55">
        <v>28500</v>
      </c>
      <c r="AS16944" s="78">
        <f t="shared" si="268"/>
        <v>0</v>
      </c>
    </row>
    <row r="16945" spans="39:45">
      <c r="AM16945" s="55">
        <v>2020</v>
      </c>
      <c r="AN16945" s="55" t="s">
        <v>193</v>
      </c>
      <c r="AO16945" s="55">
        <v>6</v>
      </c>
      <c r="AP16945" s="55">
        <v>23</v>
      </c>
      <c r="AQ16945" s="55">
        <v>0</v>
      </c>
      <c r="AR16945" s="55">
        <v>28500</v>
      </c>
      <c r="AS16945" s="78">
        <f t="shared" si="268"/>
        <v>0</v>
      </c>
    </row>
    <row r="16946" spans="39:45">
      <c r="AM16946" s="54">
        <v>2020</v>
      </c>
      <c r="AN16946" s="54" t="s">
        <v>193</v>
      </c>
      <c r="AO16946" s="54">
        <v>7</v>
      </c>
      <c r="AP16946" s="54">
        <v>24</v>
      </c>
      <c r="AQ16946" s="54">
        <v>0</v>
      </c>
      <c r="AR16946" s="55">
        <v>28500</v>
      </c>
      <c r="AS16946" s="78">
        <f t="shared" si="268"/>
        <v>0</v>
      </c>
    </row>
    <row r="16947" spans="39:45">
      <c r="AM16947" s="55">
        <v>2020</v>
      </c>
      <c r="AN16947" s="55" t="s">
        <v>193</v>
      </c>
      <c r="AO16947" s="55">
        <v>7</v>
      </c>
      <c r="AP16947" s="55">
        <v>1</v>
      </c>
      <c r="AQ16947" s="55">
        <v>0</v>
      </c>
      <c r="AR16947" s="55">
        <v>28500</v>
      </c>
      <c r="AS16947" s="78">
        <f t="shared" si="268"/>
        <v>0</v>
      </c>
    </row>
    <row r="16948" spans="39:45">
      <c r="AM16948" s="54">
        <v>2020</v>
      </c>
      <c r="AN16948" s="54" t="s">
        <v>193</v>
      </c>
      <c r="AO16948" s="54">
        <v>7</v>
      </c>
      <c r="AP16948" s="54">
        <v>2</v>
      </c>
      <c r="AQ16948" s="54">
        <v>0</v>
      </c>
      <c r="AR16948" s="55">
        <v>28500</v>
      </c>
      <c r="AS16948" s="78">
        <f t="shared" si="268"/>
        <v>0</v>
      </c>
    </row>
    <row r="16949" spans="39:45">
      <c r="AM16949" s="55">
        <v>2020</v>
      </c>
      <c r="AN16949" s="55" t="s">
        <v>193</v>
      </c>
      <c r="AO16949" s="55">
        <v>7</v>
      </c>
      <c r="AP16949" s="55">
        <v>3</v>
      </c>
      <c r="AQ16949" s="55">
        <v>0</v>
      </c>
      <c r="AR16949" s="55">
        <v>28500</v>
      </c>
      <c r="AS16949" s="78">
        <f t="shared" si="268"/>
        <v>0</v>
      </c>
    </row>
    <row r="16950" spans="39:45">
      <c r="AM16950" s="54">
        <v>2020</v>
      </c>
      <c r="AN16950" s="54" t="s">
        <v>193</v>
      </c>
      <c r="AO16950" s="54">
        <v>7</v>
      </c>
      <c r="AP16950" s="54">
        <v>4</v>
      </c>
      <c r="AQ16950" s="54">
        <v>0</v>
      </c>
      <c r="AR16950" s="55">
        <v>28500</v>
      </c>
      <c r="AS16950" s="78">
        <f t="shared" si="268"/>
        <v>0</v>
      </c>
    </row>
    <row r="16951" spans="39:45">
      <c r="AM16951" s="55">
        <v>2020</v>
      </c>
      <c r="AN16951" s="55" t="s">
        <v>193</v>
      </c>
      <c r="AO16951" s="55">
        <v>7</v>
      </c>
      <c r="AP16951" s="55">
        <v>5</v>
      </c>
      <c r="AQ16951" s="55">
        <v>0</v>
      </c>
      <c r="AR16951" s="55">
        <v>28500</v>
      </c>
      <c r="AS16951" s="78">
        <f t="shared" si="268"/>
        <v>0</v>
      </c>
    </row>
    <row r="16952" spans="39:45">
      <c r="AM16952" s="54">
        <v>2020</v>
      </c>
      <c r="AN16952" s="54" t="s">
        <v>193</v>
      </c>
      <c r="AO16952" s="54">
        <v>7</v>
      </c>
      <c r="AP16952" s="54">
        <v>6</v>
      </c>
      <c r="AQ16952" s="54">
        <v>0</v>
      </c>
      <c r="AR16952" s="55">
        <v>28500</v>
      </c>
      <c r="AS16952" s="78">
        <f t="shared" si="268"/>
        <v>0</v>
      </c>
    </row>
    <row r="16953" spans="39:45">
      <c r="AM16953" s="55">
        <v>2020</v>
      </c>
      <c r="AN16953" s="55" t="s">
        <v>193</v>
      </c>
      <c r="AO16953" s="55">
        <v>7</v>
      </c>
      <c r="AP16953" s="55">
        <v>7</v>
      </c>
      <c r="AQ16953" s="55">
        <v>0</v>
      </c>
      <c r="AR16953" s="55">
        <v>28500</v>
      </c>
      <c r="AS16953" s="78">
        <f t="shared" si="268"/>
        <v>0</v>
      </c>
    </row>
    <row r="16954" spans="39:45">
      <c r="AM16954" s="54">
        <v>2020</v>
      </c>
      <c r="AN16954" s="54" t="s">
        <v>193</v>
      </c>
      <c r="AO16954" s="54">
        <v>7</v>
      </c>
      <c r="AP16954" s="54">
        <v>8</v>
      </c>
      <c r="AQ16954" s="54">
        <v>0</v>
      </c>
      <c r="AR16954" s="55">
        <v>28500</v>
      </c>
      <c r="AS16954" s="78">
        <f t="shared" si="268"/>
        <v>0</v>
      </c>
    </row>
    <row r="16955" spans="39:45">
      <c r="AM16955" s="55">
        <v>2020</v>
      </c>
      <c r="AN16955" s="55" t="s">
        <v>193</v>
      </c>
      <c r="AO16955" s="55">
        <v>7</v>
      </c>
      <c r="AP16955" s="55">
        <v>9</v>
      </c>
      <c r="AQ16955" s="55">
        <v>2856</v>
      </c>
      <c r="AR16955" s="55">
        <v>28500</v>
      </c>
      <c r="AS16955" s="78">
        <f t="shared" si="268"/>
        <v>0.10021052631578947</v>
      </c>
    </row>
    <row r="16956" spans="39:45">
      <c r="AM16956" s="54">
        <v>2020</v>
      </c>
      <c r="AN16956" s="54" t="s">
        <v>193</v>
      </c>
      <c r="AO16956" s="54">
        <v>7</v>
      </c>
      <c r="AP16956" s="54">
        <v>10</v>
      </c>
      <c r="AQ16956" s="54">
        <v>1597</v>
      </c>
      <c r="AR16956" s="55">
        <v>28500</v>
      </c>
      <c r="AS16956" s="78">
        <f t="shared" si="268"/>
        <v>5.6035087719298243E-2</v>
      </c>
    </row>
    <row r="16957" spans="39:45">
      <c r="AM16957" s="55">
        <v>2020</v>
      </c>
      <c r="AN16957" s="55" t="s">
        <v>193</v>
      </c>
      <c r="AO16957" s="55">
        <v>7</v>
      </c>
      <c r="AP16957" s="55">
        <v>11</v>
      </c>
      <c r="AQ16957" s="55">
        <v>6606.5</v>
      </c>
      <c r="AR16957" s="55">
        <v>28500</v>
      </c>
      <c r="AS16957" s="78">
        <f t="shared" si="268"/>
        <v>0.23180701754385966</v>
      </c>
    </row>
    <row r="16958" spans="39:45">
      <c r="AM16958" s="54">
        <v>2020</v>
      </c>
      <c r="AN16958" s="54" t="s">
        <v>193</v>
      </c>
      <c r="AO16958" s="54">
        <v>7</v>
      </c>
      <c r="AP16958" s="54">
        <v>12</v>
      </c>
      <c r="AQ16958" s="54">
        <v>6663.5</v>
      </c>
      <c r="AR16958" s="55">
        <v>28500</v>
      </c>
      <c r="AS16958" s="78">
        <f t="shared" si="268"/>
        <v>0.23380701754385966</v>
      </c>
    </row>
    <row r="16959" spans="39:45">
      <c r="AM16959" s="55">
        <v>2020</v>
      </c>
      <c r="AN16959" s="55" t="s">
        <v>193</v>
      </c>
      <c r="AO16959" s="55">
        <v>7</v>
      </c>
      <c r="AP16959" s="55">
        <v>13</v>
      </c>
      <c r="AQ16959" s="55">
        <v>2268.5</v>
      </c>
      <c r="AR16959" s="55">
        <v>28500</v>
      </c>
      <c r="AS16959" s="78">
        <f t="shared" si="268"/>
        <v>7.9596491228070179E-2</v>
      </c>
    </row>
    <row r="16960" spans="39:45">
      <c r="AM16960" s="54">
        <v>2020</v>
      </c>
      <c r="AN16960" s="54" t="s">
        <v>193</v>
      </c>
      <c r="AO16960" s="54">
        <v>7</v>
      </c>
      <c r="AP16960" s="54">
        <v>14</v>
      </c>
      <c r="AQ16960" s="54">
        <v>6649.5</v>
      </c>
      <c r="AR16960" s="55">
        <v>28500</v>
      </c>
      <c r="AS16960" s="78">
        <f t="shared" si="268"/>
        <v>0.2333157894736842</v>
      </c>
    </row>
    <row r="16961" spans="39:45">
      <c r="AM16961" s="55">
        <v>2020</v>
      </c>
      <c r="AN16961" s="55" t="s">
        <v>193</v>
      </c>
      <c r="AO16961" s="55">
        <v>7</v>
      </c>
      <c r="AP16961" s="55">
        <v>15</v>
      </c>
      <c r="AQ16961" s="55">
        <v>620.5</v>
      </c>
      <c r="AR16961" s="55">
        <v>28500</v>
      </c>
      <c r="AS16961" s="78">
        <f t="shared" si="268"/>
        <v>2.1771929824561404E-2</v>
      </c>
    </row>
    <row r="16962" spans="39:45">
      <c r="AM16962" s="54">
        <v>2020</v>
      </c>
      <c r="AN16962" s="54" t="s">
        <v>193</v>
      </c>
      <c r="AO16962" s="54">
        <v>7</v>
      </c>
      <c r="AP16962" s="54">
        <v>16</v>
      </c>
      <c r="AQ16962" s="54">
        <v>0</v>
      </c>
      <c r="AR16962" s="55">
        <v>28500</v>
      </c>
      <c r="AS16962" s="78">
        <f t="shared" ref="AS16962:AS17025" si="269">AQ16962/AR16962</f>
        <v>0</v>
      </c>
    </row>
    <row r="16963" spans="39:45">
      <c r="AM16963" s="55">
        <v>2020</v>
      </c>
      <c r="AN16963" s="55" t="s">
        <v>193</v>
      </c>
      <c r="AO16963" s="55">
        <v>7</v>
      </c>
      <c r="AP16963" s="55">
        <v>17</v>
      </c>
      <c r="AQ16963" s="55">
        <v>0</v>
      </c>
      <c r="AR16963" s="55">
        <v>28500</v>
      </c>
      <c r="AS16963" s="78">
        <f t="shared" si="269"/>
        <v>0</v>
      </c>
    </row>
    <row r="16964" spans="39:45">
      <c r="AM16964" s="54">
        <v>2020</v>
      </c>
      <c r="AN16964" s="54" t="s">
        <v>193</v>
      </c>
      <c r="AO16964" s="54">
        <v>7</v>
      </c>
      <c r="AP16964" s="54">
        <v>18</v>
      </c>
      <c r="AQ16964" s="54">
        <v>0</v>
      </c>
      <c r="AR16964" s="55">
        <v>28500</v>
      </c>
      <c r="AS16964" s="78">
        <f t="shared" si="269"/>
        <v>0</v>
      </c>
    </row>
    <row r="16965" spans="39:45">
      <c r="AM16965" s="55">
        <v>2020</v>
      </c>
      <c r="AN16965" s="55" t="s">
        <v>193</v>
      </c>
      <c r="AO16965" s="55">
        <v>7</v>
      </c>
      <c r="AP16965" s="55">
        <v>19</v>
      </c>
      <c r="AQ16965" s="55">
        <v>0</v>
      </c>
      <c r="AR16965" s="55">
        <v>28500</v>
      </c>
      <c r="AS16965" s="78">
        <f t="shared" si="269"/>
        <v>0</v>
      </c>
    </row>
    <row r="16966" spans="39:45">
      <c r="AM16966" s="54">
        <v>2020</v>
      </c>
      <c r="AN16966" s="54" t="s">
        <v>193</v>
      </c>
      <c r="AO16966" s="54">
        <v>7</v>
      </c>
      <c r="AP16966" s="54">
        <v>20</v>
      </c>
      <c r="AQ16966" s="54">
        <v>0</v>
      </c>
      <c r="AR16966" s="55">
        <v>28500</v>
      </c>
      <c r="AS16966" s="78">
        <f t="shared" si="269"/>
        <v>0</v>
      </c>
    </row>
    <row r="16967" spans="39:45">
      <c r="AM16967" s="55">
        <v>2020</v>
      </c>
      <c r="AN16967" s="55" t="s">
        <v>193</v>
      </c>
      <c r="AO16967" s="55">
        <v>7</v>
      </c>
      <c r="AP16967" s="55">
        <v>21</v>
      </c>
      <c r="AQ16967" s="55">
        <v>0</v>
      </c>
      <c r="AR16967" s="55">
        <v>28500</v>
      </c>
      <c r="AS16967" s="78">
        <f t="shared" si="269"/>
        <v>0</v>
      </c>
    </row>
    <row r="16968" spans="39:45">
      <c r="AM16968" s="54">
        <v>2020</v>
      </c>
      <c r="AN16968" s="54" t="s">
        <v>193</v>
      </c>
      <c r="AO16968" s="54">
        <v>7</v>
      </c>
      <c r="AP16968" s="54">
        <v>22</v>
      </c>
      <c r="AQ16968" s="54">
        <v>0</v>
      </c>
      <c r="AR16968" s="55">
        <v>28500</v>
      </c>
      <c r="AS16968" s="78">
        <f t="shared" si="269"/>
        <v>0</v>
      </c>
    </row>
    <row r="16969" spans="39:45">
      <c r="AM16969" s="55">
        <v>2020</v>
      </c>
      <c r="AN16969" s="55" t="s">
        <v>193</v>
      </c>
      <c r="AO16969" s="55">
        <v>7</v>
      </c>
      <c r="AP16969" s="55">
        <v>23</v>
      </c>
      <c r="AQ16969" s="55">
        <v>0</v>
      </c>
      <c r="AR16969" s="55">
        <v>28500</v>
      </c>
      <c r="AS16969" s="78">
        <f t="shared" si="269"/>
        <v>0</v>
      </c>
    </row>
    <row r="16970" spans="39:45">
      <c r="AM16970" s="54">
        <v>2020</v>
      </c>
      <c r="AN16970" s="54" t="s">
        <v>193</v>
      </c>
      <c r="AO16970" s="54">
        <v>8</v>
      </c>
      <c r="AP16970" s="54">
        <v>24</v>
      </c>
      <c r="AQ16970" s="54">
        <v>0</v>
      </c>
      <c r="AR16970" s="55">
        <v>28500</v>
      </c>
      <c r="AS16970" s="78">
        <f t="shared" si="269"/>
        <v>0</v>
      </c>
    </row>
    <row r="16971" spans="39:45">
      <c r="AM16971" s="55">
        <v>2020</v>
      </c>
      <c r="AN16971" s="55" t="s">
        <v>193</v>
      </c>
      <c r="AO16971" s="55">
        <v>8</v>
      </c>
      <c r="AP16971" s="55">
        <v>1</v>
      </c>
      <c r="AQ16971" s="55">
        <v>0</v>
      </c>
      <c r="AR16971" s="55">
        <v>28500</v>
      </c>
      <c r="AS16971" s="78">
        <f t="shared" si="269"/>
        <v>0</v>
      </c>
    </row>
    <row r="16972" spans="39:45">
      <c r="AM16972" s="54">
        <v>2020</v>
      </c>
      <c r="AN16972" s="54" t="s">
        <v>193</v>
      </c>
      <c r="AO16972" s="54">
        <v>8</v>
      </c>
      <c r="AP16972" s="54">
        <v>2</v>
      </c>
      <c r="AQ16972" s="54">
        <v>0</v>
      </c>
      <c r="AR16972" s="55">
        <v>28500</v>
      </c>
      <c r="AS16972" s="78">
        <f t="shared" si="269"/>
        <v>0</v>
      </c>
    </row>
    <row r="16973" spans="39:45">
      <c r="AM16973" s="55">
        <v>2020</v>
      </c>
      <c r="AN16973" s="55" t="s">
        <v>193</v>
      </c>
      <c r="AO16973" s="55">
        <v>8</v>
      </c>
      <c r="AP16973" s="55">
        <v>3</v>
      </c>
      <c r="AQ16973" s="55">
        <v>0</v>
      </c>
      <c r="AR16973" s="55">
        <v>28500</v>
      </c>
      <c r="AS16973" s="78">
        <f t="shared" si="269"/>
        <v>0</v>
      </c>
    </row>
    <row r="16974" spans="39:45">
      <c r="AM16974" s="54">
        <v>2020</v>
      </c>
      <c r="AN16974" s="54" t="s">
        <v>193</v>
      </c>
      <c r="AO16974" s="54">
        <v>8</v>
      </c>
      <c r="AP16974" s="54">
        <v>4</v>
      </c>
      <c r="AQ16974" s="54">
        <v>0</v>
      </c>
      <c r="AR16974" s="55">
        <v>28500</v>
      </c>
      <c r="AS16974" s="78">
        <f t="shared" si="269"/>
        <v>0</v>
      </c>
    </row>
    <row r="16975" spans="39:45">
      <c r="AM16975" s="55">
        <v>2020</v>
      </c>
      <c r="AN16975" s="55" t="s">
        <v>193</v>
      </c>
      <c r="AO16975" s="55">
        <v>8</v>
      </c>
      <c r="AP16975" s="55">
        <v>5</v>
      </c>
      <c r="AQ16975" s="55">
        <v>0</v>
      </c>
      <c r="AR16975" s="55">
        <v>28500</v>
      </c>
      <c r="AS16975" s="78">
        <f t="shared" si="269"/>
        <v>0</v>
      </c>
    </row>
    <row r="16976" spans="39:45">
      <c r="AM16976" s="54">
        <v>2020</v>
      </c>
      <c r="AN16976" s="54" t="s">
        <v>193</v>
      </c>
      <c r="AO16976" s="54">
        <v>8</v>
      </c>
      <c r="AP16976" s="54">
        <v>6</v>
      </c>
      <c r="AQ16976" s="54">
        <v>0</v>
      </c>
      <c r="AR16976" s="55">
        <v>28500</v>
      </c>
      <c r="AS16976" s="78">
        <f t="shared" si="269"/>
        <v>0</v>
      </c>
    </row>
    <row r="16977" spans="39:45">
      <c r="AM16977" s="55">
        <v>2020</v>
      </c>
      <c r="AN16977" s="55" t="s">
        <v>193</v>
      </c>
      <c r="AO16977" s="55">
        <v>8</v>
      </c>
      <c r="AP16977" s="55">
        <v>7</v>
      </c>
      <c r="AQ16977" s="55">
        <v>0</v>
      </c>
      <c r="AR16977" s="55">
        <v>28500</v>
      </c>
      <c r="AS16977" s="78">
        <f t="shared" si="269"/>
        <v>0</v>
      </c>
    </row>
    <row r="16978" spans="39:45">
      <c r="AM16978" s="54">
        <v>2020</v>
      </c>
      <c r="AN16978" s="54" t="s">
        <v>193</v>
      </c>
      <c r="AO16978" s="54">
        <v>8</v>
      </c>
      <c r="AP16978" s="54">
        <v>8</v>
      </c>
      <c r="AQ16978" s="54">
        <v>0</v>
      </c>
      <c r="AR16978" s="55">
        <v>28500</v>
      </c>
      <c r="AS16978" s="78">
        <f t="shared" si="269"/>
        <v>0</v>
      </c>
    </row>
    <row r="16979" spans="39:45">
      <c r="AM16979" s="55">
        <v>2020</v>
      </c>
      <c r="AN16979" s="55" t="s">
        <v>193</v>
      </c>
      <c r="AO16979" s="55">
        <v>8</v>
      </c>
      <c r="AP16979" s="55">
        <v>9</v>
      </c>
      <c r="AQ16979" s="55">
        <v>1378.5</v>
      </c>
      <c r="AR16979" s="55">
        <v>28500</v>
      </c>
      <c r="AS16979" s="78">
        <f t="shared" si="269"/>
        <v>4.8368421052631581E-2</v>
      </c>
    </row>
    <row r="16980" spans="39:45">
      <c r="AM16980" s="54">
        <v>2020</v>
      </c>
      <c r="AN16980" s="54" t="s">
        <v>193</v>
      </c>
      <c r="AO16980" s="54">
        <v>8</v>
      </c>
      <c r="AP16980" s="54">
        <v>10</v>
      </c>
      <c r="AQ16980" s="54">
        <v>2345.5</v>
      </c>
      <c r="AR16980" s="55">
        <v>28500</v>
      </c>
      <c r="AS16980" s="78">
        <f t="shared" si="269"/>
        <v>8.2298245614035093E-2</v>
      </c>
    </row>
    <row r="16981" spans="39:45">
      <c r="AM16981" s="55">
        <v>2020</v>
      </c>
      <c r="AN16981" s="55" t="s">
        <v>193</v>
      </c>
      <c r="AO16981" s="55">
        <v>8</v>
      </c>
      <c r="AP16981" s="55">
        <v>11</v>
      </c>
      <c r="AQ16981" s="55">
        <v>13243.5</v>
      </c>
      <c r="AR16981" s="55">
        <v>28500</v>
      </c>
      <c r="AS16981" s="78">
        <f t="shared" si="269"/>
        <v>0.46468421052631581</v>
      </c>
    </row>
    <row r="16982" spans="39:45">
      <c r="AM16982" s="54">
        <v>2020</v>
      </c>
      <c r="AN16982" s="54" t="s">
        <v>193</v>
      </c>
      <c r="AO16982" s="54">
        <v>8</v>
      </c>
      <c r="AP16982" s="54">
        <v>12</v>
      </c>
      <c r="AQ16982" s="54">
        <v>20098</v>
      </c>
      <c r="AR16982" s="55">
        <v>28500</v>
      </c>
      <c r="AS16982" s="78">
        <f t="shared" si="269"/>
        <v>0.70519298245614037</v>
      </c>
    </row>
    <row r="16983" spans="39:45">
      <c r="AM16983" s="55">
        <v>2020</v>
      </c>
      <c r="AN16983" s="55" t="s">
        <v>193</v>
      </c>
      <c r="AO16983" s="55">
        <v>8</v>
      </c>
      <c r="AP16983" s="55">
        <v>13</v>
      </c>
      <c r="AQ16983" s="55">
        <v>24729.5</v>
      </c>
      <c r="AR16983" s="55">
        <v>28500</v>
      </c>
      <c r="AS16983" s="78">
        <f t="shared" si="269"/>
        <v>0.86770175438596486</v>
      </c>
    </row>
    <row r="16984" spans="39:45">
      <c r="AM16984" s="54">
        <v>2020</v>
      </c>
      <c r="AN16984" s="54" t="s">
        <v>193</v>
      </c>
      <c r="AO16984" s="54">
        <v>8</v>
      </c>
      <c r="AP16984" s="54">
        <v>14</v>
      </c>
      <c r="AQ16984" s="54">
        <v>18429.5</v>
      </c>
      <c r="AR16984" s="55">
        <v>28500</v>
      </c>
      <c r="AS16984" s="78">
        <f t="shared" si="269"/>
        <v>0.64664912280701758</v>
      </c>
    </row>
    <row r="16985" spans="39:45">
      <c r="AM16985" s="55">
        <v>2020</v>
      </c>
      <c r="AN16985" s="55" t="s">
        <v>193</v>
      </c>
      <c r="AO16985" s="55">
        <v>8</v>
      </c>
      <c r="AP16985" s="55">
        <v>15</v>
      </c>
      <c r="AQ16985" s="55">
        <v>4593.5</v>
      </c>
      <c r="AR16985" s="55">
        <v>28500</v>
      </c>
      <c r="AS16985" s="78">
        <f t="shared" si="269"/>
        <v>0.16117543859649122</v>
      </c>
    </row>
    <row r="16986" spans="39:45">
      <c r="AM16986" s="54">
        <v>2020</v>
      </c>
      <c r="AN16986" s="54" t="s">
        <v>193</v>
      </c>
      <c r="AO16986" s="54">
        <v>8</v>
      </c>
      <c r="AP16986" s="54">
        <v>16</v>
      </c>
      <c r="AQ16986" s="54">
        <v>0</v>
      </c>
      <c r="AR16986" s="55">
        <v>28500</v>
      </c>
      <c r="AS16986" s="78">
        <f t="shared" si="269"/>
        <v>0</v>
      </c>
    </row>
    <row r="16987" spans="39:45">
      <c r="AM16987" s="55">
        <v>2020</v>
      </c>
      <c r="AN16987" s="55" t="s">
        <v>193</v>
      </c>
      <c r="AO16987" s="55">
        <v>8</v>
      </c>
      <c r="AP16987" s="55">
        <v>17</v>
      </c>
      <c r="AQ16987" s="55">
        <v>0</v>
      </c>
      <c r="AR16987" s="55">
        <v>28500</v>
      </c>
      <c r="AS16987" s="78">
        <f t="shared" si="269"/>
        <v>0</v>
      </c>
    </row>
    <row r="16988" spans="39:45">
      <c r="AM16988" s="54">
        <v>2020</v>
      </c>
      <c r="AN16988" s="54" t="s">
        <v>193</v>
      </c>
      <c r="AO16988" s="54">
        <v>8</v>
      </c>
      <c r="AP16988" s="54">
        <v>18</v>
      </c>
      <c r="AQ16988" s="54">
        <v>0</v>
      </c>
      <c r="AR16988" s="55">
        <v>28500</v>
      </c>
      <c r="AS16988" s="78">
        <f t="shared" si="269"/>
        <v>0</v>
      </c>
    </row>
    <row r="16989" spans="39:45">
      <c r="AM16989" s="55">
        <v>2020</v>
      </c>
      <c r="AN16989" s="55" t="s">
        <v>193</v>
      </c>
      <c r="AO16989" s="55">
        <v>8</v>
      </c>
      <c r="AP16989" s="55">
        <v>19</v>
      </c>
      <c r="AQ16989" s="55">
        <v>0</v>
      </c>
      <c r="AR16989" s="55">
        <v>28500</v>
      </c>
      <c r="AS16989" s="78">
        <f t="shared" si="269"/>
        <v>0</v>
      </c>
    </row>
    <row r="16990" spans="39:45">
      <c r="AM16990" s="54">
        <v>2020</v>
      </c>
      <c r="AN16990" s="54" t="s">
        <v>193</v>
      </c>
      <c r="AO16990" s="54">
        <v>8</v>
      </c>
      <c r="AP16990" s="54">
        <v>20</v>
      </c>
      <c r="AQ16990" s="54">
        <v>0</v>
      </c>
      <c r="AR16990" s="55">
        <v>28500</v>
      </c>
      <c r="AS16990" s="78">
        <f t="shared" si="269"/>
        <v>0</v>
      </c>
    </row>
    <row r="16991" spans="39:45">
      <c r="AM16991" s="55">
        <v>2020</v>
      </c>
      <c r="AN16991" s="55" t="s">
        <v>193</v>
      </c>
      <c r="AO16991" s="55">
        <v>8</v>
      </c>
      <c r="AP16991" s="55">
        <v>21</v>
      </c>
      <c r="AQ16991" s="55">
        <v>0</v>
      </c>
      <c r="AR16991" s="55">
        <v>28500</v>
      </c>
      <c r="AS16991" s="78">
        <f t="shared" si="269"/>
        <v>0</v>
      </c>
    </row>
    <row r="16992" spans="39:45">
      <c r="AM16992" s="54">
        <v>2020</v>
      </c>
      <c r="AN16992" s="54" t="s">
        <v>193</v>
      </c>
      <c r="AO16992" s="54">
        <v>8</v>
      </c>
      <c r="AP16992" s="54">
        <v>22</v>
      </c>
      <c r="AQ16992" s="54">
        <v>0</v>
      </c>
      <c r="AR16992" s="55">
        <v>28500</v>
      </c>
      <c r="AS16992" s="78">
        <f t="shared" si="269"/>
        <v>0</v>
      </c>
    </row>
    <row r="16993" spans="39:45">
      <c r="AM16993" s="55">
        <v>2020</v>
      </c>
      <c r="AN16993" s="55" t="s">
        <v>193</v>
      </c>
      <c r="AO16993" s="55">
        <v>8</v>
      </c>
      <c r="AP16993" s="55">
        <v>23</v>
      </c>
      <c r="AQ16993" s="55">
        <v>0</v>
      </c>
      <c r="AR16993" s="55">
        <v>28500</v>
      </c>
      <c r="AS16993" s="78">
        <f t="shared" si="269"/>
        <v>0</v>
      </c>
    </row>
    <row r="16994" spans="39:45">
      <c r="AM16994" s="54">
        <v>2020</v>
      </c>
      <c r="AN16994" s="54" t="s">
        <v>193</v>
      </c>
      <c r="AO16994" s="54">
        <v>9</v>
      </c>
      <c r="AP16994" s="54">
        <v>24</v>
      </c>
      <c r="AQ16994" s="54">
        <v>0</v>
      </c>
      <c r="AR16994" s="55">
        <v>28500</v>
      </c>
      <c r="AS16994" s="78">
        <f t="shared" si="269"/>
        <v>0</v>
      </c>
    </row>
    <row r="16995" spans="39:45">
      <c r="AM16995" s="55">
        <v>2020</v>
      </c>
      <c r="AN16995" s="55" t="s">
        <v>193</v>
      </c>
      <c r="AO16995" s="55">
        <v>9</v>
      </c>
      <c r="AP16995" s="55">
        <v>1</v>
      </c>
      <c r="AQ16995" s="55">
        <v>0</v>
      </c>
      <c r="AR16995" s="55">
        <v>28500</v>
      </c>
      <c r="AS16995" s="78">
        <f t="shared" si="269"/>
        <v>0</v>
      </c>
    </row>
    <row r="16996" spans="39:45">
      <c r="AM16996" s="54">
        <v>2020</v>
      </c>
      <c r="AN16996" s="54" t="s">
        <v>193</v>
      </c>
      <c r="AO16996" s="54">
        <v>9</v>
      </c>
      <c r="AP16996" s="54">
        <v>2</v>
      </c>
      <c r="AQ16996" s="54">
        <v>0</v>
      </c>
      <c r="AR16996" s="55">
        <v>28500</v>
      </c>
      <c r="AS16996" s="78">
        <f t="shared" si="269"/>
        <v>0</v>
      </c>
    </row>
    <row r="16997" spans="39:45">
      <c r="AM16997" s="55">
        <v>2020</v>
      </c>
      <c r="AN16997" s="55" t="s">
        <v>193</v>
      </c>
      <c r="AO16997" s="55">
        <v>9</v>
      </c>
      <c r="AP16997" s="55">
        <v>3</v>
      </c>
      <c r="AQ16997" s="55">
        <v>0</v>
      </c>
      <c r="AR16997" s="55">
        <v>28500</v>
      </c>
      <c r="AS16997" s="78">
        <f t="shared" si="269"/>
        <v>0</v>
      </c>
    </row>
    <row r="16998" spans="39:45">
      <c r="AM16998" s="54">
        <v>2020</v>
      </c>
      <c r="AN16998" s="54" t="s">
        <v>193</v>
      </c>
      <c r="AO16998" s="54">
        <v>9</v>
      </c>
      <c r="AP16998" s="54">
        <v>4</v>
      </c>
      <c r="AQ16998" s="54">
        <v>0</v>
      </c>
      <c r="AR16998" s="55">
        <v>28500</v>
      </c>
      <c r="AS16998" s="78">
        <f t="shared" si="269"/>
        <v>0</v>
      </c>
    </row>
    <row r="16999" spans="39:45">
      <c r="AM16999" s="55">
        <v>2020</v>
      </c>
      <c r="AN16999" s="55" t="s">
        <v>193</v>
      </c>
      <c r="AO16999" s="55">
        <v>9</v>
      </c>
      <c r="AP16999" s="55">
        <v>5</v>
      </c>
      <c r="AQ16999" s="55">
        <v>0</v>
      </c>
      <c r="AR16999" s="55">
        <v>28500</v>
      </c>
      <c r="AS16999" s="78">
        <f t="shared" si="269"/>
        <v>0</v>
      </c>
    </row>
    <row r="17000" spans="39:45">
      <c r="AM17000" s="54">
        <v>2020</v>
      </c>
      <c r="AN17000" s="54" t="s">
        <v>193</v>
      </c>
      <c r="AO17000" s="54">
        <v>9</v>
      </c>
      <c r="AP17000" s="54">
        <v>6</v>
      </c>
      <c r="AQ17000" s="54">
        <v>0</v>
      </c>
      <c r="AR17000" s="55">
        <v>28500</v>
      </c>
      <c r="AS17000" s="78">
        <f t="shared" si="269"/>
        <v>0</v>
      </c>
    </row>
    <row r="17001" spans="39:45">
      <c r="AM17001" s="55">
        <v>2020</v>
      </c>
      <c r="AN17001" s="55" t="s">
        <v>193</v>
      </c>
      <c r="AO17001" s="55">
        <v>9</v>
      </c>
      <c r="AP17001" s="55">
        <v>7</v>
      </c>
      <c r="AQ17001" s="55">
        <v>0</v>
      </c>
      <c r="AR17001" s="55">
        <v>28500</v>
      </c>
      <c r="AS17001" s="78">
        <f t="shared" si="269"/>
        <v>0</v>
      </c>
    </row>
    <row r="17002" spans="39:45">
      <c r="AM17002" s="54">
        <v>2020</v>
      </c>
      <c r="AN17002" s="54" t="s">
        <v>193</v>
      </c>
      <c r="AO17002" s="54">
        <v>9</v>
      </c>
      <c r="AP17002" s="54">
        <v>8</v>
      </c>
      <c r="AQ17002" s="54">
        <v>0</v>
      </c>
      <c r="AR17002" s="55">
        <v>28500</v>
      </c>
      <c r="AS17002" s="78">
        <f t="shared" si="269"/>
        <v>0</v>
      </c>
    </row>
    <row r="17003" spans="39:45">
      <c r="AM17003" s="55">
        <v>2020</v>
      </c>
      <c r="AN17003" s="55" t="s">
        <v>193</v>
      </c>
      <c r="AO17003" s="55">
        <v>9</v>
      </c>
      <c r="AP17003" s="55">
        <v>9</v>
      </c>
      <c r="AQ17003" s="55">
        <v>12065.5</v>
      </c>
      <c r="AR17003" s="55">
        <v>28500</v>
      </c>
      <c r="AS17003" s="78">
        <f t="shared" si="269"/>
        <v>0.42335087719298248</v>
      </c>
    </row>
    <row r="17004" spans="39:45">
      <c r="AM17004" s="54">
        <v>2020</v>
      </c>
      <c r="AN17004" s="54" t="s">
        <v>193</v>
      </c>
      <c r="AO17004" s="54">
        <v>9</v>
      </c>
      <c r="AP17004" s="54">
        <v>10</v>
      </c>
      <c r="AQ17004" s="54">
        <v>4232.5</v>
      </c>
      <c r="AR17004" s="55">
        <v>28500</v>
      </c>
      <c r="AS17004" s="78">
        <f t="shared" si="269"/>
        <v>0.14850877192982456</v>
      </c>
    </row>
    <row r="17005" spans="39:45">
      <c r="AM17005" s="55">
        <v>2020</v>
      </c>
      <c r="AN17005" s="55" t="s">
        <v>193</v>
      </c>
      <c r="AO17005" s="55">
        <v>9</v>
      </c>
      <c r="AP17005" s="55">
        <v>11</v>
      </c>
      <c r="AQ17005" s="55">
        <v>14444</v>
      </c>
      <c r="AR17005" s="55">
        <v>28500</v>
      </c>
      <c r="AS17005" s="78">
        <f t="shared" si="269"/>
        <v>0.50680701754385959</v>
      </c>
    </row>
    <row r="17006" spans="39:45">
      <c r="AM17006" s="54">
        <v>2020</v>
      </c>
      <c r="AN17006" s="54" t="s">
        <v>193</v>
      </c>
      <c r="AO17006" s="54">
        <v>9</v>
      </c>
      <c r="AP17006" s="54">
        <v>12</v>
      </c>
      <c r="AQ17006" s="54">
        <v>11996.5</v>
      </c>
      <c r="AR17006" s="55">
        <v>28500</v>
      </c>
      <c r="AS17006" s="78">
        <f t="shared" si="269"/>
        <v>0.42092982456140349</v>
      </c>
    </row>
    <row r="17007" spans="39:45">
      <c r="AM17007" s="55">
        <v>2020</v>
      </c>
      <c r="AN17007" s="55" t="s">
        <v>193</v>
      </c>
      <c r="AO17007" s="55">
        <v>9</v>
      </c>
      <c r="AP17007" s="55">
        <v>13</v>
      </c>
      <c r="AQ17007" s="55">
        <v>10284.5</v>
      </c>
      <c r="AR17007" s="55">
        <v>28500</v>
      </c>
      <c r="AS17007" s="78">
        <f t="shared" si="269"/>
        <v>0.36085964912280699</v>
      </c>
    </row>
    <row r="17008" spans="39:45">
      <c r="AM17008" s="54">
        <v>2020</v>
      </c>
      <c r="AN17008" s="54" t="s">
        <v>193</v>
      </c>
      <c r="AO17008" s="54">
        <v>9</v>
      </c>
      <c r="AP17008" s="54">
        <v>14</v>
      </c>
      <c r="AQ17008" s="54">
        <v>3152.5</v>
      </c>
      <c r="AR17008" s="55">
        <v>28500</v>
      </c>
      <c r="AS17008" s="78">
        <f t="shared" si="269"/>
        <v>0.1106140350877193</v>
      </c>
    </row>
    <row r="17009" spans="39:45">
      <c r="AM17009" s="55">
        <v>2020</v>
      </c>
      <c r="AN17009" s="55" t="s">
        <v>193</v>
      </c>
      <c r="AO17009" s="55">
        <v>9</v>
      </c>
      <c r="AP17009" s="55">
        <v>15</v>
      </c>
      <c r="AQ17009" s="55">
        <v>1322.5</v>
      </c>
      <c r="AR17009" s="55">
        <v>28500</v>
      </c>
      <c r="AS17009" s="78">
        <f t="shared" si="269"/>
        <v>4.6403508771929822E-2</v>
      </c>
    </row>
    <row r="17010" spans="39:45">
      <c r="AM17010" s="54">
        <v>2020</v>
      </c>
      <c r="AN17010" s="54" t="s">
        <v>193</v>
      </c>
      <c r="AO17010" s="54">
        <v>9</v>
      </c>
      <c r="AP17010" s="54">
        <v>16</v>
      </c>
      <c r="AQ17010" s="54">
        <v>0</v>
      </c>
      <c r="AR17010" s="55">
        <v>28500</v>
      </c>
      <c r="AS17010" s="78">
        <f t="shared" si="269"/>
        <v>0</v>
      </c>
    </row>
    <row r="17011" spans="39:45">
      <c r="AM17011" s="55">
        <v>2020</v>
      </c>
      <c r="AN17011" s="55" t="s">
        <v>193</v>
      </c>
      <c r="AO17011" s="55">
        <v>9</v>
      </c>
      <c r="AP17011" s="55">
        <v>17</v>
      </c>
      <c r="AQ17011" s="55">
        <v>0</v>
      </c>
      <c r="AR17011" s="55">
        <v>28500</v>
      </c>
      <c r="AS17011" s="78">
        <f t="shared" si="269"/>
        <v>0</v>
      </c>
    </row>
    <row r="17012" spans="39:45">
      <c r="AM17012" s="54">
        <v>2020</v>
      </c>
      <c r="AN17012" s="54" t="s">
        <v>193</v>
      </c>
      <c r="AO17012" s="54">
        <v>9</v>
      </c>
      <c r="AP17012" s="54">
        <v>18</v>
      </c>
      <c r="AQ17012" s="54">
        <v>0</v>
      </c>
      <c r="AR17012" s="55">
        <v>28500</v>
      </c>
      <c r="AS17012" s="78">
        <f t="shared" si="269"/>
        <v>0</v>
      </c>
    </row>
    <row r="17013" spans="39:45">
      <c r="AM17013" s="55">
        <v>2020</v>
      </c>
      <c r="AN17013" s="55" t="s">
        <v>193</v>
      </c>
      <c r="AO17013" s="55">
        <v>9</v>
      </c>
      <c r="AP17013" s="55">
        <v>19</v>
      </c>
      <c r="AQ17013" s="55">
        <v>0</v>
      </c>
      <c r="AR17013" s="55">
        <v>28500</v>
      </c>
      <c r="AS17013" s="78">
        <f t="shared" si="269"/>
        <v>0</v>
      </c>
    </row>
    <row r="17014" spans="39:45">
      <c r="AM17014" s="54">
        <v>2020</v>
      </c>
      <c r="AN17014" s="54" t="s">
        <v>193</v>
      </c>
      <c r="AO17014" s="54">
        <v>9</v>
      </c>
      <c r="AP17014" s="54">
        <v>20</v>
      </c>
      <c r="AQ17014" s="54">
        <v>0</v>
      </c>
      <c r="AR17014" s="55">
        <v>28500</v>
      </c>
      <c r="AS17014" s="78">
        <f t="shared" si="269"/>
        <v>0</v>
      </c>
    </row>
    <row r="17015" spans="39:45">
      <c r="AM17015" s="55">
        <v>2020</v>
      </c>
      <c r="AN17015" s="55" t="s">
        <v>193</v>
      </c>
      <c r="AO17015" s="55">
        <v>9</v>
      </c>
      <c r="AP17015" s="55">
        <v>21</v>
      </c>
      <c r="AQ17015" s="55">
        <v>0</v>
      </c>
      <c r="AR17015" s="55">
        <v>28500</v>
      </c>
      <c r="AS17015" s="78">
        <f t="shared" si="269"/>
        <v>0</v>
      </c>
    </row>
    <row r="17016" spans="39:45">
      <c r="AM17016" s="54">
        <v>2020</v>
      </c>
      <c r="AN17016" s="54" t="s">
        <v>193</v>
      </c>
      <c r="AO17016" s="54">
        <v>9</v>
      </c>
      <c r="AP17016" s="54">
        <v>22</v>
      </c>
      <c r="AQ17016" s="54">
        <v>0</v>
      </c>
      <c r="AR17016" s="55">
        <v>28500</v>
      </c>
      <c r="AS17016" s="78">
        <f t="shared" si="269"/>
        <v>0</v>
      </c>
    </row>
    <row r="17017" spans="39:45">
      <c r="AM17017" s="55">
        <v>2020</v>
      </c>
      <c r="AN17017" s="55" t="s">
        <v>193</v>
      </c>
      <c r="AO17017" s="55">
        <v>9</v>
      </c>
      <c r="AP17017" s="55">
        <v>23</v>
      </c>
      <c r="AQ17017" s="55">
        <v>0</v>
      </c>
      <c r="AR17017" s="55">
        <v>28500</v>
      </c>
      <c r="AS17017" s="78">
        <f t="shared" si="269"/>
        <v>0</v>
      </c>
    </row>
    <row r="17018" spans="39:45">
      <c r="AM17018" s="54">
        <v>2020</v>
      </c>
      <c r="AN17018" s="54" t="s">
        <v>193</v>
      </c>
      <c r="AO17018" s="54">
        <v>10</v>
      </c>
      <c r="AP17018" s="54">
        <v>24</v>
      </c>
      <c r="AQ17018" s="54">
        <v>0</v>
      </c>
      <c r="AR17018" s="55">
        <v>28500</v>
      </c>
      <c r="AS17018" s="78">
        <f t="shared" si="269"/>
        <v>0</v>
      </c>
    </row>
    <row r="17019" spans="39:45">
      <c r="AM17019" s="55">
        <v>2020</v>
      </c>
      <c r="AN17019" s="55" t="s">
        <v>193</v>
      </c>
      <c r="AO17019" s="55">
        <v>10</v>
      </c>
      <c r="AP17019" s="55">
        <v>1</v>
      </c>
      <c r="AQ17019" s="55">
        <v>0</v>
      </c>
      <c r="AR17019" s="55">
        <v>28500</v>
      </c>
      <c r="AS17019" s="78">
        <f t="shared" si="269"/>
        <v>0</v>
      </c>
    </row>
    <row r="17020" spans="39:45">
      <c r="AM17020" s="54">
        <v>2020</v>
      </c>
      <c r="AN17020" s="54" t="s">
        <v>193</v>
      </c>
      <c r="AO17020" s="54">
        <v>10</v>
      </c>
      <c r="AP17020" s="54">
        <v>2</v>
      </c>
      <c r="AQ17020" s="54">
        <v>0</v>
      </c>
      <c r="AR17020" s="55">
        <v>28500</v>
      </c>
      <c r="AS17020" s="78">
        <f t="shared" si="269"/>
        <v>0</v>
      </c>
    </row>
    <row r="17021" spans="39:45">
      <c r="AM17021" s="55">
        <v>2020</v>
      </c>
      <c r="AN17021" s="55" t="s">
        <v>193</v>
      </c>
      <c r="AO17021" s="55">
        <v>10</v>
      </c>
      <c r="AP17021" s="55">
        <v>3</v>
      </c>
      <c r="AQ17021" s="55">
        <v>0</v>
      </c>
      <c r="AR17021" s="55">
        <v>28500</v>
      </c>
      <c r="AS17021" s="78">
        <f t="shared" si="269"/>
        <v>0</v>
      </c>
    </row>
    <row r="17022" spans="39:45">
      <c r="AM17022" s="54">
        <v>2020</v>
      </c>
      <c r="AN17022" s="54" t="s">
        <v>193</v>
      </c>
      <c r="AO17022" s="54">
        <v>10</v>
      </c>
      <c r="AP17022" s="54">
        <v>4</v>
      </c>
      <c r="AQ17022" s="54">
        <v>0</v>
      </c>
      <c r="AR17022" s="55">
        <v>28500</v>
      </c>
      <c r="AS17022" s="78">
        <f t="shared" si="269"/>
        <v>0</v>
      </c>
    </row>
    <row r="17023" spans="39:45">
      <c r="AM17023" s="55">
        <v>2020</v>
      </c>
      <c r="AN17023" s="55" t="s">
        <v>193</v>
      </c>
      <c r="AO17023" s="55">
        <v>10</v>
      </c>
      <c r="AP17023" s="55">
        <v>5</v>
      </c>
      <c r="AQ17023" s="55">
        <v>0</v>
      </c>
      <c r="AR17023" s="55">
        <v>28500</v>
      </c>
      <c r="AS17023" s="78">
        <f t="shared" si="269"/>
        <v>0</v>
      </c>
    </row>
    <row r="17024" spans="39:45">
      <c r="AM17024" s="54">
        <v>2020</v>
      </c>
      <c r="AN17024" s="54" t="s">
        <v>193</v>
      </c>
      <c r="AO17024" s="54">
        <v>10</v>
      </c>
      <c r="AP17024" s="54">
        <v>6</v>
      </c>
      <c r="AQ17024" s="54">
        <v>0</v>
      </c>
      <c r="AR17024" s="55">
        <v>28500</v>
      </c>
      <c r="AS17024" s="78">
        <f t="shared" si="269"/>
        <v>0</v>
      </c>
    </row>
    <row r="17025" spans="39:45">
      <c r="AM17025" s="55">
        <v>2020</v>
      </c>
      <c r="AN17025" s="55" t="s">
        <v>193</v>
      </c>
      <c r="AO17025" s="55">
        <v>10</v>
      </c>
      <c r="AP17025" s="55">
        <v>7</v>
      </c>
      <c r="AQ17025" s="55">
        <v>0</v>
      </c>
      <c r="AR17025" s="55">
        <v>28500</v>
      </c>
      <c r="AS17025" s="78">
        <f t="shared" si="269"/>
        <v>0</v>
      </c>
    </row>
    <row r="17026" spans="39:45">
      <c r="AM17026" s="54">
        <v>2020</v>
      </c>
      <c r="AN17026" s="54" t="s">
        <v>193</v>
      </c>
      <c r="AO17026" s="54">
        <v>10</v>
      </c>
      <c r="AP17026" s="54">
        <v>8</v>
      </c>
      <c r="AQ17026" s="54">
        <v>0</v>
      </c>
      <c r="AR17026" s="55">
        <v>28500</v>
      </c>
      <c r="AS17026" s="78">
        <f t="shared" ref="AS17026:AS17089" si="270">AQ17026/AR17026</f>
        <v>0</v>
      </c>
    </row>
    <row r="17027" spans="39:45">
      <c r="AM17027" s="55">
        <v>2020</v>
      </c>
      <c r="AN17027" s="55" t="s">
        <v>193</v>
      </c>
      <c r="AO17027" s="55">
        <v>10</v>
      </c>
      <c r="AP17027" s="55">
        <v>9</v>
      </c>
      <c r="AQ17027" s="55">
        <v>491.5</v>
      </c>
      <c r="AR17027" s="55">
        <v>28500</v>
      </c>
      <c r="AS17027" s="78">
        <f t="shared" si="270"/>
        <v>1.724561403508772E-2</v>
      </c>
    </row>
    <row r="17028" spans="39:45">
      <c r="AM17028" s="54">
        <v>2020</v>
      </c>
      <c r="AN17028" s="54" t="s">
        <v>193</v>
      </c>
      <c r="AO17028" s="54">
        <v>10</v>
      </c>
      <c r="AP17028" s="54">
        <v>10</v>
      </c>
      <c r="AQ17028" s="54">
        <v>1023.5</v>
      </c>
      <c r="AR17028" s="55">
        <v>28500</v>
      </c>
      <c r="AS17028" s="78">
        <f t="shared" si="270"/>
        <v>3.5912280701754389E-2</v>
      </c>
    </row>
    <row r="17029" spans="39:45">
      <c r="AM17029" s="55">
        <v>2020</v>
      </c>
      <c r="AN17029" s="55" t="s">
        <v>193</v>
      </c>
      <c r="AO17029" s="55">
        <v>10</v>
      </c>
      <c r="AP17029" s="55">
        <v>11</v>
      </c>
      <c r="AQ17029" s="55">
        <v>1559.5</v>
      </c>
      <c r="AR17029" s="55">
        <v>28500</v>
      </c>
      <c r="AS17029" s="78">
        <f t="shared" si="270"/>
        <v>5.4719298245614036E-2</v>
      </c>
    </row>
    <row r="17030" spans="39:45">
      <c r="AM17030" s="54">
        <v>2020</v>
      </c>
      <c r="AN17030" s="54" t="s">
        <v>193</v>
      </c>
      <c r="AO17030" s="54">
        <v>10</v>
      </c>
      <c r="AP17030" s="54">
        <v>12</v>
      </c>
      <c r="AQ17030" s="54">
        <v>1741</v>
      </c>
      <c r="AR17030" s="55">
        <v>28500</v>
      </c>
      <c r="AS17030" s="78">
        <f t="shared" si="270"/>
        <v>6.1087719298245614E-2</v>
      </c>
    </row>
    <row r="17031" spans="39:45">
      <c r="AM17031" s="55">
        <v>2020</v>
      </c>
      <c r="AN17031" s="55" t="s">
        <v>193</v>
      </c>
      <c r="AO17031" s="55">
        <v>10</v>
      </c>
      <c r="AP17031" s="55">
        <v>13</v>
      </c>
      <c r="AQ17031" s="55">
        <v>1927.5</v>
      </c>
      <c r="AR17031" s="55">
        <v>28500</v>
      </c>
      <c r="AS17031" s="78">
        <f t="shared" si="270"/>
        <v>6.7631578947368418E-2</v>
      </c>
    </row>
    <row r="17032" spans="39:45">
      <c r="AM17032" s="54">
        <v>2020</v>
      </c>
      <c r="AN17032" s="54" t="s">
        <v>193</v>
      </c>
      <c r="AO17032" s="54">
        <v>10</v>
      </c>
      <c r="AP17032" s="54">
        <v>14</v>
      </c>
      <c r="AQ17032" s="54">
        <v>519</v>
      </c>
      <c r="AR17032" s="55">
        <v>28500</v>
      </c>
      <c r="AS17032" s="78">
        <f t="shared" si="270"/>
        <v>1.8210526315789472E-2</v>
      </c>
    </row>
    <row r="17033" spans="39:45">
      <c r="AM17033" s="55">
        <v>2020</v>
      </c>
      <c r="AN17033" s="55" t="s">
        <v>193</v>
      </c>
      <c r="AO17033" s="55">
        <v>10</v>
      </c>
      <c r="AP17033" s="55">
        <v>15</v>
      </c>
      <c r="AQ17033" s="55">
        <v>519</v>
      </c>
      <c r="AR17033" s="55">
        <v>28500</v>
      </c>
      <c r="AS17033" s="78">
        <f t="shared" si="270"/>
        <v>1.8210526315789472E-2</v>
      </c>
    </row>
    <row r="17034" spans="39:45">
      <c r="AM17034" s="54">
        <v>2020</v>
      </c>
      <c r="AN17034" s="54" t="s">
        <v>193</v>
      </c>
      <c r="AO17034" s="54">
        <v>10</v>
      </c>
      <c r="AP17034" s="54">
        <v>16</v>
      </c>
      <c r="AQ17034" s="54">
        <v>0</v>
      </c>
      <c r="AR17034" s="55">
        <v>28500</v>
      </c>
      <c r="AS17034" s="78">
        <f t="shared" si="270"/>
        <v>0</v>
      </c>
    </row>
    <row r="17035" spans="39:45">
      <c r="AM17035" s="55">
        <v>2020</v>
      </c>
      <c r="AN17035" s="55" t="s">
        <v>193</v>
      </c>
      <c r="AO17035" s="55">
        <v>10</v>
      </c>
      <c r="AP17035" s="55">
        <v>17</v>
      </c>
      <c r="AQ17035" s="55">
        <v>0</v>
      </c>
      <c r="AR17035" s="55">
        <v>28500</v>
      </c>
      <c r="AS17035" s="78">
        <f t="shared" si="270"/>
        <v>0</v>
      </c>
    </row>
    <row r="17036" spans="39:45">
      <c r="AM17036" s="54">
        <v>2020</v>
      </c>
      <c r="AN17036" s="54" t="s">
        <v>193</v>
      </c>
      <c r="AO17036" s="54">
        <v>10</v>
      </c>
      <c r="AP17036" s="54">
        <v>18</v>
      </c>
      <c r="AQ17036" s="54">
        <v>0</v>
      </c>
      <c r="AR17036" s="55">
        <v>28500</v>
      </c>
      <c r="AS17036" s="78">
        <f t="shared" si="270"/>
        <v>0</v>
      </c>
    </row>
    <row r="17037" spans="39:45">
      <c r="AM17037" s="55">
        <v>2020</v>
      </c>
      <c r="AN17037" s="55" t="s">
        <v>193</v>
      </c>
      <c r="AO17037" s="55">
        <v>10</v>
      </c>
      <c r="AP17037" s="55">
        <v>19</v>
      </c>
      <c r="AQ17037" s="55">
        <v>0</v>
      </c>
      <c r="AR17037" s="55">
        <v>28500</v>
      </c>
      <c r="AS17037" s="78">
        <f t="shared" si="270"/>
        <v>0</v>
      </c>
    </row>
    <row r="17038" spans="39:45">
      <c r="AM17038" s="54">
        <v>2020</v>
      </c>
      <c r="AN17038" s="54" t="s">
        <v>193</v>
      </c>
      <c r="AO17038" s="54">
        <v>10</v>
      </c>
      <c r="AP17038" s="54">
        <v>20</v>
      </c>
      <c r="AQ17038" s="54">
        <v>0</v>
      </c>
      <c r="AR17038" s="55">
        <v>28500</v>
      </c>
      <c r="AS17038" s="78">
        <f t="shared" si="270"/>
        <v>0</v>
      </c>
    </row>
    <row r="17039" spans="39:45">
      <c r="AM17039" s="55">
        <v>2020</v>
      </c>
      <c r="AN17039" s="55" t="s">
        <v>193</v>
      </c>
      <c r="AO17039" s="55">
        <v>10</v>
      </c>
      <c r="AP17039" s="55">
        <v>21</v>
      </c>
      <c r="AQ17039" s="55">
        <v>0</v>
      </c>
      <c r="AR17039" s="55">
        <v>28500</v>
      </c>
      <c r="AS17039" s="78">
        <f t="shared" si="270"/>
        <v>0</v>
      </c>
    </row>
    <row r="17040" spans="39:45">
      <c r="AM17040" s="54">
        <v>2020</v>
      </c>
      <c r="AN17040" s="54" t="s">
        <v>193</v>
      </c>
      <c r="AO17040" s="54">
        <v>10</v>
      </c>
      <c r="AP17040" s="54">
        <v>22</v>
      </c>
      <c r="AQ17040" s="54">
        <v>0</v>
      </c>
      <c r="AR17040" s="55">
        <v>28500</v>
      </c>
      <c r="AS17040" s="78">
        <f t="shared" si="270"/>
        <v>0</v>
      </c>
    </row>
    <row r="17041" spans="39:45">
      <c r="AM17041" s="55">
        <v>2020</v>
      </c>
      <c r="AN17041" s="55" t="s">
        <v>193</v>
      </c>
      <c r="AO17041" s="55">
        <v>10</v>
      </c>
      <c r="AP17041" s="55">
        <v>23</v>
      </c>
      <c r="AQ17041" s="55">
        <v>0</v>
      </c>
      <c r="AR17041" s="55">
        <v>28500</v>
      </c>
      <c r="AS17041" s="78">
        <f t="shared" si="270"/>
        <v>0</v>
      </c>
    </row>
    <row r="17042" spans="39:45">
      <c r="AM17042" s="54">
        <v>2020</v>
      </c>
      <c r="AN17042" s="54" t="s">
        <v>193</v>
      </c>
      <c r="AO17042" s="54">
        <v>11</v>
      </c>
      <c r="AP17042" s="54">
        <v>24</v>
      </c>
      <c r="AQ17042" s="54">
        <v>0</v>
      </c>
      <c r="AR17042" s="55">
        <v>28500</v>
      </c>
      <c r="AS17042" s="78">
        <f t="shared" si="270"/>
        <v>0</v>
      </c>
    </row>
    <row r="17043" spans="39:45">
      <c r="AM17043" s="55">
        <v>2020</v>
      </c>
      <c r="AN17043" s="55" t="s">
        <v>193</v>
      </c>
      <c r="AO17043" s="55">
        <v>11</v>
      </c>
      <c r="AP17043" s="55">
        <v>1</v>
      </c>
      <c r="AQ17043" s="55">
        <v>0</v>
      </c>
      <c r="AR17043" s="55">
        <v>28500</v>
      </c>
      <c r="AS17043" s="78">
        <f t="shared" si="270"/>
        <v>0</v>
      </c>
    </row>
    <row r="17044" spans="39:45">
      <c r="AM17044" s="54">
        <v>2020</v>
      </c>
      <c r="AN17044" s="54" t="s">
        <v>193</v>
      </c>
      <c r="AO17044" s="54">
        <v>11</v>
      </c>
      <c r="AP17044" s="54">
        <v>2</v>
      </c>
      <c r="AQ17044" s="54">
        <v>0</v>
      </c>
      <c r="AR17044" s="55">
        <v>28500</v>
      </c>
      <c r="AS17044" s="78">
        <f t="shared" si="270"/>
        <v>0</v>
      </c>
    </row>
    <row r="17045" spans="39:45">
      <c r="AM17045" s="55">
        <v>2020</v>
      </c>
      <c r="AN17045" s="55" t="s">
        <v>193</v>
      </c>
      <c r="AO17045" s="55">
        <v>11</v>
      </c>
      <c r="AP17045" s="55">
        <v>3</v>
      </c>
      <c r="AQ17045" s="55">
        <v>0</v>
      </c>
      <c r="AR17045" s="55">
        <v>28500</v>
      </c>
      <c r="AS17045" s="78">
        <f t="shared" si="270"/>
        <v>0</v>
      </c>
    </row>
    <row r="17046" spans="39:45">
      <c r="AM17046" s="54">
        <v>2020</v>
      </c>
      <c r="AN17046" s="54" t="s">
        <v>193</v>
      </c>
      <c r="AO17046" s="54">
        <v>11</v>
      </c>
      <c r="AP17046" s="54">
        <v>4</v>
      </c>
      <c r="AQ17046" s="54">
        <v>0</v>
      </c>
      <c r="AR17046" s="55">
        <v>28500</v>
      </c>
      <c r="AS17046" s="78">
        <f t="shared" si="270"/>
        <v>0</v>
      </c>
    </row>
    <row r="17047" spans="39:45">
      <c r="AM17047" s="55">
        <v>2020</v>
      </c>
      <c r="AN17047" s="55" t="s">
        <v>193</v>
      </c>
      <c r="AO17047" s="55">
        <v>11</v>
      </c>
      <c r="AP17047" s="55">
        <v>5</v>
      </c>
      <c r="AQ17047" s="55">
        <v>0</v>
      </c>
      <c r="AR17047" s="55">
        <v>28500</v>
      </c>
      <c r="AS17047" s="78">
        <f t="shared" si="270"/>
        <v>0</v>
      </c>
    </row>
    <row r="17048" spans="39:45">
      <c r="AM17048" s="54">
        <v>2020</v>
      </c>
      <c r="AN17048" s="54" t="s">
        <v>193</v>
      </c>
      <c r="AO17048" s="54">
        <v>11</v>
      </c>
      <c r="AP17048" s="54">
        <v>6</v>
      </c>
      <c r="AQ17048" s="54">
        <v>0</v>
      </c>
      <c r="AR17048" s="55">
        <v>28500</v>
      </c>
      <c r="AS17048" s="78">
        <f t="shared" si="270"/>
        <v>0</v>
      </c>
    </row>
    <row r="17049" spans="39:45">
      <c r="AM17049" s="55">
        <v>2020</v>
      </c>
      <c r="AN17049" s="55" t="s">
        <v>193</v>
      </c>
      <c r="AO17049" s="55">
        <v>11</v>
      </c>
      <c r="AP17049" s="55">
        <v>7</v>
      </c>
      <c r="AQ17049" s="55">
        <v>0</v>
      </c>
      <c r="AR17049" s="55">
        <v>28500</v>
      </c>
      <c r="AS17049" s="78">
        <f t="shared" si="270"/>
        <v>0</v>
      </c>
    </row>
    <row r="17050" spans="39:45">
      <c r="AM17050" s="54">
        <v>2020</v>
      </c>
      <c r="AN17050" s="54" t="s">
        <v>193</v>
      </c>
      <c r="AO17050" s="54">
        <v>11</v>
      </c>
      <c r="AP17050" s="54">
        <v>8</v>
      </c>
      <c r="AQ17050" s="54">
        <v>0</v>
      </c>
      <c r="AR17050" s="55">
        <v>28500</v>
      </c>
      <c r="AS17050" s="78">
        <f t="shared" si="270"/>
        <v>0</v>
      </c>
    </row>
    <row r="17051" spans="39:45">
      <c r="AM17051" s="55">
        <v>2020</v>
      </c>
      <c r="AN17051" s="55" t="s">
        <v>193</v>
      </c>
      <c r="AO17051" s="55">
        <v>11</v>
      </c>
      <c r="AP17051" s="55">
        <v>9</v>
      </c>
      <c r="AQ17051" s="55">
        <v>7933</v>
      </c>
      <c r="AR17051" s="55">
        <v>28500</v>
      </c>
      <c r="AS17051" s="78">
        <f t="shared" si="270"/>
        <v>0.27835087719298246</v>
      </c>
    </row>
    <row r="17052" spans="39:45">
      <c r="AM17052" s="54">
        <v>2020</v>
      </c>
      <c r="AN17052" s="54" t="s">
        <v>193</v>
      </c>
      <c r="AO17052" s="54">
        <v>11</v>
      </c>
      <c r="AP17052" s="54">
        <v>10</v>
      </c>
      <c r="AQ17052" s="54">
        <v>6172.5</v>
      </c>
      <c r="AR17052" s="55">
        <v>28500</v>
      </c>
      <c r="AS17052" s="78">
        <f t="shared" si="270"/>
        <v>0.21657894736842107</v>
      </c>
    </row>
    <row r="17053" spans="39:45">
      <c r="AM17053" s="55">
        <v>2020</v>
      </c>
      <c r="AN17053" s="55" t="s">
        <v>193</v>
      </c>
      <c r="AO17053" s="55">
        <v>11</v>
      </c>
      <c r="AP17053" s="55">
        <v>11</v>
      </c>
      <c r="AQ17053" s="55">
        <v>735</v>
      </c>
      <c r="AR17053" s="55">
        <v>28500</v>
      </c>
      <c r="AS17053" s="78">
        <f t="shared" si="270"/>
        <v>2.5789473684210525E-2</v>
      </c>
    </row>
    <row r="17054" spans="39:45">
      <c r="AM17054" s="54">
        <v>2020</v>
      </c>
      <c r="AN17054" s="54" t="s">
        <v>193</v>
      </c>
      <c r="AO17054" s="54">
        <v>11</v>
      </c>
      <c r="AP17054" s="54">
        <v>12</v>
      </c>
      <c r="AQ17054" s="54">
        <v>1422</v>
      </c>
      <c r="AR17054" s="55">
        <v>28500</v>
      </c>
      <c r="AS17054" s="78">
        <f t="shared" si="270"/>
        <v>4.9894736842105263E-2</v>
      </c>
    </row>
    <row r="17055" spans="39:45">
      <c r="AM17055" s="55">
        <v>2020</v>
      </c>
      <c r="AN17055" s="55" t="s">
        <v>193</v>
      </c>
      <c r="AO17055" s="55">
        <v>11</v>
      </c>
      <c r="AP17055" s="55">
        <v>13</v>
      </c>
      <c r="AQ17055" s="55">
        <v>5929.5</v>
      </c>
      <c r="AR17055" s="55">
        <v>28500</v>
      </c>
      <c r="AS17055" s="78">
        <f t="shared" si="270"/>
        <v>0.20805263157894738</v>
      </c>
    </row>
    <row r="17056" spans="39:45">
      <c r="AM17056" s="54">
        <v>2020</v>
      </c>
      <c r="AN17056" s="54" t="s">
        <v>193</v>
      </c>
      <c r="AO17056" s="54">
        <v>11</v>
      </c>
      <c r="AP17056" s="54">
        <v>14</v>
      </c>
      <c r="AQ17056" s="54">
        <v>2485.5</v>
      </c>
      <c r="AR17056" s="55">
        <v>28500</v>
      </c>
      <c r="AS17056" s="78">
        <f t="shared" si="270"/>
        <v>8.7210526315789474E-2</v>
      </c>
    </row>
    <row r="17057" spans="39:45">
      <c r="AM17057" s="55">
        <v>2020</v>
      </c>
      <c r="AN17057" s="55" t="s">
        <v>193</v>
      </c>
      <c r="AO17057" s="55">
        <v>11</v>
      </c>
      <c r="AP17057" s="55">
        <v>15</v>
      </c>
      <c r="AQ17057" s="55">
        <v>5962.5</v>
      </c>
      <c r="AR17057" s="55">
        <v>28500</v>
      </c>
      <c r="AS17057" s="78">
        <f t="shared" si="270"/>
        <v>0.20921052631578949</v>
      </c>
    </row>
    <row r="17058" spans="39:45">
      <c r="AM17058" s="54">
        <v>2020</v>
      </c>
      <c r="AN17058" s="54" t="s">
        <v>193</v>
      </c>
      <c r="AO17058" s="54">
        <v>11</v>
      </c>
      <c r="AP17058" s="54">
        <v>16</v>
      </c>
      <c r="AQ17058" s="54">
        <v>0</v>
      </c>
      <c r="AR17058" s="55">
        <v>28500</v>
      </c>
      <c r="AS17058" s="78">
        <f t="shared" si="270"/>
        <v>0</v>
      </c>
    </row>
    <row r="17059" spans="39:45">
      <c r="AM17059" s="55">
        <v>2020</v>
      </c>
      <c r="AN17059" s="55" t="s">
        <v>193</v>
      </c>
      <c r="AO17059" s="55">
        <v>11</v>
      </c>
      <c r="AP17059" s="55">
        <v>17</v>
      </c>
      <c r="AQ17059" s="55">
        <v>0</v>
      </c>
      <c r="AR17059" s="55">
        <v>28500</v>
      </c>
      <c r="AS17059" s="78">
        <f t="shared" si="270"/>
        <v>0</v>
      </c>
    </row>
    <row r="17060" spans="39:45">
      <c r="AM17060" s="54">
        <v>2020</v>
      </c>
      <c r="AN17060" s="54" t="s">
        <v>193</v>
      </c>
      <c r="AO17060" s="54">
        <v>11</v>
      </c>
      <c r="AP17060" s="54">
        <v>18</v>
      </c>
      <c r="AQ17060" s="54">
        <v>0</v>
      </c>
      <c r="AR17060" s="55">
        <v>28500</v>
      </c>
      <c r="AS17060" s="78">
        <f t="shared" si="270"/>
        <v>0</v>
      </c>
    </row>
    <row r="17061" spans="39:45">
      <c r="AM17061" s="55">
        <v>2020</v>
      </c>
      <c r="AN17061" s="55" t="s">
        <v>193</v>
      </c>
      <c r="AO17061" s="55">
        <v>11</v>
      </c>
      <c r="AP17061" s="55">
        <v>19</v>
      </c>
      <c r="AQ17061" s="55">
        <v>0</v>
      </c>
      <c r="AR17061" s="55">
        <v>28500</v>
      </c>
      <c r="AS17061" s="78">
        <f t="shared" si="270"/>
        <v>0</v>
      </c>
    </row>
    <row r="17062" spans="39:45">
      <c r="AM17062" s="54">
        <v>2020</v>
      </c>
      <c r="AN17062" s="54" t="s">
        <v>193</v>
      </c>
      <c r="AO17062" s="54">
        <v>11</v>
      </c>
      <c r="AP17062" s="54">
        <v>20</v>
      </c>
      <c r="AQ17062" s="54">
        <v>0</v>
      </c>
      <c r="AR17062" s="55">
        <v>28500</v>
      </c>
      <c r="AS17062" s="78">
        <f t="shared" si="270"/>
        <v>0</v>
      </c>
    </row>
    <row r="17063" spans="39:45">
      <c r="AM17063" s="55">
        <v>2020</v>
      </c>
      <c r="AN17063" s="55" t="s">
        <v>193</v>
      </c>
      <c r="AO17063" s="55">
        <v>11</v>
      </c>
      <c r="AP17063" s="55">
        <v>21</v>
      </c>
      <c r="AQ17063" s="55">
        <v>0</v>
      </c>
      <c r="AR17063" s="55">
        <v>28500</v>
      </c>
      <c r="AS17063" s="78">
        <f t="shared" si="270"/>
        <v>0</v>
      </c>
    </row>
    <row r="17064" spans="39:45">
      <c r="AM17064" s="54">
        <v>2020</v>
      </c>
      <c r="AN17064" s="54" t="s">
        <v>193</v>
      </c>
      <c r="AO17064" s="54">
        <v>11</v>
      </c>
      <c r="AP17064" s="54">
        <v>22</v>
      </c>
      <c r="AQ17064" s="54">
        <v>0</v>
      </c>
      <c r="AR17064" s="55">
        <v>28500</v>
      </c>
      <c r="AS17064" s="78">
        <f t="shared" si="270"/>
        <v>0</v>
      </c>
    </row>
    <row r="17065" spans="39:45">
      <c r="AM17065" s="55">
        <v>2020</v>
      </c>
      <c r="AN17065" s="55" t="s">
        <v>193</v>
      </c>
      <c r="AO17065" s="55">
        <v>11</v>
      </c>
      <c r="AP17065" s="55">
        <v>23</v>
      </c>
      <c r="AQ17065" s="55">
        <v>0</v>
      </c>
      <c r="AR17065" s="55">
        <v>28500</v>
      </c>
      <c r="AS17065" s="78">
        <f t="shared" si="270"/>
        <v>0</v>
      </c>
    </row>
    <row r="17066" spans="39:45">
      <c r="AM17066" s="54">
        <v>2020</v>
      </c>
      <c r="AN17066" s="54" t="s">
        <v>193</v>
      </c>
      <c r="AO17066" s="54">
        <v>12</v>
      </c>
      <c r="AP17066" s="54">
        <v>24</v>
      </c>
      <c r="AQ17066" s="54">
        <v>0</v>
      </c>
      <c r="AR17066" s="55">
        <v>28500</v>
      </c>
      <c r="AS17066" s="78">
        <f t="shared" si="270"/>
        <v>0</v>
      </c>
    </row>
    <row r="17067" spans="39:45">
      <c r="AM17067" s="55">
        <v>2020</v>
      </c>
      <c r="AN17067" s="55" t="s">
        <v>193</v>
      </c>
      <c r="AO17067" s="55">
        <v>12</v>
      </c>
      <c r="AP17067" s="55">
        <v>1</v>
      </c>
      <c r="AQ17067" s="55">
        <v>0</v>
      </c>
      <c r="AR17067" s="55">
        <v>28500</v>
      </c>
      <c r="AS17067" s="78">
        <f t="shared" si="270"/>
        <v>0</v>
      </c>
    </row>
    <row r="17068" spans="39:45">
      <c r="AM17068" s="54">
        <v>2020</v>
      </c>
      <c r="AN17068" s="54" t="s">
        <v>193</v>
      </c>
      <c r="AO17068" s="54">
        <v>12</v>
      </c>
      <c r="AP17068" s="54">
        <v>2</v>
      </c>
      <c r="AQ17068" s="54">
        <v>0</v>
      </c>
      <c r="AR17068" s="55">
        <v>28500</v>
      </c>
      <c r="AS17068" s="78">
        <f t="shared" si="270"/>
        <v>0</v>
      </c>
    </row>
    <row r="17069" spans="39:45">
      <c r="AM17069" s="55">
        <v>2020</v>
      </c>
      <c r="AN17069" s="55" t="s">
        <v>193</v>
      </c>
      <c r="AO17069" s="55">
        <v>12</v>
      </c>
      <c r="AP17069" s="55">
        <v>3</v>
      </c>
      <c r="AQ17069" s="55">
        <v>0</v>
      </c>
      <c r="AR17069" s="55">
        <v>28500</v>
      </c>
      <c r="AS17069" s="78">
        <f t="shared" si="270"/>
        <v>0</v>
      </c>
    </row>
    <row r="17070" spans="39:45">
      <c r="AM17070" s="54">
        <v>2020</v>
      </c>
      <c r="AN17070" s="54" t="s">
        <v>193</v>
      </c>
      <c r="AO17070" s="54">
        <v>12</v>
      </c>
      <c r="AP17070" s="54">
        <v>4</v>
      </c>
      <c r="AQ17070" s="54">
        <v>0</v>
      </c>
      <c r="AR17070" s="55">
        <v>28500</v>
      </c>
      <c r="AS17070" s="78">
        <f t="shared" si="270"/>
        <v>0</v>
      </c>
    </row>
    <row r="17071" spans="39:45">
      <c r="AM17071" s="55">
        <v>2020</v>
      </c>
      <c r="AN17071" s="55" t="s">
        <v>193</v>
      </c>
      <c r="AO17071" s="55">
        <v>12</v>
      </c>
      <c r="AP17071" s="55">
        <v>5</v>
      </c>
      <c r="AQ17071" s="55">
        <v>0</v>
      </c>
      <c r="AR17071" s="55">
        <v>28500</v>
      </c>
      <c r="AS17071" s="78">
        <f t="shared" si="270"/>
        <v>0</v>
      </c>
    </row>
    <row r="17072" spans="39:45">
      <c r="AM17072" s="54">
        <v>2020</v>
      </c>
      <c r="AN17072" s="54" t="s">
        <v>193</v>
      </c>
      <c r="AO17072" s="54">
        <v>12</v>
      </c>
      <c r="AP17072" s="54">
        <v>6</v>
      </c>
      <c r="AQ17072" s="54">
        <v>0</v>
      </c>
      <c r="AR17072" s="55">
        <v>28500</v>
      </c>
      <c r="AS17072" s="78">
        <f t="shared" si="270"/>
        <v>0</v>
      </c>
    </row>
    <row r="17073" spans="39:45">
      <c r="AM17073" s="55">
        <v>2020</v>
      </c>
      <c r="AN17073" s="55" t="s">
        <v>193</v>
      </c>
      <c r="AO17073" s="55">
        <v>12</v>
      </c>
      <c r="AP17073" s="55">
        <v>7</v>
      </c>
      <c r="AQ17073" s="55">
        <v>0</v>
      </c>
      <c r="AR17073" s="55">
        <v>28500</v>
      </c>
      <c r="AS17073" s="78">
        <f t="shared" si="270"/>
        <v>0</v>
      </c>
    </row>
    <row r="17074" spans="39:45">
      <c r="AM17074" s="54">
        <v>2020</v>
      </c>
      <c r="AN17074" s="54" t="s">
        <v>193</v>
      </c>
      <c r="AO17074" s="54">
        <v>12</v>
      </c>
      <c r="AP17074" s="54">
        <v>8</v>
      </c>
      <c r="AQ17074" s="54">
        <v>0</v>
      </c>
      <c r="AR17074" s="55">
        <v>28500</v>
      </c>
      <c r="AS17074" s="78">
        <f t="shared" si="270"/>
        <v>0</v>
      </c>
    </row>
    <row r="17075" spans="39:45">
      <c r="AM17075" s="55">
        <v>2020</v>
      </c>
      <c r="AN17075" s="55" t="s">
        <v>193</v>
      </c>
      <c r="AO17075" s="55">
        <v>12</v>
      </c>
      <c r="AP17075" s="55">
        <v>9</v>
      </c>
      <c r="AQ17075" s="55">
        <v>1433</v>
      </c>
      <c r="AR17075" s="55">
        <v>28500</v>
      </c>
      <c r="AS17075" s="78">
        <f t="shared" si="270"/>
        <v>5.0280701754385967E-2</v>
      </c>
    </row>
    <row r="17076" spans="39:45">
      <c r="AM17076" s="54">
        <v>2020</v>
      </c>
      <c r="AN17076" s="54" t="s">
        <v>193</v>
      </c>
      <c r="AO17076" s="54">
        <v>12</v>
      </c>
      <c r="AP17076" s="54">
        <v>10</v>
      </c>
      <c r="AQ17076" s="54">
        <v>2510</v>
      </c>
      <c r="AR17076" s="55">
        <v>28500</v>
      </c>
      <c r="AS17076" s="78">
        <f t="shared" si="270"/>
        <v>8.8070175438596493E-2</v>
      </c>
    </row>
    <row r="17077" spans="39:45">
      <c r="AM17077" s="55">
        <v>2020</v>
      </c>
      <c r="AN17077" s="55" t="s">
        <v>193</v>
      </c>
      <c r="AO17077" s="55">
        <v>12</v>
      </c>
      <c r="AP17077" s="55">
        <v>11</v>
      </c>
      <c r="AQ17077" s="55">
        <v>2531</v>
      </c>
      <c r="AR17077" s="55">
        <v>28500</v>
      </c>
      <c r="AS17077" s="78">
        <f t="shared" si="270"/>
        <v>8.8807017543859654E-2</v>
      </c>
    </row>
    <row r="17078" spans="39:45">
      <c r="AM17078" s="54">
        <v>2020</v>
      </c>
      <c r="AN17078" s="54" t="s">
        <v>193</v>
      </c>
      <c r="AO17078" s="54">
        <v>12</v>
      </c>
      <c r="AP17078" s="54">
        <v>12</v>
      </c>
      <c r="AQ17078" s="54">
        <v>2031.5</v>
      </c>
      <c r="AR17078" s="55">
        <v>28500</v>
      </c>
      <c r="AS17078" s="78">
        <f t="shared" si="270"/>
        <v>7.1280701754385958E-2</v>
      </c>
    </row>
    <row r="17079" spans="39:45">
      <c r="AM17079" s="55">
        <v>2020</v>
      </c>
      <c r="AN17079" s="55" t="s">
        <v>193</v>
      </c>
      <c r="AO17079" s="55">
        <v>12</v>
      </c>
      <c r="AP17079" s="55">
        <v>13</v>
      </c>
      <c r="AQ17079" s="55">
        <v>1406</v>
      </c>
      <c r="AR17079" s="55">
        <v>28500</v>
      </c>
      <c r="AS17079" s="78">
        <f t="shared" si="270"/>
        <v>4.9333333333333333E-2</v>
      </c>
    </row>
    <row r="17080" spans="39:45">
      <c r="AM17080" s="54">
        <v>2020</v>
      </c>
      <c r="AN17080" s="54" t="s">
        <v>193</v>
      </c>
      <c r="AO17080" s="54">
        <v>12</v>
      </c>
      <c r="AP17080" s="54">
        <v>14</v>
      </c>
      <c r="AQ17080" s="54">
        <v>120.5</v>
      </c>
      <c r="AR17080" s="55">
        <v>28500</v>
      </c>
      <c r="AS17080" s="78">
        <f t="shared" si="270"/>
        <v>4.2280701754385964E-3</v>
      </c>
    </row>
    <row r="17081" spans="39:45">
      <c r="AM17081" s="55">
        <v>2020</v>
      </c>
      <c r="AN17081" s="55" t="s">
        <v>193</v>
      </c>
      <c r="AO17081" s="55">
        <v>12</v>
      </c>
      <c r="AP17081" s="55">
        <v>15</v>
      </c>
      <c r="AQ17081" s="55">
        <v>97.5</v>
      </c>
      <c r="AR17081" s="55">
        <v>28500</v>
      </c>
      <c r="AS17081" s="78">
        <f t="shared" si="270"/>
        <v>3.4210526315789475E-3</v>
      </c>
    </row>
    <row r="17082" spans="39:45">
      <c r="AM17082" s="54">
        <v>2020</v>
      </c>
      <c r="AN17082" s="54" t="s">
        <v>193</v>
      </c>
      <c r="AO17082" s="54">
        <v>12</v>
      </c>
      <c r="AP17082" s="54">
        <v>16</v>
      </c>
      <c r="AQ17082" s="54">
        <v>0</v>
      </c>
      <c r="AR17082" s="55">
        <v>28500</v>
      </c>
      <c r="AS17082" s="78">
        <f t="shared" si="270"/>
        <v>0</v>
      </c>
    </row>
    <row r="17083" spans="39:45">
      <c r="AM17083" s="55">
        <v>2020</v>
      </c>
      <c r="AN17083" s="55" t="s">
        <v>193</v>
      </c>
      <c r="AO17083" s="55">
        <v>12</v>
      </c>
      <c r="AP17083" s="55">
        <v>17</v>
      </c>
      <c r="AQ17083" s="55">
        <v>0</v>
      </c>
      <c r="AR17083" s="55">
        <v>28500</v>
      </c>
      <c r="AS17083" s="78">
        <f t="shared" si="270"/>
        <v>0</v>
      </c>
    </row>
    <row r="17084" spans="39:45">
      <c r="AM17084" s="54">
        <v>2020</v>
      </c>
      <c r="AN17084" s="54" t="s">
        <v>193</v>
      </c>
      <c r="AO17084" s="54">
        <v>12</v>
      </c>
      <c r="AP17084" s="54">
        <v>18</v>
      </c>
      <c r="AQ17084" s="54">
        <v>0</v>
      </c>
      <c r="AR17084" s="55">
        <v>28500</v>
      </c>
      <c r="AS17084" s="78">
        <f t="shared" si="270"/>
        <v>0</v>
      </c>
    </row>
    <row r="17085" spans="39:45">
      <c r="AM17085" s="55">
        <v>2020</v>
      </c>
      <c r="AN17085" s="55" t="s">
        <v>193</v>
      </c>
      <c r="AO17085" s="55">
        <v>12</v>
      </c>
      <c r="AP17085" s="55">
        <v>19</v>
      </c>
      <c r="AQ17085" s="55">
        <v>0</v>
      </c>
      <c r="AR17085" s="55">
        <v>28500</v>
      </c>
      <c r="AS17085" s="78">
        <f t="shared" si="270"/>
        <v>0</v>
      </c>
    </row>
    <row r="17086" spans="39:45">
      <c r="AM17086" s="54">
        <v>2020</v>
      </c>
      <c r="AN17086" s="54" t="s">
        <v>193</v>
      </c>
      <c r="AO17086" s="54">
        <v>12</v>
      </c>
      <c r="AP17086" s="54">
        <v>20</v>
      </c>
      <c r="AQ17086" s="54">
        <v>0</v>
      </c>
      <c r="AR17086" s="55">
        <v>28500</v>
      </c>
      <c r="AS17086" s="78">
        <f t="shared" si="270"/>
        <v>0</v>
      </c>
    </row>
    <row r="17087" spans="39:45">
      <c r="AM17087" s="55">
        <v>2020</v>
      </c>
      <c r="AN17087" s="55" t="s">
        <v>193</v>
      </c>
      <c r="AO17087" s="55">
        <v>12</v>
      </c>
      <c r="AP17087" s="55">
        <v>21</v>
      </c>
      <c r="AQ17087" s="55">
        <v>0</v>
      </c>
      <c r="AR17087" s="55">
        <v>28500</v>
      </c>
      <c r="AS17087" s="78">
        <f t="shared" si="270"/>
        <v>0</v>
      </c>
    </row>
    <row r="17088" spans="39:45">
      <c r="AM17088" s="54">
        <v>2020</v>
      </c>
      <c r="AN17088" s="54" t="s">
        <v>193</v>
      </c>
      <c r="AO17088" s="54">
        <v>12</v>
      </c>
      <c r="AP17088" s="54">
        <v>22</v>
      </c>
      <c r="AQ17088" s="54">
        <v>0</v>
      </c>
      <c r="AR17088" s="55">
        <v>28500</v>
      </c>
      <c r="AS17088" s="78">
        <f t="shared" si="270"/>
        <v>0</v>
      </c>
    </row>
    <row r="17089" spans="39:45">
      <c r="AM17089" s="55">
        <v>2020</v>
      </c>
      <c r="AN17089" s="55" t="s">
        <v>193</v>
      </c>
      <c r="AO17089" s="55">
        <v>12</v>
      </c>
      <c r="AP17089" s="55">
        <v>23</v>
      </c>
      <c r="AQ17089" s="55">
        <v>0</v>
      </c>
      <c r="AR17089" s="55">
        <v>28500</v>
      </c>
      <c r="AS17089" s="78">
        <f t="shared" si="270"/>
        <v>0</v>
      </c>
    </row>
    <row r="17090" spans="39:45">
      <c r="AM17090" s="54">
        <v>2020</v>
      </c>
      <c r="AN17090" s="54" t="s">
        <v>193</v>
      </c>
      <c r="AO17090" s="54">
        <v>13</v>
      </c>
      <c r="AP17090" s="54">
        <v>24</v>
      </c>
      <c r="AQ17090" s="54">
        <v>0</v>
      </c>
      <c r="AR17090" s="55">
        <v>28500</v>
      </c>
      <c r="AS17090" s="78">
        <f t="shared" ref="AS17090:AS17153" si="271">AQ17090/AR17090</f>
        <v>0</v>
      </c>
    </row>
    <row r="17091" spans="39:45">
      <c r="AM17091" s="55">
        <v>2020</v>
      </c>
      <c r="AN17091" s="55" t="s">
        <v>193</v>
      </c>
      <c r="AO17091" s="55">
        <v>13</v>
      </c>
      <c r="AP17091" s="55">
        <v>1</v>
      </c>
      <c r="AQ17091" s="55">
        <v>0</v>
      </c>
      <c r="AR17091" s="55">
        <v>28500</v>
      </c>
      <c r="AS17091" s="78">
        <f t="shared" si="271"/>
        <v>0</v>
      </c>
    </row>
    <row r="17092" spans="39:45">
      <c r="AM17092" s="54">
        <v>2020</v>
      </c>
      <c r="AN17092" s="54" t="s">
        <v>193</v>
      </c>
      <c r="AO17092" s="54">
        <v>13</v>
      </c>
      <c r="AP17092" s="54">
        <v>2</v>
      </c>
      <c r="AQ17092" s="54">
        <v>0</v>
      </c>
      <c r="AR17092" s="55">
        <v>28500</v>
      </c>
      <c r="AS17092" s="78">
        <f t="shared" si="271"/>
        <v>0</v>
      </c>
    </row>
    <row r="17093" spans="39:45">
      <c r="AM17093" s="55">
        <v>2020</v>
      </c>
      <c r="AN17093" s="55" t="s">
        <v>193</v>
      </c>
      <c r="AO17093" s="55">
        <v>13</v>
      </c>
      <c r="AP17093" s="55">
        <v>3</v>
      </c>
      <c r="AQ17093" s="55">
        <v>0</v>
      </c>
      <c r="AR17093" s="55">
        <v>28500</v>
      </c>
      <c r="AS17093" s="78">
        <f t="shared" si="271"/>
        <v>0</v>
      </c>
    </row>
    <row r="17094" spans="39:45">
      <c r="AM17094" s="54">
        <v>2020</v>
      </c>
      <c r="AN17094" s="54" t="s">
        <v>193</v>
      </c>
      <c r="AO17094" s="54">
        <v>13</v>
      </c>
      <c r="AP17094" s="54">
        <v>4</v>
      </c>
      <c r="AQ17094" s="54">
        <v>0</v>
      </c>
      <c r="AR17094" s="55">
        <v>28500</v>
      </c>
      <c r="AS17094" s="78">
        <f t="shared" si="271"/>
        <v>0</v>
      </c>
    </row>
    <row r="17095" spans="39:45">
      <c r="AM17095" s="55">
        <v>2020</v>
      </c>
      <c r="AN17095" s="55" t="s">
        <v>193</v>
      </c>
      <c r="AO17095" s="55">
        <v>13</v>
      </c>
      <c r="AP17095" s="55">
        <v>5</v>
      </c>
      <c r="AQ17095" s="55">
        <v>0</v>
      </c>
      <c r="AR17095" s="55">
        <v>28500</v>
      </c>
      <c r="AS17095" s="78">
        <f t="shared" si="271"/>
        <v>0</v>
      </c>
    </row>
    <row r="17096" spans="39:45">
      <c r="AM17096" s="54">
        <v>2020</v>
      </c>
      <c r="AN17096" s="54" t="s">
        <v>193</v>
      </c>
      <c r="AO17096" s="54">
        <v>13</v>
      </c>
      <c r="AP17096" s="54">
        <v>6</v>
      </c>
      <c r="AQ17096" s="54">
        <v>0</v>
      </c>
      <c r="AR17096" s="55">
        <v>28500</v>
      </c>
      <c r="AS17096" s="78">
        <f t="shared" si="271"/>
        <v>0</v>
      </c>
    </row>
    <row r="17097" spans="39:45">
      <c r="AM17097" s="55">
        <v>2020</v>
      </c>
      <c r="AN17097" s="55" t="s">
        <v>193</v>
      </c>
      <c r="AO17097" s="55">
        <v>13</v>
      </c>
      <c r="AP17097" s="55">
        <v>7</v>
      </c>
      <c r="AQ17097" s="55">
        <v>0</v>
      </c>
      <c r="AR17097" s="55">
        <v>28500</v>
      </c>
      <c r="AS17097" s="78">
        <f t="shared" si="271"/>
        <v>0</v>
      </c>
    </row>
    <row r="17098" spans="39:45">
      <c r="AM17098" s="54">
        <v>2020</v>
      </c>
      <c r="AN17098" s="54" t="s">
        <v>193</v>
      </c>
      <c r="AO17098" s="54">
        <v>13</v>
      </c>
      <c r="AP17098" s="54">
        <v>8</v>
      </c>
      <c r="AQ17098" s="54">
        <v>0</v>
      </c>
      <c r="AR17098" s="55">
        <v>28500</v>
      </c>
      <c r="AS17098" s="78">
        <f t="shared" si="271"/>
        <v>0</v>
      </c>
    </row>
    <row r="17099" spans="39:45">
      <c r="AM17099" s="55">
        <v>2020</v>
      </c>
      <c r="AN17099" s="55" t="s">
        <v>193</v>
      </c>
      <c r="AO17099" s="55">
        <v>13</v>
      </c>
      <c r="AP17099" s="55">
        <v>9</v>
      </c>
      <c r="AQ17099" s="55">
        <v>2727.5</v>
      </c>
      <c r="AR17099" s="55">
        <v>28500</v>
      </c>
      <c r="AS17099" s="78">
        <f t="shared" si="271"/>
        <v>9.5701754385964913E-2</v>
      </c>
    </row>
    <row r="17100" spans="39:45">
      <c r="AM17100" s="54">
        <v>2020</v>
      </c>
      <c r="AN17100" s="54" t="s">
        <v>193</v>
      </c>
      <c r="AO17100" s="54">
        <v>13</v>
      </c>
      <c r="AP17100" s="54">
        <v>10</v>
      </c>
      <c r="AQ17100" s="54">
        <v>1091</v>
      </c>
      <c r="AR17100" s="55">
        <v>28500</v>
      </c>
      <c r="AS17100" s="78">
        <f t="shared" si="271"/>
        <v>3.8280701754385964E-2</v>
      </c>
    </row>
    <row r="17101" spans="39:45">
      <c r="AM17101" s="55">
        <v>2020</v>
      </c>
      <c r="AN17101" s="55" t="s">
        <v>193</v>
      </c>
      <c r="AO17101" s="55">
        <v>13</v>
      </c>
      <c r="AP17101" s="55">
        <v>11</v>
      </c>
      <c r="AQ17101" s="55">
        <v>1409</v>
      </c>
      <c r="AR17101" s="55">
        <v>28500</v>
      </c>
      <c r="AS17101" s="78">
        <f t="shared" si="271"/>
        <v>4.9438596491228073E-2</v>
      </c>
    </row>
    <row r="17102" spans="39:45">
      <c r="AM17102" s="54">
        <v>2020</v>
      </c>
      <c r="AN17102" s="54" t="s">
        <v>193</v>
      </c>
      <c r="AO17102" s="54">
        <v>13</v>
      </c>
      <c r="AP17102" s="54">
        <v>12</v>
      </c>
      <c r="AQ17102" s="54">
        <v>549</v>
      </c>
      <c r="AR17102" s="55">
        <v>28500</v>
      </c>
      <c r="AS17102" s="78">
        <f t="shared" si="271"/>
        <v>1.9263157894736843E-2</v>
      </c>
    </row>
    <row r="17103" spans="39:45">
      <c r="AM17103" s="55">
        <v>2020</v>
      </c>
      <c r="AN17103" s="55" t="s">
        <v>193</v>
      </c>
      <c r="AO17103" s="55">
        <v>13</v>
      </c>
      <c r="AP17103" s="55">
        <v>13</v>
      </c>
      <c r="AQ17103" s="55">
        <v>455</v>
      </c>
      <c r="AR17103" s="55">
        <v>28500</v>
      </c>
      <c r="AS17103" s="78">
        <f t="shared" si="271"/>
        <v>1.5964912280701755E-2</v>
      </c>
    </row>
    <row r="17104" spans="39:45">
      <c r="AM17104" s="54">
        <v>2020</v>
      </c>
      <c r="AN17104" s="54" t="s">
        <v>193</v>
      </c>
      <c r="AO17104" s="54">
        <v>13</v>
      </c>
      <c r="AP17104" s="54">
        <v>14</v>
      </c>
      <c r="AQ17104" s="54">
        <v>610.5</v>
      </c>
      <c r="AR17104" s="55">
        <v>28500</v>
      </c>
      <c r="AS17104" s="78">
        <f t="shared" si="271"/>
        <v>2.1421052631578948E-2</v>
      </c>
    </row>
    <row r="17105" spans="39:45">
      <c r="AM17105" s="55">
        <v>2020</v>
      </c>
      <c r="AN17105" s="55" t="s">
        <v>193</v>
      </c>
      <c r="AO17105" s="55">
        <v>13</v>
      </c>
      <c r="AP17105" s="55">
        <v>15</v>
      </c>
      <c r="AQ17105" s="55">
        <v>0</v>
      </c>
      <c r="AR17105" s="55">
        <v>28500</v>
      </c>
      <c r="AS17105" s="78">
        <f t="shared" si="271"/>
        <v>0</v>
      </c>
    </row>
    <row r="17106" spans="39:45">
      <c r="AM17106" s="54">
        <v>2020</v>
      </c>
      <c r="AN17106" s="54" t="s">
        <v>193</v>
      </c>
      <c r="AO17106" s="54">
        <v>13</v>
      </c>
      <c r="AP17106" s="54">
        <v>16</v>
      </c>
      <c r="AQ17106" s="54">
        <v>0</v>
      </c>
      <c r="AR17106" s="55">
        <v>28500</v>
      </c>
      <c r="AS17106" s="78">
        <f t="shared" si="271"/>
        <v>0</v>
      </c>
    </row>
    <row r="17107" spans="39:45">
      <c r="AM17107" s="55">
        <v>2020</v>
      </c>
      <c r="AN17107" s="55" t="s">
        <v>193</v>
      </c>
      <c r="AO17107" s="55">
        <v>13</v>
      </c>
      <c r="AP17107" s="55">
        <v>17</v>
      </c>
      <c r="AQ17107" s="55">
        <v>0</v>
      </c>
      <c r="AR17107" s="55">
        <v>28500</v>
      </c>
      <c r="AS17107" s="78">
        <f t="shared" si="271"/>
        <v>0</v>
      </c>
    </row>
    <row r="17108" spans="39:45">
      <c r="AM17108" s="54">
        <v>2020</v>
      </c>
      <c r="AN17108" s="54" t="s">
        <v>193</v>
      </c>
      <c r="AO17108" s="54">
        <v>13</v>
      </c>
      <c r="AP17108" s="54">
        <v>18</v>
      </c>
      <c r="AQ17108" s="54">
        <v>0</v>
      </c>
      <c r="AR17108" s="55">
        <v>28500</v>
      </c>
      <c r="AS17108" s="78">
        <f t="shared" si="271"/>
        <v>0</v>
      </c>
    </row>
    <row r="17109" spans="39:45">
      <c r="AM17109" s="55">
        <v>2020</v>
      </c>
      <c r="AN17109" s="55" t="s">
        <v>193</v>
      </c>
      <c r="AO17109" s="55">
        <v>13</v>
      </c>
      <c r="AP17109" s="55">
        <v>19</v>
      </c>
      <c r="AQ17109" s="55">
        <v>0</v>
      </c>
      <c r="AR17109" s="55">
        <v>28500</v>
      </c>
      <c r="AS17109" s="78">
        <f t="shared" si="271"/>
        <v>0</v>
      </c>
    </row>
    <row r="17110" spans="39:45">
      <c r="AM17110" s="54">
        <v>2020</v>
      </c>
      <c r="AN17110" s="54" t="s">
        <v>193</v>
      </c>
      <c r="AO17110" s="54">
        <v>13</v>
      </c>
      <c r="AP17110" s="54">
        <v>20</v>
      </c>
      <c r="AQ17110" s="54">
        <v>0</v>
      </c>
      <c r="AR17110" s="55">
        <v>28500</v>
      </c>
      <c r="AS17110" s="78">
        <f t="shared" si="271"/>
        <v>0</v>
      </c>
    </row>
    <row r="17111" spans="39:45">
      <c r="AM17111" s="55">
        <v>2020</v>
      </c>
      <c r="AN17111" s="55" t="s">
        <v>193</v>
      </c>
      <c r="AO17111" s="55">
        <v>13</v>
      </c>
      <c r="AP17111" s="55">
        <v>21</v>
      </c>
      <c r="AQ17111" s="55">
        <v>0</v>
      </c>
      <c r="AR17111" s="55">
        <v>28500</v>
      </c>
      <c r="AS17111" s="78">
        <f t="shared" si="271"/>
        <v>0</v>
      </c>
    </row>
    <row r="17112" spans="39:45">
      <c r="AM17112" s="54">
        <v>2020</v>
      </c>
      <c r="AN17112" s="54" t="s">
        <v>193</v>
      </c>
      <c r="AO17112" s="54">
        <v>13</v>
      </c>
      <c r="AP17112" s="54">
        <v>22</v>
      </c>
      <c r="AQ17112" s="54">
        <v>0</v>
      </c>
      <c r="AR17112" s="55">
        <v>28500</v>
      </c>
      <c r="AS17112" s="78">
        <f t="shared" si="271"/>
        <v>0</v>
      </c>
    </row>
    <row r="17113" spans="39:45">
      <c r="AM17113" s="55">
        <v>2020</v>
      </c>
      <c r="AN17113" s="55" t="s">
        <v>193</v>
      </c>
      <c r="AO17113" s="55">
        <v>13</v>
      </c>
      <c r="AP17113" s="55">
        <v>23</v>
      </c>
      <c r="AQ17113" s="55">
        <v>0</v>
      </c>
      <c r="AR17113" s="55">
        <v>28500</v>
      </c>
      <c r="AS17113" s="78">
        <f t="shared" si="271"/>
        <v>0</v>
      </c>
    </row>
    <row r="17114" spans="39:45">
      <c r="AM17114" s="54">
        <v>2020</v>
      </c>
      <c r="AN17114" s="54" t="s">
        <v>193</v>
      </c>
      <c r="AO17114" s="54">
        <v>14</v>
      </c>
      <c r="AP17114" s="54">
        <v>24</v>
      </c>
      <c r="AQ17114" s="54">
        <v>0</v>
      </c>
      <c r="AR17114" s="55">
        <v>28500</v>
      </c>
      <c r="AS17114" s="78">
        <f t="shared" si="271"/>
        <v>0</v>
      </c>
    </row>
    <row r="17115" spans="39:45">
      <c r="AM17115" s="55">
        <v>2020</v>
      </c>
      <c r="AN17115" s="55" t="s">
        <v>193</v>
      </c>
      <c r="AO17115" s="55">
        <v>14</v>
      </c>
      <c r="AP17115" s="55">
        <v>1</v>
      </c>
      <c r="AQ17115" s="55">
        <v>0</v>
      </c>
      <c r="AR17115" s="55">
        <v>28500</v>
      </c>
      <c r="AS17115" s="78">
        <f t="shared" si="271"/>
        <v>0</v>
      </c>
    </row>
    <row r="17116" spans="39:45">
      <c r="AM17116" s="54">
        <v>2020</v>
      </c>
      <c r="AN17116" s="54" t="s">
        <v>193</v>
      </c>
      <c r="AO17116" s="54">
        <v>14</v>
      </c>
      <c r="AP17116" s="54">
        <v>2</v>
      </c>
      <c r="AQ17116" s="54">
        <v>0</v>
      </c>
      <c r="AR17116" s="55">
        <v>28500</v>
      </c>
      <c r="AS17116" s="78">
        <f t="shared" si="271"/>
        <v>0</v>
      </c>
    </row>
    <row r="17117" spans="39:45">
      <c r="AM17117" s="55">
        <v>2020</v>
      </c>
      <c r="AN17117" s="55" t="s">
        <v>193</v>
      </c>
      <c r="AO17117" s="55">
        <v>14</v>
      </c>
      <c r="AP17117" s="55">
        <v>3</v>
      </c>
      <c r="AQ17117" s="55">
        <v>0</v>
      </c>
      <c r="AR17117" s="55">
        <v>28500</v>
      </c>
      <c r="AS17117" s="78">
        <f t="shared" si="271"/>
        <v>0</v>
      </c>
    </row>
    <row r="17118" spans="39:45">
      <c r="AM17118" s="54">
        <v>2020</v>
      </c>
      <c r="AN17118" s="54" t="s">
        <v>193</v>
      </c>
      <c r="AO17118" s="54">
        <v>14</v>
      </c>
      <c r="AP17118" s="54">
        <v>4</v>
      </c>
      <c r="AQ17118" s="54">
        <v>0</v>
      </c>
      <c r="AR17118" s="55">
        <v>28500</v>
      </c>
      <c r="AS17118" s="78">
        <f t="shared" si="271"/>
        <v>0</v>
      </c>
    </row>
    <row r="17119" spans="39:45">
      <c r="AM17119" s="55">
        <v>2020</v>
      </c>
      <c r="AN17119" s="55" t="s">
        <v>193</v>
      </c>
      <c r="AO17119" s="55">
        <v>14</v>
      </c>
      <c r="AP17119" s="55">
        <v>5</v>
      </c>
      <c r="AQ17119" s="55">
        <v>0</v>
      </c>
      <c r="AR17119" s="55">
        <v>28500</v>
      </c>
      <c r="AS17119" s="78">
        <f t="shared" si="271"/>
        <v>0</v>
      </c>
    </row>
    <row r="17120" spans="39:45">
      <c r="AM17120" s="54">
        <v>2020</v>
      </c>
      <c r="AN17120" s="54" t="s">
        <v>193</v>
      </c>
      <c r="AO17120" s="54">
        <v>14</v>
      </c>
      <c r="AP17120" s="54">
        <v>6</v>
      </c>
      <c r="AQ17120" s="54">
        <v>0</v>
      </c>
      <c r="AR17120" s="55">
        <v>28500</v>
      </c>
      <c r="AS17120" s="78">
        <f t="shared" si="271"/>
        <v>0</v>
      </c>
    </row>
    <row r="17121" spans="39:45">
      <c r="AM17121" s="55">
        <v>2020</v>
      </c>
      <c r="AN17121" s="55" t="s">
        <v>193</v>
      </c>
      <c r="AO17121" s="55">
        <v>14</v>
      </c>
      <c r="AP17121" s="55">
        <v>7</v>
      </c>
      <c r="AQ17121" s="55">
        <v>0</v>
      </c>
      <c r="AR17121" s="55">
        <v>28500</v>
      </c>
      <c r="AS17121" s="78">
        <f t="shared" si="271"/>
        <v>0</v>
      </c>
    </row>
    <row r="17122" spans="39:45">
      <c r="AM17122" s="54">
        <v>2020</v>
      </c>
      <c r="AN17122" s="54" t="s">
        <v>193</v>
      </c>
      <c r="AO17122" s="54">
        <v>14</v>
      </c>
      <c r="AP17122" s="54">
        <v>8</v>
      </c>
      <c r="AQ17122" s="54">
        <v>0</v>
      </c>
      <c r="AR17122" s="55">
        <v>28500</v>
      </c>
      <c r="AS17122" s="78">
        <f t="shared" si="271"/>
        <v>0</v>
      </c>
    </row>
    <row r="17123" spans="39:45">
      <c r="AM17123" s="55">
        <v>2020</v>
      </c>
      <c r="AN17123" s="55" t="s">
        <v>193</v>
      </c>
      <c r="AO17123" s="55">
        <v>14</v>
      </c>
      <c r="AP17123" s="55">
        <v>9</v>
      </c>
      <c r="AQ17123" s="55">
        <v>10752</v>
      </c>
      <c r="AR17123" s="55">
        <v>28500</v>
      </c>
      <c r="AS17123" s="78">
        <f t="shared" si="271"/>
        <v>0.37726315789473686</v>
      </c>
    </row>
    <row r="17124" spans="39:45">
      <c r="AM17124" s="54">
        <v>2020</v>
      </c>
      <c r="AN17124" s="54" t="s">
        <v>193</v>
      </c>
      <c r="AO17124" s="54">
        <v>14</v>
      </c>
      <c r="AP17124" s="54">
        <v>10</v>
      </c>
      <c r="AQ17124" s="54">
        <v>14211.5</v>
      </c>
      <c r="AR17124" s="55">
        <v>28500</v>
      </c>
      <c r="AS17124" s="78">
        <f t="shared" si="271"/>
        <v>0.49864912280701756</v>
      </c>
    </row>
    <row r="17125" spans="39:45">
      <c r="AM17125" s="55">
        <v>2020</v>
      </c>
      <c r="AN17125" s="55" t="s">
        <v>193</v>
      </c>
      <c r="AO17125" s="55">
        <v>14</v>
      </c>
      <c r="AP17125" s="55">
        <v>11</v>
      </c>
      <c r="AQ17125" s="55">
        <v>2040.5</v>
      </c>
      <c r="AR17125" s="55">
        <v>28500</v>
      </c>
      <c r="AS17125" s="78">
        <f t="shared" si="271"/>
        <v>7.1596491228070172E-2</v>
      </c>
    </row>
    <row r="17126" spans="39:45">
      <c r="AM17126" s="54">
        <v>2020</v>
      </c>
      <c r="AN17126" s="54" t="s">
        <v>193</v>
      </c>
      <c r="AO17126" s="54">
        <v>14</v>
      </c>
      <c r="AP17126" s="54">
        <v>12</v>
      </c>
      <c r="AQ17126" s="54">
        <v>19807.5</v>
      </c>
      <c r="AR17126" s="55">
        <v>28500</v>
      </c>
      <c r="AS17126" s="78">
        <f t="shared" si="271"/>
        <v>0.69499999999999995</v>
      </c>
    </row>
    <row r="17127" spans="39:45">
      <c r="AM17127" s="55">
        <v>2020</v>
      </c>
      <c r="AN17127" s="55" t="s">
        <v>193</v>
      </c>
      <c r="AO17127" s="55">
        <v>14</v>
      </c>
      <c r="AP17127" s="55">
        <v>13</v>
      </c>
      <c r="AQ17127" s="55">
        <v>8004</v>
      </c>
      <c r="AR17127" s="55">
        <v>28500</v>
      </c>
      <c r="AS17127" s="78">
        <f t="shared" si="271"/>
        <v>0.28084210526315789</v>
      </c>
    </row>
    <row r="17128" spans="39:45">
      <c r="AM17128" s="54">
        <v>2020</v>
      </c>
      <c r="AN17128" s="54" t="s">
        <v>193</v>
      </c>
      <c r="AO17128" s="54">
        <v>14</v>
      </c>
      <c r="AP17128" s="54">
        <v>14</v>
      </c>
      <c r="AQ17128" s="54">
        <v>2827</v>
      </c>
      <c r="AR17128" s="55">
        <v>28500</v>
      </c>
      <c r="AS17128" s="78">
        <f t="shared" si="271"/>
        <v>9.9192982456140347E-2</v>
      </c>
    </row>
    <row r="17129" spans="39:45">
      <c r="AM17129" s="55">
        <v>2020</v>
      </c>
      <c r="AN17129" s="55" t="s">
        <v>193</v>
      </c>
      <c r="AO17129" s="55">
        <v>14</v>
      </c>
      <c r="AP17129" s="55">
        <v>15</v>
      </c>
      <c r="AQ17129" s="55">
        <v>616.5</v>
      </c>
      <c r="AR17129" s="55">
        <v>28500</v>
      </c>
      <c r="AS17129" s="78">
        <f t="shared" si="271"/>
        <v>2.1631578947368422E-2</v>
      </c>
    </row>
    <row r="17130" spans="39:45">
      <c r="AM17130" s="54">
        <v>2020</v>
      </c>
      <c r="AN17130" s="54" t="s">
        <v>193</v>
      </c>
      <c r="AO17130" s="54">
        <v>14</v>
      </c>
      <c r="AP17130" s="54">
        <v>16</v>
      </c>
      <c r="AQ17130" s="54">
        <v>0</v>
      </c>
      <c r="AR17130" s="55">
        <v>28500</v>
      </c>
      <c r="AS17130" s="78">
        <f t="shared" si="271"/>
        <v>0</v>
      </c>
    </row>
    <row r="17131" spans="39:45">
      <c r="AM17131" s="55">
        <v>2020</v>
      </c>
      <c r="AN17131" s="55" t="s">
        <v>193</v>
      </c>
      <c r="AO17131" s="55">
        <v>14</v>
      </c>
      <c r="AP17131" s="55">
        <v>17</v>
      </c>
      <c r="AQ17131" s="55">
        <v>0</v>
      </c>
      <c r="AR17131" s="55">
        <v>28500</v>
      </c>
      <c r="AS17131" s="78">
        <f t="shared" si="271"/>
        <v>0</v>
      </c>
    </row>
    <row r="17132" spans="39:45">
      <c r="AM17132" s="54">
        <v>2020</v>
      </c>
      <c r="AN17132" s="54" t="s">
        <v>193</v>
      </c>
      <c r="AO17132" s="54">
        <v>14</v>
      </c>
      <c r="AP17132" s="54">
        <v>18</v>
      </c>
      <c r="AQ17132" s="54">
        <v>0</v>
      </c>
      <c r="AR17132" s="55">
        <v>28500</v>
      </c>
      <c r="AS17132" s="78">
        <f t="shared" si="271"/>
        <v>0</v>
      </c>
    </row>
    <row r="17133" spans="39:45">
      <c r="AM17133" s="55">
        <v>2020</v>
      </c>
      <c r="AN17133" s="55" t="s">
        <v>193</v>
      </c>
      <c r="AO17133" s="55">
        <v>14</v>
      </c>
      <c r="AP17133" s="55">
        <v>19</v>
      </c>
      <c r="AQ17133" s="55">
        <v>0</v>
      </c>
      <c r="AR17133" s="55">
        <v>28500</v>
      </c>
      <c r="AS17133" s="78">
        <f t="shared" si="271"/>
        <v>0</v>
      </c>
    </row>
    <row r="17134" spans="39:45">
      <c r="AM17134" s="54">
        <v>2020</v>
      </c>
      <c r="AN17134" s="54" t="s">
        <v>193</v>
      </c>
      <c r="AO17134" s="54">
        <v>14</v>
      </c>
      <c r="AP17134" s="54">
        <v>20</v>
      </c>
      <c r="AQ17134" s="54">
        <v>0</v>
      </c>
      <c r="AR17134" s="55">
        <v>28500</v>
      </c>
      <c r="AS17134" s="78">
        <f t="shared" si="271"/>
        <v>0</v>
      </c>
    </row>
    <row r="17135" spans="39:45">
      <c r="AM17135" s="55">
        <v>2020</v>
      </c>
      <c r="AN17135" s="55" t="s">
        <v>193</v>
      </c>
      <c r="AO17135" s="55">
        <v>14</v>
      </c>
      <c r="AP17135" s="55">
        <v>21</v>
      </c>
      <c r="AQ17135" s="55">
        <v>0</v>
      </c>
      <c r="AR17135" s="55">
        <v>28500</v>
      </c>
      <c r="AS17135" s="78">
        <f t="shared" si="271"/>
        <v>0</v>
      </c>
    </row>
    <row r="17136" spans="39:45">
      <c r="AM17136" s="54">
        <v>2020</v>
      </c>
      <c r="AN17136" s="54" t="s">
        <v>193</v>
      </c>
      <c r="AO17136" s="54">
        <v>14</v>
      </c>
      <c r="AP17136" s="54">
        <v>22</v>
      </c>
      <c r="AQ17136" s="54">
        <v>0</v>
      </c>
      <c r="AR17136" s="55">
        <v>28500</v>
      </c>
      <c r="AS17136" s="78">
        <f t="shared" si="271"/>
        <v>0</v>
      </c>
    </row>
    <row r="17137" spans="39:45">
      <c r="AM17137" s="55">
        <v>2020</v>
      </c>
      <c r="AN17137" s="55" t="s">
        <v>193</v>
      </c>
      <c r="AO17137" s="55">
        <v>14</v>
      </c>
      <c r="AP17137" s="55">
        <v>23</v>
      </c>
      <c r="AQ17137" s="55">
        <v>0</v>
      </c>
      <c r="AR17137" s="55">
        <v>28500</v>
      </c>
      <c r="AS17137" s="78">
        <f t="shared" si="271"/>
        <v>0</v>
      </c>
    </row>
    <row r="17138" spans="39:45">
      <c r="AM17138" s="54">
        <v>2020</v>
      </c>
      <c r="AN17138" s="54" t="s">
        <v>193</v>
      </c>
      <c r="AO17138" s="54">
        <v>15</v>
      </c>
      <c r="AP17138" s="54">
        <v>24</v>
      </c>
      <c r="AQ17138" s="54">
        <v>0</v>
      </c>
      <c r="AR17138" s="55">
        <v>28500</v>
      </c>
      <c r="AS17138" s="78">
        <f t="shared" si="271"/>
        <v>0</v>
      </c>
    </row>
    <row r="17139" spans="39:45">
      <c r="AM17139" s="55">
        <v>2020</v>
      </c>
      <c r="AN17139" s="55" t="s">
        <v>193</v>
      </c>
      <c r="AO17139" s="55">
        <v>15</v>
      </c>
      <c r="AP17139" s="55">
        <v>1</v>
      </c>
      <c r="AQ17139" s="55">
        <v>0</v>
      </c>
      <c r="AR17139" s="55">
        <v>28500</v>
      </c>
      <c r="AS17139" s="78">
        <f t="shared" si="271"/>
        <v>0</v>
      </c>
    </row>
    <row r="17140" spans="39:45">
      <c r="AM17140" s="54">
        <v>2020</v>
      </c>
      <c r="AN17140" s="54" t="s">
        <v>193</v>
      </c>
      <c r="AO17140" s="54">
        <v>15</v>
      </c>
      <c r="AP17140" s="54">
        <v>2</v>
      </c>
      <c r="AQ17140" s="54">
        <v>0</v>
      </c>
      <c r="AR17140" s="55">
        <v>28500</v>
      </c>
      <c r="AS17140" s="78">
        <f t="shared" si="271"/>
        <v>0</v>
      </c>
    </row>
    <row r="17141" spans="39:45">
      <c r="AM17141" s="55">
        <v>2020</v>
      </c>
      <c r="AN17141" s="55" t="s">
        <v>193</v>
      </c>
      <c r="AO17141" s="55">
        <v>15</v>
      </c>
      <c r="AP17141" s="55">
        <v>3</v>
      </c>
      <c r="AQ17141" s="55">
        <v>0</v>
      </c>
      <c r="AR17141" s="55">
        <v>28500</v>
      </c>
      <c r="AS17141" s="78">
        <f t="shared" si="271"/>
        <v>0</v>
      </c>
    </row>
    <row r="17142" spans="39:45">
      <c r="AM17142" s="54">
        <v>2020</v>
      </c>
      <c r="AN17142" s="54" t="s">
        <v>193</v>
      </c>
      <c r="AO17142" s="54">
        <v>15</v>
      </c>
      <c r="AP17142" s="54">
        <v>4</v>
      </c>
      <c r="AQ17142" s="54">
        <v>0</v>
      </c>
      <c r="AR17142" s="55">
        <v>28500</v>
      </c>
      <c r="AS17142" s="78">
        <f t="shared" si="271"/>
        <v>0</v>
      </c>
    </row>
    <row r="17143" spans="39:45">
      <c r="AM17143" s="55">
        <v>2020</v>
      </c>
      <c r="AN17143" s="55" t="s">
        <v>193</v>
      </c>
      <c r="AO17143" s="55">
        <v>15</v>
      </c>
      <c r="AP17143" s="55">
        <v>5</v>
      </c>
      <c r="AQ17143" s="55">
        <v>0</v>
      </c>
      <c r="AR17143" s="55">
        <v>28500</v>
      </c>
      <c r="AS17143" s="78">
        <f t="shared" si="271"/>
        <v>0</v>
      </c>
    </row>
    <row r="17144" spans="39:45">
      <c r="AM17144" s="54">
        <v>2020</v>
      </c>
      <c r="AN17144" s="54" t="s">
        <v>193</v>
      </c>
      <c r="AO17144" s="54">
        <v>15</v>
      </c>
      <c r="AP17144" s="54">
        <v>6</v>
      </c>
      <c r="AQ17144" s="54">
        <v>0</v>
      </c>
      <c r="AR17144" s="55">
        <v>28500</v>
      </c>
      <c r="AS17144" s="78">
        <f t="shared" si="271"/>
        <v>0</v>
      </c>
    </row>
    <row r="17145" spans="39:45">
      <c r="AM17145" s="55">
        <v>2020</v>
      </c>
      <c r="AN17145" s="55" t="s">
        <v>193</v>
      </c>
      <c r="AO17145" s="55">
        <v>15</v>
      </c>
      <c r="AP17145" s="55">
        <v>7</v>
      </c>
      <c r="AQ17145" s="55">
        <v>0</v>
      </c>
      <c r="AR17145" s="55">
        <v>28500</v>
      </c>
      <c r="AS17145" s="78">
        <f t="shared" si="271"/>
        <v>0</v>
      </c>
    </row>
    <row r="17146" spans="39:45">
      <c r="AM17146" s="54">
        <v>2020</v>
      </c>
      <c r="AN17146" s="54" t="s">
        <v>193</v>
      </c>
      <c r="AO17146" s="54">
        <v>15</v>
      </c>
      <c r="AP17146" s="54">
        <v>8</v>
      </c>
      <c r="AQ17146" s="54">
        <v>0</v>
      </c>
      <c r="AR17146" s="55">
        <v>28500</v>
      </c>
      <c r="AS17146" s="78">
        <f t="shared" si="271"/>
        <v>0</v>
      </c>
    </row>
    <row r="17147" spans="39:45">
      <c r="AM17147" s="55">
        <v>2020</v>
      </c>
      <c r="AN17147" s="55" t="s">
        <v>193</v>
      </c>
      <c r="AO17147" s="55">
        <v>15</v>
      </c>
      <c r="AP17147" s="55">
        <v>9</v>
      </c>
      <c r="AQ17147" s="55">
        <v>8466</v>
      </c>
      <c r="AR17147" s="55">
        <v>28500</v>
      </c>
      <c r="AS17147" s="78">
        <f t="shared" si="271"/>
        <v>0.29705263157894735</v>
      </c>
    </row>
    <row r="17148" spans="39:45">
      <c r="AM17148" s="54">
        <v>2020</v>
      </c>
      <c r="AN17148" s="54" t="s">
        <v>193</v>
      </c>
      <c r="AO17148" s="54">
        <v>15</v>
      </c>
      <c r="AP17148" s="54">
        <v>10</v>
      </c>
      <c r="AQ17148" s="54">
        <v>21292.5</v>
      </c>
      <c r="AR17148" s="55">
        <v>28500</v>
      </c>
      <c r="AS17148" s="78">
        <f t="shared" si="271"/>
        <v>0.74710526315789472</v>
      </c>
    </row>
    <row r="17149" spans="39:45">
      <c r="AM17149" s="55">
        <v>2020</v>
      </c>
      <c r="AN17149" s="55" t="s">
        <v>193</v>
      </c>
      <c r="AO17149" s="55">
        <v>15</v>
      </c>
      <c r="AP17149" s="55">
        <v>11</v>
      </c>
      <c r="AQ17149" s="55">
        <v>28353.5</v>
      </c>
      <c r="AR17149" s="55">
        <v>28500</v>
      </c>
      <c r="AS17149" s="78">
        <f t="shared" si="271"/>
        <v>0.994859649122807</v>
      </c>
    </row>
    <row r="17150" spans="39:45">
      <c r="AM17150" s="54">
        <v>2020</v>
      </c>
      <c r="AN17150" s="54" t="s">
        <v>193</v>
      </c>
      <c r="AO17150" s="54">
        <v>15</v>
      </c>
      <c r="AP17150" s="54">
        <v>12</v>
      </c>
      <c r="AQ17150" s="54">
        <v>3827</v>
      </c>
      <c r="AR17150" s="55">
        <v>28500</v>
      </c>
      <c r="AS17150" s="78">
        <f t="shared" si="271"/>
        <v>0.13428070175438597</v>
      </c>
    </row>
    <row r="17151" spans="39:45">
      <c r="AM17151" s="55">
        <v>2020</v>
      </c>
      <c r="AN17151" s="55" t="s">
        <v>193</v>
      </c>
      <c r="AO17151" s="55">
        <v>15</v>
      </c>
      <c r="AP17151" s="55">
        <v>13</v>
      </c>
      <c r="AQ17151" s="55">
        <v>274</v>
      </c>
      <c r="AR17151" s="55">
        <v>28500</v>
      </c>
      <c r="AS17151" s="78">
        <f t="shared" si="271"/>
        <v>9.6140350877192988E-3</v>
      </c>
    </row>
    <row r="17152" spans="39:45">
      <c r="AM17152" s="54">
        <v>2020</v>
      </c>
      <c r="AN17152" s="54" t="s">
        <v>193</v>
      </c>
      <c r="AO17152" s="54">
        <v>15</v>
      </c>
      <c r="AP17152" s="54">
        <v>14</v>
      </c>
      <c r="AQ17152" s="54">
        <v>18175.5</v>
      </c>
      <c r="AR17152" s="55">
        <v>28500</v>
      </c>
      <c r="AS17152" s="78">
        <f t="shared" si="271"/>
        <v>0.63773684210526316</v>
      </c>
    </row>
    <row r="17153" spans="39:45">
      <c r="AM17153" s="55">
        <v>2020</v>
      </c>
      <c r="AN17153" s="55" t="s">
        <v>193</v>
      </c>
      <c r="AO17153" s="55">
        <v>15</v>
      </c>
      <c r="AP17153" s="55">
        <v>15</v>
      </c>
      <c r="AQ17153" s="55">
        <v>2076</v>
      </c>
      <c r="AR17153" s="55">
        <v>28500</v>
      </c>
      <c r="AS17153" s="78">
        <f t="shared" si="271"/>
        <v>7.2842105263157889E-2</v>
      </c>
    </row>
    <row r="17154" spans="39:45">
      <c r="AM17154" s="54">
        <v>2020</v>
      </c>
      <c r="AN17154" s="54" t="s">
        <v>193</v>
      </c>
      <c r="AO17154" s="54">
        <v>15</v>
      </c>
      <c r="AP17154" s="54">
        <v>16</v>
      </c>
      <c r="AQ17154" s="54">
        <v>0</v>
      </c>
      <c r="AR17154" s="55">
        <v>28500</v>
      </c>
      <c r="AS17154" s="78">
        <f t="shared" ref="AS17154:AS17217" si="272">AQ17154/AR17154</f>
        <v>0</v>
      </c>
    </row>
    <row r="17155" spans="39:45">
      <c r="AM17155" s="55">
        <v>2020</v>
      </c>
      <c r="AN17155" s="55" t="s">
        <v>193</v>
      </c>
      <c r="AO17155" s="55">
        <v>15</v>
      </c>
      <c r="AP17155" s="55">
        <v>17</v>
      </c>
      <c r="AQ17155" s="55">
        <v>0</v>
      </c>
      <c r="AR17155" s="55">
        <v>28500</v>
      </c>
      <c r="AS17155" s="78">
        <f t="shared" si="272"/>
        <v>0</v>
      </c>
    </row>
    <row r="17156" spans="39:45">
      <c r="AM17156" s="54">
        <v>2020</v>
      </c>
      <c r="AN17156" s="54" t="s">
        <v>193</v>
      </c>
      <c r="AO17156" s="54">
        <v>15</v>
      </c>
      <c r="AP17156" s="54">
        <v>18</v>
      </c>
      <c r="AQ17156" s="54">
        <v>0</v>
      </c>
      <c r="AR17156" s="55">
        <v>28500</v>
      </c>
      <c r="AS17156" s="78">
        <f t="shared" si="272"/>
        <v>0</v>
      </c>
    </row>
    <row r="17157" spans="39:45">
      <c r="AM17157" s="55">
        <v>2020</v>
      </c>
      <c r="AN17157" s="55" t="s">
        <v>193</v>
      </c>
      <c r="AO17157" s="55">
        <v>15</v>
      </c>
      <c r="AP17157" s="55">
        <v>19</v>
      </c>
      <c r="AQ17157" s="55">
        <v>0</v>
      </c>
      <c r="AR17157" s="55">
        <v>28500</v>
      </c>
      <c r="AS17157" s="78">
        <f t="shared" si="272"/>
        <v>0</v>
      </c>
    </row>
    <row r="17158" spans="39:45">
      <c r="AM17158" s="54">
        <v>2020</v>
      </c>
      <c r="AN17158" s="54" t="s">
        <v>193</v>
      </c>
      <c r="AO17158" s="54">
        <v>15</v>
      </c>
      <c r="AP17158" s="54">
        <v>20</v>
      </c>
      <c r="AQ17158" s="54">
        <v>0</v>
      </c>
      <c r="AR17158" s="55">
        <v>28500</v>
      </c>
      <c r="AS17158" s="78">
        <f t="shared" si="272"/>
        <v>0</v>
      </c>
    </row>
    <row r="17159" spans="39:45">
      <c r="AM17159" s="55">
        <v>2020</v>
      </c>
      <c r="AN17159" s="55" t="s">
        <v>193</v>
      </c>
      <c r="AO17159" s="55">
        <v>15</v>
      </c>
      <c r="AP17159" s="55">
        <v>21</v>
      </c>
      <c r="AQ17159" s="55">
        <v>0</v>
      </c>
      <c r="AR17159" s="55">
        <v>28500</v>
      </c>
      <c r="AS17159" s="78">
        <f t="shared" si="272"/>
        <v>0</v>
      </c>
    </row>
    <row r="17160" spans="39:45">
      <c r="AM17160" s="54">
        <v>2020</v>
      </c>
      <c r="AN17160" s="54" t="s">
        <v>193</v>
      </c>
      <c r="AO17160" s="54">
        <v>15</v>
      </c>
      <c r="AP17160" s="54">
        <v>22</v>
      </c>
      <c r="AQ17160" s="54">
        <v>0</v>
      </c>
      <c r="AR17160" s="55">
        <v>28500</v>
      </c>
      <c r="AS17160" s="78">
        <f t="shared" si="272"/>
        <v>0</v>
      </c>
    </row>
    <row r="17161" spans="39:45">
      <c r="AM17161" s="55">
        <v>2020</v>
      </c>
      <c r="AN17161" s="55" t="s">
        <v>193</v>
      </c>
      <c r="AO17161" s="55">
        <v>15</v>
      </c>
      <c r="AP17161" s="55">
        <v>23</v>
      </c>
      <c r="AQ17161" s="55">
        <v>0</v>
      </c>
      <c r="AR17161" s="55">
        <v>28500</v>
      </c>
      <c r="AS17161" s="78">
        <f t="shared" si="272"/>
        <v>0</v>
      </c>
    </row>
    <row r="17162" spans="39:45">
      <c r="AM17162" s="54">
        <v>2020</v>
      </c>
      <c r="AN17162" s="54" t="s">
        <v>193</v>
      </c>
      <c r="AO17162" s="54">
        <v>16</v>
      </c>
      <c r="AP17162" s="54">
        <v>24</v>
      </c>
      <c r="AQ17162" s="54">
        <v>0</v>
      </c>
      <c r="AR17162" s="55">
        <v>28500</v>
      </c>
      <c r="AS17162" s="78">
        <f t="shared" si="272"/>
        <v>0</v>
      </c>
    </row>
    <row r="17163" spans="39:45">
      <c r="AM17163" s="55">
        <v>2020</v>
      </c>
      <c r="AN17163" s="55" t="s">
        <v>193</v>
      </c>
      <c r="AO17163" s="55">
        <v>16</v>
      </c>
      <c r="AP17163" s="55">
        <v>1</v>
      </c>
      <c r="AQ17163" s="55">
        <v>0</v>
      </c>
      <c r="AR17163" s="55">
        <v>28500</v>
      </c>
      <c r="AS17163" s="78">
        <f t="shared" si="272"/>
        <v>0</v>
      </c>
    </row>
    <row r="17164" spans="39:45">
      <c r="AM17164" s="54">
        <v>2020</v>
      </c>
      <c r="AN17164" s="54" t="s">
        <v>193</v>
      </c>
      <c r="AO17164" s="54">
        <v>16</v>
      </c>
      <c r="AP17164" s="54">
        <v>2</v>
      </c>
      <c r="AQ17164" s="54">
        <v>0</v>
      </c>
      <c r="AR17164" s="55">
        <v>28500</v>
      </c>
      <c r="AS17164" s="78">
        <f t="shared" si="272"/>
        <v>0</v>
      </c>
    </row>
    <row r="17165" spans="39:45">
      <c r="AM17165" s="55">
        <v>2020</v>
      </c>
      <c r="AN17165" s="55" t="s">
        <v>193</v>
      </c>
      <c r="AO17165" s="55">
        <v>16</v>
      </c>
      <c r="AP17165" s="55">
        <v>3</v>
      </c>
      <c r="AQ17165" s="55">
        <v>0</v>
      </c>
      <c r="AR17165" s="55">
        <v>28500</v>
      </c>
      <c r="AS17165" s="78">
        <f t="shared" si="272"/>
        <v>0</v>
      </c>
    </row>
    <row r="17166" spans="39:45">
      <c r="AM17166" s="54">
        <v>2020</v>
      </c>
      <c r="AN17166" s="54" t="s">
        <v>193</v>
      </c>
      <c r="AO17166" s="54">
        <v>16</v>
      </c>
      <c r="AP17166" s="54">
        <v>4</v>
      </c>
      <c r="AQ17166" s="54">
        <v>0</v>
      </c>
      <c r="AR17166" s="55">
        <v>28500</v>
      </c>
      <c r="AS17166" s="78">
        <f t="shared" si="272"/>
        <v>0</v>
      </c>
    </row>
    <row r="17167" spans="39:45">
      <c r="AM17167" s="55">
        <v>2020</v>
      </c>
      <c r="AN17167" s="55" t="s">
        <v>193</v>
      </c>
      <c r="AO17167" s="55">
        <v>16</v>
      </c>
      <c r="AP17167" s="55">
        <v>5</v>
      </c>
      <c r="AQ17167" s="55">
        <v>0</v>
      </c>
      <c r="AR17167" s="55">
        <v>28500</v>
      </c>
      <c r="AS17167" s="78">
        <f t="shared" si="272"/>
        <v>0</v>
      </c>
    </row>
    <row r="17168" spans="39:45">
      <c r="AM17168" s="54">
        <v>2020</v>
      </c>
      <c r="AN17168" s="54" t="s">
        <v>193</v>
      </c>
      <c r="AO17168" s="54">
        <v>16</v>
      </c>
      <c r="AP17168" s="54">
        <v>6</v>
      </c>
      <c r="AQ17168" s="54">
        <v>0</v>
      </c>
      <c r="AR17168" s="55">
        <v>28500</v>
      </c>
      <c r="AS17168" s="78">
        <f t="shared" si="272"/>
        <v>0</v>
      </c>
    </row>
    <row r="17169" spans="39:45">
      <c r="AM17169" s="55">
        <v>2020</v>
      </c>
      <c r="AN17169" s="55" t="s">
        <v>193</v>
      </c>
      <c r="AO17169" s="55">
        <v>16</v>
      </c>
      <c r="AP17169" s="55">
        <v>7</v>
      </c>
      <c r="AQ17169" s="55">
        <v>0</v>
      </c>
      <c r="AR17169" s="55">
        <v>28500</v>
      </c>
      <c r="AS17169" s="78">
        <f t="shared" si="272"/>
        <v>0</v>
      </c>
    </row>
    <row r="17170" spans="39:45">
      <c r="AM17170" s="54">
        <v>2020</v>
      </c>
      <c r="AN17170" s="54" t="s">
        <v>193</v>
      </c>
      <c r="AO17170" s="54">
        <v>16</v>
      </c>
      <c r="AP17170" s="54">
        <v>8</v>
      </c>
      <c r="AQ17170" s="54">
        <v>0</v>
      </c>
      <c r="AR17170" s="55">
        <v>28500</v>
      </c>
      <c r="AS17170" s="78">
        <f t="shared" si="272"/>
        <v>0</v>
      </c>
    </row>
    <row r="17171" spans="39:45">
      <c r="AM17171" s="55">
        <v>2020</v>
      </c>
      <c r="AN17171" s="55" t="s">
        <v>193</v>
      </c>
      <c r="AO17171" s="55">
        <v>16</v>
      </c>
      <c r="AP17171" s="55">
        <v>9</v>
      </c>
      <c r="AQ17171" s="55">
        <v>13438.5</v>
      </c>
      <c r="AR17171" s="55">
        <v>28500</v>
      </c>
      <c r="AS17171" s="78">
        <f t="shared" si="272"/>
        <v>0.47152631578947368</v>
      </c>
    </row>
    <row r="17172" spans="39:45">
      <c r="AM17172" s="54">
        <v>2020</v>
      </c>
      <c r="AN17172" s="54" t="s">
        <v>193</v>
      </c>
      <c r="AO17172" s="54">
        <v>16</v>
      </c>
      <c r="AP17172" s="54">
        <v>10</v>
      </c>
      <c r="AQ17172" s="54">
        <v>17811</v>
      </c>
      <c r="AR17172" s="55">
        <v>28500</v>
      </c>
      <c r="AS17172" s="78">
        <f t="shared" si="272"/>
        <v>0.62494736842105258</v>
      </c>
    </row>
    <row r="17173" spans="39:45">
      <c r="AM17173" s="55">
        <v>2020</v>
      </c>
      <c r="AN17173" s="55" t="s">
        <v>193</v>
      </c>
      <c r="AO17173" s="55">
        <v>16</v>
      </c>
      <c r="AP17173" s="55">
        <v>11</v>
      </c>
      <c r="AQ17173" s="55">
        <v>25908</v>
      </c>
      <c r="AR17173" s="55">
        <v>28500</v>
      </c>
      <c r="AS17173" s="78">
        <f t="shared" si="272"/>
        <v>0.90905263157894733</v>
      </c>
    </row>
    <row r="17174" spans="39:45">
      <c r="AM17174" s="54">
        <v>2020</v>
      </c>
      <c r="AN17174" s="54" t="s">
        <v>193</v>
      </c>
      <c r="AO17174" s="54">
        <v>16</v>
      </c>
      <c r="AP17174" s="54">
        <v>12</v>
      </c>
      <c r="AQ17174" s="54">
        <v>6123</v>
      </c>
      <c r="AR17174" s="55">
        <v>28500</v>
      </c>
      <c r="AS17174" s="78">
        <f t="shared" si="272"/>
        <v>0.21484210526315789</v>
      </c>
    </row>
    <row r="17175" spans="39:45">
      <c r="AM17175" s="55">
        <v>2020</v>
      </c>
      <c r="AN17175" s="55" t="s">
        <v>193</v>
      </c>
      <c r="AO17175" s="55">
        <v>16</v>
      </c>
      <c r="AP17175" s="55">
        <v>13</v>
      </c>
      <c r="AQ17175" s="55">
        <v>2259.5</v>
      </c>
      <c r="AR17175" s="55">
        <v>28500</v>
      </c>
      <c r="AS17175" s="78">
        <f t="shared" si="272"/>
        <v>7.9280701754385965E-2</v>
      </c>
    </row>
    <row r="17176" spans="39:45">
      <c r="AM17176" s="54">
        <v>2020</v>
      </c>
      <c r="AN17176" s="54" t="s">
        <v>193</v>
      </c>
      <c r="AO17176" s="54">
        <v>16</v>
      </c>
      <c r="AP17176" s="54">
        <v>14</v>
      </c>
      <c r="AQ17176" s="54">
        <v>3591</v>
      </c>
      <c r="AR17176" s="55">
        <v>28500</v>
      </c>
      <c r="AS17176" s="78">
        <f t="shared" si="272"/>
        <v>0.126</v>
      </c>
    </row>
    <row r="17177" spans="39:45">
      <c r="AM17177" s="55">
        <v>2020</v>
      </c>
      <c r="AN17177" s="55" t="s">
        <v>193</v>
      </c>
      <c r="AO17177" s="55">
        <v>16</v>
      </c>
      <c r="AP17177" s="55">
        <v>15</v>
      </c>
      <c r="AQ17177" s="55">
        <v>586.5</v>
      </c>
      <c r="AR17177" s="55">
        <v>28500</v>
      </c>
      <c r="AS17177" s="78">
        <f t="shared" si="272"/>
        <v>2.0578947368421054E-2</v>
      </c>
    </row>
    <row r="17178" spans="39:45">
      <c r="AM17178" s="54">
        <v>2020</v>
      </c>
      <c r="AN17178" s="54" t="s">
        <v>193</v>
      </c>
      <c r="AO17178" s="54">
        <v>16</v>
      </c>
      <c r="AP17178" s="54">
        <v>16</v>
      </c>
      <c r="AQ17178" s="54">
        <v>0</v>
      </c>
      <c r="AR17178" s="55">
        <v>28500</v>
      </c>
      <c r="AS17178" s="78">
        <f t="shared" si="272"/>
        <v>0</v>
      </c>
    </row>
    <row r="17179" spans="39:45">
      <c r="AM17179" s="55">
        <v>2020</v>
      </c>
      <c r="AN17179" s="55" t="s">
        <v>193</v>
      </c>
      <c r="AO17179" s="55">
        <v>16</v>
      </c>
      <c r="AP17179" s="55">
        <v>17</v>
      </c>
      <c r="AQ17179" s="55">
        <v>0</v>
      </c>
      <c r="AR17179" s="55">
        <v>28500</v>
      </c>
      <c r="AS17179" s="78">
        <f t="shared" si="272"/>
        <v>0</v>
      </c>
    </row>
    <row r="17180" spans="39:45">
      <c r="AM17180" s="54">
        <v>2020</v>
      </c>
      <c r="AN17180" s="54" t="s">
        <v>193</v>
      </c>
      <c r="AO17180" s="54">
        <v>16</v>
      </c>
      <c r="AP17180" s="54">
        <v>18</v>
      </c>
      <c r="AQ17180" s="54">
        <v>0</v>
      </c>
      <c r="AR17180" s="55">
        <v>28500</v>
      </c>
      <c r="AS17180" s="78">
        <f t="shared" si="272"/>
        <v>0</v>
      </c>
    </row>
    <row r="17181" spans="39:45">
      <c r="AM17181" s="55">
        <v>2020</v>
      </c>
      <c r="AN17181" s="55" t="s">
        <v>193</v>
      </c>
      <c r="AO17181" s="55">
        <v>16</v>
      </c>
      <c r="AP17181" s="55">
        <v>19</v>
      </c>
      <c r="AQ17181" s="55">
        <v>0</v>
      </c>
      <c r="AR17181" s="55">
        <v>28500</v>
      </c>
      <c r="AS17181" s="78">
        <f t="shared" si="272"/>
        <v>0</v>
      </c>
    </row>
    <row r="17182" spans="39:45">
      <c r="AM17182" s="54">
        <v>2020</v>
      </c>
      <c r="AN17182" s="54" t="s">
        <v>193</v>
      </c>
      <c r="AO17182" s="54">
        <v>16</v>
      </c>
      <c r="AP17182" s="54">
        <v>20</v>
      </c>
      <c r="AQ17182" s="54">
        <v>0</v>
      </c>
      <c r="AR17182" s="55">
        <v>28500</v>
      </c>
      <c r="AS17182" s="78">
        <f t="shared" si="272"/>
        <v>0</v>
      </c>
    </row>
    <row r="17183" spans="39:45">
      <c r="AM17183" s="55">
        <v>2020</v>
      </c>
      <c r="AN17183" s="55" t="s">
        <v>193</v>
      </c>
      <c r="AO17183" s="55">
        <v>16</v>
      </c>
      <c r="AP17183" s="55">
        <v>21</v>
      </c>
      <c r="AQ17183" s="55">
        <v>0</v>
      </c>
      <c r="AR17183" s="55">
        <v>28500</v>
      </c>
      <c r="AS17183" s="78">
        <f t="shared" si="272"/>
        <v>0</v>
      </c>
    </row>
    <row r="17184" spans="39:45">
      <c r="AM17184" s="54">
        <v>2020</v>
      </c>
      <c r="AN17184" s="54" t="s">
        <v>193</v>
      </c>
      <c r="AO17184" s="54">
        <v>16</v>
      </c>
      <c r="AP17184" s="54">
        <v>22</v>
      </c>
      <c r="AQ17184" s="54">
        <v>0</v>
      </c>
      <c r="AR17184" s="55">
        <v>28500</v>
      </c>
      <c r="AS17184" s="78">
        <f t="shared" si="272"/>
        <v>0</v>
      </c>
    </row>
    <row r="17185" spans="39:45">
      <c r="AM17185" s="55">
        <v>2020</v>
      </c>
      <c r="AN17185" s="55" t="s">
        <v>193</v>
      </c>
      <c r="AO17185" s="55">
        <v>16</v>
      </c>
      <c r="AP17185" s="55">
        <v>23</v>
      </c>
      <c r="AQ17185" s="55">
        <v>0</v>
      </c>
      <c r="AR17185" s="55">
        <v>28500</v>
      </c>
      <c r="AS17185" s="78">
        <f t="shared" si="272"/>
        <v>0</v>
      </c>
    </row>
    <row r="17186" spans="39:45">
      <c r="AM17186" s="54">
        <v>2020</v>
      </c>
      <c r="AN17186" s="54" t="s">
        <v>193</v>
      </c>
      <c r="AO17186" s="54">
        <v>17</v>
      </c>
      <c r="AP17186" s="54">
        <v>24</v>
      </c>
      <c r="AQ17186" s="54">
        <v>0</v>
      </c>
      <c r="AR17186" s="55">
        <v>28500</v>
      </c>
      <c r="AS17186" s="78">
        <f t="shared" si="272"/>
        <v>0</v>
      </c>
    </row>
    <row r="17187" spans="39:45">
      <c r="AM17187" s="55">
        <v>2020</v>
      </c>
      <c r="AN17187" s="55" t="s">
        <v>193</v>
      </c>
      <c r="AO17187" s="55">
        <v>17</v>
      </c>
      <c r="AP17187" s="55">
        <v>1</v>
      </c>
      <c r="AQ17187" s="55">
        <v>0</v>
      </c>
      <c r="AR17187" s="55">
        <v>28500</v>
      </c>
      <c r="AS17187" s="78">
        <f t="shared" si="272"/>
        <v>0</v>
      </c>
    </row>
    <row r="17188" spans="39:45">
      <c r="AM17188" s="54">
        <v>2020</v>
      </c>
      <c r="AN17188" s="54" t="s">
        <v>193</v>
      </c>
      <c r="AO17188" s="54">
        <v>17</v>
      </c>
      <c r="AP17188" s="54">
        <v>2</v>
      </c>
      <c r="AQ17188" s="54">
        <v>0</v>
      </c>
      <c r="AR17188" s="55">
        <v>28500</v>
      </c>
      <c r="AS17188" s="78">
        <f t="shared" si="272"/>
        <v>0</v>
      </c>
    </row>
    <row r="17189" spans="39:45">
      <c r="AM17189" s="55">
        <v>2020</v>
      </c>
      <c r="AN17189" s="55" t="s">
        <v>193</v>
      </c>
      <c r="AO17189" s="55">
        <v>17</v>
      </c>
      <c r="AP17189" s="55">
        <v>3</v>
      </c>
      <c r="AQ17189" s="55">
        <v>0</v>
      </c>
      <c r="AR17189" s="55">
        <v>28500</v>
      </c>
      <c r="AS17189" s="78">
        <f t="shared" si="272"/>
        <v>0</v>
      </c>
    </row>
    <row r="17190" spans="39:45">
      <c r="AM17190" s="54">
        <v>2020</v>
      </c>
      <c r="AN17190" s="54" t="s">
        <v>193</v>
      </c>
      <c r="AO17190" s="54">
        <v>17</v>
      </c>
      <c r="AP17190" s="54">
        <v>4</v>
      </c>
      <c r="AQ17190" s="54">
        <v>0</v>
      </c>
      <c r="AR17190" s="55">
        <v>28500</v>
      </c>
      <c r="AS17190" s="78">
        <f t="shared" si="272"/>
        <v>0</v>
      </c>
    </row>
    <row r="17191" spans="39:45">
      <c r="AM17191" s="55">
        <v>2020</v>
      </c>
      <c r="AN17191" s="55" t="s">
        <v>193</v>
      </c>
      <c r="AO17191" s="55">
        <v>17</v>
      </c>
      <c r="AP17191" s="55">
        <v>5</v>
      </c>
      <c r="AQ17191" s="55">
        <v>0</v>
      </c>
      <c r="AR17191" s="55">
        <v>28500</v>
      </c>
      <c r="AS17191" s="78">
        <f t="shared" si="272"/>
        <v>0</v>
      </c>
    </row>
    <row r="17192" spans="39:45">
      <c r="AM17192" s="54">
        <v>2020</v>
      </c>
      <c r="AN17192" s="54" t="s">
        <v>193</v>
      </c>
      <c r="AO17192" s="54">
        <v>17</v>
      </c>
      <c r="AP17192" s="54">
        <v>6</v>
      </c>
      <c r="AQ17192" s="54">
        <v>0</v>
      </c>
      <c r="AR17192" s="55">
        <v>28500</v>
      </c>
      <c r="AS17192" s="78">
        <f t="shared" si="272"/>
        <v>0</v>
      </c>
    </row>
    <row r="17193" spans="39:45">
      <c r="AM17193" s="55">
        <v>2020</v>
      </c>
      <c r="AN17193" s="55" t="s">
        <v>193</v>
      </c>
      <c r="AO17193" s="55">
        <v>17</v>
      </c>
      <c r="AP17193" s="55">
        <v>7</v>
      </c>
      <c r="AQ17193" s="55">
        <v>0</v>
      </c>
      <c r="AR17193" s="55">
        <v>28500</v>
      </c>
      <c r="AS17193" s="78">
        <f t="shared" si="272"/>
        <v>0</v>
      </c>
    </row>
    <row r="17194" spans="39:45">
      <c r="AM17194" s="54">
        <v>2020</v>
      </c>
      <c r="AN17194" s="54" t="s">
        <v>193</v>
      </c>
      <c r="AO17194" s="54">
        <v>17</v>
      </c>
      <c r="AP17194" s="54">
        <v>8</v>
      </c>
      <c r="AQ17194" s="54">
        <v>0</v>
      </c>
      <c r="AR17194" s="55">
        <v>28500</v>
      </c>
      <c r="AS17194" s="78">
        <f t="shared" si="272"/>
        <v>0</v>
      </c>
    </row>
    <row r="17195" spans="39:45">
      <c r="AM17195" s="55">
        <v>2020</v>
      </c>
      <c r="AN17195" s="55" t="s">
        <v>193</v>
      </c>
      <c r="AO17195" s="55">
        <v>17</v>
      </c>
      <c r="AP17195" s="55">
        <v>9</v>
      </c>
      <c r="AQ17195" s="55">
        <v>13405</v>
      </c>
      <c r="AR17195" s="55">
        <v>28500</v>
      </c>
      <c r="AS17195" s="78">
        <f t="shared" si="272"/>
        <v>0.47035087719298246</v>
      </c>
    </row>
    <row r="17196" spans="39:45">
      <c r="AM17196" s="54">
        <v>2020</v>
      </c>
      <c r="AN17196" s="54" t="s">
        <v>193</v>
      </c>
      <c r="AO17196" s="54">
        <v>17</v>
      </c>
      <c r="AP17196" s="54">
        <v>10</v>
      </c>
      <c r="AQ17196" s="54">
        <v>22968</v>
      </c>
      <c r="AR17196" s="55">
        <v>28500</v>
      </c>
      <c r="AS17196" s="78">
        <f t="shared" si="272"/>
        <v>0.80589473684210522</v>
      </c>
    </row>
    <row r="17197" spans="39:45">
      <c r="AM17197" s="55">
        <v>2020</v>
      </c>
      <c r="AN17197" s="55" t="s">
        <v>193</v>
      </c>
      <c r="AO17197" s="55">
        <v>17</v>
      </c>
      <c r="AP17197" s="55">
        <v>11</v>
      </c>
      <c r="AQ17197" s="55">
        <v>29157.5</v>
      </c>
      <c r="AR17197" s="55">
        <v>28500</v>
      </c>
      <c r="AS17197" s="78">
        <f t="shared" si="272"/>
        <v>1.0230701754385965</v>
      </c>
    </row>
    <row r="17198" spans="39:45">
      <c r="AM17198" s="54">
        <v>2020</v>
      </c>
      <c r="AN17198" s="54" t="s">
        <v>193</v>
      </c>
      <c r="AO17198" s="54">
        <v>17</v>
      </c>
      <c r="AP17198" s="54">
        <v>12</v>
      </c>
      <c r="AQ17198" s="54">
        <v>20774</v>
      </c>
      <c r="AR17198" s="55">
        <v>28500</v>
      </c>
      <c r="AS17198" s="78">
        <f t="shared" si="272"/>
        <v>0.7289122807017544</v>
      </c>
    </row>
    <row r="17199" spans="39:45">
      <c r="AM17199" s="55">
        <v>2020</v>
      </c>
      <c r="AN17199" s="55" t="s">
        <v>193</v>
      </c>
      <c r="AO17199" s="55">
        <v>17</v>
      </c>
      <c r="AP17199" s="55">
        <v>13</v>
      </c>
      <c r="AQ17199" s="55">
        <v>10555</v>
      </c>
      <c r="AR17199" s="55">
        <v>28500</v>
      </c>
      <c r="AS17199" s="78">
        <f t="shared" si="272"/>
        <v>0.37035087719298243</v>
      </c>
    </row>
    <row r="17200" spans="39:45">
      <c r="AM17200" s="54">
        <v>2020</v>
      </c>
      <c r="AN17200" s="54" t="s">
        <v>193</v>
      </c>
      <c r="AO17200" s="54">
        <v>17</v>
      </c>
      <c r="AP17200" s="54">
        <v>14</v>
      </c>
      <c r="AQ17200" s="54">
        <v>12027.5</v>
      </c>
      <c r="AR17200" s="55">
        <v>28500</v>
      </c>
      <c r="AS17200" s="78">
        <f t="shared" si="272"/>
        <v>0.42201754385964912</v>
      </c>
    </row>
    <row r="17201" spans="39:45">
      <c r="AM17201" s="55">
        <v>2020</v>
      </c>
      <c r="AN17201" s="55" t="s">
        <v>193</v>
      </c>
      <c r="AO17201" s="55">
        <v>17</v>
      </c>
      <c r="AP17201" s="55">
        <v>15</v>
      </c>
      <c r="AQ17201" s="55">
        <v>4650</v>
      </c>
      <c r="AR17201" s="55">
        <v>28500</v>
      </c>
      <c r="AS17201" s="78">
        <f t="shared" si="272"/>
        <v>0.16315789473684211</v>
      </c>
    </row>
    <row r="17202" spans="39:45">
      <c r="AM17202" s="54">
        <v>2020</v>
      </c>
      <c r="AN17202" s="54" t="s">
        <v>193</v>
      </c>
      <c r="AO17202" s="54">
        <v>17</v>
      </c>
      <c r="AP17202" s="54">
        <v>16</v>
      </c>
      <c r="AQ17202" s="54">
        <v>0</v>
      </c>
      <c r="AR17202" s="55">
        <v>28500</v>
      </c>
      <c r="AS17202" s="78">
        <f t="shared" si="272"/>
        <v>0</v>
      </c>
    </row>
    <row r="17203" spans="39:45">
      <c r="AM17203" s="55">
        <v>2020</v>
      </c>
      <c r="AN17203" s="55" t="s">
        <v>193</v>
      </c>
      <c r="AO17203" s="55">
        <v>17</v>
      </c>
      <c r="AP17203" s="55">
        <v>17</v>
      </c>
      <c r="AQ17203" s="55">
        <v>0</v>
      </c>
      <c r="AR17203" s="55">
        <v>28500</v>
      </c>
      <c r="AS17203" s="78">
        <f t="shared" si="272"/>
        <v>0</v>
      </c>
    </row>
    <row r="17204" spans="39:45">
      <c r="AM17204" s="54">
        <v>2020</v>
      </c>
      <c r="AN17204" s="54" t="s">
        <v>193</v>
      </c>
      <c r="AO17204" s="54">
        <v>17</v>
      </c>
      <c r="AP17204" s="54">
        <v>18</v>
      </c>
      <c r="AQ17204" s="54">
        <v>0</v>
      </c>
      <c r="AR17204" s="55">
        <v>28500</v>
      </c>
      <c r="AS17204" s="78">
        <f t="shared" si="272"/>
        <v>0</v>
      </c>
    </row>
    <row r="17205" spans="39:45">
      <c r="AM17205" s="55">
        <v>2020</v>
      </c>
      <c r="AN17205" s="55" t="s">
        <v>193</v>
      </c>
      <c r="AO17205" s="55">
        <v>17</v>
      </c>
      <c r="AP17205" s="55">
        <v>19</v>
      </c>
      <c r="AQ17205" s="55">
        <v>0</v>
      </c>
      <c r="AR17205" s="55">
        <v>28500</v>
      </c>
      <c r="AS17205" s="78">
        <f t="shared" si="272"/>
        <v>0</v>
      </c>
    </row>
    <row r="17206" spans="39:45">
      <c r="AM17206" s="54">
        <v>2020</v>
      </c>
      <c r="AN17206" s="54" t="s">
        <v>193</v>
      </c>
      <c r="AO17206" s="54">
        <v>17</v>
      </c>
      <c r="AP17206" s="54">
        <v>20</v>
      </c>
      <c r="AQ17206" s="54">
        <v>0</v>
      </c>
      <c r="AR17206" s="55">
        <v>28500</v>
      </c>
      <c r="AS17206" s="78">
        <f t="shared" si="272"/>
        <v>0</v>
      </c>
    </row>
    <row r="17207" spans="39:45">
      <c r="AM17207" s="55">
        <v>2020</v>
      </c>
      <c r="AN17207" s="55" t="s">
        <v>193</v>
      </c>
      <c r="AO17207" s="55">
        <v>17</v>
      </c>
      <c r="AP17207" s="55">
        <v>21</v>
      </c>
      <c r="AQ17207" s="55">
        <v>0</v>
      </c>
      <c r="AR17207" s="55">
        <v>28500</v>
      </c>
      <c r="AS17207" s="78">
        <f t="shared" si="272"/>
        <v>0</v>
      </c>
    </row>
    <row r="17208" spans="39:45">
      <c r="AM17208" s="54">
        <v>2020</v>
      </c>
      <c r="AN17208" s="54" t="s">
        <v>193</v>
      </c>
      <c r="AO17208" s="54">
        <v>17</v>
      </c>
      <c r="AP17208" s="54">
        <v>22</v>
      </c>
      <c r="AQ17208" s="54">
        <v>0</v>
      </c>
      <c r="AR17208" s="55">
        <v>28500</v>
      </c>
      <c r="AS17208" s="78">
        <f t="shared" si="272"/>
        <v>0</v>
      </c>
    </row>
    <row r="17209" spans="39:45">
      <c r="AM17209" s="55">
        <v>2020</v>
      </c>
      <c r="AN17209" s="55" t="s">
        <v>193</v>
      </c>
      <c r="AO17209" s="55">
        <v>17</v>
      </c>
      <c r="AP17209" s="55">
        <v>23</v>
      </c>
      <c r="AQ17209" s="55">
        <v>0</v>
      </c>
      <c r="AR17209" s="55">
        <v>28500</v>
      </c>
      <c r="AS17209" s="78">
        <f t="shared" si="272"/>
        <v>0</v>
      </c>
    </row>
    <row r="17210" spans="39:45">
      <c r="AM17210" s="54">
        <v>2020</v>
      </c>
      <c r="AN17210" s="54" t="s">
        <v>193</v>
      </c>
      <c r="AO17210" s="54">
        <v>18</v>
      </c>
      <c r="AP17210" s="54">
        <v>24</v>
      </c>
      <c r="AQ17210" s="54">
        <v>0</v>
      </c>
      <c r="AR17210" s="55">
        <v>28500</v>
      </c>
      <c r="AS17210" s="78">
        <f t="shared" si="272"/>
        <v>0</v>
      </c>
    </row>
    <row r="17211" spans="39:45">
      <c r="AM17211" s="55">
        <v>2020</v>
      </c>
      <c r="AN17211" s="55" t="s">
        <v>193</v>
      </c>
      <c r="AO17211" s="55">
        <v>18</v>
      </c>
      <c r="AP17211" s="55">
        <v>1</v>
      </c>
      <c r="AQ17211" s="55">
        <v>0</v>
      </c>
      <c r="AR17211" s="55">
        <v>28500</v>
      </c>
      <c r="AS17211" s="78">
        <f t="shared" si="272"/>
        <v>0</v>
      </c>
    </row>
    <row r="17212" spans="39:45">
      <c r="AM17212" s="54">
        <v>2020</v>
      </c>
      <c r="AN17212" s="54" t="s">
        <v>193</v>
      </c>
      <c r="AO17212" s="54">
        <v>18</v>
      </c>
      <c r="AP17212" s="54">
        <v>2</v>
      </c>
      <c r="AQ17212" s="54">
        <v>0</v>
      </c>
      <c r="AR17212" s="55">
        <v>28500</v>
      </c>
      <c r="AS17212" s="78">
        <f t="shared" si="272"/>
        <v>0</v>
      </c>
    </row>
    <row r="17213" spans="39:45">
      <c r="AM17213" s="55">
        <v>2020</v>
      </c>
      <c r="AN17213" s="55" t="s">
        <v>193</v>
      </c>
      <c r="AO17213" s="55">
        <v>18</v>
      </c>
      <c r="AP17213" s="55">
        <v>3</v>
      </c>
      <c r="AQ17213" s="55">
        <v>0</v>
      </c>
      <c r="AR17213" s="55">
        <v>28500</v>
      </c>
      <c r="AS17213" s="78">
        <f t="shared" si="272"/>
        <v>0</v>
      </c>
    </row>
    <row r="17214" spans="39:45">
      <c r="AM17214" s="54">
        <v>2020</v>
      </c>
      <c r="AN17214" s="54" t="s">
        <v>193</v>
      </c>
      <c r="AO17214" s="54">
        <v>18</v>
      </c>
      <c r="AP17214" s="54">
        <v>4</v>
      </c>
      <c r="AQ17214" s="54">
        <v>0</v>
      </c>
      <c r="AR17214" s="55">
        <v>28500</v>
      </c>
      <c r="AS17214" s="78">
        <f t="shared" si="272"/>
        <v>0</v>
      </c>
    </row>
    <row r="17215" spans="39:45">
      <c r="AM17215" s="55">
        <v>2020</v>
      </c>
      <c r="AN17215" s="55" t="s">
        <v>193</v>
      </c>
      <c r="AO17215" s="55">
        <v>18</v>
      </c>
      <c r="AP17215" s="55">
        <v>5</v>
      </c>
      <c r="AQ17215" s="55">
        <v>0</v>
      </c>
      <c r="AR17215" s="55">
        <v>28500</v>
      </c>
      <c r="AS17215" s="78">
        <f t="shared" si="272"/>
        <v>0</v>
      </c>
    </row>
    <row r="17216" spans="39:45">
      <c r="AM17216" s="54">
        <v>2020</v>
      </c>
      <c r="AN17216" s="54" t="s">
        <v>193</v>
      </c>
      <c r="AO17216" s="54">
        <v>18</v>
      </c>
      <c r="AP17216" s="54">
        <v>6</v>
      </c>
      <c r="AQ17216" s="54">
        <v>0</v>
      </c>
      <c r="AR17216" s="55">
        <v>28500</v>
      </c>
      <c r="AS17216" s="78">
        <f t="shared" si="272"/>
        <v>0</v>
      </c>
    </row>
    <row r="17217" spans="39:45">
      <c r="AM17217" s="55">
        <v>2020</v>
      </c>
      <c r="AN17217" s="55" t="s">
        <v>193</v>
      </c>
      <c r="AO17217" s="55">
        <v>18</v>
      </c>
      <c r="AP17217" s="55">
        <v>7</v>
      </c>
      <c r="AQ17217" s="55">
        <v>0</v>
      </c>
      <c r="AR17217" s="55">
        <v>28500</v>
      </c>
      <c r="AS17217" s="78">
        <f t="shared" si="272"/>
        <v>0</v>
      </c>
    </row>
    <row r="17218" spans="39:45">
      <c r="AM17218" s="54">
        <v>2020</v>
      </c>
      <c r="AN17218" s="54" t="s">
        <v>193</v>
      </c>
      <c r="AO17218" s="54">
        <v>18</v>
      </c>
      <c r="AP17218" s="54">
        <v>8</v>
      </c>
      <c r="AQ17218" s="54">
        <v>0</v>
      </c>
      <c r="AR17218" s="55">
        <v>28500</v>
      </c>
      <c r="AS17218" s="78">
        <f t="shared" ref="AS17218:AS17281" si="273">AQ17218/AR17218</f>
        <v>0</v>
      </c>
    </row>
    <row r="17219" spans="39:45">
      <c r="AM17219" s="55">
        <v>2020</v>
      </c>
      <c r="AN17219" s="55" t="s">
        <v>193</v>
      </c>
      <c r="AO17219" s="55">
        <v>18</v>
      </c>
      <c r="AP17219" s="55">
        <v>9</v>
      </c>
      <c r="AQ17219" s="55">
        <v>447.5</v>
      </c>
      <c r="AR17219" s="55">
        <v>28500</v>
      </c>
      <c r="AS17219" s="78">
        <f t="shared" si="273"/>
        <v>1.5701754385964911E-2</v>
      </c>
    </row>
    <row r="17220" spans="39:45">
      <c r="AM17220" s="54">
        <v>2020</v>
      </c>
      <c r="AN17220" s="54" t="s">
        <v>193</v>
      </c>
      <c r="AO17220" s="54">
        <v>18</v>
      </c>
      <c r="AP17220" s="54">
        <v>10</v>
      </c>
      <c r="AQ17220" s="54">
        <v>1492</v>
      </c>
      <c r="AR17220" s="55">
        <v>28500</v>
      </c>
      <c r="AS17220" s="78">
        <f t="shared" si="273"/>
        <v>5.2350877192982453E-2</v>
      </c>
    </row>
    <row r="17221" spans="39:45">
      <c r="AM17221" s="55">
        <v>2020</v>
      </c>
      <c r="AN17221" s="55" t="s">
        <v>193</v>
      </c>
      <c r="AO17221" s="55">
        <v>18</v>
      </c>
      <c r="AP17221" s="55">
        <v>11</v>
      </c>
      <c r="AQ17221" s="55">
        <v>1454.5</v>
      </c>
      <c r="AR17221" s="55">
        <v>28500</v>
      </c>
      <c r="AS17221" s="78">
        <f t="shared" si="273"/>
        <v>5.1035087719298246E-2</v>
      </c>
    </row>
    <row r="17222" spans="39:45">
      <c r="AM17222" s="54">
        <v>2020</v>
      </c>
      <c r="AN17222" s="54" t="s">
        <v>193</v>
      </c>
      <c r="AO17222" s="54">
        <v>18</v>
      </c>
      <c r="AP17222" s="54">
        <v>12</v>
      </c>
      <c r="AQ17222" s="54">
        <v>2300</v>
      </c>
      <c r="AR17222" s="55">
        <v>28500</v>
      </c>
      <c r="AS17222" s="78">
        <f t="shared" si="273"/>
        <v>8.0701754385964913E-2</v>
      </c>
    </row>
    <row r="17223" spans="39:45">
      <c r="AM17223" s="55">
        <v>2020</v>
      </c>
      <c r="AN17223" s="55" t="s">
        <v>193</v>
      </c>
      <c r="AO17223" s="55">
        <v>18</v>
      </c>
      <c r="AP17223" s="55">
        <v>13</v>
      </c>
      <c r="AQ17223" s="55">
        <v>416.5</v>
      </c>
      <c r="AR17223" s="55">
        <v>28500</v>
      </c>
      <c r="AS17223" s="78">
        <f t="shared" si="273"/>
        <v>1.4614035087719298E-2</v>
      </c>
    </row>
    <row r="17224" spans="39:45">
      <c r="AM17224" s="54">
        <v>2020</v>
      </c>
      <c r="AN17224" s="54" t="s">
        <v>193</v>
      </c>
      <c r="AO17224" s="54">
        <v>18</v>
      </c>
      <c r="AP17224" s="54">
        <v>14</v>
      </c>
      <c r="AQ17224" s="54">
        <v>9331.5</v>
      </c>
      <c r="AR17224" s="55">
        <v>28500</v>
      </c>
      <c r="AS17224" s="78">
        <f t="shared" si="273"/>
        <v>0.32742105263157895</v>
      </c>
    </row>
    <row r="17225" spans="39:45">
      <c r="AM17225" s="55">
        <v>2020</v>
      </c>
      <c r="AN17225" s="55" t="s">
        <v>193</v>
      </c>
      <c r="AO17225" s="55">
        <v>18</v>
      </c>
      <c r="AP17225" s="55">
        <v>15</v>
      </c>
      <c r="AQ17225" s="55">
        <v>612</v>
      </c>
      <c r="AR17225" s="55">
        <v>28500</v>
      </c>
      <c r="AS17225" s="78">
        <f t="shared" si="273"/>
        <v>2.1473684210526315E-2</v>
      </c>
    </row>
    <row r="17226" spans="39:45">
      <c r="AM17226" s="54">
        <v>2020</v>
      </c>
      <c r="AN17226" s="54" t="s">
        <v>193</v>
      </c>
      <c r="AO17226" s="54">
        <v>18</v>
      </c>
      <c r="AP17226" s="54">
        <v>16</v>
      </c>
      <c r="AQ17226" s="54">
        <v>0</v>
      </c>
      <c r="AR17226" s="55">
        <v>28500</v>
      </c>
      <c r="AS17226" s="78">
        <f t="shared" si="273"/>
        <v>0</v>
      </c>
    </row>
    <row r="17227" spans="39:45">
      <c r="AM17227" s="55">
        <v>2020</v>
      </c>
      <c r="AN17227" s="55" t="s">
        <v>193</v>
      </c>
      <c r="AO17227" s="55">
        <v>18</v>
      </c>
      <c r="AP17227" s="55">
        <v>17</v>
      </c>
      <c r="AQ17227" s="55">
        <v>0</v>
      </c>
      <c r="AR17227" s="55">
        <v>28500</v>
      </c>
      <c r="AS17227" s="78">
        <f t="shared" si="273"/>
        <v>0</v>
      </c>
    </row>
    <row r="17228" spans="39:45">
      <c r="AM17228" s="54">
        <v>2020</v>
      </c>
      <c r="AN17228" s="54" t="s">
        <v>193</v>
      </c>
      <c r="AO17228" s="54">
        <v>18</v>
      </c>
      <c r="AP17228" s="54">
        <v>18</v>
      </c>
      <c r="AQ17228" s="54">
        <v>0</v>
      </c>
      <c r="AR17228" s="55">
        <v>28500</v>
      </c>
      <c r="AS17228" s="78">
        <f t="shared" si="273"/>
        <v>0</v>
      </c>
    </row>
    <row r="17229" spans="39:45">
      <c r="AM17229" s="55">
        <v>2020</v>
      </c>
      <c r="AN17229" s="55" t="s">
        <v>193</v>
      </c>
      <c r="AO17229" s="55">
        <v>18</v>
      </c>
      <c r="AP17229" s="55">
        <v>19</v>
      </c>
      <c r="AQ17229" s="55">
        <v>0</v>
      </c>
      <c r="AR17229" s="55">
        <v>28500</v>
      </c>
      <c r="AS17229" s="78">
        <f t="shared" si="273"/>
        <v>0</v>
      </c>
    </row>
    <row r="17230" spans="39:45">
      <c r="AM17230" s="54">
        <v>2020</v>
      </c>
      <c r="AN17230" s="54" t="s">
        <v>193</v>
      </c>
      <c r="AO17230" s="54">
        <v>18</v>
      </c>
      <c r="AP17230" s="54">
        <v>20</v>
      </c>
      <c r="AQ17230" s="54">
        <v>0</v>
      </c>
      <c r="AR17230" s="55">
        <v>28500</v>
      </c>
      <c r="AS17230" s="78">
        <f t="shared" si="273"/>
        <v>0</v>
      </c>
    </row>
    <row r="17231" spans="39:45">
      <c r="AM17231" s="55">
        <v>2020</v>
      </c>
      <c r="AN17231" s="55" t="s">
        <v>193</v>
      </c>
      <c r="AO17231" s="55">
        <v>18</v>
      </c>
      <c r="AP17231" s="55">
        <v>21</v>
      </c>
      <c r="AQ17231" s="55">
        <v>0</v>
      </c>
      <c r="AR17231" s="55">
        <v>28500</v>
      </c>
      <c r="AS17231" s="78">
        <f t="shared" si="273"/>
        <v>0</v>
      </c>
    </row>
    <row r="17232" spans="39:45">
      <c r="AM17232" s="54">
        <v>2020</v>
      </c>
      <c r="AN17232" s="54" t="s">
        <v>193</v>
      </c>
      <c r="AO17232" s="54">
        <v>18</v>
      </c>
      <c r="AP17232" s="54">
        <v>22</v>
      </c>
      <c r="AQ17232" s="54">
        <v>0</v>
      </c>
      <c r="AR17232" s="55">
        <v>28500</v>
      </c>
      <c r="AS17232" s="78">
        <f t="shared" si="273"/>
        <v>0</v>
      </c>
    </row>
    <row r="17233" spans="39:45">
      <c r="AM17233" s="55">
        <v>2020</v>
      </c>
      <c r="AN17233" s="55" t="s">
        <v>193</v>
      </c>
      <c r="AO17233" s="55">
        <v>18</v>
      </c>
      <c r="AP17233" s="55">
        <v>23</v>
      </c>
      <c r="AQ17233" s="55">
        <v>0</v>
      </c>
      <c r="AR17233" s="55">
        <v>28500</v>
      </c>
      <c r="AS17233" s="78">
        <f t="shared" si="273"/>
        <v>0</v>
      </c>
    </row>
    <row r="17234" spans="39:45">
      <c r="AM17234" s="54">
        <v>2020</v>
      </c>
      <c r="AN17234" s="54" t="s">
        <v>193</v>
      </c>
      <c r="AO17234" s="54">
        <v>19</v>
      </c>
      <c r="AP17234" s="54">
        <v>24</v>
      </c>
      <c r="AQ17234" s="54">
        <v>0</v>
      </c>
      <c r="AR17234" s="55">
        <v>28500</v>
      </c>
      <c r="AS17234" s="78">
        <f t="shared" si="273"/>
        <v>0</v>
      </c>
    </row>
    <row r="17235" spans="39:45">
      <c r="AM17235" s="55">
        <v>2020</v>
      </c>
      <c r="AN17235" s="55" t="s">
        <v>193</v>
      </c>
      <c r="AO17235" s="55">
        <v>19</v>
      </c>
      <c r="AP17235" s="55">
        <v>1</v>
      </c>
      <c r="AQ17235" s="55">
        <v>0</v>
      </c>
      <c r="AR17235" s="55">
        <v>28500</v>
      </c>
      <c r="AS17235" s="78">
        <f t="shared" si="273"/>
        <v>0</v>
      </c>
    </row>
    <row r="17236" spans="39:45">
      <c r="AM17236" s="54">
        <v>2020</v>
      </c>
      <c r="AN17236" s="54" t="s">
        <v>193</v>
      </c>
      <c r="AO17236" s="54">
        <v>19</v>
      </c>
      <c r="AP17236" s="54">
        <v>2</v>
      </c>
      <c r="AQ17236" s="54">
        <v>0</v>
      </c>
      <c r="AR17236" s="55">
        <v>28500</v>
      </c>
      <c r="AS17236" s="78">
        <f t="shared" si="273"/>
        <v>0</v>
      </c>
    </row>
    <row r="17237" spans="39:45">
      <c r="AM17237" s="55">
        <v>2020</v>
      </c>
      <c r="AN17237" s="55" t="s">
        <v>193</v>
      </c>
      <c r="AO17237" s="55">
        <v>19</v>
      </c>
      <c r="AP17237" s="55">
        <v>3</v>
      </c>
      <c r="AQ17237" s="55">
        <v>0</v>
      </c>
      <c r="AR17237" s="55">
        <v>28500</v>
      </c>
      <c r="AS17237" s="78">
        <f t="shared" si="273"/>
        <v>0</v>
      </c>
    </row>
    <row r="17238" spans="39:45">
      <c r="AM17238" s="54">
        <v>2020</v>
      </c>
      <c r="AN17238" s="54" t="s">
        <v>193</v>
      </c>
      <c r="AO17238" s="54">
        <v>19</v>
      </c>
      <c r="AP17238" s="54">
        <v>4</v>
      </c>
      <c r="AQ17238" s="54">
        <v>0</v>
      </c>
      <c r="AR17238" s="55">
        <v>28500</v>
      </c>
      <c r="AS17238" s="78">
        <f t="shared" si="273"/>
        <v>0</v>
      </c>
    </row>
    <row r="17239" spans="39:45">
      <c r="AM17239" s="55">
        <v>2020</v>
      </c>
      <c r="AN17239" s="55" t="s">
        <v>193</v>
      </c>
      <c r="AO17239" s="55">
        <v>19</v>
      </c>
      <c r="AP17239" s="55">
        <v>5</v>
      </c>
      <c r="AQ17239" s="55">
        <v>0</v>
      </c>
      <c r="AR17239" s="55">
        <v>28500</v>
      </c>
      <c r="AS17239" s="78">
        <f t="shared" si="273"/>
        <v>0</v>
      </c>
    </row>
    <row r="17240" spans="39:45">
      <c r="AM17240" s="54">
        <v>2020</v>
      </c>
      <c r="AN17240" s="54" t="s">
        <v>193</v>
      </c>
      <c r="AO17240" s="54">
        <v>19</v>
      </c>
      <c r="AP17240" s="54">
        <v>6</v>
      </c>
      <c r="AQ17240" s="54">
        <v>0</v>
      </c>
      <c r="AR17240" s="55">
        <v>28500</v>
      </c>
      <c r="AS17240" s="78">
        <f t="shared" si="273"/>
        <v>0</v>
      </c>
    </row>
    <row r="17241" spans="39:45">
      <c r="AM17241" s="55">
        <v>2020</v>
      </c>
      <c r="AN17241" s="55" t="s">
        <v>193</v>
      </c>
      <c r="AO17241" s="55">
        <v>19</v>
      </c>
      <c r="AP17241" s="55">
        <v>7</v>
      </c>
      <c r="AQ17241" s="55">
        <v>0</v>
      </c>
      <c r="AR17241" s="55">
        <v>28500</v>
      </c>
      <c r="AS17241" s="78">
        <f t="shared" si="273"/>
        <v>0</v>
      </c>
    </row>
    <row r="17242" spans="39:45">
      <c r="AM17242" s="54">
        <v>2020</v>
      </c>
      <c r="AN17242" s="54" t="s">
        <v>193</v>
      </c>
      <c r="AO17242" s="54">
        <v>19</v>
      </c>
      <c r="AP17242" s="54">
        <v>8</v>
      </c>
      <c r="AQ17242" s="54">
        <v>0</v>
      </c>
      <c r="AR17242" s="55">
        <v>28500</v>
      </c>
      <c r="AS17242" s="78">
        <f t="shared" si="273"/>
        <v>0</v>
      </c>
    </row>
    <row r="17243" spans="39:45">
      <c r="AM17243" s="55">
        <v>2020</v>
      </c>
      <c r="AN17243" s="55" t="s">
        <v>193</v>
      </c>
      <c r="AO17243" s="55">
        <v>19</v>
      </c>
      <c r="AP17243" s="55">
        <v>9</v>
      </c>
      <c r="AQ17243" s="55">
        <v>1413</v>
      </c>
      <c r="AR17243" s="55">
        <v>28500</v>
      </c>
      <c r="AS17243" s="78">
        <f t="shared" si="273"/>
        <v>4.9578947368421056E-2</v>
      </c>
    </row>
    <row r="17244" spans="39:45">
      <c r="AM17244" s="54">
        <v>2020</v>
      </c>
      <c r="AN17244" s="54" t="s">
        <v>193</v>
      </c>
      <c r="AO17244" s="54">
        <v>19</v>
      </c>
      <c r="AP17244" s="54">
        <v>10</v>
      </c>
      <c r="AQ17244" s="54">
        <v>6530</v>
      </c>
      <c r="AR17244" s="55">
        <v>28500</v>
      </c>
      <c r="AS17244" s="78">
        <f t="shared" si="273"/>
        <v>0.22912280701754387</v>
      </c>
    </row>
    <row r="17245" spans="39:45">
      <c r="AM17245" s="55">
        <v>2020</v>
      </c>
      <c r="AN17245" s="55" t="s">
        <v>193</v>
      </c>
      <c r="AO17245" s="55">
        <v>19</v>
      </c>
      <c r="AP17245" s="55">
        <v>11</v>
      </c>
      <c r="AQ17245" s="55">
        <v>330.5</v>
      </c>
      <c r="AR17245" s="55">
        <v>28500</v>
      </c>
      <c r="AS17245" s="78">
        <f t="shared" si="273"/>
        <v>1.1596491228070176E-2</v>
      </c>
    </row>
    <row r="17246" spans="39:45">
      <c r="AM17246" s="54">
        <v>2020</v>
      </c>
      <c r="AN17246" s="54" t="s">
        <v>193</v>
      </c>
      <c r="AO17246" s="54">
        <v>19</v>
      </c>
      <c r="AP17246" s="54">
        <v>12</v>
      </c>
      <c r="AQ17246" s="54">
        <v>18460.5</v>
      </c>
      <c r="AR17246" s="55">
        <v>28500</v>
      </c>
      <c r="AS17246" s="78">
        <f t="shared" si="273"/>
        <v>0.64773684210526317</v>
      </c>
    </row>
    <row r="17247" spans="39:45">
      <c r="AM17247" s="55">
        <v>2020</v>
      </c>
      <c r="AN17247" s="55" t="s">
        <v>193</v>
      </c>
      <c r="AO17247" s="55">
        <v>19</v>
      </c>
      <c r="AP17247" s="55">
        <v>13</v>
      </c>
      <c r="AQ17247" s="55">
        <v>5560.5</v>
      </c>
      <c r="AR17247" s="55">
        <v>28500</v>
      </c>
      <c r="AS17247" s="78">
        <f t="shared" si="273"/>
        <v>0.19510526315789473</v>
      </c>
    </row>
    <row r="17248" spans="39:45">
      <c r="AM17248" s="54">
        <v>2020</v>
      </c>
      <c r="AN17248" s="54" t="s">
        <v>193</v>
      </c>
      <c r="AO17248" s="54">
        <v>19</v>
      </c>
      <c r="AP17248" s="54">
        <v>14</v>
      </c>
      <c r="AQ17248" s="54">
        <v>331</v>
      </c>
      <c r="AR17248" s="55">
        <v>28500</v>
      </c>
      <c r="AS17248" s="78">
        <f t="shared" si="273"/>
        <v>1.1614035087719299E-2</v>
      </c>
    </row>
    <row r="17249" spans="39:45">
      <c r="AM17249" s="55">
        <v>2020</v>
      </c>
      <c r="AN17249" s="55" t="s">
        <v>193</v>
      </c>
      <c r="AO17249" s="55">
        <v>19</v>
      </c>
      <c r="AP17249" s="55">
        <v>15</v>
      </c>
      <c r="AQ17249" s="55">
        <v>2831</v>
      </c>
      <c r="AR17249" s="55">
        <v>28500</v>
      </c>
      <c r="AS17249" s="78">
        <f t="shared" si="273"/>
        <v>9.9333333333333329E-2</v>
      </c>
    </row>
    <row r="17250" spans="39:45">
      <c r="AM17250" s="54">
        <v>2020</v>
      </c>
      <c r="AN17250" s="54" t="s">
        <v>193</v>
      </c>
      <c r="AO17250" s="54">
        <v>19</v>
      </c>
      <c r="AP17250" s="54">
        <v>16</v>
      </c>
      <c r="AQ17250" s="54">
        <v>0</v>
      </c>
      <c r="AR17250" s="55">
        <v>28500</v>
      </c>
      <c r="AS17250" s="78">
        <f t="shared" si="273"/>
        <v>0</v>
      </c>
    </row>
    <row r="17251" spans="39:45">
      <c r="AM17251" s="55">
        <v>2020</v>
      </c>
      <c r="AN17251" s="55" t="s">
        <v>193</v>
      </c>
      <c r="AO17251" s="55">
        <v>19</v>
      </c>
      <c r="AP17251" s="55">
        <v>17</v>
      </c>
      <c r="AQ17251" s="55">
        <v>0</v>
      </c>
      <c r="AR17251" s="55">
        <v>28500</v>
      </c>
      <c r="AS17251" s="78">
        <f t="shared" si="273"/>
        <v>0</v>
      </c>
    </row>
    <row r="17252" spans="39:45">
      <c r="AM17252" s="54">
        <v>2020</v>
      </c>
      <c r="AN17252" s="54" t="s">
        <v>193</v>
      </c>
      <c r="AO17252" s="54">
        <v>19</v>
      </c>
      <c r="AP17252" s="54">
        <v>18</v>
      </c>
      <c r="AQ17252" s="54">
        <v>0</v>
      </c>
      <c r="AR17252" s="55">
        <v>28500</v>
      </c>
      <c r="AS17252" s="78">
        <f t="shared" si="273"/>
        <v>0</v>
      </c>
    </row>
    <row r="17253" spans="39:45">
      <c r="AM17253" s="55">
        <v>2020</v>
      </c>
      <c r="AN17253" s="55" t="s">
        <v>193</v>
      </c>
      <c r="AO17253" s="55">
        <v>19</v>
      </c>
      <c r="AP17253" s="55">
        <v>19</v>
      </c>
      <c r="AQ17253" s="55">
        <v>0</v>
      </c>
      <c r="AR17253" s="55">
        <v>28500</v>
      </c>
      <c r="AS17253" s="78">
        <f t="shared" si="273"/>
        <v>0</v>
      </c>
    </row>
    <row r="17254" spans="39:45">
      <c r="AM17254" s="54">
        <v>2020</v>
      </c>
      <c r="AN17254" s="54" t="s">
        <v>193</v>
      </c>
      <c r="AO17254" s="54">
        <v>19</v>
      </c>
      <c r="AP17254" s="54">
        <v>20</v>
      </c>
      <c r="AQ17254" s="54">
        <v>0</v>
      </c>
      <c r="AR17254" s="55">
        <v>28500</v>
      </c>
      <c r="AS17254" s="78">
        <f t="shared" si="273"/>
        <v>0</v>
      </c>
    </row>
    <row r="17255" spans="39:45">
      <c r="AM17255" s="55">
        <v>2020</v>
      </c>
      <c r="AN17255" s="55" t="s">
        <v>193</v>
      </c>
      <c r="AO17255" s="55">
        <v>19</v>
      </c>
      <c r="AP17255" s="55">
        <v>21</v>
      </c>
      <c r="AQ17255" s="55">
        <v>0</v>
      </c>
      <c r="AR17255" s="55">
        <v>28500</v>
      </c>
      <c r="AS17255" s="78">
        <f t="shared" si="273"/>
        <v>0</v>
      </c>
    </row>
    <row r="17256" spans="39:45">
      <c r="AM17256" s="54">
        <v>2020</v>
      </c>
      <c r="AN17256" s="54" t="s">
        <v>193</v>
      </c>
      <c r="AO17256" s="54">
        <v>19</v>
      </c>
      <c r="AP17256" s="54">
        <v>22</v>
      </c>
      <c r="AQ17256" s="54">
        <v>0</v>
      </c>
      <c r="AR17256" s="55">
        <v>28500</v>
      </c>
      <c r="AS17256" s="78">
        <f t="shared" si="273"/>
        <v>0</v>
      </c>
    </row>
    <row r="17257" spans="39:45">
      <c r="AM17257" s="55">
        <v>2020</v>
      </c>
      <c r="AN17257" s="55" t="s">
        <v>193</v>
      </c>
      <c r="AO17257" s="55">
        <v>19</v>
      </c>
      <c r="AP17257" s="55">
        <v>23</v>
      </c>
      <c r="AQ17257" s="55">
        <v>0</v>
      </c>
      <c r="AR17257" s="55">
        <v>28500</v>
      </c>
      <c r="AS17257" s="78">
        <f t="shared" si="273"/>
        <v>0</v>
      </c>
    </row>
    <row r="17258" spans="39:45">
      <c r="AM17258" s="54">
        <v>2020</v>
      </c>
      <c r="AN17258" s="54" t="s">
        <v>193</v>
      </c>
      <c r="AO17258" s="54">
        <v>20</v>
      </c>
      <c r="AP17258" s="54">
        <v>24</v>
      </c>
      <c r="AQ17258" s="54">
        <v>0</v>
      </c>
      <c r="AR17258" s="55">
        <v>28500</v>
      </c>
      <c r="AS17258" s="78">
        <f t="shared" si="273"/>
        <v>0</v>
      </c>
    </row>
    <row r="17259" spans="39:45">
      <c r="AM17259" s="55">
        <v>2020</v>
      </c>
      <c r="AN17259" s="55" t="s">
        <v>193</v>
      </c>
      <c r="AO17259" s="55">
        <v>20</v>
      </c>
      <c r="AP17259" s="55">
        <v>1</v>
      </c>
      <c r="AQ17259" s="55">
        <v>0</v>
      </c>
      <c r="AR17259" s="55">
        <v>28500</v>
      </c>
      <c r="AS17259" s="78">
        <f t="shared" si="273"/>
        <v>0</v>
      </c>
    </row>
    <row r="17260" spans="39:45">
      <c r="AM17260" s="54">
        <v>2020</v>
      </c>
      <c r="AN17260" s="54" t="s">
        <v>193</v>
      </c>
      <c r="AO17260" s="54">
        <v>20</v>
      </c>
      <c r="AP17260" s="54">
        <v>2</v>
      </c>
      <c r="AQ17260" s="54">
        <v>0</v>
      </c>
      <c r="AR17260" s="55">
        <v>28500</v>
      </c>
      <c r="AS17260" s="78">
        <f t="shared" si="273"/>
        <v>0</v>
      </c>
    </row>
    <row r="17261" spans="39:45">
      <c r="AM17261" s="55">
        <v>2020</v>
      </c>
      <c r="AN17261" s="55" t="s">
        <v>193</v>
      </c>
      <c r="AO17261" s="55">
        <v>20</v>
      </c>
      <c r="AP17261" s="55">
        <v>3</v>
      </c>
      <c r="AQ17261" s="55">
        <v>0</v>
      </c>
      <c r="AR17261" s="55">
        <v>28500</v>
      </c>
      <c r="AS17261" s="78">
        <f t="shared" si="273"/>
        <v>0</v>
      </c>
    </row>
    <row r="17262" spans="39:45">
      <c r="AM17262" s="54">
        <v>2020</v>
      </c>
      <c r="AN17262" s="54" t="s">
        <v>193</v>
      </c>
      <c r="AO17262" s="54">
        <v>20</v>
      </c>
      <c r="AP17262" s="54">
        <v>4</v>
      </c>
      <c r="AQ17262" s="54">
        <v>0</v>
      </c>
      <c r="AR17262" s="55">
        <v>28500</v>
      </c>
      <c r="AS17262" s="78">
        <f t="shared" si="273"/>
        <v>0</v>
      </c>
    </row>
    <row r="17263" spans="39:45">
      <c r="AM17263" s="55">
        <v>2020</v>
      </c>
      <c r="AN17263" s="55" t="s">
        <v>193</v>
      </c>
      <c r="AO17263" s="55">
        <v>20</v>
      </c>
      <c r="AP17263" s="55">
        <v>5</v>
      </c>
      <c r="AQ17263" s="55">
        <v>0</v>
      </c>
      <c r="AR17263" s="55">
        <v>28500</v>
      </c>
      <c r="AS17263" s="78">
        <f t="shared" si="273"/>
        <v>0</v>
      </c>
    </row>
    <row r="17264" spans="39:45">
      <c r="AM17264" s="54">
        <v>2020</v>
      </c>
      <c r="AN17264" s="54" t="s">
        <v>193</v>
      </c>
      <c r="AO17264" s="54">
        <v>20</v>
      </c>
      <c r="AP17264" s="54">
        <v>6</v>
      </c>
      <c r="AQ17264" s="54">
        <v>0</v>
      </c>
      <c r="AR17264" s="55">
        <v>28500</v>
      </c>
      <c r="AS17264" s="78">
        <f t="shared" si="273"/>
        <v>0</v>
      </c>
    </row>
    <row r="17265" spans="39:45">
      <c r="AM17265" s="55">
        <v>2020</v>
      </c>
      <c r="AN17265" s="55" t="s">
        <v>193</v>
      </c>
      <c r="AO17265" s="55">
        <v>20</v>
      </c>
      <c r="AP17265" s="55">
        <v>7</v>
      </c>
      <c r="AQ17265" s="55">
        <v>0</v>
      </c>
      <c r="AR17265" s="55">
        <v>28500</v>
      </c>
      <c r="AS17265" s="78">
        <f t="shared" si="273"/>
        <v>0</v>
      </c>
    </row>
    <row r="17266" spans="39:45">
      <c r="AM17266" s="54">
        <v>2020</v>
      </c>
      <c r="AN17266" s="54" t="s">
        <v>193</v>
      </c>
      <c r="AO17266" s="54">
        <v>20</v>
      </c>
      <c r="AP17266" s="54">
        <v>8</v>
      </c>
      <c r="AQ17266" s="54">
        <v>0</v>
      </c>
      <c r="AR17266" s="55">
        <v>28500</v>
      </c>
      <c r="AS17266" s="78">
        <f t="shared" si="273"/>
        <v>0</v>
      </c>
    </row>
    <row r="17267" spans="39:45">
      <c r="AM17267" s="55">
        <v>2020</v>
      </c>
      <c r="AN17267" s="55" t="s">
        <v>193</v>
      </c>
      <c r="AO17267" s="55">
        <v>20</v>
      </c>
      <c r="AP17267" s="55">
        <v>9</v>
      </c>
      <c r="AQ17267" s="55">
        <v>15624</v>
      </c>
      <c r="AR17267" s="55">
        <v>28500</v>
      </c>
      <c r="AS17267" s="78">
        <f t="shared" si="273"/>
        <v>0.54821052631578948</v>
      </c>
    </row>
    <row r="17268" spans="39:45">
      <c r="AM17268" s="54">
        <v>2020</v>
      </c>
      <c r="AN17268" s="54" t="s">
        <v>193</v>
      </c>
      <c r="AO17268" s="54">
        <v>20</v>
      </c>
      <c r="AP17268" s="54">
        <v>10</v>
      </c>
      <c r="AQ17268" s="54">
        <v>7886.5</v>
      </c>
      <c r="AR17268" s="55">
        <v>28500</v>
      </c>
      <c r="AS17268" s="78">
        <f t="shared" si="273"/>
        <v>0.27671929824561403</v>
      </c>
    </row>
    <row r="17269" spans="39:45">
      <c r="AM17269" s="55">
        <v>2020</v>
      </c>
      <c r="AN17269" s="55" t="s">
        <v>193</v>
      </c>
      <c r="AO17269" s="55">
        <v>20</v>
      </c>
      <c r="AP17269" s="55">
        <v>11</v>
      </c>
      <c r="AQ17269" s="55">
        <v>29196.5</v>
      </c>
      <c r="AR17269" s="55">
        <v>28500</v>
      </c>
      <c r="AS17269" s="78">
        <f t="shared" si="273"/>
        <v>1.0244385964912281</v>
      </c>
    </row>
    <row r="17270" spans="39:45">
      <c r="AM17270" s="54">
        <v>2020</v>
      </c>
      <c r="AN17270" s="54" t="s">
        <v>193</v>
      </c>
      <c r="AO17270" s="54">
        <v>20</v>
      </c>
      <c r="AP17270" s="54">
        <v>12</v>
      </c>
      <c r="AQ17270" s="54">
        <v>26835.5</v>
      </c>
      <c r="AR17270" s="55">
        <v>28500</v>
      </c>
      <c r="AS17270" s="78">
        <f t="shared" si="273"/>
        <v>0.94159649122807021</v>
      </c>
    </row>
    <row r="17271" spans="39:45">
      <c r="AM17271" s="55">
        <v>2020</v>
      </c>
      <c r="AN17271" s="55" t="s">
        <v>193</v>
      </c>
      <c r="AO17271" s="55">
        <v>20</v>
      </c>
      <c r="AP17271" s="55">
        <v>13</v>
      </c>
      <c r="AQ17271" s="55">
        <v>27427</v>
      </c>
      <c r="AR17271" s="55">
        <v>28500</v>
      </c>
      <c r="AS17271" s="78">
        <f t="shared" si="273"/>
        <v>0.9623508771929824</v>
      </c>
    </row>
    <row r="17272" spans="39:45">
      <c r="AM17272" s="54">
        <v>2020</v>
      </c>
      <c r="AN17272" s="54" t="s">
        <v>193</v>
      </c>
      <c r="AO17272" s="54">
        <v>20</v>
      </c>
      <c r="AP17272" s="54">
        <v>14</v>
      </c>
      <c r="AQ17272" s="54">
        <v>18424.5</v>
      </c>
      <c r="AR17272" s="55">
        <v>28500</v>
      </c>
      <c r="AS17272" s="78">
        <f t="shared" si="273"/>
        <v>0.64647368421052631</v>
      </c>
    </row>
    <row r="17273" spans="39:45">
      <c r="AM17273" s="55">
        <v>2020</v>
      </c>
      <c r="AN17273" s="55" t="s">
        <v>193</v>
      </c>
      <c r="AO17273" s="55">
        <v>20</v>
      </c>
      <c r="AP17273" s="55">
        <v>15</v>
      </c>
      <c r="AQ17273" s="55">
        <v>5739</v>
      </c>
      <c r="AR17273" s="55">
        <v>28500</v>
      </c>
      <c r="AS17273" s="78">
        <f t="shared" si="273"/>
        <v>0.20136842105263159</v>
      </c>
    </row>
    <row r="17274" spans="39:45">
      <c r="AM17274" s="54">
        <v>2020</v>
      </c>
      <c r="AN17274" s="54" t="s">
        <v>193</v>
      </c>
      <c r="AO17274" s="54">
        <v>20</v>
      </c>
      <c r="AP17274" s="54">
        <v>16</v>
      </c>
      <c r="AQ17274" s="54">
        <v>0</v>
      </c>
      <c r="AR17274" s="55">
        <v>28500</v>
      </c>
      <c r="AS17274" s="78">
        <f t="shared" si="273"/>
        <v>0</v>
      </c>
    </row>
    <row r="17275" spans="39:45">
      <c r="AM17275" s="55">
        <v>2020</v>
      </c>
      <c r="AN17275" s="55" t="s">
        <v>193</v>
      </c>
      <c r="AO17275" s="55">
        <v>20</v>
      </c>
      <c r="AP17275" s="55">
        <v>17</v>
      </c>
      <c r="AQ17275" s="55">
        <v>0</v>
      </c>
      <c r="AR17275" s="55">
        <v>28500</v>
      </c>
      <c r="AS17275" s="78">
        <f t="shared" si="273"/>
        <v>0</v>
      </c>
    </row>
    <row r="17276" spans="39:45">
      <c r="AM17276" s="54">
        <v>2020</v>
      </c>
      <c r="AN17276" s="54" t="s">
        <v>193</v>
      </c>
      <c r="AO17276" s="54">
        <v>20</v>
      </c>
      <c r="AP17276" s="54">
        <v>18</v>
      </c>
      <c r="AQ17276" s="54">
        <v>0</v>
      </c>
      <c r="AR17276" s="55">
        <v>28500</v>
      </c>
      <c r="AS17276" s="78">
        <f t="shared" si="273"/>
        <v>0</v>
      </c>
    </row>
    <row r="17277" spans="39:45">
      <c r="AM17277" s="55">
        <v>2020</v>
      </c>
      <c r="AN17277" s="55" t="s">
        <v>193</v>
      </c>
      <c r="AO17277" s="55">
        <v>20</v>
      </c>
      <c r="AP17277" s="55">
        <v>19</v>
      </c>
      <c r="AQ17277" s="55">
        <v>0</v>
      </c>
      <c r="AR17277" s="55">
        <v>28500</v>
      </c>
      <c r="AS17277" s="78">
        <f t="shared" si="273"/>
        <v>0</v>
      </c>
    </row>
    <row r="17278" spans="39:45">
      <c r="AM17278" s="54">
        <v>2020</v>
      </c>
      <c r="AN17278" s="54" t="s">
        <v>193</v>
      </c>
      <c r="AO17278" s="54">
        <v>20</v>
      </c>
      <c r="AP17278" s="54">
        <v>20</v>
      </c>
      <c r="AQ17278" s="54">
        <v>0</v>
      </c>
      <c r="AR17278" s="55">
        <v>28500</v>
      </c>
      <c r="AS17278" s="78">
        <f t="shared" si="273"/>
        <v>0</v>
      </c>
    </row>
    <row r="17279" spans="39:45">
      <c r="AM17279" s="55">
        <v>2020</v>
      </c>
      <c r="AN17279" s="55" t="s">
        <v>193</v>
      </c>
      <c r="AO17279" s="55">
        <v>20</v>
      </c>
      <c r="AP17279" s="55">
        <v>21</v>
      </c>
      <c r="AQ17279" s="55">
        <v>0</v>
      </c>
      <c r="AR17279" s="55">
        <v>28500</v>
      </c>
      <c r="AS17279" s="78">
        <f t="shared" si="273"/>
        <v>0</v>
      </c>
    </row>
    <row r="17280" spans="39:45">
      <c r="AM17280" s="54">
        <v>2020</v>
      </c>
      <c r="AN17280" s="54" t="s">
        <v>193</v>
      </c>
      <c r="AO17280" s="54">
        <v>20</v>
      </c>
      <c r="AP17280" s="54">
        <v>22</v>
      </c>
      <c r="AQ17280" s="54">
        <v>0</v>
      </c>
      <c r="AR17280" s="55">
        <v>28500</v>
      </c>
      <c r="AS17280" s="78">
        <f t="shared" si="273"/>
        <v>0</v>
      </c>
    </row>
    <row r="17281" spans="39:45">
      <c r="AM17281" s="55">
        <v>2020</v>
      </c>
      <c r="AN17281" s="55" t="s">
        <v>193</v>
      </c>
      <c r="AO17281" s="55">
        <v>20</v>
      </c>
      <c r="AP17281" s="55">
        <v>23</v>
      </c>
      <c r="AQ17281" s="55">
        <v>0</v>
      </c>
      <c r="AR17281" s="55">
        <v>28500</v>
      </c>
      <c r="AS17281" s="78">
        <f t="shared" si="273"/>
        <v>0</v>
      </c>
    </row>
    <row r="17282" spans="39:45">
      <c r="AM17282" s="54">
        <v>2020</v>
      </c>
      <c r="AN17282" s="54" t="s">
        <v>193</v>
      </c>
      <c r="AO17282" s="54">
        <v>21</v>
      </c>
      <c r="AP17282" s="54">
        <v>24</v>
      </c>
      <c r="AQ17282" s="54">
        <v>0</v>
      </c>
      <c r="AR17282" s="55">
        <v>28500</v>
      </c>
      <c r="AS17282" s="78">
        <f t="shared" ref="AS17282:AS17345" si="274">AQ17282/AR17282</f>
        <v>0</v>
      </c>
    </row>
    <row r="17283" spans="39:45">
      <c r="AM17283" s="55">
        <v>2020</v>
      </c>
      <c r="AN17283" s="55" t="s">
        <v>193</v>
      </c>
      <c r="AO17283" s="55">
        <v>21</v>
      </c>
      <c r="AP17283" s="55">
        <v>1</v>
      </c>
      <c r="AQ17283" s="55">
        <v>0</v>
      </c>
      <c r="AR17283" s="55">
        <v>28500</v>
      </c>
      <c r="AS17283" s="78">
        <f t="shared" si="274"/>
        <v>0</v>
      </c>
    </row>
    <row r="17284" spans="39:45">
      <c r="AM17284" s="54">
        <v>2020</v>
      </c>
      <c r="AN17284" s="54" t="s">
        <v>193</v>
      </c>
      <c r="AO17284" s="54">
        <v>21</v>
      </c>
      <c r="AP17284" s="54">
        <v>2</v>
      </c>
      <c r="AQ17284" s="54">
        <v>0</v>
      </c>
      <c r="AR17284" s="55">
        <v>28500</v>
      </c>
      <c r="AS17284" s="78">
        <f t="shared" si="274"/>
        <v>0</v>
      </c>
    </row>
    <row r="17285" spans="39:45">
      <c r="AM17285" s="55">
        <v>2020</v>
      </c>
      <c r="AN17285" s="55" t="s">
        <v>193</v>
      </c>
      <c r="AO17285" s="55">
        <v>21</v>
      </c>
      <c r="AP17285" s="55">
        <v>3</v>
      </c>
      <c r="AQ17285" s="55">
        <v>0</v>
      </c>
      <c r="AR17285" s="55">
        <v>28500</v>
      </c>
      <c r="AS17285" s="78">
        <f t="shared" si="274"/>
        <v>0</v>
      </c>
    </row>
    <row r="17286" spans="39:45">
      <c r="AM17286" s="54">
        <v>2020</v>
      </c>
      <c r="AN17286" s="54" t="s">
        <v>193</v>
      </c>
      <c r="AO17286" s="54">
        <v>21</v>
      </c>
      <c r="AP17286" s="54">
        <v>4</v>
      </c>
      <c r="AQ17286" s="54">
        <v>0</v>
      </c>
      <c r="AR17286" s="55">
        <v>28500</v>
      </c>
      <c r="AS17286" s="78">
        <f t="shared" si="274"/>
        <v>0</v>
      </c>
    </row>
    <row r="17287" spans="39:45">
      <c r="AM17287" s="55">
        <v>2020</v>
      </c>
      <c r="AN17287" s="55" t="s">
        <v>193</v>
      </c>
      <c r="AO17287" s="55">
        <v>21</v>
      </c>
      <c r="AP17287" s="55">
        <v>5</v>
      </c>
      <c r="AQ17287" s="55">
        <v>0</v>
      </c>
      <c r="AR17287" s="55">
        <v>28500</v>
      </c>
      <c r="AS17287" s="78">
        <f t="shared" si="274"/>
        <v>0</v>
      </c>
    </row>
    <row r="17288" spans="39:45">
      <c r="AM17288" s="54">
        <v>2020</v>
      </c>
      <c r="AN17288" s="54" t="s">
        <v>193</v>
      </c>
      <c r="AO17288" s="54">
        <v>21</v>
      </c>
      <c r="AP17288" s="54">
        <v>6</v>
      </c>
      <c r="AQ17288" s="54">
        <v>0</v>
      </c>
      <c r="AR17288" s="55">
        <v>28500</v>
      </c>
      <c r="AS17288" s="78">
        <f t="shared" si="274"/>
        <v>0</v>
      </c>
    </row>
    <row r="17289" spans="39:45">
      <c r="AM17289" s="55">
        <v>2020</v>
      </c>
      <c r="AN17289" s="55" t="s">
        <v>193</v>
      </c>
      <c r="AO17289" s="55">
        <v>21</v>
      </c>
      <c r="AP17289" s="55">
        <v>7</v>
      </c>
      <c r="AQ17289" s="55">
        <v>0</v>
      </c>
      <c r="AR17289" s="55">
        <v>28500</v>
      </c>
      <c r="AS17289" s="78">
        <f t="shared" si="274"/>
        <v>0</v>
      </c>
    </row>
    <row r="17290" spans="39:45">
      <c r="AM17290" s="54">
        <v>2020</v>
      </c>
      <c r="AN17290" s="54" t="s">
        <v>193</v>
      </c>
      <c r="AO17290" s="54">
        <v>21</v>
      </c>
      <c r="AP17290" s="54">
        <v>8</v>
      </c>
      <c r="AQ17290" s="54">
        <v>0</v>
      </c>
      <c r="AR17290" s="55">
        <v>28500</v>
      </c>
      <c r="AS17290" s="78">
        <f t="shared" si="274"/>
        <v>0</v>
      </c>
    </row>
    <row r="17291" spans="39:45">
      <c r="AM17291" s="55">
        <v>2020</v>
      </c>
      <c r="AN17291" s="55" t="s">
        <v>193</v>
      </c>
      <c r="AO17291" s="55">
        <v>21</v>
      </c>
      <c r="AP17291" s="55">
        <v>9</v>
      </c>
      <c r="AQ17291" s="55">
        <v>389</v>
      </c>
      <c r="AR17291" s="55">
        <v>28500</v>
      </c>
      <c r="AS17291" s="78">
        <f t="shared" si="274"/>
        <v>1.3649122807017544E-2</v>
      </c>
    </row>
    <row r="17292" spans="39:45">
      <c r="AM17292" s="54">
        <v>2020</v>
      </c>
      <c r="AN17292" s="54" t="s">
        <v>193</v>
      </c>
      <c r="AO17292" s="54">
        <v>21</v>
      </c>
      <c r="AP17292" s="54">
        <v>10</v>
      </c>
      <c r="AQ17292" s="54">
        <v>1001.5</v>
      </c>
      <c r="AR17292" s="55">
        <v>28500</v>
      </c>
      <c r="AS17292" s="78">
        <f t="shared" si="274"/>
        <v>3.5140350877192986E-2</v>
      </c>
    </row>
    <row r="17293" spans="39:45">
      <c r="AM17293" s="55">
        <v>2020</v>
      </c>
      <c r="AN17293" s="55" t="s">
        <v>193</v>
      </c>
      <c r="AO17293" s="55">
        <v>21</v>
      </c>
      <c r="AP17293" s="55">
        <v>11</v>
      </c>
      <c r="AQ17293" s="55">
        <v>14790.5</v>
      </c>
      <c r="AR17293" s="55">
        <v>28500</v>
      </c>
      <c r="AS17293" s="78">
        <f t="shared" si="274"/>
        <v>0.51896491228070174</v>
      </c>
    </row>
    <row r="17294" spans="39:45">
      <c r="AM17294" s="54">
        <v>2020</v>
      </c>
      <c r="AN17294" s="54" t="s">
        <v>193</v>
      </c>
      <c r="AO17294" s="54">
        <v>21</v>
      </c>
      <c r="AP17294" s="54">
        <v>12</v>
      </c>
      <c r="AQ17294" s="54">
        <v>7225</v>
      </c>
      <c r="AR17294" s="55">
        <v>28500</v>
      </c>
      <c r="AS17294" s="78">
        <f t="shared" si="274"/>
        <v>0.25350877192982457</v>
      </c>
    </row>
    <row r="17295" spans="39:45">
      <c r="AM17295" s="55">
        <v>2020</v>
      </c>
      <c r="AN17295" s="55" t="s">
        <v>193</v>
      </c>
      <c r="AO17295" s="55">
        <v>21</v>
      </c>
      <c r="AP17295" s="55">
        <v>13</v>
      </c>
      <c r="AQ17295" s="55">
        <v>1696.5</v>
      </c>
      <c r="AR17295" s="55">
        <v>28500</v>
      </c>
      <c r="AS17295" s="78">
        <f t="shared" si="274"/>
        <v>5.9526315789473684E-2</v>
      </c>
    </row>
    <row r="17296" spans="39:45">
      <c r="AM17296" s="54">
        <v>2020</v>
      </c>
      <c r="AN17296" s="54" t="s">
        <v>193</v>
      </c>
      <c r="AO17296" s="54">
        <v>21</v>
      </c>
      <c r="AP17296" s="54">
        <v>14</v>
      </c>
      <c r="AQ17296" s="54">
        <v>6640.5</v>
      </c>
      <c r="AR17296" s="55">
        <v>28500</v>
      </c>
      <c r="AS17296" s="78">
        <f t="shared" si="274"/>
        <v>0.23300000000000001</v>
      </c>
    </row>
    <row r="17297" spans="39:45">
      <c r="AM17297" s="55">
        <v>2020</v>
      </c>
      <c r="AN17297" s="55" t="s">
        <v>193</v>
      </c>
      <c r="AO17297" s="55">
        <v>21</v>
      </c>
      <c r="AP17297" s="55">
        <v>15</v>
      </c>
      <c r="AQ17297" s="55">
        <v>536</v>
      </c>
      <c r="AR17297" s="55">
        <v>28500</v>
      </c>
      <c r="AS17297" s="78">
        <f t="shared" si="274"/>
        <v>1.8807017543859651E-2</v>
      </c>
    </row>
    <row r="17298" spans="39:45">
      <c r="AM17298" s="54">
        <v>2020</v>
      </c>
      <c r="AN17298" s="54" t="s">
        <v>193</v>
      </c>
      <c r="AO17298" s="54">
        <v>21</v>
      </c>
      <c r="AP17298" s="54">
        <v>16</v>
      </c>
      <c r="AQ17298" s="54">
        <v>0</v>
      </c>
      <c r="AR17298" s="55">
        <v>28500</v>
      </c>
      <c r="AS17298" s="78">
        <f t="shared" si="274"/>
        <v>0</v>
      </c>
    </row>
    <row r="17299" spans="39:45">
      <c r="AM17299" s="55">
        <v>2020</v>
      </c>
      <c r="AN17299" s="55" t="s">
        <v>193</v>
      </c>
      <c r="AO17299" s="55">
        <v>21</v>
      </c>
      <c r="AP17299" s="55">
        <v>17</v>
      </c>
      <c r="AQ17299" s="55">
        <v>0</v>
      </c>
      <c r="AR17299" s="55">
        <v>28500</v>
      </c>
      <c r="AS17299" s="78">
        <f t="shared" si="274"/>
        <v>0</v>
      </c>
    </row>
    <row r="17300" spans="39:45">
      <c r="AM17300" s="54">
        <v>2020</v>
      </c>
      <c r="AN17300" s="54" t="s">
        <v>193</v>
      </c>
      <c r="AO17300" s="54">
        <v>21</v>
      </c>
      <c r="AP17300" s="54">
        <v>18</v>
      </c>
      <c r="AQ17300" s="54">
        <v>0</v>
      </c>
      <c r="AR17300" s="55">
        <v>28500</v>
      </c>
      <c r="AS17300" s="78">
        <f t="shared" si="274"/>
        <v>0</v>
      </c>
    </row>
    <row r="17301" spans="39:45">
      <c r="AM17301" s="55">
        <v>2020</v>
      </c>
      <c r="AN17301" s="55" t="s">
        <v>193</v>
      </c>
      <c r="AO17301" s="55">
        <v>21</v>
      </c>
      <c r="AP17301" s="55">
        <v>19</v>
      </c>
      <c r="AQ17301" s="55">
        <v>0</v>
      </c>
      <c r="AR17301" s="55">
        <v>28500</v>
      </c>
      <c r="AS17301" s="78">
        <f t="shared" si="274"/>
        <v>0</v>
      </c>
    </row>
    <row r="17302" spans="39:45">
      <c r="AM17302" s="54">
        <v>2020</v>
      </c>
      <c r="AN17302" s="54" t="s">
        <v>193</v>
      </c>
      <c r="AO17302" s="54">
        <v>21</v>
      </c>
      <c r="AP17302" s="54">
        <v>20</v>
      </c>
      <c r="AQ17302" s="54">
        <v>0</v>
      </c>
      <c r="AR17302" s="55">
        <v>28500</v>
      </c>
      <c r="AS17302" s="78">
        <f t="shared" si="274"/>
        <v>0</v>
      </c>
    </row>
    <row r="17303" spans="39:45">
      <c r="AM17303" s="55">
        <v>2020</v>
      </c>
      <c r="AN17303" s="55" t="s">
        <v>193</v>
      </c>
      <c r="AO17303" s="55">
        <v>21</v>
      </c>
      <c r="AP17303" s="55">
        <v>21</v>
      </c>
      <c r="AQ17303" s="55">
        <v>0</v>
      </c>
      <c r="AR17303" s="55">
        <v>28500</v>
      </c>
      <c r="AS17303" s="78">
        <f t="shared" si="274"/>
        <v>0</v>
      </c>
    </row>
    <row r="17304" spans="39:45">
      <c r="AM17304" s="54">
        <v>2020</v>
      </c>
      <c r="AN17304" s="54" t="s">
        <v>193</v>
      </c>
      <c r="AO17304" s="54">
        <v>21</v>
      </c>
      <c r="AP17304" s="54">
        <v>22</v>
      </c>
      <c r="AQ17304" s="54">
        <v>0</v>
      </c>
      <c r="AR17304" s="55">
        <v>28500</v>
      </c>
      <c r="AS17304" s="78">
        <f t="shared" si="274"/>
        <v>0</v>
      </c>
    </row>
    <row r="17305" spans="39:45">
      <c r="AM17305" s="55">
        <v>2020</v>
      </c>
      <c r="AN17305" s="55" t="s">
        <v>193</v>
      </c>
      <c r="AO17305" s="55">
        <v>21</v>
      </c>
      <c r="AP17305" s="55">
        <v>23</v>
      </c>
      <c r="AQ17305" s="55">
        <v>0</v>
      </c>
      <c r="AR17305" s="55">
        <v>28500</v>
      </c>
      <c r="AS17305" s="78">
        <f t="shared" si="274"/>
        <v>0</v>
      </c>
    </row>
    <row r="17306" spans="39:45">
      <c r="AM17306" s="54">
        <v>2020</v>
      </c>
      <c r="AN17306" s="54" t="s">
        <v>193</v>
      </c>
      <c r="AO17306" s="54">
        <v>22</v>
      </c>
      <c r="AP17306" s="54">
        <v>24</v>
      </c>
      <c r="AQ17306" s="54">
        <v>0</v>
      </c>
      <c r="AR17306" s="55">
        <v>28500</v>
      </c>
      <c r="AS17306" s="78">
        <f t="shared" si="274"/>
        <v>0</v>
      </c>
    </row>
    <row r="17307" spans="39:45">
      <c r="AM17307" s="55">
        <v>2020</v>
      </c>
      <c r="AN17307" s="55" t="s">
        <v>193</v>
      </c>
      <c r="AO17307" s="55">
        <v>22</v>
      </c>
      <c r="AP17307" s="55">
        <v>1</v>
      </c>
      <c r="AQ17307" s="55">
        <v>0</v>
      </c>
      <c r="AR17307" s="55">
        <v>28500</v>
      </c>
      <c r="AS17307" s="78">
        <f t="shared" si="274"/>
        <v>0</v>
      </c>
    </row>
    <row r="17308" spans="39:45">
      <c r="AM17308" s="54">
        <v>2020</v>
      </c>
      <c r="AN17308" s="54" t="s">
        <v>193</v>
      </c>
      <c r="AO17308" s="54">
        <v>22</v>
      </c>
      <c r="AP17308" s="54">
        <v>2</v>
      </c>
      <c r="AQ17308" s="54">
        <v>0</v>
      </c>
      <c r="AR17308" s="55">
        <v>28500</v>
      </c>
      <c r="AS17308" s="78">
        <f t="shared" si="274"/>
        <v>0</v>
      </c>
    </row>
    <row r="17309" spans="39:45">
      <c r="AM17309" s="55">
        <v>2020</v>
      </c>
      <c r="AN17309" s="55" t="s">
        <v>193</v>
      </c>
      <c r="AO17309" s="55">
        <v>22</v>
      </c>
      <c r="AP17309" s="55">
        <v>3</v>
      </c>
      <c r="AQ17309" s="55">
        <v>0</v>
      </c>
      <c r="AR17309" s="55">
        <v>28500</v>
      </c>
      <c r="AS17309" s="78">
        <f t="shared" si="274"/>
        <v>0</v>
      </c>
    </row>
    <row r="17310" spans="39:45">
      <c r="AM17310" s="54">
        <v>2020</v>
      </c>
      <c r="AN17310" s="54" t="s">
        <v>193</v>
      </c>
      <c r="AO17310" s="54">
        <v>22</v>
      </c>
      <c r="AP17310" s="54">
        <v>4</v>
      </c>
      <c r="AQ17310" s="54">
        <v>0</v>
      </c>
      <c r="AR17310" s="55">
        <v>28500</v>
      </c>
      <c r="AS17310" s="78">
        <f t="shared" si="274"/>
        <v>0</v>
      </c>
    </row>
    <row r="17311" spans="39:45">
      <c r="AM17311" s="55">
        <v>2020</v>
      </c>
      <c r="AN17311" s="55" t="s">
        <v>193</v>
      </c>
      <c r="AO17311" s="55">
        <v>22</v>
      </c>
      <c r="AP17311" s="55">
        <v>5</v>
      </c>
      <c r="AQ17311" s="55">
        <v>0</v>
      </c>
      <c r="AR17311" s="55">
        <v>28500</v>
      </c>
      <c r="AS17311" s="78">
        <f t="shared" si="274"/>
        <v>0</v>
      </c>
    </row>
    <row r="17312" spans="39:45">
      <c r="AM17312" s="54">
        <v>2020</v>
      </c>
      <c r="AN17312" s="54" t="s">
        <v>193</v>
      </c>
      <c r="AO17312" s="54">
        <v>22</v>
      </c>
      <c r="AP17312" s="54">
        <v>6</v>
      </c>
      <c r="AQ17312" s="54">
        <v>0</v>
      </c>
      <c r="AR17312" s="55">
        <v>28500</v>
      </c>
      <c r="AS17312" s="78">
        <f t="shared" si="274"/>
        <v>0</v>
      </c>
    </row>
    <row r="17313" spans="39:45">
      <c r="AM17313" s="55">
        <v>2020</v>
      </c>
      <c r="AN17313" s="55" t="s">
        <v>193</v>
      </c>
      <c r="AO17313" s="55">
        <v>22</v>
      </c>
      <c r="AP17313" s="55">
        <v>7</v>
      </c>
      <c r="AQ17313" s="55">
        <v>0</v>
      </c>
      <c r="AR17313" s="55">
        <v>28500</v>
      </c>
      <c r="AS17313" s="78">
        <f t="shared" si="274"/>
        <v>0</v>
      </c>
    </row>
    <row r="17314" spans="39:45">
      <c r="AM17314" s="54">
        <v>2020</v>
      </c>
      <c r="AN17314" s="54" t="s">
        <v>193</v>
      </c>
      <c r="AO17314" s="54">
        <v>22</v>
      </c>
      <c r="AP17314" s="54">
        <v>8</v>
      </c>
      <c r="AQ17314" s="54">
        <v>0</v>
      </c>
      <c r="AR17314" s="55">
        <v>28500</v>
      </c>
      <c r="AS17314" s="78">
        <f t="shared" si="274"/>
        <v>0</v>
      </c>
    </row>
    <row r="17315" spans="39:45">
      <c r="AM17315" s="55">
        <v>2020</v>
      </c>
      <c r="AN17315" s="55" t="s">
        <v>193</v>
      </c>
      <c r="AO17315" s="55">
        <v>22</v>
      </c>
      <c r="AP17315" s="55">
        <v>9</v>
      </c>
      <c r="AQ17315" s="55">
        <v>1379</v>
      </c>
      <c r="AR17315" s="55">
        <v>28500</v>
      </c>
      <c r="AS17315" s="78">
        <f t="shared" si="274"/>
        <v>4.8385964912280699E-2</v>
      </c>
    </row>
    <row r="17316" spans="39:45">
      <c r="AM17316" s="54">
        <v>2020</v>
      </c>
      <c r="AN17316" s="54" t="s">
        <v>193</v>
      </c>
      <c r="AO17316" s="54">
        <v>22</v>
      </c>
      <c r="AP17316" s="54">
        <v>10</v>
      </c>
      <c r="AQ17316" s="54">
        <v>9678.5</v>
      </c>
      <c r="AR17316" s="55">
        <v>28500</v>
      </c>
      <c r="AS17316" s="78">
        <f t="shared" si="274"/>
        <v>0.33959649122807017</v>
      </c>
    </row>
    <row r="17317" spans="39:45">
      <c r="AM17317" s="55">
        <v>2020</v>
      </c>
      <c r="AN17317" s="55" t="s">
        <v>193</v>
      </c>
      <c r="AO17317" s="55">
        <v>22</v>
      </c>
      <c r="AP17317" s="55">
        <v>11</v>
      </c>
      <c r="AQ17317" s="55">
        <v>11363</v>
      </c>
      <c r="AR17317" s="55">
        <v>28500</v>
      </c>
      <c r="AS17317" s="78">
        <f t="shared" si="274"/>
        <v>0.39870175438596489</v>
      </c>
    </row>
    <row r="17318" spans="39:45">
      <c r="AM17318" s="54">
        <v>2020</v>
      </c>
      <c r="AN17318" s="54" t="s">
        <v>193</v>
      </c>
      <c r="AO17318" s="54">
        <v>22</v>
      </c>
      <c r="AP17318" s="54">
        <v>12</v>
      </c>
      <c r="AQ17318" s="54">
        <v>7653.5</v>
      </c>
      <c r="AR17318" s="55">
        <v>28500</v>
      </c>
      <c r="AS17318" s="78">
        <f t="shared" si="274"/>
        <v>0.26854385964912281</v>
      </c>
    </row>
    <row r="17319" spans="39:45">
      <c r="AM17319" s="55">
        <v>2020</v>
      </c>
      <c r="AN17319" s="55" t="s">
        <v>193</v>
      </c>
      <c r="AO17319" s="55">
        <v>22</v>
      </c>
      <c r="AP17319" s="55">
        <v>13</v>
      </c>
      <c r="AQ17319" s="55">
        <v>3864</v>
      </c>
      <c r="AR17319" s="55">
        <v>28500</v>
      </c>
      <c r="AS17319" s="78">
        <f t="shared" si="274"/>
        <v>0.13557894736842105</v>
      </c>
    </row>
    <row r="17320" spans="39:45">
      <c r="AM17320" s="54">
        <v>2020</v>
      </c>
      <c r="AN17320" s="54" t="s">
        <v>193</v>
      </c>
      <c r="AO17320" s="54">
        <v>22</v>
      </c>
      <c r="AP17320" s="54">
        <v>14</v>
      </c>
      <c r="AQ17320" s="54">
        <v>478.5</v>
      </c>
      <c r="AR17320" s="55">
        <v>28500</v>
      </c>
      <c r="AS17320" s="78">
        <f t="shared" si="274"/>
        <v>1.6789473684210528E-2</v>
      </c>
    </row>
    <row r="17321" spans="39:45">
      <c r="AM17321" s="55">
        <v>2020</v>
      </c>
      <c r="AN17321" s="55" t="s">
        <v>193</v>
      </c>
      <c r="AO17321" s="55">
        <v>22</v>
      </c>
      <c r="AP17321" s="55">
        <v>15</v>
      </c>
      <c r="AQ17321" s="55">
        <v>95</v>
      </c>
      <c r="AR17321" s="55">
        <v>28500</v>
      </c>
      <c r="AS17321" s="78">
        <f t="shared" si="274"/>
        <v>3.3333333333333335E-3</v>
      </c>
    </row>
    <row r="17322" spans="39:45">
      <c r="AM17322" s="54">
        <v>2020</v>
      </c>
      <c r="AN17322" s="54" t="s">
        <v>193</v>
      </c>
      <c r="AO17322" s="54">
        <v>22</v>
      </c>
      <c r="AP17322" s="54">
        <v>16</v>
      </c>
      <c r="AQ17322" s="54">
        <v>0</v>
      </c>
      <c r="AR17322" s="55">
        <v>28500</v>
      </c>
      <c r="AS17322" s="78">
        <f t="shared" si="274"/>
        <v>0</v>
      </c>
    </row>
    <row r="17323" spans="39:45">
      <c r="AM17323" s="55">
        <v>2020</v>
      </c>
      <c r="AN17323" s="55" t="s">
        <v>193</v>
      </c>
      <c r="AO17323" s="55">
        <v>22</v>
      </c>
      <c r="AP17323" s="55">
        <v>17</v>
      </c>
      <c r="AQ17323" s="55">
        <v>0</v>
      </c>
      <c r="AR17323" s="55">
        <v>28500</v>
      </c>
      <c r="AS17323" s="78">
        <f t="shared" si="274"/>
        <v>0</v>
      </c>
    </row>
    <row r="17324" spans="39:45">
      <c r="AM17324" s="54">
        <v>2020</v>
      </c>
      <c r="AN17324" s="54" t="s">
        <v>193</v>
      </c>
      <c r="AO17324" s="54">
        <v>22</v>
      </c>
      <c r="AP17324" s="54">
        <v>18</v>
      </c>
      <c r="AQ17324" s="54">
        <v>0</v>
      </c>
      <c r="AR17324" s="55">
        <v>28500</v>
      </c>
      <c r="AS17324" s="78">
        <f t="shared" si="274"/>
        <v>0</v>
      </c>
    </row>
    <row r="17325" spans="39:45">
      <c r="AM17325" s="55">
        <v>2020</v>
      </c>
      <c r="AN17325" s="55" t="s">
        <v>193</v>
      </c>
      <c r="AO17325" s="55">
        <v>22</v>
      </c>
      <c r="AP17325" s="55">
        <v>19</v>
      </c>
      <c r="AQ17325" s="55">
        <v>0</v>
      </c>
      <c r="AR17325" s="55">
        <v>28500</v>
      </c>
      <c r="AS17325" s="78">
        <f t="shared" si="274"/>
        <v>0</v>
      </c>
    </row>
    <row r="17326" spans="39:45">
      <c r="AM17326" s="54">
        <v>2020</v>
      </c>
      <c r="AN17326" s="54" t="s">
        <v>193</v>
      </c>
      <c r="AO17326" s="54">
        <v>22</v>
      </c>
      <c r="AP17326" s="54">
        <v>20</v>
      </c>
      <c r="AQ17326" s="54">
        <v>0</v>
      </c>
      <c r="AR17326" s="55">
        <v>28500</v>
      </c>
      <c r="AS17326" s="78">
        <f t="shared" si="274"/>
        <v>0</v>
      </c>
    </row>
    <row r="17327" spans="39:45">
      <c r="AM17327" s="55">
        <v>2020</v>
      </c>
      <c r="AN17327" s="55" t="s">
        <v>193</v>
      </c>
      <c r="AO17327" s="55">
        <v>22</v>
      </c>
      <c r="AP17327" s="55">
        <v>21</v>
      </c>
      <c r="AQ17327" s="55">
        <v>0</v>
      </c>
      <c r="AR17327" s="55">
        <v>28500</v>
      </c>
      <c r="AS17327" s="78">
        <f t="shared" si="274"/>
        <v>0</v>
      </c>
    </row>
    <row r="17328" spans="39:45">
      <c r="AM17328" s="54">
        <v>2020</v>
      </c>
      <c r="AN17328" s="54" t="s">
        <v>193</v>
      </c>
      <c r="AO17328" s="54">
        <v>22</v>
      </c>
      <c r="AP17328" s="54">
        <v>22</v>
      </c>
      <c r="AQ17328" s="54">
        <v>0</v>
      </c>
      <c r="AR17328" s="55">
        <v>28500</v>
      </c>
      <c r="AS17328" s="78">
        <f t="shared" si="274"/>
        <v>0</v>
      </c>
    </row>
    <row r="17329" spans="39:45">
      <c r="AM17329" s="55">
        <v>2020</v>
      </c>
      <c r="AN17329" s="55" t="s">
        <v>193</v>
      </c>
      <c r="AO17329" s="55">
        <v>22</v>
      </c>
      <c r="AP17329" s="55">
        <v>23</v>
      </c>
      <c r="AQ17329" s="55">
        <v>0</v>
      </c>
      <c r="AR17329" s="55">
        <v>28500</v>
      </c>
      <c r="AS17329" s="78">
        <f t="shared" si="274"/>
        <v>0</v>
      </c>
    </row>
    <row r="17330" spans="39:45">
      <c r="AM17330" s="54">
        <v>2020</v>
      </c>
      <c r="AN17330" s="54" t="s">
        <v>193</v>
      </c>
      <c r="AO17330" s="54">
        <v>23</v>
      </c>
      <c r="AP17330" s="54">
        <v>24</v>
      </c>
      <c r="AQ17330" s="54">
        <v>0</v>
      </c>
      <c r="AR17330" s="55">
        <v>28500</v>
      </c>
      <c r="AS17330" s="78">
        <f t="shared" si="274"/>
        <v>0</v>
      </c>
    </row>
    <row r="17331" spans="39:45">
      <c r="AM17331" s="55">
        <v>2020</v>
      </c>
      <c r="AN17331" s="55" t="s">
        <v>193</v>
      </c>
      <c r="AO17331" s="55">
        <v>23</v>
      </c>
      <c r="AP17331" s="55">
        <v>1</v>
      </c>
      <c r="AQ17331" s="55">
        <v>0</v>
      </c>
      <c r="AR17331" s="55">
        <v>28500</v>
      </c>
      <c r="AS17331" s="78">
        <f t="shared" si="274"/>
        <v>0</v>
      </c>
    </row>
    <row r="17332" spans="39:45">
      <c r="AM17332" s="54">
        <v>2020</v>
      </c>
      <c r="AN17332" s="54" t="s">
        <v>193</v>
      </c>
      <c r="AO17332" s="54">
        <v>23</v>
      </c>
      <c r="AP17332" s="54">
        <v>2</v>
      </c>
      <c r="AQ17332" s="54">
        <v>0</v>
      </c>
      <c r="AR17332" s="55">
        <v>28500</v>
      </c>
      <c r="AS17332" s="78">
        <f t="shared" si="274"/>
        <v>0</v>
      </c>
    </row>
    <row r="17333" spans="39:45">
      <c r="AM17333" s="55">
        <v>2020</v>
      </c>
      <c r="AN17333" s="55" t="s">
        <v>193</v>
      </c>
      <c r="AO17333" s="55">
        <v>23</v>
      </c>
      <c r="AP17333" s="55">
        <v>3</v>
      </c>
      <c r="AQ17333" s="55">
        <v>0</v>
      </c>
      <c r="AR17333" s="55">
        <v>28500</v>
      </c>
      <c r="AS17333" s="78">
        <f t="shared" si="274"/>
        <v>0</v>
      </c>
    </row>
    <row r="17334" spans="39:45">
      <c r="AM17334" s="54">
        <v>2020</v>
      </c>
      <c r="AN17334" s="54" t="s">
        <v>193</v>
      </c>
      <c r="AO17334" s="54">
        <v>23</v>
      </c>
      <c r="AP17334" s="54">
        <v>4</v>
      </c>
      <c r="AQ17334" s="54">
        <v>0</v>
      </c>
      <c r="AR17334" s="55">
        <v>28500</v>
      </c>
      <c r="AS17334" s="78">
        <f t="shared" si="274"/>
        <v>0</v>
      </c>
    </row>
    <row r="17335" spans="39:45">
      <c r="AM17335" s="55">
        <v>2020</v>
      </c>
      <c r="AN17335" s="55" t="s">
        <v>193</v>
      </c>
      <c r="AO17335" s="55">
        <v>23</v>
      </c>
      <c r="AP17335" s="55">
        <v>5</v>
      </c>
      <c r="AQ17335" s="55">
        <v>0</v>
      </c>
      <c r="AR17335" s="55">
        <v>28500</v>
      </c>
      <c r="AS17335" s="78">
        <f t="shared" si="274"/>
        <v>0</v>
      </c>
    </row>
    <row r="17336" spans="39:45">
      <c r="AM17336" s="54">
        <v>2020</v>
      </c>
      <c r="AN17336" s="54" t="s">
        <v>193</v>
      </c>
      <c r="AO17336" s="54">
        <v>23</v>
      </c>
      <c r="AP17336" s="54">
        <v>6</v>
      </c>
      <c r="AQ17336" s="54">
        <v>0</v>
      </c>
      <c r="AR17336" s="55">
        <v>28500</v>
      </c>
      <c r="AS17336" s="78">
        <f t="shared" si="274"/>
        <v>0</v>
      </c>
    </row>
    <row r="17337" spans="39:45">
      <c r="AM17337" s="55">
        <v>2020</v>
      </c>
      <c r="AN17337" s="55" t="s">
        <v>193</v>
      </c>
      <c r="AO17337" s="55">
        <v>23</v>
      </c>
      <c r="AP17337" s="55">
        <v>7</v>
      </c>
      <c r="AQ17337" s="55">
        <v>0</v>
      </c>
      <c r="AR17337" s="55">
        <v>28500</v>
      </c>
      <c r="AS17337" s="78">
        <f t="shared" si="274"/>
        <v>0</v>
      </c>
    </row>
    <row r="17338" spans="39:45">
      <c r="AM17338" s="54">
        <v>2020</v>
      </c>
      <c r="AN17338" s="54" t="s">
        <v>193</v>
      </c>
      <c r="AO17338" s="54">
        <v>23</v>
      </c>
      <c r="AP17338" s="54">
        <v>8</v>
      </c>
      <c r="AQ17338" s="54">
        <v>0</v>
      </c>
      <c r="AR17338" s="55">
        <v>28500</v>
      </c>
      <c r="AS17338" s="78">
        <f t="shared" si="274"/>
        <v>0</v>
      </c>
    </row>
    <row r="17339" spans="39:45">
      <c r="AM17339" s="55">
        <v>2020</v>
      </c>
      <c r="AN17339" s="55" t="s">
        <v>193</v>
      </c>
      <c r="AO17339" s="55">
        <v>23</v>
      </c>
      <c r="AP17339" s="55">
        <v>9</v>
      </c>
      <c r="AQ17339" s="55">
        <v>9186</v>
      </c>
      <c r="AR17339" s="55">
        <v>28500</v>
      </c>
      <c r="AS17339" s="78">
        <f t="shared" si="274"/>
        <v>0.32231578947368422</v>
      </c>
    </row>
    <row r="17340" spans="39:45">
      <c r="AM17340" s="54">
        <v>2020</v>
      </c>
      <c r="AN17340" s="54" t="s">
        <v>193</v>
      </c>
      <c r="AO17340" s="54">
        <v>23</v>
      </c>
      <c r="AP17340" s="54">
        <v>10</v>
      </c>
      <c r="AQ17340" s="54">
        <v>2557</v>
      </c>
      <c r="AR17340" s="55">
        <v>28500</v>
      </c>
      <c r="AS17340" s="78">
        <f t="shared" si="274"/>
        <v>8.9719298245614032E-2</v>
      </c>
    </row>
    <row r="17341" spans="39:45">
      <c r="AM17341" s="55">
        <v>2020</v>
      </c>
      <c r="AN17341" s="55" t="s">
        <v>193</v>
      </c>
      <c r="AO17341" s="55">
        <v>23</v>
      </c>
      <c r="AP17341" s="55">
        <v>11</v>
      </c>
      <c r="AQ17341" s="55">
        <v>475.5</v>
      </c>
      <c r="AR17341" s="55">
        <v>28500</v>
      </c>
      <c r="AS17341" s="78">
        <f t="shared" si="274"/>
        <v>1.6684210526315791E-2</v>
      </c>
    </row>
    <row r="17342" spans="39:45">
      <c r="AM17342" s="54">
        <v>2020</v>
      </c>
      <c r="AN17342" s="54" t="s">
        <v>193</v>
      </c>
      <c r="AO17342" s="54">
        <v>23</v>
      </c>
      <c r="AP17342" s="54">
        <v>12</v>
      </c>
      <c r="AQ17342" s="54">
        <v>8430.5</v>
      </c>
      <c r="AR17342" s="55">
        <v>28500</v>
      </c>
      <c r="AS17342" s="78">
        <f t="shared" si="274"/>
        <v>0.29580701754385963</v>
      </c>
    </row>
    <row r="17343" spans="39:45">
      <c r="AM17343" s="55">
        <v>2020</v>
      </c>
      <c r="AN17343" s="55" t="s">
        <v>193</v>
      </c>
      <c r="AO17343" s="55">
        <v>23</v>
      </c>
      <c r="AP17343" s="55">
        <v>13</v>
      </c>
      <c r="AQ17343" s="55">
        <v>794</v>
      </c>
      <c r="AR17343" s="55">
        <v>28500</v>
      </c>
      <c r="AS17343" s="78">
        <f t="shared" si="274"/>
        <v>2.7859649122807018E-2</v>
      </c>
    </row>
    <row r="17344" spans="39:45">
      <c r="AM17344" s="54">
        <v>2020</v>
      </c>
      <c r="AN17344" s="54" t="s">
        <v>193</v>
      </c>
      <c r="AO17344" s="54">
        <v>23</v>
      </c>
      <c r="AP17344" s="54">
        <v>14</v>
      </c>
      <c r="AQ17344" s="54">
        <v>7369</v>
      </c>
      <c r="AR17344" s="55">
        <v>28500</v>
      </c>
      <c r="AS17344" s="78">
        <f t="shared" si="274"/>
        <v>0.25856140350877194</v>
      </c>
    </row>
    <row r="17345" spans="39:45">
      <c r="AM17345" s="55">
        <v>2020</v>
      </c>
      <c r="AN17345" s="55" t="s">
        <v>193</v>
      </c>
      <c r="AO17345" s="55">
        <v>23</v>
      </c>
      <c r="AP17345" s="55">
        <v>15</v>
      </c>
      <c r="AQ17345" s="55">
        <v>7348</v>
      </c>
      <c r="AR17345" s="55">
        <v>28500</v>
      </c>
      <c r="AS17345" s="78">
        <f t="shared" si="274"/>
        <v>0.25782456140350879</v>
      </c>
    </row>
    <row r="17346" spans="39:45">
      <c r="AM17346" s="54">
        <v>2020</v>
      </c>
      <c r="AN17346" s="54" t="s">
        <v>193</v>
      </c>
      <c r="AO17346" s="54">
        <v>23</v>
      </c>
      <c r="AP17346" s="54">
        <v>16</v>
      </c>
      <c r="AQ17346" s="54">
        <v>0</v>
      </c>
      <c r="AR17346" s="55">
        <v>28500</v>
      </c>
      <c r="AS17346" s="78">
        <f t="shared" ref="AS17346:AS17409" si="275">AQ17346/AR17346</f>
        <v>0</v>
      </c>
    </row>
    <row r="17347" spans="39:45">
      <c r="AM17347" s="55">
        <v>2020</v>
      </c>
      <c r="AN17347" s="55" t="s">
        <v>193</v>
      </c>
      <c r="AO17347" s="55">
        <v>23</v>
      </c>
      <c r="AP17347" s="55">
        <v>17</v>
      </c>
      <c r="AQ17347" s="55">
        <v>0</v>
      </c>
      <c r="AR17347" s="55">
        <v>28500</v>
      </c>
      <c r="AS17347" s="78">
        <f t="shared" si="275"/>
        <v>0</v>
      </c>
    </row>
    <row r="17348" spans="39:45">
      <c r="AM17348" s="54">
        <v>2020</v>
      </c>
      <c r="AN17348" s="54" t="s">
        <v>193</v>
      </c>
      <c r="AO17348" s="54">
        <v>23</v>
      </c>
      <c r="AP17348" s="54">
        <v>18</v>
      </c>
      <c r="AQ17348" s="54">
        <v>0</v>
      </c>
      <c r="AR17348" s="55">
        <v>28500</v>
      </c>
      <c r="AS17348" s="78">
        <f t="shared" si="275"/>
        <v>0</v>
      </c>
    </row>
    <row r="17349" spans="39:45">
      <c r="AM17349" s="55">
        <v>2020</v>
      </c>
      <c r="AN17349" s="55" t="s">
        <v>193</v>
      </c>
      <c r="AO17349" s="55">
        <v>23</v>
      </c>
      <c r="AP17349" s="55">
        <v>19</v>
      </c>
      <c r="AQ17349" s="55">
        <v>0</v>
      </c>
      <c r="AR17349" s="55">
        <v>28500</v>
      </c>
      <c r="AS17349" s="78">
        <f t="shared" si="275"/>
        <v>0</v>
      </c>
    </row>
    <row r="17350" spans="39:45">
      <c r="AM17350" s="54">
        <v>2020</v>
      </c>
      <c r="AN17350" s="54" t="s">
        <v>193</v>
      </c>
      <c r="AO17350" s="54">
        <v>23</v>
      </c>
      <c r="AP17350" s="54">
        <v>20</v>
      </c>
      <c r="AQ17350" s="54">
        <v>0</v>
      </c>
      <c r="AR17350" s="55">
        <v>28500</v>
      </c>
      <c r="AS17350" s="78">
        <f t="shared" si="275"/>
        <v>0</v>
      </c>
    </row>
    <row r="17351" spans="39:45">
      <c r="AM17351" s="55">
        <v>2020</v>
      </c>
      <c r="AN17351" s="55" t="s">
        <v>193</v>
      </c>
      <c r="AO17351" s="55">
        <v>23</v>
      </c>
      <c r="AP17351" s="55">
        <v>21</v>
      </c>
      <c r="AQ17351" s="55">
        <v>0</v>
      </c>
      <c r="AR17351" s="55">
        <v>28500</v>
      </c>
      <c r="AS17351" s="78">
        <f t="shared" si="275"/>
        <v>0</v>
      </c>
    </row>
    <row r="17352" spans="39:45">
      <c r="AM17352" s="54">
        <v>2020</v>
      </c>
      <c r="AN17352" s="54" t="s">
        <v>193</v>
      </c>
      <c r="AO17352" s="54">
        <v>23</v>
      </c>
      <c r="AP17352" s="54">
        <v>22</v>
      </c>
      <c r="AQ17352" s="54">
        <v>0</v>
      </c>
      <c r="AR17352" s="55">
        <v>28500</v>
      </c>
      <c r="AS17352" s="78">
        <f t="shared" si="275"/>
        <v>0</v>
      </c>
    </row>
    <row r="17353" spans="39:45">
      <c r="AM17353" s="55">
        <v>2020</v>
      </c>
      <c r="AN17353" s="55" t="s">
        <v>193</v>
      </c>
      <c r="AO17353" s="55">
        <v>23</v>
      </c>
      <c r="AP17353" s="55">
        <v>23</v>
      </c>
      <c r="AQ17353" s="55">
        <v>0</v>
      </c>
      <c r="AR17353" s="55">
        <v>28500</v>
      </c>
      <c r="AS17353" s="78">
        <f t="shared" si="275"/>
        <v>0</v>
      </c>
    </row>
    <row r="17354" spans="39:45">
      <c r="AM17354" s="54">
        <v>2020</v>
      </c>
      <c r="AN17354" s="54" t="s">
        <v>193</v>
      </c>
      <c r="AO17354" s="54">
        <v>24</v>
      </c>
      <c r="AP17354" s="54">
        <v>24</v>
      </c>
      <c r="AQ17354" s="54">
        <v>0</v>
      </c>
      <c r="AR17354" s="55">
        <v>28500</v>
      </c>
      <c r="AS17354" s="78">
        <f t="shared" si="275"/>
        <v>0</v>
      </c>
    </row>
    <row r="17355" spans="39:45">
      <c r="AM17355" s="55">
        <v>2020</v>
      </c>
      <c r="AN17355" s="55" t="s">
        <v>193</v>
      </c>
      <c r="AO17355" s="55">
        <v>24</v>
      </c>
      <c r="AP17355" s="55">
        <v>1</v>
      </c>
      <c r="AQ17355" s="55">
        <v>0</v>
      </c>
      <c r="AR17355" s="55">
        <v>28500</v>
      </c>
      <c r="AS17355" s="78">
        <f t="shared" si="275"/>
        <v>0</v>
      </c>
    </row>
    <row r="17356" spans="39:45">
      <c r="AM17356" s="54">
        <v>2020</v>
      </c>
      <c r="AN17356" s="54" t="s">
        <v>193</v>
      </c>
      <c r="AO17356" s="54">
        <v>24</v>
      </c>
      <c r="AP17356" s="54">
        <v>2</v>
      </c>
      <c r="AQ17356" s="54">
        <v>0</v>
      </c>
      <c r="AR17356" s="55">
        <v>28500</v>
      </c>
      <c r="AS17356" s="78">
        <f t="shared" si="275"/>
        <v>0</v>
      </c>
    </row>
    <row r="17357" spans="39:45">
      <c r="AM17357" s="55">
        <v>2020</v>
      </c>
      <c r="AN17357" s="55" t="s">
        <v>193</v>
      </c>
      <c r="AO17357" s="55">
        <v>24</v>
      </c>
      <c r="AP17357" s="55">
        <v>3</v>
      </c>
      <c r="AQ17357" s="55">
        <v>0</v>
      </c>
      <c r="AR17357" s="55">
        <v>28500</v>
      </c>
      <c r="AS17357" s="78">
        <f t="shared" si="275"/>
        <v>0</v>
      </c>
    </row>
    <row r="17358" spans="39:45">
      <c r="AM17358" s="54">
        <v>2020</v>
      </c>
      <c r="AN17358" s="54" t="s">
        <v>193</v>
      </c>
      <c r="AO17358" s="54">
        <v>24</v>
      </c>
      <c r="AP17358" s="54">
        <v>4</v>
      </c>
      <c r="AQ17358" s="54">
        <v>0</v>
      </c>
      <c r="AR17358" s="55">
        <v>28500</v>
      </c>
      <c r="AS17358" s="78">
        <f t="shared" si="275"/>
        <v>0</v>
      </c>
    </row>
    <row r="17359" spans="39:45">
      <c r="AM17359" s="55">
        <v>2020</v>
      </c>
      <c r="AN17359" s="55" t="s">
        <v>193</v>
      </c>
      <c r="AO17359" s="55">
        <v>24</v>
      </c>
      <c r="AP17359" s="55">
        <v>5</v>
      </c>
      <c r="AQ17359" s="55">
        <v>0</v>
      </c>
      <c r="AR17359" s="55">
        <v>28500</v>
      </c>
      <c r="AS17359" s="78">
        <f t="shared" si="275"/>
        <v>0</v>
      </c>
    </row>
    <row r="17360" spans="39:45">
      <c r="AM17360" s="54">
        <v>2020</v>
      </c>
      <c r="AN17360" s="54" t="s">
        <v>193</v>
      </c>
      <c r="AO17360" s="54">
        <v>24</v>
      </c>
      <c r="AP17360" s="54">
        <v>6</v>
      </c>
      <c r="AQ17360" s="54">
        <v>0</v>
      </c>
      <c r="AR17360" s="55">
        <v>28500</v>
      </c>
      <c r="AS17360" s="78">
        <f t="shared" si="275"/>
        <v>0</v>
      </c>
    </row>
    <row r="17361" spans="39:45">
      <c r="AM17361" s="55">
        <v>2020</v>
      </c>
      <c r="AN17361" s="55" t="s">
        <v>193</v>
      </c>
      <c r="AO17361" s="55">
        <v>24</v>
      </c>
      <c r="AP17361" s="55">
        <v>7</v>
      </c>
      <c r="AQ17361" s="55">
        <v>0</v>
      </c>
      <c r="AR17361" s="55">
        <v>28500</v>
      </c>
      <c r="AS17361" s="78">
        <f t="shared" si="275"/>
        <v>0</v>
      </c>
    </row>
    <row r="17362" spans="39:45">
      <c r="AM17362" s="54">
        <v>2020</v>
      </c>
      <c r="AN17362" s="54" t="s">
        <v>193</v>
      </c>
      <c r="AO17362" s="54">
        <v>24</v>
      </c>
      <c r="AP17362" s="54">
        <v>8</v>
      </c>
      <c r="AQ17362" s="54">
        <v>0</v>
      </c>
      <c r="AR17362" s="55">
        <v>28500</v>
      </c>
      <c r="AS17362" s="78">
        <f t="shared" si="275"/>
        <v>0</v>
      </c>
    </row>
    <row r="17363" spans="39:45">
      <c r="AM17363" s="55">
        <v>2020</v>
      </c>
      <c r="AN17363" s="55" t="s">
        <v>193</v>
      </c>
      <c r="AO17363" s="55">
        <v>24</v>
      </c>
      <c r="AP17363" s="55">
        <v>9</v>
      </c>
      <c r="AQ17363" s="55">
        <v>10272.5</v>
      </c>
      <c r="AR17363" s="55">
        <v>28500</v>
      </c>
      <c r="AS17363" s="78">
        <f t="shared" si="275"/>
        <v>0.36043859649122806</v>
      </c>
    </row>
    <row r="17364" spans="39:45">
      <c r="AM17364" s="54">
        <v>2020</v>
      </c>
      <c r="AN17364" s="54" t="s">
        <v>193</v>
      </c>
      <c r="AO17364" s="54">
        <v>24</v>
      </c>
      <c r="AP17364" s="54">
        <v>10</v>
      </c>
      <c r="AQ17364" s="54">
        <v>22854.5</v>
      </c>
      <c r="AR17364" s="55">
        <v>28500</v>
      </c>
      <c r="AS17364" s="78">
        <f t="shared" si="275"/>
        <v>0.80191228070175435</v>
      </c>
    </row>
    <row r="17365" spans="39:45">
      <c r="AM17365" s="55">
        <v>2020</v>
      </c>
      <c r="AN17365" s="55" t="s">
        <v>193</v>
      </c>
      <c r="AO17365" s="55">
        <v>24</v>
      </c>
      <c r="AP17365" s="55">
        <v>11</v>
      </c>
      <c r="AQ17365" s="55">
        <v>16401</v>
      </c>
      <c r="AR17365" s="55">
        <v>28500</v>
      </c>
      <c r="AS17365" s="78">
        <f t="shared" si="275"/>
        <v>0.57547368421052636</v>
      </c>
    </row>
    <row r="17366" spans="39:45">
      <c r="AM17366" s="54">
        <v>2020</v>
      </c>
      <c r="AN17366" s="54" t="s">
        <v>193</v>
      </c>
      <c r="AO17366" s="54">
        <v>24</v>
      </c>
      <c r="AP17366" s="54">
        <v>12</v>
      </c>
      <c r="AQ17366" s="54">
        <v>12412.5</v>
      </c>
      <c r="AR17366" s="55">
        <v>28500</v>
      </c>
      <c r="AS17366" s="78">
        <f t="shared" si="275"/>
        <v>0.43552631578947371</v>
      </c>
    </row>
    <row r="17367" spans="39:45">
      <c r="AM17367" s="55">
        <v>2020</v>
      </c>
      <c r="AN17367" s="55" t="s">
        <v>193</v>
      </c>
      <c r="AO17367" s="55">
        <v>24</v>
      </c>
      <c r="AP17367" s="55">
        <v>13</v>
      </c>
      <c r="AQ17367" s="55">
        <v>3631.5</v>
      </c>
      <c r="AR17367" s="55">
        <v>28500</v>
      </c>
      <c r="AS17367" s="78">
        <f t="shared" si="275"/>
        <v>0.12742105263157893</v>
      </c>
    </row>
    <row r="17368" spans="39:45">
      <c r="AM17368" s="54">
        <v>2020</v>
      </c>
      <c r="AN17368" s="54" t="s">
        <v>193</v>
      </c>
      <c r="AO17368" s="54">
        <v>24</v>
      </c>
      <c r="AP17368" s="54">
        <v>14</v>
      </c>
      <c r="AQ17368" s="54">
        <v>3620</v>
      </c>
      <c r="AR17368" s="55">
        <v>28500</v>
      </c>
      <c r="AS17368" s="78">
        <f t="shared" si="275"/>
        <v>0.12701754385964911</v>
      </c>
    </row>
    <row r="17369" spans="39:45">
      <c r="AM17369" s="55">
        <v>2020</v>
      </c>
      <c r="AN17369" s="55" t="s">
        <v>193</v>
      </c>
      <c r="AO17369" s="55">
        <v>24</v>
      </c>
      <c r="AP17369" s="55">
        <v>15</v>
      </c>
      <c r="AQ17369" s="55">
        <v>0</v>
      </c>
      <c r="AR17369" s="55">
        <v>28500</v>
      </c>
      <c r="AS17369" s="78">
        <f t="shared" si="275"/>
        <v>0</v>
      </c>
    </row>
    <row r="17370" spans="39:45">
      <c r="AM17370" s="54">
        <v>2020</v>
      </c>
      <c r="AN17370" s="54" t="s">
        <v>193</v>
      </c>
      <c r="AO17370" s="54">
        <v>24</v>
      </c>
      <c r="AP17370" s="54">
        <v>16</v>
      </c>
      <c r="AQ17370" s="54">
        <v>0</v>
      </c>
      <c r="AR17370" s="55">
        <v>28500</v>
      </c>
      <c r="AS17370" s="78">
        <f t="shared" si="275"/>
        <v>0</v>
      </c>
    </row>
    <row r="17371" spans="39:45">
      <c r="AM17371" s="55">
        <v>2020</v>
      </c>
      <c r="AN17371" s="55" t="s">
        <v>193</v>
      </c>
      <c r="AO17371" s="55">
        <v>24</v>
      </c>
      <c r="AP17371" s="55">
        <v>17</v>
      </c>
      <c r="AQ17371" s="55">
        <v>0</v>
      </c>
      <c r="AR17371" s="55">
        <v>28500</v>
      </c>
      <c r="AS17371" s="78">
        <f t="shared" si="275"/>
        <v>0</v>
      </c>
    </row>
    <row r="17372" spans="39:45">
      <c r="AM17372" s="54">
        <v>2020</v>
      </c>
      <c r="AN17372" s="54" t="s">
        <v>193</v>
      </c>
      <c r="AO17372" s="54">
        <v>24</v>
      </c>
      <c r="AP17372" s="54">
        <v>18</v>
      </c>
      <c r="AQ17372" s="54">
        <v>0</v>
      </c>
      <c r="AR17372" s="55">
        <v>28500</v>
      </c>
      <c r="AS17372" s="78">
        <f t="shared" si="275"/>
        <v>0</v>
      </c>
    </row>
    <row r="17373" spans="39:45">
      <c r="AM17373" s="55">
        <v>2020</v>
      </c>
      <c r="AN17373" s="55" t="s">
        <v>193</v>
      </c>
      <c r="AO17373" s="55">
        <v>24</v>
      </c>
      <c r="AP17373" s="55">
        <v>19</v>
      </c>
      <c r="AQ17373" s="55">
        <v>0</v>
      </c>
      <c r="AR17373" s="55">
        <v>28500</v>
      </c>
      <c r="AS17373" s="78">
        <f t="shared" si="275"/>
        <v>0</v>
      </c>
    </row>
    <row r="17374" spans="39:45">
      <c r="AM17374" s="54">
        <v>2020</v>
      </c>
      <c r="AN17374" s="54" t="s">
        <v>193</v>
      </c>
      <c r="AO17374" s="54">
        <v>24</v>
      </c>
      <c r="AP17374" s="54">
        <v>20</v>
      </c>
      <c r="AQ17374" s="54">
        <v>0</v>
      </c>
      <c r="AR17374" s="55">
        <v>28500</v>
      </c>
      <c r="AS17374" s="78">
        <f t="shared" si="275"/>
        <v>0</v>
      </c>
    </row>
    <row r="17375" spans="39:45">
      <c r="AM17375" s="55">
        <v>2020</v>
      </c>
      <c r="AN17375" s="55" t="s">
        <v>193</v>
      </c>
      <c r="AO17375" s="55">
        <v>24</v>
      </c>
      <c r="AP17375" s="55">
        <v>21</v>
      </c>
      <c r="AQ17375" s="55">
        <v>0</v>
      </c>
      <c r="AR17375" s="55">
        <v>28500</v>
      </c>
      <c r="AS17375" s="78">
        <f t="shared" si="275"/>
        <v>0</v>
      </c>
    </row>
    <row r="17376" spans="39:45">
      <c r="AM17376" s="54">
        <v>2020</v>
      </c>
      <c r="AN17376" s="54" t="s">
        <v>193</v>
      </c>
      <c r="AO17376" s="54">
        <v>24</v>
      </c>
      <c r="AP17376" s="54">
        <v>22</v>
      </c>
      <c r="AQ17376" s="54">
        <v>0</v>
      </c>
      <c r="AR17376" s="55">
        <v>28500</v>
      </c>
      <c r="AS17376" s="78">
        <f t="shared" si="275"/>
        <v>0</v>
      </c>
    </row>
    <row r="17377" spans="39:45">
      <c r="AM17377" s="55">
        <v>2020</v>
      </c>
      <c r="AN17377" s="55" t="s">
        <v>193</v>
      </c>
      <c r="AO17377" s="55">
        <v>24</v>
      </c>
      <c r="AP17377" s="55">
        <v>23</v>
      </c>
      <c r="AQ17377" s="55">
        <v>0</v>
      </c>
      <c r="AR17377" s="55">
        <v>28500</v>
      </c>
      <c r="AS17377" s="78">
        <f t="shared" si="275"/>
        <v>0</v>
      </c>
    </row>
    <row r="17378" spans="39:45">
      <c r="AM17378" s="54">
        <v>2020</v>
      </c>
      <c r="AN17378" s="54" t="s">
        <v>193</v>
      </c>
      <c r="AO17378" s="54">
        <v>25</v>
      </c>
      <c r="AP17378" s="54">
        <v>24</v>
      </c>
      <c r="AQ17378" s="54">
        <v>0</v>
      </c>
      <c r="AR17378" s="55">
        <v>28500</v>
      </c>
      <c r="AS17378" s="78">
        <f t="shared" si="275"/>
        <v>0</v>
      </c>
    </row>
    <row r="17379" spans="39:45">
      <c r="AM17379" s="55">
        <v>2020</v>
      </c>
      <c r="AN17379" s="55" t="s">
        <v>193</v>
      </c>
      <c r="AO17379" s="55">
        <v>25</v>
      </c>
      <c r="AP17379" s="55">
        <v>1</v>
      </c>
      <c r="AQ17379" s="55">
        <v>0</v>
      </c>
      <c r="AR17379" s="55">
        <v>28500</v>
      </c>
      <c r="AS17379" s="78">
        <f t="shared" si="275"/>
        <v>0</v>
      </c>
    </row>
    <row r="17380" spans="39:45">
      <c r="AM17380" s="54">
        <v>2020</v>
      </c>
      <c r="AN17380" s="54" t="s">
        <v>193</v>
      </c>
      <c r="AO17380" s="54">
        <v>25</v>
      </c>
      <c r="AP17380" s="54">
        <v>2</v>
      </c>
      <c r="AQ17380" s="54">
        <v>0</v>
      </c>
      <c r="AR17380" s="55">
        <v>28500</v>
      </c>
      <c r="AS17380" s="78">
        <f t="shared" si="275"/>
        <v>0</v>
      </c>
    </row>
    <row r="17381" spans="39:45">
      <c r="AM17381" s="55">
        <v>2020</v>
      </c>
      <c r="AN17381" s="55" t="s">
        <v>193</v>
      </c>
      <c r="AO17381" s="55">
        <v>25</v>
      </c>
      <c r="AP17381" s="55">
        <v>3</v>
      </c>
      <c r="AQ17381" s="55">
        <v>0</v>
      </c>
      <c r="AR17381" s="55">
        <v>28500</v>
      </c>
      <c r="AS17381" s="78">
        <f t="shared" si="275"/>
        <v>0</v>
      </c>
    </row>
    <row r="17382" spans="39:45">
      <c r="AM17382" s="54">
        <v>2020</v>
      </c>
      <c r="AN17382" s="54" t="s">
        <v>193</v>
      </c>
      <c r="AO17382" s="54">
        <v>25</v>
      </c>
      <c r="AP17382" s="54">
        <v>4</v>
      </c>
      <c r="AQ17382" s="54">
        <v>0</v>
      </c>
      <c r="AR17382" s="55">
        <v>28500</v>
      </c>
      <c r="AS17382" s="78">
        <f t="shared" si="275"/>
        <v>0</v>
      </c>
    </row>
    <row r="17383" spans="39:45">
      <c r="AM17383" s="55">
        <v>2020</v>
      </c>
      <c r="AN17383" s="55" t="s">
        <v>193</v>
      </c>
      <c r="AO17383" s="55">
        <v>25</v>
      </c>
      <c r="AP17383" s="55">
        <v>5</v>
      </c>
      <c r="AQ17383" s="55">
        <v>0</v>
      </c>
      <c r="AR17383" s="55">
        <v>28500</v>
      </c>
      <c r="AS17383" s="78">
        <f t="shared" si="275"/>
        <v>0</v>
      </c>
    </row>
    <row r="17384" spans="39:45">
      <c r="AM17384" s="54">
        <v>2020</v>
      </c>
      <c r="AN17384" s="54" t="s">
        <v>193</v>
      </c>
      <c r="AO17384" s="54">
        <v>25</v>
      </c>
      <c r="AP17384" s="54">
        <v>6</v>
      </c>
      <c r="AQ17384" s="54">
        <v>0</v>
      </c>
      <c r="AR17384" s="55">
        <v>28500</v>
      </c>
      <c r="AS17384" s="78">
        <f t="shared" si="275"/>
        <v>0</v>
      </c>
    </row>
    <row r="17385" spans="39:45">
      <c r="AM17385" s="55">
        <v>2020</v>
      </c>
      <c r="AN17385" s="55" t="s">
        <v>193</v>
      </c>
      <c r="AO17385" s="55">
        <v>25</v>
      </c>
      <c r="AP17385" s="55">
        <v>7</v>
      </c>
      <c r="AQ17385" s="55">
        <v>0</v>
      </c>
      <c r="AR17385" s="55">
        <v>28500</v>
      </c>
      <c r="AS17385" s="78">
        <f t="shared" si="275"/>
        <v>0</v>
      </c>
    </row>
    <row r="17386" spans="39:45">
      <c r="AM17386" s="54">
        <v>2020</v>
      </c>
      <c r="AN17386" s="54" t="s">
        <v>193</v>
      </c>
      <c r="AO17386" s="54">
        <v>25</v>
      </c>
      <c r="AP17386" s="54">
        <v>8</v>
      </c>
      <c r="AQ17386" s="54">
        <v>0</v>
      </c>
      <c r="AR17386" s="55">
        <v>28500</v>
      </c>
      <c r="AS17386" s="78">
        <f t="shared" si="275"/>
        <v>0</v>
      </c>
    </row>
    <row r="17387" spans="39:45">
      <c r="AM17387" s="55">
        <v>2020</v>
      </c>
      <c r="AN17387" s="55" t="s">
        <v>193</v>
      </c>
      <c r="AO17387" s="55">
        <v>25</v>
      </c>
      <c r="AP17387" s="55">
        <v>9</v>
      </c>
      <c r="AQ17387" s="55">
        <v>7347</v>
      </c>
      <c r="AR17387" s="55">
        <v>28500</v>
      </c>
      <c r="AS17387" s="78">
        <f t="shared" si="275"/>
        <v>0.25778947368421051</v>
      </c>
    </row>
    <row r="17388" spans="39:45">
      <c r="AM17388" s="54">
        <v>2020</v>
      </c>
      <c r="AN17388" s="54" t="s">
        <v>193</v>
      </c>
      <c r="AO17388" s="54">
        <v>25</v>
      </c>
      <c r="AP17388" s="54">
        <v>10</v>
      </c>
      <c r="AQ17388" s="54">
        <v>4735</v>
      </c>
      <c r="AR17388" s="55">
        <v>28500</v>
      </c>
      <c r="AS17388" s="78">
        <f t="shared" si="275"/>
        <v>0.16614035087719298</v>
      </c>
    </row>
    <row r="17389" spans="39:45">
      <c r="AM17389" s="55">
        <v>2020</v>
      </c>
      <c r="AN17389" s="55" t="s">
        <v>193</v>
      </c>
      <c r="AO17389" s="55">
        <v>25</v>
      </c>
      <c r="AP17389" s="55">
        <v>11</v>
      </c>
      <c r="AQ17389" s="55">
        <v>6781</v>
      </c>
      <c r="AR17389" s="55">
        <v>28500</v>
      </c>
      <c r="AS17389" s="78">
        <f t="shared" si="275"/>
        <v>0.23792982456140352</v>
      </c>
    </row>
    <row r="17390" spans="39:45">
      <c r="AM17390" s="54">
        <v>2020</v>
      </c>
      <c r="AN17390" s="54" t="s">
        <v>193</v>
      </c>
      <c r="AO17390" s="54">
        <v>25</v>
      </c>
      <c r="AP17390" s="54">
        <v>12</v>
      </c>
      <c r="AQ17390" s="54">
        <v>30439</v>
      </c>
      <c r="AR17390" s="55">
        <v>28500</v>
      </c>
      <c r="AS17390" s="78">
        <f t="shared" si="275"/>
        <v>1.0680350877192983</v>
      </c>
    </row>
    <row r="17391" spans="39:45">
      <c r="AM17391" s="55">
        <v>2020</v>
      </c>
      <c r="AN17391" s="55" t="s">
        <v>193</v>
      </c>
      <c r="AO17391" s="55">
        <v>25</v>
      </c>
      <c r="AP17391" s="55">
        <v>13</v>
      </c>
      <c r="AQ17391" s="55">
        <v>29088.5</v>
      </c>
      <c r="AR17391" s="55">
        <v>28500</v>
      </c>
      <c r="AS17391" s="78">
        <f t="shared" si="275"/>
        <v>1.0206491228070176</v>
      </c>
    </row>
    <row r="17392" spans="39:45">
      <c r="AM17392" s="54">
        <v>2020</v>
      </c>
      <c r="AN17392" s="54" t="s">
        <v>193</v>
      </c>
      <c r="AO17392" s="54">
        <v>25</v>
      </c>
      <c r="AP17392" s="54">
        <v>14</v>
      </c>
      <c r="AQ17392" s="54">
        <v>20392</v>
      </c>
      <c r="AR17392" s="55">
        <v>28500</v>
      </c>
      <c r="AS17392" s="78">
        <f t="shared" si="275"/>
        <v>0.71550877192982454</v>
      </c>
    </row>
    <row r="17393" spans="39:45">
      <c r="AM17393" s="55">
        <v>2020</v>
      </c>
      <c r="AN17393" s="55" t="s">
        <v>193</v>
      </c>
      <c r="AO17393" s="55">
        <v>25</v>
      </c>
      <c r="AP17393" s="55">
        <v>15</v>
      </c>
      <c r="AQ17393" s="55">
        <v>5490.5</v>
      </c>
      <c r="AR17393" s="55">
        <v>28500</v>
      </c>
      <c r="AS17393" s="78">
        <f t="shared" si="275"/>
        <v>0.19264912280701754</v>
      </c>
    </row>
    <row r="17394" spans="39:45">
      <c r="AM17394" s="54">
        <v>2020</v>
      </c>
      <c r="AN17394" s="54" t="s">
        <v>193</v>
      </c>
      <c r="AO17394" s="54">
        <v>25</v>
      </c>
      <c r="AP17394" s="54">
        <v>16</v>
      </c>
      <c r="AQ17394" s="54">
        <v>0</v>
      </c>
      <c r="AR17394" s="55">
        <v>28500</v>
      </c>
      <c r="AS17394" s="78">
        <f t="shared" si="275"/>
        <v>0</v>
      </c>
    </row>
    <row r="17395" spans="39:45">
      <c r="AM17395" s="55">
        <v>2020</v>
      </c>
      <c r="AN17395" s="55" t="s">
        <v>193</v>
      </c>
      <c r="AO17395" s="55">
        <v>25</v>
      </c>
      <c r="AP17395" s="55">
        <v>17</v>
      </c>
      <c r="AQ17395" s="55">
        <v>0</v>
      </c>
      <c r="AR17395" s="55">
        <v>28500</v>
      </c>
      <c r="AS17395" s="78">
        <f t="shared" si="275"/>
        <v>0</v>
      </c>
    </row>
    <row r="17396" spans="39:45">
      <c r="AM17396" s="54">
        <v>2020</v>
      </c>
      <c r="AN17396" s="54" t="s">
        <v>193</v>
      </c>
      <c r="AO17396" s="54">
        <v>25</v>
      </c>
      <c r="AP17396" s="54">
        <v>18</v>
      </c>
      <c r="AQ17396" s="54">
        <v>0</v>
      </c>
      <c r="AR17396" s="55">
        <v>28500</v>
      </c>
      <c r="AS17396" s="78">
        <f t="shared" si="275"/>
        <v>0</v>
      </c>
    </row>
    <row r="17397" spans="39:45">
      <c r="AM17397" s="55">
        <v>2020</v>
      </c>
      <c r="AN17397" s="55" t="s">
        <v>193</v>
      </c>
      <c r="AO17397" s="55">
        <v>25</v>
      </c>
      <c r="AP17397" s="55">
        <v>19</v>
      </c>
      <c r="AQ17397" s="55">
        <v>0</v>
      </c>
      <c r="AR17397" s="55">
        <v>28500</v>
      </c>
      <c r="AS17397" s="78">
        <f t="shared" si="275"/>
        <v>0</v>
      </c>
    </row>
    <row r="17398" spans="39:45">
      <c r="AM17398" s="54">
        <v>2020</v>
      </c>
      <c r="AN17398" s="54" t="s">
        <v>193</v>
      </c>
      <c r="AO17398" s="54">
        <v>25</v>
      </c>
      <c r="AP17398" s="54">
        <v>20</v>
      </c>
      <c r="AQ17398" s="54">
        <v>0</v>
      </c>
      <c r="AR17398" s="55">
        <v>28500</v>
      </c>
      <c r="AS17398" s="78">
        <f t="shared" si="275"/>
        <v>0</v>
      </c>
    </row>
    <row r="17399" spans="39:45">
      <c r="AM17399" s="55">
        <v>2020</v>
      </c>
      <c r="AN17399" s="55" t="s">
        <v>193</v>
      </c>
      <c r="AO17399" s="55">
        <v>25</v>
      </c>
      <c r="AP17399" s="55">
        <v>21</v>
      </c>
      <c r="AQ17399" s="55">
        <v>0</v>
      </c>
      <c r="AR17399" s="55">
        <v>28500</v>
      </c>
      <c r="AS17399" s="78">
        <f t="shared" si="275"/>
        <v>0</v>
      </c>
    </row>
    <row r="17400" spans="39:45">
      <c r="AM17400" s="54">
        <v>2020</v>
      </c>
      <c r="AN17400" s="54" t="s">
        <v>193</v>
      </c>
      <c r="AO17400" s="54">
        <v>25</v>
      </c>
      <c r="AP17400" s="54">
        <v>22</v>
      </c>
      <c r="AQ17400" s="54">
        <v>0</v>
      </c>
      <c r="AR17400" s="55">
        <v>28500</v>
      </c>
      <c r="AS17400" s="78">
        <f t="shared" si="275"/>
        <v>0</v>
      </c>
    </row>
    <row r="17401" spans="39:45">
      <c r="AM17401" s="55">
        <v>2020</v>
      </c>
      <c r="AN17401" s="55" t="s">
        <v>193</v>
      </c>
      <c r="AO17401" s="55">
        <v>25</v>
      </c>
      <c r="AP17401" s="55">
        <v>23</v>
      </c>
      <c r="AQ17401" s="55">
        <v>0</v>
      </c>
      <c r="AR17401" s="55">
        <v>28500</v>
      </c>
      <c r="AS17401" s="78">
        <f t="shared" si="275"/>
        <v>0</v>
      </c>
    </row>
    <row r="17402" spans="39:45">
      <c r="AM17402" s="54">
        <v>2020</v>
      </c>
      <c r="AN17402" s="54" t="s">
        <v>193</v>
      </c>
      <c r="AO17402" s="54">
        <v>26</v>
      </c>
      <c r="AP17402" s="54">
        <v>24</v>
      </c>
      <c r="AQ17402" s="54">
        <v>0</v>
      </c>
      <c r="AR17402" s="55">
        <v>28500</v>
      </c>
      <c r="AS17402" s="78">
        <f t="shared" si="275"/>
        <v>0</v>
      </c>
    </row>
    <row r="17403" spans="39:45">
      <c r="AM17403" s="55">
        <v>2020</v>
      </c>
      <c r="AN17403" s="55" t="s">
        <v>193</v>
      </c>
      <c r="AO17403" s="55">
        <v>26</v>
      </c>
      <c r="AP17403" s="55">
        <v>1</v>
      </c>
      <c r="AQ17403" s="55">
        <v>0</v>
      </c>
      <c r="AR17403" s="55">
        <v>28500</v>
      </c>
      <c r="AS17403" s="78">
        <f t="shared" si="275"/>
        <v>0</v>
      </c>
    </row>
    <row r="17404" spans="39:45">
      <c r="AM17404" s="54">
        <v>2020</v>
      </c>
      <c r="AN17404" s="54" t="s">
        <v>193</v>
      </c>
      <c r="AO17404" s="54">
        <v>26</v>
      </c>
      <c r="AP17404" s="54">
        <v>2</v>
      </c>
      <c r="AQ17404" s="54">
        <v>0</v>
      </c>
      <c r="AR17404" s="55">
        <v>28500</v>
      </c>
      <c r="AS17404" s="78">
        <f t="shared" si="275"/>
        <v>0</v>
      </c>
    </row>
    <row r="17405" spans="39:45">
      <c r="AM17405" s="55">
        <v>2020</v>
      </c>
      <c r="AN17405" s="55" t="s">
        <v>193</v>
      </c>
      <c r="AO17405" s="55">
        <v>26</v>
      </c>
      <c r="AP17405" s="55">
        <v>3</v>
      </c>
      <c r="AQ17405" s="55">
        <v>0</v>
      </c>
      <c r="AR17405" s="55">
        <v>28500</v>
      </c>
      <c r="AS17405" s="78">
        <f t="shared" si="275"/>
        <v>0</v>
      </c>
    </row>
    <row r="17406" spans="39:45">
      <c r="AM17406" s="54">
        <v>2020</v>
      </c>
      <c r="AN17406" s="54" t="s">
        <v>193</v>
      </c>
      <c r="AO17406" s="54">
        <v>26</v>
      </c>
      <c r="AP17406" s="54">
        <v>4</v>
      </c>
      <c r="AQ17406" s="54">
        <v>0</v>
      </c>
      <c r="AR17406" s="55">
        <v>28500</v>
      </c>
      <c r="AS17406" s="78">
        <f t="shared" si="275"/>
        <v>0</v>
      </c>
    </row>
    <row r="17407" spans="39:45">
      <c r="AM17407" s="55">
        <v>2020</v>
      </c>
      <c r="AN17407" s="55" t="s">
        <v>193</v>
      </c>
      <c r="AO17407" s="55">
        <v>26</v>
      </c>
      <c r="AP17407" s="55">
        <v>5</v>
      </c>
      <c r="AQ17407" s="55">
        <v>0</v>
      </c>
      <c r="AR17407" s="55">
        <v>28500</v>
      </c>
      <c r="AS17407" s="78">
        <f t="shared" si="275"/>
        <v>0</v>
      </c>
    </row>
    <row r="17408" spans="39:45">
      <c r="AM17408" s="54">
        <v>2020</v>
      </c>
      <c r="AN17408" s="54" t="s">
        <v>193</v>
      </c>
      <c r="AO17408" s="54">
        <v>26</v>
      </c>
      <c r="AP17408" s="54">
        <v>6</v>
      </c>
      <c r="AQ17408" s="54">
        <v>0</v>
      </c>
      <c r="AR17408" s="55">
        <v>28500</v>
      </c>
      <c r="AS17408" s="78">
        <f t="shared" si="275"/>
        <v>0</v>
      </c>
    </row>
    <row r="17409" spans="39:45">
      <c r="AM17409" s="55">
        <v>2020</v>
      </c>
      <c r="AN17409" s="55" t="s">
        <v>193</v>
      </c>
      <c r="AO17409" s="55">
        <v>26</v>
      </c>
      <c r="AP17409" s="55">
        <v>7</v>
      </c>
      <c r="AQ17409" s="55">
        <v>0</v>
      </c>
      <c r="AR17409" s="55">
        <v>28500</v>
      </c>
      <c r="AS17409" s="78">
        <f t="shared" si="275"/>
        <v>0</v>
      </c>
    </row>
    <row r="17410" spans="39:45">
      <c r="AM17410" s="54">
        <v>2020</v>
      </c>
      <c r="AN17410" s="54" t="s">
        <v>193</v>
      </c>
      <c r="AO17410" s="54">
        <v>26</v>
      </c>
      <c r="AP17410" s="54">
        <v>8</v>
      </c>
      <c r="AQ17410" s="54">
        <v>0</v>
      </c>
      <c r="AR17410" s="55">
        <v>28500</v>
      </c>
      <c r="AS17410" s="78">
        <f t="shared" ref="AS17410:AS17473" si="276">AQ17410/AR17410</f>
        <v>0</v>
      </c>
    </row>
    <row r="17411" spans="39:45">
      <c r="AM17411" s="55">
        <v>2020</v>
      </c>
      <c r="AN17411" s="55" t="s">
        <v>193</v>
      </c>
      <c r="AO17411" s="55">
        <v>26</v>
      </c>
      <c r="AP17411" s="55">
        <v>9</v>
      </c>
      <c r="AQ17411" s="55">
        <v>1352</v>
      </c>
      <c r="AR17411" s="55">
        <v>28500</v>
      </c>
      <c r="AS17411" s="78">
        <f t="shared" si="276"/>
        <v>4.7438596491228072E-2</v>
      </c>
    </row>
    <row r="17412" spans="39:45">
      <c r="AM17412" s="54">
        <v>2020</v>
      </c>
      <c r="AN17412" s="54" t="s">
        <v>193</v>
      </c>
      <c r="AO17412" s="54">
        <v>26</v>
      </c>
      <c r="AP17412" s="54">
        <v>10</v>
      </c>
      <c r="AQ17412" s="54">
        <v>3065</v>
      </c>
      <c r="AR17412" s="55">
        <v>28500</v>
      </c>
      <c r="AS17412" s="78">
        <f t="shared" si="276"/>
        <v>0.1075438596491228</v>
      </c>
    </row>
    <row r="17413" spans="39:45">
      <c r="AM17413" s="55">
        <v>2020</v>
      </c>
      <c r="AN17413" s="55" t="s">
        <v>193</v>
      </c>
      <c r="AO17413" s="55">
        <v>26</v>
      </c>
      <c r="AP17413" s="55">
        <v>11</v>
      </c>
      <c r="AQ17413" s="55">
        <v>2306</v>
      </c>
      <c r="AR17413" s="55">
        <v>28500</v>
      </c>
      <c r="AS17413" s="78">
        <f t="shared" si="276"/>
        <v>8.091228070175438E-2</v>
      </c>
    </row>
    <row r="17414" spans="39:45">
      <c r="AM17414" s="54">
        <v>2020</v>
      </c>
      <c r="AN17414" s="54" t="s">
        <v>193</v>
      </c>
      <c r="AO17414" s="54">
        <v>26</v>
      </c>
      <c r="AP17414" s="54">
        <v>12</v>
      </c>
      <c r="AQ17414" s="54">
        <v>4674</v>
      </c>
      <c r="AR17414" s="55">
        <v>28500</v>
      </c>
      <c r="AS17414" s="78">
        <f t="shared" si="276"/>
        <v>0.16400000000000001</v>
      </c>
    </row>
    <row r="17415" spans="39:45">
      <c r="AM17415" s="55">
        <v>2020</v>
      </c>
      <c r="AN17415" s="55" t="s">
        <v>193</v>
      </c>
      <c r="AO17415" s="55">
        <v>26</v>
      </c>
      <c r="AP17415" s="55">
        <v>13</v>
      </c>
      <c r="AQ17415" s="55">
        <v>1802</v>
      </c>
      <c r="AR17415" s="55">
        <v>28500</v>
      </c>
      <c r="AS17415" s="78">
        <f t="shared" si="276"/>
        <v>6.3228070175438592E-2</v>
      </c>
    </row>
    <row r="17416" spans="39:45">
      <c r="AM17416" s="54">
        <v>2020</v>
      </c>
      <c r="AN17416" s="54" t="s">
        <v>193</v>
      </c>
      <c r="AO17416" s="54">
        <v>26</v>
      </c>
      <c r="AP17416" s="54">
        <v>14</v>
      </c>
      <c r="AQ17416" s="54">
        <v>1043.5</v>
      </c>
      <c r="AR17416" s="55">
        <v>28500</v>
      </c>
      <c r="AS17416" s="78">
        <f t="shared" si="276"/>
        <v>3.66140350877193E-2</v>
      </c>
    </row>
    <row r="17417" spans="39:45">
      <c r="AM17417" s="55">
        <v>2020</v>
      </c>
      <c r="AN17417" s="55" t="s">
        <v>193</v>
      </c>
      <c r="AO17417" s="55">
        <v>26</v>
      </c>
      <c r="AP17417" s="55">
        <v>15</v>
      </c>
      <c r="AQ17417" s="55">
        <v>332.5</v>
      </c>
      <c r="AR17417" s="55">
        <v>28500</v>
      </c>
      <c r="AS17417" s="78">
        <f t="shared" si="276"/>
        <v>1.1666666666666667E-2</v>
      </c>
    </row>
    <row r="17418" spans="39:45">
      <c r="AM17418" s="54">
        <v>2020</v>
      </c>
      <c r="AN17418" s="54" t="s">
        <v>193</v>
      </c>
      <c r="AO17418" s="54">
        <v>26</v>
      </c>
      <c r="AP17418" s="54">
        <v>16</v>
      </c>
      <c r="AQ17418" s="54">
        <v>0</v>
      </c>
      <c r="AR17418" s="55">
        <v>28500</v>
      </c>
      <c r="AS17418" s="78">
        <f t="shared" si="276"/>
        <v>0</v>
      </c>
    </row>
    <row r="17419" spans="39:45">
      <c r="AM17419" s="55">
        <v>2020</v>
      </c>
      <c r="AN17419" s="55" t="s">
        <v>193</v>
      </c>
      <c r="AO17419" s="55">
        <v>26</v>
      </c>
      <c r="AP17419" s="55">
        <v>17</v>
      </c>
      <c r="AQ17419" s="55">
        <v>0</v>
      </c>
      <c r="AR17419" s="55">
        <v>28500</v>
      </c>
      <c r="AS17419" s="78">
        <f t="shared" si="276"/>
        <v>0</v>
      </c>
    </row>
    <row r="17420" spans="39:45">
      <c r="AM17420" s="54">
        <v>2020</v>
      </c>
      <c r="AN17420" s="54" t="s">
        <v>193</v>
      </c>
      <c r="AO17420" s="54">
        <v>26</v>
      </c>
      <c r="AP17420" s="54">
        <v>18</v>
      </c>
      <c r="AQ17420" s="54">
        <v>0</v>
      </c>
      <c r="AR17420" s="55">
        <v>28500</v>
      </c>
      <c r="AS17420" s="78">
        <f t="shared" si="276"/>
        <v>0</v>
      </c>
    </row>
    <row r="17421" spans="39:45">
      <c r="AM17421" s="55">
        <v>2020</v>
      </c>
      <c r="AN17421" s="55" t="s">
        <v>193</v>
      </c>
      <c r="AO17421" s="55">
        <v>26</v>
      </c>
      <c r="AP17421" s="55">
        <v>19</v>
      </c>
      <c r="AQ17421" s="55">
        <v>0</v>
      </c>
      <c r="AR17421" s="55">
        <v>28500</v>
      </c>
      <c r="AS17421" s="78">
        <f t="shared" si="276"/>
        <v>0</v>
      </c>
    </row>
    <row r="17422" spans="39:45">
      <c r="AM17422" s="54">
        <v>2020</v>
      </c>
      <c r="AN17422" s="54" t="s">
        <v>193</v>
      </c>
      <c r="AO17422" s="54">
        <v>26</v>
      </c>
      <c r="AP17422" s="54">
        <v>20</v>
      </c>
      <c r="AQ17422" s="54">
        <v>0</v>
      </c>
      <c r="AR17422" s="55">
        <v>28500</v>
      </c>
      <c r="AS17422" s="78">
        <f t="shared" si="276"/>
        <v>0</v>
      </c>
    </row>
    <row r="17423" spans="39:45">
      <c r="AM17423" s="55">
        <v>2020</v>
      </c>
      <c r="AN17423" s="55" t="s">
        <v>193</v>
      </c>
      <c r="AO17423" s="55">
        <v>26</v>
      </c>
      <c r="AP17423" s="55">
        <v>21</v>
      </c>
      <c r="AQ17423" s="55">
        <v>0</v>
      </c>
      <c r="AR17423" s="55">
        <v>28500</v>
      </c>
      <c r="AS17423" s="78">
        <f t="shared" si="276"/>
        <v>0</v>
      </c>
    </row>
    <row r="17424" spans="39:45">
      <c r="AM17424" s="54">
        <v>2020</v>
      </c>
      <c r="AN17424" s="54" t="s">
        <v>193</v>
      </c>
      <c r="AO17424" s="54">
        <v>26</v>
      </c>
      <c r="AP17424" s="54">
        <v>22</v>
      </c>
      <c r="AQ17424" s="54">
        <v>0</v>
      </c>
      <c r="AR17424" s="55">
        <v>28500</v>
      </c>
      <c r="AS17424" s="78">
        <f t="shared" si="276"/>
        <v>0</v>
      </c>
    </row>
    <row r="17425" spans="39:45">
      <c r="AM17425" s="55">
        <v>2020</v>
      </c>
      <c r="AN17425" s="55" t="s">
        <v>193</v>
      </c>
      <c r="AO17425" s="55">
        <v>26</v>
      </c>
      <c r="AP17425" s="55">
        <v>23</v>
      </c>
      <c r="AQ17425" s="55">
        <v>0</v>
      </c>
      <c r="AR17425" s="55">
        <v>28500</v>
      </c>
      <c r="AS17425" s="78">
        <f t="shared" si="276"/>
        <v>0</v>
      </c>
    </row>
    <row r="17426" spans="39:45">
      <c r="AM17426" s="54">
        <v>2020</v>
      </c>
      <c r="AN17426" s="54" t="s">
        <v>193</v>
      </c>
      <c r="AO17426" s="54">
        <v>27</v>
      </c>
      <c r="AP17426" s="54">
        <v>24</v>
      </c>
      <c r="AQ17426" s="54">
        <v>0</v>
      </c>
      <c r="AR17426" s="55">
        <v>28500</v>
      </c>
      <c r="AS17426" s="78">
        <f t="shared" si="276"/>
        <v>0</v>
      </c>
    </row>
    <row r="17427" spans="39:45">
      <c r="AM17427" s="55">
        <v>2020</v>
      </c>
      <c r="AN17427" s="55" t="s">
        <v>193</v>
      </c>
      <c r="AO17427" s="55">
        <v>27</v>
      </c>
      <c r="AP17427" s="55">
        <v>1</v>
      </c>
      <c r="AQ17427" s="55">
        <v>0</v>
      </c>
      <c r="AR17427" s="55">
        <v>28500</v>
      </c>
      <c r="AS17427" s="78">
        <f t="shared" si="276"/>
        <v>0</v>
      </c>
    </row>
    <row r="17428" spans="39:45">
      <c r="AM17428" s="54">
        <v>2020</v>
      </c>
      <c r="AN17428" s="54" t="s">
        <v>193</v>
      </c>
      <c r="AO17428" s="54">
        <v>27</v>
      </c>
      <c r="AP17428" s="54">
        <v>2</v>
      </c>
      <c r="AQ17428" s="54">
        <v>0</v>
      </c>
      <c r="AR17428" s="55">
        <v>28500</v>
      </c>
      <c r="AS17428" s="78">
        <f t="shared" si="276"/>
        <v>0</v>
      </c>
    </row>
    <row r="17429" spans="39:45">
      <c r="AM17429" s="55">
        <v>2020</v>
      </c>
      <c r="AN17429" s="55" t="s">
        <v>193</v>
      </c>
      <c r="AO17429" s="55">
        <v>27</v>
      </c>
      <c r="AP17429" s="55">
        <v>3</v>
      </c>
      <c r="AQ17429" s="55">
        <v>0</v>
      </c>
      <c r="AR17429" s="55">
        <v>28500</v>
      </c>
      <c r="AS17429" s="78">
        <f t="shared" si="276"/>
        <v>0</v>
      </c>
    </row>
    <row r="17430" spans="39:45">
      <c r="AM17430" s="54">
        <v>2020</v>
      </c>
      <c r="AN17430" s="54" t="s">
        <v>193</v>
      </c>
      <c r="AO17430" s="54">
        <v>27</v>
      </c>
      <c r="AP17430" s="54">
        <v>4</v>
      </c>
      <c r="AQ17430" s="54">
        <v>0</v>
      </c>
      <c r="AR17430" s="55">
        <v>28500</v>
      </c>
      <c r="AS17430" s="78">
        <f t="shared" si="276"/>
        <v>0</v>
      </c>
    </row>
    <row r="17431" spans="39:45">
      <c r="AM17431" s="55">
        <v>2020</v>
      </c>
      <c r="AN17431" s="55" t="s">
        <v>193</v>
      </c>
      <c r="AO17431" s="55">
        <v>27</v>
      </c>
      <c r="AP17431" s="55">
        <v>5</v>
      </c>
      <c r="AQ17431" s="55">
        <v>0</v>
      </c>
      <c r="AR17431" s="55">
        <v>28500</v>
      </c>
      <c r="AS17431" s="78">
        <f t="shared" si="276"/>
        <v>0</v>
      </c>
    </row>
    <row r="17432" spans="39:45">
      <c r="AM17432" s="54">
        <v>2020</v>
      </c>
      <c r="AN17432" s="54" t="s">
        <v>193</v>
      </c>
      <c r="AO17432" s="54">
        <v>27</v>
      </c>
      <c r="AP17432" s="54">
        <v>6</v>
      </c>
      <c r="AQ17432" s="54">
        <v>0</v>
      </c>
      <c r="AR17432" s="55">
        <v>28500</v>
      </c>
      <c r="AS17432" s="78">
        <f t="shared" si="276"/>
        <v>0</v>
      </c>
    </row>
    <row r="17433" spans="39:45">
      <c r="AM17433" s="55">
        <v>2020</v>
      </c>
      <c r="AN17433" s="55" t="s">
        <v>193</v>
      </c>
      <c r="AO17433" s="55">
        <v>27</v>
      </c>
      <c r="AP17433" s="55">
        <v>7</v>
      </c>
      <c r="AQ17433" s="55">
        <v>0</v>
      </c>
      <c r="AR17433" s="55">
        <v>28500</v>
      </c>
      <c r="AS17433" s="78">
        <f t="shared" si="276"/>
        <v>0</v>
      </c>
    </row>
    <row r="17434" spans="39:45">
      <c r="AM17434" s="54">
        <v>2020</v>
      </c>
      <c r="AN17434" s="54" t="s">
        <v>193</v>
      </c>
      <c r="AO17434" s="54">
        <v>27</v>
      </c>
      <c r="AP17434" s="54">
        <v>8</v>
      </c>
      <c r="AQ17434" s="54">
        <v>0</v>
      </c>
      <c r="AR17434" s="55">
        <v>28500</v>
      </c>
      <c r="AS17434" s="78">
        <f t="shared" si="276"/>
        <v>0</v>
      </c>
    </row>
    <row r="17435" spans="39:45">
      <c r="AM17435" s="55">
        <v>2020</v>
      </c>
      <c r="AN17435" s="55" t="s">
        <v>193</v>
      </c>
      <c r="AO17435" s="55">
        <v>27</v>
      </c>
      <c r="AP17435" s="55">
        <v>9</v>
      </c>
      <c r="AQ17435" s="55">
        <v>281</v>
      </c>
      <c r="AR17435" s="55">
        <v>28500</v>
      </c>
      <c r="AS17435" s="78">
        <f t="shared" si="276"/>
        <v>9.8596491228070179E-3</v>
      </c>
    </row>
    <row r="17436" spans="39:45">
      <c r="AM17436" s="54">
        <v>2020</v>
      </c>
      <c r="AN17436" s="54" t="s">
        <v>193</v>
      </c>
      <c r="AO17436" s="54">
        <v>27</v>
      </c>
      <c r="AP17436" s="54">
        <v>10</v>
      </c>
      <c r="AQ17436" s="54">
        <v>5795</v>
      </c>
      <c r="AR17436" s="55">
        <v>28500</v>
      </c>
      <c r="AS17436" s="78">
        <f t="shared" si="276"/>
        <v>0.20333333333333334</v>
      </c>
    </row>
    <row r="17437" spans="39:45">
      <c r="AM17437" s="55">
        <v>2020</v>
      </c>
      <c r="AN17437" s="55" t="s">
        <v>193</v>
      </c>
      <c r="AO17437" s="55">
        <v>27</v>
      </c>
      <c r="AP17437" s="55">
        <v>11</v>
      </c>
      <c r="AQ17437" s="55">
        <v>30188.5</v>
      </c>
      <c r="AR17437" s="55">
        <v>28500</v>
      </c>
      <c r="AS17437" s="78">
        <f t="shared" si="276"/>
        <v>1.0592456140350877</v>
      </c>
    </row>
    <row r="17438" spans="39:45">
      <c r="AM17438" s="54">
        <v>2020</v>
      </c>
      <c r="AN17438" s="54" t="s">
        <v>193</v>
      </c>
      <c r="AO17438" s="54">
        <v>27</v>
      </c>
      <c r="AP17438" s="54">
        <v>12</v>
      </c>
      <c r="AQ17438" s="54">
        <v>21833.5</v>
      </c>
      <c r="AR17438" s="55">
        <v>28500</v>
      </c>
      <c r="AS17438" s="78">
        <f t="shared" si="276"/>
        <v>0.7660877192982456</v>
      </c>
    </row>
    <row r="17439" spans="39:45">
      <c r="AM17439" s="55">
        <v>2020</v>
      </c>
      <c r="AN17439" s="55" t="s">
        <v>193</v>
      </c>
      <c r="AO17439" s="55">
        <v>27</v>
      </c>
      <c r="AP17439" s="55">
        <v>13</v>
      </c>
      <c r="AQ17439" s="55">
        <v>19230</v>
      </c>
      <c r="AR17439" s="55">
        <v>28500</v>
      </c>
      <c r="AS17439" s="78">
        <f t="shared" si="276"/>
        <v>0.67473684210526319</v>
      </c>
    </row>
    <row r="17440" spans="39:45">
      <c r="AM17440" s="54">
        <v>2020</v>
      </c>
      <c r="AN17440" s="54" t="s">
        <v>193</v>
      </c>
      <c r="AO17440" s="54">
        <v>27</v>
      </c>
      <c r="AP17440" s="54">
        <v>14</v>
      </c>
      <c r="AQ17440" s="54">
        <v>20857.5</v>
      </c>
      <c r="AR17440" s="55">
        <v>28500</v>
      </c>
      <c r="AS17440" s="78">
        <f t="shared" si="276"/>
        <v>0.73184210526315785</v>
      </c>
    </row>
    <row r="17441" spans="39:45">
      <c r="AM17441" s="55">
        <v>2020</v>
      </c>
      <c r="AN17441" s="55" t="s">
        <v>193</v>
      </c>
      <c r="AO17441" s="55">
        <v>27</v>
      </c>
      <c r="AP17441" s="55">
        <v>15</v>
      </c>
      <c r="AQ17441" s="55">
        <v>9298</v>
      </c>
      <c r="AR17441" s="55">
        <v>28500</v>
      </c>
      <c r="AS17441" s="78">
        <f t="shared" si="276"/>
        <v>0.32624561403508773</v>
      </c>
    </row>
    <row r="17442" spans="39:45">
      <c r="AM17442" s="54">
        <v>2020</v>
      </c>
      <c r="AN17442" s="54" t="s">
        <v>193</v>
      </c>
      <c r="AO17442" s="54">
        <v>27</v>
      </c>
      <c r="AP17442" s="54">
        <v>16</v>
      </c>
      <c r="AQ17442" s="54">
        <v>0</v>
      </c>
      <c r="AR17442" s="55">
        <v>28500</v>
      </c>
      <c r="AS17442" s="78">
        <f t="shared" si="276"/>
        <v>0</v>
      </c>
    </row>
    <row r="17443" spans="39:45">
      <c r="AM17443" s="55">
        <v>2020</v>
      </c>
      <c r="AN17443" s="55" t="s">
        <v>193</v>
      </c>
      <c r="AO17443" s="55">
        <v>27</v>
      </c>
      <c r="AP17443" s="55">
        <v>17</v>
      </c>
      <c r="AQ17443" s="55">
        <v>0</v>
      </c>
      <c r="AR17443" s="55">
        <v>28500</v>
      </c>
      <c r="AS17443" s="78">
        <f t="shared" si="276"/>
        <v>0</v>
      </c>
    </row>
    <row r="17444" spans="39:45">
      <c r="AM17444" s="54">
        <v>2020</v>
      </c>
      <c r="AN17444" s="54" t="s">
        <v>193</v>
      </c>
      <c r="AO17444" s="54">
        <v>27</v>
      </c>
      <c r="AP17444" s="54">
        <v>18</v>
      </c>
      <c r="AQ17444" s="54">
        <v>0</v>
      </c>
      <c r="AR17444" s="55">
        <v>28500</v>
      </c>
      <c r="AS17444" s="78">
        <f t="shared" si="276"/>
        <v>0</v>
      </c>
    </row>
    <row r="17445" spans="39:45">
      <c r="AM17445" s="55">
        <v>2020</v>
      </c>
      <c r="AN17445" s="55" t="s">
        <v>193</v>
      </c>
      <c r="AO17445" s="55">
        <v>27</v>
      </c>
      <c r="AP17445" s="55">
        <v>19</v>
      </c>
      <c r="AQ17445" s="55">
        <v>0</v>
      </c>
      <c r="AR17445" s="55">
        <v>28500</v>
      </c>
      <c r="AS17445" s="78">
        <f t="shared" si="276"/>
        <v>0</v>
      </c>
    </row>
    <row r="17446" spans="39:45">
      <c r="AM17446" s="54">
        <v>2020</v>
      </c>
      <c r="AN17446" s="54" t="s">
        <v>193</v>
      </c>
      <c r="AO17446" s="54">
        <v>27</v>
      </c>
      <c r="AP17446" s="54">
        <v>20</v>
      </c>
      <c r="AQ17446" s="54">
        <v>0</v>
      </c>
      <c r="AR17446" s="55">
        <v>28500</v>
      </c>
      <c r="AS17446" s="78">
        <f t="shared" si="276"/>
        <v>0</v>
      </c>
    </row>
    <row r="17447" spans="39:45">
      <c r="AM17447" s="55">
        <v>2020</v>
      </c>
      <c r="AN17447" s="55" t="s">
        <v>193</v>
      </c>
      <c r="AO17447" s="55">
        <v>27</v>
      </c>
      <c r="AP17447" s="55">
        <v>21</v>
      </c>
      <c r="AQ17447" s="55">
        <v>0</v>
      </c>
      <c r="AR17447" s="55">
        <v>28500</v>
      </c>
      <c r="AS17447" s="78">
        <f t="shared" si="276"/>
        <v>0</v>
      </c>
    </row>
    <row r="17448" spans="39:45">
      <c r="AM17448" s="54">
        <v>2020</v>
      </c>
      <c r="AN17448" s="54" t="s">
        <v>193</v>
      </c>
      <c r="AO17448" s="54">
        <v>27</v>
      </c>
      <c r="AP17448" s="54">
        <v>22</v>
      </c>
      <c r="AQ17448" s="54">
        <v>0</v>
      </c>
      <c r="AR17448" s="55">
        <v>28500</v>
      </c>
      <c r="AS17448" s="78">
        <f t="shared" si="276"/>
        <v>0</v>
      </c>
    </row>
    <row r="17449" spans="39:45">
      <c r="AM17449" s="55">
        <v>2020</v>
      </c>
      <c r="AN17449" s="55" t="s">
        <v>193</v>
      </c>
      <c r="AO17449" s="55">
        <v>27</v>
      </c>
      <c r="AP17449" s="55">
        <v>23</v>
      </c>
      <c r="AQ17449" s="55">
        <v>0</v>
      </c>
      <c r="AR17449" s="55">
        <v>28500</v>
      </c>
      <c r="AS17449" s="78">
        <f t="shared" si="276"/>
        <v>0</v>
      </c>
    </row>
    <row r="17450" spans="39:45">
      <c r="AM17450" s="54">
        <v>2020</v>
      </c>
      <c r="AN17450" s="54" t="s">
        <v>193</v>
      </c>
      <c r="AO17450" s="54">
        <v>28</v>
      </c>
      <c r="AP17450" s="54">
        <v>24</v>
      </c>
      <c r="AQ17450" s="54">
        <v>0</v>
      </c>
      <c r="AR17450" s="55">
        <v>28500</v>
      </c>
      <c r="AS17450" s="78">
        <f t="shared" si="276"/>
        <v>0</v>
      </c>
    </row>
    <row r="17451" spans="39:45">
      <c r="AM17451" s="55">
        <v>2020</v>
      </c>
      <c r="AN17451" s="55" t="s">
        <v>193</v>
      </c>
      <c r="AO17451" s="55">
        <v>28</v>
      </c>
      <c r="AP17451" s="55">
        <v>1</v>
      </c>
      <c r="AQ17451" s="55">
        <v>0</v>
      </c>
      <c r="AR17451" s="55">
        <v>28500</v>
      </c>
      <c r="AS17451" s="78">
        <f t="shared" si="276"/>
        <v>0</v>
      </c>
    </row>
    <row r="17452" spans="39:45">
      <c r="AM17452" s="54">
        <v>2020</v>
      </c>
      <c r="AN17452" s="54" t="s">
        <v>193</v>
      </c>
      <c r="AO17452" s="54">
        <v>28</v>
      </c>
      <c r="AP17452" s="54">
        <v>2</v>
      </c>
      <c r="AQ17452" s="54">
        <v>0</v>
      </c>
      <c r="AR17452" s="55">
        <v>28500</v>
      </c>
      <c r="AS17452" s="78">
        <f t="shared" si="276"/>
        <v>0</v>
      </c>
    </row>
    <row r="17453" spans="39:45">
      <c r="AM17453" s="55">
        <v>2020</v>
      </c>
      <c r="AN17453" s="55" t="s">
        <v>193</v>
      </c>
      <c r="AO17453" s="55">
        <v>28</v>
      </c>
      <c r="AP17453" s="55">
        <v>3</v>
      </c>
      <c r="AQ17453" s="55">
        <v>0</v>
      </c>
      <c r="AR17453" s="55">
        <v>28500</v>
      </c>
      <c r="AS17453" s="78">
        <f t="shared" si="276"/>
        <v>0</v>
      </c>
    </row>
    <row r="17454" spans="39:45">
      <c r="AM17454" s="54">
        <v>2020</v>
      </c>
      <c r="AN17454" s="54" t="s">
        <v>193</v>
      </c>
      <c r="AO17454" s="54">
        <v>28</v>
      </c>
      <c r="AP17454" s="54">
        <v>4</v>
      </c>
      <c r="AQ17454" s="54">
        <v>0</v>
      </c>
      <c r="AR17454" s="55">
        <v>28500</v>
      </c>
      <c r="AS17454" s="78">
        <f t="shared" si="276"/>
        <v>0</v>
      </c>
    </row>
    <row r="17455" spans="39:45">
      <c r="AM17455" s="55">
        <v>2020</v>
      </c>
      <c r="AN17455" s="55" t="s">
        <v>193</v>
      </c>
      <c r="AO17455" s="55">
        <v>28</v>
      </c>
      <c r="AP17455" s="55">
        <v>5</v>
      </c>
      <c r="AQ17455" s="55">
        <v>0</v>
      </c>
      <c r="AR17455" s="55">
        <v>28500</v>
      </c>
      <c r="AS17455" s="78">
        <f t="shared" si="276"/>
        <v>0</v>
      </c>
    </row>
    <row r="17456" spans="39:45">
      <c r="AM17456" s="54">
        <v>2020</v>
      </c>
      <c r="AN17456" s="54" t="s">
        <v>193</v>
      </c>
      <c r="AO17456" s="54">
        <v>28</v>
      </c>
      <c r="AP17456" s="54">
        <v>6</v>
      </c>
      <c r="AQ17456" s="54">
        <v>0</v>
      </c>
      <c r="AR17456" s="55">
        <v>28500</v>
      </c>
      <c r="AS17456" s="78">
        <f t="shared" si="276"/>
        <v>0</v>
      </c>
    </row>
    <row r="17457" spans="39:45">
      <c r="AM17457" s="55">
        <v>2020</v>
      </c>
      <c r="AN17457" s="55" t="s">
        <v>193</v>
      </c>
      <c r="AO17457" s="55">
        <v>28</v>
      </c>
      <c r="AP17457" s="55">
        <v>7</v>
      </c>
      <c r="AQ17457" s="55">
        <v>0</v>
      </c>
      <c r="AR17457" s="55">
        <v>28500</v>
      </c>
      <c r="AS17457" s="78">
        <f t="shared" si="276"/>
        <v>0</v>
      </c>
    </row>
    <row r="17458" spans="39:45">
      <c r="AM17458" s="54">
        <v>2020</v>
      </c>
      <c r="AN17458" s="54" t="s">
        <v>193</v>
      </c>
      <c r="AO17458" s="54">
        <v>28</v>
      </c>
      <c r="AP17458" s="54">
        <v>8</v>
      </c>
      <c r="AQ17458" s="54">
        <v>0</v>
      </c>
      <c r="AR17458" s="55">
        <v>28500</v>
      </c>
      <c r="AS17458" s="78">
        <f t="shared" si="276"/>
        <v>0</v>
      </c>
    </row>
    <row r="17459" spans="39:45">
      <c r="AM17459" s="55">
        <v>2020</v>
      </c>
      <c r="AN17459" s="55" t="s">
        <v>193</v>
      </c>
      <c r="AO17459" s="55">
        <v>28</v>
      </c>
      <c r="AP17459" s="55">
        <v>9</v>
      </c>
      <c r="AQ17459" s="55">
        <v>1783</v>
      </c>
      <c r="AR17459" s="55">
        <v>28500</v>
      </c>
      <c r="AS17459" s="78">
        <f t="shared" si="276"/>
        <v>6.2561403508771929E-2</v>
      </c>
    </row>
    <row r="17460" spans="39:45">
      <c r="AM17460" s="54">
        <v>2020</v>
      </c>
      <c r="AN17460" s="54" t="s">
        <v>193</v>
      </c>
      <c r="AO17460" s="54">
        <v>28</v>
      </c>
      <c r="AP17460" s="54">
        <v>10</v>
      </c>
      <c r="AQ17460" s="54">
        <v>8170.5</v>
      </c>
      <c r="AR17460" s="55">
        <v>28500</v>
      </c>
      <c r="AS17460" s="78">
        <f t="shared" si="276"/>
        <v>0.28668421052631576</v>
      </c>
    </row>
    <row r="17461" spans="39:45">
      <c r="AM17461" s="55">
        <v>2020</v>
      </c>
      <c r="AN17461" s="55" t="s">
        <v>193</v>
      </c>
      <c r="AO17461" s="55">
        <v>28</v>
      </c>
      <c r="AP17461" s="55">
        <v>11</v>
      </c>
      <c r="AQ17461" s="55">
        <v>9168</v>
      </c>
      <c r="AR17461" s="55">
        <v>28500</v>
      </c>
      <c r="AS17461" s="78">
        <f t="shared" si="276"/>
        <v>0.32168421052631579</v>
      </c>
    </row>
    <row r="17462" spans="39:45">
      <c r="AM17462" s="54">
        <v>2020</v>
      </c>
      <c r="AN17462" s="54" t="s">
        <v>193</v>
      </c>
      <c r="AO17462" s="54">
        <v>28</v>
      </c>
      <c r="AP17462" s="54">
        <v>12</v>
      </c>
      <c r="AQ17462" s="54">
        <v>20576</v>
      </c>
      <c r="AR17462" s="55">
        <v>28500</v>
      </c>
      <c r="AS17462" s="78">
        <f t="shared" si="276"/>
        <v>0.72196491228070181</v>
      </c>
    </row>
    <row r="17463" spans="39:45">
      <c r="AM17463" s="55">
        <v>2020</v>
      </c>
      <c r="AN17463" s="55" t="s">
        <v>193</v>
      </c>
      <c r="AO17463" s="55">
        <v>28</v>
      </c>
      <c r="AP17463" s="55">
        <v>13</v>
      </c>
      <c r="AQ17463" s="55">
        <v>7354</v>
      </c>
      <c r="AR17463" s="55">
        <v>28500</v>
      </c>
      <c r="AS17463" s="78">
        <f t="shared" si="276"/>
        <v>0.25803508771929823</v>
      </c>
    </row>
    <row r="17464" spans="39:45">
      <c r="AM17464" s="54">
        <v>2020</v>
      </c>
      <c r="AN17464" s="54" t="s">
        <v>193</v>
      </c>
      <c r="AO17464" s="54">
        <v>28</v>
      </c>
      <c r="AP17464" s="54">
        <v>14</v>
      </c>
      <c r="AQ17464" s="54">
        <v>5574</v>
      </c>
      <c r="AR17464" s="55">
        <v>28500</v>
      </c>
      <c r="AS17464" s="78">
        <f t="shared" si="276"/>
        <v>0.19557894736842105</v>
      </c>
    </row>
    <row r="17465" spans="39:45">
      <c r="AM17465" s="55">
        <v>2020</v>
      </c>
      <c r="AN17465" s="55" t="s">
        <v>193</v>
      </c>
      <c r="AO17465" s="55">
        <v>28</v>
      </c>
      <c r="AP17465" s="55">
        <v>15</v>
      </c>
      <c r="AQ17465" s="55">
        <v>1041</v>
      </c>
      <c r="AR17465" s="55">
        <v>28500</v>
      </c>
      <c r="AS17465" s="78">
        <f t="shared" si="276"/>
        <v>3.6526315789473685E-2</v>
      </c>
    </row>
    <row r="17466" spans="39:45">
      <c r="AM17466" s="54">
        <v>2020</v>
      </c>
      <c r="AN17466" s="54" t="s">
        <v>193</v>
      </c>
      <c r="AO17466" s="54">
        <v>28</v>
      </c>
      <c r="AP17466" s="54">
        <v>16</v>
      </c>
      <c r="AQ17466" s="54">
        <v>0</v>
      </c>
      <c r="AR17466" s="55">
        <v>28500</v>
      </c>
      <c r="AS17466" s="78">
        <f t="shared" si="276"/>
        <v>0</v>
      </c>
    </row>
    <row r="17467" spans="39:45">
      <c r="AM17467" s="55">
        <v>2020</v>
      </c>
      <c r="AN17467" s="55" t="s">
        <v>193</v>
      </c>
      <c r="AO17467" s="55">
        <v>28</v>
      </c>
      <c r="AP17467" s="55">
        <v>17</v>
      </c>
      <c r="AQ17467" s="55">
        <v>0</v>
      </c>
      <c r="AR17467" s="55">
        <v>28500</v>
      </c>
      <c r="AS17467" s="78">
        <f t="shared" si="276"/>
        <v>0</v>
      </c>
    </row>
    <row r="17468" spans="39:45">
      <c r="AM17468" s="54">
        <v>2020</v>
      </c>
      <c r="AN17468" s="54" t="s">
        <v>193</v>
      </c>
      <c r="AO17468" s="54">
        <v>28</v>
      </c>
      <c r="AP17468" s="54">
        <v>18</v>
      </c>
      <c r="AQ17468" s="54">
        <v>0</v>
      </c>
      <c r="AR17468" s="55">
        <v>28500</v>
      </c>
      <c r="AS17468" s="78">
        <f t="shared" si="276"/>
        <v>0</v>
      </c>
    </row>
    <row r="17469" spans="39:45">
      <c r="AM17469" s="55">
        <v>2020</v>
      </c>
      <c r="AN17469" s="55" t="s">
        <v>193</v>
      </c>
      <c r="AO17469" s="55">
        <v>28</v>
      </c>
      <c r="AP17469" s="55">
        <v>19</v>
      </c>
      <c r="AQ17469" s="55">
        <v>0</v>
      </c>
      <c r="AR17469" s="55">
        <v>28500</v>
      </c>
      <c r="AS17469" s="78">
        <f t="shared" si="276"/>
        <v>0</v>
      </c>
    </row>
    <row r="17470" spans="39:45">
      <c r="AM17470" s="54">
        <v>2020</v>
      </c>
      <c r="AN17470" s="54" t="s">
        <v>193</v>
      </c>
      <c r="AO17470" s="54">
        <v>28</v>
      </c>
      <c r="AP17470" s="54">
        <v>20</v>
      </c>
      <c r="AQ17470" s="54">
        <v>0</v>
      </c>
      <c r="AR17470" s="55">
        <v>28500</v>
      </c>
      <c r="AS17470" s="78">
        <f t="shared" si="276"/>
        <v>0</v>
      </c>
    </row>
    <row r="17471" spans="39:45">
      <c r="AM17471" s="55">
        <v>2020</v>
      </c>
      <c r="AN17471" s="55" t="s">
        <v>193</v>
      </c>
      <c r="AO17471" s="55">
        <v>28</v>
      </c>
      <c r="AP17471" s="55">
        <v>21</v>
      </c>
      <c r="AQ17471" s="55">
        <v>0</v>
      </c>
      <c r="AR17471" s="55">
        <v>28500</v>
      </c>
      <c r="AS17471" s="78">
        <f t="shared" si="276"/>
        <v>0</v>
      </c>
    </row>
    <row r="17472" spans="39:45">
      <c r="AM17472" s="54">
        <v>2020</v>
      </c>
      <c r="AN17472" s="54" t="s">
        <v>193</v>
      </c>
      <c r="AO17472" s="54">
        <v>28</v>
      </c>
      <c r="AP17472" s="54">
        <v>22</v>
      </c>
      <c r="AQ17472" s="54">
        <v>0</v>
      </c>
      <c r="AR17472" s="55">
        <v>28500</v>
      </c>
      <c r="AS17472" s="78">
        <f t="shared" si="276"/>
        <v>0</v>
      </c>
    </row>
    <row r="17473" spans="39:45">
      <c r="AM17473" s="55">
        <v>2020</v>
      </c>
      <c r="AN17473" s="55" t="s">
        <v>193</v>
      </c>
      <c r="AO17473" s="55">
        <v>28</v>
      </c>
      <c r="AP17473" s="55">
        <v>23</v>
      </c>
      <c r="AQ17473" s="55">
        <v>0</v>
      </c>
      <c r="AR17473" s="55">
        <v>28500</v>
      </c>
      <c r="AS17473" s="78">
        <f t="shared" si="276"/>
        <v>0</v>
      </c>
    </row>
    <row r="17474" spans="39:45">
      <c r="AM17474" s="54">
        <v>2020</v>
      </c>
      <c r="AN17474" s="54" t="s">
        <v>193</v>
      </c>
      <c r="AO17474" s="54">
        <v>29</v>
      </c>
      <c r="AP17474" s="54">
        <v>24</v>
      </c>
      <c r="AQ17474" s="54">
        <v>0</v>
      </c>
      <c r="AR17474" s="55">
        <v>28500</v>
      </c>
      <c r="AS17474" s="78">
        <f t="shared" ref="AS17474:AS17537" si="277">AQ17474/AR17474</f>
        <v>0</v>
      </c>
    </row>
    <row r="17475" spans="39:45">
      <c r="AM17475" s="55">
        <v>2020</v>
      </c>
      <c r="AN17475" s="55" t="s">
        <v>193</v>
      </c>
      <c r="AO17475" s="55">
        <v>29</v>
      </c>
      <c r="AP17475" s="55">
        <v>1</v>
      </c>
      <c r="AQ17475" s="55">
        <v>0</v>
      </c>
      <c r="AR17475" s="55">
        <v>28500</v>
      </c>
      <c r="AS17475" s="78">
        <f t="shared" si="277"/>
        <v>0</v>
      </c>
    </row>
    <row r="17476" spans="39:45">
      <c r="AM17476" s="54">
        <v>2020</v>
      </c>
      <c r="AN17476" s="54" t="s">
        <v>193</v>
      </c>
      <c r="AO17476" s="54">
        <v>29</v>
      </c>
      <c r="AP17476" s="54">
        <v>2</v>
      </c>
      <c r="AQ17476" s="54">
        <v>0</v>
      </c>
      <c r="AR17476" s="55">
        <v>28500</v>
      </c>
      <c r="AS17476" s="78">
        <f t="shared" si="277"/>
        <v>0</v>
      </c>
    </row>
    <row r="17477" spans="39:45">
      <c r="AM17477" s="55">
        <v>2020</v>
      </c>
      <c r="AN17477" s="55" t="s">
        <v>193</v>
      </c>
      <c r="AO17477" s="55">
        <v>29</v>
      </c>
      <c r="AP17477" s="55">
        <v>3</v>
      </c>
      <c r="AQ17477" s="55">
        <v>0</v>
      </c>
      <c r="AR17477" s="55">
        <v>28500</v>
      </c>
      <c r="AS17477" s="78">
        <f t="shared" si="277"/>
        <v>0</v>
      </c>
    </row>
    <row r="17478" spans="39:45">
      <c r="AM17478" s="54">
        <v>2020</v>
      </c>
      <c r="AN17478" s="54" t="s">
        <v>193</v>
      </c>
      <c r="AO17478" s="54">
        <v>29</v>
      </c>
      <c r="AP17478" s="54">
        <v>4</v>
      </c>
      <c r="AQ17478" s="54">
        <v>0</v>
      </c>
      <c r="AR17478" s="55">
        <v>28500</v>
      </c>
      <c r="AS17478" s="78">
        <f t="shared" si="277"/>
        <v>0</v>
      </c>
    </row>
    <row r="17479" spans="39:45">
      <c r="AM17479" s="55">
        <v>2020</v>
      </c>
      <c r="AN17479" s="55" t="s">
        <v>193</v>
      </c>
      <c r="AO17479" s="55">
        <v>29</v>
      </c>
      <c r="AP17479" s="55">
        <v>5</v>
      </c>
      <c r="AQ17479" s="55">
        <v>0</v>
      </c>
      <c r="AR17479" s="55">
        <v>28500</v>
      </c>
      <c r="AS17479" s="78">
        <f t="shared" si="277"/>
        <v>0</v>
      </c>
    </row>
    <row r="17480" spans="39:45">
      <c r="AM17480" s="54">
        <v>2020</v>
      </c>
      <c r="AN17480" s="54" t="s">
        <v>193</v>
      </c>
      <c r="AO17480" s="54">
        <v>29</v>
      </c>
      <c r="AP17480" s="54">
        <v>6</v>
      </c>
      <c r="AQ17480" s="54">
        <v>0</v>
      </c>
      <c r="AR17480" s="55">
        <v>28500</v>
      </c>
      <c r="AS17480" s="78">
        <f t="shared" si="277"/>
        <v>0</v>
      </c>
    </row>
    <row r="17481" spans="39:45">
      <c r="AM17481" s="55">
        <v>2020</v>
      </c>
      <c r="AN17481" s="55" t="s">
        <v>193</v>
      </c>
      <c r="AO17481" s="55">
        <v>29</v>
      </c>
      <c r="AP17481" s="55">
        <v>7</v>
      </c>
      <c r="AQ17481" s="55">
        <v>0</v>
      </c>
      <c r="AR17481" s="55">
        <v>28500</v>
      </c>
      <c r="AS17481" s="78">
        <f t="shared" si="277"/>
        <v>0</v>
      </c>
    </row>
    <row r="17482" spans="39:45">
      <c r="AM17482" s="54">
        <v>2020</v>
      </c>
      <c r="AN17482" s="54" t="s">
        <v>193</v>
      </c>
      <c r="AO17482" s="54">
        <v>29</v>
      </c>
      <c r="AP17482" s="54">
        <v>8</v>
      </c>
      <c r="AQ17482" s="54">
        <v>0</v>
      </c>
      <c r="AR17482" s="55">
        <v>28500</v>
      </c>
      <c r="AS17482" s="78">
        <f t="shared" si="277"/>
        <v>0</v>
      </c>
    </row>
    <row r="17483" spans="39:45">
      <c r="AM17483" s="55">
        <v>2020</v>
      </c>
      <c r="AN17483" s="55" t="s">
        <v>193</v>
      </c>
      <c r="AO17483" s="55">
        <v>29</v>
      </c>
      <c r="AP17483" s="55">
        <v>9</v>
      </c>
      <c r="AQ17483" s="55">
        <v>738.5</v>
      </c>
      <c r="AR17483" s="55">
        <v>28500</v>
      </c>
      <c r="AS17483" s="78">
        <f t="shared" si="277"/>
        <v>2.5912280701754387E-2</v>
      </c>
    </row>
    <row r="17484" spans="39:45">
      <c r="AM17484" s="54">
        <v>2020</v>
      </c>
      <c r="AN17484" s="54" t="s">
        <v>193</v>
      </c>
      <c r="AO17484" s="54">
        <v>29</v>
      </c>
      <c r="AP17484" s="54">
        <v>10</v>
      </c>
      <c r="AQ17484" s="54">
        <v>1303</v>
      </c>
      <c r="AR17484" s="55">
        <v>28500</v>
      </c>
      <c r="AS17484" s="78">
        <f t="shared" si="277"/>
        <v>4.5719298245614035E-2</v>
      </c>
    </row>
    <row r="17485" spans="39:45">
      <c r="AM17485" s="55">
        <v>2020</v>
      </c>
      <c r="AN17485" s="55" t="s">
        <v>193</v>
      </c>
      <c r="AO17485" s="55">
        <v>29</v>
      </c>
      <c r="AP17485" s="55">
        <v>11</v>
      </c>
      <c r="AQ17485" s="55">
        <v>4967</v>
      </c>
      <c r="AR17485" s="55">
        <v>28500</v>
      </c>
      <c r="AS17485" s="78">
        <f t="shared" si="277"/>
        <v>0.17428070175438595</v>
      </c>
    </row>
    <row r="17486" spans="39:45">
      <c r="AM17486" s="54">
        <v>2020</v>
      </c>
      <c r="AN17486" s="54" t="s">
        <v>193</v>
      </c>
      <c r="AO17486" s="54">
        <v>29</v>
      </c>
      <c r="AP17486" s="54">
        <v>12</v>
      </c>
      <c r="AQ17486" s="54">
        <v>8152.5</v>
      </c>
      <c r="AR17486" s="55">
        <v>28500</v>
      </c>
      <c r="AS17486" s="78">
        <f t="shared" si="277"/>
        <v>0.28605263157894739</v>
      </c>
    </row>
    <row r="17487" spans="39:45">
      <c r="AM17487" s="55">
        <v>2020</v>
      </c>
      <c r="AN17487" s="55" t="s">
        <v>193</v>
      </c>
      <c r="AO17487" s="55">
        <v>29</v>
      </c>
      <c r="AP17487" s="55">
        <v>13</v>
      </c>
      <c r="AQ17487" s="55">
        <v>1474.5</v>
      </c>
      <c r="AR17487" s="55">
        <v>28500</v>
      </c>
      <c r="AS17487" s="78">
        <f t="shared" si="277"/>
        <v>5.1736842105263157E-2</v>
      </c>
    </row>
    <row r="17488" spans="39:45">
      <c r="AM17488" s="54">
        <v>2020</v>
      </c>
      <c r="AN17488" s="54" t="s">
        <v>193</v>
      </c>
      <c r="AO17488" s="54">
        <v>29</v>
      </c>
      <c r="AP17488" s="54">
        <v>14</v>
      </c>
      <c r="AQ17488" s="54">
        <v>2503.5</v>
      </c>
      <c r="AR17488" s="55">
        <v>28500</v>
      </c>
      <c r="AS17488" s="78">
        <f t="shared" si="277"/>
        <v>8.7842105263157888E-2</v>
      </c>
    </row>
    <row r="17489" spans="39:45">
      <c r="AM17489" s="55">
        <v>2020</v>
      </c>
      <c r="AN17489" s="55" t="s">
        <v>193</v>
      </c>
      <c r="AO17489" s="55">
        <v>29</v>
      </c>
      <c r="AP17489" s="55">
        <v>15</v>
      </c>
      <c r="AQ17489" s="55">
        <v>0</v>
      </c>
      <c r="AR17489" s="55">
        <v>28500</v>
      </c>
      <c r="AS17489" s="78">
        <f t="shared" si="277"/>
        <v>0</v>
      </c>
    </row>
    <row r="17490" spans="39:45">
      <c r="AM17490" s="54">
        <v>2020</v>
      </c>
      <c r="AN17490" s="54" t="s">
        <v>193</v>
      </c>
      <c r="AO17490" s="54">
        <v>29</v>
      </c>
      <c r="AP17490" s="54">
        <v>16</v>
      </c>
      <c r="AQ17490" s="54">
        <v>0</v>
      </c>
      <c r="AR17490" s="55">
        <v>28500</v>
      </c>
      <c r="AS17490" s="78">
        <f t="shared" si="277"/>
        <v>0</v>
      </c>
    </row>
    <row r="17491" spans="39:45">
      <c r="AM17491" s="55">
        <v>2020</v>
      </c>
      <c r="AN17491" s="55" t="s">
        <v>193</v>
      </c>
      <c r="AO17491" s="55">
        <v>29</v>
      </c>
      <c r="AP17491" s="55">
        <v>17</v>
      </c>
      <c r="AQ17491" s="55">
        <v>0</v>
      </c>
      <c r="AR17491" s="55">
        <v>28500</v>
      </c>
      <c r="AS17491" s="78">
        <f t="shared" si="277"/>
        <v>0</v>
      </c>
    </row>
    <row r="17492" spans="39:45">
      <c r="AM17492" s="54">
        <v>2020</v>
      </c>
      <c r="AN17492" s="54" t="s">
        <v>193</v>
      </c>
      <c r="AO17492" s="54">
        <v>29</v>
      </c>
      <c r="AP17492" s="54">
        <v>18</v>
      </c>
      <c r="AQ17492" s="54">
        <v>0</v>
      </c>
      <c r="AR17492" s="55">
        <v>28500</v>
      </c>
      <c r="AS17492" s="78">
        <f t="shared" si="277"/>
        <v>0</v>
      </c>
    </row>
    <row r="17493" spans="39:45">
      <c r="AM17493" s="55">
        <v>2020</v>
      </c>
      <c r="AN17493" s="55" t="s">
        <v>193</v>
      </c>
      <c r="AO17493" s="55">
        <v>29</v>
      </c>
      <c r="AP17493" s="55">
        <v>19</v>
      </c>
      <c r="AQ17493" s="55">
        <v>0</v>
      </c>
      <c r="AR17493" s="55">
        <v>28500</v>
      </c>
      <c r="AS17493" s="78">
        <f t="shared" si="277"/>
        <v>0</v>
      </c>
    </row>
    <row r="17494" spans="39:45">
      <c r="AM17494" s="54">
        <v>2020</v>
      </c>
      <c r="AN17494" s="54" t="s">
        <v>193</v>
      </c>
      <c r="AO17494" s="54">
        <v>29</v>
      </c>
      <c r="AP17494" s="54">
        <v>20</v>
      </c>
      <c r="AQ17494" s="54">
        <v>0</v>
      </c>
      <c r="AR17494" s="55">
        <v>28500</v>
      </c>
      <c r="AS17494" s="78">
        <f t="shared" si="277"/>
        <v>0</v>
      </c>
    </row>
    <row r="17495" spans="39:45">
      <c r="AM17495" s="55">
        <v>2020</v>
      </c>
      <c r="AN17495" s="55" t="s">
        <v>193</v>
      </c>
      <c r="AO17495" s="55">
        <v>29</v>
      </c>
      <c r="AP17495" s="55">
        <v>21</v>
      </c>
      <c r="AQ17495" s="55">
        <v>0</v>
      </c>
      <c r="AR17495" s="55">
        <v>28500</v>
      </c>
      <c r="AS17495" s="78">
        <f t="shared" si="277"/>
        <v>0</v>
      </c>
    </row>
    <row r="17496" spans="39:45">
      <c r="AM17496" s="54">
        <v>2020</v>
      </c>
      <c r="AN17496" s="54" t="s">
        <v>193</v>
      </c>
      <c r="AO17496" s="54">
        <v>29</v>
      </c>
      <c r="AP17496" s="54">
        <v>22</v>
      </c>
      <c r="AQ17496" s="54">
        <v>0</v>
      </c>
      <c r="AR17496" s="55">
        <v>28500</v>
      </c>
      <c r="AS17496" s="78">
        <f t="shared" si="277"/>
        <v>0</v>
      </c>
    </row>
    <row r="17497" spans="39:45">
      <c r="AM17497" s="55">
        <v>2020</v>
      </c>
      <c r="AN17497" s="55" t="s">
        <v>193</v>
      </c>
      <c r="AO17497" s="55">
        <v>29</v>
      </c>
      <c r="AP17497" s="55">
        <v>23</v>
      </c>
      <c r="AQ17497" s="55">
        <v>0</v>
      </c>
      <c r="AR17497" s="55">
        <v>28500</v>
      </c>
      <c r="AS17497" s="78">
        <f t="shared" si="277"/>
        <v>0</v>
      </c>
    </row>
    <row r="17498" spans="39:45">
      <c r="AM17498" s="54">
        <v>2020</v>
      </c>
      <c r="AN17498" s="54" t="s">
        <v>193</v>
      </c>
      <c r="AO17498" s="54">
        <v>30</v>
      </c>
      <c r="AP17498" s="54">
        <v>24</v>
      </c>
      <c r="AQ17498" s="54">
        <v>0</v>
      </c>
      <c r="AR17498" s="55">
        <v>28500</v>
      </c>
      <c r="AS17498" s="78">
        <f t="shared" si="277"/>
        <v>0</v>
      </c>
    </row>
    <row r="17499" spans="39:45">
      <c r="AM17499" s="55">
        <v>2020</v>
      </c>
      <c r="AN17499" s="55" t="s">
        <v>193</v>
      </c>
      <c r="AO17499" s="55">
        <v>30</v>
      </c>
      <c r="AP17499" s="55">
        <v>1</v>
      </c>
      <c r="AQ17499" s="55">
        <v>0</v>
      </c>
      <c r="AR17499" s="55">
        <v>28500</v>
      </c>
      <c r="AS17499" s="78">
        <f t="shared" si="277"/>
        <v>0</v>
      </c>
    </row>
    <row r="17500" spans="39:45">
      <c r="AM17500" s="54">
        <v>2020</v>
      </c>
      <c r="AN17500" s="54" t="s">
        <v>193</v>
      </c>
      <c r="AO17500" s="54">
        <v>30</v>
      </c>
      <c r="AP17500" s="54">
        <v>2</v>
      </c>
      <c r="AQ17500" s="54">
        <v>0</v>
      </c>
      <c r="AR17500" s="55">
        <v>28500</v>
      </c>
      <c r="AS17500" s="78">
        <f t="shared" si="277"/>
        <v>0</v>
      </c>
    </row>
    <row r="17501" spans="39:45">
      <c r="AM17501" s="55">
        <v>2020</v>
      </c>
      <c r="AN17501" s="55" t="s">
        <v>193</v>
      </c>
      <c r="AO17501" s="55">
        <v>30</v>
      </c>
      <c r="AP17501" s="55">
        <v>3</v>
      </c>
      <c r="AQ17501" s="55">
        <v>0</v>
      </c>
      <c r="AR17501" s="55">
        <v>28500</v>
      </c>
      <c r="AS17501" s="78">
        <f t="shared" si="277"/>
        <v>0</v>
      </c>
    </row>
    <row r="17502" spans="39:45">
      <c r="AM17502" s="54">
        <v>2020</v>
      </c>
      <c r="AN17502" s="54" t="s">
        <v>193</v>
      </c>
      <c r="AO17502" s="54">
        <v>30</v>
      </c>
      <c r="AP17502" s="54">
        <v>4</v>
      </c>
      <c r="AQ17502" s="54">
        <v>0</v>
      </c>
      <c r="AR17502" s="55">
        <v>28500</v>
      </c>
      <c r="AS17502" s="78">
        <f t="shared" si="277"/>
        <v>0</v>
      </c>
    </row>
    <row r="17503" spans="39:45">
      <c r="AM17503" s="55">
        <v>2020</v>
      </c>
      <c r="AN17503" s="55" t="s">
        <v>193</v>
      </c>
      <c r="AO17503" s="55">
        <v>30</v>
      </c>
      <c r="AP17503" s="55">
        <v>5</v>
      </c>
      <c r="AQ17503" s="55">
        <v>0</v>
      </c>
      <c r="AR17503" s="55">
        <v>28500</v>
      </c>
      <c r="AS17503" s="78">
        <f t="shared" si="277"/>
        <v>0</v>
      </c>
    </row>
    <row r="17504" spans="39:45">
      <c r="AM17504" s="54">
        <v>2020</v>
      </c>
      <c r="AN17504" s="54" t="s">
        <v>193</v>
      </c>
      <c r="AO17504" s="54">
        <v>30</v>
      </c>
      <c r="AP17504" s="54">
        <v>6</v>
      </c>
      <c r="AQ17504" s="54">
        <v>0</v>
      </c>
      <c r="AR17504" s="55">
        <v>28500</v>
      </c>
      <c r="AS17504" s="78">
        <f t="shared" si="277"/>
        <v>0</v>
      </c>
    </row>
    <row r="17505" spans="39:45">
      <c r="AM17505" s="55">
        <v>2020</v>
      </c>
      <c r="AN17505" s="55" t="s">
        <v>193</v>
      </c>
      <c r="AO17505" s="55">
        <v>30</v>
      </c>
      <c r="AP17505" s="55">
        <v>7</v>
      </c>
      <c r="AQ17505" s="55">
        <v>0</v>
      </c>
      <c r="AR17505" s="55">
        <v>28500</v>
      </c>
      <c r="AS17505" s="78">
        <f t="shared" si="277"/>
        <v>0</v>
      </c>
    </row>
    <row r="17506" spans="39:45">
      <c r="AM17506" s="54">
        <v>2020</v>
      </c>
      <c r="AN17506" s="54" t="s">
        <v>193</v>
      </c>
      <c r="AO17506" s="54">
        <v>30</v>
      </c>
      <c r="AP17506" s="54">
        <v>8</v>
      </c>
      <c r="AQ17506" s="54">
        <v>0</v>
      </c>
      <c r="AR17506" s="55">
        <v>28500</v>
      </c>
      <c r="AS17506" s="78">
        <f t="shared" si="277"/>
        <v>0</v>
      </c>
    </row>
    <row r="17507" spans="39:45">
      <c r="AM17507" s="55">
        <v>2020</v>
      </c>
      <c r="AN17507" s="55" t="s">
        <v>193</v>
      </c>
      <c r="AO17507" s="55">
        <v>30</v>
      </c>
      <c r="AP17507" s="55">
        <v>9</v>
      </c>
      <c r="AQ17507" s="55">
        <v>14558</v>
      </c>
      <c r="AR17507" s="55">
        <v>28500</v>
      </c>
      <c r="AS17507" s="78">
        <f t="shared" si="277"/>
        <v>0.5108070175438596</v>
      </c>
    </row>
    <row r="17508" spans="39:45">
      <c r="AM17508" s="54">
        <v>2020</v>
      </c>
      <c r="AN17508" s="54" t="s">
        <v>193</v>
      </c>
      <c r="AO17508" s="54">
        <v>30</v>
      </c>
      <c r="AP17508" s="54">
        <v>10</v>
      </c>
      <c r="AQ17508" s="54">
        <v>18811.5</v>
      </c>
      <c r="AR17508" s="55">
        <v>28500</v>
      </c>
      <c r="AS17508" s="78">
        <f t="shared" si="277"/>
        <v>0.66005263157894734</v>
      </c>
    </row>
    <row r="17509" spans="39:45">
      <c r="AM17509" s="55">
        <v>2020</v>
      </c>
      <c r="AN17509" s="55" t="s">
        <v>193</v>
      </c>
      <c r="AO17509" s="55">
        <v>30</v>
      </c>
      <c r="AP17509" s="55">
        <v>11</v>
      </c>
      <c r="AQ17509" s="55">
        <v>19419.5</v>
      </c>
      <c r="AR17509" s="55">
        <v>28500</v>
      </c>
      <c r="AS17509" s="78">
        <f t="shared" si="277"/>
        <v>0.68138596491228065</v>
      </c>
    </row>
    <row r="17510" spans="39:45">
      <c r="AM17510" s="54">
        <v>2020</v>
      </c>
      <c r="AN17510" s="54" t="s">
        <v>193</v>
      </c>
      <c r="AO17510" s="54">
        <v>30</v>
      </c>
      <c r="AP17510" s="54">
        <v>12</v>
      </c>
      <c r="AQ17510" s="54">
        <v>15856</v>
      </c>
      <c r="AR17510" s="55">
        <v>28500</v>
      </c>
      <c r="AS17510" s="78">
        <f t="shared" si="277"/>
        <v>0.55635087719298248</v>
      </c>
    </row>
    <row r="17511" spans="39:45">
      <c r="AM17511" s="55">
        <v>2020</v>
      </c>
      <c r="AN17511" s="55" t="s">
        <v>193</v>
      </c>
      <c r="AO17511" s="55">
        <v>30</v>
      </c>
      <c r="AP17511" s="55">
        <v>13</v>
      </c>
      <c r="AQ17511" s="55">
        <v>6775.5</v>
      </c>
      <c r="AR17511" s="55">
        <v>28500</v>
      </c>
      <c r="AS17511" s="78">
        <f t="shared" si="277"/>
        <v>0.23773684210526316</v>
      </c>
    </row>
    <row r="17512" spans="39:45">
      <c r="AM17512" s="54">
        <v>2020</v>
      </c>
      <c r="AN17512" s="54" t="s">
        <v>193</v>
      </c>
      <c r="AO17512" s="54">
        <v>30</v>
      </c>
      <c r="AP17512" s="54">
        <v>14</v>
      </c>
      <c r="AQ17512" s="54">
        <v>9759.5</v>
      </c>
      <c r="AR17512" s="55">
        <v>28500</v>
      </c>
      <c r="AS17512" s="78">
        <f t="shared" si="277"/>
        <v>0.3424385964912281</v>
      </c>
    </row>
    <row r="17513" spans="39:45">
      <c r="AM17513" s="55">
        <v>2020</v>
      </c>
      <c r="AN17513" s="55" t="s">
        <v>193</v>
      </c>
      <c r="AO17513" s="55">
        <v>30</v>
      </c>
      <c r="AP17513" s="55">
        <v>15</v>
      </c>
      <c r="AQ17513" s="55">
        <v>10637.5</v>
      </c>
      <c r="AR17513" s="55">
        <v>28500</v>
      </c>
      <c r="AS17513" s="78">
        <f t="shared" si="277"/>
        <v>0.37324561403508771</v>
      </c>
    </row>
    <row r="17514" spans="39:45">
      <c r="AM17514" s="54">
        <v>2020</v>
      </c>
      <c r="AN17514" s="54" t="s">
        <v>193</v>
      </c>
      <c r="AO17514" s="54">
        <v>30</v>
      </c>
      <c r="AP17514" s="54">
        <v>16</v>
      </c>
      <c r="AQ17514" s="54">
        <v>0</v>
      </c>
      <c r="AR17514" s="55">
        <v>28500</v>
      </c>
      <c r="AS17514" s="78">
        <f t="shared" si="277"/>
        <v>0</v>
      </c>
    </row>
    <row r="17515" spans="39:45">
      <c r="AM17515" s="55">
        <v>2020</v>
      </c>
      <c r="AN17515" s="55" t="s">
        <v>193</v>
      </c>
      <c r="AO17515" s="55">
        <v>30</v>
      </c>
      <c r="AP17515" s="55">
        <v>17</v>
      </c>
      <c r="AQ17515" s="55">
        <v>0</v>
      </c>
      <c r="AR17515" s="55">
        <v>28500</v>
      </c>
      <c r="AS17515" s="78">
        <f t="shared" si="277"/>
        <v>0</v>
      </c>
    </row>
    <row r="17516" spans="39:45">
      <c r="AM17516" s="54">
        <v>2020</v>
      </c>
      <c r="AN17516" s="54" t="s">
        <v>193</v>
      </c>
      <c r="AO17516" s="54">
        <v>30</v>
      </c>
      <c r="AP17516" s="54">
        <v>18</v>
      </c>
      <c r="AQ17516" s="54">
        <v>0</v>
      </c>
      <c r="AR17516" s="55">
        <v>28500</v>
      </c>
      <c r="AS17516" s="78">
        <f t="shared" si="277"/>
        <v>0</v>
      </c>
    </row>
    <row r="17517" spans="39:45">
      <c r="AM17517" s="55">
        <v>2020</v>
      </c>
      <c r="AN17517" s="55" t="s">
        <v>193</v>
      </c>
      <c r="AO17517" s="55">
        <v>30</v>
      </c>
      <c r="AP17517" s="55">
        <v>19</v>
      </c>
      <c r="AQ17517" s="55">
        <v>0</v>
      </c>
      <c r="AR17517" s="55">
        <v>28500</v>
      </c>
      <c r="AS17517" s="78">
        <f t="shared" si="277"/>
        <v>0</v>
      </c>
    </row>
    <row r="17518" spans="39:45">
      <c r="AM17518" s="54">
        <v>2020</v>
      </c>
      <c r="AN17518" s="54" t="s">
        <v>193</v>
      </c>
      <c r="AO17518" s="54">
        <v>30</v>
      </c>
      <c r="AP17518" s="54">
        <v>20</v>
      </c>
      <c r="AQ17518" s="54">
        <v>0</v>
      </c>
      <c r="AR17518" s="55">
        <v>28500</v>
      </c>
      <c r="AS17518" s="78">
        <f t="shared" si="277"/>
        <v>0</v>
      </c>
    </row>
    <row r="17519" spans="39:45">
      <c r="AM17519" s="55">
        <v>2020</v>
      </c>
      <c r="AN17519" s="55" t="s">
        <v>193</v>
      </c>
      <c r="AO17519" s="55">
        <v>30</v>
      </c>
      <c r="AP17519" s="55">
        <v>21</v>
      </c>
      <c r="AQ17519" s="55">
        <v>0</v>
      </c>
      <c r="AR17519" s="55">
        <v>28500</v>
      </c>
      <c r="AS17519" s="78">
        <f t="shared" si="277"/>
        <v>0</v>
      </c>
    </row>
    <row r="17520" spans="39:45">
      <c r="AM17520" s="54">
        <v>2020</v>
      </c>
      <c r="AN17520" s="54" t="s">
        <v>193</v>
      </c>
      <c r="AO17520" s="54">
        <v>30</v>
      </c>
      <c r="AP17520" s="54">
        <v>22</v>
      </c>
      <c r="AQ17520" s="54">
        <v>0</v>
      </c>
      <c r="AR17520" s="55">
        <v>28500</v>
      </c>
      <c r="AS17520" s="78">
        <f t="shared" si="277"/>
        <v>0</v>
      </c>
    </row>
    <row r="17521" spans="39:45">
      <c r="AM17521" s="55">
        <v>2020</v>
      </c>
      <c r="AN17521" s="55" t="s">
        <v>193</v>
      </c>
      <c r="AO17521" s="55">
        <v>30</v>
      </c>
      <c r="AP17521" s="55">
        <v>23</v>
      </c>
      <c r="AQ17521" s="55">
        <v>0</v>
      </c>
      <c r="AR17521" s="55">
        <v>28500</v>
      </c>
      <c r="AS17521" s="78">
        <f t="shared" si="277"/>
        <v>0</v>
      </c>
    </row>
    <row r="17522" spans="39:45">
      <c r="AM17522" s="54">
        <v>2020</v>
      </c>
      <c r="AN17522" s="54" t="s">
        <v>193</v>
      </c>
      <c r="AO17522" s="54">
        <v>31</v>
      </c>
      <c r="AP17522" s="54">
        <v>24</v>
      </c>
      <c r="AQ17522" s="54">
        <v>0</v>
      </c>
      <c r="AR17522" s="55">
        <v>28500</v>
      </c>
      <c r="AS17522" s="78">
        <f t="shared" si="277"/>
        <v>0</v>
      </c>
    </row>
    <row r="17523" spans="39:45">
      <c r="AM17523" s="55">
        <v>2020</v>
      </c>
      <c r="AN17523" s="55" t="s">
        <v>193</v>
      </c>
      <c r="AO17523" s="55">
        <v>31</v>
      </c>
      <c r="AP17523" s="55">
        <v>1</v>
      </c>
      <c r="AQ17523" s="55">
        <v>0</v>
      </c>
      <c r="AR17523" s="55">
        <v>28500</v>
      </c>
      <c r="AS17523" s="78">
        <f t="shared" si="277"/>
        <v>0</v>
      </c>
    </row>
    <row r="17524" spans="39:45">
      <c r="AM17524" s="54">
        <v>2020</v>
      </c>
      <c r="AN17524" s="54" t="s">
        <v>193</v>
      </c>
      <c r="AO17524" s="54">
        <v>31</v>
      </c>
      <c r="AP17524" s="54">
        <v>2</v>
      </c>
      <c r="AQ17524" s="54">
        <v>0</v>
      </c>
      <c r="AR17524" s="55">
        <v>28500</v>
      </c>
      <c r="AS17524" s="78">
        <f t="shared" si="277"/>
        <v>0</v>
      </c>
    </row>
    <row r="17525" spans="39:45">
      <c r="AM17525" s="55">
        <v>2020</v>
      </c>
      <c r="AN17525" s="55" t="s">
        <v>193</v>
      </c>
      <c r="AO17525" s="55">
        <v>31</v>
      </c>
      <c r="AP17525" s="55">
        <v>3</v>
      </c>
      <c r="AQ17525" s="55">
        <v>0</v>
      </c>
      <c r="AR17525" s="55">
        <v>28500</v>
      </c>
      <c r="AS17525" s="78">
        <f t="shared" si="277"/>
        <v>0</v>
      </c>
    </row>
    <row r="17526" spans="39:45">
      <c r="AM17526" s="54">
        <v>2020</v>
      </c>
      <c r="AN17526" s="54" t="s">
        <v>193</v>
      </c>
      <c r="AO17526" s="54">
        <v>31</v>
      </c>
      <c r="AP17526" s="54">
        <v>4</v>
      </c>
      <c r="AQ17526" s="54">
        <v>0</v>
      </c>
      <c r="AR17526" s="55">
        <v>28500</v>
      </c>
      <c r="AS17526" s="78">
        <f t="shared" si="277"/>
        <v>0</v>
      </c>
    </row>
    <row r="17527" spans="39:45">
      <c r="AM17527" s="55">
        <v>2020</v>
      </c>
      <c r="AN17527" s="55" t="s">
        <v>193</v>
      </c>
      <c r="AO17527" s="55">
        <v>31</v>
      </c>
      <c r="AP17527" s="55">
        <v>5</v>
      </c>
      <c r="AQ17527" s="55">
        <v>0</v>
      </c>
      <c r="AR17527" s="55">
        <v>28500</v>
      </c>
      <c r="AS17527" s="78">
        <f t="shared" si="277"/>
        <v>0</v>
      </c>
    </row>
    <row r="17528" spans="39:45">
      <c r="AM17528" s="54">
        <v>2020</v>
      </c>
      <c r="AN17528" s="54" t="s">
        <v>193</v>
      </c>
      <c r="AO17528" s="54">
        <v>31</v>
      </c>
      <c r="AP17528" s="54">
        <v>6</v>
      </c>
      <c r="AQ17528" s="54">
        <v>0</v>
      </c>
      <c r="AR17528" s="55">
        <v>28500</v>
      </c>
      <c r="AS17528" s="78">
        <f t="shared" si="277"/>
        <v>0</v>
      </c>
    </row>
    <row r="17529" spans="39:45">
      <c r="AM17529" s="55">
        <v>2020</v>
      </c>
      <c r="AN17529" s="55" t="s">
        <v>193</v>
      </c>
      <c r="AO17529" s="55">
        <v>31</v>
      </c>
      <c r="AP17529" s="55">
        <v>7</v>
      </c>
      <c r="AQ17529" s="55">
        <v>0</v>
      </c>
      <c r="AR17529" s="55">
        <v>28500</v>
      </c>
      <c r="AS17529" s="78">
        <f t="shared" si="277"/>
        <v>0</v>
      </c>
    </row>
    <row r="17530" spans="39:45">
      <c r="AM17530" s="54">
        <v>2020</v>
      </c>
      <c r="AN17530" s="54" t="s">
        <v>193</v>
      </c>
      <c r="AO17530" s="54">
        <v>31</v>
      </c>
      <c r="AP17530" s="54">
        <v>8</v>
      </c>
      <c r="AQ17530" s="54">
        <v>0</v>
      </c>
      <c r="AR17530" s="55">
        <v>28500</v>
      </c>
      <c r="AS17530" s="78">
        <f t="shared" si="277"/>
        <v>0</v>
      </c>
    </row>
    <row r="17531" spans="39:45">
      <c r="AM17531" s="55">
        <v>2020</v>
      </c>
      <c r="AN17531" s="55" t="s">
        <v>193</v>
      </c>
      <c r="AO17531" s="55">
        <v>31</v>
      </c>
      <c r="AP17531" s="55">
        <v>9</v>
      </c>
      <c r="AQ17531" s="55">
        <v>2418</v>
      </c>
      <c r="AR17531" s="55">
        <v>28500</v>
      </c>
      <c r="AS17531" s="78">
        <f t="shared" si="277"/>
        <v>8.4842105263157899E-2</v>
      </c>
    </row>
    <row r="17532" spans="39:45">
      <c r="AM17532" s="54">
        <v>2020</v>
      </c>
      <c r="AN17532" s="54" t="s">
        <v>193</v>
      </c>
      <c r="AO17532" s="54">
        <v>31</v>
      </c>
      <c r="AP17532" s="54">
        <v>10</v>
      </c>
      <c r="AQ17532" s="54">
        <v>4060</v>
      </c>
      <c r="AR17532" s="55">
        <v>28500</v>
      </c>
      <c r="AS17532" s="78">
        <f t="shared" si="277"/>
        <v>0.1424561403508772</v>
      </c>
    </row>
    <row r="17533" spans="39:45">
      <c r="AM17533" s="55">
        <v>2020</v>
      </c>
      <c r="AN17533" s="55" t="s">
        <v>193</v>
      </c>
      <c r="AO17533" s="55">
        <v>31</v>
      </c>
      <c r="AP17533" s="55">
        <v>11</v>
      </c>
      <c r="AQ17533" s="55">
        <v>3968</v>
      </c>
      <c r="AR17533" s="55">
        <v>28500</v>
      </c>
      <c r="AS17533" s="78">
        <f t="shared" si="277"/>
        <v>0.13922807017543859</v>
      </c>
    </row>
    <row r="17534" spans="39:45">
      <c r="AM17534" s="54">
        <v>2020</v>
      </c>
      <c r="AN17534" s="54" t="s">
        <v>193</v>
      </c>
      <c r="AO17534" s="54">
        <v>31</v>
      </c>
      <c r="AP17534" s="54">
        <v>12</v>
      </c>
      <c r="AQ17534" s="54">
        <v>2884</v>
      </c>
      <c r="AR17534" s="55">
        <v>28500</v>
      </c>
      <c r="AS17534" s="78">
        <f t="shared" si="277"/>
        <v>0.10119298245614035</v>
      </c>
    </row>
    <row r="17535" spans="39:45">
      <c r="AM17535" s="55">
        <v>2020</v>
      </c>
      <c r="AN17535" s="55" t="s">
        <v>193</v>
      </c>
      <c r="AO17535" s="55">
        <v>31</v>
      </c>
      <c r="AP17535" s="55">
        <v>13</v>
      </c>
      <c r="AQ17535" s="55">
        <v>1223.5</v>
      </c>
      <c r="AR17535" s="55">
        <v>28500</v>
      </c>
      <c r="AS17535" s="78">
        <f t="shared" si="277"/>
        <v>4.2929824561403505E-2</v>
      </c>
    </row>
    <row r="17536" spans="39:45">
      <c r="AM17536" s="54">
        <v>2020</v>
      </c>
      <c r="AN17536" s="54" t="s">
        <v>193</v>
      </c>
      <c r="AO17536" s="54">
        <v>31</v>
      </c>
      <c r="AP17536" s="54">
        <v>14</v>
      </c>
      <c r="AQ17536" s="54">
        <v>1186</v>
      </c>
      <c r="AR17536" s="55">
        <v>28500</v>
      </c>
      <c r="AS17536" s="78">
        <f t="shared" si="277"/>
        <v>4.1614035087719298E-2</v>
      </c>
    </row>
    <row r="17537" spans="39:45">
      <c r="AM17537" s="55">
        <v>2020</v>
      </c>
      <c r="AN17537" s="55" t="s">
        <v>193</v>
      </c>
      <c r="AO17537" s="55">
        <v>31</v>
      </c>
      <c r="AP17537" s="55">
        <v>15</v>
      </c>
      <c r="AQ17537" s="55">
        <v>1091</v>
      </c>
      <c r="AR17537" s="55">
        <v>28500</v>
      </c>
      <c r="AS17537" s="78">
        <f t="shared" si="277"/>
        <v>3.8280701754385964E-2</v>
      </c>
    </row>
    <row r="17538" spans="39:45">
      <c r="AM17538" s="54">
        <v>2020</v>
      </c>
      <c r="AN17538" s="54" t="s">
        <v>193</v>
      </c>
      <c r="AO17538" s="54">
        <v>31</v>
      </c>
      <c r="AP17538" s="54">
        <v>16</v>
      </c>
      <c r="AQ17538" s="54">
        <v>0</v>
      </c>
      <c r="AR17538" s="55">
        <v>28500</v>
      </c>
      <c r="AS17538" s="78">
        <f t="shared" ref="AS17538:AS17545" si="278">AQ17538/AR17538</f>
        <v>0</v>
      </c>
    </row>
    <row r="17539" spans="39:45">
      <c r="AM17539" s="55">
        <v>2020</v>
      </c>
      <c r="AN17539" s="55" t="s">
        <v>193</v>
      </c>
      <c r="AO17539" s="55">
        <v>31</v>
      </c>
      <c r="AP17539" s="55">
        <v>17</v>
      </c>
      <c r="AQ17539" s="55">
        <v>0</v>
      </c>
      <c r="AR17539" s="55">
        <v>28500</v>
      </c>
      <c r="AS17539" s="78">
        <f t="shared" si="278"/>
        <v>0</v>
      </c>
    </row>
    <row r="17540" spans="39:45">
      <c r="AM17540" s="54">
        <v>2020</v>
      </c>
      <c r="AN17540" s="54" t="s">
        <v>193</v>
      </c>
      <c r="AO17540" s="54">
        <v>31</v>
      </c>
      <c r="AP17540" s="54">
        <v>18</v>
      </c>
      <c r="AQ17540" s="54">
        <v>0</v>
      </c>
      <c r="AR17540" s="55">
        <v>28500</v>
      </c>
      <c r="AS17540" s="78">
        <f t="shared" si="278"/>
        <v>0</v>
      </c>
    </row>
    <row r="17541" spans="39:45">
      <c r="AM17541" s="55">
        <v>2020</v>
      </c>
      <c r="AN17541" s="55" t="s">
        <v>193</v>
      </c>
      <c r="AO17541" s="55">
        <v>31</v>
      </c>
      <c r="AP17541" s="55">
        <v>19</v>
      </c>
      <c r="AQ17541" s="55">
        <v>0</v>
      </c>
      <c r="AR17541" s="55">
        <v>28500</v>
      </c>
      <c r="AS17541" s="78">
        <f t="shared" si="278"/>
        <v>0</v>
      </c>
    </row>
    <row r="17542" spans="39:45">
      <c r="AM17542" s="54">
        <v>2020</v>
      </c>
      <c r="AN17542" s="54" t="s">
        <v>193</v>
      </c>
      <c r="AO17542" s="54">
        <v>31</v>
      </c>
      <c r="AP17542" s="54">
        <v>20</v>
      </c>
      <c r="AQ17542" s="54">
        <v>0</v>
      </c>
      <c r="AR17542" s="55">
        <v>28500</v>
      </c>
      <c r="AS17542" s="78">
        <f t="shared" si="278"/>
        <v>0</v>
      </c>
    </row>
    <row r="17543" spans="39:45">
      <c r="AM17543" s="55">
        <v>2020</v>
      </c>
      <c r="AN17543" s="55" t="s">
        <v>193</v>
      </c>
      <c r="AO17543" s="55">
        <v>31</v>
      </c>
      <c r="AP17543" s="55">
        <v>21</v>
      </c>
      <c r="AQ17543" s="55">
        <v>0</v>
      </c>
      <c r="AR17543" s="55">
        <v>28500</v>
      </c>
      <c r="AS17543" s="78">
        <f t="shared" si="278"/>
        <v>0</v>
      </c>
    </row>
    <row r="17544" spans="39:45">
      <c r="AM17544" s="54">
        <v>2020</v>
      </c>
      <c r="AN17544" s="54" t="s">
        <v>193</v>
      </c>
      <c r="AO17544" s="54">
        <v>31</v>
      </c>
      <c r="AP17544" s="54">
        <v>22</v>
      </c>
      <c r="AQ17544" s="54">
        <v>0</v>
      </c>
      <c r="AR17544" s="55">
        <v>28500</v>
      </c>
      <c r="AS17544" s="78">
        <f t="shared" si="278"/>
        <v>0</v>
      </c>
    </row>
    <row r="17545" spans="39:45">
      <c r="AM17545" s="75">
        <v>2020</v>
      </c>
      <c r="AN17545" s="75" t="s">
        <v>193</v>
      </c>
      <c r="AO17545" s="75">
        <v>31</v>
      </c>
      <c r="AP17545" s="75">
        <v>23</v>
      </c>
      <c r="AQ17545" s="75">
        <v>0</v>
      </c>
      <c r="AR17545" s="55">
        <v>28500</v>
      </c>
      <c r="AS17545" s="80">
        <f t="shared" si="278"/>
        <v>0</v>
      </c>
    </row>
  </sheetData>
  <sheetProtection algorithmName="SHA-512" hashValue="flpFeeWLDwWZgQm6o7Y3vJ52ZCr9ejtf6i2NJycC+0t8LK3kisRID682oGIAo7Mgt/SKj2dh0GiXES2kv5E62g==" saltValue="blMLFRZRyqIm2knyAi6+AA==" spinCount="100000" sheet="1" objects="1" scenarios="1" selectLockedCells="1"/>
  <conditionalFormatting sqref="C23:C34">
    <cfRule type="colorScale" priority="1">
      <colorScale>
        <cfvo type="min"/>
        <cfvo type="max"/>
        <color rgb="FFFFEF9C"/>
        <color rgb="FF63BE7B"/>
      </colorScale>
    </cfRule>
  </conditionalFormatting>
  <dataValidations count="3">
    <dataValidation type="list" allowBlank="1" showInputMessage="1" showErrorMessage="1" sqref="C20" xr:uid="{B0C624C8-C6F5-4C17-BBD0-8C0A20747022}">
      <formula1>$W$80:$W$101</formula1>
    </dataValidation>
    <dataValidation type="list" allowBlank="1" showInputMessage="1" showErrorMessage="1" sqref="C21" xr:uid="{5AC36DDD-DA25-4201-8008-F1A5455DA92D}">
      <formula1>$W$115:$AD$115</formula1>
    </dataValidation>
    <dataValidation type="list" allowBlank="1" showInputMessage="1" showErrorMessage="1" sqref="C2:C3" xr:uid="{6642A922-2602-4739-802C-ED9372FFDA84}">
      <formula1>"Yes, No"</formula1>
    </dataValidation>
  </dataValidations>
  <pageMargins left="0.7" right="0.7" top="0.75" bottom="0.75" header="0.3" footer="0.3"/>
  <pageSetup paperSize="256" scale="55" orientation="portrait" r:id="rId2"/>
  <headerFooter>
    <oddFooter>&amp;R© Henry Metcalfe, 2024</oddFooter>
  </headerFooter>
  <rowBreaks count="1" manualBreakCount="1">
    <brk id="50" max="16383" man="1"/>
  </rowBreaks>
  <drawing r:id="rId3"/>
  <legacyDrawing r:id="rId4"/>
  <tableParts count="1">
    <tablePart r:id="rId5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3E69A-CF39-476D-8504-6528F8B469AE}">
  <sheetPr>
    <tabColor theme="6"/>
    <pageSetUpPr fitToPage="1"/>
  </sheetPr>
  <dimension ref="A1:HF133"/>
  <sheetViews>
    <sheetView view="pageBreakPreview" zoomScale="55" zoomScaleNormal="49" zoomScaleSheetLayoutView="55" zoomScalePageLayoutView="40" workbookViewId="0">
      <selection activeCell="G3" sqref="G3"/>
    </sheetView>
  </sheetViews>
  <sheetFormatPr defaultRowHeight="14.4" outlineLevelCol="1"/>
  <cols>
    <col min="18" max="18" width="36.88671875" style="31" bestFit="1" customWidth="1"/>
    <col min="19" max="19" width="8.88671875" customWidth="1"/>
    <col min="34" max="34" width="10.33203125" customWidth="1"/>
    <col min="35" max="35" width="36.88671875" bestFit="1" customWidth="1"/>
    <col min="36" max="36" width="8.88671875" customWidth="1"/>
    <col min="37" max="37" width="12.6640625" customWidth="1" outlineLevel="1"/>
    <col min="38" max="65" width="8.88671875" customWidth="1" outlineLevel="1"/>
    <col min="66" max="66" width="6.109375" customWidth="1" outlineLevel="1"/>
    <col min="67" max="67" width="9.21875" customWidth="1" outlineLevel="1"/>
    <col min="68" max="68" width="8.88671875" customWidth="1" outlineLevel="1"/>
    <col min="69" max="69" width="30.6640625" customWidth="1" outlineLevel="1"/>
    <col min="70" max="70" width="9.5546875" customWidth="1" outlineLevel="1"/>
    <col min="71" max="71" width="10.5546875" customWidth="1" outlineLevel="1"/>
    <col min="72" max="73" width="11.5546875" customWidth="1" outlineLevel="1"/>
    <col min="74" max="76" width="10.5546875" customWidth="1" outlineLevel="1"/>
    <col min="77" max="80" width="9.5546875" customWidth="1" outlineLevel="1"/>
    <col min="81" max="82" width="10.5546875" customWidth="1" outlineLevel="1"/>
    <col min="83" max="86" width="11.5546875" customWidth="1" outlineLevel="1"/>
    <col min="87" max="88" width="10.5546875" customWidth="1" outlineLevel="1"/>
    <col min="89" max="89" width="9.5546875" customWidth="1" outlineLevel="1"/>
    <col min="90" max="92" width="8.88671875" customWidth="1" outlineLevel="1"/>
  </cols>
  <sheetData>
    <row r="1" spans="1:92" ht="15.6">
      <c r="A1" s="355" t="str">
        <f>AMD!A1</f>
        <v>XXXXX - Project Name</v>
      </c>
      <c r="B1" s="355"/>
      <c r="C1" s="355"/>
      <c r="D1" s="355"/>
    </row>
    <row r="2" spans="1:92" ht="15.6">
      <c r="A2" s="9" t="s">
        <v>202</v>
      </c>
      <c r="B2" s="9"/>
      <c r="C2" s="9"/>
      <c r="D2" s="9"/>
    </row>
    <row r="3" spans="1:92" ht="15.6">
      <c r="A3" s="355"/>
      <c r="B3" s="355"/>
      <c r="C3" s="355"/>
      <c r="D3" s="9"/>
      <c r="I3" s="2"/>
    </row>
    <row r="4" spans="1:92" ht="15" thickBot="1">
      <c r="AO4" s="242" t="s">
        <v>326</v>
      </c>
      <c r="AP4">
        <f>PV!C6</f>
        <v>0</v>
      </c>
    </row>
    <row r="5" spans="1:92" ht="14.4" customHeight="1">
      <c r="R5" s="87" t="s">
        <v>183</v>
      </c>
      <c r="AI5" s="87" t="s">
        <v>188</v>
      </c>
      <c r="AL5" t="s">
        <v>210</v>
      </c>
      <c r="AP5" s="8">
        <f>MAX(AL11:BE11,AL17:BE17,AL23:BE23,AL29:BE29,AL35:BE35,AL41:BE41,AL47:BE47,AL53:BE53,AL59:BE59,AL65:BE65,AL77:BE77,AL71:BE71)</f>
        <v>0</v>
      </c>
      <c r="AQ5" s="242" t="str">
        <f>PV!C2</f>
        <v>No</v>
      </c>
      <c r="AR5" t="s">
        <v>321</v>
      </c>
      <c r="BQ5" s="396" t="s">
        <v>1</v>
      </c>
      <c r="BR5" s="390" t="s">
        <v>43</v>
      </c>
      <c r="BS5" s="390"/>
      <c r="BT5" s="390"/>
      <c r="BU5" s="390"/>
      <c r="BV5" s="390"/>
      <c r="BW5" s="390"/>
      <c r="BX5" s="390"/>
      <c r="BY5" s="390"/>
      <c r="BZ5" s="390"/>
      <c r="CA5" s="390"/>
      <c r="CB5" s="390"/>
      <c r="CC5" s="390"/>
      <c r="CD5" s="390"/>
      <c r="CE5" s="390"/>
      <c r="CF5" s="390"/>
      <c r="CG5" s="390"/>
      <c r="CH5" s="390"/>
      <c r="CI5" s="390"/>
      <c r="CJ5" s="390"/>
      <c r="CK5" s="391"/>
    </row>
    <row r="6" spans="1:92" ht="15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R6" s="87" t="s">
        <v>207</v>
      </c>
      <c r="S6" s="31"/>
      <c r="AI6" s="87" t="s">
        <v>207</v>
      </c>
      <c r="AQ6" s="242" t="str">
        <f>PV!C3</f>
        <v>No</v>
      </c>
      <c r="AR6" t="s">
        <v>322</v>
      </c>
      <c r="BQ6" s="397"/>
      <c r="BR6" s="392"/>
      <c r="BS6" s="392"/>
      <c r="BT6" s="392"/>
      <c r="BU6" s="392"/>
      <c r="BV6" s="392"/>
      <c r="BW6" s="392"/>
      <c r="BX6" s="392"/>
      <c r="BY6" s="392"/>
      <c r="BZ6" s="392"/>
      <c r="CA6" s="392"/>
      <c r="CB6" s="392"/>
      <c r="CC6" s="392"/>
      <c r="CD6" s="392"/>
      <c r="CE6" s="392"/>
      <c r="CF6" s="392"/>
      <c r="CG6" s="392"/>
      <c r="CH6" s="392"/>
      <c r="CI6" s="392"/>
      <c r="CJ6" s="392"/>
      <c r="CK6" s="393"/>
    </row>
    <row r="7" spans="1:92" ht="15" customHeight="1">
      <c r="A7" s="10"/>
      <c r="B7" s="10"/>
      <c r="C7" s="10"/>
      <c r="D7" s="10"/>
      <c r="E7" s="10"/>
      <c r="F7" s="10"/>
      <c r="G7" s="10"/>
      <c r="H7" s="10"/>
      <c r="I7" s="10"/>
      <c r="J7" s="10"/>
      <c r="R7" s="85">
        <f>BG12</f>
        <v>0</v>
      </c>
      <c r="AI7" s="85">
        <f>BG48</f>
        <v>0</v>
      </c>
      <c r="AL7" s="53" t="s">
        <v>183</v>
      </c>
      <c r="AM7" s="53"/>
      <c r="AN7" s="53"/>
      <c r="AO7" s="53"/>
      <c r="AP7" s="53"/>
      <c r="AQ7" s="53"/>
      <c r="AR7" s="53"/>
      <c r="AS7" s="53"/>
      <c r="AT7" s="53"/>
      <c r="AU7" s="53"/>
      <c r="AV7" s="53"/>
      <c r="AW7" s="53"/>
      <c r="AX7" s="53"/>
      <c r="AY7" s="53"/>
      <c r="AZ7" s="53"/>
      <c r="BA7" s="53"/>
      <c r="BB7" s="53"/>
      <c r="BC7" s="53"/>
      <c r="BD7" s="53"/>
      <c r="BE7" s="53"/>
      <c r="BQ7" s="397"/>
      <c r="BR7" s="394"/>
      <c r="BS7" s="394"/>
      <c r="BT7" s="394"/>
      <c r="BU7" s="394"/>
      <c r="BV7" s="394"/>
      <c r="BW7" s="394"/>
      <c r="BX7" s="394"/>
      <c r="BY7" s="394"/>
      <c r="BZ7" s="394"/>
      <c r="CA7" s="394"/>
      <c r="CB7" s="394"/>
      <c r="CC7" s="394"/>
      <c r="CD7" s="394"/>
      <c r="CE7" s="394"/>
      <c r="CF7" s="394"/>
      <c r="CG7" s="394"/>
      <c r="CH7" s="394"/>
      <c r="CI7" s="394"/>
      <c r="CJ7" s="394"/>
      <c r="CK7" s="395"/>
    </row>
    <row r="8" spans="1:92" ht="15" thickBot="1">
      <c r="F8" s="8"/>
      <c r="H8" s="8"/>
      <c r="J8" s="8"/>
      <c r="K8" s="4"/>
      <c r="R8" s="87" t="s">
        <v>208</v>
      </c>
      <c r="AI8" s="87" t="s">
        <v>208</v>
      </c>
      <c r="AL8" s="43">
        <v>0.20833333333333334</v>
      </c>
      <c r="AM8" s="43">
        <v>0.25</v>
      </c>
      <c r="AN8" s="43">
        <v>0.29166666666666702</v>
      </c>
      <c r="AO8" s="43">
        <v>0.33333333333333298</v>
      </c>
      <c r="AP8" s="43">
        <v>0.375</v>
      </c>
      <c r="AQ8" s="43">
        <v>0.41666666666666702</v>
      </c>
      <c r="AR8" s="43">
        <v>0.45833333333333298</v>
      </c>
      <c r="AS8" s="43">
        <v>0.5</v>
      </c>
      <c r="AT8" s="43">
        <v>0.54166666666666696</v>
      </c>
      <c r="AU8" s="43">
        <v>0.58333333333333304</v>
      </c>
      <c r="AV8" s="43">
        <v>0.625</v>
      </c>
      <c r="AW8" s="43">
        <v>0.66666666666666696</v>
      </c>
      <c r="AX8" s="43">
        <v>0.70833333333333304</v>
      </c>
      <c r="AY8" s="43">
        <v>0.75</v>
      </c>
      <c r="AZ8" s="43">
        <v>0.79166666666666696</v>
      </c>
      <c r="BA8" s="43">
        <v>0.83333333333333304</v>
      </c>
      <c r="BB8" s="43">
        <v>0.875</v>
      </c>
      <c r="BC8" s="43">
        <v>0.91666666666666696</v>
      </c>
      <c r="BD8" s="43">
        <v>0.95833333333333304</v>
      </c>
      <c r="BE8" s="43">
        <v>1</v>
      </c>
      <c r="BQ8" s="397"/>
      <c r="BR8" s="240">
        <v>0.20833333333333334</v>
      </c>
      <c r="BS8" s="240">
        <v>0.25</v>
      </c>
      <c r="BT8" s="240">
        <v>0.29166666666666702</v>
      </c>
      <c r="BU8" s="240">
        <v>0.33333333333333298</v>
      </c>
      <c r="BV8" s="240">
        <v>0.375</v>
      </c>
      <c r="BW8" s="240">
        <v>0.41666666666666702</v>
      </c>
      <c r="BX8" s="240">
        <v>0.45833333333333298</v>
      </c>
      <c r="BY8" s="240">
        <v>0.5</v>
      </c>
      <c r="BZ8" s="240">
        <v>0.54166666666666696</v>
      </c>
      <c r="CA8" s="240">
        <v>0.58333333333333304</v>
      </c>
      <c r="CB8" s="240">
        <v>0.625</v>
      </c>
      <c r="CC8" s="240">
        <v>0.66666666666666696</v>
      </c>
      <c r="CD8" s="240">
        <v>0.70833333333333304</v>
      </c>
      <c r="CE8" s="240">
        <v>0.75</v>
      </c>
      <c r="CF8" s="240">
        <v>0.79166666666666696</v>
      </c>
      <c r="CG8" s="240">
        <v>0.83333333333333304</v>
      </c>
      <c r="CH8" s="240">
        <v>0.875</v>
      </c>
      <c r="CI8" s="240">
        <v>0.91666666666666696</v>
      </c>
      <c r="CJ8" s="240">
        <v>0.95833333333333304</v>
      </c>
      <c r="CK8" s="241">
        <v>1</v>
      </c>
      <c r="CM8" t="s">
        <v>324</v>
      </c>
      <c r="CN8" t="s">
        <v>325</v>
      </c>
    </row>
    <row r="9" spans="1:92" ht="15" customHeight="1">
      <c r="F9" s="8"/>
      <c r="H9" s="8"/>
      <c r="J9" s="8"/>
      <c r="K9" s="4"/>
      <c r="R9" s="85">
        <f>BF12</f>
        <v>0</v>
      </c>
      <c r="AI9" s="85">
        <f>BF48</f>
        <v>0</v>
      </c>
      <c r="AK9" t="s">
        <v>199</v>
      </c>
      <c r="AL9" s="81">
        <f>GETPIVOTDATA("% of",PV!$AT$3,"Month","January","Time",5)</f>
        <v>0</v>
      </c>
      <c r="AM9" s="81">
        <f>GETPIVOTDATA("% of",PV!$AT$3,"Month","January","Time",6)</f>
        <v>0</v>
      </c>
      <c r="AN9" s="81">
        <f>GETPIVOTDATA("% of",PV!$AT$3,"Month","January","Time",7)</f>
        <v>0</v>
      </c>
      <c r="AO9" s="81">
        <f>GETPIVOTDATA("% of",PV!$AT$3,"Month","January","Time",8)</f>
        <v>5.3942168391103598E-4</v>
      </c>
      <c r="AP9" s="81">
        <f>GETPIVOTDATA("% of",PV!$AT$3,"Month","January","Time",9)</f>
        <v>7.8964445806101485E-2</v>
      </c>
      <c r="AQ9" s="81">
        <f>GETPIVOTDATA("% of",PV!$AT$3,"Month","January","Time",10)</f>
        <v>0.14023387549493685</v>
      </c>
      <c r="AR9" s="81">
        <f>GETPIVOTDATA("% of",PV!$AT$3,"Month","January","Time",11)</f>
        <v>0.17752157453219758</v>
      </c>
      <c r="AS9" s="81">
        <f>GETPIVOTDATA("% of",PV!$AT$3,"Month","January","Time",12)</f>
        <v>0.19992730650640628</v>
      </c>
      <c r="AT9" s="81">
        <f>GETPIVOTDATA("% of",PV!$AT$3,"Month","January","Time",13)</f>
        <v>0.17875582271847976</v>
      </c>
      <c r="AU9" s="81">
        <f>GETPIVOTDATA("% of",PV!$AT$3,"Month","January","Time",14)</f>
        <v>0.14405828182751401</v>
      </c>
      <c r="AV9" s="81">
        <f>GETPIVOTDATA("% of",PV!$AT$3,"Month","January","Time",15)</f>
        <v>7.9631600676635605E-2</v>
      </c>
      <c r="AW9" s="81">
        <f>GETPIVOTDATA("% of",PV!$AT$3,"Month","January","Time",16)</f>
        <v>3.6767075381728405E-4</v>
      </c>
      <c r="AX9" s="81">
        <f>GETPIVOTDATA("% of",PV!$AT$3,"Month","January","Time",17)</f>
        <v>0</v>
      </c>
      <c r="AY9" s="81">
        <f>GETPIVOTDATA("% of",PV!$AT$3,"Month","January","Time",18)</f>
        <v>0</v>
      </c>
      <c r="AZ9" s="81">
        <f>GETPIVOTDATA("% of",PV!$AT$3,"Month","January","Time",19)</f>
        <v>0</v>
      </c>
      <c r="BA9" s="81">
        <f>GETPIVOTDATA("% of",PV!$AT$3,"Month","January","Time",20)</f>
        <v>0</v>
      </c>
      <c r="BB9" s="81">
        <f>GETPIVOTDATA("% of",PV!$AT$3,"Month","January","Time",21)</f>
        <v>0</v>
      </c>
      <c r="BC9" s="81">
        <f>GETPIVOTDATA("% of",PV!$AT$3,"Month","January","Time",22)</f>
        <v>0</v>
      </c>
      <c r="BD9" s="81">
        <f>GETPIVOTDATA("% of",PV!$AT$3,"Month","January","Time",23)</f>
        <v>0</v>
      </c>
      <c r="BE9" s="81">
        <f>GETPIVOTDATA("% of",PV!$AT$3,"Month","January","Time",24)</f>
        <v>0</v>
      </c>
      <c r="BP9" s="389" t="s">
        <v>92</v>
      </c>
      <c r="BQ9" s="232" t="s">
        <v>290</v>
      </c>
      <c r="BR9" s="233">
        <f>DD!AG28</f>
        <v>0</v>
      </c>
      <c r="BS9" s="233">
        <f>DD!AH28</f>
        <v>0</v>
      </c>
      <c r="BT9" s="233">
        <f>DD!AI28</f>
        <v>0</v>
      </c>
      <c r="BU9" s="233">
        <f>DD!AJ28</f>
        <v>0</v>
      </c>
      <c r="BV9" s="233">
        <f>DD!AK28</f>
        <v>0</v>
      </c>
      <c r="BW9" s="233">
        <f>DD!AL28</f>
        <v>0</v>
      </c>
      <c r="BX9" s="233">
        <f>DD!AM28</f>
        <v>0</v>
      </c>
      <c r="BY9" s="233">
        <f>DD!AN28</f>
        <v>0</v>
      </c>
      <c r="BZ9" s="233">
        <f>DD!AO28</f>
        <v>0</v>
      </c>
      <c r="CA9" s="233">
        <f>DD!AP28</f>
        <v>0</v>
      </c>
      <c r="CB9" s="233">
        <f>DD!AQ28</f>
        <v>0</v>
      </c>
      <c r="CC9" s="233">
        <f>DD!AR28</f>
        <v>0</v>
      </c>
      <c r="CD9" s="233">
        <f>DD!AS28</f>
        <v>0</v>
      </c>
      <c r="CE9" s="233">
        <f>DD!AT28</f>
        <v>0</v>
      </c>
      <c r="CF9" s="233">
        <f>DD!AU28</f>
        <v>0</v>
      </c>
      <c r="CG9" s="233">
        <f>DD!AV28</f>
        <v>0</v>
      </c>
      <c r="CH9" s="233">
        <f>DD!AW28</f>
        <v>0</v>
      </c>
      <c r="CI9" s="233">
        <f>DD!AX28</f>
        <v>0</v>
      </c>
      <c r="CJ9" s="233">
        <f>DD!AY28</f>
        <v>0</v>
      </c>
      <c r="CK9" s="234">
        <f>DD!AZ28</f>
        <v>0</v>
      </c>
      <c r="CL9" s="8"/>
      <c r="CM9" t="s">
        <v>323</v>
      </c>
      <c r="CN9" t="s">
        <v>323</v>
      </c>
    </row>
    <row r="10" spans="1:92" ht="15" thickBot="1">
      <c r="F10" s="8"/>
      <c r="H10" s="8"/>
      <c r="J10" s="8"/>
      <c r="R10" s="87" t="s">
        <v>209</v>
      </c>
      <c r="AI10" s="87" t="s">
        <v>209</v>
      </c>
      <c r="AK10" t="s">
        <v>203</v>
      </c>
      <c r="AL10" s="31">
        <f>AL9*PV!$C$23/31</f>
        <v>0</v>
      </c>
      <c r="AM10" s="31">
        <f>AM9*PV!$C$23/31</f>
        <v>0</v>
      </c>
      <c r="AN10" s="31">
        <f>AN9*PV!$C$23/31</f>
        <v>0</v>
      </c>
      <c r="AO10" s="31">
        <f>AO9*PV!$C$23/31</f>
        <v>0</v>
      </c>
      <c r="AP10" s="31">
        <f>AP9*PV!$C$23/31</f>
        <v>0</v>
      </c>
      <c r="AQ10" s="31">
        <f>AQ9*PV!$C$23/31</f>
        <v>0</v>
      </c>
      <c r="AR10" s="31">
        <f>AR9*PV!$C$23/31</f>
        <v>0</v>
      </c>
      <c r="AS10" s="31">
        <f>AS9*PV!$C$23/31</f>
        <v>0</v>
      </c>
      <c r="AT10" s="31">
        <f>AT9*PV!$C$23/31</f>
        <v>0</v>
      </c>
      <c r="AU10" s="31">
        <f>AU9*PV!$C$23/31</f>
        <v>0</v>
      </c>
      <c r="AV10" s="31">
        <f>AV9*PV!$C$23/31</f>
        <v>0</v>
      </c>
      <c r="AW10" s="31">
        <f>AW9*PV!$C$23/31</f>
        <v>0</v>
      </c>
      <c r="AX10" s="31">
        <f>AX9*PV!$C$23/31</f>
        <v>0</v>
      </c>
      <c r="AY10" s="31">
        <f>AY9*PV!$C$23/31</f>
        <v>0</v>
      </c>
      <c r="AZ10" s="31">
        <f>AZ9*PV!$C$23/31</f>
        <v>0</v>
      </c>
      <c r="BA10" s="31">
        <f>BA9*PV!$C$23/31</f>
        <v>0</v>
      </c>
      <c r="BB10" s="31">
        <f>BB9*PV!$C$23/31</f>
        <v>0</v>
      </c>
      <c r="BC10" s="31">
        <f>BC9*PV!$C$23/31</f>
        <v>0</v>
      </c>
      <c r="BD10" s="31">
        <f>BD9*PV!$C$23/31</f>
        <v>0</v>
      </c>
      <c r="BE10" s="31">
        <f>BE9*PV!$C$23/31</f>
        <v>0</v>
      </c>
      <c r="BF10" s="8">
        <f>SUM(AL10:BE10)</f>
        <v>0</v>
      </c>
      <c r="BP10" s="389"/>
      <c r="BQ10" s="235" t="s">
        <v>291</v>
      </c>
      <c r="BR10" s="231">
        <f>AMD!AU$46-AMD!AU$36-AMD!AU$35</f>
        <v>0</v>
      </c>
      <c r="BS10" s="231">
        <f>AMD!AV$46-AMD!AV$36-AMD!AV$35</f>
        <v>0</v>
      </c>
      <c r="BT10" s="231">
        <f>AMD!AW$46-AMD!AW$36-AMD!AW$35</f>
        <v>0</v>
      </c>
      <c r="BU10" s="231">
        <f>AMD!AX$46-AMD!AX$36-AMD!AX$35</f>
        <v>0</v>
      </c>
      <c r="BV10" s="231">
        <f>AMD!AY$46-AMD!AY$36-AMD!AY$35</f>
        <v>0</v>
      </c>
      <c r="BW10" s="231">
        <f>AMD!AZ$46-AMD!AZ$36-AMD!AZ$35</f>
        <v>0</v>
      </c>
      <c r="BX10" s="231">
        <f>AMD!BA$46-AMD!BA$36-AMD!BA$35</f>
        <v>0</v>
      </c>
      <c r="BY10" s="231">
        <f>AMD!BB$46-AMD!BB$36-AMD!BB$35</f>
        <v>0</v>
      </c>
      <c r="BZ10" s="231">
        <f>AMD!BC$46-AMD!BC$36-AMD!BC$35</f>
        <v>0</v>
      </c>
      <c r="CA10" s="231">
        <f>AMD!BD$46-AMD!BD$36-AMD!BD$35</f>
        <v>0</v>
      </c>
      <c r="CB10" s="231">
        <f>AMD!BE$46-AMD!BE$36-AMD!BE$35</f>
        <v>0</v>
      </c>
      <c r="CC10" s="231">
        <f>AMD!BF$46-AMD!BF$36-AMD!BF$35</f>
        <v>0</v>
      </c>
      <c r="CD10" s="231">
        <f>AMD!BG$46-AMD!BG$36-AMD!BG$35</f>
        <v>0</v>
      </c>
      <c r="CE10" s="231">
        <f>AMD!BH$46-AMD!BH$36-AMD!BH$35</f>
        <v>0</v>
      </c>
      <c r="CF10" s="231">
        <f>AMD!BI$46-AMD!BI$36-AMD!BI$35</f>
        <v>0</v>
      </c>
      <c r="CG10" s="231">
        <f>AMD!BJ$46-AMD!BJ$36-AMD!BJ$35</f>
        <v>0</v>
      </c>
      <c r="CH10" s="231">
        <f>AMD!BK$46-AMD!BK$36-AMD!BK$35</f>
        <v>0</v>
      </c>
      <c r="CI10" s="231">
        <f>AMD!BL$46-AMD!BL$36-AMD!BL$35</f>
        <v>0</v>
      </c>
      <c r="CJ10" s="231">
        <f>AMD!BM$46-AMD!BM$36-AMD!BM$35</f>
        <v>0</v>
      </c>
      <c r="CK10" s="236">
        <f>AMD!BN$46-AMD!BN$36-AMD!BN$35</f>
        <v>0</v>
      </c>
      <c r="CL10" s="8"/>
      <c r="CM10" s="335">
        <f>PV!C5</f>
        <v>0.8</v>
      </c>
      <c r="CN10" s="335">
        <f>PV!C4</f>
        <v>0.3</v>
      </c>
    </row>
    <row r="11" spans="1:92" ht="15" thickBot="1">
      <c r="F11" s="8"/>
      <c r="H11" s="8"/>
      <c r="J11" s="8"/>
      <c r="R11" s="86" t="e">
        <f>(R7-R9)/R7</f>
        <v>#DIV/0!</v>
      </c>
      <c r="AI11" s="86" t="e">
        <f>(AI7-AI9)/AI7</f>
        <v>#DIV/0!</v>
      </c>
      <c r="AK11" t="s">
        <v>204</v>
      </c>
      <c r="AL11" s="85">
        <f>IF($AQ$5="Yes",MAX(0,0+IF(AL10&gt;BR11,AL10-BR11,0)-IF(AND(BR11&gt;=$CM$11,BR11&gt;AL10),MIN(0,BR11-AL10),0)),0)</f>
        <v>0</v>
      </c>
      <c r="AM11" s="85">
        <f>IF($AQ$5="Yes",
    MAX(0,
        AL11 +
        IF(OR(AM10 &gt; BS11, AND($AQ$6="Yes", BS11 &lt;= $CN$11)), IF(AND($AQ$6="Yes", BS11 &lt;= $CN$11), $AP$4, AM10 - BS11), 0) -
        IF(AND($AQ$6="Yes", BS11 &gt;= $CM$11, BS11 &gt; AM10), MIN(AL11, BS11 - AM10), IF(AND($AQ$6="No", BS11 &gt; AM10), MIN(AL11, BS11 - AM10), 0))
    ),
    0)</f>
        <v>0</v>
      </c>
      <c r="AN11" s="85">
        <f t="shared" ref="AN11:BE11" si="0">IF($AQ$5="Yes",
    MAX(0,
        AM11 +
        IF(OR(AN10 &gt; BT11, AND($AQ$6="Yes", BT11 &lt;= $CN$11)), IF(AND($AQ$6="Yes", BT11 &lt;= $CN$11), $AP$4, AN10 - BT11), 0) -
        IF(AND($AQ$6="Yes", BT11 &gt;= $CM$11, BT11 &gt; AN10), MIN(AM11, BT11 - AN10), IF(AND($AQ$6="No", BT11 &gt; AN10), MIN(AM11, BT11 - AN10), 0))
    ),
    0)</f>
        <v>0</v>
      </c>
      <c r="AO11" s="85">
        <f t="shared" si="0"/>
        <v>0</v>
      </c>
      <c r="AP11" s="85">
        <f t="shared" si="0"/>
        <v>0</v>
      </c>
      <c r="AQ11" s="85">
        <f t="shared" si="0"/>
        <v>0</v>
      </c>
      <c r="AR11" s="85">
        <f t="shared" si="0"/>
        <v>0</v>
      </c>
      <c r="AS11" s="85">
        <f t="shared" si="0"/>
        <v>0</v>
      </c>
      <c r="AT11" s="85">
        <f t="shared" si="0"/>
        <v>0</v>
      </c>
      <c r="AU11" s="85">
        <f t="shared" si="0"/>
        <v>0</v>
      </c>
      <c r="AV11" s="85">
        <f t="shared" si="0"/>
        <v>0</v>
      </c>
      <c r="AW11" s="85">
        <f t="shared" si="0"/>
        <v>0</v>
      </c>
      <c r="AX11" s="85">
        <f t="shared" si="0"/>
        <v>0</v>
      </c>
      <c r="AY11" s="85">
        <f t="shared" si="0"/>
        <v>0</v>
      </c>
      <c r="AZ11" s="85">
        <f t="shared" si="0"/>
        <v>0</v>
      </c>
      <c r="BA11" s="85">
        <f t="shared" si="0"/>
        <v>0</v>
      </c>
      <c r="BB11" s="85">
        <f t="shared" si="0"/>
        <v>0</v>
      </c>
      <c r="BC11" s="85">
        <f t="shared" si="0"/>
        <v>0</v>
      </c>
      <c r="BD11" s="85">
        <f t="shared" si="0"/>
        <v>0</v>
      </c>
      <c r="BE11" s="85">
        <f t="shared" si="0"/>
        <v>0</v>
      </c>
      <c r="BF11" s="8">
        <f>SUM(AL11:BE11)</f>
        <v>0</v>
      </c>
      <c r="BP11" s="389"/>
      <c r="BQ11" s="239" t="s">
        <v>292</v>
      </c>
      <c r="BR11" s="237">
        <f>BR9+BR10</f>
        <v>0</v>
      </c>
      <c r="BS11" s="237">
        <f t="shared" ref="BS11:CK11" si="1">BS9+BS10</f>
        <v>0</v>
      </c>
      <c r="BT11" s="237">
        <f t="shared" si="1"/>
        <v>0</v>
      </c>
      <c r="BU11" s="237">
        <f t="shared" si="1"/>
        <v>0</v>
      </c>
      <c r="BV11" s="237">
        <f t="shared" si="1"/>
        <v>0</v>
      </c>
      <c r="BW11" s="237">
        <f t="shared" si="1"/>
        <v>0</v>
      </c>
      <c r="BX11" s="237">
        <f t="shared" si="1"/>
        <v>0</v>
      </c>
      <c r="BY11" s="237">
        <f t="shared" si="1"/>
        <v>0</v>
      </c>
      <c r="BZ11" s="237">
        <f t="shared" si="1"/>
        <v>0</v>
      </c>
      <c r="CA11" s="237">
        <f t="shared" si="1"/>
        <v>0</v>
      </c>
      <c r="CB11" s="237">
        <f t="shared" si="1"/>
        <v>0</v>
      </c>
      <c r="CC11" s="237">
        <f t="shared" si="1"/>
        <v>0</v>
      </c>
      <c r="CD11" s="237">
        <f t="shared" si="1"/>
        <v>0</v>
      </c>
      <c r="CE11" s="237">
        <f t="shared" si="1"/>
        <v>0</v>
      </c>
      <c r="CF11" s="237">
        <f t="shared" si="1"/>
        <v>0</v>
      </c>
      <c r="CG11" s="237">
        <f t="shared" si="1"/>
        <v>0</v>
      </c>
      <c r="CH11" s="237">
        <f t="shared" si="1"/>
        <v>0</v>
      </c>
      <c r="CI11" s="237">
        <f t="shared" si="1"/>
        <v>0</v>
      </c>
      <c r="CJ11" s="237">
        <f t="shared" si="1"/>
        <v>0</v>
      </c>
      <c r="CK11" s="238">
        <f t="shared" si="1"/>
        <v>0</v>
      </c>
      <c r="CL11" s="8">
        <f t="shared" ref="CL11:CL44" si="2">SUM(BR11:CK11)</f>
        <v>0</v>
      </c>
      <c r="CM11" s="8">
        <f>_xlfn.PERCENTILE.EXC(BR11:CK11, $CM$10)</f>
        <v>0</v>
      </c>
      <c r="CN11" s="8">
        <f>_xlfn.PERCENTILE.EXC(BR11:CK11, $CN$10)</f>
        <v>0</v>
      </c>
    </row>
    <row r="12" spans="1:92">
      <c r="F12" s="8"/>
      <c r="H12" s="8"/>
      <c r="J12" s="8"/>
      <c r="AI12" s="31"/>
      <c r="AK12" t="s">
        <v>205</v>
      </c>
      <c r="AL12" s="85">
        <f>MAX(0,
    BR11 - AL10 +
    IF(AND($AQ$6="Yes", BR11 &lt;= $CN$11), $AP$4, 0) -
    IF(AND($AQ$5="Yes", AL11 &gt; 0, OR(AND($AQ$6="Yes", BR11 &gt;= $CM$11), $AQ$6="No", BR11 &gt; AL10)), MIN(AL11, BR11 - AL10), 0)
)</f>
        <v>0</v>
      </c>
      <c r="AM12" s="85">
        <f>MAX(0,
    BS11 - AM10 +
    IF(AND($AQ$6="Yes", BS11 &lt;= $CN$11), $AP$4, 0) -
    IF(AND($AQ$5="Yes", AM11 &gt; 0, OR(AND($AQ$6="Yes", BS11 &gt;= $CM$11), $AQ$6="No", BS11 &gt; AM10)), MIN(AM11, BS11 - AM10), 0)
)</f>
        <v>0</v>
      </c>
      <c r="AN12" s="85">
        <f t="shared" ref="AN12:BE12" si="3">MAX(0,
    BT11 - AN10 +
    IF(AND($AQ$6="Yes", BT11 &lt;= $CN$11), $AP$4, 0) -
    IF(AND($AQ$5="Yes", AN11 &gt; 0, OR(AND($AQ$6="Yes", BT11 &gt;= $CM$11), $AQ$6="No", BT11 &gt; AN10)), MIN(AN11, BT11 - AN10), 0)
)</f>
        <v>0</v>
      </c>
      <c r="AO12" s="85">
        <f t="shared" si="3"/>
        <v>0</v>
      </c>
      <c r="AP12" s="85">
        <f t="shared" si="3"/>
        <v>0</v>
      </c>
      <c r="AQ12" s="85">
        <f t="shared" si="3"/>
        <v>0</v>
      </c>
      <c r="AR12" s="85">
        <f t="shared" si="3"/>
        <v>0</v>
      </c>
      <c r="AS12" s="85">
        <f t="shared" si="3"/>
        <v>0</v>
      </c>
      <c r="AT12" s="85">
        <f t="shared" si="3"/>
        <v>0</v>
      </c>
      <c r="AU12" s="85">
        <f t="shared" si="3"/>
        <v>0</v>
      </c>
      <c r="AV12" s="85">
        <f t="shared" si="3"/>
        <v>0</v>
      </c>
      <c r="AW12" s="85">
        <f t="shared" si="3"/>
        <v>0</v>
      </c>
      <c r="AX12" s="85">
        <f t="shared" si="3"/>
        <v>0</v>
      </c>
      <c r="AY12" s="85">
        <f t="shared" si="3"/>
        <v>0</v>
      </c>
      <c r="AZ12" s="85">
        <f t="shared" si="3"/>
        <v>0</v>
      </c>
      <c r="BA12" s="85">
        <f t="shared" si="3"/>
        <v>0</v>
      </c>
      <c r="BB12" s="85">
        <f t="shared" si="3"/>
        <v>0</v>
      </c>
      <c r="BC12" s="85">
        <f t="shared" si="3"/>
        <v>0</v>
      </c>
      <c r="BD12" s="85">
        <f t="shared" si="3"/>
        <v>0</v>
      </c>
      <c r="BE12" s="85">
        <f t="shared" si="3"/>
        <v>0</v>
      </c>
      <c r="BF12" s="8">
        <f>SUM(AL12:BE12)</f>
        <v>0</v>
      </c>
      <c r="BG12" s="8">
        <f>CL11</f>
        <v>0</v>
      </c>
      <c r="BP12" s="389" t="s">
        <v>93</v>
      </c>
      <c r="BQ12" s="232" t="s">
        <v>293</v>
      </c>
      <c r="BR12" s="233">
        <f>DD!AG29</f>
        <v>0</v>
      </c>
      <c r="BS12" s="233">
        <f>DD!AH29</f>
        <v>0</v>
      </c>
      <c r="BT12" s="233">
        <f>DD!AI29</f>
        <v>0</v>
      </c>
      <c r="BU12" s="233">
        <f>DD!AJ29</f>
        <v>0</v>
      </c>
      <c r="BV12" s="233">
        <f>DD!AK29</f>
        <v>0</v>
      </c>
      <c r="BW12" s="233">
        <f>DD!AL29</f>
        <v>0</v>
      </c>
      <c r="BX12" s="233">
        <f>DD!AM29</f>
        <v>0</v>
      </c>
      <c r="BY12" s="233">
        <f>DD!AN29</f>
        <v>0</v>
      </c>
      <c r="BZ12" s="233">
        <f>DD!AO29</f>
        <v>0</v>
      </c>
      <c r="CA12" s="233">
        <f>DD!AP29</f>
        <v>0</v>
      </c>
      <c r="CB12" s="233">
        <f>DD!AQ29</f>
        <v>0</v>
      </c>
      <c r="CC12" s="233">
        <f>DD!AR29</f>
        <v>0</v>
      </c>
      <c r="CD12" s="233">
        <f>DD!AS29</f>
        <v>0</v>
      </c>
      <c r="CE12" s="233">
        <f>DD!AT29</f>
        <v>0</v>
      </c>
      <c r="CF12" s="233">
        <f>DD!AU29</f>
        <v>0</v>
      </c>
      <c r="CG12" s="233">
        <f>DD!AV29</f>
        <v>0</v>
      </c>
      <c r="CH12" s="233">
        <f>DD!AW29</f>
        <v>0</v>
      </c>
      <c r="CI12" s="233">
        <f>DD!AX29</f>
        <v>0</v>
      </c>
      <c r="CJ12" s="233">
        <f>DD!AY29</f>
        <v>0</v>
      </c>
      <c r="CK12" s="234">
        <f>DD!AZ29</f>
        <v>0</v>
      </c>
      <c r="CL12" s="8"/>
      <c r="CM12" s="8"/>
    </row>
    <row r="13" spans="1:92" ht="15" thickBot="1">
      <c r="F13" s="8"/>
      <c r="H13" s="8"/>
      <c r="J13" s="8"/>
      <c r="AI13" s="31"/>
      <c r="AL13" s="53" t="s">
        <v>184</v>
      </c>
      <c r="AM13" s="333"/>
      <c r="AN13" s="53"/>
      <c r="AO13" s="53"/>
      <c r="AP13" s="53"/>
      <c r="AQ13" s="53"/>
      <c r="AR13" s="53"/>
      <c r="AS13" s="53"/>
      <c r="AT13" s="53"/>
      <c r="AU13" s="53"/>
      <c r="AV13" s="53"/>
      <c r="AW13" s="53"/>
      <c r="AX13" s="53"/>
      <c r="AY13" s="53"/>
      <c r="AZ13" s="53"/>
      <c r="BA13" s="53"/>
      <c r="BB13" s="53"/>
      <c r="BC13" s="53"/>
      <c r="BD13" s="53"/>
      <c r="BE13" s="53"/>
      <c r="BP13" s="389"/>
      <c r="BQ13" s="235" t="s">
        <v>291</v>
      </c>
      <c r="BR13" s="231">
        <f>AMD!AU$46-AMD!AU$36-AMD!AU$35</f>
        <v>0</v>
      </c>
      <c r="BS13" s="231">
        <f>AMD!AV$46-AMD!AV$36-AMD!AV$35</f>
        <v>0</v>
      </c>
      <c r="BT13" s="231">
        <f>AMD!AW$46-AMD!AW$36-AMD!AW$35</f>
        <v>0</v>
      </c>
      <c r="BU13" s="231">
        <f>AMD!AX$46-AMD!AX$36-AMD!AX$35</f>
        <v>0</v>
      </c>
      <c r="BV13" s="231">
        <f>AMD!AY$46-AMD!AY$36-AMD!AY$35</f>
        <v>0</v>
      </c>
      <c r="BW13" s="231">
        <f>AMD!AZ$46-AMD!AZ$36-AMD!AZ$35</f>
        <v>0</v>
      </c>
      <c r="BX13" s="231">
        <f>AMD!BA$46-AMD!BA$36-AMD!BA$35</f>
        <v>0</v>
      </c>
      <c r="BY13" s="231">
        <f>AMD!BB$46-AMD!BB$36-AMD!BB$35</f>
        <v>0</v>
      </c>
      <c r="BZ13" s="231">
        <f>AMD!BC$46-AMD!BC$36-AMD!BC$35</f>
        <v>0</v>
      </c>
      <c r="CA13" s="231">
        <f>AMD!BD$46-AMD!BD$36-AMD!BD$35</f>
        <v>0</v>
      </c>
      <c r="CB13" s="231">
        <f>AMD!BE$46-AMD!BE$36-AMD!BE$35</f>
        <v>0</v>
      </c>
      <c r="CC13" s="231">
        <f>AMD!BF$46-AMD!BF$36-AMD!BF$35</f>
        <v>0</v>
      </c>
      <c r="CD13" s="231">
        <f>AMD!BG$46-AMD!BG$36-AMD!BG$35</f>
        <v>0</v>
      </c>
      <c r="CE13" s="231">
        <f>AMD!BH$46-AMD!BH$36-AMD!BH$35</f>
        <v>0</v>
      </c>
      <c r="CF13" s="231">
        <f>AMD!BI$46-AMD!BI$36-AMD!BI$35</f>
        <v>0</v>
      </c>
      <c r="CG13" s="231">
        <f>AMD!BJ$46-AMD!BJ$36-AMD!BJ$35</f>
        <v>0</v>
      </c>
      <c r="CH13" s="231">
        <f>AMD!BK$46-AMD!BK$36-AMD!BK$35</f>
        <v>0</v>
      </c>
      <c r="CI13" s="231">
        <f>AMD!BL$46-AMD!BL$36-AMD!BL$35</f>
        <v>0</v>
      </c>
      <c r="CJ13" s="231">
        <f>AMD!BM$46-AMD!BM$36-AMD!BM$35</f>
        <v>0</v>
      </c>
      <c r="CK13" s="236">
        <f>AMD!BN$46-AMD!BN$36-AMD!BN$35</f>
        <v>0</v>
      </c>
      <c r="CL13" s="8"/>
      <c r="CM13" s="8"/>
    </row>
    <row r="14" spans="1:92" ht="15" thickBot="1">
      <c r="F14" s="8"/>
      <c r="H14" s="8"/>
      <c r="J14" s="8"/>
      <c r="AI14" s="31"/>
      <c r="AL14" s="43">
        <v>0.20833333333333334</v>
      </c>
      <c r="AM14" s="43">
        <v>0.25</v>
      </c>
      <c r="AN14" s="43">
        <v>0.29166666666666702</v>
      </c>
      <c r="AO14" s="43">
        <v>0.33333333333333298</v>
      </c>
      <c r="AP14" s="43">
        <v>0.375</v>
      </c>
      <c r="AQ14" s="43">
        <v>0.41666666666666702</v>
      </c>
      <c r="AR14" s="43">
        <v>0.45833333333333298</v>
      </c>
      <c r="AS14" s="43">
        <v>0.5</v>
      </c>
      <c r="AT14" s="43">
        <v>0.54166666666666696</v>
      </c>
      <c r="AU14" s="43">
        <v>0.58333333333333304</v>
      </c>
      <c r="AV14" s="43">
        <v>0.625</v>
      </c>
      <c r="AW14" s="43">
        <v>0.66666666666666696</v>
      </c>
      <c r="AX14" s="43">
        <v>0.70833333333333304</v>
      </c>
      <c r="AY14" s="43">
        <v>0.75</v>
      </c>
      <c r="AZ14" s="43">
        <v>0.79166666666666696</v>
      </c>
      <c r="BA14" s="43">
        <v>0.83333333333333304</v>
      </c>
      <c r="BB14" s="43">
        <v>0.875</v>
      </c>
      <c r="BC14" s="43">
        <v>0.91666666666666696</v>
      </c>
      <c r="BD14" s="43">
        <v>0.95833333333333304</v>
      </c>
      <c r="BE14" s="43">
        <v>1</v>
      </c>
      <c r="BP14" s="389"/>
      <c r="BQ14" s="239" t="s">
        <v>294</v>
      </c>
      <c r="BR14" s="237">
        <f>BR12+BR13</f>
        <v>0</v>
      </c>
      <c r="BS14" s="237">
        <f t="shared" ref="BS14" si="4">BS12+BS13</f>
        <v>0</v>
      </c>
      <c r="BT14" s="237">
        <f t="shared" ref="BT14" si="5">BT12+BT13</f>
        <v>0</v>
      </c>
      <c r="BU14" s="237">
        <f t="shared" ref="BU14" si="6">BU12+BU13</f>
        <v>0</v>
      </c>
      <c r="BV14" s="237">
        <f t="shared" ref="BV14" si="7">BV12+BV13</f>
        <v>0</v>
      </c>
      <c r="BW14" s="237">
        <f t="shared" ref="BW14" si="8">BW12+BW13</f>
        <v>0</v>
      </c>
      <c r="BX14" s="237">
        <f t="shared" ref="BX14" si="9">BX12+BX13</f>
        <v>0</v>
      </c>
      <c r="BY14" s="237">
        <f t="shared" ref="BY14" si="10">BY12+BY13</f>
        <v>0</v>
      </c>
      <c r="BZ14" s="237">
        <f t="shared" ref="BZ14" si="11">BZ12+BZ13</f>
        <v>0</v>
      </c>
      <c r="CA14" s="237">
        <f t="shared" ref="CA14" si="12">CA12+CA13</f>
        <v>0</v>
      </c>
      <c r="CB14" s="237">
        <f t="shared" ref="CB14" si="13">CB12+CB13</f>
        <v>0</v>
      </c>
      <c r="CC14" s="237">
        <f t="shared" ref="CC14" si="14">CC12+CC13</f>
        <v>0</v>
      </c>
      <c r="CD14" s="237">
        <f t="shared" ref="CD14" si="15">CD12+CD13</f>
        <v>0</v>
      </c>
      <c r="CE14" s="237">
        <f t="shared" ref="CE14" si="16">CE12+CE13</f>
        <v>0</v>
      </c>
      <c r="CF14" s="237">
        <f t="shared" ref="CF14" si="17">CF12+CF13</f>
        <v>0</v>
      </c>
      <c r="CG14" s="237">
        <f t="shared" ref="CG14" si="18">CG12+CG13</f>
        <v>0</v>
      </c>
      <c r="CH14" s="237">
        <f t="shared" ref="CH14" si="19">CH12+CH13</f>
        <v>0</v>
      </c>
      <c r="CI14" s="237">
        <f t="shared" ref="CI14" si="20">CI12+CI13</f>
        <v>0</v>
      </c>
      <c r="CJ14" s="237">
        <f t="shared" ref="CJ14" si="21">CJ12+CJ13</f>
        <v>0</v>
      </c>
      <c r="CK14" s="238">
        <f t="shared" ref="CK14" si="22">CK12+CK13</f>
        <v>0</v>
      </c>
      <c r="CL14" s="8">
        <f t="shared" si="2"/>
        <v>0</v>
      </c>
      <c r="CM14" s="8">
        <f>_xlfn.PERCENTILE.EXC(BR14:CK14, $CM$10)</f>
        <v>0</v>
      </c>
      <c r="CN14" s="8">
        <f>_xlfn.PERCENTILE.EXC(BR14:CK14, $CN$10)</f>
        <v>0</v>
      </c>
    </row>
    <row r="15" spans="1:92">
      <c r="AI15" s="31"/>
      <c r="AK15" t="s">
        <v>199</v>
      </c>
      <c r="AL15" s="81">
        <f>GETPIVOTDATA("% of",PV!$AT$3,"Month","February","Time",5)</f>
        <v>0</v>
      </c>
      <c r="AM15" s="81">
        <f>GETPIVOTDATA("% of",PV!$AT$3,"Month","February","Time",6)</f>
        <v>0</v>
      </c>
      <c r="AN15" s="81">
        <f>GETPIVOTDATA("% of",PV!$AT$3,"Month","February","Time",7)</f>
        <v>0</v>
      </c>
      <c r="AO15" s="81">
        <f>GETPIVOTDATA("% of",PV!$AT$3,"Month","February","Time",8)</f>
        <v>4.5766166926166654E-2</v>
      </c>
      <c r="AP15" s="81">
        <f>GETPIVOTDATA("% of",PV!$AT$3,"Month","February","Time",9)</f>
        <v>9.9943410827530346E-2</v>
      </c>
      <c r="AQ15" s="81">
        <f>GETPIVOTDATA("% of",PV!$AT$3,"Month","February","Time",10)</f>
        <v>0.14253133143213828</v>
      </c>
      <c r="AR15" s="81">
        <f>GETPIVOTDATA("% of",PV!$AT$3,"Month","February","Time",11)</f>
        <v>0.15357339885417801</v>
      </c>
      <c r="AS15" s="81">
        <f>GETPIVOTDATA("% of",PV!$AT$3,"Month","February","Time",12)</f>
        <v>0.15439642180078292</v>
      </c>
      <c r="AT15" s="81">
        <f>GETPIVOTDATA("% of",PV!$AT$3,"Month","February","Time",13)</f>
        <v>0.14463645734957314</v>
      </c>
      <c r="AU15" s="81">
        <f>GETPIVOTDATA("% of",PV!$AT$3,"Month","February","Time",14)</f>
        <v>0.12151357327993281</v>
      </c>
      <c r="AV15" s="81">
        <f>GETPIVOTDATA("% of",PV!$AT$3,"Month","February","Time",15)</f>
        <v>9.5148196339774033E-2</v>
      </c>
      <c r="AW15" s="81">
        <f>GETPIVOTDATA("% of",PV!$AT$3,"Month","February","Time",16)</f>
        <v>4.2316141749640927E-2</v>
      </c>
      <c r="AX15" s="81">
        <f>GETPIVOTDATA("% of",PV!$AT$3,"Month","February","Time",17)</f>
        <v>1.7490144028290528E-4</v>
      </c>
      <c r="AY15" s="81">
        <f>GETPIVOTDATA("% of",PV!$AT$3,"Month","February","Time",18)</f>
        <v>0</v>
      </c>
      <c r="AZ15" s="81">
        <f>GETPIVOTDATA("% of",PV!$AT$3,"Month","February","Time",19)</f>
        <v>0</v>
      </c>
      <c r="BA15" s="81">
        <f>GETPIVOTDATA("% of",PV!$AT$3,"Month","February","Time",20)</f>
        <v>0</v>
      </c>
      <c r="BB15" s="81">
        <f>GETPIVOTDATA("% of",PV!$AT$3,"Month","February","Time",21)</f>
        <v>0</v>
      </c>
      <c r="BC15" s="81">
        <f>GETPIVOTDATA("% of",PV!$AT$3,"Month","February","Time",22)</f>
        <v>0</v>
      </c>
      <c r="BD15" s="81">
        <f>GETPIVOTDATA("% of",PV!$AT$3,"Month","February","Time",23)</f>
        <v>0</v>
      </c>
      <c r="BE15" s="81">
        <f>GETPIVOTDATA("% of",PV!$AT$3,"Month","February","Time",24)</f>
        <v>0</v>
      </c>
      <c r="BP15" s="389" t="s">
        <v>94</v>
      </c>
      <c r="BQ15" s="232" t="s">
        <v>295</v>
      </c>
      <c r="BR15" s="233">
        <f>DD!AG30</f>
        <v>0</v>
      </c>
      <c r="BS15" s="233">
        <f>DD!AH30</f>
        <v>0</v>
      </c>
      <c r="BT15" s="233">
        <f>DD!AI30</f>
        <v>0</v>
      </c>
      <c r="BU15" s="233">
        <f>DD!AJ30</f>
        <v>0</v>
      </c>
      <c r="BV15" s="233">
        <f>DD!AK30</f>
        <v>0</v>
      </c>
      <c r="BW15" s="233">
        <f>DD!AL30</f>
        <v>0</v>
      </c>
      <c r="BX15" s="233">
        <f>DD!AM30</f>
        <v>0</v>
      </c>
      <c r="BY15" s="233">
        <f>DD!AN30</f>
        <v>0</v>
      </c>
      <c r="BZ15" s="233">
        <f>DD!AO30</f>
        <v>0</v>
      </c>
      <c r="CA15" s="233">
        <f>DD!AP30</f>
        <v>0</v>
      </c>
      <c r="CB15" s="233">
        <f>DD!AQ30</f>
        <v>0</v>
      </c>
      <c r="CC15" s="233">
        <f>DD!AR30</f>
        <v>0</v>
      </c>
      <c r="CD15" s="233">
        <f>DD!AS30</f>
        <v>0</v>
      </c>
      <c r="CE15" s="233">
        <f>DD!AT30</f>
        <v>0</v>
      </c>
      <c r="CF15" s="233">
        <f>DD!AU30</f>
        <v>0</v>
      </c>
      <c r="CG15" s="233">
        <f>DD!AV30</f>
        <v>0</v>
      </c>
      <c r="CH15" s="233">
        <f>DD!AW30</f>
        <v>0</v>
      </c>
      <c r="CI15" s="233">
        <f>DD!AX30</f>
        <v>0</v>
      </c>
      <c r="CJ15" s="233">
        <f>DD!AY30</f>
        <v>0</v>
      </c>
      <c r="CK15" s="234">
        <f>DD!AZ30</f>
        <v>0</v>
      </c>
      <c r="CL15" s="8"/>
      <c r="CM15" s="8"/>
    </row>
    <row r="16" spans="1:92" ht="15" thickBot="1">
      <c r="R16" s="87" t="s">
        <v>184</v>
      </c>
      <c r="AI16" s="87" t="s">
        <v>189</v>
      </c>
      <c r="AK16" t="s">
        <v>203</v>
      </c>
      <c r="AL16" s="31">
        <f>AL15*PV!$C$24/28</f>
        <v>0</v>
      </c>
      <c r="AM16" s="31">
        <f>AM15*PV!$C$24/28</f>
        <v>0</v>
      </c>
      <c r="AN16" s="31">
        <f>AN15*PV!$C$24/28</f>
        <v>0</v>
      </c>
      <c r="AO16" s="31">
        <f>AO15*PV!$C$24/28</f>
        <v>0</v>
      </c>
      <c r="AP16" s="31">
        <f>AP15*PV!$C$24/28</f>
        <v>0</v>
      </c>
      <c r="AQ16" s="31">
        <f>AQ15*PV!$C$24/28</f>
        <v>0</v>
      </c>
      <c r="AR16" s="31">
        <f>AR15*PV!$C$24/28</f>
        <v>0</v>
      </c>
      <c r="AS16" s="31">
        <f>AS15*PV!$C$24/28</f>
        <v>0</v>
      </c>
      <c r="AT16" s="31">
        <f>AT15*PV!$C$24/28</f>
        <v>0</v>
      </c>
      <c r="AU16" s="31">
        <f>AU15*PV!$C$24/28</f>
        <v>0</v>
      </c>
      <c r="AV16" s="31">
        <f>AV15*PV!$C$24/28</f>
        <v>0</v>
      </c>
      <c r="AW16" s="31">
        <f>AW15*PV!$C$24/28</f>
        <v>0</v>
      </c>
      <c r="AX16" s="31">
        <f>AX15*PV!$C$24/28</f>
        <v>0</v>
      </c>
      <c r="AY16" s="31">
        <f>AY15*PV!$C$24/28</f>
        <v>0</v>
      </c>
      <c r="AZ16" s="31">
        <f>AZ15*PV!$C$24/28</f>
        <v>0</v>
      </c>
      <c r="BA16" s="31">
        <f>BA15*PV!$C$24/28</f>
        <v>0</v>
      </c>
      <c r="BB16" s="31">
        <f>BB15*PV!$C$24/28</f>
        <v>0</v>
      </c>
      <c r="BC16" s="31">
        <f>BC15*PV!$C$24/28</f>
        <v>0</v>
      </c>
      <c r="BD16" s="31">
        <f>BD15*PV!$C$24/28</f>
        <v>0</v>
      </c>
      <c r="BE16" s="31">
        <f>BE15*PV!$C$24/28</f>
        <v>0</v>
      </c>
      <c r="BF16" s="8">
        <f>SUM(AL16:BE16)</f>
        <v>0</v>
      </c>
      <c r="BP16" s="389"/>
      <c r="BQ16" s="235" t="s">
        <v>291</v>
      </c>
      <c r="BR16" s="231">
        <f>AMD!AU$46-AMD!AU$36-AMD!AU$35</f>
        <v>0</v>
      </c>
      <c r="BS16" s="231">
        <f>AMD!AV$46-AMD!AV$36-AMD!AV$35</f>
        <v>0</v>
      </c>
      <c r="BT16" s="231">
        <f>AMD!AW$46-AMD!AW$36-AMD!AW$35</f>
        <v>0</v>
      </c>
      <c r="BU16" s="231">
        <f>AMD!AX$46-AMD!AX$36-AMD!AX$35</f>
        <v>0</v>
      </c>
      <c r="BV16" s="231">
        <f>AMD!AY$46-AMD!AY$36-AMD!AY$35</f>
        <v>0</v>
      </c>
      <c r="BW16" s="231">
        <f>AMD!AZ$46-AMD!AZ$36-AMD!AZ$35</f>
        <v>0</v>
      </c>
      <c r="BX16" s="231">
        <f>AMD!BA$46-AMD!BA$36-AMD!BA$35</f>
        <v>0</v>
      </c>
      <c r="BY16" s="231">
        <f>AMD!BB$46-AMD!BB$36-AMD!BB$35</f>
        <v>0</v>
      </c>
      <c r="BZ16" s="231">
        <f>AMD!BC$46-AMD!BC$36-AMD!BC$35</f>
        <v>0</v>
      </c>
      <c r="CA16" s="231">
        <f>AMD!BD$46-AMD!BD$36-AMD!BD$35</f>
        <v>0</v>
      </c>
      <c r="CB16" s="231">
        <f>AMD!BE$46-AMD!BE$36-AMD!BE$35</f>
        <v>0</v>
      </c>
      <c r="CC16" s="231">
        <f>AMD!BF$46-AMD!BF$36-AMD!BF$35</f>
        <v>0</v>
      </c>
      <c r="CD16" s="231">
        <f>AMD!BG$46-AMD!BG$36-AMD!BG$35</f>
        <v>0</v>
      </c>
      <c r="CE16" s="231">
        <f>AMD!BH$46-AMD!BH$36-AMD!BH$35</f>
        <v>0</v>
      </c>
      <c r="CF16" s="231">
        <f>AMD!BI$46-AMD!BI$36-AMD!BI$35</f>
        <v>0</v>
      </c>
      <c r="CG16" s="231">
        <f>AMD!BJ$46-AMD!BJ$36-AMD!BJ$35</f>
        <v>0</v>
      </c>
      <c r="CH16" s="231">
        <f>AMD!BK$46-AMD!BK$36-AMD!BK$35</f>
        <v>0</v>
      </c>
      <c r="CI16" s="231">
        <f>AMD!BL$46-AMD!BL$36-AMD!BL$35</f>
        <v>0</v>
      </c>
      <c r="CJ16" s="231">
        <f>AMD!BM$46-AMD!BM$36-AMD!BM$35</f>
        <v>0</v>
      </c>
      <c r="CK16" s="236">
        <f>AMD!BN$46-AMD!BN$36-AMD!BN$35</f>
        <v>0</v>
      </c>
      <c r="CL16" s="8"/>
      <c r="CM16" s="8"/>
    </row>
    <row r="17" spans="1:92" ht="15" thickBot="1">
      <c r="R17" s="87" t="s">
        <v>207</v>
      </c>
      <c r="AI17" s="87" t="s">
        <v>207</v>
      </c>
      <c r="AK17" t="s">
        <v>204</v>
      </c>
      <c r="AL17" s="85">
        <f>IF($AQ$5="Yes",MAX(0,0+IF(AL16&gt;BR14,AL16-BR14,0)-IF(AND(BR14&gt;=$CM$14,BR14&gt;AL16),MIN(0,BR14-AL16),0)),0)</f>
        <v>0</v>
      </c>
      <c r="AM17" s="85">
        <f>IF($AQ$5="Yes",
    MAX(0,
        AL17 +
        IF(OR(AM16 &gt; BS14, AND($AQ$6="Yes", BS14 &lt;= $CN$14)), IF(AND($AQ$6="Yes", BS14 &lt;= $CN$14), $AP$4, AM16 - BS14), 0) -
        IF(AND($AQ$6="Yes", BS14 &gt;= $CM$14, BS14 &gt; AM16), MIN(AL17, BS14 - AM16), IF(AND($AQ$6="No", BS14 &gt; AM16), MIN(AL17, BS14 - AM16), 0))
    ),
    0)</f>
        <v>0</v>
      </c>
      <c r="AN17" s="85">
        <f t="shared" ref="AN17:BE17" si="23">IF($AQ$5="Yes",
    MAX(0,
        AM17 +
        IF(OR(AN16 &gt; BT14, AND($AQ$6="Yes", BT14 &lt;= $CN$14)), IF(AND($AQ$6="Yes", BT14 &lt;= $CN$14), $AP$4, AN16 - BT14), 0) -
        IF(AND($AQ$6="Yes", BT14 &gt;= $CM$14, BT14 &gt; AN16), MIN(AM17, BT14 - AN16), IF(AND($AQ$6="No", BT14 &gt; AN16), MIN(AM17, BT14 - AN16), 0))
    ),
    0)</f>
        <v>0</v>
      </c>
      <c r="AO17" s="85">
        <f t="shared" si="23"/>
        <v>0</v>
      </c>
      <c r="AP17" s="85">
        <f t="shared" si="23"/>
        <v>0</v>
      </c>
      <c r="AQ17" s="85">
        <f t="shared" si="23"/>
        <v>0</v>
      </c>
      <c r="AR17" s="85">
        <f t="shared" si="23"/>
        <v>0</v>
      </c>
      <c r="AS17" s="85">
        <f t="shared" si="23"/>
        <v>0</v>
      </c>
      <c r="AT17" s="85">
        <f t="shared" si="23"/>
        <v>0</v>
      </c>
      <c r="AU17" s="85">
        <f t="shared" si="23"/>
        <v>0</v>
      </c>
      <c r="AV17" s="85">
        <f t="shared" si="23"/>
        <v>0</v>
      </c>
      <c r="AW17" s="85">
        <f t="shared" si="23"/>
        <v>0</v>
      </c>
      <c r="AX17" s="85">
        <f t="shared" si="23"/>
        <v>0</v>
      </c>
      <c r="AY17" s="85">
        <f t="shared" si="23"/>
        <v>0</v>
      </c>
      <c r="AZ17" s="85">
        <f t="shared" si="23"/>
        <v>0</v>
      </c>
      <c r="BA17" s="85">
        <f t="shared" si="23"/>
        <v>0</v>
      </c>
      <c r="BB17" s="85">
        <f t="shared" si="23"/>
        <v>0</v>
      </c>
      <c r="BC17" s="85">
        <f t="shared" si="23"/>
        <v>0</v>
      </c>
      <c r="BD17" s="85">
        <f t="shared" si="23"/>
        <v>0</v>
      </c>
      <c r="BE17" s="85">
        <f t="shared" si="23"/>
        <v>0</v>
      </c>
      <c r="BF17" s="8">
        <f>SUM(AL17:BE17)</f>
        <v>0</v>
      </c>
      <c r="BP17" s="389"/>
      <c r="BQ17" s="239" t="s">
        <v>296</v>
      </c>
      <c r="BR17" s="237">
        <f>BR15+BR16</f>
        <v>0</v>
      </c>
      <c r="BS17" s="237">
        <f t="shared" ref="BS17" si="24">BS15+BS16</f>
        <v>0</v>
      </c>
      <c r="BT17" s="237">
        <f t="shared" ref="BT17" si="25">BT15+BT16</f>
        <v>0</v>
      </c>
      <c r="BU17" s="237">
        <f t="shared" ref="BU17" si="26">BU15+BU16</f>
        <v>0</v>
      </c>
      <c r="BV17" s="237">
        <f t="shared" ref="BV17" si="27">BV15+BV16</f>
        <v>0</v>
      </c>
      <c r="BW17" s="237">
        <f t="shared" ref="BW17" si="28">BW15+BW16</f>
        <v>0</v>
      </c>
      <c r="BX17" s="237">
        <f t="shared" ref="BX17" si="29">BX15+BX16</f>
        <v>0</v>
      </c>
      <c r="BY17" s="237">
        <f t="shared" ref="BY17" si="30">BY15+BY16</f>
        <v>0</v>
      </c>
      <c r="BZ17" s="237">
        <f t="shared" ref="BZ17" si="31">BZ15+BZ16</f>
        <v>0</v>
      </c>
      <c r="CA17" s="237">
        <f t="shared" ref="CA17" si="32">CA15+CA16</f>
        <v>0</v>
      </c>
      <c r="CB17" s="237">
        <f t="shared" ref="CB17" si="33">CB15+CB16</f>
        <v>0</v>
      </c>
      <c r="CC17" s="237">
        <f t="shared" ref="CC17" si="34">CC15+CC16</f>
        <v>0</v>
      </c>
      <c r="CD17" s="237">
        <f t="shared" ref="CD17" si="35">CD15+CD16</f>
        <v>0</v>
      </c>
      <c r="CE17" s="237">
        <f t="shared" ref="CE17" si="36">CE15+CE16</f>
        <v>0</v>
      </c>
      <c r="CF17" s="237">
        <f t="shared" ref="CF17" si="37">CF15+CF16</f>
        <v>0</v>
      </c>
      <c r="CG17" s="237">
        <f t="shared" ref="CG17" si="38">CG15+CG16</f>
        <v>0</v>
      </c>
      <c r="CH17" s="237">
        <f t="shared" ref="CH17" si="39">CH15+CH16</f>
        <v>0</v>
      </c>
      <c r="CI17" s="237">
        <f t="shared" ref="CI17" si="40">CI15+CI16</f>
        <v>0</v>
      </c>
      <c r="CJ17" s="237">
        <f t="shared" ref="CJ17" si="41">CJ15+CJ16</f>
        <v>0</v>
      </c>
      <c r="CK17" s="238">
        <f t="shared" ref="CK17" si="42">CK15+CK16</f>
        <v>0</v>
      </c>
      <c r="CL17" s="8">
        <f t="shared" si="2"/>
        <v>0</v>
      </c>
      <c r="CM17" s="8">
        <f>_xlfn.PERCENTILE.EXC(BR17:CK17, $CM$10)</f>
        <v>0</v>
      </c>
      <c r="CN17" s="8">
        <f>_xlfn.PERCENTILE.EXC(BR17:CK17, $CN$10)</f>
        <v>0</v>
      </c>
    </row>
    <row r="18" spans="1:92">
      <c r="A18" s="3"/>
      <c r="R18" s="85">
        <f>BG18</f>
        <v>0</v>
      </c>
      <c r="AI18" s="85">
        <f>BG54</f>
        <v>0</v>
      </c>
      <c r="AK18" t="s">
        <v>205</v>
      </c>
      <c r="AL18" s="85">
        <f>MAX(0,
    BR14 - AL16 +
    IF(AND($AQ$6="Yes", BR14 &lt;= $CN$14), $AP$4, 0) -
    IF(AND($AQ$5="Yes", AL17 &gt; 0, OR(AND($AQ$6="Yes", BR14 &gt;= $CM$14), $AQ$6="No", BR14 &gt; AL16)), MIN(AL17, BR14 - AL16), 0)
)</f>
        <v>0</v>
      </c>
      <c r="AM18" s="85">
        <f t="shared" ref="AM18:BE18" si="43">MAX(0,
    BS14 - AM16 +
    IF(AND($AQ$6="Yes", BS14 &lt;= $CN$14), $AP$4, 0) -
    IF(AND($AQ$5="Yes", AM17 &gt; 0, OR(AND($AQ$6="Yes", BS14 &gt;= $CM$14), $AQ$6="No", BS14 &gt; AM16)), MIN(AM17, BS14 - AM16), 0)
)</f>
        <v>0</v>
      </c>
      <c r="AN18" s="85">
        <f t="shared" si="43"/>
        <v>0</v>
      </c>
      <c r="AO18" s="85">
        <f t="shared" si="43"/>
        <v>0</v>
      </c>
      <c r="AP18" s="85">
        <f t="shared" si="43"/>
        <v>0</v>
      </c>
      <c r="AQ18" s="85">
        <f t="shared" si="43"/>
        <v>0</v>
      </c>
      <c r="AR18" s="85">
        <f t="shared" si="43"/>
        <v>0</v>
      </c>
      <c r="AS18" s="85">
        <f t="shared" si="43"/>
        <v>0</v>
      </c>
      <c r="AT18" s="85">
        <f t="shared" si="43"/>
        <v>0</v>
      </c>
      <c r="AU18" s="85">
        <f t="shared" si="43"/>
        <v>0</v>
      </c>
      <c r="AV18" s="85">
        <f t="shared" si="43"/>
        <v>0</v>
      </c>
      <c r="AW18" s="85">
        <f t="shared" si="43"/>
        <v>0</v>
      </c>
      <c r="AX18" s="85">
        <f t="shared" si="43"/>
        <v>0</v>
      </c>
      <c r="AY18" s="85">
        <f t="shared" si="43"/>
        <v>0</v>
      </c>
      <c r="AZ18" s="85">
        <f t="shared" si="43"/>
        <v>0</v>
      </c>
      <c r="BA18" s="85">
        <f t="shared" si="43"/>
        <v>0</v>
      </c>
      <c r="BB18" s="85">
        <f t="shared" si="43"/>
        <v>0</v>
      </c>
      <c r="BC18" s="85">
        <f t="shared" si="43"/>
        <v>0</v>
      </c>
      <c r="BD18" s="85">
        <f t="shared" si="43"/>
        <v>0</v>
      </c>
      <c r="BE18" s="85">
        <f t="shared" si="43"/>
        <v>0</v>
      </c>
      <c r="BF18" s="8">
        <f>SUM(AL18:BE18)</f>
        <v>0</v>
      </c>
      <c r="BG18" s="8">
        <f>CL14</f>
        <v>0</v>
      </c>
      <c r="BP18" s="389" t="s">
        <v>95</v>
      </c>
      <c r="BQ18" s="232" t="s">
        <v>297</v>
      </c>
      <c r="BR18" s="233">
        <f>DD!AG31</f>
        <v>0</v>
      </c>
      <c r="BS18" s="233">
        <f>DD!AH31</f>
        <v>0</v>
      </c>
      <c r="BT18" s="233">
        <f>DD!AI31</f>
        <v>0</v>
      </c>
      <c r="BU18" s="233">
        <f>DD!AJ31</f>
        <v>0</v>
      </c>
      <c r="BV18" s="233">
        <f>DD!AK31</f>
        <v>0</v>
      </c>
      <c r="BW18" s="233">
        <f>DD!AL31</f>
        <v>0</v>
      </c>
      <c r="BX18" s="233">
        <f>DD!AM31</f>
        <v>0</v>
      </c>
      <c r="BY18" s="233">
        <f>DD!AN31</f>
        <v>0</v>
      </c>
      <c r="BZ18" s="233">
        <f>DD!AO31</f>
        <v>0</v>
      </c>
      <c r="CA18" s="233">
        <f>DD!AP31</f>
        <v>0</v>
      </c>
      <c r="CB18" s="233">
        <f>DD!AQ31</f>
        <v>0</v>
      </c>
      <c r="CC18" s="233">
        <f>DD!AR31</f>
        <v>0</v>
      </c>
      <c r="CD18" s="233">
        <f>DD!AS31</f>
        <v>0</v>
      </c>
      <c r="CE18" s="233">
        <f>DD!AT31</f>
        <v>0</v>
      </c>
      <c r="CF18" s="233">
        <f>DD!AU31</f>
        <v>0</v>
      </c>
      <c r="CG18" s="233">
        <f>DD!AV31</f>
        <v>0</v>
      </c>
      <c r="CH18" s="233">
        <f>DD!AW31</f>
        <v>0</v>
      </c>
      <c r="CI18" s="233">
        <f>DD!AX31</f>
        <v>0</v>
      </c>
      <c r="CJ18" s="233">
        <f>DD!AY31</f>
        <v>0</v>
      </c>
      <c r="CK18" s="234">
        <f>DD!AZ31</f>
        <v>0</v>
      </c>
      <c r="CL18" s="8"/>
      <c r="CM18" s="8"/>
    </row>
    <row r="19" spans="1:92" ht="15" thickBot="1">
      <c r="R19" s="87" t="s">
        <v>208</v>
      </c>
      <c r="AI19" s="87" t="s">
        <v>208</v>
      </c>
      <c r="AL19" s="53" t="s">
        <v>185</v>
      </c>
      <c r="AM19" s="53"/>
      <c r="AN19" s="53"/>
      <c r="AO19" s="53"/>
      <c r="AP19" s="53"/>
      <c r="AQ19" s="53"/>
      <c r="AR19" s="53"/>
      <c r="AS19" s="53"/>
      <c r="AT19" s="53"/>
      <c r="AU19" s="53"/>
      <c r="AV19" s="53"/>
      <c r="AW19" s="53"/>
      <c r="AX19" s="53"/>
      <c r="AY19" s="53"/>
      <c r="AZ19" s="53"/>
      <c r="BA19" s="53"/>
      <c r="BB19" s="53"/>
      <c r="BC19" s="53"/>
      <c r="BD19" s="53"/>
      <c r="BE19" s="53"/>
      <c r="BP19" s="389"/>
      <c r="BQ19" s="235" t="s">
        <v>291</v>
      </c>
      <c r="BR19" s="231">
        <f>AMD!AU$46-AMD!AU$36-AMD!AU$35</f>
        <v>0</v>
      </c>
      <c r="BS19" s="231">
        <f>AMD!AV$46-AMD!AV$36-AMD!AV$35</f>
        <v>0</v>
      </c>
      <c r="BT19" s="231">
        <f>AMD!AW$46-AMD!AW$36-AMD!AW$35</f>
        <v>0</v>
      </c>
      <c r="BU19" s="231">
        <f>AMD!AX$46-AMD!AX$36-AMD!AX$35</f>
        <v>0</v>
      </c>
      <c r="BV19" s="231">
        <f>AMD!AY$46-AMD!AY$36-AMD!AY$35</f>
        <v>0</v>
      </c>
      <c r="BW19" s="231">
        <f>AMD!AZ$46-AMD!AZ$36-AMD!AZ$35</f>
        <v>0</v>
      </c>
      <c r="BX19" s="231">
        <f>AMD!BA$46-AMD!BA$36-AMD!BA$35</f>
        <v>0</v>
      </c>
      <c r="BY19" s="231">
        <f>AMD!BB$46-AMD!BB$36-AMD!BB$35</f>
        <v>0</v>
      </c>
      <c r="BZ19" s="231">
        <f>AMD!BC$46-AMD!BC$36-AMD!BC$35</f>
        <v>0</v>
      </c>
      <c r="CA19" s="231">
        <f>AMD!BD$46-AMD!BD$36-AMD!BD$35</f>
        <v>0</v>
      </c>
      <c r="CB19" s="231">
        <f>AMD!BE$46-AMD!BE$36-AMD!BE$35</f>
        <v>0</v>
      </c>
      <c r="CC19" s="231">
        <f>AMD!BF$46-AMD!BF$36-AMD!BF$35</f>
        <v>0</v>
      </c>
      <c r="CD19" s="231">
        <f>AMD!BG$46-AMD!BG$36-AMD!BG$35</f>
        <v>0</v>
      </c>
      <c r="CE19" s="231">
        <f>AMD!BH$46-AMD!BH$36-AMD!BH$35</f>
        <v>0</v>
      </c>
      <c r="CF19" s="231">
        <f>AMD!BI$46-AMD!BI$36-AMD!BI$35</f>
        <v>0</v>
      </c>
      <c r="CG19" s="231">
        <f>AMD!BJ$46-AMD!BJ$36-AMD!BJ$35</f>
        <v>0</v>
      </c>
      <c r="CH19" s="231">
        <f>AMD!BK$46-AMD!BK$36-AMD!BK$35</f>
        <v>0</v>
      </c>
      <c r="CI19" s="231">
        <f>AMD!BL$46-AMD!BL$36-AMD!BL$35</f>
        <v>0</v>
      </c>
      <c r="CJ19" s="231">
        <f>AMD!BM$46-AMD!BM$36-AMD!BM$35</f>
        <v>0</v>
      </c>
      <c r="CK19" s="236">
        <f>AMD!BN$46-AMD!BN$36-AMD!BN$35</f>
        <v>0</v>
      </c>
      <c r="CL19" s="8"/>
      <c r="CM19" s="8"/>
    </row>
    <row r="20" spans="1:92" ht="15" thickBot="1">
      <c r="A20" s="3"/>
      <c r="R20" s="85">
        <f>BF18</f>
        <v>0</v>
      </c>
      <c r="AI20" s="85">
        <f>BF54</f>
        <v>0</v>
      </c>
      <c r="AL20" s="43">
        <v>0.20833333333333334</v>
      </c>
      <c r="AM20" s="43">
        <v>0.25</v>
      </c>
      <c r="AN20" s="43">
        <v>0.29166666666666702</v>
      </c>
      <c r="AO20" s="43">
        <v>0.33333333333333298</v>
      </c>
      <c r="AP20" s="43">
        <v>0.375</v>
      </c>
      <c r="AQ20" s="43">
        <v>0.41666666666666702</v>
      </c>
      <c r="AR20" s="43">
        <v>0.45833333333333298</v>
      </c>
      <c r="AS20" s="43">
        <v>0.5</v>
      </c>
      <c r="AT20" s="43">
        <v>0.54166666666666696</v>
      </c>
      <c r="AU20" s="43">
        <v>0.58333333333333304</v>
      </c>
      <c r="AV20" s="43">
        <v>0.625</v>
      </c>
      <c r="AW20" s="43">
        <v>0.66666666666666696</v>
      </c>
      <c r="AX20" s="43">
        <v>0.70833333333333304</v>
      </c>
      <c r="AY20" s="43">
        <v>0.75</v>
      </c>
      <c r="AZ20" s="43">
        <v>0.79166666666666696</v>
      </c>
      <c r="BA20" s="43">
        <v>0.83333333333333304</v>
      </c>
      <c r="BB20" s="43">
        <v>0.875</v>
      </c>
      <c r="BC20" s="43">
        <v>0.91666666666666696</v>
      </c>
      <c r="BD20" s="43">
        <v>0.95833333333333304</v>
      </c>
      <c r="BE20" s="43">
        <v>1</v>
      </c>
      <c r="BP20" s="389"/>
      <c r="BQ20" s="239" t="s">
        <v>298</v>
      </c>
      <c r="BR20" s="237">
        <f>BR18+BR19</f>
        <v>0</v>
      </c>
      <c r="BS20" s="237">
        <f t="shared" ref="BS20" si="44">BS18+BS19</f>
        <v>0</v>
      </c>
      <c r="BT20" s="237">
        <f t="shared" ref="BT20" si="45">BT18+BT19</f>
        <v>0</v>
      </c>
      <c r="BU20" s="237">
        <f t="shared" ref="BU20" si="46">BU18+BU19</f>
        <v>0</v>
      </c>
      <c r="BV20" s="237">
        <f t="shared" ref="BV20" si="47">BV18+BV19</f>
        <v>0</v>
      </c>
      <c r="BW20" s="237">
        <f t="shared" ref="BW20" si="48">BW18+BW19</f>
        <v>0</v>
      </c>
      <c r="BX20" s="237">
        <f t="shared" ref="BX20" si="49">BX18+BX19</f>
        <v>0</v>
      </c>
      <c r="BY20" s="237">
        <f t="shared" ref="BY20" si="50">BY18+BY19</f>
        <v>0</v>
      </c>
      <c r="BZ20" s="237">
        <f t="shared" ref="BZ20" si="51">BZ18+BZ19</f>
        <v>0</v>
      </c>
      <c r="CA20" s="237">
        <f t="shared" ref="CA20" si="52">CA18+CA19</f>
        <v>0</v>
      </c>
      <c r="CB20" s="237">
        <f t="shared" ref="CB20" si="53">CB18+CB19</f>
        <v>0</v>
      </c>
      <c r="CC20" s="237">
        <f t="shared" ref="CC20" si="54">CC18+CC19</f>
        <v>0</v>
      </c>
      <c r="CD20" s="237">
        <f t="shared" ref="CD20" si="55">CD18+CD19</f>
        <v>0</v>
      </c>
      <c r="CE20" s="237">
        <f t="shared" ref="CE20" si="56">CE18+CE19</f>
        <v>0</v>
      </c>
      <c r="CF20" s="237">
        <f t="shared" ref="CF20" si="57">CF18+CF19</f>
        <v>0</v>
      </c>
      <c r="CG20" s="237">
        <f t="shared" ref="CG20" si="58">CG18+CG19</f>
        <v>0</v>
      </c>
      <c r="CH20" s="237">
        <f t="shared" ref="CH20" si="59">CH18+CH19</f>
        <v>0</v>
      </c>
      <c r="CI20" s="237">
        <f t="shared" ref="CI20" si="60">CI18+CI19</f>
        <v>0</v>
      </c>
      <c r="CJ20" s="237">
        <f t="shared" ref="CJ20" si="61">CJ18+CJ19</f>
        <v>0</v>
      </c>
      <c r="CK20" s="238">
        <f t="shared" ref="CK20" si="62">CK18+CK19</f>
        <v>0</v>
      </c>
      <c r="CL20" s="8">
        <f t="shared" si="2"/>
        <v>0</v>
      </c>
      <c r="CM20" s="8">
        <f>_xlfn.PERCENTILE.EXC(BR20:CK20, $CM$10)</f>
        <v>0</v>
      </c>
      <c r="CN20" s="8">
        <f>_xlfn.PERCENTILE.EXC(BR20:CK20, $CN$10)</f>
        <v>0</v>
      </c>
    </row>
    <row r="21" spans="1:92">
      <c r="R21" s="87" t="s">
        <v>209</v>
      </c>
      <c r="AI21" s="87" t="s">
        <v>209</v>
      </c>
      <c r="AK21" t="s">
        <v>199</v>
      </c>
      <c r="AL21" s="81">
        <f>GETPIVOTDATA("% of",PV!$AT$3,"Month","March","Time",5)</f>
        <v>0</v>
      </c>
      <c r="AM21" s="81">
        <f>GETPIVOTDATA("% of",PV!$AT$3,"Month","March","Time",6)</f>
        <v>1.2005846316108098E-4</v>
      </c>
      <c r="AN21" s="81">
        <f>GETPIVOTDATA("% of",PV!$AT$3,"Month","March","Time",7)</f>
        <v>2.1881982530712652E-2</v>
      </c>
      <c r="AO21" s="81">
        <f>GETPIVOTDATA("% of",PV!$AT$3,"Month","March","Time",8)</f>
        <v>6.7167503787230146E-2</v>
      </c>
      <c r="AP21" s="81">
        <f>GETPIVOTDATA("% of",PV!$AT$3,"Month","March","Time",9)</f>
        <v>0.10440286039028161</v>
      </c>
      <c r="AQ21" s="81">
        <f>GETPIVOTDATA("% of",PV!$AT$3,"Month","March","Time",10)</f>
        <v>0.12193764363347306</v>
      </c>
      <c r="AR21" s="81">
        <f>GETPIVOTDATA("% of",PV!$AT$3,"Month","March","Time",11)</f>
        <v>0.13536893689792776</v>
      </c>
      <c r="AS21" s="81">
        <f>GETPIVOTDATA("% of",PV!$AT$3,"Month","March","Time",12)</f>
        <v>0.13115486401556822</v>
      </c>
      <c r="AT21" s="81">
        <f>GETPIVOTDATA("% of",PV!$AT$3,"Month","March","Time",13)</f>
        <v>0.13520358317763301</v>
      </c>
      <c r="AU21" s="81">
        <f>GETPIVOTDATA("% of",PV!$AT$3,"Month","March","Time",14)</f>
        <v>0.10881623240402909</v>
      </c>
      <c r="AV21" s="81">
        <f>GETPIVOTDATA("% of",PV!$AT$3,"Month","March","Time",15)</f>
        <v>9.3930544877473446E-2</v>
      </c>
      <c r="AW21" s="81">
        <f>GETPIVOTDATA("% of",PV!$AT$3,"Month","March","Time",16)</f>
        <v>6.1182073969862187E-2</v>
      </c>
      <c r="AX21" s="81">
        <f>GETPIVOTDATA("% of",PV!$AT$3,"Month","March","Time",17)</f>
        <v>1.8833715852647547E-2</v>
      </c>
      <c r="AY21" s="81">
        <f>GETPIVOTDATA("% of",PV!$AT$3,"Month","March","Time",18)</f>
        <v>0</v>
      </c>
      <c r="AZ21" s="81">
        <f>GETPIVOTDATA("% of",PV!$AT$3,"Month","March","Time",19)</f>
        <v>0</v>
      </c>
      <c r="BA21" s="81">
        <f>GETPIVOTDATA("% of",PV!$AT$3,"Month","March","Time",20)</f>
        <v>0</v>
      </c>
      <c r="BB21" s="81">
        <f>GETPIVOTDATA("% of",PV!$AT$3,"Month","March","Time",21)</f>
        <v>0</v>
      </c>
      <c r="BC21" s="81">
        <f>GETPIVOTDATA("% of",PV!$AT$3,"Month","March","Time",22)</f>
        <v>0</v>
      </c>
      <c r="BD21" s="81">
        <f>GETPIVOTDATA("% of",PV!$AT$3,"Month","March","Time",23)</f>
        <v>0</v>
      </c>
      <c r="BE21" s="81">
        <f>GETPIVOTDATA("% of",PV!$AT$3,"Month","March","Time",24)</f>
        <v>0</v>
      </c>
      <c r="BP21" s="389" t="s">
        <v>96</v>
      </c>
      <c r="BQ21" s="232" t="s">
        <v>299</v>
      </c>
      <c r="BR21" s="233">
        <f>DD!AG32</f>
        <v>0</v>
      </c>
      <c r="BS21" s="233">
        <f>DD!AH32</f>
        <v>0</v>
      </c>
      <c r="BT21" s="233">
        <f>DD!AI32</f>
        <v>0</v>
      </c>
      <c r="BU21" s="233">
        <f>DD!AJ32</f>
        <v>0</v>
      </c>
      <c r="BV21" s="233">
        <f>DD!AK32</f>
        <v>0</v>
      </c>
      <c r="BW21" s="233">
        <f>DD!AL32</f>
        <v>0</v>
      </c>
      <c r="BX21" s="233">
        <f>DD!AM32</f>
        <v>0</v>
      </c>
      <c r="BY21" s="233">
        <f>DD!AN32</f>
        <v>0</v>
      </c>
      <c r="BZ21" s="233">
        <f>DD!AO32</f>
        <v>0</v>
      </c>
      <c r="CA21" s="233">
        <f>DD!AP32</f>
        <v>0</v>
      </c>
      <c r="CB21" s="233">
        <f>DD!AQ32</f>
        <v>0</v>
      </c>
      <c r="CC21" s="233">
        <f>DD!AR32</f>
        <v>0</v>
      </c>
      <c r="CD21" s="233">
        <f>DD!AS32</f>
        <v>0</v>
      </c>
      <c r="CE21" s="233">
        <f>DD!AT32</f>
        <v>0</v>
      </c>
      <c r="CF21" s="233">
        <f>DD!AU32</f>
        <v>0</v>
      </c>
      <c r="CG21" s="233">
        <f>DD!AV32</f>
        <v>0</v>
      </c>
      <c r="CH21" s="233">
        <f>DD!AW32</f>
        <v>0</v>
      </c>
      <c r="CI21" s="233">
        <f>DD!AX32</f>
        <v>0</v>
      </c>
      <c r="CJ21" s="233">
        <f>DD!AY32</f>
        <v>0</v>
      </c>
      <c r="CK21" s="234">
        <f>DD!AZ32</f>
        <v>0</v>
      </c>
      <c r="CL21" s="8"/>
      <c r="CM21" s="8"/>
    </row>
    <row r="22" spans="1:92" ht="15" thickBot="1">
      <c r="R22" s="86" t="e">
        <f>(R18-R20)/R18</f>
        <v>#DIV/0!</v>
      </c>
      <c r="AI22" s="86" t="e">
        <f>(AI18-AI20)/AI18</f>
        <v>#DIV/0!</v>
      </c>
      <c r="AK22" t="s">
        <v>203</v>
      </c>
      <c r="AL22" s="31">
        <f>AL21*PV!$C$25/31</f>
        <v>0</v>
      </c>
      <c r="AM22" s="31">
        <f>AM21*PV!$C$25/31</f>
        <v>0</v>
      </c>
      <c r="AN22" s="31">
        <f>AN21*PV!$C$25/31</f>
        <v>0</v>
      </c>
      <c r="AO22" s="31">
        <f>AO21*PV!$C$25/31</f>
        <v>0</v>
      </c>
      <c r="AP22" s="31">
        <f>AP21*PV!$C$25/31</f>
        <v>0</v>
      </c>
      <c r="AQ22" s="31">
        <f>AQ21*PV!$C$25/31</f>
        <v>0</v>
      </c>
      <c r="AR22" s="31">
        <f>AR21*PV!$C$25/31</f>
        <v>0</v>
      </c>
      <c r="AS22" s="31">
        <f>AS21*PV!$C$25/31</f>
        <v>0</v>
      </c>
      <c r="AT22" s="31">
        <f>AT21*PV!$C$25/31</f>
        <v>0</v>
      </c>
      <c r="AU22" s="31">
        <f>AU21*PV!$C$25/31</f>
        <v>0</v>
      </c>
      <c r="AV22" s="31">
        <f>AV21*PV!$C$25/31</f>
        <v>0</v>
      </c>
      <c r="AW22" s="31">
        <f>AW21*PV!$C$25/31</f>
        <v>0</v>
      </c>
      <c r="AX22" s="31">
        <f>AX21*PV!$C$25/31</f>
        <v>0</v>
      </c>
      <c r="AY22" s="31">
        <f>AY21*PV!$C$25/31</f>
        <v>0</v>
      </c>
      <c r="AZ22" s="31">
        <f>AZ21*PV!$C$25/31</f>
        <v>0</v>
      </c>
      <c r="BA22" s="31">
        <f>BA21*PV!$C$25/31</f>
        <v>0</v>
      </c>
      <c r="BB22" s="31">
        <f>BB21*PV!$C$25/31</f>
        <v>0</v>
      </c>
      <c r="BC22" s="31">
        <f>BC21*PV!$C$25/31</f>
        <v>0</v>
      </c>
      <c r="BD22" s="31">
        <f>BD21*PV!$C$25/31</f>
        <v>0</v>
      </c>
      <c r="BE22" s="31">
        <f>BE21*PV!$C$25/31</f>
        <v>0</v>
      </c>
      <c r="BF22" s="8">
        <f>SUM(AL22:BE22)</f>
        <v>0</v>
      </c>
      <c r="BP22" s="389"/>
      <c r="BQ22" s="235" t="s">
        <v>291</v>
      </c>
      <c r="BR22" s="231">
        <f>AMD!AU$46-AMD!AU$36-AMD!AU$35</f>
        <v>0</v>
      </c>
      <c r="BS22" s="231">
        <f>AMD!AV$46-AMD!AV$36-AMD!AV$35</f>
        <v>0</v>
      </c>
      <c r="BT22" s="231">
        <f>AMD!AW$46-AMD!AW$36-AMD!AW$35</f>
        <v>0</v>
      </c>
      <c r="BU22" s="231">
        <f>AMD!AX$46-AMD!AX$36-AMD!AX$35</f>
        <v>0</v>
      </c>
      <c r="BV22" s="231">
        <f>AMD!AY$46-AMD!AY$36-AMD!AY$35</f>
        <v>0</v>
      </c>
      <c r="BW22" s="231">
        <f>AMD!AZ$46-AMD!AZ$36-AMD!AZ$35</f>
        <v>0</v>
      </c>
      <c r="BX22" s="231">
        <f>AMD!BA$46-AMD!BA$36-AMD!BA$35</f>
        <v>0</v>
      </c>
      <c r="BY22" s="231">
        <f>AMD!BB$46-AMD!BB$36-AMD!BB$35</f>
        <v>0</v>
      </c>
      <c r="BZ22" s="231">
        <f>AMD!BC$46-AMD!BC$36-AMD!BC$35</f>
        <v>0</v>
      </c>
      <c r="CA22" s="231">
        <f>AMD!BD$46-AMD!BD$36-AMD!BD$35</f>
        <v>0</v>
      </c>
      <c r="CB22" s="231">
        <f>AMD!BE$46-AMD!BE$36-AMD!BE$35</f>
        <v>0</v>
      </c>
      <c r="CC22" s="231">
        <f>AMD!BF$46-AMD!BF$36-AMD!BF$35</f>
        <v>0</v>
      </c>
      <c r="CD22" s="231">
        <f>AMD!BG$46-AMD!BG$36-AMD!BG$35</f>
        <v>0</v>
      </c>
      <c r="CE22" s="231">
        <f>AMD!BH$46-AMD!BH$36-AMD!BH$35</f>
        <v>0</v>
      </c>
      <c r="CF22" s="231">
        <f>AMD!BI$46-AMD!BI$36-AMD!BI$35</f>
        <v>0</v>
      </c>
      <c r="CG22" s="231">
        <f>AMD!BJ$46-AMD!BJ$36-AMD!BJ$35</f>
        <v>0</v>
      </c>
      <c r="CH22" s="231">
        <f>AMD!BK$46-AMD!BK$36-AMD!BK$35</f>
        <v>0</v>
      </c>
      <c r="CI22" s="231">
        <f>AMD!BL$46-AMD!BL$36-AMD!BL$35</f>
        <v>0</v>
      </c>
      <c r="CJ22" s="231">
        <f>AMD!BM$46-AMD!BM$36-AMD!BM$35</f>
        <v>0</v>
      </c>
      <c r="CK22" s="236">
        <f>AMD!BN$46-AMD!BN$36-AMD!BN$35</f>
        <v>0</v>
      </c>
      <c r="CL22" s="8"/>
      <c r="CM22" s="8"/>
    </row>
    <row r="23" spans="1:92" ht="15" thickBot="1">
      <c r="AI23" s="31"/>
      <c r="AK23" t="s">
        <v>204</v>
      </c>
      <c r="AL23" s="85">
        <f>IF($AQ$5="Yes",MAX(0,0+IF(AL22&gt;BR17,AL22-BR17,0)-IF(AND(BR17&gt;=$CM$17,BR17&gt;AL22),MIN(0,BR17-AL22),0)),0)</f>
        <v>0</v>
      </c>
      <c r="AM23" s="85">
        <f>IF($AQ$5="Yes",
    MAX(0,
        AL23 +
        IF(OR(AM22 &gt; BS17, AND($AQ$6="Yes", BS17 &lt;= $CN$17)), IF(AND($AQ$6="Yes", BS17 &lt;= $CN$17), $AP$4, AM22 - BS17), 0) -
        IF(AND($AQ$6="Yes", BS17 &gt;= $CM$17, BS17 &gt; AM22), MIN(AL23, BS17 - AM22), IF(AND($AQ$6="No", BS17 &gt; AM22), MIN(AL23, BS17 - AM22), 0))
    ),
    0)</f>
        <v>0</v>
      </c>
      <c r="AN23" s="85">
        <f t="shared" ref="AN23:BE23" si="63">IF($AQ$5="Yes",
    MAX(0,
        AM23 +
        IF(OR(AN22 &gt; BT17, AND($AQ$6="Yes", BT17 &lt;= $CN$17)), IF(AND($AQ$6="Yes", BT17 &lt;= $CN$17), $AP$4, AN22 - BT17), 0) -
        IF(AND($AQ$6="Yes", BT17 &gt;= $CM$17, BT17 &gt; AN22), MIN(AM23, BT17 - AN22), IF(AND($AQ$6="No", BT17 &gt; AN22), MIN(AM23, BT17 - AN22), 0))
    ),
    0)</f>
        <v>0</v>
      </c>
      <c r="AO23" s="85">
        <f t="shared" si="63"/>
        <v>0</v>
      </c>
      <c r="AP23" s="85">
        <f t="shared" si="63"/>
        <v>0</v>
      </c>
      <c r="AQ23" s="85">
        <f t="shared" si="63"/>
        <v>0</v>
      </c>
      <c r="AR23" s="85">
        <f t="shared" si="63"/>
        <v>0</v>
      </c>
      <c r="AS23" s="85">
        <f t="shared" si="63"/>
        <v>0</v>
      </c>
      <c r="AT23" s="85">
        <f t="shared" si="63"/>
        <v>0</v>
      </c>
      <c r="AU23" s="85">
        <f t="shared" si="63"/>
        <v>0</v>
      </c>
      <c r="AV23" s="85">
        <f t="shared" si="63"/>
        <v>0</v>
      </c>
      <c r="AW23" s="85">
        <f t="shared" si="63"/>
        <v>0</v>
      </c>
      <c r="AX23" s="85">
        <f t="shared" si="63"/>
        <v>0</v>
      </c>
      <c r="AY23" s="85">
        <f t="shared" si="63"/>
        <v>0</v>
      </c>
      <c r="AZ23" s="85">
        <f t="shared" si="63"/>
        <v>0</v>
      </c>
      <c r="BA23" s="85">
        <f t="shared" si="63"/>
        <v>0</v>
      </c>
      <c r="BB23" s="85">
        <f t="shared" si="63"/>
        <v>0</v>
      </c>
      <c r="BC23" s="85">
        <f t="shared" si="63"/>
        <v>0</v>
      </c>
      <c r="BD23" s="85">
        <f t="shared" si="63"/>
        <v>0</v>
      </c>
      <c r="BE23" s="85">
        <f t="shared" si="63"/>
        <v>0</v>
      </c>
      <c r="BF23" s="8">
        <f>SUM(AL23:BE23)</f>
        <v>0</v>
      </c>
      <c r="BP23" s="389"/>
      <c r="BQ23" s="239" t="s">
        <v>300</v>
      </c>
      <c r="BR23" s="237">
        <f>BR21+BR22</f>
        <v>0</v>
      </c>
      <c r="BS23" s="237">
        <f t="shared" ref="BS23" si="64">BS21+BS22</f>
        <v>0</v>
      </c>
      <c r="BT23" s="237">
        <f t="shared" ref="BT23" si="65">BT21+BT22</f>
        <v>0</v>
      </c>
      <c r="BU23" s="237">
        <f t="shared" ref="BU23" si="66">BU21+BU22</f>
        <v>0</v>
      </c>
      <c r="BV23" s="237">
        <f t="shared" ref="BV23" si="67">BV21+BV22</f>
        <v>0</v>
      </c>
      <c r="BW23" s="237">
        <f t="shared" ref="BW23" si="68">BW21+BW22</f>
        <v>0</v>
      </c>
      <c r="BX23" s="237">
        <f t="shared" ref="BX23" si="69">BX21+BX22</f>
        <v>0</v>
      </c>
      <c r="BY23" s="237">
        <f t="shared" ref="BY23" si="70">BY21+BY22</f>
        <v>0</v>
      </c>
      <c r="BZ23" s="237">
        <f t="shared" ref="BZ23" si="71">BZ21+BZ22</f>
        <v>0</v>
      </c>
      <c r="CA23" s="237">
        <f t="shared" ref="CA23" si="72">CA21+CA22</f>
        <v>0</v>
      </c>
      <c r="CB23" s="237">
        <f t="shared" ref="CB23" si="73">CB21+CB22</f>
        <v>0</v>
      </c>
      <c r="CC23" s="237">
        <f t="shared" ref="CC23" si="74">CC21+CC22</f>
        <v>0</v>
      </c>
      <c r="CD23" s="237">
        <f t="shared" ref="CD23" si="75">CD21+CD22</f>
        <v>0</v>
      </c>
      <c r="CE23" s="237">
        <f t="shared" ref="CE23" si="76">CE21+CE22</f>
        <v>0</v>
      </c>
      <c r="CF23" s="237">
        <f t="shared" ref="CF23" si="77">CF21+CF22</f>
        <v>0</v>
      </c>
      <c r="CG23" s="237">
        <f t="shared" ref="CG23" si="78">CG21+CG22</f>
        <v>0</v>
      </c>
      <c r="CH23" s="237">
        <f t="shared" ref="CH23" si="79">CH21+CH22</f>
        <v>0</v>
      </c>
      <c r="CI23" s="237">
        <f t="shared" ref="CI23" si="80">CI21+CI22</f>
        <v>0</v>
      </c>
      <c r="CJ23" s="237">
        <f t="shared" ref="CJ23" si="81">CJ21+CJ22</f>
        <v>0</v>
      </c>
      <c r="CK23" s="238">
        <f t="shared" ref="CK23" si="82">CK21+CK22</f>
        <v>0</v>
      </c>
      <c r="CL23" s="8">
        <f t="shared" si="2"/>
        <v>0</v>
      </c>
      <c r="CM23" s="8">
        <f>_xlfn.PERCENTILE.EXC(BR23:CK23, $CM$10)</f>
        <v>0</v>
      </c>
      <c r="CN23" s="8">
        <f>_xlfn.PERCENTILE.EXC(BR23:CK23, $CN$10)</f>
        <v>0</v>
      </c>
    </row>
    <row r="24" spans="1:92">
      <c r="AI24" s="31"/>
      <c r="AK24" t="s">
        <v>205</v>
      </c>
      <c r="AL24" s="85">
        <f>MAX(0,
    BR17 - AL22 +
    IF(AND($AQ$6="Yes", BR17 &lt;= $CN$17), $AP$4, 0) -
    IF(AND($AQ$5="Yes", AL23 &gt; 0, OR(AND($AQ$6="Yes", BR17 &gt;= $CM$17), $AQ$6="No", BR17 &gt; AL22)), MIN(AL23, BR17 - AL22), 0)
)</f>
        <v>0</v>
      </c>
      <c r="AM24" s="85">
        <f t="shared" ref="AM24:BE24" si="83">MAX(0,
    BS17 - AM22 +
    IF(AND($AQ$6="Yes", BS17 &lt;= $CN$17), $AP$4, 0) -
    IF(AND($AQ$5="Yes", AM23 &gt; 0, OR(AND($AQ$6="Yes", BS17 &gt;= $CM$17), $AQ$6="No", BS17 &gt; AM22)), MIN(AM23, BS17 - AM22), 0)
)</f>
        <v>0</v>
      </c>
      <c r="AN24" s="85">
        <f t="shared" si="83"/>
        <v>0</v>
      </c>
      <c r="AO24" s="85">
        <f t="shared" si="83"/>
        <v>0</v>
      </c>
      <c r="AP24" s="85">
        <f t="shared" si="83"/>
        <v>0</v>
      </c>
      <c r="AQ24" s="85">
        <f t="shared" si="83"/>
        <v>0</v>
      </c>
      <c r="AR24" s="85">
        <f t="shared" si="83"/>
        <v>0</v>
      </c>
      <c r="AS24" s="85">
        <f t="shared" si="83"/>
        <v>0</v>
      </c>
      <c r="AT24" s="85">
        <f t="shared" si="83"/>
        <v>0</v>
      </c>
      <c r="AU24" s="85">
        <f t="shared" si="83"/>
        <v>0</v>
      </c>
      <c r="AV24" s="85">
        <f t="shared" si="83"/>
        <v>0</v>
      </c>
      <c r="AW24" s="85">
        <f t="shared" si="83"/>
        <v>0</v>
      </c>
      <c r="AX24" s="85">
        <f t="shared" si="83"/>
        <v>0</v>
      </c>
      <c r="AY24" s="85">
        <f t="shared" si="83"/>
        <v>0</v>
      </c>
      <c r="AZ24" s="85">
        <f t="shared" si="83"/>
        <v>0</v>
      </c>
      <c r="BA24" s="85">
        <f t="shared" si="83"/>
        <v>0</v>
      </c>
      <c r="BB24" s="85">
        <f t="shared" si="83"/>
        <v>0</v>
      </c>
      <c r="BC24" s="85">
        <f t="shared" si="83"/>
        <v>0</v>
      </c>
      <c r="BD24" s="85">
        <f t="shared" si="83"/>
        <v>0</v>
      </c>
      <c r="BE24" s="85">
        <f t="shared" si="83"/>
        <v>0</v>
      </c>
      <c r="BF24" s="8">
        <f>SUM(AL24:BE24)</f>
        <v>0</v>
      </c>
      <c r="BG24" s="8">
        <f>CL17</f>
        <v>0</v>
      </c>
      <c r="BP24" s="389" t="s">
        <v>97</v>
      </c>
      <c r="BQ24" s="232" t="s">
        <v>301</v>
      </c>
      <c r="BR24" s="233">
        <f>DD!AG33</f>
        <v>0</v>
      </c>
      <c r="BS24" s="233">
        <f>DD!AH33</f>
        <v>0</v>
      </c>
      <c r="BT24" s="233">
        <f>DD!AI33</f>
        <v>0</v>
      </c>
      <c r="BU24" s="233">
        <f>DD!AJ33</f>
        <v>0</v>
      </c>
      <c r="BV24" s="233">
        <f>DD!AK33</f>
        <v>0</v>
      </c>
      <c r="BW24" s="233">
        <f>DD!AL33</f>
        <v>0</v>
      </c>
      <c r="BX24" s="233">
        <f>DD!AM33</f>
        <v>0</v>
      </c>
      <c r="BY24" s="233">
        <f>DD!AN33</f>
        <v>0</v>
      </c>
      <c r="BZ24" s="233">
        <f>DD!AO33</f>
        <v>0</v>
      </c>
      <c r="CA24" s="233">
        <f>DD!AP33</f>
        <v>0</v>
      </c>
      <c r="CB24" s="233">
        <f>DD!AQ33</f>
        <v>0</v>
      </c>
      <c r="CC24" s="233">
        <f>DD!AR33</f>
        <v>0</v>
      </c>
      <c r="CD24" s="233">
        <f>DD!AS33</f>
        <v>0</v>
      </c>
      <c r="CE24" s="233">
        <f>DD!AT33</f>
        <v>0</v>
      </c>
      <c r="CF24" s="233">
        <f>DD!AU33</f>
        <v>0</v>
      </c>
      <c r="CG24" s="233">
        <f>DD!AV33</f>
        <v>0</v>
      </c>
      <c r="CH24" s="233">
        <f>DD!AW33</f>
        <v>0</v>
      </c>
      <c r="CI24" s="233">
        <f>DD!AX33</f>
        <v>0</v>
      </c>
      <c r="CJ24" s="233">
        <f>DD!AY33</f>
        <v>0</v>
      </c>
      <c r="CK24" s="234">
        <f>DD!AZ33</f>
        <v>0</v>
      </c>
      <c r="CL24" s="8"/>
      <c r="CM24" s="8"/>
    </row>
    <row r="25" spans="1:92" ht="15" thickBot="1">
      <c r="AI25" s="31"/>
      <c r="AL25" s="53" t="s">
        <v>186</v>
      </c>
      <c r="AM25" s="53"/>
      <c r="AN25" s="53"/>
      <c r="AO25" s="53"/>
      <c r="AP25" s="53"/>
      <c r="AQ25" s="53"/>
      <c r="AR25" s="53"/>
      <c r="AS25" s="53"/>
      <c r="AT25" s="53"/>
      <c r="AU25" s="53"/>
      <c r="AV25" s="53"/>
      <c r="AW25" s="53"/>
      <c r="AX25" s="53"/>
      <c r="AY25" s="53"/>
      <c r="AZ25" s="53"/>
      <c r="BA25" s="53"/>
      <c r="BB25" s="53"/>
      <c r="BC25" s="53"/>
      <c r="BD25" s="53"/>
      <c r="BE25" s="53"/>
      <c r="BP25" s="389"/>
      <c r="BQ25" s="235" t="s">
        <v>291</v>
      </c>
      <c r="BR25" s="231">
        <f>AMD!AU$46-AMD!AU$36-AMD!AU$35</f>
        <v>0</v>
      </c>
      <c r="BS25" s="231">
        <f>AMD!AV$46-AMD!AV$36-AMD!AV$35</f>
        <v>0</v>
      </c>
      <c r="BT25" s="231">
        <f>AMD!AW$46-AMD!AW$36-AMD!AW$35</f>
        <v>0</v>
      </c>
      <c r="BU25" s="231">
        <f>AMD!AX$46-AMD!AX$36-AMD!AX$35</f>
        <v>0</v>
      </c>
      <c r="BV25" s="231">
        <f>AMD!AY$46-AMD!AY$36-AMD!AY$35</f>
        <v>0</v>
      </c>
      <c r="BW25" s="231">
        <f>AMD!AZ$46-AMD!AZ$36-AMD!AZ$35</f>
        <v>0</v>
      </c>
      <c r="BX25" s="231">
        <f>AMD!BA$46-AMD!BA$36-AMD!BA$35</f>
        <v>0</v>
      </c>
      <c r="BY25" s="231">
        <f>AMD!BB$46-AMD!BB$36-AMD!BB$35</f>
        <v>0</v>
      </c>
      <c r="BZ25" s="231">
        <f>AMD!BC$46-AMD!BC$36-AMD!BC$35</f>
        <v>0</v>
      </c>
      <c r="CA25" s="231">
        <f>AMD!BD$46-AMD!BD$36-AMD!BD$35</f>
        <v>0</v>
      </c>
      <c r="CB25" s="231">
        <f>AMD!BE$46-AMD!BE$36-AMD!BE$35</f>
        <v>0</v>
      </c>
      <c r="CC25" s="231">
        <f>AMD!BF$46-AMD!BF$36-AMD!BF$35</f>
        <v>0</v>
      </c>
      <c r="CD25" s="231">
        <f>AMD!BG$46-AMD!BG$36-AMD!BG$35</f>
        <v>0</v>
      </c>
      <c r="CE25" s="231">
        <f>AMD!BH$46-AMD!BH$36-AMD!BH$35</f>
        <v>0</v>
      </c>
      <c r="CF25" s="231">
        <f>AMD!BI$46-AMD!BI$36-AMD!BI$35</f>
        <v>0</v>
      </c>
      <c r="CG25" s="231">
        <f>AMD!BJ$46-AMD!BJ$36-AMD!BJ$35</f>
        <v>0</v>
      </c>
      <c r="CH25" s="231">
        <f>AMD!BK$46-AMD!BK$36-AMD!BK$35</f>
        <v>0</v>
      </c>
      <c r="CI25" s="231">
        <f>AMD!BL$46-AMD!BL$36-AMD!BL$35</f>
        <v>0</v>
      </c>
      <c r="CJ25" s="231">
        <f>AMD!BM$46-AMD!BM$36-AMD!BM$35</f>
        <v>0</v>
      </c>
      <c r="CK25" s="236">
        <f>AMD!BN$46-AMD!BN$36-AMD!BN$35</f>
        <v>0</v>
      </c>
      <c r="CL25" s="8"/>
      <c r="CM25" s="8"/>
    </row>
    <row r="26" spans="1:92" ht="15" thickBot="1">
      <c r="R26" s="87" t="s">
        <v>185</v>
      </c>
      <c r="AI26" s="87" t="s">
        <v>190</v>
      </c>
      <c r="AL26" s="43">
        <v>0.20833333333333334</v>
      </c>
      <c r="AM26" s="43">
        <v>0.25</v>
      </c>
      <c r="AN26" s="43">
        <v>0.29166666666666702</v>
      </c>
      <c r="AO26" s="43">
        <v>0.33333333333333298</v>
      </c>
      <c r="AP26" s="43">
        <v>0.375</v>
      </c>
      <c r="AQ26" s="43">
        <v>0.41666666666666702</v>
      </c>
      <c r="AR26" s="43">
        <v>0.45833333333333298</v>
      </c>
      <c r="AS26" s="43">
        <v>0.5</v>
      </c>
      <c r="AT26" s="43">
        <v>0.54166666666666696</v>
      </c>
      <c r="AU26" s="43">
        <v>0.58333333333333304</v>
      </c>
      <c r="AV26" s="43">
        <v>0.625</v>
      </c>
      <c r="AW26" s="43">
        <v>0.66666666666666696</v>
      </c>
      <c r="AX26" s="43">
        <v>0.70833333333333304</v>
      </c>
      <c r="AY26" s="43">
        <v>0.75</v>
      </c>
      <c r="AZ26" s="43">
        <v>0.79166666666666696</v>
      </c>
      <c r="BA26" s="43">
        <v>0.83333333333333304</v>
      </c>
      <c r="BB26" s="43">
        <v>0.875</v>
      </c>
      <c r="BC26" s="43">
        <v>0.91666666666666696</v>
      </c>
      <c r="BD26" s="43">
        <v>0.95833333333333304</v>
      </c>
      <c r="BE26" s="43">
        <v>1</v>
      </c>
      <c r="BP26" s="389"/>
      <c r="BQ26" s="239" t="s">
        <v>302</v>
      </c>
      <c r="BR26" s="237">
        <f>BR24+BR25</f>
        <v>0</v>
      </c>
      <c r="BS26" s="237">
        <f t="shared" ref="BS26" si="84">BS24+BS25</f>
        <v>0</v>
      </c>
      <c r="BT26" s="237">
        <f t="shared" ref="BT26" si="85">BT24+BT25</f>
        <v>0</v>
      </c>
      <c r="BU26" s="237">
        <f t="shared" ref="BU26" si="86">BU24+BU25</f>
        <v>0</v>
      </c>
      <c r="BV26" s="237">
        <f t="shared" ref="BV26" si="87">BV24+BV25</f>
        <v>0</v>
      </c>
      <c r="BW26" s="237">
        <f t="shared" ref="BW26" si="88">BW24+BW25</f>
        <v>0</v>
      </c>
      <c r="BX26" s="237">
        <f t="shared" ref="BX26" si="89">BX24+BX25</f>
        <v>0</v>
      </c>
      <c r="BY26" s="237">
        <f t="shared" ref="BY26" si="90">BY24+BY25</f>
        <v>0</v>
      </c>
      <c r="BZ26" s="237">
        <f t="shared" ref="BZ26" si="91">BZ24+BZ25</f>
        <v>0</v>
      </c>
      <c r="CA26" s="237">
        <f t="shared" ref="CA26" si="92">CA24+CA25</f>
        <v>0</v>
      </c>
      <c r="CB26" s="237">
        <f t="shared" ref="CB26" si="93">CB24+CB25</f>
        <v>0</v>
      </c>
      <c r="CC26" s="237">
        <f t="shared" ref="CC26" si="94">CC24+CC25</f>
        <v>0</v>
      </c>
      <c r="CD26" s="237">
        <f t="shared" ref="CD26" si="95">CD24+CD25</f>
        <v>0</v>
      </c>
      <c r="CE26" s="237">
        <f t="shared" ref="CE26" si="96">CE24+CE25</f>
        <v>0</v>
      </c>
      <c r="CF26" s="237">
        <f t="shared" ref="CF26" si="97">CF24+CF25</f>
        <v>0</v>
      </c>
      <c r="CG26" s="237">
        <f t="shared" ref="CG26" si="98">CG24+CG25</f>
        <v>0</v>
      </c>
      <c r="CH26" s="237">
        <f t="shared" ref="CH26" si="99">CH24+CH25</f>
        <v>0</v>
      </c>
      <c r="CI26" s="237">
        <f t="shared" ref="CI26" si="100">CI24+CI25</f>
        <v>0</v>
      </c>
      <c r="CJ26" s="237">
        <f t="shared" ref="CJ26" si="101">CJ24+CJ25</f>
        <v>0</v>
      </c>
      <c r="CK26" s="238">
        <f t="shared" ref="CK26" si="102">CK24+CK25</f>
        <v>0</v>
      </c>
      <c r="CL26" s="8">
        <f t="shared" si="2"/>
        <v>0</v>
      </c>
      <c r="CM26" s="8">
        <f>_xlfn.PERCENTILE.EXC(BR26:CK26, $CM$10)</f>
        <v>0</v>
      </c>
      <c r="CN26" s="8">
        <f>_xlfn.PERCENTILE.EXC(BR26:CK26, $CN$10)</f>
        <v>0</v>
      </c>
    </row>
    <row r="27" spans="1:92">
      <c r="R27" s="87" t="s">
        <v>207</v>
      </c>
      <c r="AI27" s="87" t="s">
        <v>207</v>
      </c>
      <c r="AK27" t="s">
        <v>199</v>
      </c>
      <c r="AL27" s="81">
        <f>GETPIVOTDATA("% of",PV!$AT$3,"Month","April","Time",5)</f>
        <v>1.2770645948737575E-4</v>
      </c>
      <c r="AM27" s="81">
        <f>GETPIVOTDATA("% of",PV!$AT$3,"Month","April","Time",6)</f>
        <v>7.6874866212742346E-3</v>
      </c>
      <c r="AN27" s="81">
        <f>GETPIVOTDATA("% of",PV!$AT$3,"Month","April","Time",7)</f>
        <v>3.8403178913258361E-2</v>
      </c>
      <c r="AO27" s="81">
        <f>GETPIVOTDATA("% of",PV!$AT$3,"Month","April","Time",8)</f>
        <v>7.0565616253882302E-2</v>
      </c>
      <c r="AP27" s="81">
        <f>GETPIVOTDATA("% of",PV!$AT$3,"Month","April","Time",9)</f>
        <v>9.9910326168969915E-2</v>
      </c>
      <c r="AQ27" s="81">
        <f>GETPIVOTDATA("% of",PV!$AT$3,"Month","April","Time",10)</f>
        <v>0.11376263651925259</v>
      </c>
      <c r="AR27" s="81">
        <f>GETPIVOTDATA("% of",PV!$AT$3,"Month","April","Time",11)</f>
        <v>0.12829886694267092</v>
      </c>
      <c r="AS27" s="81">
        <f>GETPIVOTDATA("% of",PV!$AT$3,"Month","April","Time",12)</f>
        <v>0.13125877060575922</v>
      </c>
      <c r="AT27" s="81">
        <f>GETPIVOTDATA("% of",PV!$AT$3,"Month","April","Time",13)</f>
        <v>0.12560461754281757</v>
      </c>
      <c r="AU27" s="81">
        <f>GETPIVOTDATA("% of",PV!$AT$3,"Month","April","Time",14)</f>
        <v>0.10448316396710264</v>
      </c>
      <c r="AV27" s="81">
        <f>GETPIVOTDATA("% of",PV!$AT$3,"Month","April","Time",15)</f>
        <v>9.00804977417448E-2</v>
      </c>
      <c r="AW27" s="81">
        <f>GETPIVOTDATA("% of",PV!$AT$3,"Month","April","Time",16)</f>
        <v>6.0420400975007026E-2</v>
      </c>
      <c r="AX27" s="81">
        <f>GETPIVOTDATA("% of",PV!$AT$3,"Month","April","Time",17)</f>
        <v>2.6507430832327244E-2</v>
      </c>
      <c r="AY27" s="81">
        <f>GETPIVOTDATA("% of",PV!$AT$3,"Month","April","Time",18)</f>
        <v>2.8893004564458512E-3</v>
      </c>
      <c r="AZ27" s="81">
        <f>GETPIVOTDATA("% of",PV!$AT$3,"Month","April","Time",19)</f>
        <v>0</v>
      </c>
      <c r="BA27" s="81">
        <f>GETPIVOTDATA("% of",PV!$AT$3,"Month","April","Time",20)</f>
        <v>0</v>
      </c>
      <c r="BB27" s="81">
        <f>GETPIVOTDATA("% of",PV!$AT$3,"Month","April","Time",21)</f>
        <v>0</v>
      </c>
      <c r="BC27" s="81">
        <f>GETPIVOTDATA("% of",PV!$AT$3,"Month","April","Time",22)</f>
        <v>0</v>
      </c>
      <c r="BD27" s="81">
        <f>GETPIVOTDATA("% of",PV!$AT$3,"Month","April","Time",23)</f>
        <v>0</v>
      </c>
      <c r="BE27" s="81">
        <f>GETPIVOTDATA("% of",PV!$AT$3,"Month","April","Time",24)</f>
        <v>0</v>
      </c>
      <c r="BP27" s="389" t="s">
        <v>98</v>
      </c>
      <c r="BQ27" s="232" t="s">
        <v>303</v>
      </c>
      <c r="BR27" s="233">
        <f>DD!AG34</f>
        <v>0</v>
      </c>
      <c r="BS27" s="233">
        <f>DD!AH34</f>
        <v>0</v>
      </c>
      <c r="BT27" s="233">
        <f>DD!AI34</f>
        <v>0</v>
      </c>
      <c r="BU27" s="233">
        <f>DD!AJ34</f>
        <v>0</v>
      </c>
      <c r="BV27" s="233">
        <f>DD!AK34</f>
        <v>0</v>
      </c>
      <c r="BW27" s="233">
        <f>DD!AL34</f>
        <v>0</v>
      </c>
      <c r="BX27" s="233">
        <f>DD!AM34</f>
        <v>0</v>
      </c>
      <c r="BY27" s="233">
        <f>DD!AN34</f>
        <v>0</v>
      </c>
      <c r="BZ27" s="233">
        <f>DD!AO34</f>
        <v>0</v>
      </c>
      <c r="CA27" s="233">
        <f>DD!AP34</f>
        <v>0</v>
      </c>
      <c r="CB27" s="233">
        <f>DD!AQ34</f>
        <v>0</v>
      </c>
      <c r="CC27" s="233">
        <f>DD!AR34</f>
        <v>0</v>
      </c>
      <c r="CD27" s="233">
        <f>DD!AS34</f>
        <v>0</v>
      </c>
      <c r="CE27" s="233">
        <f>DD!AT34</f>
        <v>0</v>
      </c>
      <c r="CF27" s="233">
        <f>DD!AU34</f>
        <v>0</v>
      </c>
      <c r="CG27" s="233">
        <f>DD!AV34</f>
        <v>0</v>
      </c>
      <c r="CH27" s="233">
        <f>DD!AW34</f>
        <v>0</v>
      </c>
      <c r="CI27" s="233">
        <f>DD!AX34</f>
        <v>0</v>
      </c>
      <c r="CJ27" s="233">
        <f>DD!AY34</f>
        <v>0</v>
      </c>
      <c r="CK27" s="234">
        <f>DD!AZ34</f>
        <v>0</v>
      </c>
      <c r="CL27" s="8"/>
      <c r="CM27" s="8"/>
    </row>
    <row r="28" spans="1:92" ht="15" thickBot="1">
      <c r="R28" s="85">
        <f>BG24</f>
        <v>0</v>
      </c>
      <c r="AI28" s="85">
        <f>BG60</f>
        <v>0</v>
      </c>
      <c r="AK28" t="s">
        <v>203</v>
      </c>
      <c r="AL28" s="31">
        <f>AL27*PV!$C$26/30</f>
        <v>0</v>
      </c>
      <c r="AM28" s="31">
        <f>AM27*PV!$C$26/30</f>
        <v>0</v>
      </c>
      <c r="AN28" s="31">
        <f>AN27*PV!$C$26/30</f>
        <v>0</v>
      </c>
      <c r="AO28" s="31">
        <f>AO27*PV!$C$26/30</f>
        <v>0</v>
      </c>
      <c r="AP28" s="31">
        <f>AP27*PV!$C$26/30</f>
        <v>0</v>
      </c>
      <c r="AQ28" s="31">
        <f>AQ27*PV!$C$26/30</f>
        <v>0</v>
      </c>
      <c r="AR28" s="31">
        <f>AR27*PV!$C$26/30</f>
        <v>0</v>
      </c>
      <c r="AS28" s="31">
        <f>AS27*PV!$C$26/30</f>
        <v>0</v>
      </c>
      <c r="AT28" s="31">
        <f>AT27*PV!$C$26/30</f>
        <v>0</v>
      </c>
      <c r="AU28" s="31">
        <f>AU27*PV!$C$26/30</f>
        <v>0</v>
      </c>
      <c r="AV28" s="31">
        <f>AV27*PV!$C$26/30</f>
        <v>0</v>
      </c>
      <c r="AW28" s="31">
        <f>AW27*PV!$C$26/30</f>
        <v>0</v>
      </c>
      <c r="AX28" s="31">
        <f>AX27*PV!$C$26/30</f>
        <v>0</v>
      </c>
      <c r="AY28" s="31">
        <f>AY27*PV!$C$26/30</f>
        <v>0</v>
      </c>
      <c r="AZ28" s="31">
        <f>AZ27*PV!$C$26/30</f>
        <v>0</v>
      </c>
      <c r="BA28" s="31">
        <f>BA27*PV!$C$26/30</f>
        <v>0</v>
      </c>
      <c r="BB28" s="31">
        <f>BB27*PV!$C$26/30</f>
        <v>0</v>
      </c>
      <c r="BC28" s="31">
        <f>BC27*PV!$C$26/30</f>
        <v>0</v>
      </c>
      <c r="BD28" s="31">
        <f>BD27*PV!$C$26/30</f>
        <v>0</v>
      </c>
      <c r="BE28" s="31">
        <f>BE27*PV!$C$26/30</f>
        <v>0</v>
      </c>
      <c r="BF28" s="8">
        <f>SUM(AL28:BE28)</f>
        <v>0</v>
      </c>
      <c r="BP28" s="389"/>
      <c r="BQ28" s="235" t="s">
        <v>291</v>
      </c>
      <c r="BR28" s="231">
        <f>AMD!AU$46-AMD!AU$36-AMD!AU$35</f>
        <v>0</v>
      </c>
      <c r="BS28" s="231">
        <f>AMD!AV$46-AMD!AV$36-AMD!AV$35</f>
        <v>0</v>
      </c>
      <c r="BT28" s="231">
        <f>AMD!AW$46-AMD!AW$36-AMD!AW$35</f>
        <v>0</v>
      </c>
      <c r="BU28" s="231">
        <f>AMD!AX$46-AMD!AX$36-AMD!AX$35</f>
        <v>0</v>
      </c>
      <c r="BV28" s="231">
        <f>AMD!AY$46-AMD!AY$36-AMD!AY$35</f>
        <v>0</v>
      </c>
      <c r="BW28" s="231">
        <f>AMD!AZ$46-AMD!AZ$36-AMD!AZ$35</f>
        <v>0</v>
      </c>
      <c r="BX28" s="231">
        <f>AMD!BA$46-AMD!BA$36-AMD!BA$35</f>
        <v>0</v>
      </c>
      <c r="BY28" s="231">
        <f>AMD!BB$46-AMD!BB$36-AMD!BB$35</f>
        <v>0</v>
      </c>
      <c r="BZ28" s="231">
        <f>AMD!BC$46-AMD!BC$36-AMD!BC$35</f>
        <v>0</v>
      </c>
      <c r="CA28" s="231">
        <f>AMD!BD$46-AMD!BD$36-AMD!BD$35</f>
        <v>0</v>
      </c>
      <c r="CB28" s="231">
        <f>AMD!BE$46-AMD!BE$36-AMD!BE$35</f>
        <v>0</v>
      </c>
      <c r="CC28" s="231">
        <f>AMD!BF$46-AMD!BF$36-AMD!BF$35</f>
        <v>0</v>
      </c>
      <c r="CD28" s="231">
        <f>AMD!BG$46-AMD!BG$36-AMD!BG$35</f>
        <v>0</v>
      </c>
      <c r="CE28" s="231">
        <f>AMD!BH$46-AMD!BH$36-AMD!BH$35</f>
        <v>0</v>
      </c>
      <c r="CF28" s="231">
        <f>AMD!BI$46-AMD!BI$36-AMD!BI$35</f>
        <v>0</v>
      </c>
      <c r="CG28" s="231">
        <f>AMD!BJ$46-AMD!BJ$36-AMD!BJ$35</f>
        <v>0</v>
      </c>
      <c r="CH28" s="231">
        <f>AMD!BK$46-AMD!BK$36-AMD!BK$35</f>
        <v>0</v>
      </c>
      <c r="CI28" s="231">
        <f>AMD!BL$46-AMD!BL$36-AMD!BL$35</f>
        <v>0</v>
      </c>
      <c r="CJ28" s="231">
        <f>AMD!BM$46-AMD!BM$36-AMD!BM$35</f>
        <v>0</v>
      </c>
      <c r="CK28" s="236">
        <f>AMD!BN$46-AMD!BN$36-AMD!BN$35</f>
        <v>0</v>
      </c>
      <c r="CL28" s="8"/>
      <c r="CM28" s="8"/>
    </row>
    <row r="29" spans="1:92" ht="15" thickBot="1">
      <c r="R29" s="87" t="s">
        <v>208</v>
      </c>
      <c r="AI29" s="87" t="s">
        <v>208</v>
      </c>
      <c r="AK29" t="s">
        <v>204</v>
      </c>
      <c r="AL29" s="85">
        <f>IF($AQ$5="Yes",MAX(0,0+IF(AL28&gt;BR20,AL28-BR20,0)-IF(AND(BR20&gt;=$CM$20,BR20&gt;AL28),MIN(0,BR20-AL28),0)),0)</f>
        <v>0</v>
      </c>
      <c r="AM29" s="85">
        <f>IF($AQ$5="Yes",
    MAX(0,
        AL29 +
        IF(OR(AM28 &gt; BS20, AND($AQ$6="Yes", BS20 &lt;= $CN$20)), IF(AND($AQ$6="Yes", BS20 &lt;= $CN$20), $AP$4, AM28 - BS20), 0) -
        IF(AND($AQ$6="Yes", BS20 &gt;= $CM$20, BS20 &gt; AM28), MIN(AL29, BS20 - AM28), IF(AND($AQ$6="No", BS20 &gt; AM28), MIN(AL29, BS20 - AM28), 0))
    ),
    0)</f>
        <v>0</v>
      </c>
      <c r="AN29" s="85">
        <f t="shared" ref="AN29:BE29" si="103">IF($AQ$5="Yes",
    MAX(0,
        AM29 +
        IF(OR(AN28 &gt; BT20, AND($AQ$6="Yes", BT20 &lt;= $CN$20)), IF(AND($AQ$6="Yes", BT20 &lt;= $CN$20), $AP$4, AN28 - BT20), 0) -
        IF(AND($AQ$6="Yes", BT20 &gt;= $CM$20, BT20 &gt; AN28), MIN(AM29, BT20 - AN28), IF(AND($AQ$6="No", BT20 &gt; AN28), MIN(AM29, BT20 - AN28), 0))
    ),
    0)</f>
        <v>0</v>
      </c>
      <c r="AO29" s="85">
        <f t="shared" si="103"/>
        <v>0</v>
      </c>
      <c r="AP29" s="85">
        <f t="shared" si="103"/>
        <v>0</v>
      </c>
      <c r="AQ29" s="85">
        <f t="shared" si="103"/>
        <v>0</v>
      </c>
      <c r="AR29" s="85">
        <f t="shared" si="103"/>
        <v>0</v>
      </c>
      <c r="AS29" s="85">
        <f t="shared" si="103"/>
        <v>0</v>
      </c>
      <c r="AT29" s="85">
        <f t="shared" si="103"/>
        <v>0</v>
      </c>
      <c r="AU29" s="85">
        <f t="shared" si="103"/>
        <v>0</v>
      </c>
      <c r="AV29" s="85">
        <f t="shared" si="103"/>
        <v>0</v>
      </c>
      <c r="AW29" s="85">
        <f t="shared" si="103"/>
        <v>0</v>
      </c>
      <c r="AX29" s="85">
        <f t="shared" si="103"/>
        <v>0</v>
      </c>
      <c r="AY29" s="85">
        <f t="shared" si="103"/>
        <v>0</v>
      </c>
      <c r="AZ29" s="85">
        <f t="shared" si="103"/>
        <v>0</v>
      </c>
      <c r="BA29" s="85">
        <f t="shared" si="103"/>
        <v>0</v>
      </c>
      <c r="BB29" s="85">
        <f t="shared" si="103"/>
        <v>0</v>
      </c>
      <c r="BC29" s="85">
        <f t="shared" si="103"/>
        <v>0</v>
      </c>
      <c r="BD29" s="85">
        <f t="shared" si="103"/>
        <v>0</v>
      </c>
      <c r="BE29" s="85">
        <f t="shared" si="103"/>
        <v>0</v>
      </c>
      <c r="BF29" s="8">
        <f>SUM(AL29:BE29)</f>
        <v>0</v>
      </c>
      <c r="BP29" s="389"/>
      <c r="BQ29" s="239" t="s">
        <v>304</v>
      </c>
      <c r="BR29" s="237">
        <f>BR27+BR28</f>
        <v>0</v>
      </c>
      <c r="BS29" s="237">
        <f t="shared" ref="BS29" si="104">BS27+BS28</f>
        <v>0</v>
      </c>
      <c r="BT29" s="237">
        <f t="shared" ref="BT29" si="105">BT27+BT28</f>
        <v>0</v>
      </c>
      <c r="BU29" s="237">
        <f t="shared" ref="BU29" si="106">BU27+BU28</f>
        <v>0</v>
      </c>
      <c r="BV29" s="237">
        <f t="shared" ref="BV29" si="107">BV27+BV28</f>
        <v>0</v>
      </c>
      <c r="BW29" s="237">
        <f t="shared" ref="BW29" si="108">BW27+BW28</f>
        <v>0</v>
      </c>
      <c r="BX29" s="237">
        <f t="shared" ref="BX29" si="109">BX27+BX28</f>
        <v>0</v>
      </c>
      <c r="BY29" s="237">
        <f t="shared" ref="BY29" si="110">BY27+BY28</f>
        <v>0</v>
      </c>
      <c r="BZ29" s="237">
        <f t="shared" ref="BZ29" si="111">BZ27+BZ28</f>
        <v>0</v>
      </c>
      <c r="CA29" s="237">
        <f t="shared" ref="CA29" si="112">CA27+CA28</f>
        <v>0</v>
      </c>
      <c r="CB29" s="237">
        <f t="shared" ref="CB29" si="113">CB27+CB28</f>
        <v>0</v>
      </c>
      <c r="CC29" s="237">
        <f t="shared" ref="CC29" si="114">CC27+CC28</f>
        <v>0</v>
      </c>
      <c r="CD29" s="237">
        <f t="shared" ref="CD29" si="115">CD27+CD28</f>
        <v>0</v>
      </c>
      <c r="CE29" s="237">
        <f t="shared" ref="CE29" si="116">CE27+CE28</f>
        <v>0</v>
      </c>
      <c r="CF29" s="237">
        <f t="shared" ref="CF29" si="117">CF27+CF28</f>
        <v>0</v>
      </c>
      <c r="CG29" s="237">
        <f t="shared" ref="CG29" si="118">CG27+CG28</f>
        <v>0</v>
      </c>
      <c r="CH29" s="237">
        <f t="shared" ref="CH29" si="119">CH27+CH28</f>
        <v>0</v>
      </c>
      <c r="CI29" s="237">
        <f t="shared" ref="CI29" si="120">CI27+CI28</f>
        <v>0</v>
      </c>
      <c r="CJ29" s="237">
        <f t="shared" ref="CJ29" si="121">CJ27+CJ28</f>
        <v>0</v>
      </c>
      <c r="CK29" s="238">
        <f t="shared" ref="CK29" si="122">CK27+CK28</f>
        <v>0</v>
      </c>
      <c r="CL29" s="8">
        <f t="shared" si="2"/>
        <v>0</v>
      </c>
      <c r="CM29" s="8">
        <f>_xlfn.PERCENTILE.EXC(BR29:CK29, $CM$10)</f>
        <v>0</v>
      </c>
      <c r="CN29" s="8">
        <f>_xlfn.PERCENTILE.EXC(BR29:CK29, $CN$10)</f>
        <v>0</v>
      </c>
    </row>
    <row r="30" spans="1:92">
      <c r="R30" s="85">
        <f>BF24</f>
        <v>0</v>
      </c>
      <c r="AI30" s="85">
        <f>BF60</f>
        <v>0</v>
      </c>
      <c r="AK30" t="s">
        <v>205</v>
      </c>
      <c r="AL30" s="85">
        <f>MAX(0,
    BR20 - AL28 +
    IF(AND($AQ$6="Yes", BR20 &lt;= $CN$20), $AP$4, 0) -
    IF(AND($AQ$5="Yes", AL29 &gt; 0, OR(AND($AQ$6="Yes", BR20 &gt;= $CM$20), $AQ$6="No", BR20 &gt; AL28)), MIN(AL29, BR20 - AL28), 0)
)</f>
        <v>0</v>
      </c>
      <c r="AM30" s="85">
        <f t="shared" ref="AM30:BE30" si="123">MAX(0,
    BS20 - AM28 +
    IF(AND($AQ$6="Yes", BS20 &lt;= $CN$20), $AP$4, 0) -
    IF(AND($AQ$5="Yes", AM29 &gt; 0, OR(AND($AQ$6="Yes", BS20 &gt;= $CM$20), $AQ$6="No", BS20 &gt; AM28)), MIN(AM29, BS20 - AM28), 0)
)</f>
        <v>0</v>
      </c>
      <c r="AN30" s="85">
        <f t="shared" si="123"/>
        <v>0</v>
      </c>
      <c r="AO30" s="85">
        <f t="shared" si="123"/>
        <v>0</v>
      </c>
      <c r="AP30" s="85">
        <f t="shared" si="123"/>
        <v>0</v>
      </c>
      <c r="AQ30" s="85">
        <f t="shared" si="123"/>
        <v>0</v>
      </c>
      <c r="AR30" s="85">
        <f t="shared" si="123"/>
        <v>0</v>
      </c>
      <c r="AS30" s="85">
        <f t="shared" si="123"/>
        <v>0</v>
      </c>
      <c r="AT30" s="85">
        <f t="shared" si="123"/>
        <v>0</v>
      </c>
      <c r="AU30" s="85">
        <f t="shared" si="123"/>
        <v>0</v>
      </c>
      <c r="AV30" s="85">
        <f t="shared" si="123"/>
        <v>0</v>
      </c>
      <c r="AW30" s="85">
        <f t="shared" si="123"/>
        <v>0</v>
      </c>
      <c r="AX30" s="85">
        <f t="shared" si="123"/>
        <v>0</v>
      </c>
      <c r="AY30" s="85">
        <f t="shared" si="123"/>
        <v>0</v>
      </c>
      <c r="AZ30" s="85">
        <f t="shared" si="123"/>
        <v>0</v>
      </c>
      <c r="BA30" s="85">
        <f t="shared" si="123"/>
        <v>0</v>
      </c>
      <c r="BB30" s="85">
        <f t="shared" si="123"/>
        <v>0</v>
      </c>
      <c r="BC30" s="85">
        <f t="shared" si="123"/>
        <v>0</v>
      </c>
      <c r="BD30" s="85">
        <f t="shared" si="123"/>
        <v>0</v>
      </c>
      <c r="BE30" s="85">
        <f t="shared" si="123"/>
        <v>0</v>
      </c>
      <c r="BF30" s="8">
        <f>SUM(AL30:BE30)</f>
        <v>0</v>
      </c>
      <c r="BG30" s="8">
        <f>CL20</f>
        <v>0</v>
      </c>
      <c r="BP30" s="389" t="s">
        <v>99</v>
      </c>
      <c r="BQ30" s="232" t="s">
        <v>305</v>
      </c>
      <c r="BR30" s="233">
        <f>DD!AG35</f>
        <v>0</v>
      </c>
      <c r="BS30" s="233">
        <f>DD!AH35</f>
        <v>0</v>
      </c>
      <c r="BT30" s="233">
        <f>DD!AI35</f>
        <v>0</v>
      </c>
      <c r="BU30" s="233">
        <f>DD!AJ35</f>
        <v>0</v>
      </c>
      <c r="BV30" s="233">
        <f>DD!AK35</f>
        <v>0</v>
      </c>
      <c r="BW30" s="233">
        <f>DD!AL35</f>
        <v>0</v>
      </c>
      <c r="BX30" s="233">
        <f>DD!AM35</f>
        <v>0</v>
      </c>
      <c r="BY30" s="233">
        <f>DD!AN35</f>
        <v>0</v>
      </c>
      <c r="BZ30" s="233">
        <f>DD!AO35</f>
        <v>0</v>
      </c>
      <c r="CA30" s="233">
        <f>DD!AP35</f>
        <v>0</v>
      </c>
      <c r="CB30" s="233">
        <f>DD!AQ35</f>
        <v>0</v>
      </c>
      <c r="CC30" s="233">
        <f>DD!AR35</f>
        <v>0</v>
      </c>
      <c r="CD30" s="233">
        <f>DD!AS35</f>
        <v>0</v>
      </c>
      <c r="CE30" s="233">
        <f>DD!AT35</f>
        <v>0</v>
      </c>
      <c r="CF30" s="233">
        <f>DD!AU35</f>
        <v>0</v>
      </c>
      <c r="CG30" s="233">
        <f>DD!AV35</f>
        <v>0</v>
      </c>
      <c r="CH30" s="233">
        <f>DD!AW35</f>
        <v>0</v>
      </c>
      <c r="CI30" s="233">
        <f>DD!AX35</f>
        <v>0</v>
      </c>
      <c r="CJ30" s="233">
        <f>DD!AY35</f>
        <v>0</v>
      </c>
      <c r="CK30" s="234">
        <f>DD!AZ35</f>
        <v>0</v>
      </c>
      <c r="CL30" s="8"/>
      <c r="CM30" s="8"/>
    </row>
    <row r="31" spans="1:92" ht="15" thickBot="1">
      <c r="R31" s="87" t="s">
        <v>209</v>
      </c>
      <c r="AI31" s="87" t="s">
        <v>209</v>
      </c>
      <c r="AL31" s="53" t="s">
        <v>96</v>
      </c>
      <c r="AM31" s="53"/>
      <c r="AN31" s="53"/>
      <c r="AO31" s="53"/>
      <c r="AP31" s="53"/>
      <c r="AQ31" s="53"/>
      <c r="AR31" s="53"/>
      <c r="AS31" s="53"/>
      <c r="AT31" s="53"/>
      <c r="AU31" s="53"/>
      <c r="AV31" s="53"/>
      <c r="AW31" s="53"/>
      <c r="AX31" s="53"/>
      <c r="AY31" s="53"/>
      <c r="AZ31" s="53"/>
      <c r="BA31" s="53"/>
      <c r="BB31" s="53"/>
      <c r="BC31" s="53"/>
      <c r="BD31" s="53"/>
      <c r="BE31" s="53"/>
      <c r="BP31" s="389"/>
      <c r="BQ31" s="235" t="s">
        <v>291</v>
      </c>
      <c r="BR31" s="231">
        <f>AMD!AU$46-AMD!AU$36-AMD!AU$35</f>
        <v>0</v>
      </c>
      <c r="BS31" s="231">
        <f>AMD!AV$46-AMD!AV$36-AMD!AV$35</f>
        <v>0</v>
      </c>
      <c r="BT31" s="231">
        <f>AMD!AW$46-AMD!AW$36-AMD!AW$35</f>
        <v>0</v>
      </c>
      <c r="BU31" s="231">
        <f>AMD!AX$46-AMD!AX$36-AMD!AX$35</f>
        <v>0</v>
      </c>
      <c r="BV31" s="231">
        <f>AMD!AY$46-AMD!AY$36-AMD!AY$35</f>
        <v>0</v>
      </c>
      <c r="BW31" s="231">
        <f>AMD!AZ$46-AMD!AZ$36-AMD!AZ$35</f>
        <v>0</v>
      </c>
      <c r="BX31" s="231">
        <f>AMD!BA$46-AMD!BA$36-AMD!BA$35</f>
        <v>0</v>
      </c>
      <c r="BY31" s="231">
        <f>AMD!BB$46-AMD!BB$36-AMD!BB$35</f>
        <v>0</v>
      </c>
      <c r="BZ31" s="231">
        <f>AMD!BC$46-AMD!BC$36-AMD!BC$35</f>
        <v>0</v>
      </c>
      <c r="CA31" s="231">
        <f>AMD!BD$46-AMD!BD$36-AMD!BD$35</f>
        <v>0</v>
      </c>
      <c r="CB31" s="231">
        <f>AMD!BE$46-AMD!BE$36-AMD!BE$35</f>
        <v>0</v>
      </c>
      <c r="CC31" s="231">
        <f>AMD!BF$46-AMD!BF$36-AMD!BF$35</f>
        <v>0</v>
      </c>
      <c r="CD31" s="231">
        <f>AMD!BG$46-AMD!BG$36-AMD!BG$35</f>
        <v>0</v>
      </c>
      <c r="CE31" s="231">
        <f>AMD!BH$46-AMD!BH$36-AMD!BH$35</f>
        <v>0</v>
      </c>
      <c r="CF31" s="231">
        <f>AMD!BI$46-AMD!BI$36-AMD!BI$35</f>
        <v>0</v>
      </c>
      <c r="CG31" s="231">
        <f>AMD!BJ$46-AMD!BJ$36-AMD!BJ$35</f>
        <v>0</v>
      </c>
      <c r="CH31" s="231">
        <f>AMD!BK$46-AMD!BK$36-AMD!BK$35</f>
        <v>0</v>
      </c>
      <c r="CI31" s="231">
        <f>AMD!BL$46-AMD!BL$36-AMD!BL$35</f>
        <v>0</v>
      </c>
      <c r="CJ31" s="231">
        <f>AMD!BM$46-AMD!BM$36-AMD!BM$35</f>
        <v>0</v>
      </c>
      <c r="CK31" s="236">
        <f>AMD!BN$46-AMD!BN$36-AMD!BN$35</f>
        <v>0</v>
      </c>
      <c r="CL31" s="8"/>
      <c r="CM31" s="8"/>
    </row>
    <row r="32" spans="1:92" ht="15" thickBot="1">
      <c r="R32" s="86" t="e">
        <f>(R28-R30)/R28</f>
        <v>#DIV/0!</v>
      </c>
      <c r="AI32" s="86" t="e">
        <f>(AI28-AI30)/AI28</f>
        <v>#DIV/0!</v>
      </c>
      <c r="AL32" s="43">
        <v>0.20833333333333334</v>
      </c>
      <c r="AM32" s="43">
        <v>0.25</v>
      </c>
      <c r="AN32" s="43">
        <v>0.29166666666666702</v>
      </c>
      <c r="AO32" s="43">
        <v>0.33333333333333298</v>
      </c>
      <c r="AP32" s="43">
        <v>0.375</v>
      </c>
      <c r="AQ32" s="43">
        <v>0.41666666666666702</v>
      </c>
      <c r="AR32" s="43">
        <v>0.45833333333333298</v>
      </c>
      <c r="AS32" s="43">
        <v>0.5</v>
      </c>
      <c r="AT32" s="43">
        <v>0.54166666666666696</v>
      </c>
      <c r="AU32" s="43">
        <v>0.58333333333333304</v>
      </c>
      <c r="AV32" s="43">
        <v>0.625</v>
      </c>
      <c r="AW32" s="43">
        <v>0.66666666666666696</v>
      </c>
      <c r="AX32" s="43">
        <v>0.70833333333333304</v>
      </c>
      <c r="AY32" s="43">
        <v>0.75</v>
      </c>
      <c r="AZ32" s="43">
        <v>0.79166666666666696</v>
      </c>
      <c r="BA32" s="43">
        <v>0.83333333333333304</v>
      </c>
      <c r="BB32" s="43">
        <v>0.875</v>
      </c>
      <c r="BC32" s="43">
        <v>0.91666666666666696</v>
      </c>
      <c r="BD32" s="43">
        <v>0.95833333333333304</v>
      </c>
      <c r="BE32" s="43">
        <v>1</v>
      </c>
      <c r="BI32" t="s">
        <v>327</v>
      </c>
      <c r="BP32" s="389"/>
      <c r="BQ32" s="239" t="s">
        <v>306</v>
      </c>
      <c r="BR32" s="237">
        <f>BR30+BR31</f>
        <v>0</v>
      </c>
      <c r="BS32" s="237">
        <f t="shared" ref="BS32" si="124">BS30+BS31</f>
        <v>0</v>
      </c>
      <c r="BT32" s="237">
        <f t="shared" ref="BT32" si="125">BT30+BT31</f>
        <v>0</v>
      </c>
      <c r="BU32" s="237">
        <f t="shared" ref="BU32" si="126">BU30+BU31</f>
        <v>0</v>
      </c>
      <c r="BV32" s="237">
        <f t="shared" ref="BV32" si="127">BV30+BV31</f>
        <v>0</v>
      </c>
      <c r="BW32" s="237">
        <f t="shared" ref="BW32" si="128">BW30+BW31</f>
        <v>0</v>
      </c>
      <c r="BX32" s="237">
        <f t="shared" ref="BX32" si="129">BX30+BX31</f>
        <v>0</v>
      </c>
      <c r="BY32" s="237">
        <f t="shared" ref="BY32" si="130">BY30+BY31</f>
        <v>0</v>
      </c>
      <c r="BZ32" s="237">
        <f t="shared" ref="BZ32" si="131">BZ30+BZ31</f>
        <v>0</v>
      </c>
      <c r="CA32" s="237">
        <f t="shared" ref="CA32" si="132">CA30+CA31</f>
        <v>0</v>
      </c>
      <c r="CB32" s="237">
        <f t="shared" ref="CB32" si="133">CB30+CB31</f>
        <v>0</v>
      </c>
      <c r="CC32" s="237">
        <f t="shared" ref="CC32" si="134">CC30+CC31</f>
        <v>0</v>
      </c>
      <c r="CD32" s="237">
        <f t="shared" ref="CD32" si="135">CD30+CD31</f>
        <v>0</v>
      </c>
      <c r="CE32" s="237">
        <f t="shared" ref="CE32" si="136">CE30+CE31</f>
        <v>0</v>
      </c>
      <c r="CF32" s="237">
        <f t="shared" ref="CF32" si="137">CF30+CF31</f>
        <v>0</v>
      </c>
      <c r="CG32" s="237">
        <f t="shared" ref="CG32" si="138">CG30+CG31</f>
        <v>0</v>
      </c>
      <c r="CH32" s="237">
        <f t="shared" ref="CH32" si="139">CH30+CH31</f>
        <v>0</v>
      </c>
      <c r="CI32" s="237">
        <f t="shared" ref="CI32" si="140">CI30+CI31</f>
        <v>0</v>
      </c>
      <c r="CJ32" s="237">
        <f t="shared" ref="CJ32" si="141">CJ30+CJ31</f>
        <v>0</v>
      </c>
      <c r="CK32" s="238">
        <f t="shared" ref="CK32" si="142">CK30+CK31</f>
        <v>0</v>
      </c>
      <c r="CL32" s="8">
        <f t="shared" si="2"/>
        <v>0</v>
      </c>
      <c r="CM32" s="8">
        <f>_xlfn.PERCENTILE.EXC(BR32:CK32, $CM$10)</f>
        <v>0</v>
      </c>
      <c r="CN32" s="8">
        <f>_xlfn.PERCENTILE.EXC(BR32:CK32, $CN$10)</f>
        <v>0</v>
      </c>
    </row>
    <row r="33" spans="18:92">
      <c r="AI33" s="31"/>
      <c r="AK33" t="s">
        <v>199</v>
      </c>
      <c r="AL33" s="81">
        <f>GETPIVOTDATA("% of",PV!$AT$3,"Month","May","Time",5)</f>
        <v>3.9061396738170515E-3</v>
      </c>
      <c r="AM33" s="81">
        <f>GETPIVOTDATA("% of",PV!$AT$3,"Month","May","Time",6)</f>
        <v>1.6798034083584747E-2</v>
      </c>
      <c r="AN33" s="81">
        <f>GETPIVOTDATA("% of",PV!$AT$3,"Month","May","Time",7)</f>
        <v>4.8167924064602588E-2</v>
      </c>
      <c r="AO33" s="81">
        <f>GETPIVOTDATA("% of",PV!$AT$3,"Month","May","Time",8)</f>
        <v>7.8873951214056104E-2</v>
      </c>
      <c r="AP33" s="81">
        <f>GETPIVOTDATA("% of",PV!$AT$3,"Month","May","Time",9)</f>
        <v>0.1055537335451736</v>
      </c>
      <c r="AQ33" s="81">
        <f>GETPIVOTDATA("% of",PV!$AT$3,"Month","May","Time",10)</f>
        <v>0.11575072705942564</v>
      </c>
      <c r="AR33" s="81">
        <f>GETPIVOTDATA("% of",PV!$AT$3,"Month","May","Time",11)</f>
        <v>0.12409007794504209</v>
      </c>
      <c r="AS33" s="81">
        <f>GETPIVOTDATA("% of",PV!$AT$3,"Month","May","Time",12)</f>
        <v>0.11896209061499315</v>
      </c>
      <c r="AT33" s="81">
        <f>GETPIVOTDATA("% of",PV!$AT$3,"Month","May","Time",13)</f>
        <v>0.11314168079193096</v>
      </c>
      <c r="AU33" s="81">
        <f>GETPIVOTDATA("% of",PV!$AT$3,"Month","May","Time",14)</f>
        <v>9.7776266773795251E-2</v>
      </c>
      <c r="AV33" s="81">
        <f>GETPIVOTDATA("% of",PV!$AT$3,"Month","May","Time",15)</f>
        <v>8.231080611875119E-2</v>
      </c>
      <c r="AW33" s="81">
        <f>GETPIVOTDATA("% of",PV!$AT$3,"Month","May","Time",16)</f>
        <v>5.8644401793476492E-2</v>
      </c>
      <c r="AX33" s="81">
        <f>GETPIVOTDATA("% of",PV!$AT$3,"Month","May","Time",17)</f>
        <v>2.849853745025244E-2</v>
      </c>
      <c r="AY33" s="81">
        <f>GETPIVOTDATA("% of",PV!$AT$3,"Month","May","Time",18)</f>
        <v>6.8373866975349872E-3</v>
      </c>
      <c r="AZ33" s="81">
        <f>GETPIVOTDATA("% of",PV!$AT$3,"Month","May","Time",19)</f>
        <v>6.8824217356377212E-4</v>
      </c>
      <c r="BA33" s="81">
        <f>GETPIVOTDATA("% of",PV!$AT$3,"Month","May","Time",20)</f>
        <v>0</v>
      </c>
      <c r="BB33" s="81">
        <f>GETPIVOTDATA("% of",PV!$AT$3,"Month","May","Time",21)</f>
        <v>0</v>
      </c>
      <c r="BC33" s="81">
        <f>GETPIVOTDATA("% of",PV!$AT$3,"Month","May","Time",22)</f>
        <v>0</v>
      </c>
      <c r="BD33" s="81">
        <f>GETPIVOTDATA("% of",PV!$AT$3,"Month","May","Time",23)</f>
        <v>0</v>
      </c>
      <c r="BE33" s="81">
        <f>GETPIVOTDATA("% of",PV!$AT$3,"Month","May","Time",24)</f>
        <v>0</v>
      </c>
      <c r="BP33" s="389" t="s">
        <v>100</v>
      </c>
      <c r="BQ33" s="232" t="s">
        <v>307</v>
      </c>
      <c r="BR33" s="233">
        <f>DD!AG36</f>
        <v>0</v>
      </c>
      <c r="BS33" s="233">
        <f>DD!AH36</f>
        <v>0</v>
      </c>
      <c r="BT33" s="233">
        <f>DD!AI36</f>
        <v>0</v>
      </c>
      <c r="BU33" s="233">
        <f>DD!AJ36</f>
        <v>0</v>
      </c>
      <c r="BV33" s="233">
        <f>DD!AK36</f>
        <v>0</v>
      </c>
      <c r="BW33" s="233">
        <f>DD!AL36</f>
        <v>0</v>
      </c>
      <c r="BX33" s="233">
        <f>DD!AM36</f>
        <v>0</v>
      </c>
      <c r="BY33" s="233">
        <f>DD!AN36</f>
        <v>0</v>
      </c>
      <c r="BZ33" s="233">
        <f>DD!AO36</f>
        <v>0</v>
      </c>
      <c r="CA33" s="233">
        <f>DD!AP36</f>
        <v>0</v>
      </c>
      <c r="CB33" s="233">
        <f>DD!AQ36</f>
        <v>0</v>
      </c>
      <c r="CC33" s="233">
        <f>DD!AR36</f>
        <v>0</v>
      </c>
      <c r="CD33" s="233">
        <f>DD!AS36</f>
        <v>0</v>
      </c>
      <c r="CE33" s="233">
        <f>DD!AT36</f>
        <v>0</v>
      </c>
      <c r="CF33" s="233">
        <f>DD!AU36</f>
        <v>0</v>
      </c>
      <c r="CG33" s="233">
        <f>DD!AV36</f>
        <v>0</v>
      </c>
      <c r="CH33" s="233">
        <f>DD!AW36</f>
        <v>0</v>
      </c>
      <c r="CI33" s="233">
        <f>DD!AX36</f>
        <v>0</v>
      </c>
      <c r="CJ33" s="233">
        <f>DD!AY36</f>
        <v>0</v>
      </c>
      <c r="CK33" s="234">
        <f>DD!AZ36</f>
        <v>0</v>
      </c>
      <c r="CL33" s="8"/>
      <c r="CM33" s="8"/>
    </row>
    <row r="34" spans="18:92" ht="15" thickBot="1">
      <c r="AI34" s="31"/>
      <c r="AK34" t="s">
        <v>203</v>
      </c>
      <c r="AL34" s="31">
        <f>AL33*PV!$C$27/31</f>
        <v>0</v>
      </c>
      <c r="AM34" s="31">
        <f>AM33*PV!$C$27/31</f>
        <v>0</v>
      </c>
      <c r="AN34" s="31">
        <f>AN33*PV!$C$27/31</f>
        <v>0</v>
      </c>
      <c r="AO34" s="31">
        <f>AO33*PV!$C$27/31</f>
        <v>0</v>
      </c>
      <c r="AP34" s="31">
        <f>AP33*PV!$C$27/31</f>
        <v>0</v>
      </c>
      <c r="AQ34" s="31">
        <f>AQ33*PV!$C$27/31</f>
        <v>0</v>
      </c>
      <c r="AR34" s="31">
        <f>AR33*PV!$C$27/31</f>
        <v>0</v>
      </c>
      <c r="AS34" s="31">
        <f>AS33*PV!$C$27/31</f>
        <v>0</v>
      </c>
      <c r="AT34" s="31">
        <f>AT33*PV!$C$27/31</f>
        <v>0</v>
      </c>
      <c r="AU34" s="31">
        <f>AU33*PV!$C$27/31</f>
        <v>0</v>
      </c>
      <c r="AV34" s="31">
        <f>AV33*PV!$C$27/31</f>
        <v>0</v>
      </c>
      <c r="AW34" s="31">
        <f>AW33*PV!$C$27/31</f>
        <v>0</v>
      </c>
      <c r="AX34" s="31">
        <f>AX33*PV!$C$27/31</f>
        <v>0</v>
      </c>
      <c r="AY34" s="31">
        <f>AY33*PV!$C$27/31</f>
        <v>0</v>
      </c>
      <c r="AZ34" s="31">
        <f>AZ33*PV!$C$27/31</f>
        <v>0</v>
      </c>
      <c r="BA34" s="31">
        <f>BA33*PV!$C$27/31</f>
        <v>0</v>
      </c>
      <c r="BB34" s="31">
        <f>BB33*PV!$C$27/31</f>
        <v>0</v>
      </c>
      <c r="BC34" s="31">
        <f>BC33*PV!$C$27/31</f>
        <v>0</v>
      </c>
      <c r="BD34" s="31">
        <f>BD33*PV!$C$27/31</f>
        <v>0</v>
      </c>
      <c r="BE34" s="31">
        <f>BE33*PV!$C$27/31</f>
        <v>0</v>
      </c>
      <c r="BF34" s="8">
        <f>SUM(AL34:BE34)</f>
        <v>0</v>
      </c>
      <c r="BP34" s="389"/>
      <c r="BQ34" s="235" t="s">
        <v>291</v>
      </c>
      <c r="BR34" s="231">
        <f>AMD!AU$46-AMD!AU$36-AMD!AU$35</f>
        <v>0</v>
      </c>
      <c r="BS34" s="231">
        <f>AMD!AV$46-AMD!AV$36-AMD!AV$35</f>
        <v>0</v>
      </c>
      <c r="BT34" s="231">
        <f>AMD!AW$46-AMD!AW$36-AMD!AW$35</f>
        <v>0</v>
      </c>
      <c r="BU34" s="231">
        <f>AMD!AX$46-AMD!AX$36-AMD!AX$35</f>
        <v>0</v>
      </c>
      <c r="BV34" s="231">
        <f>AMD!AY$46-AMD!AY$36-AMD!AY$35</f>
        <v>0</v>
      </c>
      <c r="BW34" s="231">
        <f>AMD!AZ$46-AMD!AZ$36-AMD!AZ$35</f>
        <v>0</v>
      </c>
      <c r="BX34" s="231">
        <f>AMD!BA$46-AMD!BA$36-AMD!BA$35</f>
        <v>0</v>
      </c>
      <c r="BY34" s="231">
        <f>AMD!BB$46-AMD!BB$36-AMD!BB$35</f>
        <v>0</v>
      </c>
      <c r="BZ34" s="231">
        <f>AMD!BC$46-AMD!BC$36-AMD!BC$35</f>
        <v>0</v>
      </c>
      <c r="CA34" s="231">
        <f>AMD!BD$46-AMD!BD$36-AMD!BD$35</f>
        <v>0</v>
      </c>
      <c r="CB34" s="231">
        <f>AMD!BE$46-AMD!BE$36-AMD!BE$35</f>
        <v>0</v>
      </c>
      <c r="CC34" s="231">
        <f>AMD!BF$46-AMD!BF$36-AMD!BF$35</f>
        <v>0</v>
      </c>
      <c r="CD34" s="231">
        <f>AMD!BG$46-AMD!BG$36-AMD!BG$35</f>
        <v>0</v>
      </c>
      <c r="CE34" s="231">
        <f>AMD!BH$46-AMD!BH$36-AMD!BH$35</f>
        <v>0</v>
      </c>
      <c r="CF34" s="231">
        <f>AMD!BI$46-AMD!BI$36-AMD!BI$35</f>
        <v>0</v>
      </c>
      <c r="CG34" s="231">
        <f>AMD!BJ$46-AMD!BJ$36-AMD!BJ$35</f>
        <v>0</v>
      </c>
      <c r="CH34" s="231">
        <f>AMD!BK$46-AMD!BK$36-AMD!BK$35</f>
        <v>0</v>
      </c>
      <c r="CI34" s="231">
        <f>AMD!BL$46-AMD!BL$36-AMD!BL$35</f>
        <v>0</v>
      </c>
      <c r="CJ34" s="231">
        <f>AMD!BM$46-AMD!BM$36-AMD!BM$35</f>
        <v>0</v>
      </c>
      <c r="CK34" s="236">
        <f>AMD!BN$46-AMD!BN$36-AMD!BN$35</f>
        <v>0</v>
      </c>
      <c r="CL34" s="8"/>
      <c r="CM34" s="8"/>
    </row>
    <row r="35" spans="18:92" ht="15" thickBot="1">
      <c r="AI35" s="31"/>
      <c r="AK35" t="s">
        <v>204</v>
      </c>
      <c r="AL35" s="85">
        <f>IF($AQ$5="Yes",MAX(0,0+IF(AL34&gt;BR23,AL34-BR23,0)-IF(AND(BR23&gt;=$CM$23,BR23&gt;AL34),MIN(0,BR23-AL34),0)),0)</f>
        <v>0</v>
      </c>
      <c r="AM35" s="85">
        <f>IF($AQ$5="Yes",
    MAX(0,
        AL35 +
        IF(OR(AM34 &gt; BS23, AND($AQ$6="Yes", BS23 &lt;= $CN$23)), IF(AND($AQ$6="Yes", BS23 &lt;= $CN$23), $AP$4, AM34 - BS23), 0) -
        IF(AND($AQ$6="Yes", BS23 &gt;= $CM$23, BS23 &gt; AM34), MIN(AL35, BS23 - AM34), IF(AND($AQ$6="No", BS23 &gt; AM34), MIN(AL35, BS23 - AM34), 0))
    ),
    0)</f>
        <v>0</v>
      </c>
      <c r="AN35" s="85">
        <f t="shared" ref="AN35:BE35" si="143">IF($AQ$5="Yes",
    MAX(0,
        AM35 +
        IF(OR(AN34 &gt; BT23, AND($AQ$6="Yes", BT23 &lt;= $CN$23)), IF(AND($AQ$6="Yes", BT23 &lt;= $CN$23), $AP$4, AN34 - BT23), 0) -
        IF(AND($AQ$6="Yes", BT23 &gt;= $CM$23, BT23 &gt; AN34), MIN(AM35, BT23 - AN34), IF(AND($AQ$6="No", BT23 &gt; AN34), MIN(AM35, BT23 - AN34), 0))
    ),
    0)</f>
        <v>0</v>
      </c>
      <c r="AO35" s="85">
        <f t="shared" si="143"/>
        <v>0</v>
      </c>
      <c r="AP35" s="85">
        <f t="shared" si="143"/>
        <v>0</v>
      </c>
      <c r="AQ35" s="85">
        <f t="shared" si="143"/>
        <v>0</v>
      </c>
      <c r="AR35" s="85">
        <f t="shared" si="143"/>
        <v>0</v>
      </c>
      <c r="AS35" s="85">
        <f t="shared" si="143"/>
        <v>0</v>
      </c>
      <c r="AT35" s="85">
        <f t="shared" si="143"/>
        <v>0</v>
      </c>
      <c r="AU35" s="85">
        <f t="shared" si="143"/>
        <v>0</v>
      </c>
      <c r="AV35" s="85">
        <f t="shared" si="143"/>
        <v>0</v>
      </c>
      <c r="AW35" s="85">
        <f t="shared" si="143"/>
        <v>0</v>
      </c>
      <c r="AX35" s="85">
        <f t="shared" si="143"/>
        <v>0</v>
      </c>
      <c r="AY35" s="85">
        <f t="shared" si="143"/>
        <v>0</v>
      </c>
      <c r="AZ35" s="85">
        <f t="shared" si="143"/>
        <v>0</v>
      </c>
      <c r="BA35" s="85">
        <f t="shared" si="143"/>
        <v>0</v>
      </c>
      <c r="BB35" s="85">
        <f t="shared" si="143"/>
        <v>0</v>
      </c>
      <c r="BC35" s="85">
        <f t="shared" si="143"/>
        <v>0</v>
      </c>
      <c r="BD35" s="85">
        <f t="shared" si="143"/>
        <v>0</v>
      </c>
      <c r="BE35" s="85">
        <f t="shared" si="143"/>
        <v>0</v>
      </c>
      <c r="BF35" s="8">
        <f>SUM(AL35:BE35)</f>
        <v>0</v>
      </c>
      <c r="BP35" s="389"/>
      <c r="BQ35" s="239" t="s">
        <v>308</v>
      </c>
      <c r="BR35" s="237">
        <f>BR33+BR34</f>
        <v>0</v>
      </c>
      <c r="BS35" s="237">
        <f t="shared" ref="BS35" si="144">BS33+BS34</f>
        <v>0</v>
      </c>
      <c r="BT35" s="237">
        <f t="shared" ref="BT35" si="145">BT33+BT34</f>
        <v>0</v>
      </c>
      <c r="BU35" s="237">
        <f t="shared" ref="BU35" si="146">BU33+BU34</f>
        <v>0</v>
      </c>
      <c r="BV35" s="237">
        <f t="shared" ref="BV35" si="147">BV33+BV34</f>
        <v>0</v>
      </c>
      <c r="BW35" s="237">
        <f t="shared" ref="BW35" si="148">BW33+BW34</f>
        <v>0</v>
      </c>
      <c r="BX35" s="237">
        <f t="shared" ref="BX35" si="149">BX33+BX34</f>
        <v>0</v>
      </c>
      <c r="BY35" s="237">
        <f t="shared" ref="BY35" si="150">BY33+BY34</f>
        <v>0</v>
      </c>
      <c r="BZ35" s="237">
        <f t="shared" ref="BZ35" si="151">BZ33+BZ34</f>
        <v>0</v>
      </c>
      <c r="CA35" s="237">
        <f t="shared" ref="CA35" si="152">CA33+CA34</f>
        <v>0</v>
      </c>
      <c r="CB35" s="237">
        <f t="shared" ref="CB35" si="153">CB33+CB34</f>
        <v>0</v>
      </c>
      <c r="CC35" s="237">
        <f t="shared" ref="CC35" si="154">CC33+CC34</f>
        <v>0</v>
      </c>
      <c r="CD35" s="237">
        <f t="shared" ref="CD35" si="155">CD33+CD34</f>
        <v>0</v>
      </c>
      <c r="CE35" s="237">
        <f t="shared" ref="CE35" si="156">CE33+CE34</f>
        <v>0</v>
      </c>
      <c r="CF35" s="237">
        <f t="shared" ref="CF35" si="157">CF33+CF34</f>
        <v>0</v>
      </c>
      <c r="CG35" s="237">
        <f t="shared" ref="CG35" si="158">CG33+CG34</f>
        <v>0</v>
      </c>
      <c r="CH35" s="237">
        <f t="shared" ref="CH35" si="159">CH33+CH34</f>
        <v>0</v>
      </c>
      <c r="CI35" s="237">
        <f t="shared" ref="CI35" si="160">CI33+CI34</f>
        <v>0</v>
      </c>
      <c r="CJ35" s="237">
        <f t="shared" ref="CJ35" si="161">CJ33+CJ34</f>
        <v>0</v>
      </c>
      <c r="CK35" s="238">
        <f t="shared" ref="CK35" si="162">CK33+CK34</f>
        <v>0</v>
      </c>
      <c r="CL35" s="8">
        <f t="shared" si="2"/>
        <v>0</v>
      </c>
      <c r="CM35" s="8">
        <f>_xlfn.PERCENTILE.EXC(BR35:CK35, $CM$10)</f>
        <v>0</v>
      </c>
      <c r="CN35" s="8">
        <f>_xlfn.PERCENTILE.EXC(BR35:CK35, $CN$10)</f>
        <v>0</v>
      </c>
    </row>
    <row r="36" spans="18:92">
      <c r="R36" s="87" t="s">
        <v>186</v>
      </c>
      <c r="AI36" s="87" t="s">
        <v>191</v>
      </c>
      <c r="AK36" t="s">
        <v>205</v>
      </c>
      <c r="AL36" s="85">
        <f>MAX(0,
    BR23 - AL34 +
    IF(AND($AQ$6="Yes", BR23 &lt;= $CN$23), $AP$4, 0) -
    IF(AND($AQ$5="Yes", AL35 &gt; 0, OR(AND($AQ$6="Yes", BR23 &gt;= $CM$23), $AQ$6="No", BR23 &gt; AL34)), MIN(AL35, BR23 - AL34), 0)
)</f>
        <v>0</v>
      </c>
      <c r="AM36" s="85">
        <f t="shared" ref="AM36:BE36" si="163">MAX(0,
    BS23 - AM34 +
    IF(AND($AQ$6="Yes", BS23 &lt;= $CN$23), $AP$4, 0) -
    IF(AND($AQ$5="Yes", AM35 &gt; 0, OR(AND($AQ$6="Yes", BS23 &gt;= $CM$23), $AQ$6="No", BS23 &gt; AM34)), MIN(AM35, BS23 - AM34), 0)
)</f>
        <v>0</v>
      </c>
      <c r="AN36" s="85">
        <f t="shared" si="163"/>
        <v>0</v>
      </c>
      <c r="AO36" s="85">
        <f t="shared" si="163"/>
        <v>0</v>
      </c>
      <c r="AP36" s="85">
        <f t="shared" si="163"/>
        <v>0</v>
      </c>
      <c r="AQ36" s="85">
        <f t="shared" si="163"/>
        <v>0</v>
      </c>
      <c r="AR36" s="85">
        <f t="shared" si="163"/>
        <v>0</v>
      </c>
      <c r="AS36" s="85">
        <f t="shared" si="163"/>
        <v>0</v>
      </c>
      <c r="AT36" s="85">
        <f t="shared" si="163"/>
        <v>0</v>
      </c>
      <c r="AU36" s="85">
        <f t="shared" si="163"/>
        <v>0</v>
      </c>
      <c r="AV36" s="85">
        <f t="shared" si="163"/>
        <v>0</v>
      </c>
      <c r="AW36" s="85">
        <f t="shared" si="163"/>
        <v>0</v>
      </c>
      <c r="AX36" s="85">
        <f t="shared" si="163"/>
        <v>0</v>
      </c>
      <c r="AY36" s="85">
        <f t="shared" si="163"/>
        <v>0</v>
      </c>
      <c r="AZ36" s="85">
        <f t="shared" si="163"/>
        <v>0</v>
      </c>
      <c r="BA36" s="85">
        <f t="shared" si="163"/>
        <v>0</v>
      </c>
      <c r="BB36" s="85">
        <f t="shared" si="163"/>
        <v>0</v>
      </c>
      <c r="BC36" s="85">
        <f t="shared" si="163"/>
        <v>0</v>
      </c>
      <c r="BD36" s="85">
        <f t="shared" si="163"/>
        <v>0</v>
      </c>
      <c r="BE36" s="85">
        <f t="shared" si="163"/>
        <v>0</v>
      </c>
      <c r="BF36" s="8">
        <f>SUM(AL36:BE36)</f>
        <v>0</v>
      </c>
      <c r="BG36" s="8">
        <f>CL23</f>
        <v>0</v>
      </c>
      <c r="BP36" s="389" t="s">
        <v>101</v>
      </c>
      <c r="BQ36" s="232" t="s">
        <v>309</v>
      </c>
      <c r="BR36" s="233">
        <f>DD!AG37</f>
        <v>0</v>
      </c>
      <c r="BS36" s="233">
        <f>DD!AH37</f>
        <v>0</v>
      </c>
      <c r="BT36" s="233">
        <f>DD!AI37</f>
        <v>0</v>
      </c>
      <c r="BU36" s="233">
        <f>DD!AJ37</f>
        <v>0</v>
      </c>
      <c r="BV36" s="233">
        <f>DD!AK37</f>
        <v>0</v>
      </c>
      <c r="BW36" s="233">
        <f>DD!AL37</f>
        <v>0</v>
      </c>
      <c r="BX36" s="233">
        <f>DD!AM37</f>
        <v>0</v>
      </c>
      <c r="BY36" s="233">
        <f>DD!AN37</f>
        <v>0</v>
      </c>
      <c r="BZ36" s="233">
        <f>DD!AO37</f>
        <v>0</v>
      </c>
      <c r="CA36" s="233">
        <f>DD!AP37</f>
        <v>0</v>
      </c>
      <c r="CB36" s="233">
        <f>DD!AQ37</f>
        <v>0</v>
      </c>
      <c r="CC36" s="233">
        <f>DD!AR37</f>
        <v>0</v>
      </c>
      <c r="CD36" s="233">
        <f>DD!AS37</f>
        <v>0</v>
      </c>
      <c r="CE36" s="233">
        <f>DD!AT37</f>
        <v>0</v>
      </c>
      <c r="CF36" s="233">
        <f>DD!AU37</f>
        <v>0</v>
      </c>
      <c r="CG36" s="233">
        <f>DD!AV37</f>
        <v>0</v>
      </c>
      <c r="CH36" s="233">
        <f>DD!AW37</f>
        <v>0</v>
      </c>
      <c r="CI36" s="233">
        <f>DD!AX37</f>
        <v>0</v>
      </c>
      <c r="CJ36" s="233">
        <f>DD!AY37</f>
        <v>0</v>
      </c>
      <c r="CK36" s="234">
        <f>DD!AZ37</f>
        <v>0</v>
      </c>
      <c r="CL36" s="8"/>
      <c r="CM36" s="8"/>
    </row>
    <row r="37" spans="18:92" ht="15" thickBot="1">
      <c r="R37" s="87" t="s">
        <v>207</v>
      </c>
      <c r="AI37" s="87" t="s">
        <v>207</v>
      </c>
      <c r="AL37" s="53" t="s">
        <v>187</v>
      </c>
      <c r="AM37" s="53"/>
      <c r="AN37" s="53"/>
      <c r="AO37" s="53"/>
      <c r="AP37" s="53"/>
      <c r="AQ37" s="53"/>
      <c r="AR37" s="53"/>
      <c r="AS37" s="53"/>
      <c r="AT37" s="53"/>
      <c r="AU37" s="53"/>
      <c r="AV37" s="53"/>
      <c r="AW37" s="53"/>
      <c r="AX37" s="53"/>
      <c r="AY37" s="53"/>
      <c r="AZ37" s="53"/>
      <c r="BA37" s="53"/>
      <c r="BB37" s="53"/>
      <c r="BC37" s="53"/>
      <c r="BD37" s="53"/>
      <c r="BE37" s="53"/>
      <c r="BP37" s="389"/>
      <c r="BQ37" s="235" t="s">
        <v>291</v>
      </c>
      <c r="BR37" s="231">
        <f>AMD!AU$46-AMD!AU$36-AMD!AU$35</f>
        <v>0</v>
      </c>
      <c r="BS37" s="231">
        <f>AMD!AV$46-AMD!AV$36-AMD!AV$35</f>
        <v>0</v>
      </c>
      <c r="BT37" s="231">
        <f>AMD!AW$46-AMD!AW$36-AMD!AW$35</f>
        <v>0</v>
      </c>
      <c r="BU37" s="231">
        <f>AMD!AX$46-AMD!AX$36-AMD!AX$35</f>
        <v>0</v>
      </c>
      <c r="BV37" s="231">
        <f>AMD!AY$46-AMD!AY$36-AMD!AY$35</f>
        <v>0</v>
      </c>
      <c r="BW37" s="231">
        <f>AMD!AZ$46-AMD!AZ$36-AMD!AZ$35</f>
        <v>0</v>
      </c>
      <c r="BX37" s="231">
        <f>AMD!BA$46-AMD!BA$36-AMD!BA$35</f>
        <v>0</v>
      </c>
      <c r="BY37" s="231">
        <f>AMD!BB$46-AMD!BB$36-AMD!BB$35</f>
        <v>0</v>
      </c>
      <c r="BZ37" s="231">
        <f>AMD!BC$46-AMD!BC$36-AMD!BC$35</f>
        <v>0</v>
      </c>
      <c r="CA37" s="231">
        <f>AMD!BD$46-AMD!BD$36-AMD!BD$35</f>
        <v>0</v>
      </c>
      <c r="CB37" s="231">
        <f>AMD!BE$46-AMD!BE$36-AMD!BE$35</f>
        <v>0</v>
      </c>
      <c r="CC37" s="231">
        <f>AMD!BF$46-AMD!BF$36-AMD!BF$35</f>
        <v>0</v>
      </c>
      <c r="CD37" s="231">
        <f>AMD!BG$46-AMD!BG$36-AMD!BG$35</f>
        <v>0</v>
      </c>
      <c r="CE37" s="231">
        <f>AMD!BH$46-AMD!BH$36-AMD!BH$35</f>
        <v>0</v>
      </c>
      <c r="CF37" s="231">
        <f>AMD!BI$46-AMD!BI$36-AMD!BI$35</f>
        <v>0</v>
      </c>
      <c r="CG37" s="231">
        <f>AMD!BJ$46-AMD!BJ$36-AMD!BJ$35</f>
        <v>0</v>
      </c>
      <c r="CH37" s="231">
        <f>AMD!BK$46-AMD!BK$36-AMD!BK$35</f>
        <v>0</v>
      </c>
      <c r="CI37" s="231">
        <f>AMD!BL$46-AMD!BL$36-AMD!BL$35</f>
        <v>0</v>
      </c>
      <c r="CJ37" s="231">
        <f>AMD!BM$46-AMD!BM$36-AMD!BM$35</f>
        <v>0</v>
      </c>
      <c r="CK37" s="236">
        <f>AMD!BN$46-AMD!BN$36-AMD!BN$35</f>
        <v>0</v>
      </c>
      <c r="CL37" s="8"/>
      <c r="CM37" s="8"/>
    </row>
    <row r="38" spans="18:92" ht="15" thickBot="1">
      <c r="R38" s="85">
        <f>BG30</f>
        <v>0</v>
      </c>
      <c r="AI38" s="85">
        <f>BG66</f>
        <v>0</v>
      </c>
      <c r="AL38" s="43">
        <v>0.20833333333333334</v>
      </c>
      <c r="AM38" s="43">
        <v>0.25</v>
      </c>
      <c r="AN38" s="43">
        <v>0.29166666666666702</v>
      </c>
      <c r="AO38" s="43">
        <v>0.33333333333333298</v>
      </c>
      <c r="AP38" s="43">
        <v>0.375</v>
      </c>
      <c r="AQ38" s="43">
        <v>0.41666666666666702</v>
      </c>
      <c r="AR38" s="43">
        <v>0.45833333333333298</v>
      </c>
      <c r="AS38" s="43">
        <v>0.5</v>
      </c>
      <c r="AT38" s="43">
        <v>0.54166666666666696</v>
      </c>
      <c r="AU38" s="43">
        <v>0.58333333333333304</v>
      </c>
      <c r="AV38" s="43">
        <v>0.625</v>
      </c>
      <c r="AW38" s="43">
        <v>0.66666666666666696</v>
      </c>
      <c r="AX38" s="43">
        <v>0.70833333333333304</v>
      </c>
      <c r="AY38" s="43">
        <v>0.75</v>
      </c>
      <c r="AZ38" s="43">
        <v>0.79166666666666696</v>
      </c>
      <c r="BA38" s="43">
        <v>0.83333333333333304</v>
      </c>
      <c r="BB38" s="43">
        <v>0.875</v>
      </c>
      <c r="BC38" s="43">
        <v>0.91666666666666696</v>
      </c>
      <c r="BD38" s="43">
        <v>0.95833333333333304</v>
      </c>
      <c r="BE38" s="43">
        <v>1</v>
      </c>
      <c r="BP38" s="389"/>
      <c r="BQ38" s="239" t="s">
        <v>310</v>
      </c>
      <c r="BR38" s="237">
        <f>BR36+BR37</f>
        <v>0</v>
      </c>
      <c r="BS38" s="237">
        <f t="shared" ref="BS38" si="164">BS36+BS37</f>
        <v>0</v>
      </c>
      <c r="BT38" s="237">
        <f t="shared" ref="BT38" si="165">BT36+BT37</f>
        <v>0</v>
      </c>
      <c r="BU38" s="237">
        <f t="shared" ref="BU38" si="166">BU36+BU37</f>
        <v>0</v>
      </c>
      <c r="BV38" s="237">
        <f t="shared" ref="BV38" si="167">BV36+BV37</f>
        <v>0</v>
      </c>
      <c r="BW38" s="237">
        <f t="shared" ref="BW38" si="168">BW36+BW37</f>
        <v>0</v>
      </c>
      <c r="BX38" s="237">
        <f t="shared" ref="BX38" si="169">BX36+BX37</f>
        <v>0</v>
      </c>
      <c r="BY38" s="237">
        <f t="shared" ref="BY38" si="170">BY36+BY37</f>
        <v>0</v>
      </c>
      <c r="BZ38" s="237">
        <f t="shared" ref="BZ38" si="171">BZ36+BZ37</f>
        <v>0</v>
      </c>
      <c r="CA38" s="237">
        <f t="shared" ref="CA38" si="172">CA36+CA37</f>
        <v>0</v>
      </c>
      <c r="CB38" s="237">
        <f t="shared" ref="CB38" si="173">CB36+CB37</f>
        <v>0</v>
      </c>
      <c r="CC38" s="237">
        <f t="shared" ref="CC38" si="174">CC36+CC37</f>
        <v>0</v>
      </c>
      <c r="CD38" s="237">
        <f t="shared" ref="CD38" si="175">CD36+CD37</f>
        <v>0</v>
      </c>
      <c r="CE38" s="237">
        <f t="shared" ref="CE38" si="176">CE36+CE37</f>
        <v>0</v>
      </c>
      <c r="CF38" s="237">
        <f t="shared" ref="CF38" si="177">CF36+CF37</f>
        <v>0</v>
      </c>
      <c r="CG38" s="237">
        <f t="shared" ref="CG38" si="178">CG36+CG37</f>
        <v>0</v>
      </c>
      <c r="CH38" s="237">
        <f t="shared" ref="CH38" si="179">CH36+CH37</f>
        <v>0</v>
      </c>
      <c r="CI38" s="237">
        <f t="shared" ref="CI38" si="180">CI36+CI37</f>
        <v>0</v>
      </c>
      <c r="CJ38" s="237">
        <f t="shared" ref="CJ38" si="181">CJ36+CJ37</f>
        <v>0</v>
      </c>
      <c r="CK38" s="238">
        <f t="shared" ref="CK38" si="182">CK36+CK37</f>
        <v>0</v>
      </c>
      <c r="CL38" s="8">
        <f t="shared" si="2"/>
        <v>0</v>
      </c>
      <c r="CM38" s="8">
        <f>_xlfn.PERCENTILE.EXC(BR38:CK38, $CM$10)</f>
        <v>0</v>
      </c>
      <c r="CN38" s="8">
        <f>_xlfn.PERCENTILE.EXC(BR38:CK38, $CN$10)</f>
        <v>0</v>
      </c>
    </row>
    <row r="39" spans="18:92">
      <c r="R39" s="87" t="s">
        <v>208</v>
      </c>
      <c r="AI39" s="87" t="s">
        <v>208</v>
      </c>
      <c r="AK39" t="s">
        <v>199</v>
      </c>
      <c r="AL39" s="81">
        <f>GETPIVOTDATA("% of",PV!$AT$3,"Month","June","Time",5)</f>
        <v>6.9295005890008836E-3</v>
      </c>
      <c r="AM39" s="81">
        <f>GETPIVOTDATA("% of",PV!$AT$3,"Month","June","Time",6)</f>
        <v>1.8784170071221063E-2</v>
      </c>
      <c r="AN39" s="81">
        <f>GETPIVOTDATA("% of",PV!$AT$3,"Month","June","Time",7)</f>
        <v>4.9452595125771499E-2</v>
      </c>
      <c r="AO39" s="81">
        <f>GETPIVOTDATA("% of",PV!$AT$3,"Month","June","Time",8)</f>
        <v>8.011358080286278E-2</v>
      </c>
      <c r="AP39" s="81">
        <f>GETPIVOTDATA("% of",PV!$AT$3,"Month","June","Time",9)</f>
        <v>9.9781187697901425E-2</v>
      </c>
      <c r="AQ39" s="81">
        <f>GETPIVOTDATA("% of",PV!$AT$3,"Month","June","Time",10)</f>
        <v>0.11137621000614328</v>
      </c>
      <c r="AR39" s="81">
        <f>GETPIVOTDATA("% of",PV!$AT$3,"Month","June","Time",11)</f>
        <v>0.1131172823446716</v>
      </c>
      <c r="AS39" s="81">
        <f>GETPIVOTDATA("% of",PV!$AT$3,"Month","June","Time",12)</f>
        <v>0.11555941925381405</v>
      </c>
      <c r="AT39" s="81">
        <f>GETPIVOTDATA("% of",PV!$AT$3,"Month","June","Time",13)</f>
        <v>0.11283763915613547</v>
      </c>
      <c r="AU39" s="81">
        <f>GETPIVOTDATA("% of",PV!$AT$3,"Month","June","Time",14)</f>
        <v>9.6426372481286923E-2</v>
      </c>
      <c r="AV39" s="81">
        <f>GETPIVOTDATA("% of",PV!$AT$3,"Month","June","Time",15)</f>
        <v>8.5648004608457826E-2</v>
      </c>
      <c r="AW39" s="81">
        <f>GETPIVOTDATA("% of",PV!$AT$3,"Month","June","Time",16)</f>
        <v>6.0275556261173556E-2</v>
      </c>
      <c r="AX39" s="81">
        <f>GETPIVOTDATA("% of",PV!$AT$3,"Month","June","Time",17)</f>
        <v>3.4555005251856452E-2</v>
      </c>
      <c r="AY39" s="81">
        <f>GETPIVOTDATA("% of",PV!$AT$3,"Month","June","Time",18)</f>
        <v>1.1213334942188293E-2</v>
      </c>
      <c r="AZ39" s="81">
        <f>GETPIVOTDATA("% of",PV!$AT$3,"Month","June","Time",19)</f>
        <v>3.8349345769105622E-3</v>
      </c>
      <c r="BA39" s="81">
        <f>GETPIVOTDATA("% of",PV!$AT$3,"Month","June","Time",20)</f>
        <v>0</v>
      </c>
      <c r="BB39" s="81">
        <f>GETPIVOTDATA("% of",PV!$AT$3,"Month","June","Time",21)</f>
        <v>0</v>
      </c>
      <c r="BC39" s="81">
        <f>GETPIVOTDATA("% of",PV!$AT$3,"Month","June","Time",22)</f>
        <v>0</v>
      </c>
      <c r="BD39" s="81">
        <f>GETPIVOTDATA("% of",PV!$AT$3,"Month","June","Time",23)</f>
        <v>0</v>
      </c>
      <c r="BE39" s="81">
        <f>GETPIVOTDATA("% of",PV!$AT$3,"Month","June","Time",24)</f>
        <v>0</v>
      </c>
      <c r="BP39" s="389" t="s">
        <v>102</v>
      </c>
      <c r="BQ39" s="232" t="s">
        <v>311</v>
      </c>
      <c r="BR39" s="233">
        <f>DD!AG38</f>
        <v>0</v>
      </c>
      <c r="BS39" s="233">
        <f>DD!AH38</f>
        <v>0</v>
      </c>
      <c r="BT39" s="233">
        <f>DD!AI38</f>
        <v>0</v>
      </c>
      <c r="BU39" s="233">
        <f>DD!AJ38</f>
        <v>0</v>
      </c>
      <c r="BV39" s="233">
        <f>DD!AK38</f>
        <v>0</v>
      </c>
      <c r="BW39" s="233">
        <f>DD!AL38</f>
        <v>0</v>
      </c>
      <c r="BX39" s="233">
        <f>DD!AM38</f>
        <v>0</v>
      </c>
      <c r="BY39" s="233">
        <f>DD!AN38</f>
        <v>0</v>
      </c>
      <c r="BZ39" s="233">
        <f>DD!AO38</f>
        <v>0</v>
      </c>
      <c r="CA39" s="233">
        <f>DD!AP38</f>
        <v>0</v>
      </c>
      <c r="CB39" s="233">
        <f>DD!AQ38</f>
        <v>0</v>
      </c>
      <c r="CC39" s="233">
        <f>DD!AR38</f>
        <v>0</v>
      </c>
      <c r="CD39" s="233">
        <f>DD!AS38</f>
        <v>0</v>
      </c>
      <c r="CE39" s="233">
        <f>DD!AT38</f>
        <v>0</v>
      </c>
      <c r="CF39" s="233">
        <f>DD!AU38</f>
        <v>0</v>
      </c>
      <c r="CG39" s="233">
        <f>DD!AV38</f>
        <v>0</v>
      </c>
      <c r="CH39" s="233">
        <f>DD!AW38</f>
        <v>0</v>
      </c>
      <c r="CI39" s="233">
        <f>DD!AX38</f>
        <v>0</v>
      </c>
      <c r="CJ39" s="233">
        <f>DD!AY38</f>
        <v>0</v>
      </c>
      <c r="CK39" s="234">
        <f>DD!AZ38</f>
        <v>0</v>
      </c>
      <c r="CL39" s="8"/>
      <c r="CM39" s="8"/>
    </row>
    <row r="40" spans="18:92" ht="15" thickBot="1">
      <c r="R40" s="85">
        <f>BF30</f>
        <v>0</v>
      </c>
      <c r="AI40" s="85">
        <f>BF66</f>
        <v>0</v>
      </c>
      <c r="AK40" t="s">
        <v>203</v>
      </c>
      <c r="AL40" s="31">
        <f>AL39*PV!$C$28/30</f>
        <v>0</v>
      </c>
      <c r="AM40" s="31">
        <f>AM39*PV!$C$28/30</f>
        <v>0</v>
      </c>
      <c r="AN40" s="31">
        <f>AN39*PV!$C$28/30</f>
        <v>0</v>
      </c>
      <c r="AO40" s="31">
        <f>AO39*PV!$C$28/30</f>
        <v>0</v>
      </c>
      <c r="AP40" s="31">
        <f>AP39*PV!$C$28/30</f>
        <v>0</v>
      </c>
      <c r="AQ40" s="31">
        <f>AQ39*PV!$C$28/30</f>
        <v>0</v>
      </c>
      <c r="AR40" s="31">
        <f>AR39*PV!$C$28/30</f>
        <v>0</v>
      </c>
      <c r="AS40" s="31">
        <f>AS39*PV!$C$28/30</f>
        <v>0</v>
      </c>
      <c r="AT40" s="31">
        <f>AT39*PV!$C$28/30</f>
        <v>0</v>
      </c>
      <c r="AU40" s="31">
        <f>AU39*PV!$C$28/30</f>
        <v>0</v>
      </c>
      <c r="AV40" s="31">
        <f>AV39*PV!$C$28/30</f>
        <v>0</v>
      </c>
      <c r="AW40" s="31">
        <f>AW39*PV!$C$28/30</f>
        <v>0</v>
      </c>
      <c r="AX40" s="31">
        <f>AX39*PV!$C$28/30</f>
        <v>0</v>
      </c>
      <c r="AY40" s="31">
        <f>AY39*PV!$C$28/30</f>
        <v>0</v>
      </c>
      <c r="AZ40" s="31">
        <f>AZ39*PV!$C$28/30</f>
        <v>0</v>
      </c>
      <c r="BA40" s="31">
        <f>BA39*PV!$C$28/30</f>
        <v>0</v>
      </c>
      <c r="BB40" s="31">
        <f>BB39*PV!$C$28/30</f>
        <v>0</v>
      </c>
      <c r="BC40" s="31">
        <f>BC39*PV!$C$28/30</f>
        <v>0</v>
      </c>
      <c r="BD40" s="31">
        <f>BD39*PV!$C$28/30</f>
        <v>0</v>
      </c>
      <c r="BE40" s="31">
        <f>BE39*PV!$C$28/30</f>
        <v>0</v>
      </c>
      <c r="BF40" s="8">
        <f>SUM(AL40:BE40)</f>
        <v>0</v>
      </c>
      <c r="BP40" s="389"/>
      <c r="BQ40" s="235" t="s">
        <v>291</v>
      </c>
      <c r="BR40" s="231">
        <f>AMD!AU$46-AMD!AU$36-AMD!AU$35</f>
        <v>0</v>
      </c>
      <c r="BS40" s="231">
        <f>AMD!AV$46-AMD!AV$36-AMD!AV$35</f>
        <v>0</v>
      </c>
      <c r="BT40" s="231">
        <f>AMD!AW$46-AMD!AW$36-AMD!AW$35</f>
        <v>0</v>
      </c>
      <c r="BU40" s="231">
        <f>AMD!AX$46-AMD!AX$36-AMD!AX$35</f>
        <v>0</v>
      </c>
      <c r="BV40" s="231">
        <f>AMD!AY$46-AMD!AY$36-AMD!AY$35</f>
        <v>0</v>
      </c>
      <c r="BW40" s="231">
        <f>AMD!AZ$46-AMD!AZ$36-AMD!AZ$35</f>
        <v>0</v>
      </c>
      <c r="BX40" s="231">
        <f>AMD!BA$46-AMD!BA$36-AMD!BA$35</f>
        <v>0</v>
      </c>
      <c r="BY40" s="231">
        <f>AMD!BB$46-AMD!BB$36-AMD!BB$35</f>
        <v>0</v>
      </c>
      <c r="BZ40" s="231">
        <f>AMD!BC$46-AMD!BC$36-AMD!BC$35</f>
        <v>0</v>
      </c>
      <c r="CA40" s="231">
        <f>AMD!BD$46-AMD!BD$36-AMD!BD$35</f>
        <v>0</v>
      </c>
      <c r="CB40" s="231">
        <f>AMD!BE$46-AMD!BE$36-AMD!BE$35</f>
        <v>0</v>
      </c>
      <c r="CC40" s="231">
        <f>AMD!BF$46-AMD!BF$36-AMD!BF$35</f>
        <v>0</v>
      </c>
      <c r="CD40" s="231">
        <f>AMD!BG$46-AMD!BG$36-AMD!BG$35</f>
        <v>0</v>
      </c>
      <c r="CE40" s="231">
        <f>AMD!BH$46-AMD!BH$36-AMD!BH$35</f>
        <v>0</v>
      </c>
      <c r="CF40" s="231">
        <f>AMD!BI$46-AMD!BI$36-AMD!BI$35</f>
        <v>0</v>
      </c>
      <c r="CG40" s="231">
        <f>AMD!BJ$46-AMD!BJ$36-AMD!BJ$35</f>
        <v>0</v>
      </c>
      <c r="CH40" s="231">
        <f>AMD!BK$46-AMD!BK$36-AMD!BK$35</f>
        <v>0</v>
      </c>
      <c r="CI40" s="231">
        <f>AMD!BL$46-AMD!BL$36-AMD!BL$35</f>
        <v>0</v>
      </c>
      <c r="CJ40" s="231">
        <f>AMD!BM$46-AMD!BM$36-AMD!BM$35</f>
        <v>0</v>
      </c>
      <c r="CK40" s="236">
        <f>AMD!BN$46-AMD!BN$36-AMD!BN$35</f>
        <v>0</v>
      </c>
      <c r="CL40" s="8"/>
      <c r="CM40" s="8"/>
    </row>
    <row r="41" spans="18:92" ht="15" thickBot="1">
      <c r="R41" s="87" t="s">
        <v>209</v>
      </c>
      <c r="AI41" s="87" t="s">
        <v>209</v>
      </c>
      <c r="AK41" t="s">
        <v>204</v>
      </c>
      <c r="AL41" s="85">
        <f>IF($AQ$5="Yes",MAX(0,0+IF(AL40&gt;BR26,AL40-BR26,0)-IF(AND(BR26&gt;=$CM$26,BR26&gt;AL40),MIN(0,BR26-AL40),0)),0)</f>
        <v>0</v>
      </c>
      <c r="AM41" s="85">
        <f>IF($AQ$5="Yes",
    MAX(0,
        AL41 +
        IF(OR(AM40 &gt; BS26, AND($AQ$6="Yes", BS26 &lt;= $CN$26)), IF(AND($AQ$6="Yes", BS26 &lt;= $CN$26), $AP$4, AM40 - BS26), 0) -
        IF(AND($AQ$6="Yes", BS26 &gt;= $CM$26, BS26 &gt; AM40), MIN(AL41, BS26 - AM40), IF(AND($AQ$6="No", BS26 &gt; AM40), MIN(AL41, BS26 - AM40), 0))
    ),
    0)</f>
        <v>0</v>
      </c>
      <c r="AN41" s="85">
        <f t="shared" ref="AN41:BE41" si="183">IF($AQ$5="Yes",
    MAX(0,
        AM41 +
        IF(OR(AN40 &gt; BT26, AND($AQ$6="Yes", BT26 &lt;= $CN$26)), IF(AND($AQ$6="Yes", BT26 &lt;= $CN$26), $AP$4, AN40 - BT26), 0) -
        IF(AND($AQ$6="Yes", BT26 &gt;= $CM$26, BT26 &gt; AN40), MIN(AM41, BT26 - AN40), IF(AND($AQ$6="No", BT26 &gt; AN40), MIN(AM41, BT26 - AN40), 0))
    ),
    0)</f>
        <v>0</v>
      </c>
      <c r="AO41" s="85">
        <f t="shared" si="183"/>
        <v>0</v>
      </c>
      <c r="AP41" s="85">
        <f t="shared" si="183"/>
        <v>0</v>
      </c>
      <c r="AQ41" s="85">
        <f t="shared" si="183"/>
        <v>0</v>
      </c>
      <c r="AR41" s="85">
        <f t="shared" si="183"/>
        <v>0</v>
      </c>
      <c r="AS41" s="85">
        <f t="shared" si="183"/>
        <v>0</v>
      </c>
      <c r="AT41" s="85">
        <f t="shared" si="183"/>
        <v>0</v>
      </c>
      <c r="AU41" s="85">
        <f t="shared" si="183"/>
        <v>0</v>
      </c>
      <c r="AV41" s="85">
        <f t="shared" si="183"/>
        <v>0</v>
      </c>
      <c r="AW41" s="85">
        <f t="shared" si="183"/>
        <v>0</v>
      </c>
      <c r="AX41" s="85">
        <f t="shared" si="183"/>
        <v>0</v>
      </c>
      <c r="AY41" s="85">
        <f t="shared" si="183"/>
        <v>0</v>
      </c>
      <c r="AZ41" s="85">
        <f t="shared" si="183"/>
        <v>0</v>
      </c>
      <c r="BA41" s="85">
        <f t="shared" si="183"/>
        <v>0</v>
      </c>
      <c r="BB41" s="85">
        <f t="shared" si="183"/>
        <v>0</v>
      </c>
      <c r="BC41" s="85">
        <f t="shared" si="183"/>
        <v>0</v>
      </c>
      <c r="BD41" s="85">
        <f t="shared" si="183"/>
        <v>0</v>
      </c>
      <c r="BE41" s="85">
        <f t="shared" si="183"/>
        <v>0</v>
      </c>
      <c r="BF41" s="8">
        <f>SUM(AL41:BE41)</f>
        <v>0</v>
      </c>
      <c r="BP41" s="389"/>
      <c r="BQ41" s="239" t="s">
        <v>312</v>
      </c>
      <c r="BR41" s="237">
        <f>BR39+BR40</f>
        <v>0</v>
      </c>
      <c r="BS41" s="237">
        <f t="shared" ref="BS41" si="184">BS39+BS40</f>
        <v>0</v>
      </c>
      <c r="BT41" s="237">
        <f t="shared" ref="BT41" si="185">BT39+BT40</f>
        <v>0</v>
      </c>
      <c r="BU41" s="237">
        <f t="shared" ref="BU41" si="186">BU39+BU40</f>
        <v>0</v>
      </c>
      <c r="BV41" s="237">
        <f t="shared" ref="BV41" si="187">BV39+BV40</f>
        <v>0</v>
      </c>
      <c r="BW41" s="237">
        <f t="shared" ref="BW41" si="188">BW39+BW40</f>
        <v>0</v>
      </c>
      <c r="BX41" s="237">
        <f t="shared" ref="BX41" si="189">BX39+BX40</f>
        <v>0</v>
      </c>
      <c r="BY41" s="237">
        <f t="shared" ref="BY41" si="190">BY39+BY40</f>
        <v>0</v>
      </c>
      <c r="BZ41" s="237">
        <f t="shared" ref="BZ41" si="191">BZ39+BZ40</f>
        <v>0</v>
      </c>
      <c r="CA41" s="237">
        <f t="shared" ref="CA41" si="192">CA39+CA40</f>
        <v>0</v>
      </c>
      <c r="CB41" s="237">
        <f t="shared" ref="CB41" si="193">CB39+CB40</f>
        <v>0</v>
      </c>
      <c r="CC41" s="237">
        <f t="shared" ref="CC41" si="194">CC39+CC40</f>
        <v>0</v>
      </c>
      <c r="CD41" s="237">
        <f t="shared" ref="CD41" si="195">CD39+CD40</f>
        <v>0</v>
      </c>
      <c r="CE41" s="237">
        <f t="shared" ref="CE41" si="196">CE39+CE40</f>
        <v>0</v>
      </c>
      <c r="CF41" s="237">
        <f t="shared" ref="CF41" si="197">CF39+CF40</f>
        <v>0</v>
      </c>
      <c r="CG41" s="237">
        <f t="shared" ref="CG41" si="198">CG39+CG40</f>
        <v>0</v>
      </c>
      <c r="CH41" s="237">
        <f t="shared" ref="CH41" si="199">CH39+CH40</f>
        <v>0</v>
      </c>
      <c r="CI41" s="237">
        <f t="shared" ref="CI41" si="200">CI39+CI40</f>
        <v>0</v>
      </c>
      <c r="CJ41" s="237">
        <f t="shared" ref="CJ41" si="201">CJ39+CJ40</f>
        <v>0</v>
      </c>
      <c r="CK41" s="238">
        <f t="shared" ref="CK41" si="202">CK39+CK40</f>
        <v>0</v>
      </c>
      <c r="CL41" s="8">
        <f t="shared" si="2"/>
        <v>0</v>
      </c>
      <c r="CM41" s="8">
        <f>_xlfn.PERCENTILE.EXC(BR41:CK41, $CM$10)</f>
        <v>0</v>
      </c>
      <c r="CN41" s="8">
        <f>_xlfn.PERCENTILE.EXC(BR41:CK41, $CN$10)</f>
        <v>0</v>
      </c>
    </row>
    <row r="42" spans="18:92" ht="14.4" customHeight="1">
      <c r="R42" s="86" t="e">
        <f>(R38-R40)/R38</f>
        <v>#DIV/0!</v>
      </c>
      <c r="AI42" s="86" t="e">
        <f>(AI38-AI40)/AI38</f>
        <v>#DIV/0!</v>
      </c>
      <c r="AK42" t="s">
        <v>205</v>
      </c>
      <c r="AL42" s="85">
        <f>MAX(0,
    BR26 - AL40 +
    IF(AND($AQ$6="Yes", BR26 &lt;= $CN$26), $AP$4, 0) -
    IF(AND($AQ$5="Yes", AL41 &gt; 0, OR(AND($AQ$6="Yes", BR26 &gt;= $CM$26), $AQ$6="No", BR26 &gt; AL40)), MIN(AL41, BR26 - AL40), 0)
)</f>
        <v>0</v>
      </c>
      <c r="AM42" s="85">
        <f t="shared" ref="AM42:BE42" si="203">MAX(0,
    BS26 - AM40 +
    IF(AND($AQ$6="Yes", BS26 &lt;= $CN$26), $AP$4, 0) -
    IF(AND($AQ$5="Yes", AM41 &gt; 0, OR(AND($AQ$6="Yes", BS26 &gt;= $CM$26), $AQ$6="No", BS26 &gt; AM40)), MIN(AM41, BS26 - AM40), 0)
)</f>
        <v>0</v>
      </c>
      <c r="AN42" s="85">
        <f t="shared" si="203"/>
        <v>0</v>
      </c>
      <c r="AO42" s="85">
        <f t="shared" si="203"/>
        <v>0</v>
      </c>
      <c r="AP42" s="85">
        <f t="shared" si="203"/>
        <v>0</v>
      </c>
      <c r="AQ42" s="85">
        <f t="shared" si="203"/>
        <v>0</v>
      </c>
      <c r="AR42" s="85">
        <f t="shared" si="203"/>
        <v>0</v>
      </c>
      <c r="AS42" s="85">
        <f t="shared" si="203"/>
        <v>0</v>
      </c>
      <c r="AT42" s="85">
        <f t="shared" si="203"/>
        <v>0</v>
      </c>
      <c r="AU42" s="85">
        <f t="shared" si="203"/>
        <v>0</v>
      </c>
      <c r="AV42" s="85">
        <f t="shared" si="203"/>
        <v>0</v>
      </c>
      <c r="AW42" s="85">
        <f t="shared" si="203"/>
        <v>0</v>
      </c>
      <c r="AX42" s="85">
        <f t="shared" si="203"/>
        <v>0</v>
      </c>
      <c r="AY42" s="85">
        <f t="shared" si="203"/>
        <v>0</v>
      </c>
      <c r="AZ42" s="85">
        <f t="shared" si="203"/>
        <v>0</v>
      </c>
      <c r="BA42" s="85">
        <f t="shared" si="203"/>
        <v>0</v>
      </c>
      <c r="BB42" s="85">
        <f t="shared" si="203"/>
        <v>0</v>
      </c>
      <c r="BC42" s="85">
        <f t="shared" si="203"/>
        <v>0</v>
      </c>
      <c r="BD42" s="85">
        <f t="shared" si="203"/>
        <v>0</v>
      </c>
      <c r="BE42" s="85">
        <f t="shared" si="203"/>
        <v>0</v>
      </c>
      <c r="BF42" s="8">
        <f>SUM(AL42:BE42)</f>
        <v>0</v>
      </c>
      <c r="BG42" s="8">
        <f>CL26</f>
        <v>0</v>
      </c>
      <c r="BP42" s="389" t="s">
        <v>103</v>
      </c>
      <c r="BQ42" s="232" t="s">
        <v>313</v>
      </c>
      <c r="BR42" s="233">
        <f>DD!AG39</f>
        <v>0</v>
      </c>
      <c r="BS42" s="233">
        <f>DD!AH39</f>
        <v>0</v>
      </c>
      <c r="BT42" s="233">
        <f>DD!AI39</f>
        <v>0</v>
      </c>
      <c r="BU42" s="233">
        <f>DD!AJ39</f>
        <v>0</v>
      </c>
      <c r="BV42" s="233">
        <f>DD!AK39</f>
        <v>0</v>
      </c>
      <c r="BW42" s="233">
        <f>DD!AL39</f>
        <v>0</v>
      </c>
      <c r="BX42" s="233">
        <f>DD!AM39</f>
        <v>0</v>
      </c>
      <c r="BY42" s="233">
        <f>DD!AN39</f>
        <v>0</v>
      </c>
      <c r="BZ42" s="233">
        <f>DD!AO39</f>
        <v>0</v>
      </c>
      <c r="CA42" s="233">
        <f>DD!AP39</f>
        <v>0</v>
      </c>
      <c r="CB42" s="233">
        <f>DD!AQ39</f>
        <v>0</v>
      </c>
      <c r="CC42" s="233">
        <f>DD!AR39</f>
        <v>0</v>
      </c>
      <c r="CD42" s="233">
        <f>DD!AS39</f>
        <v>0</v>
      </c>
      <c r="CE42" s="233">
        <f>DD!AT39</f>
        <v>0</v>
      </c>
      <c r="CF42" s="233">
        <f>DD!AU39</f>
        <v>0</v>
      </c>
      <c r="CG42" s="233">
        <f>DD!AV39</f>
        <v>0</v>
      </c>
      <c r="CH42" s="233">
        <f>DD!AW39</f>
        <v>0</v>
      </c>
      <c r="CI42" s="233">
        <f>DD!AX39</f>
        <v>0</v>
      </c>
      <c r="CJ42" s="233">
        <f>DD!AY39</f>
        <v>0</v>
      </c>
      <c r="CK42" s="234">
        <f>DD!AZ39</f>
        <v>0</v>
      </c>
      <c r="CL42" s="8"/>
      <c r="CM42" s="8"/>
    </row>
    <row r="43" spans="18:92" ht="15" thickBot="1">
      <c r="AI43" s="31"/>
      <c r="AL43" s="53" t="s">
        <v>188</v>
      </c>
      <c r="AM43" s="53"/>
      <c r="AN43" s="53"/>
      <c r="AO43" s="53"/>
      <c r="AP43" s="53"/>
      <c r="AQ43" s="53"/>
      <c r="AR43" s="53"/>
      <c r="AS43" s="53"/>
      <c r="AT43" s="53"/>
      <c r="AU43" s="53"/>
      <c r="AV43" s="53"/>
      <c r="AW43" s="53"/>
      <c r="AX43" s="53"/>
      <c r="AY43" s="53"/>
      <c r="AZ43" s="53"/>
      <c r="BA43" s="53"/>
      <c r="BB43" s="53"/>
      <c r="BC43" s="53"/>
      <c r="BD43" s="53"/>
      <c r="BE43" s="53"/>
      <c r="BF43" s="8"/>
      <c r="BG43" s="8"/>
      <c r="BP43" s="389"/>
      <c r="BQ43" s="235" t="s">
        <v>291</v>
      </c>
      <c r="BR43" s="231">
        <f>AMD!AU$46-AMD!AU$36-AMD!AU$35</f>
        <v>0</v>
      </c>
      <c r="BS43" s="231">
        <f>AMD!AV$46-AMD!AV$36-AMD!AV$35</f>
        <v>0</v>
      </c>
      <c r="BT43" s="231">
        <f>AMD!AW$46-AMD!AW$36-AMD!AW$35</f>
        <v>0</v>
      </c>
      <c r="BU43" s="231">
        <f>AMD!AX$46-AMD!AX$36-AMD!AX$35</f>
        <v>0</v>
      </c>
      <c r="BV43" s="231">
        <f>AMD!AY$46-AMD!AY$36-AMD!AY$35</f>
        <v>0</v>
      </c>
      <c r="BW43" s="231">
        <f>AMD!AZ$46-AMD!AZ$36-AMD!AZ$35</f>
        <v>0</v>
      </c>
      <c r="BX43" s="231">
        <f>AMD!BA$46-AMD!BA$36-AMD!BA$35</f>
        <v>0</v>
      </c>
      <c r="BY43" s="231">
        <f>AMD!BB$46-AMD!BB$36-AMD!BB$35</f>
        <v>0</v>
      </c>
      <c r="BZ43" s="231">
        <f>AMD!BC$46-AMD!BC$36-AMD!BC$35</f>
        <v>0</v>
      </c>
      <c r="CA43" s="231">
        <f>AMD!BD$46-AMD!BD$36-AMD!BD$35</f>
        <v>0</v>
      </c>
      <c r="CB43" s="231">
        <f>AMD!BE$46-AMD!BE$36-AMD!BE$35</f>
        <v>0</v>
      </c>
      <c r="CC43" s="231">
        <f>AMD!BF$46-AMD!BF$36-AMD!BF$35</f>
        <v>0</v>
      </c>
      <c r="CD43" s="231">
        <f>AMD!BG$46-AMD!BG$36-AMD!BG$35</f>
        <v>0</v>
      </c>
      <c r="CE43" s="231">
        <f>AMD!BH$46-AMD!BH$36-AMD!BH$35</f>
        <v>0</v>
      </c>
      <c r="CF43" s="231">
        <f>AMD!BI$46-AMD!BI$36-AMD!BI$35</f>
        <v>0</v>
      </c>
      <c r="CG43" s="231">
        <f>AMD!BJ$46-AMD!BJ$36-AMD!BJ$35</f>
        <v>0</v>
      </c>
      <c r="CH43" s="231">
        <f>AMD!BK$46-AMD!BK$36-AMD!BK$35</f>
        <v>0</v>
      </c>
      <c r="CI43" s="231">
        <f>AMD!BL$46-AMD!BL$36-AMD!BL$35</f>
        <v>0</v>
      </c>
      <c r="CJ43" s="231">
        <f>AMD!BM$46-AMD!BM$36-AMD!BM$35</f>
        <v>0</v>
      </c>
      <c r="CK43" s="236">
        <f>AMD!BN$46-AMD!BN$36-AMD!BN$35</f>
        <v>0</v>
      </c>
      <c r="CL43" s="8"/>
      <c r="CM43" s="8"/>
    </row>
    <row r="44" spans="18:92" ht="15" thickBot="1">
      <c r="AI44" s="31"/>
      <c r="AL44" s="43">
        <v>0.20833333333333334</v>
      </c>
      <c r="AM44" s="43">
        <v>0.25</v>
      </c>
      <c r="AN44" s="43">
        <v>0.29166666666666702</v>
      </c>
      <c r="AO44" s="43">
        <v>0.33333333333333298</v>
      </c>
      <c r="AP44" s="43">
        <v>0.375</v>
      </c>
      <c r="AQ44" s="43">
        <v>0.41666666666666702</v>
      </c>
      <c r="AR44" s="43">
        <v>0.45833333333333298</v>
      </c>
      <c r="AS44" s="43">
        <v>0.5</v>
      </c>
      <c r="AT44" s="43">
        <v>0.54166666666666696</v>
      </c>
      <c r="AU44" s="43">
        <v>0.58333333333333304</v>
      </c>
      <c r="AV44" s="43">
        <v>0.625</v>
      </c>
      <c r="AW44" s="43">
        <v>0.66666666666666696</v>
      </c>
      <c r="AX44" s="43">
        <v>0.70833333333333304</v>
      </c>
      <c r="AY44" s="43">
        <v>0.75</v>
      </c>
      <c r="AZ44" s="43">
        <v>0.79166666666666696</v>
      </c>
      <c r="BA44" s="43">
        <v>0.83333333333333304</v>
      </c>
      <c r="BB44" s="43">
        <v>0.875</v>
      </c>
      <c r="BC44" s="43">
        <v>0.91666666666666696</v>
      </c>
      <c r="BD44" s="43">
        <v>0.95833333333333304</v>
      </c>
      <c r="BE44" s="43">
        <v>1</v>
      </c>
      <c r="BP44" s="389"/>
      <c r="BQ44" s="239" t="s">
        <v>314</v>
      </c>
      <c r="BR44" s="237">
        <f>BR42+BR43</f>
        <v>0</v>
      </c>
      <c r="BS44" s="237">
        <f t="shared" ref="BS44" si="204">BS42+BS43</f>
        <v>0</v>
      </c>
      <c r="BT44" s="237">
        <f t="shared" ref="BT44" si="205">BT42+BT43</f>
        <v>0</v>
      </c>
      <c r="BU44" s="237">
        <f t="shared" ref="BU44" si="206">BU42+BU43</f>
        <v>0</v>
      </c>
      <c r="BV44" s="237">
        <f t="shared" ref="BV44" si="207">BV42+BV43</f>
        <v>0</v>
      </c>
      <c r="BW44" s="237">
        <f t="shared" ref="BW44" si="208">BW42+BW43</f>
        <v>0</v>
      </c>
      <c r="BX44" s="237">
        <f t="shared" ref="BX44" si="209">BX42+BX43</f>
        <v>0</v>
      </c>
      <c r="BY44" s="237">
        <f t="shared" ref="BY44" si="210">BY42+BY43</f>
        <v>0</v>
      </c>
      <c r="BZ44" s="237">
        <f t="shared" ref="BZ44" si="211">BZ42+BZ43</f>
        <v>0</v>
      </c>
      <c r="CA44" s="237">
        <f t="shared" ref="CA44" si="212">CA42+CA43</f>
        <v>0</v>
      </c>
      <c r="CB44" s="237">
        <f t="shared" ref="CB44" si="213">CB42+CB43</f>
        <v>0</v>
      </c>
      <c r="CC44" s="237">
        <f t="shared" ref="CC44" si="214">CC42+CC43</f>
        <v>0</v>
      </c>
      <c r="CD44" s="237">
        <f t="shared" ref="CD44" si="215">CD42+CD43</f>
        <v>0</v>
      </c>
      <c r="CE44" s="237">
        <f t="shared" ref="CE44" si="216">CE42+CE43</f>
        <v>0</v>
      </c>
      <c r="CF44" s="237">
        <f t="shared" ref="CF44" si="217">CF42+CF43</f>
        <v>0</v>
      </c>
      <c r="CG44" s="237">
        <f t="shared" ref="CG44" si="218">CG42+CG43</f>
        <v>0</v>
      </c>
      <c r="CH44" s="237">
        <f t="shared" ref="CH44" si="219">CH42+CH43</f>
        <v>0</v>
      </c>
      <c r="CI44" s="237">
        <f t="shared" ref="CI44" si="220">CI42+CI43</f>
        <v>0</v>
      </c>
      <c r="CJ44" s="237">
        <f t="shared" ref="CJ44" si="221">CJ42+CJ43</f>
        <v>0</v>
      </c>
      <c r="CK44" s="238">
        <f t="shared" ref="CK44" si="222">CK42+CK43</f>
        <v>0</v>
      </c>
      <c r="CL44" s="8">
        <f t="shared" si="2"/>
        <v>0</v>
      </c>
      <c r="CM44" s="8">
        <f>_xlfn.PERCENTILE.EXC(BR44:CK44, $CM$10)</f>
        <v>0</v>
      </c>
      <c r="CN44" s="8">
        <f>_xlfn.PERCENTILE.EXC(BR44:CK44, $CN$10)</f>
        <v>0</v>
      </c>
    </row>
    <row r="45" spans="18:92">
      <c r="AI45" s="31"/>
      <c r="AK45" t="s">
        <v>199</v>
      </c>
      <c r="AL45" s="81">
        <f>GETPIVOTDATA("% of",PV!$AT$3,"Month","July","Time",5)</f>
        <v>4.6153496463988966E-3</v>
      </c>
      <c r="AM45" s="81">
        <f>GETPIVOTDATA("% of",PV!$AT$3,"Month","July","Time",6)</f>
        <v>1.5372318695713236E-2</v>
      </c>
      <c r="AN45" s="81">
        <f>GETPIVOTDATA("% of",PV!$AT$3,"Month","July","Time",7)</f>
        <v>4.4549542441729914E-2</v>
      </c>
      <c r="AO45" s="81">
        <f>GETPIVOTDATA("% of",PV!$AT$3,"Month","July","Time",8)</f>
        <v>7.4813729366350001E-2</v>
      </c>
      <c r="AP45" s="81">
        <f>GETPIVOTDATA("% of",PV!$AT$3,"Month","July","Time",9)</f>
        <v>0.1012632078151522</v>
      </c>
      <c r="AQ45" s="81">
        <f>GETPIVOTDATA("% of",PV!$AT$3,"Month","July","Time",10)</f>
        <v>0.1079608657085251</v>
      </c>
      <c r="AR45" s="81">
        <f>GETPIVOTDATA("% of",PV!$AT$3,"Month","July","Time",11)</f>
        <v>0.11423960400589396</v>
      </c>
      <c r="AS45" s="81">
        <f>GETPIVOTDATA("% of",PV!$AT$3,"Month","July","Time",12)</f>
        <v>0.11850364813943512</v>
      </c>
      <c r="AT45" s="81">
        <f>GETPIVOTDATA("% of",PV!$AT$3,"Month","July","Time",13)</f>
        <v>0.10800036548597405</v>
      </c>
      <c r="AU45" s="81">
        <f>GETPIVOTDATA("% of",PV!$AT$3,"Month","July","Time",14)</f>
        <v>0.10715183956957815</v>
      </c>
      <c r="AV45" s="81">
        <f>GETPIVOTDATA("% of",PV!$AT$3,"Month","July","Time",15)</f>
        <v>8.6977523475753535E-2</v>
      </c>
      <c r="AW45" s="81">
        <f>GETPIVOTDATA("% of",PV!$AT$3,"Month","July","Time",16)</f>
        <v>6.5043432697537609E-2</v>
      </c>
      <c r="AX45" s="81">
        <f>GETPIVOTDATA("% of",PV!$AT$3,"Month","July","Time",17)</f>
        <v>3.6586987408695822E-2</v>
      </c>
      <c r="AY45" s="81">
        <f>GETPIVOTDATA("% of",PV!$AT$3,"Month","July","Time",18)</f>
        <v>1.2144969033366464E-2</v>
      </c>
      <c r="AZ45" s="81">
        <f>GETPIVOTDATA("% of",PV!$AT$3,"Month","July","Time",19)</f>
        <v>2.7766165098958447E-3</v>
      </c>
      <c r="BA45" s="81">
        <f>GETPIVOTDATA("% of",PV!$AT$3,"Month","July","Time",20)</f>
        <v>0</v>
      </c>
      <c r="BB45" s="81">
        <f>GETPIVOTDATA("% of",PV!$AT$3,"Month","July","Time",21)</f>
        <v>0</v>
      </c>
      <c r="BC45" s="81">
        <f>GETPIVOTDATA("% of",PV!$AT$3,"Month","July","Time",22)</f>
        <v>0</v>
      </c>
      <c r="BD45" s="81">
        <f>GETPIVOTDATA("% of",PV!$AT$3,"Month","July","Time",23)</f>
        <v>0</v>
      </c>
      <c r="BE45" s="81">
        <f>GETPIVOTDATA("% of",PV!$AT$3,"Month","July","Time",24)</f>
        <v>0</v>
      </c>
    </row>
    <row r="46" spans="18:92">
      <c r="R46" s="87" t="s">
        <v>96</v>
      </c>
      <c r="AI46" s="87" t="s">
        <v>192</v>
      </c>
      <c r="AK46" t="s">
        <v>203</v>
      </c>
      <c r="AL46" s="31">
        <f>AL45*PV!$C$29/31</f>
        <v>0</v>
      </c>
      <c r="AM46" s="31">
        <f>AM45*PV!$C$29/31</f>
        <v>0</v>
      </c>
      <c r="AN46" s="31">
        <f>AN45*PV!$C$29/31</f>
        <v>0</v>
      </c>
      <c r="AO46" s="31">
        <f>AO45*PV!$C$29/31</f>
        <v>0</v>
      </c>
      <c r="AP46" s="31">
        <f>AP45*PV!$C$29/31</f>
        <v>0</v>
      </c>
      <c r="AQ46" s="31">
        <f>AQ45*PV!$C$29/31</f>
        <v>0</v>
      </c>
      <c r="AR46" s="31">
        <f>AR45*PV!$C$29/31</f>
        <v>0</v>
      </c>
      <c r="AS46" s="31">
        <f>AS45*PV!$C$29/31</f>
        <v>0</v>
      </c>
      <c r="AT46" s="31">
        <f>AT45*PV!$C$29/31</f>
        <v>0</v>
      </c>
      <c r="AU46" s="31">
        <f>AU45*PV!$C$29/31</f>
        <v>0</v>
      </c>
      <c r="AV46" s="31">
        <f>AV45*PV!$C$29/31</f>
        <v>0</v>
      </c>
      <c r="AW46" s="31">
        <f>AW45*PV!$C$29/31</f>
        <v>0</v>
      </c>
      <c r="AX46" s="31">
        <f>AX45*PV!$C$29/31</f>
        <v>0</v>
      </c>
      <c r="AY46" s="31">
        <f>AY45*PV!$C$29/31</f>
        <v>0</v>
      </c>
      <c r="AZ46" s="31">
        <f>AZ45*PV!$C$29/31</f>
        <v>0</v>
      </c>
      <c r="BA46" s="31">
        <f>BA45*PV!$C$29/31</f>
        <v>0</v>
      </c>
      <c r="BB46" s="31">
        <f>BB45*PV!$C$29/31</f>
        <v>0</v>
      </c>
      <c r="BC46" s="31">
        <f>BC45*PV!$C$29/31</f>
        <v>0</v>
      </c>
      <c r="BD46" s="31">
        <f>BD45*PV!$C$29/31</f>
        <v>0</v>
      </c>
      <c r="BE46" s="31">
        <f>BE45*PV!$C$29/31</f>
        <v>0</v>
      </c>
      <c r="BF46" s="8">
        <f>SUM(AL46:BE46)</f>
        <v>0</v>
      </c>
    </row>
    <row r="47" spans="18:92">
      <c r="R47" s="87" t="s">
        <v>207</v>
      </c>
      <c r="AI47" s="87" t="s">
        <v>207</v>
      </c>
      <c r="AK47" t="s">
        <v>204</v>
      </c>
      <c r="AL47" s="85">
        <f>IF($AQ$5="Yes",MAX(0,0+IF(AL46&gt;BR29,AL46-BR29,0)-IF(AND(BR29&gt;=$CM$29,BR29&gt;AL46),MIN(0,BR29-AL46),0)),0)</f>
        <v>0</v>
      </c>
      <c r="AM47" s="85">
        <f>IF($AQ$5="Yes",
    MAX(0,
        AL47 +
        IF(OR(AM46 &gt; BS29, AND($AQ$6="Yes", BS29 &lt;= $CN$29)), IF(AND($AQ$6="Yes", BS29 &lt;= $CN$29), $AP$4, AM46 - BS29), 0) -
        IF(AND($AQ$6="Yes", BS29 &gt;= $CM$29, BS29 &gt; AM46), MIN(AL47, BS29 - AM46), IF(AND($AQ$6="No", BS29 &gt; AM46), MIN(AL47, BS29 - AM46), 0))
    ),
    0)</f>
        <v>0</v>
      </c>
      <c r="AN47" s="85">
        <f t="shared" ref="AN47:BE47" si="223">IF($AQ$5="Yes",
    MAX(0,
        AM47 +
        IF(OR(AN46 &gt; BT29, AND($AQ$6="Yes", BT29 &lt;= $CN$29)), IF(AND($AQ$6="Yes", BT29 &lt;= $CN$29), $AP$4, AN46 - BT29), 0) -
        IF(AND($AQ$6="Yes", BT29 &gt;= $CM$29, BT29 &gt; AN46), MIN(AM47, BT29 - AN46), IF(AND($AQ$6="No", BT29 &gt; AN46), MIN(AM47, BT29 - AN46), 0))
    ),
    0)</f>
        <v>0</v>
      </c>
      <c r="AO47" s="85">
        <f t="shared" si="223"/>
        <v>0</v>
      </c>
      <c r="AP47" s="85">
        <f t="shared" si="223"/>
        <v>0</v>
      </c>
      <c r="AQ47" s="85">
        <f t="shared" si="223"/>
        <v>0</v>
      </c>
      <c r="AR47" s="85">
        <f t="shared" si="223"/>
        <v>0</v>
      </c>
      <c r="AS47" s="85">
        <f t="shared" si="223"/>
        <v>0</v>
      </c>
      <c r="AT47" s="85">
        <f t="shared" si="223"/>
        <v>0</v>
      </c>
      <c r="AU47" s="85">
        <f t="shared" si="223"/>
        <v>0</v>
      </c>
      <c r="AV47" s="85">
        <f t="shared" si="223"/>
        <v>0</v>
      </c>
      <c r="AW47" s="85">
        <f t="shared" si="223"/>
        <v>0</v>
      </c>
      <c r="AX47" s="85">
        <f t="shared" si="223"/>
        <v>0</v>
      </c>
      <c r="AY47" s="85">
        <f t="shared" si="223"/>
        <v>0</v>
      </c>
      <c r="AZ47" s="85">
        <f t="shared" si="223"/>
        <v>0</v>
      </c>
      <c r="BA47" s="85">
        <f t="shared" si="223"/>
        <v>0</v>
      </c>
      <c r="BB47" s="85">
        <f t="shared" si="223"/>
        <v>0</v>
      </c>
      <c r="BC47" s="85">
        <f t="shared" si="223"/>
        <v>0</v>
      </c>
      <c r="BD47" s="85">
        <f t="shared" si="223"/>
        <v>0</v>
      </c>
      <c r="BE47" s="85">
        <f t="shared" si="223"/>
        <v>0</v>
      </c>
      <c r="BF47" s="8">
        <f>SUM(AL47:BE47)</f>
        <v>0</v>
      </c>
    </row>
    <row r="48" spans="18:92">
      <c r="R48" s="85">
        <f>BG36</f>
        <v>0</v>
      </c>
      <c r="AI48" s="85">
        <f>BG72</f>
        <v>0</v>
      </c>
      <c r="AK48" t="s">
        <v>205</v>
      </c>
      <c r="AL48" s="85">
        <f>MAX(0,
    BR29 - AL46 +
    IF(AND($AQ$6="Yes", BR29 &lt;= $CN$29), $AP$4, 0) -
    IF(AND($AQ$5="Yes", AL47 &gt; 0, OR(AND($AQ$6="Yes", BR29 &gt;= $CM$29), $AQ$6="No", BR29 &gt; AL46)), MIN(AL47, BR29 - AL46), 0)
)</f>
        <v>0</v>
      </c>
      <c r="AM48" s="85">
        <f t="shared" ref="AM48:BE48" si="224">MAX(0,
    BS29 - AM46 +
    IF(AND($AQ$6="Yes", BS29 &lt;= $CN$29), $AP$4, 0) -
    IF(AND($AQ$5="Yes", AM47 &gt; 0, OR(AND($AQ$6="Yes", BS29 &gt;= $CM$29), $AQ$6="No", BS29 &gt; AM46)), MIN(AM47, BS29 - AM46), 0)
)</f>
        <v>0</v>
      </c>
      <c r="AN48" s="85">
        <f t="shared" si="224"/>
        <v>0</v>
      </c>
      <c r="AO48" s="85">
        <f t="shared" si="224"/>
        <v>0</v>
      </c>
      <c r="AP48" s="85">
        <f t="shared" si="224"/>
        <v>0</v>
      </c>
      <c r="AQ48" s="85">
        <f t="shared" si="224"/>
        <v>0</v>
      </c>
      <c r="AR48" s="85">
        <f t="shared" si="224"/>
        <v>0</v>
      </c>
      <c r="AS48" s="85">
        <f t="shared" si="224"/>
        <v>0</v>
      </c>
      <c r="AT48" s="85">
        <f t="shared" si="224"/>
        <v>0</v>
      </c>
      <c r="AU48" s="85">
        <f t="shared" si="224"/>
        <v>0</v>
      </c>
      <c r="AV48" s="85">
        <f t="shared" si="224"/>
        <v>0</v>
      </c>
      <c r="AW48" s="85">
        <f t="shared" si="224"/>
        <v>0</v>
      </c>
      <c r="AX48" s="85">
        <f t="shared" si="224"/>
        <v>0</v>
      </c>
      <c r="AY48" s="85">
        <f t="shared" si="224"/>
        <v>0</v>
      </c>
      <c r="AZ48" s="85">
        <f t="shared" si="224"/>
        <v>0</v>
      </c>
      <c r="BA48" s="85">
        <f t="shared" si="224"/>
        <v>0</v>
      </c>
      <c r="BB48" s="85">
        <f t="shared" si="224"/>
        <v>0</v>
      </c>
      <c r="BC48" s="85">
        <f t="shared" si="224"/>
        <v>0</v>
      </c>
      <c r="BD48" s="85">
        <f t="shared" si="224"/>
        <v>0</v>
      </c>
      <c r="BE48" s="85">
        <f t="shared" si="224"/>
        <v>0</v>
      </c>
      <c r="BF48" s="8">
        <f>SUM(AL48:BE48)</f>
        <v>0</v>
      </c>
      <c r="BG48" s="8">
        <f>CL29</f>
        <v>0</v>
      </c>
    </row>
    <row r="49" spans="9:59">
      <c r="R49" s="87" t="s">
        <v>208</v>
      </c>
      <c r="AI49" s="87" t="s">
        <v>208</v>
      </c>
      <c r="AL49" s="53" t="s">
        <v>189</v>
      </c>
      <c r="AM49" s="53"/>
      <c r="AN49" s="53"/>
      <c r="AO49" s="53"/>
      <c r="AP49" s="53"/>
      <c r="AQ49" s="53"/>
      <c r="AR49" s="53"/>
      <c r="AS49" s="53"/>
      <c r="AT49" s="53"/>
      <c r="AU49" s="53"/>
      <c r="AV49" s="53"/>
      <c r="AW49" s="53"/>
      <c r="AX49" s="53"/>
      <c r="AY49" s="53"/>
      <c r="AZ49" s="53"/>
      <c r="BA49" s="53"/>
      <c r="BB49" s="53"/>
      <c r="BC49" s="53"/>
      <c r="BD49" s="53"/>
      <c r="BE49" s="53"/>
    </row>
    <row r="50" spans="9:59">
      <c r="R50" s="85">
        <f>BF36</f>
        <v>0</v>
      </c>
      <c r="AI50" s="85">
        <f>BF72</f>
        <v>0</v>
      </c>
      <c r="AL50" s="43">
        <v>0.20833333333333334</v>
      </c>
      <c r="AM50" s="43">
        <v>0.25</v>
      </c>
      <c r="AN50" s="43">
        <v>0.29166666666666702</v>
      </c>
      <c r="AO50" s="43">
        <v>0.33333333333333298</v>
      </c>
      <c r="AP50" s="43">
        <v>0.375</v>
      </c>
      <c r="AQ50" s="43">
        <v>0.41666666666666702</v>
      </c>
      <c r="AR50" s="43">
        <v>0.45833333333333298</v>
      </c>
      <c r="AS50" s="43">
        <v>0.5</v>
      </c>
      <c r="AT50" s="43">
        <v>0.54166666666666696</v>
      </c>
      <c r="AU50" s="43">
        <v>0.58333333333333304</v>
      </c>
      <c r="AV50" s="43">
        <v>0.625</v>
      </c>
      <c r="AW50" s="43">
        <v>0.66666666666666696</v>
      </c>
      <c r="AX50" s="43">
        <v>0.70833333333333304</v>
      </c>
      <c r="AY50" s="43">
        <v>0.75</v>
      </c>
      <c r="AZ50" s="43">
        <v>0.79166666666666696</v>
      </c>
      <c r="BA50" s="43">
        <v>0.83333333333333304</v>
      </c>
      <c r="BB50" s="43">
        <v>0.875</v>
      </c>
      <c r="BC50" s="43">
        <v>0.91666666666666696</v>
      </c>
      <c r="BD50" s="43">
        <v>0.95833333333333304</v>
      </c>
      <c r="BE50" s="43">
        <v>1</v>
      </c>
    </row>
    <row r="51" spans="9:59">
      <c r="R51" s="87" t="s">
        <v>209</v>
      </c>
      <c r="AI51" s="87" t="s">
        <v>209</v>
      </c>
      <c r="AK51" t="s">
        <v>199</v>
      </c>
      <c r="AL51" s="81">
        <f>GETPIVOTDATA("% of",PV!$AT$3,"Month","August","Time",5)</f>
        <v>7.5923442933136843E-4</v>
      </c>
      <c r="AM51" s="81">
        <f>GETPIVOTDATA("% of",PV!$AT$3,"Month","August","Time",6)</f>
        <v>1.0409548052494893E-2</v>
      </c>
      <c r="AN51" s="81">
        <f>GETPIVOTDATA("% of",PV!$AT$3,"Month","August","Time",7)</f>
        <v>3.9979044657022782E-2</v>
      </c>
      <c r="AO51" s="81">
        <f>GETPIVOTDATA("% of",PV!$AT$3,"Month","August","Time",8)</f>
        <v>7.3969262654972931E-2</v>
      </c>
      <c r="AP51" s="81">
        <f>GETPIVOTDATA("% of",PV!$AT$3,"Month","August","Time",9)</f>
        <v>9.762193915682349E-2</v>
      </c>
      <c r="AQ51" s="81">
        <f>GETPIVOTDATA("% of",PV!$AT$3,"Month","August","Time",10)</f>
        <v>0.10923711163890593</v>
      </c>
      <c r="AR51" s="81">
        <f>GETPIVOTDATA("% of",PV!$AT$3,"Month","August","Time",11)</f>
        <v>0.12779424797614508</v>
      </c>
      <c r="AS51" s="81">
        <f>GETPIVOTDATA("% of",PV!$AT$3,"Month","August","Time",12)</f>
        <v>0.13006815255952286</v>
      </c>
      <c r="AT51" s="81">
        <f>GETPIVOTDATA("% of",PV!$AT$3,"Month","August","Time",13)</f>
        <v>0.11403643725909618</v>
      </c>
      <c r="AU51" s="81">
        <f>GETPIVOTDATA("% of",PV!$AT$3,"Month","August","Time",14)</f>
        <v>0.10919904017708378</v>
      </c>
      <c r="AV51" s="81">
        <f>GETPIVOTDATA("% of",PV!$AT$3,"Month","August","Time",15)</f>
        <v>8.8068070423087452E-2</v>
      </c>
      <c r="AW51" s="81">
        <f>GETPIVOTDATA("% of",PV!$AT$3,"Month","August","Time",16)</f>
        <v>6.1611105757751437E-2</v>
      </c>
      <c r="AX51" s="81">
        <f>GETPIVOTDATA("% of",PV!$AT$3,"Month","August","Time",17)</f>
        <v>3.0832228226848678E-2</v>
      </c>
      <c r="AY51" s="81">
        <f>GETPIVOTDATA("% of",PV!$AT$3,"Month","August","Time",18)</f>
        <v>6.2407229829690982E-3</v>
      </c>
      <c r="AZ51" s="81">
        <f>GETPIVOTDATA("% of",PV!$AT$3,"Month","August","Time",19)</f>
        <v>1.738540479439574E-4</v>
      </c>
      <c r="BA51" s="81">
        <f>GETPIVOTDATA("% of",PV!$AT$3,"Month","August","Time",20)</f>
        <v>0</v>
      </c>
      <c r="BB51" s="81">
        <f>GETPIVOTDATA("% of",PV!$AT$3,"Month","August","Time",21)</f>
        <v>0</v>
      </c>
      <c r="BC51" s="81">
        <f>GETPIVOTDATA("% of",PV!$AT$3,"Month","August","Time",22)</f>
        <v>0</v>
      </c>
      <c r="BD51" s="81">
        <f>GETPIVOTDATA("% of",PV!$AT$3,"Month","August","Time",23)</f>
        <v>0</v>
      </c>
      <c r="BE51" s="81">
        <f>GETPIVOTDATA("% of",PV!$AT$3,"Month","August","Time",24)</f>
        <v>0</v>
      </c>
    </row>
    <row r="52" spans="9:59">
      <c r="R52" s="86" t="e">
        <f>(R48-R50)/R48</f>
        <v>#DIV/0!</v>
      </c>
      <c r="AI52" s="86" t="e">
        <f>(AI48-AI50)/AI48</f>
        <v>#DIV/0!</v>
      </c>
      <c r="AK52" t="s">
        <v>203</v>
      </c>
      <c r="AL52" s="31">
        <f>AL51*PV!$C$30/31</f>
        <v>0</v>
      </c>
      <c r="AM52" s="31">
        <f>AM51*PV!$C$30/31</f>
        <v>0</v>
      </c>
      <c r="AN52" s="31">
        <f>AN51*PV!$C$30/31</f>
        <v>0</v>
      </c>
      <c r="AO52" s="31">
        <f>AO51*PV!$C$30/31</f>
        <v>0</v>
      </c>
      <c r="AP52" s="31">
        <f>AP51*PV!$C$30/31</f>
        <v>0</v>
      </c>
      <c r="AQ52" s="31">
        <f>AQ51*PV!$C$30/31</f>
        <v>0</v>
      </c>
      <c r="AR52" s="31">
        <f>AR51*PV!$C$30/31</f>
        <v>0</v>
      </c>
      <c r="AS52" s="31">
        <f>AS51*PV!$C$30/31</f>
        <v>0</v>
      </c>
      <c r="AT52" s="31">
        <f>AT51*PV!$C$30/31</f>
        <v>0</v>
      </c>
      <c r="AU52" s="31">
        <f>AU51*PV!$C$30/31</f>
        <v>0</v>
      </c>
      <c r="AV52" s="31">
        <f>AV51*PV!$C$30/31</f>
        <v>0</v>
      </c>
      <c r="AW52" s="31">
        <f>AW51*PV!$C$30/31</f>
        <v>0</v>
      </c>
      <c r="AX52" s="31">
        <f>AX51*PV!$C$30/31</f>
        <v>0</v>
      </c>
      <c r="AY52" s="31">
        <f>AY51*PV!$C$30/31</f>
        <v>0</v>
      </c>
      <c r="AZ52" s="31">
        <f>AZ51*PV!$C$30/31</f>
        <v>0</v>
      </c>
      <c r="BA52" s="31">
        <f>BA51*PV!$C$30/31</f>
        <v>0</v>
      </c>
      <c r="BB52" s="31">
        <f>BB51*PV!$C$30/31</f>
        <v>0</v>
      </c>
      <c r="BC52" s="31">
        <f>BC51*PV!$C$30/31</f>
        <v>0</v>
      </c>
      <c r="BD52" s="31">
        <f>BD51*PV!$C$30/31</f>
        <v>0</v>
      </c>
      <c r="BE52" s="31">
        <f>BE51*PV!$C$30/31</f>
        <v>0</v>
      </c>
      <c r="BF52" s="8">
        <f>SUM(AL52:BE52)</f>
        <v>0</v>
      </c>
    </row>
    <row r="53" spans="9:59">
      <c r="AI53" s="31"/>
      <c r="AK53" t="s">
        <v>204</v>
      </c>
      <c r="AL53" s="85">
        <f>IF($AQ$5="Yes",MAX(0,0+IF(AL52&gt;BR32,AL52-BR32,0)-IF(AND(BR32&gt;=$CM$32,BR32&gt;AL52),MIN(0,BR32-AL52),0)),0)</f>
        <v>0</v>
      </c>
      <c r="AM53" s="85">
        <f>IF($AQ$5="Yes",
    MAX(0,
        AL53 +
        IF(OR(AM52 &gt; BS32, AND($AQ$6="Yes", BS32 &lt;= $CN$32)), IF(AND($AQ$6="Yes", BS32 &lt;= $CN$32), $AP$4, AM52 - BS32), 0) -
        IF(AND($AQ$6="Yes", BS32 &gt;= $CM$32, BS32 &gt; AM52), MIN(AL53, BS32 - AM52), IF(AND($AQ$6="No", BS32 &gt; AM52), MIN(AL53, BS32 - AM52), 0))
    ),
    0)</f>
        <v>0</v>
      </c>
      <c r="AN53" s="85">
        <f t="shared" ref="AN53:BE53" si="225">IF($AQ$5="Yes",
    MAX(0,
        AM53 +
        IF(OR(AN52 &gt; BT32, AND($AQ$6="Yes", BT32 &lt;= $CN$32)), IF(AND($AQ$6="Yes", BT32 &lt;= $CN$32), $AP$4, AN52 - BT32), 0) -
        IF(AND($AQ$6="Yes", BT32 &gt;= $CM$32, BT32 &gt; AN52), MIN(AM53, BT32 - AN52), IF(AND($AQ$6="No", BT32 &gt; AN52), MIN(AM53, BT32 - AN52), 0))
    ),
    0)</f>
        <v>0</v>
      </c>
      <c r="AO53" s="85">
        <f t="shared" si="225"/>
        <v>0</v>
      </c>
      <c r="AP53" s="85">
        <f t="shared" si="225"/>
        <v>0</v>
      </c>
      <c r="AQ53" s="85">
        <f t="shared" si="225"/>
        <v>0</v>
      </c>
      <c r="AR53" s="85">
        <f t="shared" si="225"/>
        <v>0</v>
      </c>
      <c r="AS53" s="85">
        <f t="shared" si="225"/>
        <v>0</v>
      </c>
      <c r="AT53" s="85">
        <f t="shared" si="225"/>
        <v>0</v>
      </c>
      <c r="AU53" s="85">
        <f t="shared" si="225"/>
        <v>0</v>
      </c>
      <c r="AV53" s="85">
        <f t="shared" si="225"/>
        <v>0</v>
      </c>
      <c r="AW53" s="85">
        <f t="shared" si="225"/>
        <v>0</v>
      </c>
      <c r="AX53" s="85">
        <f t="shared" si="225"/>
        <v>0</v>
      </c>
      <c r="AY53" s="85">
        <f t="shared" si="225"/>
        <v>0</v>
      </c>
      <c r="AZ53" s="85">
        <f t="shared" si="225"/>
        <v>0</v>
      </c>
      <c r="BA53" s="85">
        <f t="shared" si="225"/>
        <v>0</v>
      </c>
      <c r="BB53" s="85">
        <f t="shared" si="225"/>
        <v>0</v>
      </c>
      <c r="BC53" s="85">
        <f t="shared" si="225"/>
        <v>0</v>
      </c>
      <c r="BD53" s="85">
        <f t="shared" si="225"/>
        <v>0</v>
      </c>
      <c r="BE53" s="85">
        <f t="shared" si="225"/>
        <v>0</v>
      </c>
      <c r="BF53" s="8">
        <f>SUM(AL53:BE53)</f>
        <v>0</v>
      </c>
    </row>
    <row r="54" spans="9:59">
      <c r="AI54" s="31"/>
      <c r="AK54" t="s">
        <v>205</v>
      </c>
      <c r="AL54" s="85">
        <f>MAX(0,
    BR32 - AL52 +
    IF(AND($AQ$6="Yes", BR32 &lt;= $CN$32), $AP$4, 0) -
    IF(AND($AQ$5="Yes", AL53 &gt; 0, OR(AND($AQ$6="Yes", BR32 &gt;= $CM$32), $AQ$6="No", BR32 &gt; AL52)), MIN(AL53, BR32 - AL52), 0)
)</f>
        <v>0</v>
      </c>
      <c r="AM54" s="85">
        <f t="shared" ref="AM54:BE54" si="226">MAX(0,
    BS32 - AM52 +
    IF(AND($AQ$6="Yes", BS32 &lt;= $CN$32), $AP$4, 0) -
    IF(AND($AQ$5="Yes", AM53 &gt; 0, OR(AND($AQ$6="Yes", BS32 &gt;= $CM$32), $AQ$6="No", BS32 &gt; AM52)), MIN(AM53, BS32 - AM52), 0)
)</f>
        <v>0</v>
      </c>
      <c r="AN54" s="85">
        <f t="shared" si="226"/>
        <v>0</v>
      </c>
      <c r="AO54" s="85">
        <f t="shared" si="226"/>
        <v>0</v>
      </c>
      <c r="AP54" s="85">
        <f t="shared" si="226"/>
        <v>0</v>
      </c>
      <c r="AQ54" s="85">
        <f t="shared" si="226"/>
        <v>0</v>
      </c>
      <c r="AR54" s="85">
        <f t="shared" si="226"/>
        <v>0</v>
      </c>
      <c r="AS54" s="85">
        <f t="shared" si="226"/>
        <v>0</v>
      </c>
      <c r="AT54" s="85">
        <f t="shared" si="226"/>
        <v>0</v>
      </c>
      <c r="AU54" s="85">
        <f t="shared" si="226"/>
        <v>0</v>
      </c>
      <c r="AV54" s="85">
        <f t="shared" si="226"/>
        <v>0</v>
      </c>
      <c r="AW54" s="85">
        <f t="shared" si="226"/>
        <v>0</v>
      </c>
      <c r="AX54" s="85">
        <f t="shared" si="226"/>
        <v>0</v>
      </c>
      <c r="AY54" s="85">
        <f t="shared" si="226"/>
        <v>0</v>
      </c>
      <c r="AZ54" s="85">
        <f t="shared" si="226"/>
        <v>0</v>
      </c>
      <c r="BA54" s="85">
        <f t="shared" si="226"/>
        <v>0</v>
      </c>
      <c r="BB54" s="85">
        <f t="shared" si="226"/>
        <v>0</v>
      </c>
      <c r="BC54" s="85">
        <f t="shared" si="226"/>
        <v>0</v>
      </c>
      <c r="BD54" s="85">
        <f t="shared" si="226"/>
        <v>0</v>
      </c>
      <c r="BE54" s="85">
        <f t="shared" si="226"/>
        <v>0</v>
      </c>
      <c r="BF54" s="8">
        <f>SUM(AL54:BE54)</f>
        <v>0</v>
      </c>
      <c r="BG54" s="8">
        <f>CL32</f>
        <v>0</v>
      </c>
    </row>
    <row r="55" spans="9:59">
      <c r="AI55" s="31"/>
      <c r="AL55" s="53" t="s">
        <v>190</v>
      </c>
      <c r="AM55" s="53"/>
      <c r="AN55" s="53"/>
      <c r="AO55" s="53"/>
      <c r="AP55" s="53"/>
      <c r="AQ55" s="53"/>
      <c r="AR55" s="53"/>
      <c r="AS55" s="53"/>
      <c r="AT55" s="53"/>
      <c r="AU55" s="53"/>
      <c r="AV55" s="53"/>
      <c r="AW55" s="53"/>
      <c r="AX55" s="53"/>
      <c r="AY55" s="53"/>
      <c r="AZ55" s="53"/>
      <c r="BA55" s="53"/>
      <c r="BB55" s="53"/>
      <c r="BC55" s="53"/>
      <c r="BD55" s="53"/>
      <c r="BE55" s="53"/>
    </row>
    <row r="56" spans="9:59">
      <c r="R56" s="87" t="s">
        <v>187</v>
      </c>
      <c r="AI56" s="87" t="s">
        <v>193</v>
      </c>
      <c r="AL56" s="43">
        <v>0.20833333333333334</v>
      </c>
      <c r="AM56" s="43">
        <v>0.25</v>
      </c>
      <c r="AN56" s="43">
        <v>0.29166666666666702</v>
      </c>
      <c r="AO56" s="43">
        <v>0.33333333333333298</v>
      </c>
      <c r="AP56" s="43">
        <v>0.375</v>
      </c>
      <c r="AQ56" s="43">
        <v>0.41666666666666702</v>
      </c>
      <c r="AR56" s="43">
        <v>0.45833333333333298</v>
      </c>
      <c r="AS56" s="43">
        <v>0.5</v>
      </c>
      <c r="AT56" s="43">
        <v>0.54166666666666696</v>
      </c>
      <c r="AU56" s="43">
        <v>0.58333333333333304</v>
      </c>
      <c r="AV56" s="43">
        <v>0.625</v>
      </c>
      <c r="AW56" s="43">
        <v>0.66666666666666696</v>
      </c>
      <c r="AX56" s="43">
        <v>0.70833333333333304</v>
      </c>
      <c r="AY56" s="43">
        <v>0.75</v>
      </c>
      <c r="AZ56" s="43">
        <v>0.79166666666666696</v>
      </c>
      <c r="BA56" s="43">
        <v>0.83333333333333304</v>
      </c>
      <c r="BB56" s="43">
        <v>0.875</v>
      </c>
      <c r="BC56" s="43">
        <v>0.91666666666666696</v>
      </c>
      <c r="BD56" s="43">
        <v>0.95833333333333304</v>
      </c>
      <c r="BE56" s="43">
        <v>1</v>
      </c>
    </row>
    <row r="57" spans="9:59">
      <c r="R57" s="87" t="s">
        <v>207</v>
      </c>
      <c r="AI57" s="87" t="s">
        <v>207</v>
      </c>
      <c r="AK57" t="s">
        <v>199</v>
      </c>
      <c r="AL57" s="81">
        <f>GETPIVOTDATA("% of",PV!$AT$3,"Month","September","Time",5)</f>
        <v>0</v>
      </c>
      <c r="AM57" s="81">
        <f>GETPIVOTDATA("% of",PV!$AT$3,"Month","September","Time",6)</f>
        <v>3.581832150821221E-3</v>
      </c>
      <c r="AN57" s="81">
        <f>GETPIVOTDATA("% of",PV!$AT$3,"Month","September","Time",7)</f>
        <v>3.5478957905569174E-2</v>
      </c>
      <c r="AO57" s="81">
        <f>GETPIVOTDATA("% of",PV!$AT$3,"Month","September","Time",8)</f>
        <v>7.9724644745347059E-2</v>
      </c>
      <c r="AP57" s="81">
        <f>GETPIVOTDATA("% of",PV!$AT$3,"Month","September","Time",9)</f>
        <v>0.10618574858996935</v>
      </c>
      <c r="AQ57" s="81">
        <f>GETPIVOTDATA("% of",PV!$AT$3,"Month","September","Time",10)</f>
        <v>0.13179204219926327</v>
      </c>
      <c r="AR57" s="81">
        <f>GETPIVOTDATA("% of",PV!$AT$3,"Month","September","Time",11)</f>
        <v>0.13045054162027217</v>
      </c>
      <c r="AS57" s="81">
        <f>GETPIVOTDATA("% of",PV!$AT$3,"Month","September","Time",12)</f>
        <v>0.12351407169799636</v>
      </c>
      <c r="AT57" s="81">
        <f>GETPIVOTDATA("% of",PV!$AT$3,"Month","September","Time",13)</f>
        <v>0.12959976908305992</v>
      </c>
      <c r="AU57" s="81">
        <f>GETPIVOTDATA("% of",PV!$AT$3,"Month","September","Time",14)</f>
        <v>0.10452241392698591</v>
      </c>
      <c r="AV57" s="81">
        <f>GETPIVOTDATA("% of",PV!$AT$3,"Month","September","Time",15)</f>
        <v>8.729173417706125E-2</v>
      </c>
      <c r="AW57" s="81">
        <f>GETPIVOTDATA("% of",PV!$AT$3,"Month","September","Time",16)</f>
        <v>5.1977041648511399E-2</v>
      </c>
      <c r="AX57" s="81">
        <f>GETPIVOTDATA("% of",PV!$AT$3,"Month","September","Time",17)</f>
        <v>1.5631603575253658E-2</v>
      </c>
      <c r="AY57" s="81">
        <f>GETPIVOTDATA("% of",PV!$AT$3,"Month","September","Time",18)</f>
        <v>2.4959867988937296E-4</v>
      </c>
      <c r="AZ57" s="81">
        <f>GETPIVOTDATA("% of",PV!$AT$3,"Month","September","Time",19)</f>
        <v>0</v>
      </c>
      <c r="BA57" s="81">
        <f>GETPIVOTDATA("% of",PV!$AT$3,"Month","September","Time",20)</f>
        <v>0</v>
      </c>
      <c r="BB57" s="81">
        <f>GETPIVOTDATA("% of",PV!$AT$3,"Month","September","Time",21)</f>
        <v>0</v>
      </c>
      <c r="BC57" s="81">
        <f>GETPIVOTDATA("% of",PV!$AT$3,"Month","September","Time",22)</f>
        <v>0</v>
      </c>
      <c r="BD57" s="81">
        <f>GETPIVOTDATA("% of",PV!$AT$3,"Month","September","Time",23)</f>
        <v>0</v>
      </c>
      <c r="BE57" s="81">
        <f>GETPIVOTDATA("% of",PV!$AT$3,"Month","September","Time",24)</f>
        <v>0</v>
      </c>
    </row>
    <row r="58" spans="9:59">
      <c r="R58" s="85">
        <f>BG42</f>
        <v>0</v>
      </c>
      <c r="AI58" s="85">
        <f>BG78</f>
        <v>0</v>
      </c>
      <c r="AK58" t="s">
        <v>203</v>
      </c>
      <c r="AL58" s="31">
        <f>AL57*PV!$C$31/30</f>
        <v>0</v>
      </c>
      <c r="AM58" s="31">
        <f>AM57*PV!$C$31/30</f>
        <v>0</v>
      </c>
      <c r="AN58" s="31">
        <f>AN57*PV!$C$31/30</f>
        <v>0</v>
      </c>
      <c r="AO58" s="31">
        <f>AO57*PV!$C$31/30</f>
        <v>0</v>
      </c>
      <c r="AP58" s="31">
        <f>AP57*PV!$C$31/30</f>
        <v>0</v>
      </c>
      <c r="AQ58" s="31">
        <f>AQ57*PV!$C$31/30</f>
        <v>0</v>
      </c>
      <c r="AR58" s="31">
        <f>AR57*PV!$C$31/30</f>
        <v>0</v>
      </c>
      <c r="AS58" s="31">
        <f>AS57*PV!$C$31/30</f>
        <v>0</v>
      </c>
      <c r="AT58" s="31">
        <f>AT57*PV!$C$31/30</f>
        <v>0</v>
      </c>
      <c r="AU58" s="31">
        <f>AU57*PV!$C$31/30</f>
        <v>0</v>
      </c>
      <c r="AV58" s="31">
        <f>AV57*PV!$C$31/30</f>
        <v>0</v>
      </c>
      <c r="AW58" s="31">
        <f>AW57*PV!$C$31/30</f>
        <v>0</v>
      </c>
      <c r="AX58" s="31">
        <f>AX57*PV!$C$31/30</f>
        <v>0</v>
      </c>
      <c r="AY58" s="31">
        <f>AY57*PV!$C$31/30</f>
        <v>0</v>
      </c>
      <c r="AZ58" s="31">
        <f>AZ57*PV!$C$31/30</f>
        <v>0</v>
      </c>
      <c r="BA58" s="31">
        <f>BA57*PV!$C$31/30</f>
        <v>0</v>
      </c>
      <c r="BB58" s="31">
        <f>BB57*PV!$C$31/30</f>
        <v>0</v>
      </c>
      <c r="BC58" s="31">
        <f>BC57*PV!$C$31/30</f>
        <v>0</v>
      </c>
      <c r="BD58" s="31">
        <f>BD57*PV!$C$31/30</f>
        <v>0</v>
      </c>
      <c r="BE58" s="31">
        <f>BE57*PV!$C$31/30</f>
        <v>0</v>
      </c>
      <c r="BF58" s="8">
        <f>SUM(AL58:BE58)</f>
        <v>0</v>
      </c>
    </row>
    <row r="59" spans="9:59">
      <c r="R59" s="87" t="s">
        <v>208</v>
      </c>
      <c r="AI59" s="87" t="s">
        <v>208</v>
      </c>
      <c r="AK59" t="s">
        <v>204</v>
      </c>
      <c r="AL59" s="85">
        <f>IF($AQ$5="Yes",MAX(0,0+IF(AL58&gt;BR35,AL58-BR35,0)-IF(AND(BR35&gt;=$CM$35,BR35&gt;AL58),MIN(0,BR35-AL58),0)),0)</f>
        <v>0</v>
      </c>
      <c r="AM59" s="85">
        <f>IF($AQ$5="Yes",
    MAX(0,
        AL59 +
        IF(OR(AM58 &gt; BS35, AND($AQ$6="Yes", BS35 &lt;= $CN$35)), IF(AND($AQ$6="Yes", BS35 &lt;= $CN$35), $AP$4, AM58 - BS35), 0) -
        IF(AND($AQ$6="Yes", BS35 &gt;= $CM$35, BS35 &gt; AM58), MIN(AL59, BS35 - AM58), IF(AND($AQ$6="No", BS35 &gt; AM58), MIN(AL59, BS35 - AM58), 0))
    ),
    0)</f>
        <v>0</v>
      </c>
      <c r="AN59" s="85">
        <f t="shared" ref="AN59:BE59" si="227">IF($AQ$5="Yes",
    MAX(0,
        AM59 +
        IF(OR(AN58 &gt; BT35, AND($AQ$6="Yes", BT35 &lt;= $CN$35)), IF(AND($AQ$6="Yes", BT35 &lt;= $CN$35), $AP$4, AN58 - BT35), 0) -
        IF(AND($AQ$6="Yes", BT35 &gt;= $CM$35, BT35 &gt; AN58), MIN(AM59, BT35 - AN58), IF(AND($AQ$6="No", BT35 &gt; AN58), MIN(AM59, BT35 - AN58), 0))
    ),
    0)</f>
        <v>0</v>
      </c>
      <c r="AO59" s="85">
        <f t="shared" si="227"/>
        <v>0</v>
      </c>
      <c r="AP59" s="85">
        <f t="shared" si="227"/>
        <v>0</v>
      </c>
      <c r="AQ59" s="85">
        <f t="shared" si="227"/>
        <v>0</v>
      </c>
      <c r="AR59" s="85">
        <f t="shared" si="227"/>
        <v>0</v>
      </c>
      <c r="AS59" s="85">
        <f t="shared" si="227"/>
        <v>0</v>
      </c>
      <c r="AT59" s="85">
        <f t="shared" si="227"/>
        <v>0</v>
      </c>
      <c r="AU59" s="85">
        <f t="shared" si="227"/>
        <v>0</v>
      </c>
      <c r="AV59" s="85">
        <f t="shared" si="227"/>
        <v>0</v>
      </c>
      <c r="AW59" s="85">
        <f t="shared" si="227"/>
        <v>0</v>
      </c>
      <c r="AX59" s="85">
        <f t="shared" si="227"/>
        <v>0</v>
      </c>
      <c r="AY59" s="85">
        <f t="shared" si="227"/>
        <v>0</v>
      </c>
      <c r="AZ59" s="85">
        <f t="shared" si="227"/>
        <v>0</v>
      </c>
      <c r="BA59" s="85">
        <f t="shared" si="227"/>
        <v>0</v>
      </c>
      <c r="BB59" s="85">
        <f t="shared" si="227"/>
        <v>0</v>
      </c>
      <c r="BC59" s="85">
        <f t="shared" si="227"/>
        <v>0</v>
      </c>
      <c r="BD59" s="85">
        <f t="shared" si="227"/>
        <v>0</v>
      </c>
      <c r="BE59" s="85">
        <f t="shared" si="227"/>
        <v>0</v>
      </c>
      <c r="BF59" s="8">
        <f>SUM(AL59:BE59)</f>
        <v>0</v>
      </c>
    </row>
    <row r="60" spans="9:59">
      <c r="I60" s="82"/>
      <c r="R60" s="85">
        <f>BF42</f>
        <v>0</v>
      </c>
      <c r="AI60" s="85">
        <f>BF78</f>
        <v>0</v>
      </c>
      <c r="AK60" t="s">
        <v>205</v>
      </c>
      <c r="AL60" s="85">
        <f>MAX(0,
    BR35 - AL58 +
    IF(AND($AQ$6="Yes", BR35 &lt;= $CN$35), $AP$4, 0) -
    IF(AND($AQ$5="Yes", AL59 &gt; 0, OR(AND($AQ$6="Yes", BR35 &gt;= $CM$35), $AQ$6="No", BR35 &gt; AL58)), MIN(AL59, BR35 - AL58), 0)
)</f>
        <v>0</v>
      </c>
      <c r="AM60" s="85">
        <f t="shared" ref="AM60:BE60" si="228">MAX(0,
    BS35 - AM58 +
    IF(AND($AQ$6="Yes", BS35 &lt;= $CN$35), $AP$4, 0) -
    IF(AND($AQ$5="Yes", AM59 &gt; 0, OR(AND($AQ$6="Yes", BS35 &gt;= $CM$35), $AQ$6="No", BS35 &gt; AM58)), MIN(AM59, BS35 - AM58), 0)
)</f>
        <v>0</v>
      </c>
      <c r="AN60" s="85">
        <f t="shared" si="228"/>
        <v>0</v>
      </c>
      <c r="AO60" s="85">
        <f t="shared" si="228"/>
        <v>0</v>
      </c>
      <c r="AP60" s="85">
        <f t="shared" si="228"/>
        <v>0</v>
      </c>
      <c r="AQ60" s="85">
        <f t="shared" si="228"/>
        <v>0</v>
      </c>
      <c r="AR60" s="85">
        <f t="shared" si="228"/>
        <v>0</v>
      </c>
      <c r="AS60" s="85">
        <f t="shared" si="228"/>
        <v>0</v>
      </c>
      <c r="AT60" s="85">
        <f t="shared" si="228"/>
        <v>0</v>
      </c>
      <c r="AU60" s="85">
        <f t="shared" si="228"/>
        <v>0</v>
      </c>
      <c r="AV60" s="85">
        <f t="shared" si="228"/>
        <v>0</v>
      </c>
      <c r="AW60" s="85">
        <f t="shared" si="228"/>
        <v>0</v>
      </c>
      <c r="AX60" s="85">
        <f t="shared" si="228"/>
        <v>0</v>
      </c>
      <c r="AY60" s="85">
        <f t="shared" si="228"/>
        <v>0</v>
      </c>
      <c r="AZ60" s="85">
        <f t="shared" si="228"/>
        <v>0</v>
      </c>
      <c r="BA60" s="85">
        <f t="shared" si="228"/>
        <v>0</v>
      </c>
      <c r="BB60" s="85">
        <f t="shared" si="228"/>
        <v>0</v>
      </c>
      <c r="BC60" s="85">
        <f t="shared" si="228"/>
        <v>0</v>
      </c>
      <c r="BD60" s="85">
        <f t="shared" si="228"/>
        <v>0</v>
      </c>
      <c r="BE60" s="85">
        <f t="shared" si="228"/>
        <v>0</v>
      </c>
      <c r="BF60" s="8">
        <f>SUM(AL60:BE60)</f>
        <v>0</v>
      </c>
      <c r="BG60" s="8">
        <f>CL35</f>
        <v>0</v>
      </c>
    </row>
    <row r="61" spans="9:59">
      <c r="R61" s="87" t="s">
        <v>209</v>
      </c>
      <c r="AI61" s="87" t="s">
        <v>209</v>
      </c>
      <c r="AL61" s="53" t="s">
        <v>191</v>
      </c>
      <c r="AM61" s="53"/>
      <c r="AN61" s="53"/>
      <c r="AO61" s="53"/>
      <c r="AP61" s="53"/>
      <c r="AQ61" s="53"/>
      <c r="AR61" s="53"/>
      <c r="AS61" s="53"/>
      <c r="AT61" s="53"/>
      <c r="AU61" s="53"/>
      <c r="AV61" s="53"/>
      <c r="AW61" s="53"/>
      <c r="AX61" s="53"/>
      <c r="AY61" s="53"/>
      <c r="AZ61" s="53"/>
      <c r="BA61" s="53"/>
      <c r="BB61" s="53"/>
      <c r="BC61" s="53"/>
      <c r="BD61" s="53"/>
      <c r="BE61" s="53"/>
    </row>
    <row r="62" spans="9:59">
      <c r="R62" s="86" t="e">
        <f>(R58-R60)/R58</f>
        <v>#DIV/0!</v>
      </c>
      <c r="AI62" s="86" t="e">
        <f>(AI58-AI60)/AI58</f>
        <v>#DIV/0!</v>
      </c>
      <c r="AL62" s="43">
        <v>0.20833333333333334</v>
      </c>
      <c r="AM62" s="43">
        <v>0.25</v>
      </c>
      <c r="AN62" s="43">
        <v>0.29166666666666702</v>
      </c>
      <c r="AO62" s="43">
        <v>0.33333333333333298</v>
      </c>
      <c r="AP62" s="43">
        <v>0.375</v>
      </c>
      <c r="AQ62" s="43">
        <v>0.41666666666666702</v>
      </c>
      <c r="AR62" s="43">
        <v>0.45833333333333298</v>
      </c>
      <c r="AS62" s="43">
        <v>0.5</v>
      </c>
      <c r="AT62" s="43">
        <v>0.54166666666666696</v>
      </c>
      <c r="AU62" s="43">
        <v>0.58333333333333304</v>
      </c>
      <c r="AV62" s="43">
        <v>0.625</v>
      </c>
      <c r="AW62" s="43">
        <v>0.66666666666666696</v>
      </c>
      <c r="AX62" s="43">
        <v>0.70833333333333304</v>
      </c>
      <c r="AY62" s="43">
        <v>0.75</v>
      </c>
      <c r="AZ62" s="43">
        <v>0.79166666666666696</v>
      </c>
      <c r="BA62" s="43">
        <v>0.83333333333333304</v>
      </c>
      <c r="BB62" s="43">
        <v>0.875</v>
      </c>
      <c r="BC62" s="43">
        <v>0.91666666666666696</v>
      </c>
      <c r="BD62" s="43">
        <v>0.95833333333333304</v>
      </c>
      <c r="BE62" s="43">
        <v>1</v>
      </c>
    </row>
    <row r="63" spans="9:59">
      <c r="AK63" t="s">
        <v>199</v>
      </c>
      <c r="AL63" s="81">
        <f>GETPIVOTDATA("% of",PV!$AT$3,"Month","October","Time",5)</f>
        <v>0</v>
      </c>
      <c r="AM63" s="81">
        <f>GETPIVOTDATA("% of",PV!$AT$3,"Month","October","Time",6)</f>
        <v>0</v>
      </c>
      <c r="AN63" s="81">
        <f>GETPIVOTDATA("% of",PV!$AT$3,"Month","October","Time",7)</f>
        <v>2.27814601582082E-2</v>
      </c>
      <c r="AO63" s="81">
        <f>GETPIVOTDATA("% of",PV!$AT$3,"Month","October","Time",8)</f>
        <v>8.2914273255821916E-2</v>
      </c>
      <c r="AP63" s="81">
        <f>GETPIVOTDATA("% of",PV!$AT$3,"Month","October","Time",9)</f>
        <v>0.12532099742710898</v>
      </c>
      <c r="AQ63" s="81">
        <f>GETPIVOTDATA("% of",PV!$AT$3,"Month","October","Time",10)</f>
        <v>0.14718133947691006</v>
      </c>
      <c r="AR63" s="81">
        <f>GETPIVOTDATA("% of",PV!$AT$3,"Month","October","Time",11)</f>
        <v>0.13627145178746666</v>
      </c>
      <c r="AS63" s="81">
        <f>GETPIVOTDATA("% of",PV!$AT$3,"Month","October","Time",12)</f>
        <v>0.14615107337501151</v>
      </c>
      <c r="AT63" s="81">
        <f>GETPIVOTDATA("% of",PV!$AT$3,"Month","October","Time",13)</f>
        <v>0.13603960325795841</v>
      </c>
      <c r="AU63" s="81">
        <f>GETPIVOTDATA("% of",PV!$AT$3,"Month","October","Time",14)</f>
        <v>0.10053476149844551</v>
      </c>
      <c r="AV63" s="81">
        <f>GETPIVOTDATA("% of",PV!$AT$3,"Month","October","Time",15)</f>
        <v>8.0129907941853609E-2</v>
      </c>
      <c r="AW63" s="81">
        <f>GETPIVOTDATA("% of",PV!$AT$3,"Month","October","Time",16)</f>
        <v>2.2357511160154948E-2</v>
      </c>
      <c r="AX63" s="81">
        <f>GETPIVOTDATA("% of",PV!$AT$3,"Month","October","Time",17)</f>
        <v>3.1762066106027999E-4</v>
      </c>
      <c r="AY63" s="81">
        <f>GETPIVOTDATA("% of",PV!$AT$3,"Month","October","Time",18)</f>
        <v>0</v>
      </c>
      <c r="AZ63" s="81">
        <f>GETPIVOTDATA("% of",PV!$AT$3,"Month","October","Time",19)</f>
        <v>0</v>
      </c>
      <c r="BA63" s="81">
        <f>GETPIVOTDATA("% of",PV!$AT$3,"Month","October","Time",20)</f>
        <v>0</v>
      </c>
      <c r="BB63" s="81">
        <f>GETPIVOTDATA("% of",PV!$AT$3,"Month","October","Time",21)</f>
        <v>0</v>
      </c>
      <c r="BC63" s="81">
        <f>GETPIVOTDATA("% of",PV!$AT$3,"Month","October","Time",22)</f>
        <v>0</v>
      </c>
      <c r="BD63" s="81">
        <f>GETPIVOTDATA("% of",PV!$AT$3,"Month","October","Time",23)</f>
        <v>0</v>
      </c>
      <c r="BE63" s="81">
        <f>GETPIVOTDATA("% of",PV!$AT$3,"Month","October","Time",24)</f>
        <v>0</v>
      </c>
    </row>
    <row r="64" spans="9:59">
      <c r="AK64" t="s">
        <v>203</v>
      </c>
      <c r="AL64" s="31">
        <f>AL63*PV!$C$32/31</f>
        <v>0</v>
      </c>
      <c r="AM64" s="31">
        <f>AM63*PV!$C$32/31</f>
        <v>0</v>
      </c>
      <c r="AN64" s="31">
        <f>AN63*PV!$C$32/31</f>
        <v>0</v>
      </c>
      <c r="AO64" s="31">
        <f>AO63*PV!$C$32/31</f>
        <v>0</v>
      </c>
      <c r="AP64" s="31">
        <f>AP63*PV!$C$32/31</f>
        <v>0</v>
      </c>
      <c r="AQ64" s="31">
        <f>AQ63*PV!$C$32/31</f>
        <v>0</v>
      </c>
      <c r="AR64" s="31">
        <f>AR63*PV!$C$32/31</f>
        <v>0</v>
      </c>
      <c r="AS64" s="31">
        <f>AS63*PV!$C$32/31</f>
        <v>0</v>
      </c>
      <c r="AT64" s="31">
        <f>AT63*PV!$C$32/31</f>
        <v>0</v>
      </c>
      <c r="AU64" s="31">
        <f>AU63*PV!$C$32/31</f>
        <v>0</v>
      </c>
      <c r="AV64" s="31">
        <f>AV63*PV!$C$32/31</f>
        <v>0</v>
      </c>
      <c r="AW64" s="31">
        <f>AW63*PV!$C$32/31</f>
        <v>0</v>
      </c>
      <c r="AX64" s="31">
        <f>AX63*PV!$C$32/31</f>
        <v>0</v>
      </c>
      <c r="AY64" s="31">
        <f>AY63*PV!$C$32/31</f>
        <v>0</v>
      </c>
      <c r="AZ64" s="31">
        <f>AZ63*PV!$C$32/31</f>
        <v>0</v>
      </c>
      <c r="BA64" s="31">
        <f>BA63*PV!$C$32/31</f>
        <v>0</v>
      </c>
      <c r="BB64" s="31">
        <f>BB63*PV!$C$32/31</f>
        <v>0</v>
      </c>
      <c r="BC64" s="31">
        <f>BC63*PV!$C$32/31</f>
        <v>0</v>
      </c>
      <c r="BD64" s="31">
        <f>BD63*PV!$C$32/31</f>
        <v>0</v>
      </c>
      <c r="BE64" s="31">
        <f>BE63*PV!$C$32/31</f>
        <v>0</v>
      </c>
      <c r="BF64" s="8">
        <f>SUM(AL64:BE64)</f>
        <v>0</v>
      </c>
    </row>
    <row r="65" spans="19:59">
      <c r="AK65" t="s">
        <v>204</v>
      </c>
      <c r="AL65" s="85">
        <f>IF($AQ$5="Yes",MAX(0,0+IF(AL64&gt;BR38,AL64-BR38,0)-IF(AND(BR38&gt;=$CM$38,BR38&gt;AL64),MIN(0,BR38-AL64),0)),0)</f>
        <v>0</v>
      </c>
      <c r="AM65" s="85">
        <f>IF($AQ$5="Yes",
    MAX(0,
        AL65 +
        IF(OR(AM64 &gt; BS38, AND($AQ$6="Yes", BS38 &lt;= $CN$38)), IF(AND($AQ$6="Yes", BS38 &lt;= $CN$38), $AP$4, AM64 - BS38), 0) -
        IF(AND($AQ$6="Yes", BS38 &gt;= $CM$38, BS38 &gt; AM64), MIN(AL65, BS38 - AM64), IF(AND($AQ$6="No", BS38 &gt; AM64), MIN(AL65, BS38 - AM64), 0))
    ),
    0)</f>
        <v>0</v>
      </c>
      <c r="AN65" s="85">
        <f t="shared" ref="AN65:BE65" si="229">IF($AQ$5="Yes",
    MAX(0,
        AM65 +
        IF(OR(AN64 &gt; BT38, AND($AQ$6="Yes", BT38 &lt;= $CN$38)), IF(AND($AQ$6="Yes", BT38 &lt;= $CN$38), $AP$4, AN64 - BT38), 0) -
        IF(AND($AQ$6="Yes", BT38 &gt;= $CM$38, BT38 &gt; AN64), MIN(AM65, BT38 - AN64), IF(AND($AQ$6="No", BT38 &gt; AN64), MIN(AM65, BT38 - AN64), 0))
    ),
    0)</f>
        <v>0</v>
      </c>
      <c r="AO65" s="85">
        <f t="shared" si="229"/>
        <v>0</v>
      </c>
      <c r="AP65" s="85">
        <f t="shared" si="229"/>
        <v>0</v>
      </c>
      <c r="AQ65" s="85">
        <f t="shared" si="229"/>
        <v>0</v>
      </c>
      <c r="AR65" s="85">
        <f t="shared" si="229"/>
        <v>0</v>
      </c>
      <c r="AS65" s="85">
        <f t="shared" si="229"/>
        <v>0</v>
      </c>
      <c r="AT65" s="85">
        <f t="shared" si="229"/>
        <v>0</v>
      </c>
      <c r="AU65" s="85">
        <f t="shared" si="229"/>
        <v>0</v>
      </c>
      <c r="AV65" s="85">
        <f t="shared" si="229"/>
        <v>0</v>
      </c>
      <c r="AW65" s="85">
        <f t="shared" si="229"/>
        <v>0</v>
      </c>
      <c r="AX65" s="85">
        <f t="shared" si="229"/>
        <v>0</v>
      </c>
      <c r="AY65" s="85">
        <f t="shared" si="229"/>
        <v>0</v>
      </c>
      <c r="AZ65" s="85">
        <f t="shared" si="229"/>
        <v>0</v>
      </c>
      <c r="BA65" s="85">
        <f t="shared" si="229"/>
        <v>0</v>
      </c>
      <c r="BB65" s="85">
        <f t="shared" si="229"/>
        <v>0</v>
      </c>
      <c r="BC65" s="85">
        <f t="shared" si="229"/>
        <v>0</v>
      </c>
      <c r="BD65" s="85">
        <f t="shared" si="229"/>
        <v>0</v>
      </c>
      <c r="BE65" s="85">
        <f t="shared" si="229"/>
        <v>0</v>
      </c>
      <c r="BF65" s="8">
        <f>SUM(AL65:BE65)</f>
        <v>0</v>
      </c>
    </row>
    <row r="66" spans="19:59">
      <c r="AK66" t="s">
        <v>205</v>
      </c>
      <c r="AL66" s="85">
        <f>MAX(0,
    BR38 - AL64 +
    IF(AND($AQ$6="Yes", BR38 &lt;= $CN$38), $AP$4, 0) -
    IF(AND($AQ$5="Yes", AL65 &gt; 0, OR(AND($AQ$6="Yes", BR38 &gt;= $CM$38), $AQ$6="No", BR38 &gt; AL64)), MIN(AL65, BR38 - AL64), 0)
)</f>
        <v>0</v>
      </c>
      <c r="AM66" s="85">
        <f t="shared" ref="AM66:BE66" si="230">MAX(0,
    BS38 - AM64 +
    IF(AND($AQ$6="Yes", BS38 &lt;= $CN$38), $AP$4, 0) -
    IF(AND($AQ$5="Yes", AM65 &gt; 0, OR(AND($AQ$6="Yes", BS38 &gt;= $CM$38), $AQ$6="No", BS38 &gt; AM64)), MIN(AM65, BS38 - AM64), 0)
)</f>
        <v>0</v>
      </c>
      <c r="AN66" s="85">
        <f t="shared" si="230"/>
        <v>0</v>
      </c>
      <c r="AO66" s="85">
        <f t="shared" si="230"/>
        <v>0</v>
      </c>
      <c r="AP66" s="85">
        <f t="shared" si="230"/>
        <v>0</v>
      </c>
      <c r="AQ66" s="85">
        <f t="shared" si="230"/>
        <v>0</v>
      </c>
      <c r="AR66" s="85">
        <f t="shared" si="230"/>
        <v>0</v>
      </c>
      <c r="AS66" s="85">
        <f t="shared" si="230"/>
        <v>0</v>
      </c>
      <c r="AT66" s="85">
        <f t="shared" si="230"/>
        <v>0</v>
      </c>
      <c r="AU66" s="85">
        <f t="shared" si="230"/>
        <v>0</v>
      </c>
      <c r="AV66" s="85">
        <f t="shared" si="230"/>
        <v>0</v>
      </c>
      <c r="AW66" s="85">
        <f t="shared" si="230"/>
        <v>0</v>
      </c>
      <c r="AX66" s="85">
        <f t="shared" si="230"/>
        <v>0</v>
      </c>
      <c r="AY66" s="85">
        <f t="shared" si="230"/>
        <v>0</v>
      </c>
      <c r="AZ66" s="85">
        <f t="shared" si="230"/>
        <v>0</v>
      </c>
      <c r="BA66" s="85">
        <f t="shared" si="230"/>
        <v>0</v>
      </c>
      <c r="BB66" s="85">
        <f t="shared" si="230"/>
        <v>0</v>
      </c>
      <c r="BC66" s="85">
        <f t="shared" si="230"/>
        <v>0</v>
      </c>
      <c r="BD66" s="85">
        <f t="shared" si="230"/>
        <v>0</v>
      </c>
      <c r="BE66" s="85">
        <f t="shared" si="230"/>
        <v>0</v>
      </c>
      <c r="BF66" s="8">
        <f>SUM(AL66:BE66)</f>
        <v>0</v>
      </c>
      <c r="BG66" s="8">
        <f>CL38</f>
        <v>0</v>
      </c>
    </row>
    <row r="67" spans="19:59">
      <c r="S67" s="31"/>
      <c r="AL67" s="53" t="s">
        <v>192</v>
      </c>
      <c r="AM67" s="53"/>
      <c r="AN67" s="53"/>
      <c r="AO67" s="53"/>
      <c r="AP67" s="53"/>
      <c r="AQ67" s="53"/>
      <c r="AR67" s="53"/>
      <c r="AS67" s="53"/>
      <c r="AT67" s="53"/>
      <c r="AU67" s="53"/>
      <c r="AV67" s="53"/>
      <c r="AW67" s="53"/>
      <c r="AX67" s="53"/>
      <c r="AY67" s="53"/>
      <c r="AZ67" s="53"/>
      <c r="BA67" s="53"/>
      <c r="BB67" s="53"/>
      <c r="BC67" s="53"/>
      <c r="BD67" s="53"/>
      <c r="BE67" s="53"/>
    </row>
    <row r="68" spans="19:59">
      <c r="S68" s="31"/>
      <c r="AL68" s="43">
        <v>0.20833333333333334</v>
      </c>
      <c r="AM68" s="43">
        <v>0.25</v>
      </c>
      <c r="AN68" s="43">
        <v>0.29166666666666702</v>
      </c>
      <c r="AO68" s="43">
        <v>0.33333333333333298</v>
      </c>
      <c r="AP68" s="43">
        <v>0.375</v>
      </c>
      <c r="AQ68" s="43">
        <v>0.41666666666666702</v>
      </c>
      <c r="AR68" s="43">
        <v>0.45833333333333298</v>
      </c>
      <c r="AS68" s="43">
        <v>0.5</v>
      </c>
      <c r="AT68" s="43">
        <v>0.54166666666666696</v>
      </c>
      <c r="AU68" s="43">
        <v>0.58333333333333304</v>
      </c>
      <c r="AV68" s="43">
        <v>0.625</v>
      </c>
      <c r="AW68" s="43">
        <v>0.66666666666666696</v>
      </c>
      <c r="AX68" s="43">
        <v>0.70833333333333304</v>
      </c>
      <c r="AY68" s="43">
        <v>0.75</v>
      </c>
      <c r="AZ68" s="43">
        <v>0.79166666666666696</v>
      </c>
      <c r="BA68" s="43">
        <v>0.83333333333333304</v>
      </c>
      <c r="BB68" s="43">
        <v>0.875</v>
      </c>
      <c r="BC68" s="43">
        <v>0.91666666666666696</v>
      </c>
      <c r="BD68" s="43">
        <v>0.95833333333333304</v>
      </c>
      <c r="BE68" s="43">
        <v>1</v>
      </c>
    </row>
    <row r="69" spans="19:59">
      <c r="S69" s="31"/>
      <c r="AK69" t="s">
        <v>199</v>
      </c>
      <c r="AL69" s="81">
        <f>GETPIVOTDATA("% of",PV!$AT$3,"Month","November","Time",5)</f>
        <v>0</v>
      </c>
      <c r="AM69" s="81">
        <f>GETPIVOTDATA("% of",PV!$AT$3,"Month","November","Time",6)</f>
        <v>0</v>
      </c>
      <c r="AN69" s="81">
        <f>GETPIVOTDATA("% of",PV!$AT$3,"Month","November","Time",7)</f>
        <v>0</v>
      </c>
      <c r="AO69" s="81">
        <f>GETPIVOTDATA("% of",PV!$AT$3,"Month","November","Time",8)</f>
        <v>3.7834175267160784E-2</v>
      </c>
      <c r="AP69" s="81">
        <f>GETPIVOTDATA("% of",PV!$AT$3,"Month","November","Time",9)</f>
        <v>0.10527486913421837</v>
      </c>
      <c r="AQ69" s="81">
        <f>GETPIVOTDATA("% of",PV!$AT$3,"Month","November","Time",10)</f>
        <v>0.17822462764702501</v>
      </c>
      <c r="AR69" s="81">
        <f>GETPIVOTDATA("% of",PV!$AT$3,"Month","November","Time",11)</f>
        <v>0.18416148550046088</v>
      </c>
      <c r="AS69" s="81">
        <f>GETPIVOTDATA("% of",PV!$AT$3,"Month","November","Time",12)</f>
        <v>0.17397123750583693</v>
      </c>
      <c r="AT69" s="81">
        <f>GETPIVOTDATA("% of",PV!$AT$3,"Month","November","Time",13)</f>
        <v>0.14615420778031712</v>
      </c>
      <c r="AU69" s="81">
        <f>GETPIVOTDATA("% of",PV!$AT$3,"Month","November","Time",14)</f>
        <v>0.11369777053421029</v>
      </c>
      <c r="AV69" s="81">
        <f>GETPIVOTDATA("% of",PV!$AT$3,"Month","November","Time",15)</f>
        <v>6.0655230415508063E-2</v>
      </c>
      <c r="AW69" s="81">
        <f>GETPIVOTDATA("% of",PV!$AT$3,"Month","November","Time",16)</f>
        <v>2.6396215262662519E-5</v>
      </c>
      <c r="AX69" s="81">
        <f>GETPIVOTDATA("% of",PV!$AT$3,"Month","November","Time",17)</f>
        <v>0</v>
      </c>
      <c r="AY69" s="81">
        <f>GETPIVOTDATA("% of",PV!$AT$3,"Month","November","Time",18)</f>
        <v>0</v>
      </c>
      <c r="AZ69" s="81">
        <f>GETPIVOTDATA("% of",PV!$AT$3,"Month","November","Time",19)</f>
        <v>0</v>
      </c>
      <c r="BA69" s="81">
        <f>GETPIVOTDATA("% of",PV!$AT$3,"Month","November","Time",20)</f>
        <v>0</v>
      </c>
      <c r="BB69" s="81">
        <f>GETPIVOTDATA("% of",PV!$AT$3,"Month","November","Time",21)</f>
        <v>0</v>
      </c>
      <c r="BC69" s="81">
        <f>GETPIVOTDATA("% of",PV!$AT$3,"Month","November","Time",22)</f>
        <v>0</v>
      </c>
      <c r="BD69" s="81">
        <f>GETPIVOTDATA("% of",PV!$AT$3,"Month","November","Time",23)</f>
        <v>0</v>
      </c>
      <c r="BE69" s="81">
        <f>GETPIVOTDATA("% of",PV!$AT$3,"Month","November","Time",24)</f>
        <v>0</v>
      </c>
    </row>
    <row r="70" spans="19:59">
      <c r="S70" s="31"/>
      <c r="AK70" t="s">
        <v>203</v>
      </c>
      <c r="AL70" s="31">
        <f>AL69*PV!$C$33/30</f>
        <v>0</v>
      </c>
      <c r="AM70" s="31">
        <f>AM69*PV!$C$33/30</f>
        <v>0</v>
      </c>
      <c r="AN70" s="31">
        <f>AN69*PV!$C$33/30</f>
        <v>0</v>
      </c>
      <c r="AO70" s="31">
        <f>AO69*PV!$C$33/30</f>
        <v>0</v>
      </c>
      <c r="AP70" s="31">
        <f>AP69*PV!$C$33/30</f>
        <v>0</v>
      </c>
      <c r="AQ70" s="31">
        <f>AQ69*PV!$C$33/30</f>
        <v>0</v>
      </c>
      <c r="AR70" s="31">
        <f>AR69*PV!$C$33/30</f>
        <v>0</v>
      </c>
      <c r="AS70" s="31">
        <f>AS69*PV!$C$33/30</f>
        <v>0</v>
      </c>
      <c r="AT70" s="31">
        <f>AT69*PV!$C$33/30</f>
        <v>0</v>
      </c>
      <c r="AU70" s="31">
        <f>AU69*PV!$C$33/30</f>
        <v>0</v>
      </c>
      <c r="AV70" s="31">
        <f>AV69*PV!$C$33/30</f>
        <v>0</v>
      </c>
      <c r="AW70" s="31">
        <f>AW69*PV!$C$33/30</f>
        <v>0</v>
      </c>
      <c r="AX70" s="31">
        <f>AX69*PV!$C$33/30</f>
        <v>0</v>
      </c>
      <c r="AY70" s="31">
        <f>AY69*PV!$C$33/30</f>
        <v>0</v>
      </c>
      <c r="AZ70" s="31">
        <f>AZ69*PV!$C$33/30</f>
        <v>0</v>
      </c>
      <c r="BA70" s="31">
        <f>BA69*PV!$C$33/30</f>
        <v>0</v>
      </c>
      <c r="BB70" s="31">
        <f>BB69*PV!$C$33/30</f>
        <v>0</v>
      </c>
      <c r="BC70" s="31">
        <f>BC69*PV!$C$33/30</f>
        <v>0</v>
      </c>
      <c r="BD70" s="31">
        <f>BD69*PV!$C$33/30</f>
        <v>0</v>
      </c>
      <c r="BE70" s="31">
        <f>BE69*PV!$C$33/30</f>
        <v>0</v>
      </c>
      <c r="BF70" s="8">
        <f>SUM(AL70:BE70)</f>
        <v>0</v>
      </c>
    </row>
    <row r="71" spans="19:59">
      <c r="S71" s="31"/>
      <c r="AK71" t="s">
        <v>204</v>
      </c>
      <c r="AL71" s="85">
        <f>IF($AQ$5="Yes",MAX(0,0+IF(AL70&gt;BR41,AL70-BR41,0)-IF(AND(BR41&gt;=$CM$41,BR41&gt;AL70),MIN(0,BR41-AL70),0)),0)</f>
        <v>0</v>
      </c>
      <c r="AM71" s="85">
        <f>IF($AQ$5="Yes",
    MAX(0,
        AL71 +
        IF(OR(AM70 &gt; BS41, AND($AQ$6="Yes", BS41 &lt;= $CN$41)), IF(AND($AQ$6="Yes", BS41 &lt;= $CN$41), $AP$4, AM70 - BS41), 0) -
        IF(AND($AQ$6="Yes", BS41 &gt;= $CM$41, BS41 &gt; AM70), MIN(AL71, BS41 - AM70), IF(AND($AQ$6="No", BS41 &gt; AM70), MIN(AL71, BS41 - AM70), 0))
    ),
    0)</f>
        <v>0</v>
      </c>
      <c r="AN71" s="85">
        <f t="shared" ref="AN71:BE71" si="231">IF($AQ$5="Yes",
    MAX(0,
        AM71 +
        IF(OR(AN70 &gt; BT41, AND($AQ$6="Yes", BT41 &lt;= $CN$41)), IF(AND($AQ$6="Yes", BT41 &lt;= $CN$41), $AP$4, AN70 - BT41), 0) -
        IF(AND($AQ$6="Yes", BT41 &gt;= $CM$41, BT41 &gt; AN70), MIN(AM71, BT41 - AN70), IF(AND($AQ$6="No", BT41 &gt; AN70), MIN(AM71, BT41 - AN70), 0))
    ),
    0)</f>
        <v>0</v>
      </c>
      <c r="AO71" s="85">
        <f t="shared" si="231"/>
        <v>0</v>
      </c>
      <c r="AP71" s="85">
        <f t="shared" si="231"/>
        <v>0</v>
      </c>
      <c r="AQ71" s="85">
        <f t="shared" si="231"/>
        <v>0</v>
      </c>
      <c r="AR71" s="85">
        <f t="shared" si="231"/>
        <v>0</v>
      </c>
      <c r="AS71" s="85">
        <f t="shared" si="231"/>
        <v>0</v>
      </c>
      <c r="AT71" s="85">
        <f t="shared" si="231"/>
        <v>0</v>
      </c>
      <c r="AU71" s="85">
        <f t="shared" si="231"/>
        <v>0</v>
      </c>
      <c r="AV71" s="85">
        <f t="shared" si="231"/>
        <v>0</v>
      </c>
      <c r="AW71" s="85">
        <f t="shared" si="231"/>
        <v>0</v>
      </c>
      <c r="AX71" s="85">
        <f t="shared" si="231"/>
        <v>0</v>
      </c>
      <c r="AY71" s="85">
        <f t="shared" si="231"/>
        <v>0</v>
      </c>
      <c r="AZ71" s="85">
        <f t="shared" si="231"/>
        <v>0</v>
      </c>
      <c r="BA71" s="85">
        <f t="shared" si="231"/>
        <v>0</v>
      </c>
      <c r="BB71" s="85">
        <f t="shared" si="231"/>
        <v>0</v>
      </c>
      <c r="BC71" s="85">
        <f t="shared" si="231"/>
        <v>0</v>
      </c>
      <c r="BD71" s="85">
        <f t="shared" si="231"/>
        <v>0</v>
      </c>
      <c r="BE71" s="85">
        <f t="shared" si="231"/>
        <v>0</v>
      </c>
      <c r="BF71" s="8">
        <f>SUM(AL71:BE71)</f>
        <v>0</v>
      </c>
    </row>
    <row r="72" spans="19:59">
      <c r="S72" s="31"/>
      <c r="AK72" t="s">
        <v>205</v>
      </c>
      <c r="AL72" s="85">
        <f>MAX(0,
    BR41 - AL70 +
    IF(AND($AQ$6="Yes", BR41 &lt;= $CN$41), $AP$4, 0) -
    IF(AND($AQ$5="Yes", AL71 &gt; 0, OR(AND($AQ$6="Yes", BR41 &gt;= $CM$41), $AQ$6="No", BR41 &gt; AL70)), MIN(AL71, BR41 - AL70), 0)
)</f>
        <v>0</v>
      </c>
      <c r="AM72" s="85">
        <f t="shared" ref="AM72:BE72" si="232">MAX(0,
    BS41 - AM70 +
    IF(AND($AQ$6="Yes", BS41 &lt;= $CN$41), $AP$4, 0) -
    IF(AND($AQ$5="Yes", AM71 &gt; 0, OR(AND($AQ$6="Yes", BS41 &gt;= $CM$41), $AQ$6="No", BS41 &gt; AM70)), MIN(AM71, BS41 - AM70), 0)
)</f>
        <v>0</v>
      </c>
      <c r="AN72" s="85">
        <f t="shared" si="232"/>
        <v>0</v>
      </c>
      <c r="AO72" s="85">
        <f t="shared" si="232"/>
        <v>0</v>
      </c>
      <c r="AP72" s="85">
        <f t="shared" si="232"/>
        <v>0</v>
      </c>
      <c r="AQ72" s="85">
        <f t="shared" si="232"/>
        <v>0</v>
      </c>
      <c r="AR72" s="85">
        <f t="shared" si="232"/>
        <v>0</v>
      </c>
      <c r="AS72" s="85">
        <f t="shared" si="232"/>
        <v>0</v>
      </c>
      <c r="AT72" s="85">
        <f t="shared" si="232"/>
        <v>0</v>
      </c>
      <c r="AU72" s="85">
        <f t="shared" si="232"/>
        <v>0</v>
      </c>
      <c r="AV72" s="85">
        <f t="shared" si="232"/>
        <v>0</v>
      </c>
      <c r="AW72" s="85">
        <f t="shared" si="232"/>
        <v>0</v>
      </c>
      <c r="AX72" s="85">
        <f t="shared" si="232"/>
        <v>0</v>
      </c>
      <c r="AY72" s="85">
        <f t="shared" si="232"/>
        <v>0</v>
      </c>
      <c r="AZ72" s="85">
        <f t="shared" si="232"/>
        <v>0</v>
      </c>
      <c r="BA72" s="85">
        <f t="shared" si="232"/>
        <v>0</v>
      </c>
      <c r="BB72" s="85">
        <f t="shared" si="232"/>
        <v>0</v>
      </c>
      <c r="BC72" s="85">
        <f t="shared" si="232"/>
        <v>0</v>
      </c>
      <c r="BD72" s="85">
        <f t="shared" si="232"/>
        <v>0</v>
      </c>
      <c r="BE72" s="85">
        <f t="shared" si="232"/>
        <v>0</v>
      </c>
      <c r="BF72" s="8">
        <f>SUM(AL72:BE72)</f>
        <v>0</v>
      </c>
      <c r="BG72" s="8">
        <f>CL41</f>
        <v>0</v>
      </c>
    </row>
    <row r="73" spans="19:59">
      <c r="S73" s="31"/>
      <c r="AL73" s="53" t="s">
        <v>193</v>
      </c>
      <c r="AM73" s="53"/>
      <c r="AN73" s="53"/>
      <c r="AO73" s="53"/>
      <c r="AP73" s="53"/>
      <c r="AQ73" s="53"/>
      <c r="AR73" s="53"/>
      <c r="AS73" s="53"/>
      <c r="AT73" s="53"/>
      <c r="AU73" s="53"/>
      <c r="AV73" s="53"/>
      <c r="AW73" s="53"/>
      <c r="AX73" s="53"/>
      <c r="AY73" s="53"/>
      <c r="AZ73" s="53"/>
      <c r="BA73" s="53"/>
      <c r="BB73" s="53"/>
      <c r="BC73" s="53"/>
      <c r="BD73" s="53"/>
      <c r="BE73" s="53"/>
    </row>
    <row r="74" spans="19:59">
      <c r="S74" s="31"/>
      <c r="AL74" s="43">
        <v>0.20833333333333334</v>
      </c>
      <c r="AM74" s="43">
        <v>0.25</v>
      </c>
      <c r="AN74" s="43">
        <v>0.29166666666666702</v>
      </c>
      <c r="AO74" s="43">
        <v>0.33333333333333298</v>
      </c>
      <c r="AP74" s="43">
        <v>0.375</v>
      </c>
      <c r="AQ74" s="43">
        <v>0.41666666666666702</v>
      </c>
      <c r="AR74" s="43">
        <v>0.45833333333333298</v>
      </c>
      <c r="AS74" s="43">
        <v>0.5</v>
      </c>
      <c r="AT74" s="43">
        <v>0.54166666666666696</v>
      </c>
      <c r="AU74" s="43">
        <v>0.58333333333333304</v>
      </c>
      <c r="AV74" s="43">
        <v>0.625</v>
      </c>
      <c r="AW74" s="43">
        <v>0.66666666666666696</v>
      </c>
      <c r="AX74" s="43">
        <v>0.70833333333333304</v>
      </c>
      <c r="AY74" s="43">
        <v>0.75</v>
      </c>
      <c r="AZ74" s="43">
        <v>0.79166666666666696</v>
      </c>
      <c r="BA74" s="43">
        <v>0.83333333333333304</v>
      </c>
      <c r="BB74" s="43">
        <v>0.875</v>
      </c>
      <c r="BC74" s="43">
        <v>0.91666666666666696</v>
      </c>
      <c r="BD74" s="43">
        <v>0.95833333333333304</v>
      </c>
      <c r="BE74" s="43">
        <v>1</v>
      </c>
    </row>
    <row r="75" spans="19:59" ht="14.4" customHeight="1">
      <c r="S75" s="31"/>
      <c r="AK75" t="s">
        <v>199</v>
      </c>
      <c r="AL75" s="81">
        <f>GETPIVOTDATA("% of",PV!$AT$3,"Month","December","Time",5)</f>
        <v>0</v>
      </c>
      <c r="AM75" s="81">
        <f>GETPIVOTDATA("% of",PV!$AT$3,"Month","December","Time",6)</f>
        <v>0</v>
      </c>
      <c r="AN75" s="81">
        <f>GETPIVOTDATA("% of",PV!$AT$3,"Month","December","Time",7)</f>
        <v>0</v>
      </c>
      <c r="AO75" s="81">
        <f>GETPIVOTDATA("% of",PV!$AT$3,"Month","December","Time",8)</f>
        <v>4.0699380550936361E-4</v>
      </c>
      <c r="AP75" s="81">
        <f>GETPIVOTDATA("% of",PV!$AT$3,"Month","December","Time",9)</f>
        <v>8.9030082107444383E-2</v>
      </c>
      <c r="AQ75" s="81">
        <f>GETPIVOTDATA("% of",PV!$AT$3,"Month","December","Time",10)</f>
        <v>0.15279136364634513</v>
      </c>
      <c r="AR75" s="81">
        <f>GETPIVOTDATA("% of",PV!$AT$3,"Month","December","Time",11)</f>
        <v>0.21401074303943274</v>
      </c>
      <c r="AS75" s="81">
        <f>GETPIVOTDATA("% of",PV!$AT$3,"Month","December","Time",12)</f>
        <v>0.22271756576281274</v>
      </c>
      <c r="AT75" s="81">
        <f>GETPIVOTDATA("% of",PV!$AT$3,"Month","December","Time",13)</f>
        <v>0.15736823481970502</v>
      </c>
      <c r="AU75" s="81">
        <f>GETPIVOTDATA("% of",PV!$AT$3,"Month","December","Time",14)</f>
        <v>0.11555292766040698</v>
      </c>
      <c r="AV75" s="81">
        <f>GETPIVOTDATA("% of",PV!$AT$3,"Month","December","Time",15)</f>
        <v>4.8122089158343803E-2</v>
      </c>
      <c r="AW75" s="81">
        <f>GETPIVOTDATA("% of",PV!$AT$3,"Month","December","Time",16)</f>
        <v>0</v>
      </c>
      <c r="AX75" s="81">
        <f>GETPIVOTDATA("% of",PV!$AT$3,"Month","December","Time",17)</f>
        <v>0</v>
      </c>
      <c r="AY75" s="81">
        <f>GETPIVOTDATA("% of",PV!$AT$3,"Month","December","Time",18)</f>
        <v>0</v>
      </c>
      <c r="AZ75" s="81">
        <f>GETPIVOTDATA("% of",PV!$AT$3,"Month","December","Time",19)</f>
        <v>0</v>
      </c>
      <c r="BA75" s="81">
        <f>GETPIVOTDATA("% of",PV!$AT$3,"Month","December","Time",20)</f>
        <v>0</v>
      </c>
      <c r="BB75" s="81">
        <f>GETPIVOTDATA("% of",PV!$AT$3,"Month","December","Time",21)</f>
        <v>0</v>
      </c>
      <c r="BC75" s="81">
        <f>GETPIVOTDATA("% of",PV!$AT$3,"Month","December","Time",22)</f>
        <v>0</v>
      </c>
      <c r="BD75" s="81">
        <f>GETPIVOTDATA("% of",PV!$AT$3,"Month","December","Time",23)</f>
        <v>0</v>
      </c>
      <c r="BE75" s="81">
        <f>GETPIVOTDATA("% of",PV!$AT$3,"Month","December","Time",24)</f>
        <v>0</v>
      </c>
    </row>
    <row r="76" spans="19:59">
      <c r="S76" s="31"/>
      <c r="AK76" t="s">
        <v>203</v>
      </c>
      <c r="AL76" s="31">
        <f>AL75*PV!$C$34/31</f>
        <v>0</v>
      </c>
      <c r="AM76" s="31">
        <f>AM75*PV!$C$34/31</f>
        <v>0</v>
      </c>
      <c r="AN76" s="31">
        <f>AN75*PV!$C$34/31</f>
        <v>0</v>
      </c>
      <c r="AO76" s="31">
        <f>AO75*PV!$C$34/31</f>
        <v>0</v>
      </c>
      <c r="AP76" s="31">
        <f>AP75*PV!$C$34/31</f>
        <v>0</v>
      </c>
      <c r="AQ76" s="31">
        <f>AQ75*PV!$C$34/31</f>
        <v>0</v>
      </c>
      <c r="AR76" s="31">
        <f>AR75*PV!$C$34/31</f>
        <v>0</v>
      </c>
      <c r="AS76" s="31">
        <f>AS75*PV!$C$34/31</f>
        <v>0</v>
      </c>
      <c r="AT76" s="31">
        <f>AT75*PV!$C$34/31</f>
        <v>0</v>
      </c>
      <c r="AU76" s="31">
        <f>AU75*PV!$C$34/31</f>
        <v>0</v>
      </c>
      <c r="AV76" s="31">
        <f>AV75*PV!$C$34/31</f>
        <v>0</v>
      </c>
      <c r="AW76" s="31">
        <f>AW75*PV!$C$34/31</f>
        <v>0</v>
      </c>
      <c r="AX76" s="31">
        <f>AX75*PV!$C$34/31</f>
        <v>0</v>
      </c>
      <c r="AY76" s="31">
        <f>AY75*PV!$C$34/31</f>
        <v>0</v>
      </c>
      <c r="AZ76" s="31">
        <f>AZ75*PV!$C$34/31</f>
        <v>0</v>
      </c>
      <c r="BA76" s="31">
        <f>BA75*PV!$C$34/31</f>
        <v>0</v>
      </c>
      <c r="BB76" s="31">
        <f>BB75*PV!$C$34/31</f>
        <v>0</v>
      </c>
      <c r="BC76" s="31">
        <f>BC75*PV!$C$34/31</f>
        <v>0</v>
      </c>
      <c r="BD76" s="31">
        <f>BD75*PV!$C$34/31</f>
        <v>0</v>
      </c>
      <c r="BE76" s="31">
        <f>BE75*PV!$C$34/31</f>
        <v>0</v>
      </c>
      <c r="BF76" s="8">
        <f>SUM(AL76:BE76)</f>
        <v>0</v>
      </c>
    </row>
    <row r="77" spans="19:59">
      <c r="S77" s="31"/>
      <c r="AK77" t="s">
        <v>204</v>
      </c>
      <c r="AL77" s="85">
        <f>IF($AQ$5="Yes",MAX(0,0+IF(AL76&gt;BR44,AL76-BR44,0)-IF(AND(BR44&gt;=$CM$44,BR44&gt;AL76),MIN(0,BR44-AL76),0)),0)</f>
        <v>0</v>
      </c>
      <c r="AM77" s="85">
        <f>IF($AQ$5="Yes",
    MAX(0,
        AL77 +
        IF(OR(AM76 &gt; BS44, AND($AQ$6="Yes", BS44 &lt;= $CN$44)), IF(AND($AQ$6="Yes", BS44 &lt;= $CN$44), $AP$4, AM76 - BS44), 0) -
        IF(AND($AQ$6="Yes", BS44 &gt;= $CM$44, BS44 &gt; AM76), MIN(AL77, BS44 - AM76), IF(AND($AQ$6="No", BS44 &gt; AM76), MIN(AL77, BS44 - AM76), 0))
    ),
    0)</f>
        <v>0</v>
      </c>
      <c r="AN77" s="85">
        <f t="shared" ref="AN77:BE77" si="233">IF($AQ$5="Yes",
    MAX(0,
        AM77 +
        IF(OR(AN76 &gt; BT44, AND($AQ$6="Yes", BT44 &lt;= $CN$44)), IF(AND($AQ$6="Yes", BT44 &lt;= $CN$44), $AP$4, AN76 - BT44), 0) -
        IF(AND($AQ$6="Yes", BT44 &gt;= $CM$44, BT44 &gt; AN76), MIN(AM77, BT44 - AN76), IF(AND($AQ$6="No", BT44 &gt; AN76), MIN(AM77, BT44 - AN76), 0))
    ),
    0)</f>
        <v>0</v>
      </c>
      <c r="AO77" s="85">
        <f t="shared" si="233"/>
        <v>0</v>
      </c>
      <c r="AP77" s="85">
        <f t="shared" si="233"/>
        <v>0</v>
      </c>
      <c r="AQ77" s="85">
        <f t="shared" si="233"/>
        <v>0</v>
      </c>
      <c r="AR77" s="85">
        <f t="shared" si="233"/>
        <v>0</v>
      </c>
      <c r="AS77" s="85">
        <f t="shared" si="233"/>
        <v>0</v>
      </c>
      <c r="AT77" s="85">
        <f t="shared" si="233"/>
        <v>0</v>
      </c>
      <c r="AU77" s="85">
        <f t="shared" si="233"/>
        <v>0</v>
      </c>
      <c r="AV77" s="85">
        <f t="shared" si="233"/>
        <v>0</v>
      </c>
      <c r="AW77" s="85">
        <f t="shared" si="233"/>
        <v>0</v>
      </c>
      <c r="AX77" s="85">
        <f t="shared" si="233"/>
        <v>0</v>
      </c>
      <c r="AY77" s="85">
        <f t="shared" si="233"/>
        <v>0</v>
      </c>
      <c r="AZ77" s="85">
        <f t="shared" si="233"/>
        <v>0</v>
      </c>
      <c r="BA77" s="85">
        <f t="shared" si="233"/>
        <v>0</v>
      </c>
      <c r="BB77" s="85">
        <f t="shared" si="233"/>
        <v>0</v>
      </c>
      <c r="BC77" s="85">
        <f t="shared" si="233"/>
        <v>0</v>
      </c>
      <c r="BD77" s="85">
        <f t="shared" si="233"/>
        <v>0</v>
      </c>
      <c r="BE77" s="85">
        <f t="shared" si="233"/>
        <v>0</v>
      </c>
      <c r="BF77" s="8">
        <f>SUM(AL77:BE77)</f>
        <v>0</v>
      </c>
    </row>
    <row r="78" spans="19:59">
      <c r="S78" s="31"/>
      <c r="AK78" t="s">
        <v>205</v>
      </c>
      <c r="AL78" s="85">
        <f>MAX(0,
    BR44 - AL76 +
    IF(AND($AQ$6="Yes", BR44 &lt;= $CN$44), $AP$4, 0) -
    IF(AND($AQ$5="Yes", AL77 &gt; 0, OR(AND($AQ$6="Yes", BR44 &gt;= $CM$44), $AQ$6="No", BR44 &gt; AL76)), MIN(AL77, BR44 - AL76), 0)
)</f>
        <v>0</v>
      </c>
      <c r="AM78" s="85">
        <f t="shared" ref="AM78:BE78" si="234">MAX(0,
    BS44 - AM76 +
    IF(AND($AQ$6="Yes", BS44 &lt;= $CN$44), $AP$4, 0) -
    IF(AND($AQ$5="Yes", AM77 &gt; 0, OR(AND($AQ$6="Yes", BS44 &gt;= $CM$44), $AQ$6="No", BS44 &gt; AM76)), MIN(AM77, BS44 - AM76), 0)
)</f>
        <v>0</v>
      </c>
      <c r="AN78" s="85">
        <f t="shared" si="234"/>
        <v>0</v>
      </c>
      <c r="AO78" s="85">
        <f t="shared" si="234"/>
        <v>0</v>
      </c>
      <c r="AP78" s="85">
        <f t="shared" si="234"/>
        <v>0</v>
      </c>
      <c r="AQ78" s="85">
        <f t="shared" si="234"/>
        <v>0</v>
      </c>
      <c r="AR78" s="85">
        <f t="shared" si="234"/>
        <v>0</v>
      </c>
      <c r="AS78" s="85">
        <f t="shared" si="234"/>
        <v>0</v>
      </c>
      <c r="AT78" s="85">
        <f t="shared" si="234"/>
        <v>0</v>
      </c>
      <c r="AU78" s="85">
        <f t="shared" si="234"/>
        <v>0</v>
      </c>
      <c r="AV78" s="85">
        <f t="shared" si="234"/>
        <v>0</v>
      </c>
      <c r="AW78" s="85">
        <f t="shared" si="234"/>
        <v>0</v>
      </c>
      <c r="AX78" s="85">
        <f t="shared" si="234"/>
        <v>0</v>
      </c>
      <c r="AY78" s="85">
        <f t="shared" si="234"/>
        <v>0</v>
      </c>
      <c r="AZ78" s="85">
        <f t="shared" si="234"/>
        <v>0</v>
      </c>
      <c r="BA78" s="85">
        <f t="shared" si="234"/>
        <v>0</v>
      </c>
      <c r="BB78" s="85">
        <f t="shared" si="234"/>
        <v>0</v>
      </c>
      <c r="BC78" s="85">
        <f t="shared" si="234"/>
        <v>0</v>
      </c>
      <c r="BD78" s="85">
        <f t="shared" si="234"/>
        <v>0</v>
      </c>
      <c r="BE78" s="85">
        <f t="shared" si="234"/>
        <v>0</v>
      </c>
      <c r="BF78" s="8">
        <f>SUM(AL78:BE78)</f>
        <v>0</v>
      </c>
      <c r="BG78" s="8">
        <f>CL44</f>
        <v>0</v>
      </c>
    </row>
    <row r="79" spans="19:59">
      <c r="S79" s="31"/>
    </row>
    <row r="80" spans="19:59">
      <c r="S80" s="31"/>
    </row>
    <row r="81" spans="18:58">
      <c r="S81" s="31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</row>
    <row r="82" spans="18:58">
      <c r="S82" s="31"/>
    </row>
    <row r="83" spans="18:58">
      <c r="S83" s="31"/>
    </row>
    <row r="84" spans="18:58">
      <c r="S84" s="31"/>
    </row>
    <row r="85" spans="18:58">
      <c r="S85" s="31"/>
    </row>
    <row r="86" spans="18:58">
      <c r="R86" s="332" t="s">
        <v>317</v>
      </c>
      <c r="S86" s="31"/>
    </row>
    <row r="87" spans="18:58">
      <c r="S87" s="31"/>
    </row>
    <row r="88" spans="18:58">
      <c r="S88" s="31"/>
    </row>
    <row r="89" spans="18:58">
      <c r="S89" s="31"/>
    </row>
    <row r="90" spans="18:58">
      <c r="S90" s="31"/>
    </row>
    <row r="91" spans="18:58">
      <c r="S91" s="31"/>
    </row>
    <row r="92" spans="18:58">
      <c r="S92" s="31"/>
    </row>
    <row r="93" spans="18:58">
      <c r="S93" s="31"/>
    </row>
    <row r="94" spans="18:58">
      <c r="S94" s="31"/>
    </row>
    <row r="95" spans="18:58">
      <c r="S95" s="31"/>
    </row>
    <row r="96" spans="18:58">
      <c r="S96" s="31"/>
    </row>
    <row r="97" spans="19:19">
      <c r="S97" s="31"/>
    </row>
    <row r="98" spans="19:19">
      <c r="S98" s="31"/>
    </row>
    <row r="99" spans="19:19">
      <c r="S99" s="31"/>
    </row>
    <row r="100" spans="19:19">
      <c r="S100" s="31"/>
    </row>
    <row r="101" spans="19:19">
      <c r="S101" s="31"/>
    </row>
    <row r="102" spans="19:19">
      <c r="S102" s="31"/>
    </row>
    <row r="103" spans="19:19">
      <c r="S103" s="31"/>
    </row>
    <row r="104" spans="19:19">
      <c r="S104" s="31"/>
    </row>
    <row r="105" spans="19:19">
      <c r="S105" s="31"/>
    </row>
    <row r="106" spans="19:19">
      <c r="S106" s="31"/>
    </row>
    <row r="107" spans="19:19">
      <c r="S107" s="31"/>
    </row>
    <row r="108" spans="19:19" ht="14.4" customHeight="1">
      <c r="S108" s="31"/>
    </row>
    <row r="109" spans="19:19">
      <c r="S109" s="31"/>
    </row>
    <row r="110" spans="19:19">
      <c r="S110" s="31"/>
    </row>
    <row r="111" spans="19:19">
      <c r="S111" s="31"/>
    </row>
    <row r="112" spans="19:19">
      <c r="S112" s="31"/>
    </row>
    <row r="113" spans="19:19">
      <c r="S113" s="31"/>
    </row>
    <row r="114" spans="19:19">
      <c r="S114" s="31"/>
    </row>
    <row r="115" spans="19:19">
      <c r="S115" s="31"/>
    </row>
    <row r="116" spans="19:19">
      <c r="S116" s="31"/>
    </row>
    <row r="117" spans="19:19">
      <c r="S117" s="31"/>
    </row>
    <row r="118" spans="19:19">
      <c r="S118" s="31"/>
    </row>
    <row r="119" spans="19:19">
      <c r="S119" s="31"/>
    </row>
    <row r="120" spans="19:19">
      <c r="S120" s="31"/>
    </row>
    <row r="121" spans="19:19">
      <c r="S121" s="31"/>
    </row>
    <row r="122" spans="19:19">
      <c r="S122" s="31"/>
    </row>
    <row r="123" spans="19:19">
      <c r="S123" s="31"/>
    </row>
    <row r="124" spans="19:19">
      <c r="S124" s="31"/>
    </row>
    <row r="125" spans="19:19">
      <c r="S125" s="31"/>
    </row>
    <row r="126" spans="19:19">
      <c r="S126" s="31"/>
    </row>
    <row r="129" spans="3:214">
      <c r="C129" s="353"/>
      <c r="D129" s="353"/>
      <c r="E129" s="353"/>
      <c r="F129" s="353"/>
      <c r="G129" s="353"/>
      <c r="H129" s="353"/>
      <c r="I129" s="353"/>
      <c r="J129" s="353"/>
      <c r="K129" s="353"/>
      <c r="L129" s="353"/>
      <c r="M129" s="353"/>
      <c r="N129" s="353"/>
      <c r="O129" s="353"/>
      <c r="P129" s="353"/>
      <c r="Q129" s="353"/>
      <c r="R129" s="354"/>
      <c r="S129" s="353"/>
      <c r="T129" s="353"/>
      <c r="U129" s="353"/>
      <c r="V129" s="353"/>
      <c r="W129" s="353"/>
      <c r="X129" s="353"/>
      <c r="Y129" s="353"/>
      <c r="Z129" s="353"/>
      <c r="AA129" s="353"/>
      <c r="AB129" s="353"/>
      <c r="AC129" s="353"/>
      <c r="AD129" s="353"/>
      <c r="AE129" s="353"/>
      <c r="AF129" s="353"/>
      <c r="AG129" s="353"/>
      <c r="AH129" s="353"/>
      <c r="AI129" s="353"/>
      <c r="AJ129" s="353"/>
      <c r="AK129" s="353"/>
      <c r="AL129" s="353"/>
      <c r="AM129" s="353"/>
      <c r="AN129" s="353"/>
      <c r="AO129" s="353"/>
      <c r="AP129" s="354"/>
      <c r="AQ129" s="353"/>
      <c r="AR129" s="353"/>
      <c r="AS129" s="353"/>
      <c r="AT129" s="353"/>
      <c r="AU129" s="353"/>
      <c r="AV129" s="353"/>
      <c r="AW129" s="353"/>
      <c r="AX129" s="353"/>
      <c r="AY129" s="353"/>
      <c r="AZ129" s="353"/>
      <c r="BA129" s="353"/>
      <c r="BB129" s="353"/>
      <c r="BC129" s="353"/>
      <c r="BD129" s="353"/>
      <c r="BE129" s="353"/>
      <c r="BF129" s="353"/>
      <c r="BG129" s="353"/>
      <c r="BH129" s="353"/>
      <c r="BI129" s="353"/>
      <c r="BJ129" s="353"/>
      <c r="BK129" s="353"/>
      <c r="BL129" s="353"/>
      <c r="BM129" s="353"/>
      <c r="BN129" s="354"/>
      <c r="BO129" s="353"/>
      <c r="BP129" s="353"/>
      <c r="BQ129" s="353"/>
      <c r="BR129" s="353"/>
      <c r="BS129" s="353"/>
      <c r="BT129" s="353"/>
      <c r="BU129" s="353"/>
      <c r="BV129" s="353"/>
      <c r="BW129" s="353"/>
      <c r="BX129" s="353"/>
      <c r="BY129" s="353"/>
      <c r="BZ129" s="353"/>
      <c r="CA129" s="353"/>
      <c r="CB129" s="353"/>
      <c r="CC129" s="353"/>
      <c r="CD129" s="353"/>
      <c r="CE129" s="353"/>
      <c r="CF129" s="353"/>
      <c r="CG129" s="353"/>
      <c r="CH129" s="353"/>
      <c r="CI129" s="353"/>
      <c r="CJ129" s="353"/>
      <c r="CK129" s="353"/>
      <c r="CL129" s="354"/>
      <c r="CM129" s="353"/>
      <c r="CN129" s="353"/>
      <c r="CO129" s="353"/>
      <c r="CP129" s="353"/>
      <c r="CQ129" s="353"/>
      <c r="CR129" s="353"/>
      <c r="CS129" s="353"/>
      <c r="CT129" s="353"/>
      <c r="CU129" s="353"/>
      <c r="CV129" s="353"/>
      <c r="CW129" s="353"/>
      <c r="CX129" s="353"/>
      <c r="CY129" s="353"/>
      <c r="CZ129" s="353"/>
      <c r="DA129" s="353"/>
      <c r="DB129" s="353"/>
      <c r="DC129" s="353"/>
      <c r="DD129" s="353"/>
      <c r="DE129" s="353"/>
      <c r="DF129" s="353"/>
      <c r="DG129" s="353"/>
      <c r="DH129" s="353"/>
      <c r="DI129" s="353"/>
      <c r="DJ129" s="354"/>
      <c r="DK129" s="353"/>
      <c r="DL129" s="353"/>
      <c r="DM129" s="353"/>
      <c r="DN129" s="353"/>
      <c r="DO129" s="353"/>
      <c r="DP129" s="353"/>
      <c r="DQ129" s="353"/>
      <c r="DR129" s="353"/>
      <c r="DS129" s="353"/>
      <c r="DT129" s="353"/>
      <c r="DU129" s="353"/>
      <c r="DV129" s="353"/>
      <c r="DW129" s="353"/>
      <c r="DX129" s="353"/>
      <c r="DY129" s="353"/>
      <c r="DZ129" s="353"/>
      <c r="EA129" s="353"/>
      <c r="EB129" s="353"/>
      <c r="EC129" s="353"/>
      <c r="ED129" s="353"/>
      <c r="EE129" s="353"/>
      <c r="EF129" s="353"/>
      <c r="EG129" s="353"/>
      <c r="EH129" s="354"/>
      <c r="EI129" s="353"/>
      <c r="EJ129" s="353"/>
      <c r="EK129" s="353"/>
      <c r="EL129" s="353"/>
      <c r="EM129" s="353"/>
      <c r="EN129" s="353"/>
      <c r="EO129" s="353"/>
      <c r="EP129" s="353"/>
      <c r="EQ129" s="353"/>
      <c r="ER129" s="353"/>
      <c r="ES129" s="353"/>
      <c r="ET129" s="353"/>
      <c r="EU129" s="353"/>
      <c r="EV129" s="353"/>
      <c r="EW129" s="353"/>
      <c r="EX129" s="353"/>
      <c r="EY129" s="353"/>
      <c r="EZ129" s="353"/>
      <c r="FA129" s="353"/>
      <c r="FB129" s="353"/>
      <c r="FC129" s="353"/>
      <c r="FD129" s="353"/>
      <c r="FE129" s="353"/>
      <c r="FF129" s="354"/>
      <c r="FG129" s="353"/>
      <c r="FH129" s="353"/>
      <c r="FI129" s="353"/>
      <c r="FJ129" s="353"/>
      <c r="FK129" s="353"/>
      <c r="FL129" s="353"/>
      <c r="FM129" s="353"/>
      <c r="FN129" s="353"/>
      <c r="FO129" s="353"/>
      <c r="FP129" s="353"/>
      <c r="FQ129" s="353"/>
      <c r="FR129" s="353"/>
      <c r="FS129" s="353"/>
      <c r="FT129" s="353"/>
      <c r="FU129" s="353"/>
      <c r="FV129" s="353"/>
      <c r="FW129" s="353"/>
      <c r="FX129" s="353"/>
      <c r="FY129" s="353"/>
      <c r="FZ129" s="353"/>
      <c r="GA129" s="353"/>
      <c r="GB129" s="353"/>
      <c r="GC129" s="353"/>
      <c r="GD129" s="354"/>
      <c r="GE129" s="353"/>
      <c r="GF129" s="353"/>
      <c r="GG129" s="353"/>
      <c r="GH129" s="353"/>
      <c r="GI129" s="353"/>
      <c r="GJ129" s="353"/>
      <c r="GK129" s="353"/>
      <c r="GL129" s="353"/>
      <c r="GM129" s="353"/>
      <c r="GN129" s="353"/>
      <c r="GO129" s="353"/>
      <c r="GP129" s="353"/>
      <c r="GQ129" s="353"/>
      <c r="GR129" s="353"/>
      <c r="GS129" s="353"/>
      <c r="GT129" s="353"/>
      <c r="GU129" s="353"/>
      <c r="GV129" s="353"/>
      <c r="GW129" s="353"/>
      <c r="GX129" s="353"/>
      <c r="GY129" s="353"/>
      <c r="GZ129" s="353"/>
      <c r="HA129" s="353"/>
      <c r="HB129" s="354"/>
      <c r="HC129" s="353"/>
      <c r="HD129" s="353"/>
      <c r="HE129" s="353"/>
      <c r="HF129" s="353"/>
    </row>
    <row r="130" spans="3:214"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5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5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5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5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5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5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5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  <c r="FT130" s="8"/>
      <c r="FU130" s="8"/>
      <c r="FV130" s="8"/>
      <c r="FW130" s="8"/>
      <c r="FX130" s="8"/>
      <c r="FY130" s="8"/>
      <c r="FZ130" s="8"/>
      <c r="GA130" s="8"/>
      <c r="GB130" s="8"/>
      <c r="GC130" s="8"/>
      <c r="GD130" s="85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Q130" s="8"/>
      <c r="GR130" s="8"/>
      <c r="GS130" s="8"/>
      <c r="GT130" s="8"/>
      <c r="GU130" s="8"/>
      <c r="GV130" s="8"/>
      <c r="GW130" s="8"/>
      <c r="GX130" s="8"/>
      <c r="GY130" s="8"/>
      <c r="GZ130" s="8"/>
      <c r="HA130" s="8"/>
      <c r="HB130" s="85"/>
      <c r="HC130" s="8"/>
      <c r="HD130" s="8"/>
      <c r="HE130" s="8"/>
      <c r="HF130" s="8"/>
    </row>
    <row r="131" spans="3:214">
      <c r="AP131" s="31"/>
      <c r="BN131" s="31"/>
      <c r="CL131" s="31"/>
      <c r="DJ131" s="31"/>
      <c r="EH131" s="31"/>
      <c r="FF131" s="31"/>
      <c r="GD131" s="31"/>
      <c r="HB131" s="31"/>
    </row>
    <row r="132" spans="3:214"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5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5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5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5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5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5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5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  <c r="FY132" s="8"/>
      <c r="FZ132" s="8"/>
      <c r="GA132" s="8"/>
      <c r="GB132" s="8"/>
      <c r="GC132" s="8"/>
      <c r="GD132" s="85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Q132" s="8"/>
      <c r="GR132" s="8"/>
      <c r="GS132" s="8"/>
      <c r="GT132" s="8"/>
      <c r="GU132" s="8"/>
      <c r="GV132" s="8"/>
      <c r="GW132" s="8"/>
      <c r="GX132" s="8"/>
      <c r="GY132" s="8"/>
      <c r="GZ132" s="8"/>
      <c r="HA132" s="8"/>
      <c r="HB132" s="85"/>
      <c r="HC132" s="8"/>
      <c r="HD132" s="8"/>
      <c r="HE132" s="8"/>
      <c r="HF132" s="8"/>
    </row>
    <row r="133" spans="3:214"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5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5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5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5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5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5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5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  <c r="FT133" s="8"/>
      <c r="FU133" s="8"/>
      <c r="FV133" s="8"/>
      <c r="FW133" s="8"/>
      <c r="FX133" s="8"/>
      <c r="FY133" s="8"/>
      <c r="FZ133" s="8"/>
      <c r="GA133" s="8"/>
      <c r="GB133" s="8"/>
      <c r="GC133" s="8"/>
      <c r="GD133" s="85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Q133" s="8"/>
      <c r="GR133" s="8"/>
      <c r="GS133" s="8"/>
      <c r="GT133" s="8"/>
      <c r="GU133" s="8"/>
      <c r="GV133" s="8"/>
      <c r="GW133" s="8"/>
      <c r="GX133" s="8"/>
      <c r="GY133" s="8"/>
      <c r="GZ133" s="8"/>
      <c r="HA133" s="8"/>
      <c r="HB133" s="85"/>
      <c r="HC133" s="8"/>
      <c r="HD133" s="8"/>
      <c r="HE133" s="8"/>
      <c r="HF133" s="8"/>
    </row>
  </sheetData>
  <sheetProtection algorithmName="SHA-512" hashValue="knlvdjtZWFsijJoDaqTImnVF1YDUIVlCuGxF/OWiB538IDiKiEyuEAse5sUEJ5hrJdUzLD+I+bMYSt8SfBcTLA==" saltValue="cQkHDUKw19MN1IRqT2SzSw==" spinCount="100000" sheet="1" objects="1" scenarios="1" selectLockedCells="1"/>
  <mergeCells count="16">
    <mergeCell ref="BP39:BP41"/>
    <mergeCell ref="BP42:BP44"/>
    <mergeCell ref="BR5:CK7"/>
    <mergeCell ref="A1:D1"/>
    <mergeCell ref="A3:C3"/>
    <mergeCell ref="BQ5:BQ8"/>
    <mergeCell ref="BP24:BP26"/>
    <mergeCell ref="BP27:BP29"/>
    <mergeCell ref="BP30:BP32"/>
    <mergeCell ref="BP33:BP35"/>
    <mergeCell ref="BP36:BP38"/>
    <mergeCell ref="BP9:BP11"/>
    <mergeCell ref="BP12:BP14"/>
    <mergeCell ref="BP15:BP17"/>
    <mergeCell ref="BP18:BP20"/>
    <mergeCell ref="BP21:BP23"/>
  </mergeCells>
  <phoneticPr fontId="18" type="noConversion"/>
  <pageMargins left="0.25" right="0.25" top="0.75" bottom="0.75" header="0.3" footer="0.3"/>
  <pageSetup paperSize="143" scale="38" orientation="landscape" r:id="rId1"/>
  <headerFooter>
    <oddFooter>&amp;R© Henry Metcalfe, 2024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4</vt:i4>
      </vt:variant>
    </vt:vector>
  </HeadingPairs>
  <TitlesOfParts>
    <vt:vector size="9" baseType="lpstr">
      <vt:lpstr>AMD</vt:lpstr>
      <vt:lpstr>DD</vt:lpstr>
      <vt:lpstr>Danish Standard DS439</vt:lpstr>
      <vt:lpstr>PV</vt:lpstr>
      <vt:lpstr>Building Performance</vt:lpstr>
      <vt:lpstr>AMD!Print_Area</vt:lpstr>
      <vt:lpstr>'Building Performance'!Print_Area</vt:lpstr>
      <vt:lpstr>DD!Print_Area</vt:lpstr>
      <vt:lpstr>PV!Print_Area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AMD Calculation</dc:title>
  <dc:creator>Henry Metcalfe</dc:creator>
  <cp:keywords>Electrical Engineering; Calculation</cp:keywords>
  <cp:lastModifiedBy>Henry Metcalfe</cp:lastModifiedBy>
  <cp:lastPrinted>2024-10-01T13:15:02Z</cp:lastPrinted>
  <dcterms:created xsi:type="dcterms:W3CDTF">2012-02-13T11:44:18Z</dcterms:created>
  <dcterms:modified xsi:type="dcterms:W3CDTF">2025-03-15T17:57:24Z</dcterms:modified>
  <cp:category>Electrical Engineering</cp:category>
</cp:coreProperties>
</file>